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Q Question"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M-dd HH:mm"/>
    <numFmt numFmtId="165" formatCode="yyyy/MM/dd HH:mm"/>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cellXfs>
  <cellStyles count="1">
    <cellStyle name="Normal" xfId="0" builtinId="0" customBuiltin="true"/>
  </cellStyles>
  <dxfs count="18">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AEDC2"/>
        </patternFill>
      </fill>
    </dxf>
    <dxf>
      <fill>
        <patternFill patternType="solid">
          <bgColor rgb="FFFAEDC2"/>
        </patternFill>
      </fill>
    </dxf>
    <dxf>
      <fill>
        <patternFill patternType="solid">
          <bgColor rgb="FFFAEDC2"/>
        </patternFill>
      </fill>
    </dxf>
    <dxf>
      <fill>
        <patternFill patternType="solid">
          <bgColor rgb="FFF0F4FF"/>
        </patternFill>
      </fill>
    </dxf>
    <dxf>
      <fill>
        <patternFill patternType="solid">
          <bgColor rgb="FFF0F4FF"/>
        </patternFill>
      </fill>
    </dxf>
    <dxf>
      <fill>
        <patternFill patternType="solid">
          <bgColor rgb="FFF0F4FF"/>
        </patternFill>
      </fill>
    </dxf>
    <dxf>
      <fill>
        <patternFill patternType="solid">
          <bgColor rgb="FFF0F4FF"/>
        </patternFill>
      </fill>
    </dxf>
    <dxf>
      <fill>
        <patternFill patternType="solid">
          <bgColor rgb="FFF0F4FF"/>
        </patternFill>
      </fill>
    </dxf>
    <dxf>
      <fill>
        <patternFill patternType="solid">
          <bgColor rgb="FFE4FAE1"/>
        </patternFill>
      </fill>
    </dxf>
    <dxf>
      <fill>
        <patternFill patternType="solid">
          <bgColor rgb="FFE4FAE1"/>
        </patternFill>
      </fill>
    </dxf>
    <dxf>
      <fill>
        <patternFill patternType="solid">
          <bgColor rgb="FFE4FAE1"/>
        </patternFill>
      </fill>
    </dxf>
    <dxf>
      <fill>
        <patternFill patternType="solid">
          <bgColor rgb="FFF0F4FF"/>
        </patternFill>
      </fill>
    </dxf>
    <dxf>
      <fill>
        <patternFill patternType="solid">
          <bgColor rgb="FFF0F4F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0" customWidth="1"/>
    <col min="3" max="3" width="0"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0" customWidth="1"/>
    <col min="12" max="12" width="0" customWidth="1"/>
    <col min="13" max="13" width="19" customWidth="1"/>
    <col min="14" max="14" width="0" customWidth="1"/>
    <col min="15" max="15" width="19" customWidth="1"/>
    <col min="16" max="16" width="0" customWidth="1"/>
    <col min="17" max="17" width="0"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19" customWidth="1"/>
    <col min="27" max="27" width="19" customWidth="1"/>
    <col min="28" max="28" width="19" customWidth="1"/>
    <col min="29" max="29" width="0" customWidth="1"/>
    <col min="30" max="30" width="0" customWidth="1"/>
    <col min="31" max="31" width="0" customWidth="1"/>
    <col min="32" max="32" width="0" customWidth="1"/>
    <col min="33" max="33" width="0" customWidth="1"/>
    <col min="34" max="34" width="0" customWidth="1"/>
    <col min="35" max="35" width="0" customWidth="1"/>
    <col min="36" max="36" width="0" customWidth="1"/>
    <col min="37" max="37" width="0" customWidth="1"/>
    <col min="38" max="38" width="0" customWidth="1"/>
    <col min="39" max="39" width="0" customWidth="1"/>
    <col min="40" max="40" width="0" customWidth="1"/>
    <col min="41" max="41" width="0" customWidth="1"/>
    <col min="42" max="42" width="0" customWidth="1"/>
    <col min="43" max="43" width="0" customWidth="1"/>
    <col min="44" max="44" width="0" customWidth="1"/>
    <col min="45" max="45" width="0" customWidth="1"/>
    <col min="46" max="46" width="0" customWidth="1"/>
    <col min="47" max="47" width="0" customWidth="1"/>
    <col min="48" max="48" width="0" customWidth="1"/>
    <col min="49" max="49" width="0" customWidth="1"/>
    <col min="50" max="50" width="0" customWidth="1"/>
    <col min="51" max="51" width="0" customWidth="1"/>
    <col min="52" max="52" width="0" customWidth="1"/>
    <col min="53" max="53" width="0" customWidth="1"/>
    <col min="54" max="54" width="0" customWidth="1"/>
    <col min="55" max="55" width="19" customWidth="1"/>
    <col min="56" max="56" width="0" customWidth="1"/>
    <col min="57" max="57" width="0" customWidth="1"/>
    <col min="58" max="58" width="0" customWidth="1"/>
    <col min="59" max="59" width="0" customWidth="1"/>
    <col min="60" max="60" width="0" customWidth="1"/>
    <col min="61" max="61" width="0" customWidth="1"/>
    <col min="62" max="62" width="0" customWidth="1"/>
    <col min="63" max="63" width="0" customWidth="1"/>
    <col min="64" max="64" width="0" customWidth="1"/>
    <col min="65" max="65" width="0" customWidth="1"/>
    <col min="66" max="66" width="0" customWidth="1"/>
    <col min="67" max="67" width="0" customWidth="1"/>
    <col min="68" max="68" width="0" customWidth="1"/>
    <col min="69" max="69" width="0" customWidth="1"/>
    <col min="70" max="70" width="0" customWidth="1"/>
    <col min="71" max="71" width="0" customWidth="1"/>
    <col min="72" max="72" width="0" customWidth="1"/>
    <col min="73" max="73" width="0" customWidth="1"/>
    <col min="74" max="74" width="0" customWidth="1"/>
    <col min="75" max="75" width="0" customWidth="1"/>
    <col min="76" max="76" width="0" customWidth="1"/>
    <col min="77" max="77" width="0" customWidth="1"/>
    <col min="78" max="78" width="0" customWidth="1"/>
    <col min="79" max="79" width="0" customWidth="1"/>
    <col min="80" max="80" width="0" customWidth="1"/>
    <col min="81" max="81" width="0" customWidth="1"/>
    <col min="82" max="82" width="0" customWidth="1"/>
    <col min="83" max="83" width="0" customWidth="1"/>
    <col min="84" max="84" width="0" customWidth="1"/>
    <col min="85" max="85" width="0" customWidth="1"/>
    <col min="86" max="86" width="0" customWidth="1"/>
    <col min="87" max="87" width="19" customWidth="1"/>
    <col min="88" max="88" width="19" customWidth="1"/>
    <col min="89" max="89" width="19" customWidth="1"/>
    <col min="90" max="90" width="19" customWidth="1"/>
    <col min="91" max="91" width="19" customWidth="1"/>
  </cols>
  <sheetData>
    <row r="1" ht="13" customHeight="1">
      <c r="A1" s="1" t="inlineStr">
        <is>
          <t>Company ID</t>
        </is>
      </c>
      <c r="B1" s="1" t="inlineStr">
        <is>
          <t>00 Upbox</t>
        </is>
      </c>
      <c r="C1" s="1" t="inlineStr">
        <is>
          <t>Fish Label 00</t>
        </is>
      </c>
      <c r="D1" s="1" t="inlineStr">
        <is>
          <t>Record Added</t>
        </is>
      </c>
      <c r="E1" s="1" t="inlineStr">
        <is>
          <t>Week</t>
        </is>
      </c>
      <c r="F1" s="1" t="inlineStr">
        <is>
          <t>Created by</t>
        </is>
      </c>
      <c r="G1" s="1" t="inlineStr">
        <is>
          <t>Customer Type</t>
        </is>
      </c>
      <c r="H1" s="1" t="inlineStr">
        <is>
          <t>Upbox Link</t>
        </is>
      </c>
      <c r="I1" s="1" t="inlineStr">
        <is>
          <t>Company Name</t>
        </is>
      </c>
      <c r="J1" s="1" t="inlineStr">
        <is>
          <t>Fish Label</t>
        </is>
      </c>
      <c r="K1" s="1" t="inlineStr">
        <is>
          <t>AM Assigned</t>
        </is>
      </c>
      <c r="L1" s="1" t="inlineStr">
        <is>
          <t>00 Quo Date</t>
        </is>
      </c>
      <c r="M1" s="1" t="inlineStr">
        <is>
          <t>Last Quotation Date</t>
        </is>
      </c>
      <c r="N1" s="1" t="inlineStr">
        <is>
          <t>00 Quo Amt</t>
        </is>
      </c>
      <c r="O1" s="1" t="inlineStr">
        <is>
          <t>Last Quotation Amount</t>
        </is>
      </c>
      <c r="P1" s="1" t="inlineStr">
        <is>
          <t>00 Invoice Date</t>
        </is>
      </c>
      <c r="Q1" s="1" t="inlineStr">
        <is>
          <t>Last Invoice Date</t>
        </is>
      </c>
      <c r="R1" s="1" t="inlineStr">
        <is>
          <t>00 Invoice Amount</t>
        </is>
      </c>
      <c r="S1" s="1" t="inlineStr">
        <is>
          <t>Last Invoice Amount</t>
        </is>
      </c>
      <c r="T1" s="1" t="inlineStr">
        <is>
          <t>Last Paid Transaction Date</t>
        </is>
      </c>
      <c r="U1" s="1" t="inlineStr">
        <is>
          <t>00 Paid Date</t>
        </is>
      </c>
      <c r="V1" s="1" t="inlineStr">
        <is>
          <t>00 Paid Amount</t>
        </is>
      </c>
      <c r="W1" s="1" t="inlineStr">
        <is>
          <t>Last Paid Transaction Amount</t>
        </is>
      </c>
      <c r="X1" s="1" t="inlineStr">
        <is>
          <t>Appointment with (Leader)</t>
        </is>
      </c>
      <c r="Y1" s="1" t="inlineStr">
        <is>
          <t>Appointment Status</t>
        </is>
      </c>
      <c r="Z1" s="1" t="inlineStr">
        <is>
          <t>Hiring Urgency</t>
        </is>
      </c>
      <c r="AA1" s="1" t="inlineStr">
        <is>
          <t>Headcount</t>
        </is>
      </c>
      <c r="AB1" s="1" t="inlineStr">
        <is>
          <t>Need Appointment</t>
        </is>
      </c>
      <c r="AC1" s="1" t="inlineStr">
        <is>
          <t>Company Size</t>
        </is>
      </c>
      <c r="AD1" s="1" t="inlineStr">
        <is>
          <t>Hiring Job Details</t>
        </is>
      </c>
      <c r="AE1" s="1" t="inlineStr">
        <is>
          <t>Decision-Maker Level</t>
        </is>
      </c>
      <c r="AF1" s="1" t="inlineStr">
        <is>
          <t>Current Hiring Budget (RM)</t>
        </is>
      </c>
      <c r="AG1" s="1" t="inlineStr">
        <is>
          <t>Appointment Start</t>
        </is>
      </c>
      <c r="AH1" s="1" t="inlineStr">
        <is>
          <t>Appointment End</t>
        </is>
      </c>
      <c r="AI1" s="1" t="inlineStr">
        <is>
          <t>Whole Year Hiring Budget (RM)</t>
        </is>
      </c>
      <c r="AJ1" s="1" t="inlineStr">
        <is>
          <t>Number of Outlet</t>
        </is>
      </c>
      <c r="AK1" s="1" t="inlineStr">
        <is>
          <t>Have Recruiter Team?</t>
        </is>
      </c>
      <c r="AL1" s="1" t="inlineStr">
        <is>
          <t>Number of Recruiter in Company</t>
        </is>
      </c>
      <c r="AM1" s="1" t="inlineStr">
        <is>
          <t>Have ATS System?</t>
        </is>
      </c>
      <c r="AN1" s="1" t="inlineStr">
        <is>
          <t>ATS System</t>
        </is>
      </c>
      <c r="AO1" s="1" t="inlineStr">
        <is>
          <t>Have Career Website?</t>
        </is>
      </c>
      <c r="AP1" s="1" t="inlineStr">
        <is>
          <t>Hiring Frequency</t>
        </is>
      </c>
      <c r="AQ1" s="1" t="inlineStr">
        <is>
          <t>Whole Year Number of Vacancies</t>
        </is>
      </c>
      <c r="AR1" s="1" t="inlineStr">
        <is>
          <t>External Job Portal</t>
        </is>
      </c>
      <c r="AS1" s="1" t="inlineStr">
        <is>
          <t>AI Summary</t>
        </is>
      </c>
      <c r="AT1" s="1" t="inlineStr">
        <is>
          <t>Quality Scoring</t>
        </is>
      </c>
      <c r="AU1" s="1" t="inlineStr">
        <is>
          <t>Productivity Point</t>
        </is>
      </c>
      <c r="AV1" s="1" t="inlineStr">
        <is>
          <t>Appointment Score</t>
        </is>
      </c>
      <c r="AW1" s="1" t="inlineStr">
        <is>
          <t>Appointment Points</t>
        </is>
      </c>
      <c r="AX1" s="1" t="inlineStr">
        <is>
          <t>Appointment Rating</t>
        </is>
      </c>
      <c r="AY1" s="1" t="inlineStr">
        <is>
          <t>Appointment Status Updated Date</t>
        </is>
      </c>
      <c r="AZ1" s="1" t="inlineStr">
        <is>
          <t>Appointment Status Updated By</t>
        </is>
      </c>
      <c r="BA1" s="1" t="inlineStr">
        <is>
          <t>Remarks</t>
        </is>
      </c>
      <c r="BB1" s="1" t="inlineStr">
        <is>
          <t>Last Callog Reasons</t>
        </is>
      </c>
      <c r="BC1" s="1" t="inlineStr">
        <is>
          <t>Last Callog Comments</t>
        </is>
      </c>
      <c r="BD1" s="1" t="inlineStr">
        <is>
          <t>Last Calllog Date</t>
        </is>
      </c>
      <c r="BE1" s="1" t="inlineStr">
        <is>
          <t>Last Invoice Status</t>
        </is>
      </c>
      <c r="BF1" s="1" t="inlineStr">
        <is>
          <t>Last Paid Transaction Week</t>
        </is>
      </c>
      <c r="BG1" s="1" t="inlineStr">
        <is>
          <t>Reschedule Button</t>
        </is>
      </c>
      <c r="BH1" s="1" t="inlineStr">
        <is>
          <t>BU Leader</t>
        </is>
      </c>
      <c r="BI1" s="1" t="inlineStr">
        <is>
          <t>Company Industry</t>
        </is>
      </c>
      <c r="BJ1" s="1" t="inlineStr">
        <is>
          <t>Synced At</t>
        </is>
      </c>
      <c r="BK1" s="1" t="inlineStr">
        <is>
          <t>Registered At</t>
        </is>
      </c>
      <c r="BL1" s="1" t="inlineStr">
        <is>
          <t>Internal Spending</t>
        </is>
      </c>
      <c r="BM1" s="1" t="inlineStr">
        <is>
          <t>External Spending</t>
        </is>
      </c>
      <c r="BN1" s="1" t="inlineStr">
        <is>
          <t>Last Activity</t>
        </is>
      </c>
      <c r="BO1" s="1" t="inlineStr">
        <is>
          <t>Last Activity Date</t>
        </is>
      </c>
      <c r="BP1" s="1" t="inlineStr">
        <is>
          <t>Last Quotation ID</t>
        </is>
      </c>
      <c r="BQ1" s="1" t="inlineStr">
        <is>
          <t>Last Invoice ID</t>
        </is>
      </c>
      <c r="BR1" s="1" t="inlineStr">
        <is>
          <t>Last Invoice Type</t>
        </is>
      </c>
      <c r="BS1" s="1" t="inlineStr">
        <is>
          <t>Package Name</t>
        </is>
      </c>
      <c r="BT1" s="1" t="inlineStr">
        <is>
          <t>Last Paid Transaction ID</t>
        </is>
      </c>
      <c r="BU1" s="1" t="inlineStr">
        <is>
          <t>Last Paid Transaction Type</t>
        </is>
      </c>
      <c r="BV1" s="1" t="inlineStr">
        <is>
          <t>Last Callog ID</t>
        </is>
      </c>
      <c r="BW1" s="1" t="inlineStr">
        <is>
          <t>Last Calllog Reason</t>
        </is>
      </c>
      <c r="BX1" s="1" t="inlineStr">
        <is>
          <t>Job Post Usage Total</t>
        </is>
      </c>
      <c r="BY1" s="1" t="inlineStr">
        <is>
          <t>Job Post Usage Remaining</t>
        </is>
      </c>
      <c r="BZ1" s="1" t="inlineStr">
        <is>
          <t>Job Post Usage Last Used At</t>
        </is>
      </c>
      <c r="CA1" s="1" t="inlineStr">
        <is>
          <t>Candidates Search Usage Total</t>
        </is>
      </c>
      <c r="CB1" s="1" t="inlineStr">
        <is>
          <t>Candidates Search Usage Remaining</t>
        </is>
      </c>
      <c r="CC1" s="1" t="inlineStr">
        <is>
          <t>Candidates Search Usage Last Used At</t>
        </is>
      </c>
      <c r="CD1" s="1" t="inlineStr">
        <is>
          <t>Appointment Score (V2)</t>
        </is>
      </c>
      <c r="CE1" s="1" t="inlineStr">
        <is>
          <t>New Appointment Point (V2)</t>
        </is>
      </c>
      <c r="CF1" s="1" t="inlineStr">
        <is>
          <t>Last Quotation Week</t>
        </is>
      </c>
      <c r="CG1" s="1" t="inlineStr">
        <is>
          <t>Last Invoice Week</t>
        </is>
      </c>
      <c r="CH1" s="1" t="inlineStr">
        <is>
          <t>Last Paid Week</t>
        </is>
      </c>
      <c r="CI1" s="1" t="inlineStr">
        <is>
          <t>Appointment Done Week</t>
        </is>
      </c>
      <c r="CJ1" s="1" t="inlineStr">
        <is>
          <t>Paid</t>
        </is>
      </c>
      <c r="CK1" s="1" t="inlineStr">
        <is>
          <t>Eligible Appointment</t>
        </is>
      </c>
      <c r="CL1" s="1" t="inlineStr">
        <is>
          <t>Appointment Done Adjustment</t>
        </is>
      </c>
      <c r="CM1" s="1" t="inlineStr">
        <is>
          <t>Appointment Done Week Old Backup</t>
        </is>
      </c>
    </row>
    <row r="2" ht="25.5" customHeight="1">
      <c r="A2" t="inlineStr">
        <is>
          <t>169986</t>
        </is>
      </c>
      <c r="B2" s="2"/>
      <c r="C2"/>
      <c r="D2" s="3">
        <v>46136.374189814815</v>
      </c>
      <c r="E2" t="inlineStr">
        <is>
          <t>Q2-W04</t>
        </is>
      </c>
      <c r="F2" t="inlineStr">
        <is>
          <t>Chia Yee</t>
        </is>
      </c>
      <c r="G2" t="inlineStr">
        <is>
          <t>Customer</t>
        </is>
      </c>
      <c r="H2" s="2" t="str">
        <f>=HYPERLINK("https://upbox.ajobthing.my/customer/169986", "https://upbox.ajobthing.my/customer/169986")</f>
        <v>https://upbox.ajobthing.my/customer/169986</v>
      </c>
      <c r="I2" t="inlineStr">
        <is>
          <t>Surfmusicartstyle Sdn Bhd</t>
        </is>
      </c>
      <c r="J2" t="inlineStr">
        <is>
          <t>Dolphin</t>
        </is>
      </c>
      <c r="K2" t="inlineStr">
        <is>
          <t>Chia Yee</t>
        </is>
      </c>
      <c r="L2" s="4"/>
      <c r="M2" s="4">
        <v>46136.3744212963</v>
      </c>
      <c r="N2"/>
      <c r="O2">
        <v>1728</v>
      </c>
      <c r="P2" s="4"/>
      <c r="Q2" s="4">
        <v>46078.711481481485</v>
      </c>
      <c r="R2"/>
      <c r="S2">
        <v>432</v>
      </c>
      <c r="T2" s="4">
        <v>46078.711481481485</v>
      </c>
      <c r="U2" s="4"/>
      <c r="V2"/>
      <c r="W2">
        <v>432</v>
      </c>
      <c r="X2"/>
      <c r="Y2" t="inlineStr">
        <is>
          <t>Pending Appointment</t>
        </is>
      </c>
      <c r="Z2" t="inlineStr">
        <is>
          <t>Hiring Now</t>
        </is>
      </c>
      <c r="AA2">
        <v>1</v>
      </c>
      <c r="AB2" t="inlineStr">
        <is>
          <t>No Appointment Made</t>
        </is>
      </c>
      <c r="AC2"/>
      <c r="AD2" t="inlineStr">
        <is>
          <t>1 Kitchen assistant</t>
        </is>
      </c>
      <c r="AE2"/>
      <c r="AF2">
        <v>0</v>
      </c>
      <c r="AG2" s="4"/>
      <c r="AH2" s="4"/>
      <c r="AI2">
        <v>0</v>
      </c>
      <c r="AJ2">
        <v>1</v>
      </c>
      <c r="AK2" t="inlineStr">
        <is>
          <t>No, I don't need at all</t>
        </is>
      </c>
      <c r="AL2">
        <v>1</v>
      </c>
      <c r="AM2" t="inlineStr">
        <is>
          <t>No, I don't need at all</t>
        </is>
      </c>
      <c r="AN2"/>
      <c r="AO2" t="inlineStr">
        <is>
          <t>No, I don't need at all</t>
        </is>
      </c>
      <c r="AP2" t="inlineStr">
        <is>
          <t>Once a year (25%)</t>
        </is>
      </c>
      <c r="AQ2">
        <v>0</v>
      </c>
      <c r="AR2" t="inlineStr">
        <is>
          <t>Did not use any job portal</t>
        </is>
      </c>
      <c r="AS2" t="inlineStr">
        <is>
          <t>- Headcount: 1
- Hiring Job Details: 1 Kitchen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0
- Hiring frequency: Once a year (25%)
- External job portal: Did not use any job portal</t>
        </is>
      </c>
      <c r="AT2">
        <v>115</v>
      </c>
      <c r="AU2" t="inlineStr">
        <is>
          <t>1.15</t>
        </is>
      </c>
      <c r="AV2" t="inlineStr">
        <is>
          <t>15</t>
        </is>
      </c>
      <c r="AW2" t="inlineStr">
        <is>
          <t>0</t>
        </is>
      </c>
      <c r="AX2" t="inlineStr">
        <is>
          <t>Not Qualified</t>
        </is>
      </c>
      <c r="AY2" s="4"/>
      <c r="AZ2"/>
      <c r="BA2"/>
      <c r="BB2"/>
      <c r="BC2" t="inlineStr">
        <is>
          <t>WA inform promo</t>
        </is>
      </c>
      <c r="BD2" s="4">
        <v>46140.48947916667</v>
      </c>
      <c r="BE2" t="inlineStr">
        <is>
          <t>paid</t>
        </is>
      </c>
      <c r="BF2" t="inlineStr">
        <is>
          <t>Q1-W08</t>
        </is>
      </c>
      <c r="BG2" t="inlineStr">
        <is>
          <t>Reschedule</t>
        </is>
      </c>
      <c r="BH2" t="inlineStr">
        <is>
          <t>Reagen</t>
        </is>
      </c>
      <c r="BI2" t="inlineStr">
        <is>
          <t>Food / Beverage</t>
        </is>
      </c>
      <c r="BJ2" s="4">
        <v>46144.75140046296</v>
      </c>
      <c r="BK2" s="4">
        <v>45147.43782407408</v>
      </c>
      <c r="BL2" t="inlineStr">
        <is>
          <t>1674.0</t>
        </is>
      </c>
      <c r="BM2" t="inlineStr">
        <is>
          <t>0.0</t>
        </is>
      </c>
      <c r="BN2" t="inlineStr">
        <is>
          <t>View Company Page</t>
        </is>
      </c>
      <c r="BO2" s="4">
        <v>46142.95135416667</v>
      </c>
      <c r="BP2">
        <v>168692</v>
      </c>
      <c r="BQ2">
        <v>87156</v>
      </c>
      <c r="BR2" t="inlineStr">
        <is>
          <t>Online</t>
        </is>
      </c>
      <c r="BS2"/>
      <c r="BT2">
        <v>87156</v>
      </c>
      <c r="BU2"/>
      <c r="BV2">
        <v>2732232</v>
      </c>
      <c r="BW2" t="inlineStr">
        <is>
          <t>No Answer : Voicemail - WA sent to customer</t>
        </is>
      </c>
      <c r="BX2"/>
      <c r="BY2"/>
      <c r="BZ2" s="4"/>
      <c r="CA2"/>
      <c r="CB2"/>
      <c r="CC2" s="4"/>
      <c r="CD2" t="inlineStr">
        <is>
          <t>20</t>
        </is>
      </c>
      <c r="CE2" t="inlineStr">
        <is>
          <t>0</t>
        </is>
      </c>
      <c r="CF2" t="inlineStr">
        <is>
          <t>Q2-W04</t>
        </is>
      </c>
      <c r="CG2" t="inlineStr">
        <is>
          <t>Q1-W08</t>
        </is>
      </c>
      <c r="CH2" t="inlineStr">
        <is>
          <t>Q1-W08</t>
        </is>
      </c>
      <c r="CI2"/>
      <c r="CJ2" t="inlineStr">
        <is>
          <t>Paid</t>
        </is>
      </c>
      <c r="CK2" t="inlineStr">
        <is>
          <t>Not Eligible</t>
        </is>
      </c>
      <c r="CL2"/>
      <c r="CM2"/>
    </row>
    <row r="3" ht="25.5" customHeight="1">
      <c r="A3" t="inlineStr">
        <is>
          <t>4304058</t>
        </is>
      </c>
      <c r="B3" s="2"/>
      <c r="C3"/>
      <c r="D3" s="3">
        <v>46136.393483796295</v>
      </c>
      <c r="E3" t="inlineStr">
        <is>
          <t>Q2-W04</t>
        </is>
      </c>
      <c r="F3" t="inlineStr">
        <is>
          <t>Josh</t>
        </is>
      </c>
      <c r="G3" t="inlineStr">
        <is>
          <t>Lead</t>
        </is>
      </c>
      <c r="H3" s="2" t="str">
        <f>=HYPERLINK("https://upbox.ajobthing.my/leads/4304058", "https://upbox.ajobthing.my/leads/4304058")</f>
        <v>https://upbox.ajobthing.my/leads/4304058</v>
      </c>
      <c r="I3" t="inlineStr">
        <is>
          <t>Winfan (M) Sdn Bhd</t>
        </is>
      </c>
      <c r="J3" t="inlineStr">
        <is>
          <t>Dolphin</t>
        </is>
      </c>
      <c r="K3" t="inlineStr">
        <is>
          <t>Josh</t>
        </is>
      </c>
      <c r="L3" s="4"/>
      <c r="M3" s="4">
        <v>46136.39586805556</v>
      </c>
      <c r="N3"/>
      <c r="O3">
        <v>3672</v>
      </c>
      <c r="P3" s="4"/>
      <c r="Q3" s="4"/>
      <c r="R3"/>
      <c r="S3"/>
      <c r="T3" s="4"/>
      <c r="U3" s="4"/>
      <c r="V3"/>
      <c r="W3"/>
      <c r="X3"/>
      <c r="Y3" t="inlineStr">
        <is>
          <t>Pending Appointment</t>
        </is>
      </c>
      <c r="Z3" t="inlineStr">
        <is>
          <t>Hiring Now</t>
        </is>
      </c>
      <c r="AA3">
        <v>1</v>
      </c>
      <c r="AB3" t="inlineStr">
        <is>
          <t>No Appointment Made</t>
        </is>
      </c>
      <c r="AC3"/>
      <c r="AD3" t="inlineStr">
        <is>
          <t xml:space="preserve">1 procurement </t>
        </is>
      </c>
      <c r="AE3"/>
      <c r="AF3">
        <v>1000</v>
      </c>
      <c r="AG3" s="4"/>
      <c r="AH3" s="4"/>
      <c r="AI3"/>
      <c r="AJ3"/>
      <c r="AK3" t="inlineStr">
        <is>
          <t>Yes, I have</t>
        </is>
      </c>
      <c r="AL3">
        <v>1</v>
      </c>
      <c r="AM3"/>
      <c r="AN3"/>
      <c r="AO3"/>
      <c r="AP3" t="inlineStr">
        <is>
          <t>Once a year (25%)</t>
        </is>
      </c>
      <c r="AQ3"/>
      <c r="AR3"/>
      <c r="AS3" t="inlineStr">
        <is>
          <t>- Headcount: 1
- Hiring Job Details: 1 procurement
- Hiring Urgency: Hiring Now
- Number of outlets: Not available
- Have recruiter team: Yes
- Number of recruiter in company: 1
- Have ATS system: Not available
- Have career website: Not available
- Current hiring budget: RM1,000.00
- Whole year budget: Not available
- Whole year number of vacancies: Not available
- Hiring frequency: Once a year (25%)
- External job portal: Not available</t>
        </is>
      </c>
      <c r="AT3">
        <v>95</v>
      </c>
      <c r="AU3" t="inlineStr">
        <is>
          <t>0.95</t>
        </is>
      </c>
      <c r="AV3" t="inlineStr">
        <is>
          <t>15</t>
        </is>
      </c>
      <c r="AW3" t="inlineStr">
        <is>
          <t>0</t>
        </is>
      </c>
      <c r="AX3" t="inlineStr">
        <is>
          <t>Not Qualified</t>
        </is>
      </c>
      <c r="AY3" s="4"/>
      <c r="AZ3"/>
      <c r="BA3"/>
      <c r="BB3"/>
      <c r="BC3"/>
      <c r="BD3" s="4"/>
      <c r="BE3"/>
      <c r="BF3"/>
      <c r="BG3" t="inlineStr">
        <is>
          <t>Reschedule</t>
        </is>
      </c>
      <c r="BH3" t="inlineStr">
        <is>
          <t>Fauziah Maharan</t>
        </is>
      </c>
      <c r="BI3"/>
      <c r="BJ3" s="4">
        <v>46144.75585648148</v>
      </c>
      <c r="BK3" s="4">
        <v>46132.36072916666</v>
      </c>
      <c r="BL3" t="inlineStr">
        <is>
          <t>0.0</t>
        </is>
      </c>
      <c r="BM3" t="inlineStr">
        <is>
          <t>1200.0</t>
        </is>
      </c>
      <c r="BN3"/>
      <c r="BO3" s="4"/>
      <c r="BP3">
        <v>168695</v>
      </c>
      <c r="BQ3"/>
      <c r="BR3"/>
      <c r="BS3"/>
      <c r="BT3"/>
      <c r="BU3"/>
      <c r="BV3"/>
      <c r="BW3"/>
      <c r="BX3"/>
      <c r="BY3"/>
      <c r="BZ3" s="4"/>
      <c r="CA3"/>
      <c r="CB3"/>
      <c r="CC3" s="4"/>
      <c r="CD3" t="inlineStr">
        <is>
          <t>20</t>
        </is>
      </c>
      <c r="CE3" t="inlineStr">
        <is>
          <t>0</t>
        </is>
      </c>
      <c r="CF3" t="inlineStr">
        <is>
          <t>Q2-W04</t>
        </is>
      </c>
      <c r="CG3"/>
      <c r="CH3"/>
      <c r="CI3"/>
      <c r="CJ3" t="inlineStr">
        <is>
          <t>No Paid</t>
        </is>
      </c>
      <c r="CK3" t="inlineStr">
        <is>
          <t>Not Eligible</t>
        </is>
      </c>
      <c r="CL3"/>
      <c r="CM3"/>
    </row>
    <row r="4" ht="25.5" customHeight="1">
      <c r="A4" t="inlineStr">
        <is>
          <t>203601</t>
        </is>
      </c>
      <c r="B4" s="2"/>
      <c r="C4"/>
      <c r="D4" s="3">
        <v>46136.407638888886</v>
      </c>
      <c r="E4" t="inlineStr">
        <is>
          <t>Q2-W04</t>
        </is>
      </c>
      <c r="F4" t="inlineStr">
        <is>
          <t>Chia Yee</t>
        </is>
      </c>
      <c r="G4" t="inlineStr">
        <is>
          <t>Customer</t>
        </is>
      </c>
      <c r="H4" s="2" t="str">
        <f>=HYPERLINK("https://upbox.ajobthing.my/customer/203601", "https://upbox.ajobthing.my/customer/203601")</f>
        <v>https://upbox.ajobthing.my/customer/203601</v>
      </c>
      <c r="I4" t="inlineStr">
        <is>
          <t>Fengye Piping (M) Sdn Bhd</t>
        </is>
      </c>
      <c r="J4" t="inlineStr">
        <is>
          <t>Dolphin</t>
        </is>
      </c>
      <c r="K4" t="inlineStr">
        <is>
          <t>Chia Yee</t>
        </is>
      </c>
      <c r="L4" s="4"/>
      <c r="M4" s="4">
        <v>46139.41494212963</v>
      </c>
      <c r="N4"/>
      <c r="O4">
        <v>3672</v>
      </c>
      <c r="P4" s="4"/>
      <c r="Q4" s="4">
        <v>46141.67099537037</v>
      </c>
      <c r="R4"/>
      <c r="S4">
        <v>3672</v>
      </c>
      <c r="T4" s="4"/>
      <c r="U4" s="4"/>
      <c r="V4"/>
      <c r="W4"/>
      <c r="X4"/>
      <c r="Y4" t="inlineStr">
        <is>
          <t>Pending Appointment</t>
        </is>
      </c>
      <c r="Z4" t="inlineStr">
        <is>
          <t>Hiring Now</t>
        </is>
      </c>
      <c r="AA4">
        <v>8</v>
      </c>
      <c r="AB4" t="inlineStr">
        <is>
          <t>No Appointment Made</t>
        </is>
      </c>
      <c r="AC4"/>
      <c r="AD4" t="inlineStr">
        <is>
          <t xml:space="preserve">4 warehouse assistant, 2 Clerk, 2 Lorry driver. </t>
        </is>
      </c>
      <c r="AE4"/>
      <c r="AF4">
        <v>0</v>
      </c>
      <c r="AG4" s="4"/>
      <c r="AH4" s="4"/>
      <c r="AI4">
        <v>0</v>
      </c>
      <c r="AJ4">
        <v>1</v>
      </c>
      <c r="AK4" t="inlineStr">
        <is>
          <t>No, I don't need at all</t>
        </is>
      </c>
      <c r="AL4">
        <v>1</v>
      </c>
      <c r="AM4" t="inlineStr">
        <is>
          <t>No, I don't need at all</t>
        </is>
      </c>
      <c r="AN4"/>
      <c r="AO4" t="inlineStr">
        <is>
          <t>Yes, I have</t>
        </is>
      </c>
      <c r="AP4" t="inlineStr">
        <is>
          <t>Once a year (25%)</t>
        </is>
      </c>
      <c r="AQ4">
        <v>8</v>
      </c>
      <c r="AR4" t="inlineStr">
        <is>
          <t>Did not use any job portal</t>
        </is>
      </c>
      <c r="AS4" t="inlineStr">
        <is>
          <t>- Headcount: 8
- Hiring Job Details: 4 warehouse assistant, 2 Clerk, 2 Lorry driver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8
- Hiring frequency: Once a year (25%)
- External job portal: Did not use any job portal</t>
        </is>
      </c>
      <c r="AT4">
        <v>115</v>
      </c>
      <c r="AU4" t="inlineStr">
        <is>
          <t>1.15</t>
        </is>
      </c>
      <c r="AV4" t="inlineStr">
        <is>
          <t>20</t>
        </is>
      </c>
      <c r="AW4" t="inlineStr">
        <is>
          <t>0</t>
        </is>
      </c>
      <c r="AX4" t="inlineStr">
        <is>
          <t>Not Qualified</t>
        </is>
      </c>
      <c r="AY4" s="4"/>
      <c r="AZ4"/>
      <c r="BA4"/>
      <c r="BB4"/>
      <c r="BC4" t="inlineStr">
        <is>
          <t>Waiting payment</t>
        </is>
      </c>
      <c r="BD4" s="4">
        <v>46142.37601851852</v>
      </c>
      <c r="BE4" t="inlineStr">
        <is>
          <t>pending</t>
        </is>
      </c>
      <c r="BF4"/>
      <c r="BG4" t="inlineStr">
        <is>
          <t>Reschedule</t>
        </is>
      </c>
      <c r="BH4" t="inlineStr">
        <is>
          <t>Reagen</t>
        </is>
      </c>
      <c r="BI4"/>
      <c r="BJ4" s="4">
        <v>46144.75435185185</v>
      </c>
      <c r="BK4" s="4">
        <v>46135.82541666667</v>
      </c>
      <c r="BL4" t="inlineStr">
        <is>
          <t>0.0</t>
        </is>
      </c>
      <c r="BM4" t="inlineStr">
        <is>
          <t>1200.0</t>
        </is>
      </c>
      <c r="BN4" t="inlineStr">
        <is>
          <t>View Create Job Page V4</t>
        </is>
      </c>
      <c r="BO4" s="4">
        <v>46135.83928240741</v>
      </c>
      <c r="BP4">
        <v>168932</v>
      </c>
      <c r="BQ4">
        <v>124089</v>
      </c>
      <c r="BR4" t="inlineStr">
        <is>
          <t>Proforma</t>
        </is>
      </c>
      <c r="BS4" t="inlineStr">
        <is>
          <t>AI Yearly Standard Plan (Jan 26)</t>
        </is>
      </c>
      <c r="BT4"/>
      <c r="BU4"/>
      <c r="BV4">
        <v>2736441</v>
      </c>
      <c r="BW4" t="inlineStr">
        <is>
          <t>Follow Up : Win - Customer Paid</t>
        </is>
      </c>
      <c r="BX4"/>
      <c r="BY4"/>
      <c r="BZ4" s="4"/>
      <c r="CA4"/>
      <c r="CB4"/>
      <c r="CC4" s="4"/>
      <c r="CD4" t="inlineStr">
        <is>
          <t>30</t>
        </is>
      </c>
      <c r="CE4" t="inlineStr">
        <is>
          <t>0</t>
        </is>
      </c>
      <c r="CF4" t="inlineStr">
        <is>
          <t>Q2-W04</t>
        </is>
      </c>
      <c r="CG4" t="inlineStr">
        <is>
          <t>Q2-W04</t>
        </is>
      </c>
      <c r="CH4"/>
      <c r="CI4"/>
      <c r="CJ4" t="inlineStr">
        <is>
          <t>No Paid</t>
        </is>
      </c>
      <c r="CK4" t="inlineStr">
        <is>
          <t>Eligible</t>
        </is>
      </c>
      <c r="CL4"/>
      <c r="CM4"/>
    </row>
    <row r="5" ht="25.5" customHeight="1">
      <c r="A5" t="inlineStr">
        <is>
          <t>195028</t>
        </is>
      </c>
      <c r="B5" s="2"/>
      <c r="C5"/>
      <c r="D5" s="3">
        <v>46136.41916666667</v>
      </c>
      <c r="E5" t="inlineStr">
        <is>
          <t>Q2-W04</t>
        </is>
      </c>
      <c r="F5" t="inlineStr">
        <is>
          <t>Ken Yi</t>
        </is>
      </c>
      <c r="G5" t="inlineStr">
        <is>
          <t>Customer</t>
        </is>
      </c>
      <c r="H5" s="2" t="str">
        <f>=HYPERLINK("https://upbox.ajobthing.my/customer/195028", "https://upbox.ajobthing.my/customer/195028")</f>
        <v>https://upbox.ajobthing.my/customer/195028</v>
      </c>
      <c r="I5" t="inlineStr">
        <is>
          <t>Crumb &amp; Crumbs Sdn Bhd</t>
        </is>
      </c>
      <c r="J5" t="inlineStr">
        <is>
          <t>Dolphin</t>
        </is>
      </c>
      <c r="K5" t="inlineStr">
        <is>
          <t>Kenyi</t>
        </is>
      </c>
      <c r="L5" s="4"/>
      <c r="M5" s="4">
        <v>46136.41353009259</v>
      </c>
      <c r="N5"/>
      <c r="O5">
        <v>3672</v>
      </c>
      <c r="P5" s="4"/>
      <c r="Q5" s="4">
        <v>46091.43547453704</v>
      </c>
      <c r="R5"/>
      <c r="S5">
        <v>0</v>
      </c>
      <c r="T5" s="4">
        <v>45922.73789351852</v>
      </c>
      <c r="U5" s="4"/>
      <c r="V5"/>
      <c r="W5">
        <v>3672</v>
      </c>
      <c r="X5"/>
      <c r="Y5" t="inlineStr">
        <is>
          <t>Pending Appointment</t>
        </is>
      </c>
      <c r="Z5" t="inlineStr">
        <is>
          <t>Hiring Now</t>
        </is>
      </c>
      <c r="AA5">
        <v>0</v>
      </c>
      <c r="AB5" t="inlineStr">
        <is>
          <t>No Appointment Made</t>
        </is>
      </c>
      <c r="AC5"/>
      <c r="AD5" t="inlineStr">
        <is>
          <t>Renewal Proposal 1</t>
        </is>
      </c>
      <c r="AE5"/>
      <c r="AF5">
        <v>3672</v>
      </c>
      <c r="AG5" s="4"/>
      <c r="AH5" s="4"/>
      <c r="AI5">
        <v>3672</v>
      </c>
      <c r="AJ5">
        <v>2</v>
      </c>
      <c r="AK5" t="inlineStr">
        <is>
          <t>Yes, I have</t>
        </is>
      </c>
      <c r="AL5">
        <v>1</v>
      </c>
      <c r="AM5" t="inlineStr">
        <is>
          <t>No, I don't need at all</t>
        </is>
      </c>
      <c r="AN5"/>
      <c r="AO5" t="inlineStr">
        <is>
          <t>No, I don't need at all</t>
        </is>
      </c>
      <c r="AP5" t="inlineStr">
        <is>
          <t>Every month (100%)</t>
        </is>
      </c>
      <c r="AQ5">
        <v>1</v>
      </c>
      <c r="AR5" t="inlineStr">
        <is>
          <t>Jobstreet</t>
        </is>
      </c>
      <c r="AS5" t="inlineStr">
        <is>
          <t>- Headcount: 0
- Hiring Job Details: Renewal Proposal 1
- Hiring Urgency: Hiring Now
- Number of outlets: 2
- Have recruiter team: Yes, I have
- Number of recruiter in company: 1
- Have ATS system: No, I don't need at all
- Have career website: No, I don't need at all
- Current hiring budget: RM3,672
- Whole year budget: RM3,672.00
- Whole year number of vacancies: 1
- Hiring frequency: Every month (100%)
- External job portal: Jobstreet</t>
        </is>
      </c>
      <c r="AT5">
        <v>110</v>
      </c>
      <c r="AU5" t="inlineStr">
        <is>
          <t>1.10</t>
        </is>
      </c>
      <c r="AV5" t="inlineStr">
        <is>
          <t>15</t>
        </is>
      </c>
      <c r="AW5" t="inlineStr">
        <is>
          <t>0</t>
        </is>
      </c>
      <c r="AX5" t="inlineStr">
        <is>
          <t>Not Qualified</t>
        </is>
      </c>
      <c r="AY5" s="4"/>
      <c r="AZ5"/>
      <c r="BA5"/>
      <c r="BB5"/>
      <c r="BC5" t="inlineStr">
        <is>
          <t>- Headcount: 0
- Hiring Job Details: Renewal Proposal 1
- Hiring Urgency: Hiring Now
- Number of outlets: 2
- Have recruiter team: Yes, I have
- Number of recruiter in company: 1
- Have ATS system: No, I don't need at all
- Have career website: No, I don't need at all
- Current hiring budget: RM3,672
- Whole year budget: RM3,672.00
- Whole year number of vacancies: 1
- Hiring frequency: Every month (100%)
- External job portal: Jobstreet</t>
        </is>
      </c>
      <c r="BD5" s="4">
        <v>46136.458344907405</v>
      </c>
      <c r="BE5" t="inlineStr">
        <is>
          <t>paid</t>
        </is>
      </c>
      <c r="BF5"/>
      <c r="BG5" t="inlineStr">
        <is>
          <t>Reschedule</t>
        </is>
      </c>
      <c r="BH5" t="inlineStr">
        <is>
          <t>Fauziah Maharan</t>
        </is>
      </c>
      <c r="BI5" t="inlineStr">
        <is>
          <t>Food / Beverage</t>
        </is>
      </c>
      <c r="BJ5" s="4">
        <v>46144.75274305556</v>
      </c>
      <c r="BK5" s="4">
        <v>45885.59415509259</v>
      </c>
      <c r="BL5" t="inlineStr">
        <is>
          <t>3672.0</t>
        </is>
      </c>
      <c r="BM5" t="inlineStr">
        <is>
          <t>0.0</t>
        </is>
      </c>
      <c r="BN5" t="inlineStr">
        <is>
          <t>View Company Page</t>
        </is>
      </c>
      <c r="BO5" s="4">
        <v>46092.46596064815</v>
      </c>
      <c r="BP5">
        <v>168701</v>
      </c>
      <c r="BQ5">
        <v>116526</v>
      </c>
      <c r="BR5" t="inlineStr">
        <is>
          <t>Proforma</t>
        </is>
      </c>
      <c r="BS5" t="inlineStr">
        <is>
          <t>Free Part-Time Job</t>
        </is>
      </c>
      <c r="BT5">
        <v>82609</v>
      </c>
      <c r="BU5"/>
      <c r="BV5">
        <v>2725724</v>
      </c>
      <c r="BW5" t="inlineStr">
        <is>
          <t>Customer Inquiry</t>
        </is>
      </c>
      <c r="BX5">
        <v>6</v>
      </c>
      <c r="BY5">
        <v>0</v>
      </c>
      <c r="BZ5" s="4">
        <v>45995.50983796296</v>
      </c>
      <c r="CA5">
        <v>60</v>
      </c>
      <c r="CB5">
        <v>60</v>
      </c>
      <c r="CC5" s="4"/>
      <c r="CD5" t="inlineStr">
        <is>
          <t>20</t>
        </is>
      </c>
      <c r="CE5" t="inlineStr">
        <is>
          <t>0</t>
        </is>
      </c>
      <c r="CF5" t="inlineStr">
        <is>
          <t>Q2-W04</t>
        </is>
      </c>
      <c r="CG5" t="inlineStr">
        <is>
          <t>Q1-W10</t>
        </is>
      </c>
      <c r="CH5"/>
      <c r="CI5"/>
      <c r="CJ5" t="inlineStr">
        <is>
          <t>Paid</t>
        </is>
      </c>
      <c r="CK5" t="inlineStr">
        <is>
          <t>Not Eligible</t>
        </is>
      </c>
      <c r="CL5"/>
      <c r="CM5"/>
    </row>
    <row r="6" ht="25.5" customHeight="1">
      <c r="A6" t="inlineStr">
        <is>
          <t>178050</t>
        </is>
      </c>
      <c r="B6" s="2"/>
      <c r="C6"/>
      <c r="D6" s="3">
        <v>46136.433333333334</v>
      </c>
      <c r="E6" t="inlineStr">
        <is>
          <t>Q2-W04</t>
        </is>
      </c>
      <c r="F6" t="inlineStr">
        <is>
          <t>Yuli</t>
        </is>
      </c>
      <c r="G6" t="inlineStr">
        <is>
          <t>Customer</t>
        </is>
      </c>
      <c r="H6" s="2" t="str">
        <f>=HYPERLINK("https://upbox.ajobthing.my/customer/178050", "https://upbox.ajobthing.my/customer/178050")</f>
        <v>https://upbox.ajobthing.my/customer/178050</v>
      </c>
      <c r="I6" t="inlineStr">
        <is>
          <t>Prucap Dynamic Sdn Bhd</t>
        </is>
      </c>
      <c r="J6" t="inlineStr">
        <is>
          <t>Dolphin</t>
        </is>
      </c>
      <c r="K6" t="inlineStr">
        <is>
          <t>YuLi</t>
        </is>
      </c>
      <c r="L6" s="4"/>
      <c r="M6" s="4">
        <v>46136.433854166666</v>
      </c>
      <c r="N6"/>
      <c r="O6">
        <v>3672</v>
      </c>
      <c r="P6" s="4"/>
      <c r="Q6" s="4">
        <v>46126.394525462965</v>
      </c>
      <c r="R6"/>
      <c r="S6">
        <v>0</v>
      </c>
      <c r="T6" s="4"/>
      <c r="U6" s="4"/>
      <c r="V6"/>
      <c r="W6"/>
      <c r="X6"/>
      <c r="Y6" t="inlineStr">
        <is>
          <t>Pending Appointment</t>
        </is>
      </c>
      <c r="Z6" t="inlineStr">
        <is>
          <t>Hiring Now</t>
        </is>
      </c>
      <c r="AA6">
        <v>2</v>
      </c>
      <c r="AB6" t="inlineStr">
        <is>
          <t>No Appointment Made</t>
        </is>
      </c>
      <c r="AC6"/>
      <c r="AD6" t="inlineStr">
        <is>
          <t>Part time sales outdoor, intern</t>
        </is>
      </c>
      <c r="AE6"/>
      <c r="AF6"/>
      <c r="AG6" s="4"/>
      <c r="AH6" s="4"/>
      <c r="AI6"/>
      <c r="AJ6"/>
      <c r="AK6"/>
      <c r="AL6"/>
      <c r="AM6"/>
      <c r="AN6"/>
      <c r="AO6"/>
      <c r="AP6"/>
      <c r="AQ6"/>
      <c r="AR6" t="inlineStr">
        <is>
          <t>Jobstreet</t>
        </is>
      </c>
      <c r="AS6" t="inlineStr">
        <is>
          <t>- Headcount: 2
- Hiring Job Details: Part time sales outdoor, intern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is>
      </c>
      <c r="AT6">
        <v>65</v>
      </c>
      <c r="AU6" t="inlineStr">
        <is>
          <t>0.65</t>
        </is>
      </c>
      <c r="AV6" t="inlineStr">
        <is>
          <t>5</t>
        </is>
      </c>
      <c r="AW6" t="inlineStr">
        <is>
          <t>0</t>
        </is>
      </c>
      <c r="AX6" t="inlineStr">
        <is>
          <t>Not Qualified</t>
        </is>
      </c>
      <c r="AY6" s="4"/>
      <c r="AZ6"/>
      <c r="BA6"/>
      <c r="BB6"/>
      <c r="BC6" t="inlineStr">
        <is>
          <t>- Headcount: 2
- Hiring Job Details: Part time sales outdoor, intern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is>
      </c>
      <c r="BD6" s="4">
        <v>46136.45835648148</v>
      </c>
      <c r="BE6" t="inlineStr">
        <is>
          <t>paid</t>
        </is>
      </c>
      <c r="BF6"/>
      <c r="BG6" t="inlineStr">
        <is>
          <t>Reschedule</t>
        </is>
      </c>
      <c r="BH6" t="inlineStr">
        <is>
          <t>Fauziah Maharan</t>
        </is>
      </c>
      <c r="BI6" t="inlineStr">
        <is>
          <t>Insurance</t>
        </is>
      </c>
      <c r="BJ6" s="4">
        <v>46144.75171296296</v>
      </c>
      <c r="BK6" s="4">
        <v>45418.74778935185</v>
      </c>
      <c r="BL6" t="inlineStr">
        <is>
          <t>0.0</t>
        </is>
      </c>
      <c r="BM6" t="inlineStr">
        <is>
          <t>1200.0</t>
        </is>
      </c>
      <c r="BN6" t="inlineStr">
        <is>
          <t>View Company Page</t>
        </is>
      </c>
      <c r="BO6" s="4">
        <v>46140.60493055556</v>
      </c>
      <c r="BP6">
        <v>168716</v>
      </c>
      <c r="BQ6">
        <v>122141</v>
      </c>
      <c r="BR6" t="inlineStr">
        <is>
          <t>Proforma</t>
        </is>
      </c>
      <c r="BS6" t="inlineStr">
        <is>
          <t>Free Part-Time Job</t>
        </is>
      </c>
      <c r="BT6"/>
      <c r="BU6"/>
      <c r="BV6">
        <v>2725726</v>
      </c>
      <c r="BW6" t="inlineStr">
        <is>
          <t>Customer Inquiry</t>
        </is>
      </c>
      <c r="BX6"/>
      <c r="BY6"/>
      <c r="BZ6" s="4"/>
      <c r="CA6">
        <v>13</v>
      </c>
      <c r="CB6">
        <v>13</v>
      </c>
      <c r="CC6" s="4"/>
      <c r="CD6" t="inlineStr">
        <is>
          <t>5</t>
        </is>
      </c>
      <c r="CE6" t="inlineStr">
        <is>
          <t>0</t>
        </is>
      </c>
      <c r="CF6" t="inlineStr">
        <is>
          <t>Q2-W04</t>
        </is>
      </c>
      <c r="CG6" t="inlineStr">
        <is>
          <t>Q2-W02</t>
        </is>
      </c>
      <c r="CH6"/>
      <c r="CI6"/>
      <c r="CJ6" t="inlineStr">
        <is>
          <t>No Paid</t>
        </is>
      </c>
      <c r="CK6" t="inlineStr">
        <is>
          <t>Not Eligible</t>
        </is>
      </c>
      <c r="CL6"/>
      <c r="CM6"/>
    </row>
    <row r="7" ht="25.5" customHeight="1">
      <c r="A7" t="inlineStr">
        <is>
          <t>203604</t>
        </is>
      </c>
      <c r="B7" s="2"/>
      <c r="C7"/>
      <c r="D7" s="3">
        <v>46136.43649305555</v>
      </c>
      <c r="E7" t="inlineStr">
        <is>
          <t>Q2-W04</t>
        </is>
      </c>
      <c r="F7" t="inlineStr">
        <is>
          <t>Keegan</t>
        </is>
      </c>
      <c r="G7" t="inlineStr">
        <is>
          <t>Customer</t>
        </is>
      </c>
      <c r="H7" s="2" t="str">
        <f>=HYPERLINK("https://upbox.ajobthing.my/customer/203604", "https://upbox.ajobthing.my/customer/203604")</f>
        <v>https://upbox.ajobthing.my/customer/203604</v>
      </c>
      <c r="I7" t="inlineStr">
        <is>
          <t>Perfect 16</t>
        </is>
      </c>
      <c r="J7" t="inlineStr">
        <is>
          <t>Dolphin</t>
        </is>
      </c>
      <c r="K7" t="inlineStr">
        <is>
          <t>Keegan</t>
        </is>
      </c>
      <c r="L7" s="4"/>
      <c r="M7" s="4">
        <v>46136.436574074076</v>
      </c>
      <c r="N7"/>
      <c r="O7">
        <v>3888</v>
      </c>
      <c r="P7" s="4"/>
      <c r="Q7" s="4">
        <v>46140.40126157407</v>
      </c>
      <c r="R7"/>
      <c r="S7">
        <v>3672</v>
      </c>
      <c r="T7" s="4">
        <v>46140.40126157407</v>
      </c>
      <c r="U7" s="4"/>
      <c r="V7"/>
      <c r="W7">
        <v>3672</v>
      </c>
      <c r="X7"/>
      <c r="Y7" t="inlineStr">
        <is>
          <t>Pending Appointment</t>
        </is>
      </c>
      <c r="Z7" t="inlineStr">
        <is>
          <t>Hiring Now</t>
        </is>
      </c>
      <c r="AA7">
        <v>2</v>
      </c>
      <c r="AB7" t="inlineStr">
        <is>
          <t>No Appointment Made</t>
        </is>
      </c>
      <c r="AC7"/>
      <c r="AD7" t="inlineStr">
        <is>
          <t xml:space="preserve">1. Service Crew
2. Customer Service </t>
        </is>
      </c>
      <c r="AE7"/>
      <c r="AF7"/>
      <c r="AG7" s="4"/>
      <c r="AH7" s="4"/>
      <c r="AI7"/>
      <c r="AJ7">
        <v>1</v>
      </c>
      <c r="AK7" t="inlineStr">
        <is>
          <t>No, I don't need at all</t>
        </is>
      </c>
      <c r="AL7">
        <v>0</v>
      </c>
      <c r="AM7" t="inlineStr">
        <is>
          <t>No, I don't need at all</t>
        </is>
      </c>
      <c r="AN7"/>
      <c r="AO7" t="inlineStr">
        <is>
          <t>No, I don't need at all</t>
        </is>
      </c>
      <c r="AP7" t="inlineStr">
        <is>
          <t>Once per quarter (75%)</t>
        </is>
      </c>
      <c r="AQ7"/>
      <c r="AR7" t="inlineStr">
        <is>
          <t>Did not use any job portal</t>
        </is>
      </c>
      <c r="AS7" t="inlineStr">
        <is>
          <t>- Headcount: 2
- Hiring Job Details: 1. Service Crew; 2. Customer Service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7">
        <v>75</v>
      </c>
      <c r="AU7" t="inlineStr">
        <is>
          <t>0.75</t>
        </is>
      </c>
      <c r="AV7" t="inlineStr">
        <is>
          <t>5</t>
        </is>
      </c>
      <c r="AW7" t="inlineStr">
        <is>
          <t>0</t>
        </is>
      </c>
      <c r="AX7" t="inlineStr">
        <is>
          <t>Not Qualified</t>
        </is>
      </c>
      <c r="AY7" s="4"/>
      <c r="AZ7"/>
      <c r="BA7"/>
      <c r="BB7"/>
      <c r="BC7" t="inlineStr">
        <is>
          <t>Job posting f/up</t>
        </is>
      </c>
      <c r="BD7" s="4">
        <v>46142.71789351852</v>
      </c>
      <c r="BE7" t="inlineStr">
        <is>
          <t>paid</t>
        </is>
      </c>
      <c r="BF7" t="inlineStr">
        <is>
          <t>Q2-W04</t>
        </is>
      </c>
      <c r="BG7" t="inlineStr">
        <is>
          <t>Reschedule</t>
        </is>
      </c>
      <c r="BH7" t="inlineStr">
        <is>
          <t>Edward Hoo</t>
        </is>
      </c>
      <c r="BI7" t="inlineStr">
        <is>
          <t>Transportation / Logistics</t>
        </is>
      </c>
      <c r="BJ7" s="4">
        <v>46144.75435185185</v>
      </c>
      <c r="BK7" s="4">
        <v>46135.97961805556</v>
      </c>
      <c r="BL7" t="inlineStr">
        <is>
          <t>3672.0</t>
        </is>
      </c>
      <c r="BM7" t="inlineStr">
        <is>
          <t>0.0</t>
        </is>
      </c>
      <c r="BN7" t="inlineStr">
        <is>
          <t>View Company Page</t>
        </is>
      </c>
      <c r="BO7" s="4">
        <v>46143.809537037036</v>
      </c>
      <c r="BP7">
        <v>168717</v>
      </c>
      <c r="BQ7">
        <v>94856</v>
      </c>
      <c r="BR7" t="inlineStr">
        <is>
          <t>Online</t>
        </is>
      </c>
      <c r="BS7"/>
      <c r="BT7">
        <v>94856</v>
      </c>
      <c r="BU7"/>
      <c r="BV7">
        <v>2738338</v>
      </c>
      <c r="BW7" t="inlineStr">
        <is>
          <t>Service / Technical : Job Outcome Enquiry</t>
        </is>
      </c>
      <c r="BX7">
        <v>6</v>
      </c>
      <c r="BY7">
        <v>3</v>
      </c>
      <c r="BZ7" s="4">
        <v>46140.65914351852</v>
      </c>
      <c r="CA7">
        <v>60</v>
      </c>
      <c r="CB7">
        <v>39</v>
      </c>
      <c r="CC7" s="4">
        <v>46142.865648148145</v>
      </c>
      <c r="CD7" t="inlineStr">
        <is>
          <t>5</t>
        </is>
      </c>
      <c r="CE7" t="inlineStr">
        <is>
          <t>0</t>
        </is>
      </c>
      <c r="CF7" t="inlineStr">
        <is>
          <t>Q2-W04</t>
        </is>
      </c>
      <c r="CG7" t="inlineStr">
        <is>
          <t>Q2-W04</t>
        </is>
      </c>
      <c r="CH7" t="inlineStr">
        <is>
          <t>Q2-W04</t>
        </is>
      </c>
      <c r="CI7"/>
      <c r="CJ7" t="inlineStr">
        <is>
          <t>Paid</t>
        </is>
      </c>
      <c r="CK7" t="inlineStr">
        <is>
          <t>Not Eligible</t>
        </is>
      </c>
      <c r="CL7"/>
      <c r="CM7"/>
    </row>
    <row r="8" ht="25.5" customHeight="1">
      <c r="A8" t="inlineStr">
        <is>
          <t>199444</t>
        </is>
      </c>
      <c r="B8" s="2"/>
      <c r="C8"/>
      <c r="D8" s="3">
        <v>46136.449270833335</v>
      </c>
      <c r="E8" t="inlineStr">
        <is>
          <t>Q2-W04</t>
        </is>
      </c>
      <c r="F8" t="inlineStr">
        <is>
          <t>Luqman</t>
        </is>
      </c>
      <c r="G8" t="inlineStr">
        <is>
          <t>Customer</t>
        </is>
      </c>
      <c r="H8" s="2" t="str">
        <f>=HYPERLINK("https://upbox.ajobthing.my/customer/199444", "https://upbox.ajobthing.my/customer/199444")</f>
        <v>https://upbox.ajobthing.my/customer/199444</v>
      </c>
      <c r="I8" t="inlineStr">
        <is>
          <t>Company Confidential</t>
        </is>
      </c>
      <c r="J8" t="inlineStr">
        <is>
          <t>Dolphin</t>
        </is>
      </c>
      <c r="K8" t="inlineStr">
        <is>
          <t>Luqman</t>
        </is>
      </c>
      <c r="L8" s="4"/>
      <c r="M8" s="4">
        <v>46140.36537037037</v>
      </c>
      <c r="N8"/>
      <c r="O8">
        <v>3888</v>
      </c>
      <c r="P8" s="4"/>
      <c r="Q8" s="4"/>
      <c r="R8"/>
      <c r="S8"/>
      <c r="T8" s="4"/>
      <c r="U8" s="4"/>
      <c r="V8"/>
      <c r="W8"/>
      <c r="X8"/>
      <c r="Y8" t="inlineStr">
        <is>
          <t>Pending Appointment</t>
        </is>
      </c>
      <c r="Z8" t="inlineStr">
        <is>
          <t>Hiring Now</t>
        </is>
      </c>
      <c r="AA8">
        <v>4</v>
      </c>
      <c r="AB8" t="inlineStr">
        <is>
          <t>No Appointment Made</t>
        </is>
      </c>
      <c r="AC8"/>
      <c r="AD8" t="inlineStr">
        <is>
          <t xml:space="preserve">1. HR
2. FIT MANAGER 
3. PA
4. Supervisor/HR Driver  </t>
        </is>
      </c>
      <c r="AE8"/>
      <c r="AF8">
        <v>3600</v>
      </c>
      <c r="AG8" s="4"/>
      <c r="AH8" s="4"/>
      <c r="AI8">
        <v>3600</v>
      </c>
      <c r="AJ8"/>
      <c r="AK8" t="inlineStr">
        <is>
          <t>Yes, I have</t>
        </is>
      </c>
      <c r="AL8">
        <v>4</v>
      </c>
      <c r="AM8" t="inlineStr">
        <is>
          <t>No, I don't need at all</t>
        </is>
      </c>
      <c r="AN8"/>
      <c r="AO8" t="inlineStr">
        <is>
          <t>Yes, I have</t>
        </is>
      </c>
      <c r="AP8" t="inlineStr">
        <is>
          <t>Once a year (25%)</t>
        </is>
      </c>
      <c r="AQ8">
        <v>4</v>
      </c>
      <c r="AR8" t="inlineStr">
        <is>
          <t>Jobstreet</t>
        </is>
      </c>
      <c r="AS8" t="inlineStr">
        <is>
          <t>- Headcount: 4
- Hiring Job Details: 1. HR; 2. FIT MANAGER; 3. PA; 4. Supervisor/HR Driver
- Hiring Urgency: Hiring Now
- Number of outlets: N/A
- Have recruiter team: Yes
- Number of recruiter in company: 4
- Have ATS system: No, I don't need at all
- Have career website: Yes
- Current hiring budget: RM3,600
- Whole year budget: RM3,600.00
- Whole year number of vacancies: 4
- Hiring frequency: Once a year (25%)
- External job portal: Jobstreet</t>
        </is>
      </c>
      <c r="AT8">
        <v>105</v>
      </c>
      <c r="AU8" t="inlineStr">
        <is>
          <t>1.05</t>
        </is>
      </c>
      <c r="AV8" t="inlineStr">
        <is>
          <t>15</t>
        </is>
      </c>
      <c r="AW8" t="inlineStr">
        <is>
          <t>0</t>
        </is>
      </c>
      <c r="AX8" t="inlineStr">
        <is>
          <t>Not Qualified</t>
        </is>
      </c>
      <c r="AY8" s="4"/>
      <c r="AZ8"/>
      <c r="BA8"/>
      <c r="BB8"/>
      <c r="BC8" t="inlineStr">
        <is>
          <t>- Headcount: 4
- Hiring Job Details: 1. Supervisor 2. Fit Manager 3. Branch Manager 4. HR Executive
- Hiring Urgency: Hiring Later
- Number of outlets: None
- Have recruiter team: Yes
- Number of recruiter in company: 4
- Have ATS system: No, don't need at all
- Have career website: No, but want in future
- Current hiring budget: RM3,600
- Whole year budget: RM3,600.00
- Whole year number of vacancies: 6
- Hiring frequency: Once a year (25%)
- External job portal: Jobstreet</t>
        </is>
      </c>
      <c r="BD8" s="4">
        <v>46140.375185185185</v>
      </c>
      <c r="BE8"/>
      <c r="BF8"/>
      <c r="BG8" t="inlineStr">
        <is>
          <t>Reschedule</t>
        </is>
      </c>
      <c r="BH8" t="inlineStr">
        <is>
          <t>Edward Hoo</t>
        </is>
      </c>
      <c r="BI8"/>
      <c r="BJ8" s="4">
        <v>46144.75329861111</v>
      </c>
      <c r="BK8" s="4">
        <v>46007.62862268519</v>
      </c>
      <c r="BL8" t="inlineStr">
        <is>
          <t>0.0</t>
        </is>
      </c>
      <c r="BM8" t="inlineStr">
        <is>
          <t>3000.0</t>
        </is>
      </c>
      <c r="BN8" t="inlineStr">
        <is>
          <t>View Create Job Page V4</t>
        </is>
      </c>
      <c r="BO8" s="4">
        <v>46007.62892361111</v>
      </c>
      <c r="BP8">
        <v>169128</v>
      </c>
      <c r="BQ8"/>
      <c r="BR8"/>
      <c r="BS8"/>
      <c r="BT8"/>
      <c r="BU8"/>
      <c r="BV8">
        <v>2731666</v>
      </c>
      <c r="BW8" t="inlineStr">
        <is>
          <t>Customer Inquiry</t>
        </is>
      </c>
      <c r="BX8"/>
      <c r="BY8"/>
      <c r="BZ8" s="4"/>
      <c r="CA8"/>
      <c r="CB8"/>
      <c r="CC8" s="4"/>
      <c r="CD8" t="inlineStr">
        <is>
          <t>20</t>
        </is>
      </c>
      <c r="CE8" t="inlineStr">
        <is>
          <t>0</t>
        </is>
      </c>
      <c r="CF8" t="inlineStr">
        <is>
          <t>Q2-W04</t>
        </is>
      </c>
      <c r="CG8"/>
      <c r="CH8"/>
      <c r="CI8"/>
      <c r="CJ8" t="inlineStr">
        <is>
          <t>No Paid</t>
        </is>
      </c>
      <c r="CK8" t="inlineStr">
        <is>
          <t>Not Eligible</t>
        </is>
      </c>
      <c r="CL8"/>
      <c r="CM8"/>
    </row>
    <row r="9" ht="25.5" customHeight="1">
      <c r="A9" t="inlineStr">
        <is>
          <t>203607</t>
        </is>
      </c>
      <c r="B9" s="2"/>
      <c r="C9"/>
      <c r="D9" s="3">
        <v>46136.4516087963</v>
      </c>
      <c r="E9" t="inlineStr">
        <is>
          <t>Q2-W04</t>
        </is>
      </c>
      <c r="F9" t="inlineStr">
        <is>
          <t>Jess</t>
        </is>
      </c>
      <c r="G9" t="inlineStr">
        <is>
          <t>Customer</t>
        </is>
      </c>
      <c r="H9" s="2" t="str">
        <f>=HYPERLINK("https://upbox.ajobthing.my/customer/203607", "https://upbox.ajobthing.my/customer/203607")</f>
        <v>https://upbox.ajobthing.my/customer/203607</v>
      </c>
      <c r="I9" t="inlineStr">
        <is>
          <t>Mangrove Living Sdn Bhd</t>
        </is>
      </c>
      <c r="J9" t="inlineStr">
        <is>
          <t>Dolphin</t>
        </is>
      </c>
      <c r="K9" t="inlineStr">
        <is>
          <t>Jess Lim</t>
        </is>
      </c>
      <c r="L9" s="4"/>
      <c r="M9" s="4">
        <v>46136.452673611115</v>
      </c>
      <c r="N9"/>
      <c r="O9">
        <v>4968</v>
      </c>
      <c r="P9" s="4"/>
      <c r="Q9" s="4"/>
      <c r="R9"/>
      <c r="S9"/>
      <c r="T9" s="4"/>
      <c r="U9" s="4"/>
      <c r="V9"/>
      <c r="W9"/>
      <c r="X9"/>
      <c r="Y9" t="inlineStr">
        <is>
          <t>Pending Appointment</t>
        </is>
      </c>
      <c r="Z9" t="inlineStr">
        <is>
          <t>Continuous Hiring</t>
        </is>
      </c>
      <c r="AA9">
        <v>1</v>
      </c>
      <c r="AB9" t="inlineStr">
        <is>
          <t>No Appointment Made</t>
        </is>
      </c>
      <c r="AC9"/>
      <c r="AD9" t="inlineStr">
        <is>
          <t>retail all state in kl</t>
        </is>
      </c>
      <c r="AE9"/>
      <c r="AF9">
        <v>1200</v>
      </c>
      <c r="AG9" s="4"/>
      <c r="AH9" s="4"/>
      <c r="AI9"/>
      <c r="AJ9">
        <v>17</v>
      </c>
      <c r="AK9" t="inlineStr">
        <is>
          <t>No, I don't need at all</t>
        </is>
      </c>
      <c r="AL9">
        <v>1</v>
      </c>
      <c r="AM9" t="inlineStr">
        <is>
          <t>No, I don't need at all</t>
        </is>
      </c>
      <c r="AN9"/>
      <c r="AO9" t="inlineStr">
        <is>
          <t>No, I don't need at all</t>
        </is>
      </c>
      <c r="AP9" t="inlineStr">
        <is>
          <t>Every month (100%)</t>
        </is>
      </c>
      <c r="AQ9"/>
      <c r="AR9" t="inlineStr">
        <is>
          <t>Free Job Portal</t>
        </is>
      </c>
      <c r="AS9" t="inlineStr">
        <is>
          <t>- Headcount: 1
- Hiring Job Details: retail all state in kl
- Hiring Urgency: Continuous Hiring
- Number of outlets: 17
- Have recruiter team: No, I don't need at all
- Number of recruiter in company: 1
- Have ATS system: No, I don't need at all
- Have career website: No, I don't need at all
- Current hiring budget: RM1,200.00
- Whole year budget: 
- Whole year number of vacancies: 
- Hiring frequency: Every month (100%)
- External job portal: Free Job Portal</t>
        </is>
      </c>
      <c r="AT9">
        <v>75</v>
      </c>
      <c r="AU9" t="inlineStr">
        <is>
          <t>0.75</t>
        </is>
      </c>
      <c r="AV9" t="inlineStr">
        <is>
          <t>15</t>
        </is>
      </c>
      <c r="AW9" t="inlineStr">
        <is>
          <t>0</t>
        </is>
      </c>
      <c r="AX9" t="inlineStr">
        <is>
          <t>Not Qualified</t>
        </is>
      </c>
      <c r="AY9" s="4"/>
      <c r="AZ9"/>
      <c r="BA9"/>
      <c r="BB9"/>
      <c r="BC9" t="inlineStr">
        <is>
          <t>still in review</t>
        </is>
      </c>
      <c r="BD9" s="4">
        <v>46141.601793981485</v>
      </c>
      <c r="BE9"/>
      <c r="BF9"/>
      <c r="BG9" t="inlineStr">
        <is>
          <t>Reschedule</t>
        </is>
      </c>
      <c r="BH9" t="inlineStr">
        <is>
          <t>Fauziah Maharan</t>
        </is>
      </c>
      <c r="BI9"/>
      <c r="BJ9" s="4">
        <v>46144.75435185185</v>
      </c>
      <c r="BK9" s="4">
        <v>46136.36895833333</v>
      </c>
      <c r="BL9" t="inlineStr">
        <is>
          <t>0.0</t>
        </is>
      </c>
      <c r="BM9" t="inlineStr">
        <is>
          <t>0.0</t>
        </is>
      </c>
      <c r="BN9" t="inlineStr">
        <is>
          <t>View Create Job Page V4</t>
        </is>
      </c>
      <c r="BO9" s="4">
        <v>46136.374930555554</v>
      </c>
      <c r="BP9">
        <v>168733</v>
      </c>
      <c r="BQ9"/>
      <c r="BR9"/>
      <c r="BS9"/>
      <c r="BT9"/>
      <c r="BU9"/>
      <c r="BV9">
        <v>2735311</v>
      </c>
      <c r="BW9" t="inlineStr">
        <is>
          <t>Follow Up : Decision Pending</t>
        </is>
      </c>
      <c r="BX9"/>
      <c r="BY9"/>
      <c r="BZ9" s="4"/>
      <c r="CA9"/>
      <c r="CB9"/>
      <c r="CC9" s="4"/>
      <c r="CD9" t="inlineStr">
        <is>
          <t>20</t>
        </is>
      </c>
      <c r="CE9" t="inlineStr">
        <is>
          <t>0</t>
        </is>
      </c>
      <c r="CF9" t="inlineStr">
        <is>
          <t>Q2-W04</t>
        </is>
      </c>
      <c r="CG9"/>
      <c r="CH9"/>
      <c r="CI9"/>
      <c r="CJ9" t="inlineStr">
        <is>
          <t>No Paid</t>
        </is>
      </c>
      <c r="CK9" t="inlineStr">
        <is>
          <t>Not Eligible</t>
        </is>
      </c>
      <c r="CL9"/>
      <c r="CM9"/>
    </row>
    <row r="10" ht="25.5" customHeight="1">
      <c r="A10" t="inlineStr">
        <is>
          <t>45549</t>
        </is>
      </c>
      <c r="B10" s="2"/>
      <c r="C10"/>
      <c r="D10" s="3">
        <v>46136.46003472222</v>
      </c>
      <c r="E10" t="inlineStr">
        <is>
          <t>Q2-W04</t>
        </is>
      </c>
      <c r="F10" t="inlineStr">
        <is>
          <t>Lucas</t>
        </is>
      </c>
      <c r="G10" t="inlineStr">
        <is>
          <t>Customer</t>
        </is>
      </c>
      <c r="H10" s="2" t="str">
        <f>=HYPERLINK("https://upbox.ajobthing.my/customer/45549", "https://upbox.ajobthing.my/customer/45549")</f>
        <v>https://upbox.ajobthing.my/customer/45549</v>
      </c>
      <c r="I10" t="inlineStr">
        <is>
          <t>Pusat Perkembangan Minda Mentor</t>
        </is>
      </c>
      <c r="J10" t="inlineStr">
        <is>
          <t>Dolphin</t>
        </is>
      </c>
      <c r="K10" t="inlineStr">
        <is>
          <t>Lucas</t>
        </is>
      </c>
      <c r="L10" s="4"/>
      <c r="M10" s="4">
        <v>46136.45752314815</v>
      </c>
      <c r="N10"/>
      <c r="O10">
        <v>3888</v>
      </c>
      <c r="P10" s="4"/>
      <c r="Q10" s="4">
        <v>46141.39894675926</v>
      </c>
      <c r="R10"/>
      <c r="S10">
        <v>3888</v>
      </c>
      <c r="T10" s="4">
        <v>46141.39894675926</v>
      </c>
      <c r="U10" s="4"/>
      <c r="V10"/>
      <c r="W10">
        <v>3888</v>
      </c>
      <c r="X10"/>
      <c r="Y10" t="inlineStr">
        <is>
          <t>Pending Appointment</t>
        </is>
      </c>
      <c r="Z10" t="inlineStr">
        <is>
          <t>Hiring Now</t>
        </is>
      </c>
      <c r="AA10">
        <v>1</v>
      </c>
      <c r="AB10" t="inlineStr">
        <is>
          <t>No Appointment Made</t>
        </is>
      </c>
      <c r="AC10"/>
      <c r="AD10" t="inlineStr">
        <is>
          <t xml:space="preserve">1 day care teacher </t>
        </is>
      </c>
      <c r="AE10"/>
      <c r="AF10">
        <v>0</v>
      </c>
      <c r="AG10" s="4"/>
      <c r="AH10" s="4"/>
      <c r="AI10">
        <v>0</v>
      </c>
      <c r="AJ10">
        <v>0</v>
      </c>
      <c r="AK10" t="inlineStr">
        <is>
          <t>No, I don't need at all</t>
        </is>
      </c>
      <c r="AL10">
        <v>0</v>
      </c>
      <c r="AM10" t="inlineStr">
        <is>
          <t>No, I don't need at all</t>
        </is>
      </c>
      <c r="AN10"/>
      <c r="AO10" t="inlineStr">
        <is>
          <t>No, I don't need at all</t>
        </is>
      </c>
      <c r="AP10" t="inlineStr">
        <is>
          <t>Once a year (25%)</t>
        </is>
      </c>
      <c r="AQ10">
        <v>1</v>
      </c>
      <c r="AR10" t="inlineStr">
        <is>
          <t>Did not use any job portal</t>
        </is>
      </c>
      <c r="AS10" t="inlineStr">
        <is>
          <t>- Headcount: 1
- Hiring Job Details: 1 day care teacher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0">
        <v>105</v>
      </c>
      <c r="AU10" t="inlineStr">
        <is>
          <t>1.05</t>
        </is>
      </c>
      <c r="AV10" t="inlineStr">
        <is>
          <t>15</t>
        </is>
      </c>
      <c r="AW10" t="inlineStr">
        <is>
          <t>0</t>
        </is>
      </c>
      <c r="AX10" t="inlineStr">
        <is>
          <t>Not Qualified</t>
        </is>
      </c>
      <c r="AY10" s="4"/>
      <c r="AZ10"/>
      <c r="BA10"/>
      <c r="BB10"/>
      <c r="BC10" t="inlineStr">
        <is>
          <t>help to post job</t>
        </is>
      </c>
      <c r="BD10" s="4">
        <v>46142.40704861111</v>
      </c>
      <c r="BE10" t="inlineStr">
        <is>
          <t>paid</t>
        </is>
      </c>
      <c r="BF10" t="inlineStr">
        <is>
          <t>Q2-W04</t>
        </is>
      </c>
      <c r="BG10" t="inlineStr">
        <is>
          <t>Reschedule</t>
        </is>
      </c>
      <c r="BH10" t="inlineStr">
        <is>
          <t>Yee Hang</t>
        </is>
      </c>
      <c r="BI10"/>
      <c r="BJ10" s="4">
        <v>46144.7559837963</v>
      </c>
      <c r="BK10" s="4">
        <v>43123.423530092594</v>
      </c>
      <c r="BL10" t="inlineStr">
        <is>
          <t>3888.0</t>
        </is>
      </c>
      <c r="BM10" t="inlineStr">
        <is>
          <t>0.0</t>
        </is>
      </c>
      <c r="BN10" t="inlineStr">
        <is>
          <t>User Visit(Logged In)</t>
        </is>
      </c>
      <c r="BO10" s="4">
        <v>46144.33721064815</v>
      </c>
      <c r="BP10">
        <v>168740</v>
      </c>
      <c r="BQ10">
        <v>95057</v>
      </c>
      <c r="BR10" t="inlineStr">
        <is>
          <t>Online</t>
        </is>
      </c>
      <c r="BS10"/>
      <c r="BT10">
        <v>95057</v>
      </c>
      <c r="BU10"/>
      <c r="BV10">
        <v>2736568</v>
      </c>
      <c r="BW10" t="inlineStr">
        <is>
          <t>Service / Technical : Help To Post Job</t>
        </is>
      </c>
      <c r="BX10">
        <v>6</v>
      </c>
      <c r="BY10">
        <v>5</v>
      </c>
      <c r="BZ10" s="4">
        <v>46142.41465277778</v>
      </c>
      <c r="CA10">
        <v>60</v>
      </c>
      <c r="CB10">
        <v>60</v>
      </c>
      <c r="CC10" s="4"/>
      <c r="CD10" t="inlineStr">
        <is>
          <t>20</t>
        </is>
      </c>
      <c r="CE10" t="inlineStr">
        <is>
          <t>0</t>
        </is>
      </c>
      <c r="CF10" t="inlineStr">
        <is>
          <t>Q2-W04</t>
        </is>
      </c>
      <c r="CG10" t="inlineStr">
        <is>
          <t>Q2-W04</t>
        </is>
      </c>
      <c r="CH10" t="inlineStr">
        <is>
          <t>Q2-W04</t>
        </is>
      </c>
      <c r="CI10"/>
      <c r="CJ10" t="inlineStr">
        <is>
          <t>Paid</t>
        </is>
      </c>
      <c r="CK10" t="inlineStr">
        <is>
          <t>Not Eligible</t>
        </is>
      </c>
      <c r="CL10"/>
      <c r="CM10"/>
    </row>
    <row r="11" ht="25.5" customHeight="1">
      <c r="A11" t="inlineStr">
        <is>
          <t>4315993</t>
        </is>
      </c>
      <c r="B11" s="2"/>
      <c r="C11"/>
      <c r="D11" s="3">
        <v>46136.47387731481</v>
      </c>
      <c r="E11" t="inlineStr">
        <is>
          <t>Q2-W04</t>
        </is>
      </c>
      <c r="F11" t="inlineStr">
        <is>
          <t>Jess</t>
        </is>
      </c>
      <c r="G11" t="inlineStr">
        <is>
          <t>Lead</t>
        </is>
      </c>
      <c r="H11" s="2" t="str">
        <f>=HYPERLINK("https://upbox.ajobthing.my/leads/4315993", "https://upbox.ajobthing.my/leads/4315993")</f>
        <v>https://upbox.ajobthing.my/leads/4315993</v>
      </c>
      <c r="I11" t="inlineStr">
        <is>
          <t>Iswarabena Sdn Bhd</t>
        </is>
      </c>
      <c r="J11" t="inlineStr">
        <is>
          <t>Dolphin</t>
        </is>
      </c>
      <c r="K11" t="inlineStr">
        <is>
          <t>Jess Lim</t>
        </is>
      </c>
      <c r="L11" s="4"/>
      <c r="M11" s="4">
        <v>46136.47513888889</v>
      </c>
      <c r="N11"/>
      <c r="O11">
        <v>6048</v>
      </c>
      <c r="P11" s="4"/>
      <c r="Q11" s="4"/>
      <c r="R11"/>
      <c r="S11"/>
      <c r="T11" s="4"/>
      <c r="U11" s="4"/>
      <c r="V11"/>
      <c r="W11"/>
      <c r="X11"/>
      <c r="Y11" t="inlineStr">
        <is>
          <t>Pending Appointment</t>
        </is>
      </c>
      <c r="Z11" t="inlineStr">
        <is>
          <t>Hiring Now</t>
        </is>
      </c>
      <c r="AA11">
        <v>1</v>
      </c>
      <c r="AB11" t="inlineStr">
        <is>
          <t>No Appointment Made</t>
        </is>
      </c>
      <c r="AC11"/>
      <c r="AD11" t="inlineStr">
        <is>
          <t xml:space="preserve">site supervisor enviorment safety 
1 orang 3-4
future </t>
        </is>
      </c>
      <c r="AE11"/>
      <c r="AF11">
        <v>1200</v>
      </c>
      <c r="AG11" s="4"/>
      <c r="AH11" s="4"/>
      <c r="AI11"/>
      <c r="AJ11">
        <v>1</v>
      </c>
      <c r="AK11" t="inlineStr">
        <is>
          <t>No, I don't need at all</t>
        </is>
      </c>
      <c r="AL11">
        <v>1</v>
      </c>
      <c r="AM11" t="inlineStr">
        <is>
          <t>No, I don't need at all</t>
        </is>
      </c>
      <c r="AN11"/>
      <c r="AO11" t="inlineStr">
        <is>
          <t>No, I don't need at all</t>
        </is>
      </c>
      <c r="AP11" t="inlineStr">
        <is>
          <t>Once a year (25%)</t>
        </is>
      </c>
      <c r="AQ11"/>
      <c r="AR11" t="inlineStr">
        <is>
          <t>Jobstreet</t>
        </is>
      </c>
      <c r="AS11" t="inlineStr">
        <is>
          <t>- Headcount: 1
- Hiring Job Details: site supervisor enviorment safety; 1 orang 3-4; future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11">
        <v>95</v>
      </c>
      <c r="AU11" t="inlineStr">
        <is>
          <t>0.95</t>
        </is>
      </c>
      <c r="AV11" t="inlineStr">
        <is>
          <t>15</t>
        </is>
      </c>
      <c r="AW11" t="inlineStr">
        <is>
          <t>0</t>
        </is>
      </c>
      <c r="AX11" t="inlineStr">
        <is>
          <t>Not Qualified</t>
        </is>
      </c>
      <c r="AY11" s="4"/>
      <c r="AZ11"/>
      <c r="BA11"/>
      <c r="BB11"/>
      <c r="BC11"/>
      <c r="BD11" s="4"/>
      <c r="BE11"/>
      <c r="BF11"/>
      <c r="BG11" t="inlineStr">
        <is>
          <t>Reschedule</t>
        </is>
      </c>
      <c r="BH11" t="inlineStr">
        <is>
          <t>Fauziah Maharan</t>
        </is>
      </c>
      <c r="BI11"/>
      <c r="BJ11" s="4">
        <v>46144.755902777775</v>
      </c>
      <c r="BK11" s="4">
        <v>46135.864340277774</v>
      </c>
      <c r="BL11" t="inlineStr">
        <is>
          <t>0.0</t>
        </is>
      </c>
      <c r="BM11" t="inlineStr">
        <is>
          <t>1200.0</t>
        </is>
      </c>
      <c r="BN11"/>
      <c r="BO11" s="4"/>
      <c r="BP11">
        <v>168754</v>
      </c>
      <c r="BQ11"/>
      <c r="BR11"/>
      <c r="BS11"/>
      <c r="BT11"/>
      <c r="BU11"/>
      <c r="BV11"/>
      <c r="BW11"/>
      <c r="BX11"/>
      <c r="BY11"/>
      <c r="BZ11" s="4"/>
      <c r="CA11"/>
      <c r="CB11"/>
      <c r="CC11" s="4"/>
      <c r="CD11" t="inlineStr">
        <is>
          <t>20</t>
        </is>
      </c>
      <c r="CE11" t="inlineStr">
        <is>
          <t>0</t>
        </is>
      </c>
      <c r="CF11" t="inlineStr">
        <is>
          <t>Q2-W04</t>
        </is>
      </c>
      <c r="CG11"/>
      <c r="CH11"/>
      <c r="CI11"/>
      <c r="CJ11" t="inlineStr">
        <is>
          <t>No Paid</t>
        </is>
      </c>
      <c r="CK11" t="inlineStr">
        <is>
          <t>Not Eligible</t>
        </is>
      </c>
      <c r="CL11"/>
      <c r="CM11"/>
    </row>
    <row r="12" ht="25.5" customHeight="1">
      <c r="A12" t="inlineStr">
        <is>
          <t>180309</t>
        </is>
      </c>
      <c r="B12" s="2"/>
      <c r="C12"/>
      <c r="D12" s="3">
        <v>46136.49047453704</v>
      </c>
      <c r="E12" t="inlineStr">
        <is>
          <t>Q2-W04</t>
        </is>
      </c>
      <c r="F12" t="inlineStr">
        <is>
          <t>Ken Yi</t>
        </is>
      </c>
      <c r="G12" t="inlineStr">
        <is>
          <t>Customer</t>
        </is>
      </c>
      <c r="H12" s="2" t="str">
        <f>=HYPERLINK("https://upbox.ajobthing.my/customer/180309", "https://upbox.ajobthing.my/customer/180309")</f>
        <v>https://upbox.ajobthing.my/customer/180309</v>
      </c>
      <c r="I12" t="inlineStr">
        <is>
          <t>RMA Sdn Bhd</t>
        </is>
      </c>
      <c r="J12" t="inlineStr">
        <is>
          <t>Dolphin</t>
        </is>
      </c>
      <c r="K12" t="inlineStr">
        <is>
          <t>Kenyi</t>
        </is>
      </c>
      <c r="L12" s="4"/>
      <c r="M12" s="4">
        <v>46136.48881944444</v>
      </c>
      <c r="N12"/>
      <c r="O12">
        <v>10800</v>
      </c>
      <c r="P12" s="4"/>
      <c r="Q12" s="4">
        <v>45877.68309027778</v>
      </c>
      <c r="R12"/>
      <c r="S12">
        <v>648</v>
      </c>
      <c r="T12" s="4">
        <v>45877.68309027778</v>
      </c>
      <c r="U12" s="4"/>
      <c r="V12"/>
      <c r="W12">
        <v>648</v>
      </c>
      <c r="X12"/>
      <c r="Y12" t="inlineStr">
        <is>
          <t>Pending Appointment</t>
        </is>
      </c>
      <c r="Z12" t="inlineStr">
        <is>
          <t>Hiring Now</t>
        </is>
      </c>
      <c r="AA12">
        <v>0</v>
      </c>
      <c r="AB12" t="inlineStr">
        <is>
          <t>No Appointment Made</t>
        </is>
      </c>
      <c r="AC12"/>
      <c r="AD12" t="inlineStr">
        <is>
          <t>Renewal plan</t>
        </is>
      </c>
      <c r="AE12"/>
      <c r="AF12">
        <v>0</v>
      </c>
      <c r="AG12" s="4"/>
      <c r="AH12" s="4"/>
      <c r="AI12">
        <v>0</v>
      </c>
      <c r="AJ12">
        <v>1</v>
      </c>
      <c r="AK12" t="inlineStr">
        <is>
          <t>Yes, I have</t>
        </is>
      </c>
      <c r="AL12">
        <v>1</v>
      </c>
      <c r="AM12" t="inlineStr">
        <is>
          <t>No, I don't need at all</t>
        </is>
      </c>
      <c r="AN12"/>
      <c r="AO12" t="inlineStr">
        <is>
          <t>No, I don't need at all</t>
        </is>
      </c>
      <c r="AP12" t="inlineStr">
        <is>
          <t>Every month (100%)</t>
        </is>
      </c>
      <c r="AQ12">
        <v>1</v>
      </c>
      <c r="AR12" t="inlineStr">
        <is>
          <t>Jobstreet</t>
        </is>
      </c>
      <c r="AS12" t="inlineStr">
        <is>
          <t>- Headcount: 0
- Hiring Job Details: Renewal plan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t>
        </is>
      </c>
      <c r="AT12">
        <v>75</v>
      </c>
      <c r="AU12" t="inlineStr">
        <is>
          <t>0.75</t>
        </is>
      </c>
      <c r="AV12" t="inlineStr">
        <is>
          <t>15</t>
        </is>
      </c>
      <c r="AW12" t="inlineStr">
        <is>
          <t>0</t>
        </is>
      </c>
      <c r="AX12" t="inlineStr">
        <is>
          <t>Not Qualified</t>
        </is>
      </c>
      <c r="AY12" s="4"/>
      <c r="AZ12"/>
      <c r="BA12"/>
      <c r="BB12"/>
      <c r="BC12" t="inlineStr">
        <is>
          <t>- Headcount: 0
- Hiring Job Details: Renewal plan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t>
        </is>
      </c>
      <c r="BD12" s="4">
        <v>46136.50003472222</v>
      </c>
      <c r="BE12" t="inlineStr">
        <is>
          <t>paid</t>
        </is>
      </c>
      <c r="BF12"/>
      <c r="BG12" t="inlineStr">
        <is>
          <t>Reschedule</t>
        </is>
      </c>
      <c r="BH12" t="inlineStr">
        <is>
          <t>Fauziah Maharan</t>
        </is>
      </c>
      <c r="BI12" t="inlineStr">
        <is>
          <t>Manufacturing / Production</t>
        </is>
      </c>
      <c r="BJ12" s="4">
        <v>46144.75181712963</v>
      </c>
      <c r="BK12" s="4">
        <v>45482.60010416667</v>
      </c>
      <c r="BL12" t="inlineStr">
        <is>
          <t>648.0</t>
        </is>
      </c>
      <c r="BM12" t="inlineStr">
        <is>
          <t>1200.0</t>
        </is>
      </c>
      <c r="BN12" t="inlineStr">
        <is>
          <t>View Company Page</t>
        </is>
      </c>
      <c r="BO12" s="4">
        <v>45961.43440972222</v>
      </c>
      <c r="BP12">
        <v>168770</v>
      </c>
      <c r="BQ12">
        <v>81404</v>
      </c>
      <c r="BR12" t="inlineStr">
        <is>
          <t>Online</t>
        </is>
      </c>
      <c r="BS12"/>
      <c r="BT12">
        <v>81404</v>
      </c>
      <c r="BU12"/>
      <c r="BV12">
        <v>2726039</v>
      </c>
      <c r="BW12" t="inlineStr">
        <is>
          <t>Customer Inquiry</t>
        </is>
      </c>
      <c r="BX12"/>
      <c r="BY12"/>
      <c r="BZ12" s="4"/>
      <c r="CA12"/>
      <c r="CB12"/>
      <c r="CC12" s="4"/>
      <c r="CD12" t="inlineStr">
        <is>
          <t>20</t>
        </is>
      </c>
      <c r="CE12" t="inlineStr">
        <is>
          <t>0</t>
        </is>
      </c>
      <c r="CF12" t="inlineStr">
        <is>
          <t>Q2-W04</t>
        </is>
      </c>
      <c r="CG12"/>
      <c r="CH12"/>
      <c r="CI12"/>
      <c r="CJ12" t="inlineStr">
        <is>
          <t>Paid</t>
        </is>
      </c>
      <c r="CK12" t="inlineStr">
        <is>
          <t>Not Eligible</t>
        </is>
      </c>
      <c r="CL12"/>
      <c r="CM12"/>
    </row>
    <row r="13" ht="25.5" customHeight="1">
      <c r="A13" t="inlineStr">
        <is>
          <t>203616</t>
        </is>
      </c>
      <c r="B13" s="2"/>
      <c r="C13"/>
      <c r="D13" s="3">
        <v>46136.497719907406</v>
      </c>
      <c r="E13" t="inlineStr">
        <is>
          <t>Q2-W04</t>
        </is>
      </c>
      <c r="F13" t="inlineStr">
        <is>
          <t>Clover</t>
        </is>
      </c>
      <c r="G13" t="inlineStr">
        <is>
          <t>Customer</t>
        </is>
      </c>
      <c r="H13" s="2" t="str">
        <f>=HYPERLINK("https://upbox.ajobthing.my/customer/203616", "https://upbox.ajobthing.my/customer/203616")</f>
        <v>https://upbox.ajobthing.my/customer/203616</v>
      </c>
      <c r="I13" t="inlineStr">
        <is>
          <t>nuaim corporation</t>
        </is>
      </c>
      <c r="J13" t="inlineStr">
        <is>
          <t>Dolphin</t>
        </is>
      </c>
      <c r="K13" t="inlineStr">
        <is>
          <t>Clover</t>
        </is>
      </c>
      <c r="L13" s="4"/>
      <c r="M13" s="4">
        <v>46136.49789351852</v>
      </c>
      <c r="N13"/>
      <c r="O13">
        <v>3888</v>
      </c>
      <c r="P13" s="4"/>
      <c r="Q13" s="4"/>
      <c r="R13"/>
      <c r="S13"/>
      <c r="T13" s="4"/>
      <c r="U13" s="4"/>
      <c r="V13"/>
      <c r="W13"/>
      <c r="X13"/>
      <c r="Y13" t="inlineStr">
        <is>
          <t>Pending Appointment</t>
        </is>
      </c>
      <c r="Z13" t="inlineStr">
        <is>
          <t>Hiring Later</t>
        </is>
      </c>
      <c r="AA13">
        <v>2</v>
      </c>
      <c r="AB13" t="inlineStr">
        <is>
          <t>No Appointment Made</t>
        </is>
      </c>
      <c r="AC13"/>
      <c r="AD13" t="inlineStr">
        <is>
          <t>Survey now, hiring later, accounts clerk x1, lorry driver x1, all races, wastewater management bangi, suggest stand</t>
        </is>
      </c>
      <c r="AE13"/>
      <c r="AF13">
        <v>3000</v>
      </c>
      <c r="AG13" s="4"/>
      <c r="AH13" s="4"/>
      <c r="AI13">
        <v>3000</v>
      </c>
      <c r="AJ13">
        <v>1</v>
      </c>
      <c r="AK13" t="inlineStr">
        <is>
          <t>No, but I want in future</t>
        </is>
      </c>
      <c r="AL13">
        <v>1</v>
      </c>
      <c r="AM13" t="inlineStr">
        <is>
          <t>No, but I want in future</t>
        </is>
      </c>
      <c r="AN13"/>
      <c r="AO13" t="inlineStr">
        <is>
          <t>No, but I want in future</t>
        </is>
      </c>
      <c r="AP13" t="inlineStr">
        <is>
          <t>Twice a year (50%)</t>
        </is>
      </c>
      <c r="AQ13">
        <v>2</v>
      </c>
      <c r="AR13" t="inlineStr">
        <is>
          <t>Free Job Portal</t>
        </is>
      </c>
      <c r="AS13" t="inlineStr">
        <is>
          <t>- Headcount: 2
- Hiring Job Details: Survey now, hiring later, accounts clerk x1, lorry driver x1, all races, wastewater management bangi,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is>
      </c>
      <c r="AT13">
        <v>115</v>
      </c>
      <c r="AU13" t="inlineStr">
        <is>
          <t>1.15</t>
        </is>
      </c>
      <c r="AV13" t="inlineStr">
        <is>
          <t>15</t>
        </is>
      </c>
      <c r="AW13" t="inlineStr">
        <is>
          <t>0</t>
        </is>
      </c>
      <c r="AX13" t="inlineStr">
        <is>
          <t>Not Qualified</t>
        </is>
      </c>
      <c r="AY13" s="4"/>
      <c r="AZ13"/>
      <c r="BA13"/>
      <c r="BB13"/>
      <c r="BC13" t="inlineStr">
        <is>
          <t>- Headcount: 2
- Hiring Job Details: Survey now, hiring later, accounts clerk x1, lorry driver x1, all races, wastewater management bangi,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is>
      </c>
      <c r="BD13" s="4">
        <v>46136.50003472222</v>
      </c>
      <c r="BE13"/>
      <c r="BF13"/>
      <c r="BG13" t="inlineStr">
        <is>
          <t>Reschedule</t>
        </is>
      </c>
      <c r="BH13" t="inlineStr">
        <is>
          <t>Reagen</t>
        </is>
      </c>
      <c r="BI13"/>
      <c r="BJ13" s="4">
        <v>46144.75436342593</v>
      </c>
      <c r="BK13" s="4">
        <v>46136.49385416666</v>
      </c>
      <c r="BL13" t="inlineStr">
        <is>
          <t>0.0</t>
        </is>
      </c>
      <c r="BM13" t="inlineStr">
        <is>
          <t>0.0</t>
        </is>
      </c>
      <c r="BN13"/>
      <c r="BO13" s="4"/>
      <c r="BP13">
        <v>168778</v>
      </c>
      <c r="BQ13"/>
      <c r="BR13"/>
      <c r="BS13"/>
      <c r="BT13"/>
      <c r="BU13"/>
      <c r="BV13">
        <v>2726041</v>
      </c>
      <c r="BW13" t="inlineStr">
        <is>
          <t>Customer Inquiry</t>
        </is>
      </c>
      <c r="BX13"/>
      <c r="BY13"/>
      <c r="BZ13" s="4"/>
      <c r="CA13"/>
      <c r="CB13"/>
      <c r="CC13" s="4"/>
      <c r="CD13" t="inlineStr">
        <is>
          <t>20</t>
        </is>
      </c>
      <c r="CE13" t="inlineStr">
        <is>
          <t>0</t>
        </is>
      </c>
      <c r="CF13" t="inlineStr">
        <is>
          <t>Q2-W04</t>
        </is>
      </c>
      <c r="CG13"/>
      <c r="CH13"/>
      <c r="CI13"/>
      <c r="CJ13" t="inlineStr">
        <is>
          <t>No Paid</t>
        </is>
      </c>
      <c r="CK13" t="inlineStr">
        <is>
          <t>Not Eligible</t>
        </is>
      </c>
      <c r="CL13"/>
      <c r="CM13"/>
    </row>
    <row r="14" ht="25.5" customHeight="1">
      <c r="A14" t="inlineStr">
        <is>
          <t>191430</t>
        </is>
      </c>
      <c r="B14" s="2"/>
      <c r="C14"/>
      <c r="D14" s="3">
        <v>46136.49940972222</v>
      </c>
      <c r="E14" t="inlineStr">
        <is>
          <t>Q2-W04</t>
        </is>
      </c>
      <c r="F14" t="inlineStr">
        <is>
          <t>Lucas</t>
        </is>
      </c>
      <c r="G14" t="inlineStr">
        <is>
          <t>Customer</t>
        </is>
      </c>
      <c r="H14" s="2" t="str">
        <f>=HYPERLINK("https://upbox.ajobthing.my/customer/191430", "https://upbox.ajobthing.my/customer/191430")</f>
        <v>https://upbox.ajobthing.my/customer/191430</v>
      </c>
      <c r="I14" t="inlineStr">
        <is>
          <t>Berkat Maju Kanopi &amp; Enterprise</t>
        </is>
      </c>
      <c r="J14" t="inlineStr">
        <is>
          <t>Dolphin</t>
        </is>
      </c>
      <c r="K14" t="inlineStr">
        <is>
          <t>Lucas</t>
        </is>
      </c>
      <c r="L14" s="4"/>
      <c r="M14" s="4">
        <v>46136.49797453704</v>
      </c>
      <c r="N14"/>
      <c r="O14">
        <v>3672</v>
      </c>
      <c r="P14" s="4"/>
      <c r="Q14" s="4">
        <v>45821.42105324074</v>
      </c>
      <c r="R14"/>
      <c r="S14">
        <v>2916</v>
      </c>
      <c r="T14" s="4">
        <v>45821.42105324074</v>
      </c>
      <c r="U14" s="4"/>
      <c r="V14"/>
      <c r="W14">
        <v>2916</v>
      </c>
      <c r="X14"/>
      <c r="Y14" t="inlineStr">
        <is>
          <t>Pending Appointment</t>
        </is>
      </c>
      <c r="Z14" t="inlineStr">
        <is>
          <t>Hiring Now</t>
        </is>
      </c>
      <c r="AA14">
        <v>1</v>
      </c>
      <c r="AB14" t="inlineStr">
        <is>
          <t>No Appointment Made</t>
        </is>
      </c>
      <c r="AC14"/>
      <c r="AD14" t="inlineStr">
        <is>
          <t xml:space="preserve">1 content creator </t>
        </is>
      </c>
      <c r="AE14"/>
      <c r="AF14">
        <v>0</v>
      </c>
      <c r="AG14" s="4"/>
      <c r="AH14" s="4"/>
      <c r="AI14">
        <v>0</v>
      </c>
      <c r="AJ14">
        <v>0</v>
      </c>
      <c r="AK14" t="inlineStr">
        <is>
          <t>No, I don't need at all</t>
        </is>
      </c>
      <c r="AL14">
        <v>0</v>
      </c>
      <c r="AM14" t="inlineStr">
        <is>
          <t>No, I don't need at all</t>
        </is>
      </c>
      <c r="AN14"/>
      <c r="AO14" t="inlineStr">
        <is>
          <t>No, I don't need at all</t>
        </is>
      </c>
      <c r="AP14" t="inlineStr">
        <is>
          <t>Once a year (25%)</t>
        </is>
      </c>
      <c r="AQ14">
        <v>1</v>
      </c>
      <c r="AR14" t="inlineStr">
        <is>
          <t>Did not use any job portal</t>
        </is>
      </c>
      <c r="AS14" t="inlineStr">
        <is>
          <t>- Headcount: 1
- Hiring Job Details: 1 content creator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4">
        <v>115</v>
      </c>
      <c r="AU14" t="inlineStr">
        <is>
          <t>1.15</t>
        </is>
      </c>
      <c r="AV14" t="inlineStr">
        <is>
          <t>15</t>
        </is>
      </c>
      <c r="AW14" t="inlineStr">
        <is>
          <t>0</t>
        </is>
      </c>
      <c r="AX14" t="inlineStr">
        <is>
          <t>Not Qualified</t>
        </is>
      </c>
      <c r="AY14" s="4"/>
      <c r="AZ14"/>
      <c r="BA14"/>
      <c r="BB14"/>
      <c r="BC14" t="inlineStr">
        <is>
          <t>pending</t>
        </is>
      </c>
      <c r="BD14" s="4">
        <v>46141.48548611111</v>
      </c>
      <c r="BE14" t="inlineStr">
        <is>
          <t>paid</t>
        </is>
      </c>
      <c r="BF14"/>
      <c r="BG14" t="inlineStr">
        <is>
          <t>Reschedule</t>
        </is>
      </c>
      <c r="BH14" t="inlineStr">
        <is>
          <t>Yee Hang</t>
        </is>
      </c>
      <c r="BI14" t="inlineStr">
        <is>
          <t>Exhibitions / Event Mgmt</t>
        </is>
      </c>
      <c r="BJ14" s="4">
        <v>46144.752430555556</v>
      </c>
      <c r="BK14" s="4">
        <v>45796.46090277778</v>
      </c>
      <c r="BL14" t="inlineStr">
        <is>
          <t>2916.0</t>
        </is>
      </c>
      <c r="BM14" t="inlineStr">
        <is>
          <t>0.0</t>
        </is>
      </c>
      <c r="BN14" t="inlineStr">
        <is>
          <t>View Candidate Search Page</t>
        </is>
      </c>
      <c r="BO14" s="4">
        <v>46136.71287037037</v>
      </c>
      <c r="BP14">
        <v>168779</v>
      </c>
      <c r="BQ14">
        <v>80058</v>
      </c>
      <c r="BR14" t="inlineStr">
        <is>
          <t>Online</t>
        </is>
      </c>
      <c r="BS14"/>
      <c r="BT14">
        <v>80058</v>
      </c>
      <c r="BU14"/>
      <c r="BV14">
        <v>2734768</v>
      </c>
      <c r="BW14" t="inlineStr">
        <is>
          <t>Follow Up : Decision Pending</t>
        </is>
      </c>
      <c r="BX14">
        <v>6</v>
      </c>
      <c r="BY14">
        <v>0</v>
      </c>
      <c r="BZ14" s="4">
        <v>46133.96561342593</v>
      </c>
      <c r="CA14">
        <v>120</v>
      </c>
      <c r="CB14">
        <v>46</v>
      </c>
      <c r="CC14" s="4">
        <v>46020.682662037034</v>
      </c>
      <c r="CD14" t="inlineStr">
        <is>
          <t>20</t>
        </is>
      </c>
      <c r="CE14" t="inlineStr">
        <is>
          <t>0</t>
        </is>
      </c>
      <c r="CF14" t="inlineStr">
        <is>
          <t>Q2-W04</t>
        </is>
      </c>
      <c r="CG14"/>
      <c r="CH14"/>
      <c r="CI14"/>
      <c r="CJ14" t="inlineStr">
        <is>
          <t>Paid</t>
        </is>
      </c>
      <c r="CK14" t="inlineStr">
        <is>
          <t>Not Eligible</t>
        </is>
      </c>
      <c r="CL14"/>
      <c r="CM14"/>
    </row>
    <row r="15" ht="25.5" customHeight="1">
      <c r="A15" t="inlineStr">
        <is>
          <t>4154970</t>
        </is>
      </c>
      <c r="B15" s="2"/>
      <c r="C15"/>
      <c r="D15" s="3">
        <v>46136.50111111111</v>
      </c>
      <c r="E15" t="inlineStr">
        <is>
          <t>Q2-W04</t>
        </is>
      </c>
      <c r="F15" t="inlineStr">
        <is>
          <t>Derek Lim</t>
        </is>
      </c>
      <c r="G15" t="inlineStr">
        <is>
          <t>Lead</t>
        </is>
      </c>
      <c r="H15" s="2" t="str">
        <f>=HYPERLINK("https://upbox.ajobthing.my/leads/4154970", "https://upbox.ajobthing.my/leads/4154970")</f>
        <v>https://upbox.ajobthing.my/leads/4154970</v>
      </c>
      <c r="I15" t="inlineStr">
        <is>
          <t>Join Kids Sdn Bhd</t>
        </is>
      </c>
      <c r="J15" t="inlineStr">
        <is>
          <t>Dolphin</t>
        </is>
      </c>
      <c r="K15" t="inlineStr">
        <is>
          <t>Derek Lim</t>
        </is>
      </c>
      <c r="L15" s="4"/>
      <c r="M15" s="4">
        <v>46136.50141203704</v>
      </c>
      <c r="N15"/>
      <c r="O15">
        <v>6048</v>
      </c>
      <c r="P15" s="4"/>
      <c r="Q15" s="4"/>
      <c r="R15"/>
      <c r="S15"/>
      <c r="T15" s="4"/>
      <c r="U15" s="4"/>
      <c r="V15"/>
      <c r="W15"/>
      <c r="X15"/>
      <c r="Y15" t="inlineStr">
        <is>
          <t>Pending Appointment</t>
        </is>
      </c>
      <c r="Z15" t="inlineStr">
        <is>
          <t>Hiring Now</t>
        </is>
      </c>
      <c r="AA15">
        <v>2</v>
      </c>
      <c r="AB15" t="inlineStr">
        <is>
          <t>No Appointment Made</t>
        </is>
      </c>
      <c r="AC15"/>
      <c r="AD15" t="inlineStr">
        <is>
          <t>teacher - 2, old klang road</t>
        </is>
      </c>
      <c r="AE15"/>
      <c r="AF15">
        <v>0</v>
      </c>
      <c r="AG15" s="4"/>
      <c r="AH15" s="4"/>
      <c r="AI15">
        <v>0</v>
      </c>
      <c r="AJ15">
        <v>2</v>
      </c>
      <c r="AK15" t="inlineStr">
        <is>
          <t>No, I don't need at all</t>
        </is>
      </c>
      <c r="AL15">
        <v>0</v>
      </c>
      <c r="AM15" t="inlineStr">
        <is>
          <t>No, I don't need at all</t>
        </is>
      </c>
      <c r="AN15"/>
      <c r="AO15" t="inlineStr">
        <is>
          <t>No, I don't need at all</t>
        </is>
      </c>
      <c r="AP15" t="inlineStr">
        <is>
          <t>Once a year (25%)</t>
        </is>
      </c>
      <c r="AQ15">
        <v>3</v>
      </c>
      <c r="AR15" t="inlineStr">
        <is>
          <t>Free Job Portal</t>
        </is>
      </c>
      <c r="AS15" t="inlineStr">
        <is>
          <t>- Headcount: 2
- Hiring Job Details: teacher - 2, old klang road
- Hiring Urgency: Hiring Now
- Number of outlets: 2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is>
      </c>
      <c r="AT15">
        <v>105</v>
      </c>
      <c r="AU15" t="inlineStr">
        <is>
          <t>1.05</t>
        </is>
      </c>
      <c r="AV15" t="inlineStr">
        <is>
          <t>15</t>
        </is>
      </c>
      <c r="AW15" t="inlineStr">
        <is>
          <t>0</t>
        </is>
      </c>
      <c r="AX15" t="inlineStr">
        <is>
          <t>Not Qualified</t>
        </is>
      </c>
      <c r="AY15" s="4"/>
      <c r="AZ15"/>
      <c r="BA15"/>
      <c r="BB15"/>
      <c r="BC15"/>
      <c r="BD15" s="4"/>
      <c r="BE15"/>
      <c r="BF15"/>
      <c r="BG15" t="inlineStr">
        <is>
          <t>Reschedule</t>
        </is>
      </c>
      <c r="BH15" t="inlineStr">
        <is>
          <t>Edward Hoo</t>
        </is>
      </c>
      <c r="BI15"/>
      <c r="BJ15" s="4">
        <v>46144.75554398148</v>
      </c>
      <c r="BK15" s="4">
        <v>46093.92482638889</v>
      </c>
      <c r="BL15" t="inlineStr">
        <is>
          <t>0.0</t>
        </is>
      </c>
      <c r="BM15" t="inlineStr">
        <is>
          <t>0.0</t>
        </is>
      </c>
      <c r="BN15"/>
      <c r="BO15" s="4"/>
      <c r="BP15">
        <v>168780</v>
      </c>
      <c r="BQ15"/>
      <c r="BR15"/>
      <c r="BS15"/>
      <c r="BT15"/>
      <c r="BU15"/>
      <c r="BV15"/>
      <c r="BW15"/>
      <c r="BX15"/>
      <c r="BY15"/>
      <c r="BZ15" s="4"/>
      <c r="CA15"/>
      <c r="CB15"/>
      <c r="CC15" s="4"/>
      <c r="CD15" t="inlineStr">
        <is>
          <t>20</t>
        </is>
      </c>
      <c r="CE15" t="inlineStr">
        <is>
          <t>0</t>
        </is>
      </c>
      <c r="CF15" t="inlineStr">
        <is>
          <t>Q2-W04</t>
        </is>
      </c>
      <c r="CG15"/>
      <c r="CH15"/>
      <c r="CI15"/>
      <c r="CJ15" t="inlineStr">
        <is>
          <t>No Paid</t>
        </is>
      </c>
      <c r="CK15" t="inlineStr">
        <is>
          <t>Not Eligible</t>
        </is>
      </c>
      <c r="CL15"/>
      <c r="CM15"/>
    </row>
    <row r="16" ht="25.5" customHeight="1">
      <c r="A16" t="inlineStr">
        <is>
          <t>133833</t>
        </is>
      </c>
      <c r="B16" s="2"/>
      <c r="C16"/>
      <c r="D16" s="3">
        <v>46136.50194444445</v>
      </c>
      <c r="E16" t="inlineStr">
        <is>
          <t>Q2-W04</t>
        </is>
      </c>
      <c r="F16" t="inlineStr">
        <is>
          <t>Fariz</t>
        </is>
      </c>
      <c r="G16" t="inlineStr">
        <is>
          <t>Customer</t>
        </is>
      </c>
      <c r="H16" s="2" t="str">
        <f>=HYPERLINK("https://upbox.ajobthing.my/customer/133833", "https://upbox.ajobthing.my/customer/133833")</f>
        <v>https://upbox.ajobthing.my/customer/133833</v>
      </c>
      <c r="I16" t="inlineStr">
        <is>
          <t>Ddell Travel &amp; Services Sdn. Bhd.</t>
        </is>
      </c>
      <c r="J16" t="inlineStr">
        <is>
          <t>Dolphin</t>
        </is>
      </c>
      <c r="K16" t="inlineStr">
        <is>
          <t>Fariz</t>
        </is>
      </c>
      <c r="L16" s="4"/>
      <c r="M16" s="4">
        <v>46136.50210648148</v>
      </c>
      <c r="N16"/>
      <c r="O16">
        <v>3888</v>
      </c>
      <c r="P16" s="4"/>
      <c r="Q16" s="4"/>
      <c r="R16"/>
      <c r="S16"/>
      <c r="T16" s="4"/>
      <c r="U16" s="4"/>
      <c r="V16"/>
      <c r="W16"/>
      <c r="X16"/>
      <c r="Y16" t="inlineStr">
        <is>
          <t>Pending Appointment</t>
        </is>
      </c>
      <c r="Z16" t="inlineStr">
        <is>
          <t>Hiring Later</t>
        </is>
      </c>
      <c r="AA16">
        <v>3</v>
      </c>
      <c r="AB16" t="inlineStr">
        <is>
          <t>No Appointment Made</t>
        </is>
      </c>
      <c r="AC16"/>
      <c r="AD16" t="inlineStr">
        <is>
          <t>3 driver</t>
        </is>
      </c>
      <c r="AE16"/>
      <c r="AF16">
        <v>3600</v>
      </c>
      <c r="AG16" s="4"/>
      <c r="AH16" s="4"/>
      <c r="AI16">
        <v>3600</v>
      </c>
      <c r="AJ16"/>
      <c r="AK16" t="inlineStr">
        <is>
          <t>No, but I want in future</t>
        </is>
      </c>
      <c r="AL16">
        <v>1</v>
      </c>
      <c r="AM16" t="inlineStr">
        <is>
          <t>No, but I want in future</t>
        </is>
      </c>
      <c r="AN16"/>
      <c r="AO16" t="inlineStr">
        <is>
          <t>No, but I want in future</t>
        </is>
      </c>
      <c r="AP16" t="inlineStr">
        <is>
          <t>Twice a year (50%)</t>
        </is>
      </c>
      <c r="AQ16">
        <v>10</v>
      </c>
      <c r="AR16" t="inlineStr">
        <is>
          <t>Free Job Portal</t>
        </is>
      </c>
      <c r="AS16" t="inlineStr">
        <is>
          <t>- Headcount: 3
- Hiring Job Details: 3 driver
- Hiring Urgency: Hiring Later
- Number of outlets: 
- Have recruiter team: No, but want in future
- Number of recruiter in company: 1
- Have ATS system: No, but want in future
- Have career website: No, but want in future
- Current hiring budget: RM3,600
- Whole year budget: RM3,600.00
- Whole year number of vacancies: 10
- Hiring frequency: Twice a year (50%)
- External job portal: Free Job Portal</t>
        </is>
      </c>
      <c r="AT16">
        <v>95</v>
      </c>
      <c r="AU16" t="inlineStr">
        <is>
          <t>0.95</t>
        </is>
      </c>
      <c r="AV16" t="inlineStr">
        <is>
          <t>15</t>
        </is>
      </c>
      <c r="AW16" t="inlineStr">
        <is>
          <t>0</t>
        </is>
      </c>
      <c r="AX16" t="inlineStr">
        <is>
          <t>Not Qualified</t>
        </is>
      </c>
      <c r="AY16" s="4"/>
      <c r="AZ16"/>
      <c r="BA16"/>
      <c r="BB16"/>
      <c r="BC16" t="inlineStr">
        <is>
          <t>- Headcount: 3
- Hiring Job Details: 3 driver
- Hiring Urgency: Hiring Later
- Number of outlets: 
- Have recruiter team: No, but want in future
- Number of recruiter in company: 1
- Have ATS system: No, but want in future
- Have career website: No, but want in future
- Current hiring budget: RM3,600
- Whole year budget: RM3,600.00
- Whole year number of vacancies: 10
- Hiring frequency: Twice a year (50%)
- External job portal: Free Job Portal</t>
        </is>
      </c>
      <c r="BD16" s="4">
        <v>46136.54168981482</v>
      </c>
      <c r="BE16"/>
      <c r="BF16"/>
      <c r="BG16" t="inlineStr">
        <is>
          <t>Reschedule</t>
        </is>
      </c>
      <c r="BH16" t="inlineStr">
        <is>
          <t>Edward Hoo</t>
        </is>
      </c>
      <c r="BI16" t="inlineStr">
        <is>
          <t>Transportation / Logistics</t>
        </is>
      </c>
      <c r="BJ16" s="4">
        <v>46144.75050925926</v>
      </c>
      <c r="BK16" s="4">
        <v>44224.657430555555</v>
      </c>
      <c r="BL16" t="inlineStr">
        <is>
          <t>0.0</t>
        </is>
      </c>
      <c r="BM16" t="inlineStr">
        <is>
          <t>600.0</t>
        </is>
      </c>
      <c r="BN16" t="inlineStr">
        <is>
          <t>View Company Page</t>
        </is>
      </c>
      <c r="BO16" s="4">
        <v>45762.43791666667</v>
      </c>
      <c r="BP16">
        <v>168781</v>
      </c>
      <c r="BQ16"/>
      <c r="BR16"/>
      <c r="BS16"/>
      <c r="BT16"/>
      <c r="BU16"/>
      <c r="BV16">
        <v>2726226</v>
      </c>
      <c r="BW16" t="inlineStr">
        <is>
          <t>Customer Inquiry</t>
        </is>
      </c>
      <c r="BX16"/>
      <c r="BY16"/>
      <c r="BZ16" s="4"/>
      <c r="CA16"/>
      <c r="CB16"/>
      <c r="CC16" s="4"/>
      <c r="CD16" t="inlineStr">
        <is>
          <t>20</t>
        </is>
      </c>
      <c r="CE16" t="inlineStr">
        <is>
          <t>0</t>
        </is>
      </c>
      <c r="CF16" t="inlineStr">
        <is>
          <t>Q2-W04</t>
        </is>
      </c>
      <c r="CG16"/>
      <c r="CH16"/>
      <c r="CI16"/>
      <c r="CJ16" t="inlineStr">
        <is>
          <t>No Paid</t>
        </is>
      </c>
      <c r="CK16" t="inlineStr">
        <is>
          <t>Not Eligible</t>
        </is>
      </c>
      <c r="CL16"/>
      <c r="CM16"/>
    </row>
    <row r="17" ht="25.5" customHeight="1">
      <c r="A17" t="inlineStr">
        <is>
          <t>121389</t>
        </is>
      </c>
      <c r="B17" s="2"/>
      <c r="C17"/>
      <c r="D17" s="3">
        <v>46136.58525462963</v>
      </c>
      <c r="E17" t="inlineStr">
        <is>
          <t>Q2-W04</t>
        </is>
      </c>
      <c r="F17" t="inlineStr">
        <is>
          <t>Keegan</t>
        </is>
      </c>
      <c r="G17" t="inlineStr">
        <is>
          <t>Customer</t>
        </is>
      </c>
      <c r="H17" s="2" t="str">
        <f>=HYPERLINK("https://upbox.ajobthing.my/customer/121389", "https://upbox.ajobthing.my/customer/121389")</f>
        <v>https://upbox.ajobthing.my/customer/121389</v>
      </c>
      <c r="I17" t="inlineStr">
        <is>
          <t xml:space="preserve">Pusat Perkembangan Minda Eco Lodge </t>
        </is>
      </c>
      <c r="J17" t="inlineStr">
        <is>
          <t>Dolphin</t>
        </is>
      </c>
      <c r="K17" t="inlineStr">
        <is>
          <t>Keegan</t>
        </is>
      </c>
      <c r="L17" s="4"/>
      <c r="M17" s="4">
        <v>46136.58534722222</v>
      </c>
      <c r="N17"/>
      <c r="O17">
        <v>6048</v>
      </c>
      <c r="P17" s="4"/>
      <c r="Q17" s="4">
        <v>43720.72280092593</v>
      </c>
      <c r="R17"/>
      <c r="S17">
        <v>1351.5</v>
      </c>
      <c r="T17" s="4">
        <v>43720.72280092593</v>
      </c>
      <c r="U17" s="4"/>
      <c r="V17"/>
      <c r="W17">
        <v>1351.5</v>
      </c>
      <c r="X17"/>
      <c r="Y17" t="inlineStr">
        <is>
          <t>Pending Appointment</t>
        </is>
      </c>
      <c r="Z17" t="inlineStr">
        <is>
          <t>Hiring Now</t>
        </is>
      </c>
      <c r="AA17">
        <v>3</v>
      </c>
      <c r="AB17" t="inlineStr">
        <is>
          <t>No Appointment Made</t>
        </is>
      </c>
      <c r="AC17"/>
      <c r="AD17" t="inlineStr">
        <is>
          <t xml:space="preserve">1. Teacher 
2. Assistant 
3. Cleaner </t>
        </is>
      </c>
      <c r="AE17"/>
      <c r="AF17"/>
      <c r="AG17" s="4"/>
      <c r="AH17" s="4"/>
      <c r="AI17"/>
      <c r="AJ17">
        <v>1</v>
      </c>
      <c r="AK17" t="inlineStr">
        <is>
          <t>No, I don't need at all</t>
        </is>
      </c>
      <c r="AL17">
        <v>0</v>
      </c>
      <c r="AM17" t="inlineStr">
        <is>
          <t>No, I don't need at all</t>
        </is>
      </c>
      <c r="AN17"/>
      <c r="AO17" t="inlineStr">
        <is>
          <t>No, I don't need at all</t>
        </is>
      </c>
      <c r="AP17" t="inlineStr">
        <is>
          <t>Once per quarter (75%)</t>
        </is>
      </c>
      <c r="AQ17"/>
      <c r="AR17" t="inlineStr">
        <is>
          <t>Did not use any job portal</t>
        </is>
      </c>
      <c r="AS17" t="inlineStr">
        <is>
          <t>- Headcount: 3
- Hiring Job Details: 1. Teacher, 2. Assistant, 3. Cleaner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7">
        <v>95</v>
      </c>
      <c r="AU17" t="inlineStr">
        <is>
          <t>0.95</t>
        </is>
      </c>
      <c r="AV17" t="inlineStr">
        <is>
          <t>5</t>
        </is>
      </c>
      <c r="AW17" t="inlineStr">
        <is>
          <t>0</t>
        </is>
      </c>
      <c r="AX17" t="inlineStr">
        <is>
          <t>Not Qualified</t>
        </is>
      </c>
      <c r="AY17" s="4"/>
      <c r="AZ17"/>
      <c r="BA17"/>
      <c r="BB17"/>
      <c r="BC17" t="inlineStr">
        <is>
          <t>Pending decision</t>
        </is>
      </c>
      <c r="BD17" s="4">
        <v>46141.62415509259</v>
      </c>
      <c r="BE17" t="inlineStr">
        <is>
          <t>paid</t>
        </is>
      </c>
      <c r="BF17"/>
      <c r="BG17" t="inlineStr">
        <is>
          <t>Reschedule</t>
        </is>
      </c>
      <c r="BH17" t="inlineStr">
        <is>
          <t>Edward Hoo</t>
        </is>
      </c>
      <c r="BI17"/>
      <c r="BJ17" s="4">
        <v>46144.75025462963</v>
      </c>
      <c r="BK17" s="4">
        <v>43711.650092592594</v>
      </c>
      <c r="BL17" t="inlineStr">
        <is>
          <t>0.0</t>
        </is>
      </c>
      <c r="BM17" t="inlineStr">
        <is>
          <t>0.0</t>
        </is>
      </c>
      <c r="BN17" t="inlineStr">
        <is>
          <t>View Jobmanager Page</t>
        </is>
      </c>
      <c r="BO17" s="4">
        <v>43821.75633101852</v>
      </c>
      <c r="BP17">
        <v>168789</v>
      </c>
      <c r="BQ17">
        <v>19749</v>
      </c>
      <c r="BR17" t="inlineStr">
        <is>
          <t>Online</t>
        </is>
      </c>
      <c r="BS17"/>
      <c r="BT17">
        <v>19749</v>
      </c>
      <c r="BU17"/>
      <c r="BV17">
        <v>2735464</v>
      </c>
      <c r="BW17" t="inlineStr">
        <is>
          <t>Follow Up : Decision Pending</t>
        </is>
      </c>
      <c r="BX17"/>
      <c r="BY17"/>
      <c r="BZ17" s="4"/>
      <c r="CA17"/>
      <c r="CB17"/>
      <c r="CC17" s="4"/>
      <c r="CD17" t="inlineStr">
        <is>
          <t>5</t>
        </is>
      </c>
      <c r="CE17" t="inlineStr">
        <is>
          <t>0</t>
        </is>
      </c>
      <c r="CF17" t="inlineStr">
        <is>
          <t>Q2-W04</t>
        </is>
      </c>
      <c r="CG17"/>
      <c r="CH17"/>
      <c r="CI17"/>
      <c r="CJ17" t="inlineStr">
        <is>
          <t>Paid</t>
        </is>
      </c>
      <c r="CK17" t="inlineStr">
        <is>
          <t>Not Eligible</t>
        </is>
      </c>
      <c r="CL17"/>
      <c r="CM17"/>
    </row>
    <row r="18" ht="25.5" customHeight="1">
      <c r="A18" t="inlineStr">
        <is>
          <t>172053</t>
        </is>
      </c>
      <c r="B18" s="2"/>
      <c r="C18"/>
      <c r="D18" s="3">
        <v>46136.58913194444</v>
      </c>
      <c r="E18" t="inlineStr">
        <is>
          <t>Q2-W04</t>
        </is>
      </c>
      <c r="F18" t="inlineStr">
        <is>
          <t>Evan</t>
        </is>
      </c>
      <c r="G18" t="inlineStr">
        <is>
          <t>Customer</t>
        </is>
      </c>
      <c r="H18" s="2" t="str">
        <f>=HYPERLINK("https://upbox.ajobthing.my/customer/172053", "https://upbox.ajobthing.my/customer/172053")</f>
        <v>https://upbox.ajobthing.my/customer/172053</v>
      </c>
      <c r="I18" t="inlineStr">
        <is>
          <t>Pajak Gadai AIENB (Klang) Sdn. Bhd.</t>
        </is>
      </c>
      <c r="J18" t="inlineStr">
        <is>
          <t>Dolphin</t>
        </is>
      </c>
      <c r="K18" t="inlineStr">
        <is>
          <t>Evan</t>
        </is>
      </c>
      <c r="L18" s="4"/>
      <c r="M18" s="4">
        <v>46136.58692129629</v>
      </c>
      <c r="N18"/>
      <c r="O18">
        <v>864</v>
      </c>
      <c r="P18" s="4"/>
      <c r="Q18" s="4">
        <v>46139.435208333336</v>
      </c>
      <c r="R18"/>
      <c r="S18">
        <v>864</v>
      </c>
      <c r="T18" s="4">
        <v>46139.435208333336</v>
      </c>
      <c r="U18" s="4"/>
      <c r="V18"/>
      <c r="W18">
        <v>864</v>
      </c>
      <c r="X18"/>
      <c r="Y18" t="inlineStr">
        <is>
          <t>Pending Appointment</t>
        </is>
      </c>
      <c r="Z18" t="inlineStr">
        <is>
          <t>Hiring Now</t>
        </is>
      </c>
      <c r="AA18">
        <v>1</v>
      </c>
      <c r="AB18" t="inlineStr">
        <is>
          <t>No Appointment Made</t>
        </is>
      </c>
      <c r="AC18"/>
      <c r="AD18" t="inlineStr">
        <is>
          <t>1 PA, all base in KL</t>
        </is>
      </c>
      <c r="AE18"/>
      <c r="AF18">
        <v>1</v>
      </c>
      <c r="AG18" s="4"/>
      <c r="AH18" s="4"/>
      <c r="AI18">
        <v>1</v>
      </c>
      <c r="AJ18">
        <v>1</v>
      </c>
      <c r="AK18" t="inlineStr">
        <is>
          <t>No, I don't need at all</t>
        </is>
      </c>
      <c r="AL18">
        <v>1</v>
      </c>
      <c r="AM18" t="inlineStr">
        <is>
          <t>No, I don't need at all</t>
        </is>
      </c>
      <c r="AN18"/>
      <c r="AO18" t="inlineStr">
        <is>
          <t>No, I don't need at all</t>
        </is>
      </c>
      <c r="AP18" t="inlineStr">
        <is>
          <t>Once a year (25%)</t>
        </is>
      </c>
      <c r="AQ18">
        <v>1</v>
      </c>
      <c r="AR18" t="inlineStr">
        <is>
          <t>Did not use any job portal</t>
        </is>
      </c>
      <c r="AS18" t="inlineStr">
        <is>
          <t>- Headcount: 1
- Hiring Job Details: 1 PA,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AT18">
        <v>110</v>
      </c>
      <c r="AU18" t="inlineStr">
        <is>
          <t>1.10</t>
        </is>
      </c>
      <c r="AV18" t="inlineStr">
        <is>
          <t>15</t>
        </is>
      </c>
      <c r="AW18" t="inlineStr">
        <is>
          <t>0</t>
        </is>
      </c>
      <c r="AX18" t="inlineStr">
        <is>
          <t>Not Qualified</t>
        </is>
      </c>
      <c r="AY18" s="4"/>
      <c r="AZ18"/>
      <c r="BA18"/>
      <c r="BB18"/>
      <c r="BC18" t="inlineStr">
        <is>
          <t>posted paid</t>
        </is>
      </c>
      <c r="BD18" s="4">
        <v>46139.443344907406</v>
      </c>
      <c r="BE18" t="inlineStr">
        <is>
          <t>paid</t>
        </is>
      </c>
      <c r="BF18" t="inlineStr">
        <is>
          <t>Q2-W04</t>
        </is>
      </c>
      <c r="BG18" t="inlineStr">
        <is>
          <t>Reschedule</t>
        </is>
      </c>
      <c r="BH18" t="inlineStr">
        <is>
          <t>Edward Hoo</t>
        </is>
      </c>
      <c r="BI18" t="inlineStr">
        <is>
          <t>Banking / Finance</t>
        </is>
      </c>
      <c r="BJ18" s="4">
        <v>46144.75144675926</v>
      </c>
      <c r="BK18" s="4">
        <v>45216.594976851855</v>
      </c>
      <c r="BL18" t="inlineStr">
        <is>
          <t>2592.0</t>
        </is>
      </c>
      <c r="BM18" t="inlineStr">
        <is>
          <t>0.0</t>
        </is>
      </c>
      <c r="BN18" t="inlineStr">
        <is>
          <t>User Visit(Logged In)</t>
        </is>
      </c>
      <c r="BO18" s="4">
        <v>46139.662523148145</v>
      </c>
      <c r="BP18">
        <v>168790</v>
      </c>
      <c r="BQ18">
        <v>94781</v>
      </c>
      <c r="BR18" t="inlineStr">
        <is>
          <t>Online</t>
        </is>
      </c>
      <c r="BS18"/>
      <c r="BT18">
        <v>94781</v>
      </c>
      <c r="BU18"/>
      <c r="BV18">
        <v>2728417</v>
      </c>
      <c r="BW18" t="inlineStr">
        <is>
          <t>Follow Up : Win - Customer Paid</t>
        </is>
      </c>
      <c r="BX18">
        <v>1</v>
      </c>
      <c r="BY18">
        <v>0</v>
      </c>
      <c r="BZ18" s="4">
        <v>46139.44168981481</v>
      </c>
      <c r="CA18">
        <v>10</v>
      </c>
      <c r="CB18">
        <v>10</v>
      </c>
      <c r="CC18" s="4"/>
      <c r="CD18" t="inlineStr">
        <is>
          <t>20</t>
        </is>
      </c>
      <c r="CE18" t="inlineStr">
        <is>
          <t>0</t>
        </is>
      </c>
      <c r="CF18" t="inlineStr">
        <is>
          <t>Q2-W04</t>
        </is>
      </c>
      <c r="CG18" t="inlineStr">
        <is>
          <t>Q2-W04</t>
        </is>
      </c>
      <c r="CH18" t="inlineStr">
        <is>
          <t>Q2-W04</t>
        </is>
      </c>
      <c r="CI18"/>
      <c r="CJ18" t="inlineStr">
        <is>
          <t>Paid</t>
        </is>
      </c>
      <c r="CK18" t="inlineStr">
        <is>
          <t>Not Eligible</t>
        </is>
      </c>
      <c r="CL18"/>
      <c r="CM18"/>
    </row>
    <row r="19" ht="25.5" customHeight="1">
      <c r="A19" t="inlineStr">
        <is>
          <t>188003</t>
        </is>
      </c>
      <c r="B19" s="2"/>
      <c r="C19"/>
      <c r="D19" s="3">
        <v>46136.59274305555</v>
      </c>
      <c r="E19" t="inlineStr">
        <is>
          <t>Q2-W04</t>
        </is>
      </c>
      <c r="F19" t="inlineStr">
        <is>
          <t>Xin Hui</t>
        </is>
      </c>
      <c r="G19" t="inlineStr">
        <is>
          <t>Customer</t>
        </is>
      </c>
      <c r="H19" s="2" t="str">
        <f>=HYPERLINK("https://upbox.ajobthing.my/customer/188003", "https://upbox.ajobthing.my/customer/188003")</f>
        <v>https://upbox.ajobthing.my/customer/188003</v>
      </c>
      <c r="I19" t="inlineStr">
        <is>
          <t xml:space="preserve">ALUPOLE (M) Sdn. Bhd.  </t>
        </is>
      </c>
      <c r="J19" t="inlineStr">
        <is>
          <t>Dolphin</t>
        </is>
      </c>
      <c r="K19" t="inlineStr">
        <is>
          <t>Xin Hui</t>
        </is>
      </c>
      <c r="L19" s="4"/>
      <c r="M19" s="4">
        <v>46136.59310185185</v>
      </c>
      <c r="N19"/>
      <c r="O19">
        <v>3888</v>
      </c>
      <c r="P19" s="4"/>
      <c r="Q19" s="4">
        <v>45788.5</v>
      </c>
      <c r="R19"/>
      <c r="S19">
        <v>648</v>
      </c>
      <c r="T19" s="4">
        <v>45788.5</v>
      </c>
      <c r="U19" s="4"/>
      <c r="V19"/>
      <c r="W19">
        <v>648</v>
      </c>
      <c r="X19"/>
      <c r="Y19" t="inlineStr">
        <is>
          <t>Pending Appointment</t>
        </is>
      </c>
      <c r="Z19" t="inlineStr">
        <is>
          <t>Hiring Now</t>
        </is>
      </c>
      <c r="AA19">
        <v>3</v>
      </c>
      <c r="AB19" t="inlineStr">
        <is>
          <t>No Appointment Made</t>
        </is>
      </c>
      <c r="AC19"/>
      <c r="AD19" t="inlineStr">
        <is>
          <t xml:space="preserve">QA /QC /manager </t>
        </is>
      </c>
      <c r="AE19"/>
      <c r="AF19"/>
      <c r="AG19" s="4"/>
      <c r="AH19" s="4"/>
      <c r="AI19"/>
      <c r="AJ19"/>
      <c r="AK19" t="inlineStr">
        <is>
          <t>No, I don't need at all</t>
        </is>
      </c>
      <c r="AL19"/>
      <c r="AM19" t="inlineStr">
        <is>
          <t>No, I don't need at all</t>
        </is>
      </c>
      <c r="AN19"/>
      <c r="AO19" t="inlineStr">
        <is>
          <t>No, I don't need at all</t>
        </is>
      </c>
      <c r="AP19" t="inlineStr">
        <is>
          <t>Once a year (25%)</t>
        </is>
      </c>
      <c r="AQ19"/>
      <c r="AR19"/>
      <c r="AS19" t="inlineStr">
        <is>
          <t>- Headcount: 3
- Hiring Job Details: QA /QC /manager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is>
      </c>
      <c r="AT19">
        <v>75</v>
      </c>
      <c r="AU19" t="inlineStr">
        <is>
          <t>0.75</t>
        </is>
      </c>
      <c r="AV19" t="inlineStr">
        <is>
          <t>5</t>
        </is>
      </c>
      <c r="AW19" t="inlineStr">
        <is>
          <t>0</t>
        </is>
      </c>
      <c r="AX19" t="inlineStr">
        <is>
          <t>Not Qualified</t>
        </is>
      </c>
      <c r="AY19" s="4"/>
      <c r="AZ19"/>
      <c r="BA19"/>
      <c r="BB19"/>
      <c r="BC19" t="inlineStr">
        <is>
          <t>- Headcount: 3
- Hiring Job Details: QA /QC /manager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is>
      </c>
      <c r="BD19" s="4">
        <v>46136.62505787037</v>
      </c>
      <c r="BE19" t="inlineStr">
        <is>
          <t>paid</t>
        </is>
      </c>
      <c r="BF19"/>
      <c r="BG19" t="inlineStr">
        <is>
          <t>Reschedule</t>
        </is>
      </c>
      <c r="BH19" t="inlineStr">
        <is>
          <t>Yee Hang</t>
        </is>
      </c>
      <c r="BI19" t="inlineStr">
        <is>
          <t>Utilities / Power</t>
        </is>
      </c>
      <c r="BJ19" s="4">
        <v>46144.75219907407</v>
      </c>
      <c r="BK19" s="4">
        <v>45709.51221064815</v>
      </c>
      <c r="BL19" t="inlineStr">
        <is>
          <t>648.0</t>
        </is>
      </c>
      <c r="BM19" t="inlineStr">
        <is>
          <t>0.0</t>
        </is>
      </c>
      <c r="BN19" t="inlineStr">
        <is>
          <t>PA Email CTA Click</t>
        </is>
      </c>
      <c r="BO19" s="4">
        <v>45791.32570601852</v>
      </c>
      <c r="BP19">
        <v>168793</v>
      </c>
      <c r="BQ19">
        <v>79185</v>
      </c>
      <c r="BR19" t="inlineStr">
        <is>
          <t>Online</t>
        </is>
      </c>
      <c r="BS19"/>
      <c r="BT19">
        <v>79185</v>
      </c>
      <c r="BU19"/>
      <c r="BV19">
        <v>2726609</v>
      </c>
      <c r="BW19" t="inlineStr">
        <is>
          <t>Customer Inquiry</t>
        </is>
      </c>
      <c r="BX19"/>
      <c r="BY19"/>
      <c r="BZ19" s="4"/>
      <c r="CA19"/>
      <c r="CB19"/>
      <c r="CC19" s="4"/>
      <c r="CD19" t="inlineStr">
        <is>
          <t>5</t>
        </is>
      </c>
      <c r="CE19" t="inlineStr">
        <is>
          <t>0</t>
        </is>
      </c>
      <c r="CF19" t="inlineStr">
        <is>
          <t>Q2-W04</t>
        </is>
      </c>
      <c r="CG19"/>
      <c r="CH19"/>
      <c r="CI19"/>
      <c r="CJ19" t="inlineStr">
        <is>
          <t>Paid</t>
        </is>
      </c>
      <c r="CK19" t="inlineStr">
        <is>
          <t>Not Eligible</t>
        </is>
      </c>
      <c r="CL19"/>
      <c r="CM19"/>
    </row>
    <row r="20" ht="25.5" customHeight="1">
      <c r="A20" t="inlineStr">
        <is>
          <t>203627</t>
        </is>
      </c>
      <c r="B20" s="2"/>
      <c r="C20"/>
      <c r="D20" s="3">
        <v>46136.60244212963</v>
      </c>
      <c r="E20" t="inlineStr">
        <is>
          <t>Q2-W04</t>
        </is>
      </c>
      <c r="F20" t="inlineStr">
        <is>
          <t>Keegan</t>
        </is>
      </c>
      <c r="G20" t="inlineStr">
        <is>
          <t>Customer</t>
        </is>
      </c>
      <c r="H20" s="2" t="str">
        <f>=HYPERLINK("https://upbox.ajobthing.my/customer/203627", "https://upbox.ajobthing.my/customer/203627")</f>
        <v>https://upbox.ajobthing.my/customer/203627</v>
      </c>
      <c r="I20" t="inlineStr">
        <is>
          <t>Laku Cleaners</t>
        </is>
      </c>
      <c r="J20" t="inlineStr">
        <is>
          <t>Dolphin</t>
        </is>
      </c>
      <c r="K20" t="inlineStr">
        <is>
          <t>Keegan</t>
        </is>
      </c>
      <c r="L20" s="4"/>
      <c r="M20" s="4">
        <v>46136.6025</v>
      </c>
      <c r="N20"/>
      <c r="O20">
        <v>3888</v>
      </c>
      <c r="P20" s="4"/>
      <c r="Q20" s="4"/>
      <c r="R20"/>
      <c r="S20"/>
      <c r="T20" s="4"/>
      <c r="U20" s="4"/>
      <c r="V20"/>
      <c r="W20"/>
      <c r="X20"/>
      <c r="Y20" t="inlineStr">
        <is>
          <t>Pending Appointment</t>
        </is>
      </c>
      <c r="Z20" t="inlineStr">
        <is>
          <t>Hiring Now</t>
        </is>
      </c>
      <c r="AA20">
        <v>2</v>
      </c>
      <c r="AB20" t="inlineStr">
        <is>
          <t>No Appointment Made</t>
        </is>
      </c>
      <c r="AC20"/>
      <c r="AD20" t="inlineStr">
        <is>
          <t xml:space="preserve">1. Personal Assistant 
2. Driver </t>
        </is>
      </c>
      <c r="AE20"/>
      <c r="AF20"/>
      <c r="AG20" s="4"/>
      <c r="AH20" s="4"/>
      <c r="AI20"/>
      <c r="AJ20">
        <v>1</v>
      </c>
      <c r="AK20" t="inlineStr">
        <is>
          <t>No, I don't need at all</t>
        </is>
      </c>
      <c r="AL20">
        <v>0</v>
      </c>
      <c r="AM20" t="inlineStr">
        <is>
          <t>No, I don't need at all</t>
        </is>
      </c>
      <c r="AN20"/>
      <c r="AO20" t="inlineStr">
        <is>
          <t>No, I don't need at all</t>
        </is>
      </c>
      <c r="AP20" t="inlineStr">
        <is>
          <t>Once per quarter (75%)</t>
        </is>
      </c>
      <c r="AQ20"/>
      <c r="AR20" t="inlineStr">
        <is>
          <t>Did not use any job portal</t>
        </is>
      </c>
      <c r="AS20" t="inlineStr">
        <is>
          <t>- Headcount: 2
- Hiring Job Details: 1. Personal Assistant 2.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0">
        <v>75</v>
      </c>
      <c r="AU20" t="inlineStr">
        <is>
          <t>0.75</t>
        </is>
      </c>
      <c r="AV20" t="inlineStr">
        <is>
          <t>5</t>
        </is>
      </c>
      <c r="AW20" t="inlineStr">
        <is>
          <t>0</t>
        </is>
      </c>
      <c r="AX20" t="inlineStr">
        <is>
          <t>Not Qualified</t>
        </is>
      </c>
      <c r="AY20" s="4"/>
      <c r="AZ20"/>
      <c r="BA20"/>
      <c r="BB20"/>
      <c r="BC20" t="inlineStr">
        <is>
          <t>F/up on decision and share latest promo</t>
        </is>
      </c>
      <c r="BD20" s="4">
        <v>46140.72194444444</v>
      </c>
      <c r="BE20"/>
      <c r="BF20"/>
      <c r="BG20" t="inlineStr">
        <is>
          <t>Reschedule</t>
        </is>
      </c>
      <c r="BH20" t="inlineStr">
        <is>
          <t>Edward Hoo</t>
        </is>
      </c>
      <c r="BI20"/>
      <c r="BJ20" s="4">
        <v>46144.75436342593</v>
      </c>
      <c r="BK20" s="4">
        <v>46136.568032407406</v>
      </c>
      <c r="BL20" t="inlineStr">
        <is>
          <t>0.0</t>
        </is>
      </c>
      <c r="BM20" t="inlineStr">
        <is>
          <t>0.0</t>
        </is>
      </c>
      <c r="BN20" t="inlineStr">
        <is>
          <t>View Company Page</t>
        </is>
      </c>
      <c r="BO20" s="4">
        <v>46136.57266203704</v>
      </c>
      <c r="BP20">
        <v>168797</v>
      </c>
      <c r="BQ20"/>
      <c r="BR20"/>
      <c r="BS20"/>
      <c r="BT20"/>
      <c r="BU20"/>
      <c r="BV20">
        <v>2733814</v>
      </c>
      <c r="BW20" t="inlineStr">
        <is>
          <t>Follow Up : Decision Pending</t>
        </is>
      </c>
      <c r="BX20"/>
      <c r="BY20"/>
      <c r="BZ20" s="4"/>
      <c r="CA20"/>
      <c r="CB20"/>
      <c r="CC20" s="4"/>
      <c r="CD20" t="inlineStr">
        <is>
          <t>5</t>
        </is>
      </c>
      <c r="CE20" t="inlineStr">
        <is>
          <t>0</t>
        </is>
      </c>
      <c r="CF20" t="inlineStr">
        <is>
          <t>Q2-W04</t>
        </is>
      </c>
      <c r="CG20"/>
      <c r="CH20"/>
      <c r="CI20"/>
      <c r="CJ20" t="inlineStr">
        <is>
          <t>No Paid</t>
        </is>
      </c>
      <c r="CK20" t="inlineStr">
        <is>
          <t>Not Eligible</t>
        </is>
      </c>
      <c r="CL20"/>
      <c r="CM20"/>
    </row>
    <row r="21" ht="25.5" customHeight="1">
      <c r="A21" t="inlineStr">
        <is>
          <t>151286</t>
        </is>
      </c>
      <c r="B21" s="2"/>
      <c r="C21"/>
      <c r="D21" s="3">
        <v>46136.61310185185</v>
      </c>
      <c r="E21" t="inlineStr">
        <is>
          <t>Q2-W04</t>
        </is>
      </c>
      <c r="F21" t="inlineStr">
        <is>
          <t>Yuli</t>
        </is>
      </c>
      <c r="G21" t="inlineStr">
        <is>
          <t>Customer</t>
        </is>
      </c>
      <c r="H21" s="2" t="str">
        <f>=HYPERLINK("https://upbox.ajobthing.my/customer/151286", "https://upbox.ajobthing.my/customer/151286")</f>
        <v>https://upbox.ajobthing.my/customer/151286</v>
      </c>
      <c r="I21" t="inlineStr">
        <is>
          <t>KS Lim &amp; Ong</t>
        </is>
      </c>
      <c r="J21" t="inlineStr">
        <is>
          <t>Dolphin</t>
        </is>
      </c>
      <c r="K21" t="inlineStr">
        <is>
          <t>YuLi</t>
        </is>
      </c>
      <c r="L21" s="4"/>
      <c r="M21" s="4">
        <v>46136.61318287037</v>
      </c>
      <c r="N21"/>
      <c r="O21">
        <v>864</v>
      </c>
      <c r="P21" s="4"/>
      <c r="Q21" s="4">
        <v>46139.61048611111</v>
      </c>
      <c r="R21"/>
      <c r="S21">
        <v>864</v>
      </c>
      <c r="T21" s="4">
        <v>46139.61048611111</v>
      </c>
      <c r="U21" s="4"/>
      <c r="V21"/>
      <c r="W21">
        <v>864</v>
      </c>
      <c r="X21"/>
      <c r="Y21" t="inlineStr">
        <is>
          <t>Pending Appointment</t>
        </is>
      </c>
      <c r="Z21" t="inlineStr">
        <is>
          <t>Hiring Now</t>
        </is>
      </c>
      <c r="AA21">
        <v>1</v>
      </c>
      <c r="AB21" t="inlineStr">
        <is>
          <t>No Appointment Made</t>
        </is>
      </c>
      <c r="AC21"/>
      <c r="AD21" t="inlineStr">
        <is>
          <t>1 Admin</t>
        </is>
      </c>
      <c r="AE21"/>
      <c r="AF21">
        <v>864</v>
      </c>
      <c r="AG21" s="4"/>
      <c r="AH21" s="4"/>
      <c r="AI21"/>
      <c r="AJ21"/>
      <c r="AK21"/>
      <c r="AL21"/>
      <c r="AM21"/>
      <c r="AN21"/>
      <c r="AO21"/>
      <c r="AP21"/>
      <c r="AQ21"/>
      <c r="AR21" t="inlineStr">
        <is>
          <t>Did not use any job portal</t>
        </is>
      </c>
      <c r="AS21" t="inlineStr">
        <is>
          <t>- Headcount: 1
- Hiring Job Details: 1 Admin
- Hiring Urgency: Hiring Now
- Number of outlets: Not provided
- Have recruiter team: Not provided
- Number of recruiter in company: Not provided
- Have ATS system: Not provided
- Have career website: Not provided
- Current hiring budget: RM864.00
- Whole year budget: Not provided
- Whole year number of vacancies: Not provided
- Hiring frequency: Not provided
- External job portal: Did not use any job portal</t>
        </is>
      </c>
      <c r="AT21">
        <v>65</v>
      </c>
      <c r="AU21" t="inlineStr">
        <is>
          <t>0.65</t>
        </is>
      </c>
      <c r="AV21" t="inlineStr">
        <is>
          <t>15</t>
        </is>
      </c>
      <c r="AW21" t="inlineStr">
        <is>
          <t>0</t>
        </is>
      </c>
      <c r="AX21" t="inlineStr">
        <is>
          <t>Not Qualified</t>
        </is>
      </c>
      <c r="AY21" s="4"/>
      <c r="AZ21"/>
      <c r="BA21"/>
      <c r="BB21"/>
      <c r="BC21" t="inlineStr">
        <is>
          <t>called but no answered</t>
        </is>
      </c>
      <c r="BD21" s="4">
        <v>46142.499456018515</v>
      </c>
      <c r="BE21" t="inlineStr">
        <is>
          <t>paid</t>
        </is>
      </c>
      <c r="BF21" t="inlineStr">
        <is>
          <t>Q2-W04</t>
        </is>
      </c>
      <c r="BG21" t="inlineStr">
        <is>
          <t>Reschedule</t>
        </is>
      </c>
      <c r="BH21" t="inlineStr">
        <is>
          <t>Fauziah Maharan</t>
        </is>
      </c>
      <c r="BI21" t="inlineStr">
        <is>
          <t>Law / Legal</t>
        </is>
      </c>
      <c r="BJ21" s="4">
        <v>46144.75087962963</v>
      </c>
      <c r="BK21" s="4">
        <v>44650.42261574074</v>
      </c>
      <c r="BL21" t="inlineStr">
        <is>
          <t>2160.0</t>
        </is>
      </c>
      <c r="BM21" t="inlineStr">
        <is>
          <t>0.0</t>
        </is>
      </c>
      <c r="BN21" t="inlineStr">
        <is>
          <t>User Visit(Logged In)</t>
        </is>
      </c>
      <c r="BO21" s="4">
        <v>46139.67760416667</v>
      </c>
      <c r="BP21">
        <v>168802</v>
      </c>
      <c r="BQ21">
        <v>94810</v>
      </c>
      <c r="BR21" t="inlineStr">
        <is>
          <t>Online</t>
        </is>
      </c>
      <c r="BS21"/>
      <c r="BT21">
        <v>94810</v>
      </c>
      <c r="BU21"/>
      <c r="BV21">
        <v>2737286</v>
      </c>
      <c r="BW21" t="inlineStr">
        <is>
          <t>No Answer : Voicemail - WA sent to customer</t>
        </is>
      </c>
      <c r="BX21">
        <v>1</v>
      </c>
      <c r="BY21">
        <v>0</v>
      </c>
      <c r="BZ21" s="4">
        <v>46139.62535879629</v>
      </c>
      <c r="CA21">
        <v>10</v>
      </c>
      <c r="CB21">
        <v>10</v>
      </c>
      <c r="CC21" s="4"/>
      <c r="CD21" t="inlineStr">
        <is>
          <t>20</t>
        </is>
      </c>
      <c r="CE21" t="inlineStr">
        <is>
          <t>0</t>
        </is>
      </c>
      <c r="CF21" t="inlineStr">
        <is>
          <t>Q2-W04</t>
        </is>
      </c>
      <c r="CG21" t="inlineStr">
        <is>
          <t>Q2-W04</t>
        </is>
      </c>
      <c r="CH21" t="inlineStr">
        <is>
          <t>Q2-W04</t>
        </is>
      </c>
      <c r="CI21"/>
      <c r="CJ21" t="inlineStr">
        <is>
          <t>Paid</t>
        </is>
      </c>
      <c r="CK21" t="inlineStr">
        <is>
          <t>Not Eligible</t>
        </is>
      </c>
      <c r="CL21"/>
      <c r="CM21"/>
    </row>
    <row r="22" ht="25.5" customHeight="1">
      <c r="A22" t="inlineStr">
        <is>
          <t>203621</t>
        </is>
      </c>
      <c r="B22" s="2"/>
      <c r="C22"/>
      <c r="D22" s="3">
        <v>46136.61481481481</v>
      </c>
      <c r="E22" t="inlineStr">
        <is>
          <t>Q2-W04</t>
        </is>
      </c>
      <c r="F22" t="inlineStr">
        <is>
          <t>Keegan</t>
        </is>
      </c>
      <c r="G22" t="inlineStr">
        <is>
          <t>Customer</t>
        </is>
      </c>
      <c r="H22" s="2" t="str">
        <f>=HYPERLINK("https://upbox.ajobthing.my/customer/203621", "https://upbox.ajobthing.my/customer/203621")</f>
        <v>https://upbox.ajobthing.my/customer/203621</v>
      </c>
      <c r="I22" t="inlineStr">
        <is>
          <t>Js Growth Partners</t>
        </is>
      </c>
      <c r="J22" t="inlineStr">
        <is>
          <t>Dolphin</t>
        </is>
      </c>
      <c r="K22" t="inlineStr">
        <is>
          <t>Keegan</t>
        </is>
      </c>
      <c r="L22" s="4"/>
      <c r="M22" s="4">
        <v>46136.61493055556</v>
      </c>
      <c r="N22"/>
      <c r="O22">
        <v>3888</v>
      </c>
      <c r="P22" s="4"/>
      <c r="Q22" s="4"/>
      <c r="R22"/>
      <c r="S22"/>
      <c r="T22" s="4"/>
      <c r="U22" s="4"/>
      <c r="V22"/>
      <c r="W22"/>
      <c r="X22"/>
      <c r="Y22" t="inlineStr">
        <is>
          <t>Pending Appointment</t>
        </is>
      </c>
      <c r="Z22" t="inlineStr">
        <is>
          <t>Hiring Now</t>
        </is>
      </c>
      <c r="AA22">
        <v>1</v>
      </c>
      <c r="AB22" t="inlineStr">
        <is>
          <t>No Appointment Made</t>
        </is>
      </c>
      <c r="AC22"/>
      <c r="AD22" t="inlineStr">
        <is>
          <t xml:space="preserve">1. Admin </t>
        </is>
      </c>
      <c r="AE22"/>
      <c r="AF22"/>
      <c r="AG22" s="4"/>
      <c r="AH22" s="4"/>
      <c r="AI22"/>
      <c r="AJ22">
        <v>1</v>
      </c>
      <c r="AK22" t="inlineStr">
        <is>
          <t>No, I don't need at all</t>
        </is>
      </c>
      <c r="AL22">
        <v>0</v>
      </c>
      <c r="AM22" t="inlineStr">
        <is>
          <t>No, I don't need at all</t>
        </is>
      </c>
      <c r="AN22"/>
      <c r="AO22" t="inlineStr">
        <is>
          <t>No, I don't need at all</t>
        </is>
      </c>
      <c r="AP22" t="inlineStr">
        <is>
          <t>Once per quarter (75%)</t>
        </is>
      </c>
      <c r="AQ22"/>
      <c r="AR22" t="inlineStr">
        <is>
          <t>Did not use any job portal</t>
        </is>
      </c>
      <c r="AS22"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2">
        <v>95</v>
      </c>
      <c r="AU22" t="inlineStr">
        <is>
          <t>0.95</t>
        </is>
      </c>
      <c r="AV22" t="inlineStr">
        <is>
          <t>5</t>
        </is>
      </c>
      <c r="AW22" t="inlineStr">
        <is>
          <t>0</t>
        </is>
      </c>
      <c r="AX22" t="inlineStr">
        <is>
          <t>Not Qualified</t>
        </is>
      </c>
      <c r="AY22" s="4"/>
      <c r="AZ22"/>
      <c r="BA22"/>
      <c r="BB22"/>
      <c r="BC22" t="inlineStr">
        <is>
          <t>Pending decision</t>
        </is>
      </c>
      <c r="BD22" s="4">
        <v>46141.43174768519</v>
      </c>
      <c r="BE22"/>
      <c r="BF22"/>
      <c r="BG22" t="inlineStr">
        <is>
          <t>Reschedule</t>
        </is>
      </c>
      <c r="BH22" t="inlineStr">
        <is>
          <t>Edward Hoo</t>
        </is>
      </c>
      <c r="BI22"/>
      <c r="BJ22" s="4">
        <v>46144.75436342593</v>
      </c>
      <c r="BK22" s="4">
        <v>46136.52762731481</v>
      </c>
      <c r="BL22" t="inlineStr">
        <is>
          <t>0.0</t>
        </is>
      </c>
      <c r="BM22" t="inlineStr">
        <is>
          <t>0.0</t>
        </is>
      </c>
      <c r="BN22" t="inlineStr">
        <is>
          <t>View Company Page</t>
        </is>
      </c>
      <c r="BO22" s="4">
        <v>46136.5284375</v>
      </c>
      <c r="BP22">
        <v>168804</v>
      </c>
      <c r="BQ22"/>
      <c r="BR22"/>
      <c r="BS22"/>
      <c r="BT22"/>
      <c r="BU22"/>
      <c r="BV22">
        <v>2734389</v>
      </c>
      <c r="BW22" t="inlineStr">
        <is>
          <t>Follow Up : Decision Pending</t>
        </is>
      </c>
      <c r="BX22"/>
      <c r="BY22"/>
      <c r="BZ22" s="4"/>
      <c r="CA22"/>
      <c r="CB22"/>
      <c r="CC22" s="4"/>
      <c r="CD22" t="inlineStr">
        <is>
          <t>5</t>
        </is>
      </c>
      <c r="CE22" t="inlineStr">
        <is>
          <t>0</t>
        </is>
      </c>
      <c r="CF22" t="inlineStr">
        <is>
          <t>Q2-W04</t>
        </is>
      </c>
      <c r="CG22"/>
      <c r="CH22"/>
      <c r="CI22"/>
      <c r="CJ22" t="inlineStr">
        <is>
          <t>No Paid</t>
        </is>
      </c>
      <c r="CK22" t="inlineStr">
        <is>
          <t>Not Eligible</t>
        </is>
      </c>
      <c r="CL22"/>
      <c r="CM22"/>
    </row>
    <row r="23" ht="25.5" customHeight="1">
      <c r="A23" t="inlineStr">
        <is>
          <t>4315767</t>
        </is>
      </c>
      <c r="B23" s="2"/>
      <c r="C23"/>
      <c r="D23" s="3">
        <v>46136.61980324074</v>
      </c>
      <c r="E23" t="inlineStr">
        <is>
          <t>Q2-W04</t>
        </is>
      </c>
      <c r="F23" t="inlineStr">
        <is>
          <t>Josh</t>
        </is>
      </c>
      <c r="G23" t="inlineStr">
        <is>
          <t>Lead</t>
        </is>
      </c>
      <c r="H23" s="2" t="str">
        <f>=HYPERLINK("https://upbox.ajobthing.my/leads/4315767", "https://upbox.ajobthing.my/leads/4315767")</f>
        <v>https://upbox.ajobthing.my/leads/4315767</v>
      </c>
      <c r="I23" t="inlineStr">
        <is>
          <t>LSA Energy Group</t>
        </is>
      </c>
      <c r="J23" t="inlineStr">
        <is>
          <t>Dolphin</t>
        </is>
      </c>
      <c r="K23" t="inlineStr">
        <is>
          <t>Josh</t>
        </is>
      </c>
      <c r="L23" s="4"/>
      <c r="M23" s="4">
        <v>46136.62021990741</v>
      </c>
      <c r="N23"/>
      <c r="O23">
        <v>3672</v>
      </c>
      <c r="P23" s="4"/>
      <c r="Q23" s="4"/>
      <c r="R23"/>
      <c r="S23"/>
      <c r="T23" s="4"/>
      <c r="U23" s="4"/>
      <c r="V23"/>
      <c r="W23"/>
      <c r="X23"/>
      <c r="Y23" t="inlineStr">
        <is>
          <t>Pending Appointment</t>
        </is>
      </c>
      <c r="Z23" t="inlineStr">
        <is>
          <t>Hiring Now</t>
        </is>
      </c>
      <c r="AA23">
        <v>4</v>
      </c>
      <c r="AB23" t="inlineStr">
        <is>
          <t>No Appointment Made</t>
        </is>
      </c>
      <c r="AC23"/>
      <c r="AD23" t="inlineStr">
        <is>
          <t xml:space="preserve">2 account, 1 inside sales, 1 admin </t>
        </is>
      </c>
      <c r="AE23"/>
      <c r="AF23">
        <v>3000</v>
      </c>
      <c r="AG23" s="4"/>
      <c r="AH23" s="4"/>
      <c r="AI23"/>
      <c r="AJ23"/>
      <c r="AK23" t="inlineStr">
        <is>
          <t>Yes, I have</t>
        </is>
      </c>
      <c r="AL23">
        <v>1</v>
      </c>
      <c r="AM23" t="inlineStr">
        <is>
          <t>Yes, I have</t>
        </is>
      </c>
      <c r="AN23"/>
      <c r="AO23"/>
      <c r="AP23" t="inlineStr">
        <is>
          <t>Once a year (25%)</t>
        </is>
      </c>
      <c r="AQ23"/>
      <c r="AR23"/>
      <c r="AS23" t="inlineStr">
        <is>
          <t>- Headcount: 4
- Hiring Job Details: 2 account, 1 inside sales, 1 admin
- Hiring Urgency: Hiring Now
- Number of outlets: Not provided
- Have recruiter team: Yes
- Number of recruiter in company: 1
- Have ATS system: Yes
- Have career website: Not provided
- Current hiring budget: RM3,000.00
- Whole year budget: Not provided
- Whole year number of vacancies: Not provided
- Hiring frequency: Once a year (25%)
- External job portal: Not provided</t>
        </is>
      </c>
      <c r="AT23">
        <v>95</v>
      </c>
      <c r="AU23" t="inlineStr">
        <is>
          <t>0.95</t>
        </is>
      </c>
      <c r="AV23" t="inlineStr">
        <is>
          <t>15</t>
        </is>
      </c>
      <c r="AW23" t="inlineStr">
        <is>
          <t>0</t>
        </is>
      </c>
      <c r="AX23" t="inlineStr">
        <is>
          <t>Not Qualified</t>
        </is>
      </c>
      <c r="AY23" s="4"/>
      <c r="AZ23"/>
      <c r="BA23"/>
      <c r="BB23"/>
      <c r="BC23"/>
      <c r="BD23" s="4"/>
      <c r="BE23"/>
      <c r="BF23"/>
      <c r="BG23" t="inlineStr">
        <is>
          <t>Reschedule</t>
        </is>
      </c>
      <c r="BH23" t="inlineStr">
        <is>
          <t>Fauziah Maharan</t>
        </is>
      </c>
      <c r="BI23"/>
      <c r="BJ23" s="4">
        <v>46144.755902777775</v>
      </c>
      <c r="BK23" s="4">
        <v>46135.660462962966</v>
      </c>
      <c r="BL23" t="inlineStr">
        <is>
          <t>0.0</t>
        </is>
      </c>
      <c r="BM23" t="inlineStr">
        <is>
          <t>1800.0</t>
        </is>
      </c>
      <c r="BN23"/>
      <c r="BO23" s="4"/>
      <c r="BP23">
        <v>168808</v>
      </c>
      <c r="BQ23"/>
      <c r="BR23"/>
      <c r="BS23"/>
      <c r="BT23"/>
      <c r="BU23"/>
      <c r="BV23"/>
      <c r="BW23"/>
      <c r="BX23"/>
      <c r="BY23"/>
      <c r="BZ23" s="4"/>
      <c r="CA23"/>
      <c r="CB23"/>
      <c r="CC23" s="4"/>
      <c r="CD23" t="inlineStr">
        <is>
          <t>20</t>
        </is>
      </c>
      <c r="CE23" t="inlineStr">
        <is>
          <t>0</t>
        </is>
      </c>
      <c r="CF23" t="inlineStr">
        <is>
          <t>Q2-W04</t>
        </is>
      </c>
      <c r="CG23"/>
      <c r="CH23"/>
      <c r="CI23"/>
      <c r="CJ23" t="inlineStr">
        <is>
          <t>No Paid</t>
        </is>
      </c>
      <c r="CK23" t="inlineStr">
        <is>
          <t>Not Eligible</t>
        </is>
      </c>
      <c r="CL23"/>
      <c r="CM23"/>
    </row>
    <row r="24" ht="25.5" customHeight="1">
      <c r="A24" t="inlineStr">
        <is>
          <t>203634</t>
        </is>
      </c>
      <c r="B24" s="2"/>
      <c r="C24"/>
      <c r="D24" s="3">
        <v>46136.62930555556</v>
      </c>
      <c r="E24" t="inlineStr">
        <is>
          <t>Q2-W04</t>
        </is>
      </c>
      <c r="F24" t="inlineStr">
        <is>
          <t>Fariz</t>
        </is>
      </c>
      <c r="G24" t="inlineStr">
        <is>
          <t>Customer</t>
        </is>
      </c>
      <c r="H24" s="2" t="str">
        <f>=HYPERLINK("https://upbox.ajobthing.my/customer/203634", "https://upbox.ajobthing.my/customer/203634")</f>
        <v>https://upbox.ajobthing.my/customer/203634</v>
      </c>
      <c r="I24" t="inlineStr">
        <is>
          <t>FIRSTCARE PHARMACY SDN BHD</t>
        </is>
      </c>
      <c r="J24" t="inlineStr">
        <is>
          <t>Dolphin</t>
        </is>
      </c>
      <c r="K24" t="inlineStr">
        <is>
          <t>Fariz</t>
        </is>
      </c>
      <c r="L24" s="4"/>
      <c r="M24" s="4">
        <v>46136.63465277778</v>
      </c>
      <c r="N24"/>
      <c r="O24">
        <v>3888</v>
      </c>
      <c r="P24" s="4"/>
      <c r="Q24" s="4">
        <v>46139.41804398148</v>
      </c>
      <c r="R24"/>
      <c r="S24">
        <v>864</v>
      </c>
      <c r="T24" s="4">
        <v>46139.41804398148</v>
      </c>
      <c r="U24" s="4"/>
      <c r="V24"/>
      <c r="W24">
        <v>864</v>
      </c>
      <c r="X24"/>
      <c r="Y24" t="inlineStr">
        <is>
          <t>Pending Appointment</t>
        </is>
      </c>
      <c r="Z24" t="inlineStr">
        <is>
          <t>Hiring Now</t>
        </is>
      </c>
      <c r="AA24">
        <v>2</v>
      </c>
      <c r="AB24" t="inlineStr">
        <is>
          <t>No Appointment Made</t>
        </is>
      </c>
      <c r="AC24"/>
      <c r="AD24" t="inlineStr">
        <is>
          <t xml:space="preserve">2 pharmacists assistant </t>
        </is>
      </c>
      <c r="AE24"/>
      <c r="AF24">
        <v>3600</v>
      </c>
      <c r="AG24" s="4"/>
      <c r="AH24" s="4"/>
      <c r="AI24">
        <v>3600</v>
      </c>
      <c r="AJ24"/>
      <c r="AK24" t="inlineStr">
        <is>
          <t>No, but I want in future</t>
        </is>
      </c>
      <c r="AL24">
        <v>1</v>
      </c>
      <c r="AM24" t="inlineStr">
        <is>
          <t>No, but I want in future</t>
        </is>
      </c>
      <c r="AN24"/>
      <c r="AO24" t="inlineStr">
        <is>
          <t>No, but I want in future</t>
        </is>
      </c>
      <c r="AP24" t="inlineStr">
        <is>
          <t>Once a year (25%)</t>
        </is>
      </c>
      <c r="AQ24">
        <v>2</v>
      </c>
      <c r="AR24" t="inlineStr">
        <is>
          <t>Free Job Portal</t>
        </is>
      </c>
      <c r="AS24" t="inlineStr">
        <is>
          <t>- Headcount: 2
- Hiring Job Details: 2 pharmacists assistant
- Hiring Urgency: Hiring Now
- Number of outlets: 
- Have recruiter team: No, but I want in future
- Number of recruiter in company: 1
- Have ATS system: No, but I want in future
- Have career website: No, but I want in future
- Current hiring budget: RM3,600
- Whole year budget: RM3,600.00
- Whole year number of vacancies: 2
- Hiring frequency: Once a year (25%)
- External job portal: Free Job Portal</t>
        </is>
      </c>
      <c r="AT24">
        <v>105</v>
      </c>
      <c r="AU24" t="inlineStr">
        <is>
          <t>1.05</t>
        </is>
      </c>
      <c r="AV24" t="inlineStr">
        <is>
          <t>15</t>
        </is>
      </c>
      <c r="AW24" t="inlineStr">
        <is>
          <t>0</t>
        </is>
      </c>
      <c r="AX24" t="inlineStr">
        <is>
          <t>Not Qualified</t>
        </is>
      </c>
      <c r="AY24" s="4"/>
      <c r="AZ24"/>
      <c r="BA24"/>
      <c r="BB24"/>
      <c r="BC24" t="inlineStr">
        <is>
          <t>customer asking how to do job post.</t>
        </is>
      </c>
      <c r="BD24" s="4">
        <v>46142.58453703704</v>
      </c>
      <c r="BE24" t="inlineStr">
        <is>
          <t>paid</t>
        </is>
      </c>
      <c r="BF24" t="inlineStr">
        <is>
          <t>Q2-W04</t>
        </is>
      </c>
      <c r="BG24" t="inlineStr">
        <is>
          <t>Reschedule</t>
        </is>
      </c>
      <c r="BH24" t="inlineStr">
        <is>
          <t>Edward Hoo</t>
        </is>
      </c>
      <c r="BI24"/>
      <c r="BJ24" s="4">
        <v>46144.75436342593</v>
      </c>
      <c r="BK24" s="4">
        <v>46136.62803240741</v>
      </c>
      <c r="BL24" t="inlineStr">
        <is>
          <t>864.0</t>
        </is>
      </c>
      <c r="BM24" t="inlineStr">
        <is>
          <t>600.0</t>
        </is>
      </c>
      <c r="BN24" t="inlineStr">
        <is>
          <t>PA Visit - Job Card</t>
        </is>
      </c>
      <c r="BO24" s="4">
        <v>46144.57351851852</v>
      </c>
      <c r="BP24">
        <v>168819</v>
      </c>
      <c r="BQ24">
        <v>94774</v>
      </c>
      <c r="BR24" t="inlineStr">
        <is>
          <t>Online</t>
        </is>
      </c>
      <c r="BS24"/>
      <c r="BT24">
        <v>94774</v>
      </c>
      <c r="BU24"/>
      <c r="BV24">
        <v>2737596</v>
      </c>
      <c r="BW24" t="inlineStr">
        <is>
          <t>Service / Technical : Help To Post Job</t>
        </is>
      </c>
      <c r="BX24">
        <v>1</v>
      </c>
      <c r="BY24">
        <v>0</v>
      </c>
      <c r="BZ24" s="4">
        <v>46142.45736111111</v>
      </c>
      <c r="CA24">
        <v>10</v>
      </c>
      <c r="CB24">
        <v>6</v>
      </c>
      <c r="CC24" s="4">
        <v>46144.57565972222</v>
      </c>
      <c r="CD24" t="inlineStr">
        <is>
          <t>20</t>
        </is>
      </c>
      <c r="CE24" t="inlineStr">
        <is>
          <t>0</t>
        </is>
      </c>
      <c r="CF24" t="inlineStr">
        <is>
          <t>Q2-W04</t>
        </is>
      </c>
      <c r="CG24" t="inlineStr">
        <is>
          <t>Q2-W04</t>
        </is>
      </c>
      <c r="CH24" t="inlineStr">
        <is>
          <t>Q2-W04</t>
        </is>
      </c>
      <c r="CI24"/>
      <c r="CJ24" t="inlineStr">
        <is>
          <t>Paid</t>
        </is>
      </c>
      <c r="CK24" t="inlineStr">
        <is>
          <t>Not Eligible</t>
        </is>
      </c>
      <c r="CL24"/>
      <c r="CM24"/>
    </row>
    <row r="25" ht="25.5" customHeight="1">
      <c r="A25" t="inlineStr">
        <is>
          <t>203633</t>
        </is>
      </c>
      <c r="B25" s="2"/>
      <c r="C25"/>
      <c r="D25" s="3">
        <v>46136.630590277775</v>
      </c>
      <c r="E25" t="inlineStr">
        <is>
          <t>Q2-W04</t>
        </is>
      </c>
      <c r="F25" t="inlineStr">
        <is>
          <t>Ratha</t>
        </is>
      </c>
      <c r="G25" t="inlineStr">
        <is>
          <t>Customer</t>
        </is>
      </c>
      <c r="H25" s="2" t="str">
        <f>=HYPERLINK("https://upbox.ajobthing.my/customer/203633", "https://upbox.ajobthing.my/customer/203633")</f>
        <v>https://upbox.ajobthing.my/customer/203633</v>
      </c>
      <c r="I25" t="inlineStr">
        <is>
          <t>Superstar Arena Holding Sdn. Bhd.</t>
        </is>
      </c>
      <c r="J25" t="inlineStr">
        <is>
          <t>Dolphin</t>
        </is>
      </c>
      <c r="K25" t="inlineStr">
        <is>
          <t>Ratha</t>
        </is>
      </c>
      <c r="L25" s="4"/>
      <c r="M25" s="4">
        <v>46136.63111111111</v>
      </c>
      <c r="N25"/>
      <c r="O25">
        <v>3672</v>
      </c>
      <c r="P25" s="4"/>
      <c r="Q25" s="4">
        <v>46140.57121527778</v>
      </c>
      <c r="R25"/>
      <c r="S25">
        <v>864</v>
      </c>
      <c r="T25" s="4">
        <v>46140.57121527778</v>
      </c>
      <c r="U25" s="4"/>
      <c r="V25"/>
      <c r="W25">
        <v>864</v>
      </c>
      <c r="X25"/>
      <c r="Y25" t="inlineStr">
        <is>
          <t>Pending Appointment</t>
        </is>
      </c>
      <c r="Z25" t="inlineStr">
        <is>
          <t>Hiring Now</t>
        </is>
      </c>
      <c r="AA25">
        <v>1</v>
      </c>
      <c r="AB25" t="inlineStr">
        <is>
          <t>No Appointment Made</t>
        </is>
      </c>
      <c r="AC25"/>
      <c r="AD25" t="inlineStr">
        <is>
          <t>Admin cum Account 1
Location : kl</t>
        </is>
      </c>
      <c r="AE25"/>
      <c r="AF25"/>
      <c r="AG25" s="4"/>
      <c r="AH25" s="4"/>
      <c r="AI25">
        <v>0</v>
      </c>
      <c r="AJ25">
        <v>1</v>
      </c>
      <c r="AK25" t="inlineStr">
        <is>
          <t>Yes, I have</t>
        </is>
      </c>
      <c r="AL25">
        <v>2</v>
      </c>
      <c r="AM25" t="inlineStr">
        <is>
          <t>No, I don't need at all</t>
        </is>
      </c>
      <c r="AN25"/>
      <c r="AO25" t="inlineStr">
        <is>
          <t>No, I don't need at all</t>
        </is>
      </c>
      <c r="AP25" t="inlineStr">
        <is>
          <t>Twice a year (50%)</t>
        </is>
      </c>
      <c r="AQ25">
        <v>0</v>
      </c>
      <c r="AR25" t="inlineStr">
        <is>
          <t>Did not use any job portal</t>
        </is>
      </c>
      <c r="AS25" t="inlineStr">
        <is>
          <t>- Headcount: 1
- Hiring Job Details: 1 Admin cum Account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is>
      </c>
      <c r="AT25">
        <v>105</v>
      </c>
      <c r="AU25" t="inlineStr">
        <is>
          <t>1.05</t>
        </is>
      </c>
      <c r="AV25" t="inlineStr">
        <is>
          <t>5</t>
        </is>
      </c>
      <c r="AW25" t="inlineStr">
        <is>
          <t>0</t>
        </is>
      </c>
      <c r="AX25" t="inlineStr">
        <is>
          <t>Not Qualified</t>
        </is>
      </c>
      <c r="AY25" s="4"/>
      <c r="AZ25"/>
      <c r="BA25"/>
      <c r="BB25"/>
      <c r="BC25" t="inlineStr">
        <is>
          <t>no answer</t>
        </is>
      </c>
      <c r="BD25" s="4">
        <v>46142.719305555554</v>
      </c>
      <c r="BE25" t="inlineStr">
        <is>
          <t>paid</t>
        </is>
      </c>
      <c r="BF25" t="inlineStr">
        <is>
          <t>Q2-W04</t>
        </is>
      </c>
      <c r="BG25" t="inlineStr">
        <is>
          <t>Reschedule</t>
        </is>
      </c>
      <c r="BH25" t="inlineStr">
        <is>
          <t>Fauziah Maharan</t>
        </is>
      </c>
      <c r="BI25"/>
      <c r="BJ25" s="4">
        <v>46144.75436342593</v>
      </c>
      <c r="BK25" s="4">
        <v>46136.61769675926</v>
      </c>
      <c r="BL25" t="inlineStr">
        <is>
          <t>864.0</t>
        </is>
      </c>
      <c r="BM25" t="inlineStr">
        <is>
          <t>0.0</t>
        </is>
      </c>
      <c r="BN25" t="inlineStr">
        <is>
          <t>PA Email CTA Click</t>
        </is>
      </c>
      <c r="BO25" s="4">
        <v>46142.35221064815</v>
      </c>
      <c r="BP25">
        <v>168812</v>
      </c>
      <c r="BQ25">
        <v>94946</v>
      </c>
      <c r="BR25" t="inlineStr">
        <is>
          <t>Online</t>
        </is>
      </c>
      <c r="BS25"/>
      <c r="BT25">
        <v>94946</v>
      </c>
      <c r="BU25"/>
      <c r="BV25">
        <v>2738343</v>
      </c>
      <c r="BW25" t="inlineStr">
        <is>
          <t>No Answer : Voicemail - WA sent to customer</t>
        </is>
      </c>
      <c r="BX25">
        <v>1</v>
      </c>
      <c r="BY25">
        <v>0</v>
      </c>
      <c r="BZ25" s="4">
        <v>46140.57121527778</v>
      </c>
      <c r="CA25">
        <v>10</v>
      </c>
      <c r="CB25">
        <v>8</v>
      </c>
      <c r="CC25" s="4">
        <v>46140.81162037037</v>
      </c>
      <c r="CD25" t="inlineStr">
        <is>
          <t>5</t>
        </is>
      </c>
      <c r="CE25" t="inlineStr">
        <is>
          <t>0</t>
        </is>
      </c>
      <c r="CF25" t="inlineStr">
        <is>
          <t>Q2-W04</t>
        </is>
      </c>
      <c r="CG25" t="inlineStr">
        <is>
          <t>Q2-W04</t>
        </is>
      </c>
      <c r="CH25" t="inlineStr">
        <is>
          <t>Q2-W04</t>
        </is>
      </c>
      <c r="CI25"/>
      <c r="CJ25" t="inlineStr">
        <is>
          <t>Paid</t>
        </is>
      </c>
      <c r="CK25" t="inlineStr">
        <is>
          <t>Not Eligible</t>
        </is>
      </c>
      <c r="CL25"/>
      <c r="CM25"/>
    </row>
    <row r="26" ht="25.5" customHeight="1">
      <c r="A26" t="inlineStr">
        <is>
          <t>203518</t>
        </is>
      </c>
      <c r="B26" s="2"/>
      <c r="C26"/>
      <c r="D26" s="3">
        <v>46136.633726851855</v>
      </c>
      <c r="E26" t="inlineStr">
        <is>
          <t>Q2-W04</t>
        </is>
      </c>
      <c r="F26" t="inlineStr">
        <is>
          <t>Luqman</t>
        </is>
      </c>
      <c r="G26" t="inlineStr">
        <is>
          <t>Customer</t>
        </is>
      </c>
      <c r="H26" s="2" t="str">
        <f>=HYPERLINK("https://upbox.ajobthing.my/customer/203518", "https://upbox.ajobthing.my/customer/203518")</f>
        <v>https://upbox.ajobthing.my/customer/203518</v>
      </c>
      <c r="I26" t="inlineStr">
        <is>
          <t>Restoran Kapitan sdn bhd</t>
        </is>
      </c>
      <c r="J26" t="inlineStr">
        <is>
          <t>Dolphin</t>
        </is>
      </c>
      <c r="K26" t="inlineStr">
        <is>
          <t>Luqman</t>
        </is>
      </c>
      <c r="L26" s="4"/>
      <c r="M26" s="4">
        <v>46136.63384259259</v>
      </c>
      <c r="N26"/>
      <c r="O26">
        <v>3888</v>
      </c>
      <c r="P26" s="4"/>
      <c r="Q26" s="4"/>
      <c r="R26"/>
      <c r="S26"/>
      <c r="T26" s="4"/>
      <c r="U26" s="4"/>
      <c r="V26"/>
      <c r="W26"/>
      <c r="X26"/>
      <c r="Y26" t="inlineStr">
        <is>
          <t>Pending Appointment</t>
        </is>
      </c>
      <c r="Z26" t="inlineStr">
        <is>
          <t>Hiring Later</t>
        </is>
      </c>
      <c r="AA26">
        <v>1</v>
      </c>
      <c r="AB26" t="inlineStr">
        <is>
          <t>No Appointment Made</t>
        </is>
      </c>
      <c r="AC26"/>
      <c r="AD26" t="inlineStr">
        <is>
          <t xml:space="preserve">1. Service Crew </t>
        </is>
      </c>
      <c r="AE26"/>
      <c r="AF26">
        <v>3600</v>
      </c>
      <c r="AG26" s="4"/>
      <c r="AH26" s="4"/>
      <c r="AI26">
        <v>3600</v>
      </c>
      <c r="AJ26"/>
      <c r="AK26" t="inlineStr">
        <is>
          <t>No, I don't need at all</t>
        </is>
      </c>
      <c r="AL26">
        <v>4</v>
      </c>
      <c r="AM26" t="inlineStr">
        <is>
          <t>No, I don't need at all</t>
        </is>
      </c>
      <c r="AN26"/>
      <c r="AO26" t="inlineStr">
        <is>
          <t>No, I don't need at all</t>
        </is>
      </c>
      <c r="AP26" t="inlineStr">
        <is>
          <t>Once a year (25%)</t>
        </is>
      </c>
      <c r="AQ26">
        <v>6</v>
      </c>
      <c r="AR26" t="inlineStr">
        <is>
          <t>Free Job Portal</t>
        </is>
      </c>
      <c r="AS26" t="inlineStr">
        <is>
          <t>- Headcount: 1
- Hiring Job Details: 1 Service Crew
- Hiring Urgency: Hiring Later
- Number of outlets: Not provided
- Have recruiter team: No, I don't need at all
- Number of recruiter in company: 4
- Have ATS system: No, I don't need at all
- Have career website: No, I don't need at all
- Current hiring budget: RM3,600
- Whole year budget: RM3,600.00
- Whole year number of vacancies: 6
- Hiring frequency: Once a year (25%)
- External job portal: Free Job Portal</t>
        </is>
      </c>
      <c r="AT26">
        <v>110</v>
      </c>
      <c r="AU26" t="inlineStr">
        <is>
          <t>1.10</t>
        </is>
      </c>
      <c r="AV26" t="inlineStr">
        <is>
          <t>15</t>
        </is>
      </c>
      <c r="AW26" t="inlineStr">
        <is>
          <t>0</t>
        </is>
      </c>
      <c r="AX26" t="inlineStr">
        <is>
          <t>Not Qualified</t>
        </is>
      </c>
      <c r="AY26" s="4"/>
      <c r="AZ26"/>
      <c r="BA26"/>
      <c r="BB26"/>
      <c r="BC26" t="inlineStr">
        <is>
          <t>April flash deal blasting</t>
        </is>
      </c>
      <c r="BD26" s="4">
        <v>46140.44087962963</v>
      </c>
      <c r="BE26"/>
      <c r="BF26"/>
      <c r="BG26" t="inlineStr">
        <is>
          <t>Reschedule</t>
        </is>
      </c>
      <c r="BH26" t="inlineStr">
        <is>
          <t>Edward Hoo</t>
        </is>
      </c>
      <c r="BI26"/>
      <c r="BJ26" s="4">
        <v>46144.754328703704</v>
      </c>
      <c r="BK26" s="4">
        <v>46134.428564814814</v>
      </c>
      <c r="BL26" t="inlineStr">
        <is>
          <t>0.0</t>
        </is>
      </c>
      <c r="BM26" t="inlineStr">
        <is>
          <t>600.0</t>
        </is>
      </c>
      <c r="BN26"/>
      <c r="BO26" s="4"/>
      <c r="BP26">
        <v>168818</v>
      </c>
      <c r="BQ26"/>
      <c r="BR26"/>
      <c r="BS26"/>
      <c r="BT26"/>
      <c r="BU26"/>
      <c r="BV26">
        <v>2731865</v>
      </c>
      <c r="BW26" t="inlineStr">
        <is>
          <t>Follow Up : Decision Pending</t>
        </is>
      </c>
      <c r="BX26"/>
      <c r="BY26"/>
      <c r="BZ26" s="4"/>
      <c r="CA26"/>
      <c r="CB26"/>
      <c r="CC26" s="4"/>
      <c r="CD26" t="inlineStr">
        <is>
          <t>20</t>
        </is>
      </c>
      <c r="CE26" t="inlineStr">
        <is>
          <t>0</t>
        </is>
      </c>
      <c r="CF26" t="inlineStr">
        <is>
          <t>Q2-W04</t>
        </is>
      </c>
      <c r="CG26"/>
      <c r="CH26"/>
      <c r="CI26"/>
      <c r="CJ26" t="inlineStr">
        <is>
          <t>No Paid</t>
        </is>
      </c>
      <c r="CK26" t="inlineStr">
        <is>
          <t>Not Eligible</t>
        </is>
      </c>
      <c r="CL26"/>
      <c r="CM26"/>
    </row>
    <row r="27" ht="25.5" customHeight="1">
      <c r="A27" t="inlineStr">
        <is>
          <t>114241</t>
        </is>
      </c>
      <c r="B27" s="2"/>
      <c r="C27"/>
      <c r="D27" s="3">
        <v>46136.63701388889</v>
      </c>
      <c r="E27" t="inlineStr">
        <is>
          <t>Q2-W04</t>
        </is>
      </c>
      <c r="F27" t="inlineStr">
        <is>
          <t>Eugene</t>
        </is>
      </c>
      <c r="G27" t="inlineStr">
        <is>
          <t>Customer</t>
        </is>
      </c>
      <c r="H27" s="2" t="str">
        <f>=HYPERLINK("https://upbox.ajobthing.my/customer/114241", "https://upbox.ajobthing.my/customer/114241")</f>
        <v>https://upbox.ajobthing.my/customer/114241</v>
      </c>
      <c r="I27" t="inlineStr">
        <is>
          <t>I Wood Renovation &amp; Construction Sdn Bhd</t>
        </is>
      </c>
      <c r="J27" t="inlineStr">
        <is>
          <t>Dolphin</t>
        </is>
      </c>
      <c r="K27" t="inlineStr">
        <is>
          <t>Eugene</t>
        </is>
      </c>
      <c r="L27" s="4"/>
      <c r="M27" s="4">
        <v>46136.637094907404</v>
      </c>
      <c r="N27"/>
      <c r="O27">
        <v>3888</v>
      </c>
      <c r="P27" s="4"/>
      <c r="Q27" s="4">
        <v>45034.34615740741</v>
      </c>
      <c r="R27"/>
      <c r="S27">
        <v>318</v>
      </c>
      <c r="T27" s="4">
        <v>45034.34615740741</v>
      </c>
      <c r="U27" s="4"/>
      <c r="V27"/>
      <c r="W27">
        <v>318</v>
      </c>
      <c r="X27"/>
      <c r="Y27" t="inlineStr">
        <is>
          <t>Pending Appointment</t>
        </is>
      </c>
      <c r="Z27" t="inlineStr">
        <is>
          <t>Hiring Now</t>
        </is>
      </c>
      <c r="AA27">
        <v>2</v>
      </c>
      <c r="AB27" t="inlineStr">
        <is>
          <t>No Appointment Made</t>
        </is>
      </c>
      <c r="AC27"/>
      <c r="AD27" t="inlineStr">
        <is>
          <t>1 system coordinator, 1 technician, based in Kajang</t>
        </is>
      </c>
      <c r="AE27"/>
      <c r="AF27">
        <v>3000</v>
      </c>
      <c r="AG27" s="4"/>
      <c r="AH27" s="4"/>
      <c r="AI27">
        <v>3000</v>
      </c>
      <c r="AJ27">
        <v>1</v>
      </c>
      <c r="AK27" t="inlineStr">
        <is>
          <t>No, I don't need at all</t>
        </is>
      </c>
      <c r="AL27">
        <v>1</v>
      </c>
      <c r="AM27" t="inlineStr">
        <is>
          <t>No, I don't need at all</t>
        </is>
      </c>
      <c r="AN27"/>
      <c r="AO27"/>
      <c r="AP27" t="inlineStr">
        <is>
          <t>Once a year (25%)</t>
        </is>
      </c>
      <c r="AQ27">
        <v>2</v>
      </c>
      <c r="AR27" t="inlineStr">
        <is>
          <t>Free Job Portal</t>
        </is>
      </c>
      <c r="AS27" t="inlineStr">
        <is>
          <t>- Headcount: 2
- Hiring Job Details: 1 system coordinator, 1 technician, based in Kajang
- Hiring Urgency: Hiring Now
- Number of outlets: 1
- Have recruiter team: No, I don't need at all
- Number of recruiter in company: 1
- Have ATS system: No, I don't need at all
- Have career website: 
- Current hiring budget: RM3,000
- Whole year budget: RM3,000.00
- Whole year number of vacancies: 2
- Hiring frequency: Once a year (25%)
- External job portal: Free Job Portal</t>
        </is>
      </c>
      <c r="AT27">
        <v>110</v>
      </c>
      <c r="AU27" t="inlineStr">
        <is>
          <t>1.10</t>
        </is>
      </c>
      <c r="AV27" t="inlineStr">
        <is>
          <t>15</t>
        </is>
      </c>
      <c r="AW27" t="inlineStr">
        <is>
          <t>0</t>
        </is>
      </c>
      <c r="AX27" t="inlineStr">
        <is>
          <t>Not Qualified</t>
        </is>
      </c>
      <c r="AY27" s="4"/>
      <c r="AZ27"/>
      <c r="BA27"/>
      <c r="BB27"/>
      <c r="BC27" t="inlineStr">
        <is>
          <t>pending</t>
        </is>
      </c>
      <c r="BD27" s="4">
        <v>46141.44045138889</v>
      </c>
      <c r="BE27" t="inlineStr">
        <is>
          <t>paid</t>
        </is>
      </c>
      <c r="BF27"/>
      <c r="BG27" t="inlineStr">
        <is>
          <t>Reschedule</t>
        </is>
      </c>
      <c r="BH27" t="inlineStr">
        <is>
          <t>Edward Hoo</t>
        </is>
      </c>
      <c r="BI27" t="inlineStr">
        <is>
          <t>Manufacturing / Production</t>
        </is>
      </c>
      <c r="BJ27" s="4">
        <v>46144.750127314815</v>
      </c>
      <c r="BK27" s="4">
        <v>43449.49236111111</v>
      </c>
      <c r="BL27" t="inlineStr">
        <is>
          <t>0.0</t>
        </is>
      </c>
      <c r="BM27" t="inlineStr">
        <is>
          <t>0.0</t>
        </is>
      </c>
      <c r="BN27" t="inlineStr">
        <is>
          <t>View Company Page</t>
        </is>
      </c>
      <c r="BO27" s="4">
        <v>46136.616944444446</v>
      </c>
      <c r="BP27">
        <v>168821</v>
      </c>
      <c r="BQ27">
        <v>57745</v>
      </c>
      <c r="BR27" t="inlineStr">
        <is>
          <t>Online</t>
        </is>
      </c>
      <c r="BS27"/>
      <c r="BT27">
        <v>57745</v>
      </c>
      <c r="BU27"/>
      <c r="BV27">
        <v>2734460</v>
      </c>
      <c r="BW27" t="inlineStr">
        <is>
          <t>Follow Up : Decision Pending</t>
        </is>
      </c>
      <c r="BX27"/>
      <c r="BY27"/>
      <c r="BZ27" s="4"/>
      <c r="CA27"/>
      <c r="CB27"/>
      <c r="CC27" s="4"/>
      <c r="CD27" t="inlineStr">
        <is>
          <t>20</t>
        </is>
      </c>
      <c r="CE27" t="inlineStr">
        <is>
          <t>0</t>
        </is>
      </c>
      <c r="CF27" t="inlineStr">
        <is>
          <t>Q2-W04</t>
        </is>
      </c>
      <c r="CG27"/>
      <c r="CH27"/>
      <c r="CI27"/>
      <c r="CJ27" t="inlineStr">
        <is>
          <t>Paid</t>
        </is>
      </c>
      <c r="CK27" t="inlineStr">
        <is>
          <t>Not Eligible</t>
        </is>
      </c>
      <c r="CL27"/>
      <c r="CM27"/>
    </row>
    <row r="28" ht="25.5" customHeight="1">
      <c r="A28" t="inlineStr">
        <is>
          <t>203632</t>
        </is>
      </c>
      <c r="B28" s="2"/>
      <c r="C28"/>
      <c r="D28" s="3">
        <v>46136.64275462963</v>
      </c>
      <c r="E28" t="inlineStr">
        <is>
          <t>Q2-W04</t>
        </is>
      </c>
      <c r="F28" t="inlineStr">
        <is>
          <t>Janice Yap</t>
        </is>
      </c>
      <c r="G28" t="inlineStr">
        <is>
          <t>Customer</t>
        </is>
      </c>
      <c r="H28" s="2" t="str">
        <f>=HYPERLINK("https://upbox.ajobthing.my/customer/203632", "https://upbox.ajobthing.my/customer/203632")</f>
        <v>https://upbox.ajobthing.my/customer/203632</v>
      </c>
      <c r="I28" t="inlineStr">
        <is>
          <t>Breezway Malaysia Sdn Bhd</t>
        </is>
      </c>
      <c r="J28" t="inlineStr">
        <is>
          <t>Dolphin</t>
        </is>
      </c>
      <c r="K28" t="inlineStr">
        <is>
          <t>Janice</t>
        </is>
      </c>
      <c r="L28" s="4"/>
      <c r="M28" s="4">
        <v>46140.65005787037</v>
      </c>
      <c r="N28"/>
      <c r="O28">
        <v>1296</v>
      </c>
      <c r="P28" s="4"/>
      <c r="Q28" s="4">
        <v>46141.63134259259</v>
      </c>
      <c r="R28"/>
      <c r="S28">
        <v>1296</v>
      </c>
      <c r="T28" s="4"/>
      <c r="U28" s="4"/>
      <c r="V28"/>
      <c r="W28"/>
      <c r="X28"/>
      <c r="Y28" t="inlineStr">
        <is>
          <t>Pending Appointment</t>
        </is>
      </c>
      <c r="Z28" t="inlineStr">
        <is>
          <t>Hiring Now</t>
        </is>
      </c>
      <c r="AA28">
        <v>1</v>
      </c>
      <c r="AB28" t="inlineStr">
        <is>
          <t>No Appointment Made</t>
        </is>
      </c>
      <c r="AC28"/>
      <c r="AD28" t="inlineStr">
        <is>
          <t>1 sales outdoor</t>
        </is>
      </c>
      <c r="AE28"/>
      <c r="AF28">
        <v>0</v>
      </c>
      <c r="AG28" s="4"/>
      <c r="AH28" s="4"/>
      <c r="AI28">
        <v>0</v>
      </c>
      <c r="AJ28"/>
      <c r="AK28" t="inlineStr">
        <is>
          <t>No, I don't need at all</t>
        </is>
      </c>
      <c r="AL28">
        <v>0</v>
      </c>
      <c r="AM28" t="inlineStr">
        <is>
          <t>No, I don't need at all</t>
        </is>
      </c>
      <c r="AN28"/>
      <c r="AO28" t="inlineStr">
        <is>
          <t>No, I don't need at all</t>
        </is>
      </c>
      <c r="AP28" t="inlineStr">
        <is>
          <t>Once a year (25%)</t>
        </is>
      </c>
      <c r="AQ28">
        <v>1</v>
      </c>
      <c r="AR28" t="inlineStr">
        <is>
          <t>Indeed (Paid)</t>
        </is>
      </c>
      <c r="AS28" t="inlineStr">
        <is>
          <t>- Headcount: 1
- Hiring Job Details: 1 sales outdoor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Indeed (Paid)</t>
        </is>
      </c>
      <c r="AT28">
        <v>115</v>
      </c>
      <c r="AU28" t="inlineStr">
        <is>
          <t>1.15</t>
        </is>
      </c>
      <c r="AV28" t="inlineStr">
        <is>
          <t>15</t>
        </is>
      </c>
      <c r="AW28" t="inlineStr">
        <is>
          <t>0</t>
        </is>
      </c>
      <c r="AX28" t="inlineStr">
        <is>
          <t>Not Qualified</t>
        </is>
      </c>
      <c r="AY28" s="4"/>
      <c r="AZ28"/>
      <c r="BA28"/>
      <c r="BB28"/>
      <c r="BC28" t="inlineStr">
        <is>
          <t>Prefer ala-carte job ad // send invoice</t>
        </is>
      </c>
      <c r="BD28" s="4">
        <v>46141.63267361111</v>
      </c>
      <c r="BE28" t="inlineStr">
        <is>
          <t>pending</t>
        </is>
      </c>
      <c r="BF28"/>
      <c r="BG28" t="inlineStr">
        <is>
          <t>Reschedule</t>
        </is>
      </c>
      <c r="BH28" t="inlineStr">
        <is>
          <t>Yee Hang</t>
        </is>
      </c>
      <c r="BI28"/>
      <c r="BJ28" s="4">
        <v>46144.75436342593</v>
      </c>
      <c r="BK28" s="4">
        <v>46136.60949074074</v>
      </c>
      <c r="BL28" t="inlineStr">
        <is>
          <t>0.0</t>
        </is>
      </c>
      <c r="BM28" t="inlineStr">
        <is>
          <t>0.0</t>
        </is>
      </c>
      <c r="BN28" t="inlineStr">
        <is>
          <t>View Create Job Page V4</t>
        </is>
      </c>
      <c r="BO28" s="4">
        <v>46136.61913194445</v>
      </c>
      <c r="BP28">
        <v>169292</v>
      </c>
      <c r="BQ28">
        <v>124080</v>
      </c>
      <c r="BR28" t="inlineStr">
        <is>
          <t>Proforma</t>
        </is>
      </c>
      <c r="BS28" t="inlineStr">
        <is>
          <t>AI Ala Carte (Jan 26) Plus</t>
        </is>
      </c>
      <c r="BT28"/>
      <c r="BU28"/>
      <c r="BV28">
        <v>2735561</v>
      </c>
      <c r="BW28" t="inlineStr">
        <is>
          <t>Follow Up : Invoice Sent 75%</t>
        </is>
      </c>
      <c r="BX28"/>
      <c r="BY28"/>
      <c r="BZ28" s="4"/>
      <c r="CA28"/>
      <c r="CB28"/>
      <c r="CC28" s="4"/>
      <c r="CD28" t="inlineStr">
        <is>
          <t>20</t>
        </is>
      </c>
      <c r="CE28" t="inlineStr">
        <is>
          <t>0</t>
        </is>
      </c>
      <c r="CF28" t="inlineStr">
        <is>
          <t>Q2-W04</t>
        </is>
      </c>
      <c r="CG28" t="inlineStr">
        <is>
          <t>Q2-W04</t>
        </is>
      </c>
      <c r="CH28"/>
      <c r="CI28"/>
      <c r="CJ28" t="inlineStr">
        <is>
          <t>No Paid</t>
        </is>
      </c>
      <c r="CK28" t="inlineStr">
        <is>
          <t>Not Eligible</t>
        </is>
      </c>
      <c r="CL28"/>
      <c r="CM28"/>
    </row>
    <row r="29" ht="25.5" customHeight="1">
      <c r="A29" t="inlineStr">
        <is>
          <t>4319811</t>
        </is>
      </c>
      <c r="B29" s="2"/>
      <c r="C29"/>
      <c r="D29" s="3">
        <v>46136.65667824074</v>
      </c>
      <c r="E29" t="inlineStr">
        <is>
          <t>Q2-W04</t>
        </is>
      </c>
      <c r="F29" t="inlineStr">
        <is>
          <t>Josh</t>
        </is>
      </c>
      <c r="G29" t="inlineStr">
        <is>
          <t>Lead</t>
        </is>
      </c>
      <c r="H29" s="2" t="str">
        <f>=HYPERLINK("https://upbox.ajobthing.my/leads/4319811", "https://upbox.ajobthing.my/leads/4319811")</f>
        <v>https://upbox.ajobthing.my/leads/4319811</v>
      </c>
      <c r="I29" t="inlineStr">
        <is>
          <t>HIMILE INDUSTRIAL EQUIPMENT SDN.BHD</t>
        </is>
      </c>
      <c r="J29" t="inlineStr">
        <is>
          <t>Dolphin</t>
        </is>
      </c>
      <c r="K29" t="inlineStr">
        <is>
          <t>Josh</t>
        </is>
      </c>
      <c r="L29" s="4"/>
      <c r="M29" s="4">
        <v>46136.65725694445</v>
      </c>
      <c r="N29"/>
      <c r="O29">
        <v>1512</v>
      </c>
      <c r="P29" s="4"/>
      <c r="Q29" s="4"/>
      <c r="R29"/>
      <c r="S29"/>
      <c r="T29" s="4"/>
      <c r="U29" s="4"/>
      <c r="V29"/>
      <c r="W29"/>
      <c r="X29"/>
      <c r="Y29" t="inlineStr">
        <is>
          <t>Pending Appointment</t>
        </is>
      </c>
      <c r="Z29" t="inlineStr">
        <is>
          <t>Hiring Now</t>
        </is>
      </c>
      <c r="AA29">
        <v>3</v>
      </c>
      <c r="AB29" t="inlineStr">
        <is>
          <t>No Appointment Made</t>
        </is>
      </c>
      <c r="AC29"/>
      <c r="AD29" t="inlineStr">
        <is>
          <t>3 QC</t>
        </is>
      </c>
      <c r="AE29"/>
      <c r="AF29">
        <v>1500</v>
      </c>
      <c r="AG29" s="4"/>
      <c r="AH29" s="4"/>
      <c r="AI29"/>
      <c r="AJ29"/>
      <c r="AK29" t="inlineStr">
        <is>
          <t>Yes, I have</t>
        </is>
      </c>
      <c r="AL29"/>
      <c r="AM29"/>
      <c r="AN29"/>
      <c r="AO29"/>
      <c r="AP29" t="inlineStr">
        <is>
          <t>Once a year (25%)</t>
        </is>
      </c>
      <c r="AQ29"/>
      <c r="AR29"/>
      <c r="AS29" t="inlineStr">
        <is>
          <t>- Headcount: 3
- Hiring Job Details: 3 QC
- Number of outlets: Not provided
- Have recruiter team: Yes
- Number of recruiter in company: Not provided
- Have ATS system: Not provided
- Have career website: Not provided
- Current hiring budget: RM1,500.00
- Whole year budget: Not provided
- Whole year number of vacancies: Not provided
- Hiring frequency: Once a year (25%)
- External job portal: Not provided
- Hiring Urgency: Hiring Now</t>
        </is>
      </c>
      <c r="AT29">
        <v>95</v>
      </c>
      <c r="AU29" t="inlineStr">
        <is>
          <t>0.95</t>
        </is>
      </c>
      <c r="AV29" t="inlineStr">
        <is>
          <t>15</t>
        </is>
      </c>
      <c r="AW29" t="inlineStr">
        <is>
          <t>0</t>
        </is>
      </c>
      <c r="AX29" t="inlineStr">
        <is>
          <t>Not Qualified</t>
        </is>
      </c>
      <c r="AY29" s="4"/>
      <c r="AZ29"/>
      <c r="BA29"/>
      <c r="BB29"/>
      <c r="BC29"/>
      <c r="BD29" s="4"/>
      <c r="BE29"/>
      <c r="BF29"/>
      <c r="BG29" t="inlineStr">
        <is>
          <t>Reschedule</t>
        </is>
      </c>
      <c r="BH29" t="inlineStr">
        <is>
          <t>Fauziah Maharan</t>
        </is>
      </c>
      <c r="BI29"/>
      <c r="BJ29" s="4">
        <v>46144.75592592593</v>
      </c>
      <c r="BK29" s="4">
        <v>46136.59784722222</v>
      </c>
      <c r="BL29" t="inlineStr">
        <is>
          <t>0.0</t>
        </is>
      </c>
      <c r="BM29" t="inlineStr">
        <is>
          <t>0.0</t>
        </is>
      </c>
      <c r="BN29"/>
      <c r="BO29" s="4"/>
      <c r="BP29">
        <v>168829</v>
      </c>
      <c r="BQ29"/>
      <c r="BR29"/>
      <c r="BS29"/>
      <c r="BT29"/>
      <c r="BU29"/>
      <c r="BV29"/>
      <c r="BW29"/>
      <c r="BX29"/>
      <c r="BY29"/>
      <c r="BZ29" s="4"/>
      <c r="CA29"/>
      <c r="CB29"/>
      <c r="CC29" s="4"/>
      <c r="CD29" t="inlineStr">
        <is>
          <t>20</t>
        </is>
      </c>
      <c r="CE29" t="inlineStr">
        <is>
          <t>0</t>
        </is>
      </c>
      <c r="CF29" t="inlineStr">
        <is>
          <t>Q2-W04</t>
        </is>
      </c>
      <c r="CG29"/>
      <c r="CH29"/>
      <c r="CI29"/>
      <c r="CJ29" t="inlineStr">
        <is>
          <t>No Paid</t>
        </is>
      </c>
      <c r="CK29" t="inlineStr">
        <is>
          <t>Not Eligible</t>
        </is>
      </c>
      <c r="CL29"/>
      <c r="CM29"/>
    </row>
    <row r="30" ht="25.5" customHeight="1">
      <c r="A30" t="inlineStr">
        <is>
          <t>183285</t>
        </is>
      </c>
      <c r="B30" s="2"/>
      <c r="C30"/>
      <c r="D30" s="3">
        <v>46136.66085648148</v>
      </c>
      <c r="E30" t="inlineStr">
        <is>
          <t>Q2-W04</t>
        </is>
      </c>
      <c r="F30" t="inlineStr">
        <is>
          <t>Fariz</t>
        </is>
      </c>
      <c r="G30" t="inlineStr">
        <is>
          <t>Customer</t>
        </is>
      </c>
      <c r="H30" s="2" t="str">
        <f>=HYPERLINK("https://upbox.ajobthing.my/customer/183285", "https://upbox.ajobthing.my/customer/183285")</f>
        <v>https://upbox.ajobthing.my/customer/183285</v>
      </c>
      <c r="I30" t="inlineStr">
        <is>
          <t>Vermilion Foods Empire Sdn Bhd</t>
        </is>
      </c>
      <c r="J30" t="inlineStr">
        <is>
          <t>Dolphin</t>
        </is>
      </c>
      <c r="K30" t="inlineStr">
        <is>
          <t>Fariz</t>
        </is>
      </c>
      <c r="L30" s="4"/>
      <c r="M30" s="4">
        <v>46136.66123842593</v>
      </c>
      <c r="N30"/>
      <c r="O30">
        <v>3888</v>
      </c>
      <c r="P30" s="4"/>
      <c r="Q30" s="4"/>
      <c r="R30"/>
      <c r="S30"/>
      <c r="T30" s="4"/>
      <c r="U30" s="4"/>
      <c r="V30"/>
      <c r="W30"/>
      <c r="X30"/>
      <c r="Y30" t="inlineStr">
        <is>
          <t>Pending Appointment</t>
        </is>
      </c>
      <c r="Z30" t="inlineStr">
        <is>
          <t>Hiring Now</t>
        </is>
      </c>
      <c r="AA30">
        <v>2</v>
      </c>
      <c r="AB30" t="inlineStr">
        <is>
          <t>No Appointment Made</t>
        </is>
      </c>
      <c r="AC30"/>
      <c r="AD30" t="inlineStr">
        <is>
          <t>2 sales and marketing</t>
        </is>
      </c>
      <c r="AE30"/>
      <c r="AF30">
        <v>3600</v>
      </c>
      <c r="AG30" s="4"/>
      <c r="AH30" s="4"/>
      <c r="AI30">
        <v>3600</v>
      </c>
      <c r="AJ30"/>
      <c r="AK30" t="inlineStr">
        <is>
          <t>No, but I want in future</t>
        </is>
      </c>
      <c r="AL30">
        <v>1</v>
      </c>
      <c r="AM30" t="inlineStr">
        <is>
          <t>No, I don't need at all</t>
        </is>
      </c>
      <c r="AN30"/>
      <c r="AO30" t="inlineStr">
        <is>
          <t>No, but I want in future</t>
        </is>
      </c>
      <c r="AP30" t="inlineStr">
        <is>
          <t>Twice a year (50%)</t>
        </is>
      </c>
      <c r="AQ30">
        <v>3</v>
      </c>
      <c r="AR30" t="inlineStr">
        <is>
          <t>Jobstreet, Free Job Portal</t>
        </is>
      </c>
      <c r="AS30" t="inlineStr">
        <is>
          <t>- Headcount: 2
- Hiring Job Details: 2 sales and marketing
- Hiring Urgency: Hiring Now
- Number of outlets: 
- Have recruiter team: No, but I want in future
- Number of recruiter in company: 1
- Have ATS system: No, I don't need at all
- Have career website: No, but I want in future
- Current hiring budget: RM3,600
- Whole year budget: RM3,600.00
- Whole year number of vacancies: 3
- Hiring frequency: Twice a year (50%)
- External job portal: Jobstreet, Free Job Portal</t>
        </is>
      </c>
      <c r="AT30">
        <v>95</v>
      </c>
      <c r="AU30" t="inlineStr">
        <is>
          <t>0.95</t>
        </is>
      </c>
      <c r="AV30" t="inlineStr">
        <is>
          <t>15</t>
        </is>
      </c>
      <c r="AW30" t="inlineStr">
        <is>
          <t>0</t>
        </is>
      </c>
      <c r="AX30" t="inlineStr">
        <is>
          <t>Not Qualified</t>
        </is>
      </c>
      <c r="AY30" s="4"/>
      <c r="AZ30"/>
      <c r="BA30"/>
      <c r="BB30"/>
      <c r="BC30" t="inlineStr">
        <is>
          <t>- Headcount: 2
- Hiring Job Details: 2 sales and marketing
- Hiring Urgency: Hiring Now
- Number of outlets: 
- Have recruiter team: No, but I want in future
- Number of recruiter in company: 1
- Have ATS system: No, I don't need at all
- Have career website: No, but I want in future
- Current hiring budget: RM3,600
- Whole year budget: RM3,600.00
- Whole year number of vacancies: 3
- Hiring frequency: Twice a year (50%)
- External job portal: Jobstreet, Free Job Portal</t>
        </is>
      </c>
      <c r="BD30" s="4">
        <v>46136.666712962964</v>
      </c>
      <c r="BE30"/>
      <c r="BF30"/>
      <c r="BG30" t="inlineStr">
        <is>
          <t>Reschedule</t>
        </is>
      </c>
      <c r="BH30" t="inlineStr">
        <is>
          <t>Edward Hoo</t>
        </is>
      </c>
      <c r="BI30" t="inlineStr">
        <is>
          <t>Food / Beverage</t>
        </is>
      </c>
      <c r="BJ30" s="4">
        <v>46144.75194444445</v>
      </c>
      <c r="BK30" s="4">
        <v>45566.60494212963</v>
      </c>
      <c r="BL30" t="inlineStr">
        <is>
          <t>0.0</t>
        </is>
      </c>
      <c r="BM30" t="inlineStr">
        <is>
          <t>1200.0</t>
        </is>
      </c>
      <c r="BN30" t="inlineStr">
        <is>
          <t>View Account User</t>
        </is>
      </c>
      <c r="BO30" s="4">
        <v>45833.7303125</v>
      </c>
      <c r="BP30">
        <v>168833</v>
      </c>
      <c r="BQ30"/>
      <c r="BR30"/>
      <c r="BS30"/>
      <c r="BT30"/>
      <c r="BU30"/>
      <c r="BV30">
        <v>2726968</v>
      </c>
      <c r="BW30" t="inlineStr">
        <is>
          <t>Customer Inquiry</t>
        </is>
      </c>
      <c r="BX30"/>
      <c r="BY30"/>
      <c r="BZ30" s="4"/>
      <c r="CA30"/>
      <c r="CB30"/>
      <c r="CC30" s="4"/>
      <c r="CD30" t="inlineStr">
        <is>
          <t>20</t>
        </is>
      </c>
      <c r="CE30" t="inlineStr">
        <is>
          <t>0</t>
        </is>
      </c>
      <c r="CF30" t="inlineStr">
        <is>
          <t>Q2-W04</t>
        </is>
      </c>
      <c r="CG30"/>
      <c r="CH30"/>
      <c r="CI30"/>
      <c r="CJ30" t="inlineStr">
        <is>
          <t>No Paid</t>
        </is>
      </c>
      <c r="CK30" t="inlineStr">
        <is>
          <t>Not Eligible</t>
        </is>
      </c>
      <c r="CL30"/>
      <c r="CM30"/>
    </row>
    <row r="31" ht="25.5" customHeight="1">
      <c r="A31" t="inlineStr">
        <is>
          <t>200108</t>
        </is>
      </c>
      <c r="B31" s="2"/>
      <c r="C31"/>
      <c r="D31" s="3">
        <v>46136.66762731481</v>
      </c>
      <c r="E31" t="inlineStr">
        <is>
          <t>Q2-W04</t>
        </is>
      </c>
      <c r="F31" t="inlineStr">
        <is>
          <t>Fariz</t>
        </is>
      </c>
      <c r="G31" t="inlineStr">
        <is>
          <t>Customer</t>
        </is>
      </c>
      <c r="H31" s="2" t="str">
        <f>=HYPERLINK("https://upbox.ajobthing.my/customer/200108", "https://upbox.ajobthing.my/customer/200108")</f>
        <v>https://upbox.ajobthing.my/customer/200108</v>
      </c>
      <c r="I31" t="inlineStr">
        <is>
          <t>E Supply Electronics Sdn Bhd</t>
        </is>
      </c>
      <c r="J31" t="inlineStr">
        <is>
          <t>Dolphin</t>
        </is>
      </c>
      <c r="K31" t="inlineStr">
        <is>
          <t>Fariz</t>
        </is>
      </c>
      <c r="L31" s="4"/>
      <c r="M31" s="4">
        <v>46136.669282407405</v>
      </c>
      <c r="N31"/>
      <c r="O31">
        <v>3888</v>
      </c>
      <c r="P31" s="4"/>
      <c r="Q31" s="4">
        <v>46140.702199074076</v>
      </c>
      <c r="R31"/>
      <c r="S31">
        <v>864</v>
      </c>
      <c r="T31" s="4">
        <v>46140.702199074076</v>
      </c>
      <c r="U31" s="4"/>
      <c r="V31"/>
      <c r="W31">
        <v>864</v>
      </c>
      <c r="X31"/>
      <c r="Y31" t="inlineStr">
        <is>
          <t>Pending Appointment</t>
        </is>
      </c>
      <c r="Z31" t="inlineStr">
        <is>
          <t>Hiring Now</t>
        </is>
      </c>
      <c r="AA31">
        <v>1</v>
      </c>
      <c r="AB31" t="inlineStr">
        <is>
          <t>No Appointment Made</t>
        </is>
      </c>
      <c r="AC31"/>
      <c r="AD31" t="inlineStr">
        <is>
          <t>1 marketing executive</t>
        </is>
      </c>
      <c r="AE31"/>
      <c r="AF31">
        <v>3600</v>
      </c>
      <c r="AG31" s="4"/>
      <c r="AH31" s="4"/>
      <c r="AI31">
        <v>3600</v>
      </c>
      <c r="AJ31"/>
      <c r="AK31" t="inlineStr">
        <is>
          <t>No, I don't need at all</t>
        </is>
      </c>
      <c r="AL31">
        <v>1</v>
      </c>
      <c r="AM31" t="inlineStr">
        <is>
          <t>No, but I want in future</t>
        </is>
      </c>
      <c r="AN31"/>
      <c r="AO31" t="inlineStr">
        <is>
          <t>No, but I want in future</t>
        </is>
      </c>
      <c r="AP31" t="inlineStr">
        <is>
          <t>Once a year (25%)</t>
        </is>
      </c>
      <c r="AQ31">
        <v>2</v>
      </c>
      <c r="AR31" t="inlineStr">
        <is>
          <t>Jobstreet, Free Job Portal</t>
        </is>
      </c>
      <c r="AS31" t="inlineStr">
        <is>
          <t>- Headcount: 1
- Hiring Job Details: 1 marketing executive
- Hiring Urgency: Hiring Now
- Number of outlets: 
- Have recruiter team: No, I don't need at all
- Number of recruiter in company: 1
- Have ATS system: No, but I want in future
- Have career website: No, but I want in future
- Current hiring budget: RM3,600
- Whole year budget: RM3,600.00
- Whole year number of vacancies: 2
- Hiring frequency: Once a year (25%)
- External job portal: Jobstreet, Free Job Portal</t>
        </is>
      </c>
      <c r="AT31">
        <v>115</v>
      </c>
      <c r="AU31" t="inlineStr">
        <is>
          <t>1.15</t>
        </is>
      </c>
      <c r="AV31" t="inlineStr">
        <is>
          <t>15</t>
        </is>
      </c>
      <c r="AW31" t="inlineStr">
        <is>
          <t>0</t>
        </is>
      </c>
      <c r="AX31" t="inlineStr">
        <is>
          <t>Not Qualified</t>
        </is>
      </c>
      <c r="AY31" s="4"/>
      <c r="AZ31"/>
      <c r="BA31"/>
      <c r="BB31"/>
      <c r="BC31" t="inlineStr">
        <is>
          <t>help to do job post.</t>
        </is>
      </c>
      <c r="BD31" s="4">
        <v>46142.58295138889</v>
      </c>
      <c r="BE31" t="inlineStr">
        <is>
          <t>paid</t>
        </is>
      </c>
      <c r="BF31" t="inlineStr">
        <is>
          <t>Q2-W04</t>
        </is>
      </c>
      <c r="BG31" t="inlineStr">
        <is>
          <t>Reschedule</t>
        </is>
      </c>
      <c r="BH31" t="inlineStr">
        <is>
          <t>Edward Hoo</t>
        </is>
      </c>
      <c r="BI31" t="inlineStr">
        <is>
          <t>Electrical / Electronics</t>
        </is>
      </c>
      <c r="BJ31" s="4">
        <v>46144.75347222222</v>
      </c>
      <c r="BK31" s="4">
        <v>46031.40261574074</v>
      </c>
      <c r="BL31" t="inlineStr">
        <is>
          <t>1728.0</t>
        </is>
      </c>
      <c r="BM31" t="inlineStr">
        <is>
          <t>0.0</t>
        </is>
      </c>
      <c r="BN31" t="inlineStr">
        <is>
          <t>View Company Page</t>
        </is>
      </c>
      <c r="BO31" s="4">
        <v>46142.48207175926</v>
      </c>
      <c r="BP31">
        <v>168839</v>
      </c>
      <c r="BQ31">
        <v>94990</v>
      </c>
      <c r="BR31" t="inlineStr">
        <is>
          <t>Online</t>
        </is>
      </c>
      <c r="BS31"/>
      <c r="BT31">
        <v>94990</v>
      </c>
      <c r="BU31"/>
      <c r="BV31">
        <v>2737582</v>
      </c>
      <c r="BW31" t="inlineStr">
        <is>
          <t>Service / Technical : Help To Post Job</t>
        </is>
      </c>
      <c r="BX31">
        <v>1</v>
      </c>
      <c r="BY31">
        <v>0</v>
      </c>
      <c r="BZ31" s="4">
        <v>46142.481307870374</v>
      </c>
      <c r="CA31">
        <v>10</v>
      </c>
      <c r="CB31">
        <v>10</v>
      </c>
      <c r="CC31" s="4"/>
      <c r="CD31" t="inlineStr">
        <is>
          <t>20</t>
        </is>
      </c>
      <c r="CE31" t="inlineStr">
        <is>
          <t>0</t>
        </is>
      </c>
      <c r="CF31" t="inlineStr">
        <is>
          <t>Q2-W04</t>
        </is>
      </c>
      <c r="CG31" t="inlineStr">
        <is>
          <t>Q2-W04</t>
        </is>
      </c>
      <c r="CH31" t="inlineStr">
        <is>
          <t>Q2-W04</t>
        </is>
      </c>
      <c r="CI31"/>
      <c r="CJ31" t="inlineStr">
        <is>
          <t>Paid</t>
        </is>
      </c>
      <c r="CK31" t="inlineStr">
        <is>
          <t>Not Eligible</t>
        </is>
      </c>
      <c r="CL31"/>
      <c r="CM31"/>
    </row>
    <row r="32" ht="25.5" customHeight="1">
      <c r="A32" t="inlineStr">
        <is>
          <t>200689</t>
        </is>
      </c>
      <c r="B32" s="2"/>
      <c r="C32"/>
      <c r="D32" s="3">
        <v>46136.67710648148</v>
      </c>
      <c r="E32" t="inlineStr">
        <is>
          <t>Q2-W04</t>
        </is>
      </c>
      <c r="F32" t="inlineStr">
        <is>
          <t>Jia Hui</t>
        </is>
      </c>
      <c r="G32" t="inlineStr">
        <is>
          <t>Customer</t>
        </is>
      </c>
      <c r="H32" s="2" t="str">
        <f>=HYPERLINK("https://upbox.ajobthing.my/customer/200689", "https://upbox.ajobthing.my/customer/200689")</f>
        <v>https://upbox.ajobthing.my/customer/200689</v>
      </c>
      <c r="I32" t="inlineStr">
        <is>
          <t>saft advisory (southkey johor)</t>
        </is>
      </c>
      <c r="J32" t="inlineStr">
        <is>
          <t>Dolphin</t>
        </is>
      </c>
      <c r="K32" t="inlineStr">
        <is>
          <t>Jia Hui</t>
        </is>
      </c>
      <c r="L32" s="4"/>
      <c r="M32" s="4">
        <v>46136.67784722222</v>
      </c>
      <c r="N32"/>
      <c r="O32">
        <v>11448</v>
      </c>
      <c r="P32" s="4"/>
      <c r="Q32" s="4"/>
      <c r="R32"/>
      <c r="S32"/>
      <c r="T32" s="4"/>
      <c r="U32" s="4"/>
      <c r="V32"/>
      <c r="W32"/>
      <c r="X32"/>
      <c r="Y32" t="inlineStr">
        <is>
          <t>Pending Appointment</t>
        </is>
      </c>
      <c r="Z32" t="inlineStr">
        <is>
          <t>Hiring Now</t>
        </is>
      </c>
      <c r="AA32">
        <v>25</v>
      </c>
      <c r="AB32" t="inlineStr">
        <is>
          <t>No Appointment Made</t>
        </is>
      </c>
      <c r="AC32"/>
      <c r="AD32" t="inlineStr">
        <is>
          <t>20-30 takaful consultants</t>
        </is>
      </c>
      <c r="AE32"/>
      <c r="AF32">
        <v>500</v>
      </c>
      <c r="AG32" s="4"/>
      <c r="AH32" s="4"/>
      <c r="AI32"/>
      <c r="AJ32"/>
      <c r="AK32" t="inlineStr">
        <is>
          <t>Yes, I have</t>
        </is>
      </c>
      <c r="AL32"/>
      <c r="AM32"/>
      <c r="AN32"/>
      <c r="AO32"/>
      <c r="AP32" t="inlineStr">
        <is>
          <t>Twice a year (50%)</t>
        </is>
      </c>
      <c r="AQ32"/>
      <c r="AR32"/>
      <c r="AS32" t="inlineStr">
        <is>
          <t>- Headcount: 25
- Hiring Job Details: 20-30 takaful consultants
- Number of outlets: N/A
- Have recruiter team: Yes
- Number of recruiter in company: N/A
- Have ATS system: N/A
- Have career website: N/A
- Current hiring budget: RM500.00
- Whole year budget: N/A
- Whole year number of vacancies: N/A
- Hiring frequency: Twice a year (50%)
- External job portal: N/A
- Hiring Urgency: Hiring Now</t>
        </is>
      </c>
      <c r="AT32">
        <v>95</v>
      </c>
      <c r="AU32" t="inlineStr">
        <is>
          <t>0.95</t>
        </is>
      </c>
      <c r="AV32" t="inlineStr">
        <is>
          <t>25</t>
        </is>
      </c>
      <c r="AW32" t="inlineStr">
        <is>
          <t>0</t>
        </is>
      </c>
      <c r="AX32" t="inlineStr">
        <is>
          <t>Not Qualified</t>
        </is>
      </c>
      <c r="AY32" s="4"/>
      <c r="AZ32"/>
      <c r="BA32"/>
      <c r="BB32"/>
      <c r="BC32" t="inlineStr">
        <is>
          <t>- Headcount: 20
- Hiring Job Details: 20-30 tactful agents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
- Hiring Urgency: Hiring Now</t>
        </is>
      </c>
      <c r="BD32" s="4">
        <v>46136.70837962963</v>
      </c>
      <c r="BE32"/>
      <c r="BF32"/>
      <c r="BG32" t="inlineStr">
        <is>
          <t>Reschedule</t>
        </is>
      </c>
      <c r="BH32" t="inlineStr">
        <is>
          <t>Reagen</t>
        </is>
      </c>
      <c r="BI32"/>
      <c r="BJ32" s="4">
        <v>46144.75363425926</v>
      </c>
      <c r="BK32" s="4">
        <v>46048.64784722222</v>
      </c>
      <c r="BL32" t="inlineStr">
        <is>
          <t>0.0</t>
        </is>
      </c>
      <c r="BM32" t="inlineStr">
        <is>
          <t>0.0</t>
        </is>
      </c>
      <c r="BN32"/>
      <c r="BO32" s="4"/>
      <c r="BP32">
        <v>168853</v>
      </c>
      <c r="BQ32"/>
      <c r="BR32"/>
      <c r="BS32"/>
      <c r="BT32"/>
      <c r="BU32"/>
      <c r="BV32">
        <v>2727197</v>
      </c>
      <c r="BW32" t="inlineStr">
        <is>
          <t>Customer Inquiry</t>
        </is>
      </c>
      <c r="BX32"/>
      <c r="BY32"/>
      <c r="BZ32" s="4"/>
      <c r="CA32"/>
      <c r="CB32"/>
      <c r="CC32" s="4"/>
      <c r="CD32" t="inlineStr">
        <is>
          <t>35</t>
        </is>
      </c>
      <c r="CE32" t="inlineStr">
        <is>
          <t>0</t>
        </is>
      </c>
      <c r="CF32" t="inlineStr">
        <is>
          <t>Q2-W04</t>
        </is>
      </c>
      <c r="CG32"/>
      <c r="CH32"/>
      <c r="CI32"/>
      <c r="CJ32" t="inlineStr">
        <is>
          <t>No Paid</t>
        </is>
      </c>
      <c r="CK32" t="inlineStr">
        <is>
          <t>Eligible</t>
        </is>
      </c>
      <c r="CL32"/>
      <c r="CM32"/>
    </row>
    <row r="33" ht="25.5" customHeight="1">
      <c r="A33" t="inlineStr">
        <is>
          <t>4320091</t>
        </is>
      </c>
      <c r="B33" s="2"/>
      <c r="C33"/>
      <c r="D33" s="3">
        <v>46136.677141203705</v>
      </c>
      <c r="E33" t="inlineStr">
        <is>
          <t>Q2-W04</t>
        </is>
      </c>
      <c r="F33" t="inlineStr">
        <is>
          <t>Eugene</t>
        </is>
      </c>
      <c r="G33" t="inlineStr">
        <is>
          <t>Lead</t>
        </is>
      </c>
      <c r="H33" s="2" t="str">
        <f>=HYPERLINK("https://upbox.ajobthing.my/leads/4320091", "https://upbox.ajobthing.my/leads/4320091")</f>
        <v>https://upbox.ajobthing.my/leads/4320091</v>
      </c>
      <c r="I33" t="inlineStr">
        <is>
          <t>PH WATER (M) SDN BHD</t>
        </is>
      </c>
      <c r="J33" t="inlineStr">
        <is>
          <t>Dolphin</t>
        </is>
      </c>
      <c r="K33" t="inlineStr">
        <is>
          <t>Eugene</t>
        </is>
      </c>
      <c r="L33" s="4"/>
      <c r="M33" s="4">
        <v>46136.6778587963</v>
      </c>
      <c r="N33"/>
      <c r="O33">
        <v>3888</v>
      </c>
      <c r="P33" s="4"/>
      <c r="Q33" s="4"/>
      <c r="R33"/>
      <c r="S33"/>
      <c r="T33" s="4"/>
      <c r="U33" s="4"/>
      <c r="V33"/>
      <c r="W33"/>
      <c r="X33"/>
      <c r="Y33" t="inlineStr">
        <is>
          <t>Pending Appointment</t>
        </is>
      </c>
      <c r="Z33" t="inlineStr">
        <is>
          <t>Hiring Now</t>
        </is>
      </c>
      <c r="AA33">
        <v>1</v>
      </c>
      <c r="AB33" t="inlineStr">
        <is>
          <t>No Appointment Made</t>
        </is>
      </c>
      <c r="AC33"/>
      <c r="AD33" t="inlineStr">
        <is>
          <t>1 technician, based in Perak</t>
        </is>
      </c>
      <c r="AE33"/>
      <c r="AF33">
        <v>3000</v>
      </c>
      <c r="AG33" s="4"/>
      <c r="AH33" s="4"/>
      <c r="AI33">
        <v>3000</v>
      </c>
      <c r="AJ33">
        <v>1</v>
      </c>
      <c r="AK33" t="inlineStr">
        <is>
          <t>No, I don't need at all</t>
        </is>
      </c>
      <c r="AL33">
        <v>1</v>
      </c>
      <c r="AM33" t="inlineStr">
        <is>
          <t>No, I don't need at all</t>
        </is>
      </c>
      <c r="AN33"/>
      <c r="AO33" t="inlineStr">
        <is>
          <t>No, I don't need at all</t>
        </is>
      </c>
      <c r="AP33" t="inlineStr">
        <is>
          <t>Once a year (25%)</t>
        </is>
      </c>
      <c r="AQ33">
        <v>3</v>
      </c>
      <c r="AR33" t="inlineStr">
        <is>
          <t>Free Job Portal</t>
        </is>
      </c>
      <c r="AS33" t="inlineStr">
        <is>
          <t>- Headcount: 1
- Hiring Job Details: 1 technician, based in Perak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is>
      </c>
      <c r="AT33">
        <v>115</v>
      </c>
      <c r="AU33" t="inlineStr">
        <is>
          <t>1.15</t>
        </is>
      </c>
      <c r="AV33" t="inlineStr">
        <is>
          <t>15</t>
        </is>
      </c>
      <c r="AW33" t="inlineStr">
        <is>
          <t>0</t>
        </is>
      </c>
      <c r="AX33" t="inlineStr">
        <is>
          <t>Not Qualified</t>
        </is>
      </c>
      <c r="AY33" s="4"/>
      <c r="AZ33"/>
      <c r="BA33"/>
      <c r="BB33"/>
      <c r="BC33"/>
      <c r="BD33" s="4"/>
      <c r="BE33"/>
      <c r="BF33"/>
      <c r="BG33" t="inlineStr">
        <is>
          <t>Reschedule</t>
        </is>
      </c>
      <c r="BH33" t="inlineStr">
        <is>
          <t>Edward Hoo</t>
        </is>
      </c>
      <c r="BI33"/>
      <c r="BJ33" s="4">
        <v>46144.75592592593</v>
      </c>
      <c r="BK33" s="4">
        <v>46136.65675925926</v>
      </c>
      <c r="BL33" t="inlineStr">
        <is>
          <t>0.0</t>
        </is>
      </c>
      <c r="BM33" t="inlineStr">
        <is>
          <t>4200.0</t>
        </is>
      </c>
      <c r="BN33"/>
      <c r="BO33" s="4"/>
      <c r="BP33">
        <v>168854</v>
      </c>
      <c r="BQ33"/>
      <c r="BR33"/>
      <c r="BS33"/>
      <c r="BT33"/>
      <c r="BU33"/>
      <c r="BV33"/>
      <c r="BW33"/>
      <c r="BX33"/>
      <c r="BY33"/>
      <c r="BZ33" s="4"/>
      <c r="CA33"/>
      <c r="CB33"/>
      <c r="CC33" s="4"/>
      <c r="CD33" t="inlineStr">
        <is>
          <t>20</t>
        </is>
      </c>
      <c r="CE33" t="inlineStr">
        <is>
          <t>0</t>
        </is>
      </c>
      <c r="CF33" t="inlineStr">
        <is>
          <t>Q2-W04</t>
        </is>
      </c>
      <c r="CG33"/>
      <c r="CH33"/>
      <c r="CI33"/>
      <c r="CJ33" t="inlineStr">
        <is>
          <t>No Paid</t>
        </is>
      </c>
      <c r="CK33" t="inlineStr">
        <is>
          <t>Not Eligible</t>
        </is>
      </c>
      <c r="CL33"/>
      <c r="CM33"/>
    </row>
    <row r="34" ht="25.5" customHeight="1">
      <c r="A34" t="inlineStr">
        <is>
          <t>202459</t>
        </is>
      </c>
      <c r="B34" s="2"/>
      <c r="C34"/>
      <c r="D34" s="3">
        <v>46136.67866898148</v>
      </c>
      <c r="E34" t="inlineStr">
        <is>
          <t>Q2-W04</t>
        </is>
      </c>
      <c r="F34" t="inlineStr">
        <is>
          <t>Keegan</t>
        </is>
      </c>
      <c r="G34" t="inlineStr">
        <is>
          <t>Customer</t>
        </is>
      </c>
      <c r="H34" s="2" t="str">
        <f>=HYPERLINK("https://upbox.ajobthing.my/customer/202459", "https://upbox.ajobthing.my/customer/202459")</f>
        <v>https://upbox.ajobthing.my/customer/202459</v>
      </c>
      <c r="I34" t="inlineStr">
        <is>
          <t>CRRC KUALA LUMPUR MAINTENANCE SDN BHD</t>
        </is>
      </c>
      <c r="J34" t="inlineStr">
        <is>
          <t>Dolphin</t>
        </is>
      </c>
      <c r="K34" t="inlineStr">
        <is>
          <t>Keegan</t>
        </is>
      </c>
      <c r="L34" s="4"/>
      <c r="M34" s="4">
        <v>46136.68002314815</v>
      </c>
      <c r="N34"/>
      <c r="O34">
        <v>6048</v>
      </c>
      <c r="P34" s="4"/>
      <c r="Q34" s="4"/>
      <c r="R34"/>
      <c r="S34"/>
      <c r="T34" s="4"/>
      <c r="U34" s="4"/>
      <c r="V34"/>
      <c r="W34"/>
      <c r="X34"/>
      <c r="Y34" t="inlineStr">
        <is>
          <t>Pending Appointment</t>
        </is>
      </c>
      <c r="Z34" t="inlineStr">
        <is>
          <t>Hiring Now</t>
        </is>
      </c>
      <c r="AA34">
        <v>3</v>
      </c>
      <c r="AB34" t="inlineStr">
        <is>
          <t>No Appointment Made</t>
        </is>
      </c>
      <c r="AC34"/>
      <c r="AD34" t="inlineStr">
        <is>
          <t xml:space="preserve">1. Business Analysis 
2. Technician 
3. Admin </t>
        </is>
      </c>
      <c r="AE34"/>
      <c r="AF34"/>
      <c r="AG34" s="4"/>
      <c r="AH34" s="4"/>
      <c r="AI34"/>
      <c r="AJ34">
        <v>1</v>
      </c>
      <c r="AK34" t="inlineStr">
        <is>
          <t>No, I don't need at all</t>
        </is>
      </c>
      <c r="AL34">
        <v>0</v>
      </c>
      <c r="AM34" t="inlineStr">
        <is>
          <t>No, I don't need at all</t>
        </is>
      </c>
      <c r="AN34"/>
      <c r="AO34" t="inlineStr">
        <is>
          <t>No, I don't need at all</t>
        </is>
      </c>
      <c r="AP34" t="inlineStr">
        <is>
          <t>Once per quarter (75%)</t>
        </is>
      </c>
      <c r="AQ34"/>
      <c r="AR34" t="inlineStr">
        <is>
          <t>Did not use any job portal</t>
        </is>
      </c>
      <c r="AS34" t="inlineStr">
        <is>
          <t>- Headcount: 3
- Hiring Job Details: 1. Business Analysis 2. Technician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34">
        <v>65</v>
      </c>
      <c r="AU34" t="inlineStr">
        <is>
          <t>0.65</t>
        </is>
      </c>
      <c r="AV34" t="inlineStr">
        <is>
          <t>5</t>
        </is>
      </c>
      <c r="AW34" t="inlineStr">
        <is>
          <t>0</t>
        </is>
      </c>
      <c r="AX34" t="inlineStr">
        <is>
          <t>Not Qualified</t>
        </is>
      </c>
      <c r="AY34" s="4"/>
      <c r="AZ34"/>
      <c r="BA34"/>
      <c r="BB34"/>
      <c r="BC34" t="inlineStr">
        <is>
          <t>Will use free portal first for now</t>
        </is>
      </c>
      <c r="BD34" s="4">
        <v>46140.68550925926</v>
      </c>
      <c r="BE34"/>
      <c r="BF34"/>
      <c r="BG34" t="inlineStr">
        <is>
          <t>Reschedule</t>
        </is>
      </c>
      <c r="BH34" t="inlineStr">
        <is>
          <t>Edward Hoo</t>
        </is>
      </c>
      <c r="BI34"/>
      <c r="BJ34" s="4">
        <v>46144.75405092593</v>
      </c>
      <c r="BK34" s="4">
        <v>46107.65142361111</v>
      </c>
      <c r="BL34" t="inlineStr">
        <is>
          <t>0.0</t>
        </is>
      </c>
      <c r="BM34" t="inlineStr">
        <is>
          <t>0.0</t>
        </is>
      </c>
      <c r="BN34" t="inlineStr">
        <is>
          <t>View Create Job Page V4</t>
        </is>
      </c>
      <c r="BO34" s="4">
        <v>46107.65837962963</v>
      </c>
      <c r="BP34">
        <v>168857</v>
      </c>
      <c r="BQ34"/>
      <c r="BR34"/>
      <c r="BS34"/>
      <c r="BT34"/>
      <c r="BU34"/>
      <c r="BV34">
        <v>2733454</v>
      </c>
      <c r="BW34" t="inlineStr">
        <is>
          <t>Follow Up : Lost - Free Portal</t>
        </is>
      </c>
      <c r="BX34"/>
      <c r="BY34"/>
      <c r="BZ34" s="4"/>
      <c r="CA34"/>
      <c r="CB34"/>
      <c r="CC34" s="4"/>
      <c r="CD34" t="inlineStr">
        <is>
          <t>5</t>
        </is>
      </c>
      <c r="CE34" t="inlineStr">
        <is>
          <t>0</t>
        </is>
      </c>
      <c r="CF34" t="inlineStr">
        <is>
          <t>Q2-W04</t>
        </is>
      </c>
      <c r="CG34"/>
      <c r="CH34"/>
      <c r="CI34"/>
      <c r="CJ34" t="inlineStr">
        <is>
          <t>No Paid</t>
        </is>
      </c>
      <c r="CK34" t="inlineStr">
        <is>
          <t>Not Eligible</t>
        </is>
      </c>
      <c r="CL34"/>
      <c r="CM34"/>
    </row>
    <row r="35" ht="25.5" customHeight="1">
      <c r="A35" t="inlineStr">
        <is>
          <t>191212</t>
        </is>
      </c>
      <c r="B35" s="2"/>
      <c r="C35"/>
      <c r="D35" s="3">
        <v>46136.69541666667</v>
      </c>
      <c r="E35" t="inlineStr">
        <is>
          <t>Q2-W04</t>
        </is>
      </c>
      <c r="F35" t="inlineStr">
        <is>
          <t>Ken Yi</t>
        </is>
      </c>
      <c r="G35" t="inlineStr">
        <is>
          <t>Customer</t>
        </is>
      </c>
      <c r="H35" s="2" t="str">
        <f>=HYPERLINK("https://upbox.ajobthing.my/customer/191212", "https://upbox.ajobthing.my/customer/191212")</f>
        <v>https://upbox.ajobthing.my/customer/191212</v>
      </c>
      <c r="I35" t="inlineStr">
        <is>
          <t>Richme Holding Sdn Bhd (Piccolo Kids Cafe)</t>
        </is>
      </c>
      <c r="J35" t="inlineStr">
        <is>
          <t>Dolphin</t>
        </is>
      </c>
      <c r="K35" t="inlineStr">
        <is>
          <t>Kenyi</t>
        </is>
      </c>
      <c r="L35" s="4"/>
      <c r="M35" s="4">
        <v>46140.50435185185</v>
      </c>
      <c r="N35"/>
      <c r="O35">
        <v>5412.96</v>
      </c>
      <c r="P35" s="4"/>
      <c r="Q35" s="4">
        <v>45791.432962962965</v>
      </c>
      <c r="R35"/>
      <c r="S35">
        <v>3132</v>
      </c>
      <c r="T35" s="4">
        <v>45791.432962962965</v>
      </c>
      <c r="U35" s="4"/>
      <c r="V35"/>
      <c r="W35">
        <v>3132</v>
      </c>
      <c r="X35"/>
      <c r="Y35" t="inlineStr">
        <is>
          <t>Pending Appointment</t>
        </is>
      </c>
      <c r="Z35" t="inlineStr">
        <is>
          <t>Hiring Now</t>
        </is>
      </c>
      <c r="AA35">
        <v>0</v>
      </c>
      <c r="AB35" t="inlineStr">
        <is>
          <t>No Appointment Made</t>
        </is>
      </c>
      <c r="AC35"/>
      <c r="AD35" t="inlineStr">
        <is>
          <t>Haven't decided which position to post, renewal package offered</t>
        </is>
      </c>
      <c r="AE35"/>
      <c r="AF35">
        <v>3672</v>
      </c>
      <c r="AG35" s="4"/>
      <c r="AH35" s="4"/>
      <c r="AI35">
        <v>0</v>
      </c>
      <c r="AJ35">
        <v>1</v>
      </c>
      <c r="AK35" t="inlineStr">
        <is>
          <t>Yes, I have</t>
        </is>
      </c>
      <c r="AL35">
        <v>1</v>
      </c>
      <c r="AM35" t="inlineStr">
        <is>
          <t>No, I don't need at all</t>
        </is>
      </c>
      <c r="AN35"/>
      <c r="AO35" t="inlineStr">
        <is>
          <t>No, I don't need at all</t>
        </is>
      </c>
      <c r="AP35" t="inlineStr">
        <is>
          <t>Every month (100%)</t>
        </is>
      </c>
      <c r="AQ35">
        <v>1</v>
      </c>
      <c r="AR35" t="inlineStr">
        <is>
          <t>Did not use any job portal</t>
        </is>
      </c>
      <c r="AS35" t="inlineStr">
        <is>
          <t>- Headcount: 0
- Hiring Job Details: Haven't decided which position to post, renewal package offered
- Hiring Urgency: Hiring Now
- Number of outlets: 1
- Have recruiter team: Yes
- Number of recruiter in company: 1
- Have ATS system: No, I don't need at all
- Have career website: No, I don't need at all
- Current hiring budget: RM3,672
- Whole year budget: RM0.00
- Whole year number of vacancies: 1
- Hiring frequency: Every month (100%)
- External job portal: Did not use any job portal</t>
        </is>
      </c>
      <c r="AT35">
        <v>75</v>
      </c>
      <c r="AU35" t="inlineStr">
        <is>
          <t>0.75</t>
        </is>
      </c>
      <c r="AV35" t="inlineStr">
        <is>
          <t>15</t>
        </is>
      </c>
      <c r="AW35" t="inlineStr">
        <is>
          <t>0</t>
        </is>
      </c>
      <c r="AX35" t="inlineStr">
        <is>
          <t>Not Qualified</t>
        </is>
      </c>
      <c r="AY35" s="4"/>
      <c r="AZ35"/>
      <c r="BA35"/>
      <c r="BB35"/>
      <c r="BC35" t="inlineStr">
        <is>
          <t>Follow up decision pending</t>
        </is>
      </c>
      <c r="BD35" s="4">
        <v>46141.43298611111</v>
      </c>
      <c r="BE35" t="inlineStr">
        <is>
          <t>paid</t>
        </is>
      </c>
      <c r="BF35"/>
      <c r="BG35" t="inlineStr">
        <is>
          <t>Reschedule</t>
        </is>
      </c>
      <c r="BH35" t="inlineStr">
        <is>
          <t>Fauziah Maharan</t>
        </is>
      </c>
      <c r="BI35" t="inlineStr">
        <is>
          <t>Food / Beverage</t>
        </is>
      </c>
      <c r="BJ35" s="4">
        <v>46144.75239583333</v>
      </c>
      <c r="BK35" s="4">
        <v>45791.394907407404</v>
      </c>
      <c r="BL35" t="inlineStr">
        <is>
          <t>3132.0</t>
        </is>
      </c>
      <c r="BM35" t="inlineStr">
        <is>
          <t>0.0</t>
        </is>
      </c>
      <c r="BN35" t="inlineStr">
        <is>
          <t>View Company Page</t>
        </is>
      </c>
      <c r="BO35" s="4">
        <v>46135.647685185184</v>
      </c>
      <c r="BP35">
        <v>169218</v>
      </c>
      <c r="BQ35">
        <v>79234</v>
      </c>
      <c r="BR35" t="inlineStr">
        <is>
          <t>Online</t>
        </is>
      </c>
      <c r="BS35"/>
      <c r="BT35">
        <v>79234</v>
      </c>
      <c r="BU35"/>
      <c r="BV35">
        <v>2734395</v>
      </c>
      <c r="BW35" t="inlineStr">
        <is>
          <t>Follow Up : Decision Pending</t>
        </is>
      </c>
      <c r="BX35">
        <v>6</v>
      </c>
      <c r="BY35">
        <v>0</v>
      </c>
      <c r="BZ35" s="4">
        <v>46077.684849537036</v>
      </c>
      <c r="CA35">
        <v>120</v>
      </c>
      <c r="CB35">
        <v>118</v>
      </c>
      <c r="CC35" s="4">
        <v>45797.65523148148</v>
      </c>
      <c r="CD35" t="inlineStr">
        <is>
          <t>20</t>
        </is>
      </c>
      <c r="CE35" t="inlineStr">
        <is>
          <t>0</t>
        </is>
      </c>
      <c r="CF35" t="inlineStr">
        <is>
          <t>Q2-W04</t>
        </is>
      </c>
      <c r="CG35"/>
      <c r="CH35"/>
      <c r="CI35"/>
      <c r="CJ35" t="inlineStr">
        <is>
          <t>Paid</t>
        </is>
      </c>
      <c r="CK35" t="inlineStr">
        <is>
          <t>Not Eligible</t>
        </is>
      </c>
      <c r="CL35"/>
      <c r="CM35"/>
    </row>
    <row r="36" ht="25.5" customHeight="1">
      <c r="A36" t="inlineStr">
        <is>
          <t>200689</t>
        </is>
      </c>
      <c r="B36" s="2"/>
      <c r="C36"/>
      <c r="D36" s="3">
        <v>46136.70545138889</v>
      </c>
      <c r="E36" t="inlineStr">
        <is>
          <t>Q2-W04</t>
        </is>
      </c>
      <c r="F36" t="inlineStr">
        <is>
          <t>Jia Hui</t>
        </is>
      </c>
      <c r="G36" t="inlineStr">
        <is>
          <t>Customer</t>
        </is>
      </c>
      <c r="H36" s="2" t="str">
        <f>=HYPERLINK("https://upbox.ajobthing.my/customer/200689", "https://upbox.ajobthing.my/customer/200689")</f>
        <v>https://upbox.ajobthing.my/customer/200689</v>
      </c>
      <c r="I36" t="inlineStr">
        <is>
          <t>saft advisory (southkey johor)</t>
        </is>
      </c>
      <c r="J36" t="inlineStr">
        <is>
          <t>Dolphin</t>
        </is>
      </c>
      <c r="K36" t="inlineStr">
        <is>
          <t>Jia Hui</t>
        </is>
      </c>
      <c r="L36" s="4"/>
      <c r="M36" s="4">
        <v>46136.67784722222</v>
      </c>
      <c r="N36"/>
      <c r="O36">
        <v>11448</v>
      </c>
      <c r="P36" s="4"/>
      <c r="Q36" s="4"/>
      <c r="R36"/>
      <c r="S36"/>
      <c r="T36" s="4"/>
      <c r="U36" s="4"/>
      <c r="V36"/>
      <c r="W36"/>
      <c r="X36"/>
      <c r="Y36" t="inlineStr">
        <is>
          <t>Pending Appointment</t>
        </is>
      </c>
      <c r="Z36" t="inlineStr">
        <is>
          <t>Hiring Now</t>
        </is>
      </c>
      <c r="AA36">
        <v>20</v>
      </c>
      <c r="AB36" t="inlineStr">
        <is>
          <t>No Appointment Made</t>
        </is>
      </c>
      <c r="AC36"/>
      <c r="AD36" t="inlineStr">
        <is>
          <t>20-30 takeful agents</t>
        </is>
      </c>
      <c r="AE36"/>
      <c r="AF36">
        <v>500</v>
      </c>
      <c r="AG36" s="4"/>
      <c r="AH36" s="4"/>
      <c r="AI36"/>
      <c r="AJ36"/>
      <c r="AK36" t="inlineStr">
        <is>
          <t>Yes, I have</t>
        </is>
      </c>
      <c r="AL36"/>
      <c r="AM36"/>
      <c r="AN36"/>
      <c r="AO36"/>
      <c r="AP36" t="inlineStr">
        <is>
          <t>Twice a year (50%)</t>
        </is>
      </c>
      <c r="AQ36"/>
      <c r="AR36"/>
      <c r="AS36" t="inlineStr">
        <is>
          <t>- Headcount: 20
- Hiring Job Details: 20-30 tactful agents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
- Hiring Urgency: Hiring Now</t>
        </is>
      </c>
      <c r="AT36">
        <v>95</v>
      </c>
      <c r="AU36" t="inlineStr">
        <is>
          <t>0.95</t>
        </is>
      </c>
      <c r="AV36" t="inlineStr">
        <is>
          <t>25</t>
        </is>
      </c>
      <c r="AW36" t="inlineStr">
        <is>
          <t>0</t>
        </is>
      </c>
      <c r="AX36" t="inlineStr">
        <is>
          <t>Not Qualified</t>
        </is>
      </c>
      <c r="AY36" s="4"/>
      <c r="AZ36"/>
      <c r="BA36"/>
      <c r="BB36"/>
      <c r="BC36" t="inlineStr">
        <is>
          <t>- Headcount: 20
- Hiring Job Details: 20-30 tactful agents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
- Hiring Urgency: Hiring Now</t>
        </is>
      </c>
      <c r="BD36" s="4">
        <v>46136.70837962963</v>
      </c>
      <c r="BE36"/>
      <c r="BF36"/>
      <c r="BG36" t="inlineStr">
        <is>
          <t>Reschedule</t>
        </is>
      </c>
      <c r="BH36" t="inlineStr">
        <is>
          <t>Reagen</t>
        </is>
      </c>
      <c r="BI36"/>
      <c r="BJ36" s="4">
        <v>46144.75363425926</v>
      </c>
      <c r="BK36" s="4">
        <v>46048.64784722222</v>
      </c>
      <c r="BL36" t="inlineStr">
        <is>
          <t>0.0</t>
        </is>
      </c>
      <c r="BM36" t="inlineStr">
        <is>
          <t>0.0</t>
        </is>
      </c>
      <c r="BN36"/>
      <c r="BO36" s="4"/>
      <c r="BP36">
        <v>168853</v>
      </c>
      <c r="BQ36"/>
      <c r="BR36"/>
      <c r="BS36"/>
      <c r="BT36"/>
      <c r="BU36"/>
      <c r="BV36">
        <v>2727197</v>
      </c>
      <c r="BW36" t="inlineStr">
        <is>
          <t>Customer Inquiry</t>
        </is>
      </c>
      <c r="BX36"/>
      <c r="BY36"/>
      <c r="BZ36" s="4"/>
      <c r="CA36"/>
      <c r="CB36"/>
      <c r="CC36" s="4"/>
      <c r="CD36" t="inlineStr">
        <is>
          <t>35</t>
        </is>
      </c>
      <c r="CE36" t="inlineStr">
        <is>
          <t>0</t>
        </is>
      </c>
      <c r="CF36" t="inlineStr">
        <is>
          <t>Q2-W04</t>
        </is>
      </c>
      <c r="CG36"/>
      <c r="CH36"/>
      <c r="CI36"/>
      <c r="CJ36" t="inlineStr">
        <is>
          <t>No Paid</t>
        </is>
      </c>
      <c r="CK36" t="inlineStr">
        <is>
          <t>Eligible</t>
        </is>
      </c>
      <c r="CL36"/>
      <c r="CM36"/>
    </row>
    <row r="37" ht="25.5" customHeight="1">
      <c r="A37" t="inlineStr">
        <is>
          <t>57608</t>
        </is>
      </c>
      <c r="B37" s="2"/>
      <c r="C37"/>
      <c r="D37" s="3">
        <v>46136.72074074074</v>
      </c>
      <c r="E37" t="inlineStr">
        <is>
          <t>Q2-W04</t>
        </is>
      </c>
      <c r="F37" t="inlineStr">
        <is>
          <t>Keegan</t>
        </is>
      </c>
      <c r="G37" t="inlineStr">
        <is>
          <t>Customer</t>
        </is>
      </c>
      <c r="H37" s="2" t="str">
        <f>=HYPERLINK("https://upbox.ajobthing.my/customer/57608", "https://upbox.ajobthing.my/customer/57608")</f>
        <v>https://upbox.ajobthing.my/customer/57608</v>
      </c>
      <c r="I37" t="inlineStr">
        <is>
          <t>CBS Academy Sdn Bhd</t>
        </is>
      </c>
      <c r="J37" t="inlineStr">
        <is>
          <t>Dolphin</t>
        </is>
      </c>
      <c r="K37" t="inlineStr">
        <is>
          <t>Keegan</t>
        </is>
      </c>
      <c r="L37" s="4"/>
      <c r="M37" s="4">
        <v>46136.720868055556</v>
      </c>
      <c r="N37"/>
      <c r="O37">
        <v>3672</v>
      </c>
      <c r="P37" s="4"/>
      <c r="Q37" s="4">
        <v>46038.69458333333</v>
      </c>
      <c r="R37"/>
      <c r="S37">
        <v>0</v>
      </c>
      <c r="T37" s="4">
        <v>45719.46571759259</v>
      </c>
      <c r="U37" s="4"/>
      <c r="V37"/>
      <c r="W37">
        <v>3024</v>
      </c>
      <c r="X37"/>
      <c r="Y37" t="inlineStr">
        <is>
          <t>Pending Appointment</t>
        </is>
      </c>
      <c r="Z37" t="inlineStr">
        <is>
          <t>Hiring Now</t>
        </is>
      </c>
      <c r="AA37">
        <v>2</v>
      </c>
      <c r="AB37" t="inlineStr">
        <is>
          <t>No Appointment Made</t>
        </is>
      </c>
      <c r="AC37"/>
      <c r="AD37" t="inlineStr">
        <is>
          <t xml:space="preserve">1. Admin 
2. Marketing </t>
        </is>
      </c>
      <c r="AE37"/>
      <c r="AF37"/>
      <c r="AG37" s="4"/>
      <c r="AH37" s="4"/>
      <c r="AI37"/>
      <c r="AJ37">
        <v>1</v>
      </c>
      <c r="AK37" t="inlineStr">
        <is>
          <t>No, I don't need at all</t>
        </is>
      </c>
      <c r="AL37">
        <v>0</v>
      </c>
      <c r="AM37" t="inlineStr">
        <is>
          <t>No, I don't need at all</t>
        </is>
      </c>
      <c r="AN37"/>
      <c r="AO37" t="inlineStr">
        <is>
          <t>No, I don't need at all</t>
        </is>
      </c>
      <c r="AP37" t="inlineStr">
        <is>
          <t>Once per quarter (75%)</t>
        </is>
      </c>
      <c r="AQ37"/>
      <c r="AR37" t="inlineStr">
        <is>
          <t>Did not use any job portal</t>
        </is>
      </c>
      <c r="AS37" t="inlineStr">
        <is>
          <t>- Headcount: 2
- Hiring Job Details: 1. Admin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37">
        <v>75</v>
      </c>
      <c r="AU37" t="inlineStr">
        <is>
          <t>0.75</t>
        </is>
      </c>
      <c r="AV37" t="inlineStr">
        <is>
          <t>5</t>
        </is>
      </c>
      <c r="AW37" t="inlineStr">
        <is>
          <t>0</t>
        </is>
      </c>
      <c r="AX37" t="inlineStr">
        <is>
          <t>Not Qualified</t>
        </is>
      </c>
      <c r="AY37" s="4"/>
      <c r="AZ37"/>
      <c r="BA37"/>
      <c r="BB37"/>
      <c r="BC37" t="inlineStr">
        <is>
          <t>Pending decision</t>
        </is>
      </c>
      <c r="BD37" s="4">
        <v>46140.45429398148</v>
      </c>
      <c r="BE37" t="inlineStr">
        <is>
          <t>paid</t>
        </is>
      </c>
      <c r="BF37"/>
      <c r="BG37" t="inlineStr">
        <is>
          <t>Reschedule</t>
        </is>
      </c>
      <c r="BH37" t="inlineStr">
        <is>
          <t>Edward Hoo</t>
        </is>
      </c>
      <c r="BI37" t="inlineStr">
        <is>
          <t>Education / Training</t>
        </is>
      </c>
      <c r="BJ37" s="4">
        <v>46144.75609953704</v>
      </c>
      <c r="BK37" s="4">
        <v>43343.45125</v>
      </c>
      <c r="BL37" t="inlineStr">
        <is>
          <t>0.0</t>
        </is>
      </c>
      <c r="BM37" t="inlineStr">
        <is>
          <t>0.0</t>
        </is>
      </c>
      <c r="BN37" t="inlineStr">
        <is>
          <t>View Company Page</t>
        </is>
      </c>
      <c r="BO37" s="4">
        <v>46120.81548611111</v>
      </c>
      <c r="BP37">
        <v>168885</v>
      </c>
      <c r="BQ37">
        <v>113929</v>
      </c>
      <c r="BR37" t="inlineStr">
        <is>
          <t>Proforma</t>
        </is>
      </c>
      <c r="BS37" t="inlineStr">
        <is>
          <t>A La Carte AI Job Ad Free</t>
        </is>
      </c>
      <c r="BT37">
        <v>5636</v>
      </c>
      <c r="BU37"/>
      <c r="BV37">
        <v>2731963</v>
      </c>
      <c r="BW37" t="inlineStr">
        <is>
          <t>Follow Up : Decision Pending</t>
        </is>
      </c>
      <c r="BX37"/>
      <c r="BY37"/>
      <c r="BZ37" s="4"/>
      <c r="CA37"/>
      <c r="CB37"/>
      <c r="CC37" s="4"/>
      <c r="CD37" t="inlineStr">
        <is>
          <t>5</t>
        </is>
      </c>
      <c r="CE37" t="inlineStr">
        <is>
          <t>0</t>
        </is>
      </c>
      <c r="CF37" t="inlineStr">
        <is>
          <t>Q2-W04</t>
        </is>
      </c>
      <c r="CG37" t="inlineStr">
        <is>
          <t>Q1-W03</t>
        </is>
      </c>
      <c r="CH37"/>
      <c r="CI37"/>
      <c r="CJ37" t="inlineStr">
        <is>
          <t>Paid</t>
        </is>
      </c>
      <c r="CK37" t="inlineStr">
        <is>
          <t>Not Eligible</t>
        </is>
      </c>
      <c r="CL37"/>
      <c r="CM37"/>
    </row>
    <row r="38" ht="25.5" customHeight="1">
      <c r="A38" t="inlineStr">
        <is>
          <t>189663</t>
        </is>
      </c>
      <c r="B38" s="2"/>
      <c r="C38"/>
      <c r="D38" s="3">
        <v>46136.72090277778</v>
      </c>
      <c r="E38" t="inlineStr">
        <is>
          <t>Q2-W04</t>
        </is>
      </c>
      <c r="F38" t="inlineStr">
        <is>
          <t>Derek Lim</t>
        </is>
      </c>
      <c r="G38" t="inlineStr">
        <is>
          <t>Customer</t>
        </is>
      </c>
      <c r="H38" s="2" t="str">
        <f>=HYPERLINK("https://upbox.ajobthing.my/customer/189663", "https://upbox.ajobthing.my/customer/189663")</f>
        <v>https://upbox.ajobthing.my/customer/189663</v>
      </c>
      <c r="I38" t="inlineStr">
        <is>
          <t>Avows Technologies Sdn Bhd</t>
        </is>
      </c>
      <c r="J38" t="inlineStr">
        <is>
          <t>Dolphin</t>
        </is>
      </c>
      <c r="K38" t="inlineStr">
        <is>
          <t>Derek Lim</t>
        </is>
      </c>
      <c r="L38" s="4"/>
      <c r="M38" s="4">
        <v>46136.72101851852</v>
      </c>
      <c r="N38"/>
      <c r="O38">
        <v>6048</v>
      </c>
      <c r="P38" s="4"/>
      <c r="Q38" s="4"/>
      <c r="R38"/>
      <c r="S38"/>
      <c r="T38" s="4"/>
      <c r="U38" s="4"/>
      <c r="V38"/>
      <c r="W38"/>
      <c r="X38"/>
      <c r="Y38" t="inlineStr">
        <is>
          <t>Pending Appointment</t>
        </is>
      </c>
      <c r="Z38" t="inlineStr">
        <is>
          <t>Hiring Now</t>
        </is>
      </c>
      <c r="AA38">
        <v>2</v>
      </c>
      <c r="AB38" t="inlineStr">
        <is>
          <t>No Appointment Made</t>
        </is>
      </c>
      <c r="AC38"/>
      <c r="AD38" t="inlineStr">
        <is>
          <t>Sales - 1, account - 1</t>
        </is>
      </c>
      <c r="AE38"/>
      <c r="AF38">
        <v>0</v>
      </c>
      <c r="AG38" s="4"/>
      <c r="AH38" s="4"/>
      <c r="AI38">
        <v>0</v>
      </c>
      <c r="AJ38">
        <v>1</v>
      </c>
      <c r="AK38" t="inlineStr">
        <is>
          <t>No, I don't need at all</t>
        </is>
      </c>
      <c r="AL38">
        <v>0</v>
      </c>
      <c r="AM38" t="inlineStr">
        <is>
          <t>No, I don't need at all</t>
        </is>
      </c>
      <c r="AN38"/>
      <c r="AO38" t="inlineStr">
        <is>
          <t>No, I don't need at all</t>
        </is>
      </c>
      <c r="AP38" t="inlineStr">
        <is>
          <t>Once a year (25%)</t>
        </is>
      </c>
      <c r="AQ38">
        <v>2</v>
      </c>
      <c r="AR38" t="inlineStr">
        <is>
          <t>Indeed (Paid)</t>
        </is>
      </c>
      <c r="AS38" t="inlineStr">
        <is>
          <t>- Headcount: 2
- Hiring Job Details: 1 Sales, 1 account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Indeed (Paid)</t>
        </is>
      </c>
      <c r="AT38">
        <v>110</v>
      </c>
      <c r="AU38" t="inlineStr">
        <is>
          <t>1.10</t>
        </is>
      </c>
      <c r="AV38" t="inlineStr">
        <is>
          <t>15</t>
        </is>
      </c>
      <c r="AW38" t="inlineStr">
        <is>
          <t>0</t>
        </is>
      </c>
      <c r="AX38" t="inlineStr">
        <is>
          <t>Not Qualified</t>
        </is>
      </c>
      <c r="AY38" s="4"/>
      <c r="AZ38"/>
      <c r="BA38"/>
      <c r="BB38"/>
      <c r="BC38" t="inlineStr">
        <is>
          <t>HE SAY WILL DISCUSS WITH THE HR FIRST</t>
        </is>
      </c>
      <c r="BD38" s="4">
        <v>46141.58015046296</v>
      </c>
      <c r="BE38"/>
      <c r="BF38"/>
      <c r="BG38" t="inlineStr">
        <is>
          <t>Reschedule</t>
        </is>
      </c>
      <c r="BH38" t="inlineStr">
        <is>
          <t>Edward Hoo</t>
        </is>
      </c>
      <c r="BI38"/>
      <c r="BJ38" s="4">
        <v>46144.75232638889</v>
      </c>
      <c r="BK38" s="4">
        <v>45755.511145833334</v>
      </c>
      <c r="BL38" t="inlineStr">
        <is>
          <t>0.0</t>
        </is>
      </c>
      <c r="BM38" t="inlineStr">
        <is>
          <t>0.0</t>
        </is>
      </c>
      <c r="BN38" t="inlineStr">
        <is>
          <t>User Visit(Logged In)</t>
        </is>
      </c>
      <c r="BO38" s="4">
        <v>45756.53009259259</v>
      </c>
      <c r="BP38">
        <v>168887</v>
      </c>
      <c r="BQ38"/>
      <c r="BR38"/>
      <c r="BS38"/>
      <c r="BT38"/>
      <c r="BU38"/>
      <c r="BV38">
        <v>2735143</v>
      </c>
      <c r="BW38" t="inlineStr">
        <is>
          <t>Follow Up : Decision Pending</t>
        </is>
      </c>
      <c r="BX38"/>
      <c r="BY38"/>
      <c r="BZ38" s="4"/>
      <c r="CA38"/>
      <c r="CB38"/>
      <c r="CC38" s="4"/>
      <c r="CD38" t="inlineStr">
        <is>
          <t>20</t>
        </is>
      </c>
      <c r="CE38" t="inlineStr">
        <is>
          <t>0</t>
        </is>
      </c>
      <c r="CF38" t="inlineStr">
        <is>
          <t>Q2-W04</t>
        </is>
      </c>
      <c r="CG38"/>
      <c r="CH38"/>
      <c r="CI38"/>
      <c r="CJ38" t="inlineStr">
        <is>
          <t>No Paid</t>
        </is>
      </c>
      <c r="CK38" t="inlineStr">
        <is>
          <t>Not Eligible</t>
        </is>
      </c>
      <c r="CL38"/>
      <c r="CM38"/>
    </row>
    <row r="39" ht="25.5" customHeight="1">
      <c r="A39" t="inlineStr">
        <is>
          <t>203649</t>
        </is>
      </c>
      <c r="B39" s="2"/>
      <c r="C39"/>
      <c r="D39" s="3">
        <v>46136.727118055554</v>
      </c>
      <c r="E39" t="inlineStr">
        <is>
          <t>Q2-W04</t>
        </is>
      </c>
      <c r="F39" t="inlineStr">
        <is>
          <t>Xin Quan</t>
        </is>
      </c>
      <c r="G39" t="inlineStr">
        <is>
          <t>Customer</t>
        </is>
      </c>
      <c r="H39" s="2" t="str">
        <f>=HYPERLINK("https://upbox.ajobthing.my/customer/203649", "https://upbox.ajobthing.my/customer/203649")</f>
        <v>https://upbox.ajobthing.my/customer/203649</v>
      </c>
      <c r="I39" t="inlineStr">
        <is>
          <t>Penntech Corrosion Solution</t>
        </is>
      </c>
      <c r="J39" t="inlineStr">
        <is>
          <t>Dolphin</t>
        </is>
      </c>
      <c r="K39" t="inlineStr">
        <is>
          <t>Xin Quan</t>
        </is>
      </c>
      <c r="L39" s="4"/>
      <c r="M39" s="4">
        <v>46136.72725694445</v>
      </c>
      <c r="N39"/>
      <c r="O39">
        <v>11448</v>
      </c>
      <c r="P39" s="4"/>
      <c r="Q39" s="4"/>
      <c r="R39"/>
      <c r="S39"/>
      <c r="T39" s="4"/>
      <c r="U39" s="4"/>
      <c r="V39"/>
      <c r="W39"/>
      <c r="X39"/>
      <c r="Y39" t="inlineStr">
        <is>
          <t>Pending Appointment</t>
        </is>
      </c>
      <c r="Z39" t="inlineStr">
        <is>
          <t>Hiring Now</t>
        </is>
      </c>
      <c r="AA39">
        <v>18</v>
      </c>
      <c r="AB39" t="inlineStr">
        <is>
          <t>No Appointment Made</t>
        </is>
      </c>
      <c r="AC39"/>
      <c r="AD39" t="inlineStr">
        <is>
          <t>18 Position , Base in JB</t>
        </is>
      </c>
      <c r="AE39"/>
      <c r="AF39">
        <v>36000</v>
      </c>
      <c r="AG39" s="4"/>
      <c r="AH39" s="4"/>
      <c r="AI39">
        <v>360000</v>
      </c>
      <c r="AJ39">
        <v>1</v>
      </c>
      <c r="AK39" t="inlineStr">
        <is>
          <t>No, I don't need at all</t>
        </is>
      </c>
      <c r="AL39">
        <v>1</v>
      </c>
      <c r="AM39" t="inlineStr">
        <is>
          <t>No, I don't need at all</t>
        </is>
      </c>
      <c r="AN39"/>
      <c r="AO39" t="inlineStr">
        <is>
          <t>No, I don't need at all</t>
        </is>
      </c>
      <c r="AP39" t="inlineStr">
        <is>
          <t>Once a year (25%)</t>
        </is>
      </c>
      <c r="AQ39">
        <v>18</v>
      </c>
      <c r="AR39"/>
      <c r="AS39" t="inlineStr">
        <is>
          <t>- Headcount: 18
- Hiring Job Details: 18 positions, base in JB
- Hiring Urgency: Hiring Now
- Number of outlets: 1
- Have recruiter team: No, I don't need at all
- Number of recruiter in company: 1
- Have ATS system: No, I don't need at all
- Have career website: No, I don't need at all
- Current hiring budget: RM36,000
- Whole year budget: RM360,000.00
- Whole year number of vacancies: 18
- Hiring frequency: Once a year (25%)
- External job portal: None</t>
        </is>
      </c>
      <c r="AT39">
        <v>95</v>
      </c>
      <c r="AU39" t="inlineStr">
        <is>
          <t>0.95</t>
        </is>
      </c>
      <c r="AV39" t="inlineStr">
        <is>
          <t>40</t>
        </is>
      </c>
      <c r="AW39" t="inlineStr">
        <is>
          <t>0.5</t>
        </is>
      </c>
      <c r="AX39" t="inlineStr">
        <is>
          <t>Not Qualified</t>
        </is>
      </c>
      <c r="AY39" s="4"/>
      <c r="AZ39"/>
      <c r="BA39"/>
      <c r="BB39"/>
      <c r="BC39" t="inlineStr">
        <is>
          <t>SABI said now only hire 1 , but use FB pulak</t>
        </is>
      </c>
      <c r="BD39" s="4">
        <v>46140.4506712963</v>
      </c>
      <c r="BE39"/>
      <c r="BF39"/>
      <c r="BG39" t="inlineStr">
        <is>
          <t>Reschedule</t>
        </is>
      </c>
      <c r="BH39" t="inlineStr">
        <is>
          <t>Edward Hoo</t>
        </is>
      </c>
      <c r="BI39"/>
      <c r="BJ39" s="4">
        <v>46144.75436342593</v>
      </c>
      <c r="BK39" s="4">
        <v>46136.72587962963</v>
      </c>
      <c r="BL39" t="inlineStr">
        <is>
          <t>0.0</t>
        </is>
      </c>
      <c r="BM39" t="inlineStr">
        <is>
          <t>0.0</t>
        </is>
      </c>
      <c r="BN39"/>
      <c r="BO39" s="4"/>
      <c r="BP39">
        <v>168900</v>
      </c>
      <c r="BQ39"/>
      <c r="BR39"/>
      <c r="BS39"/>
      <c r="BT39"/>
      <c r="BU39"/>
      <c r="BV39">
        <v>2731942</v>
      </c>
      <c r="BW39" t="inlineStr">
        <is>
          <t>Inquire for Hiring Needs : No Hiring</t>
        </is>
      </c>
      <c r="BX39"/>
      <c r="BY39"/>
      <c r="BZ39" s="4"/>
      <c r="CA39"/>
      <c r="CB39"/>
      <c r="CC39" s="4"/>
      <c r="CD39" t="inlineStr">
        <is>
          <t>55</t>
        </is>
      </c>
      <c r="CE39" t="inlineStr">
        <is>
          <t>0</t>
        </is>
      </c>
      <c r="CF39" t="inlineStr">
        <is>
          <t>Q2-W04</t>
        </is>
      </c>
      <c r="CG39"/>
      <c r="CH39"/>
      <c r="CI39"/>
      <c r="CJ39" t="inlineStr">
        <is>
          <t>No Paid</t>
        </is>
      </c>
      <c r="CK39" t="inlineStr">
        <is>
          <t>Eligible</t>
        </is>
      </c>
      <c r="CL39"/>
      <c r="CM39"/>
    </row>
    <row r="40" ht="25.5" customHeight="1">
      <c r="A40" t="inlineStr">
        <is>
          <t>4320397</t>
        </is>
      </c>
      <c r="B40" s="2"/>
      <c r="C40"/>
      <c r="D40" s="3">
        <v>46136.746354166666</v>
      </c>
      <c r="E40" t="inlineStr">
        <is>
          <t>Q2-W04</t>
        </is>
      </c>
      <c r="F40" t="inlineStr">
        <is>
          <t>Josh</t>
        </is>
      </c>
      <c r="G40" t="inlineStr">
        <is>
          <t>Lead</t>
        </is>
      </c>
      <c r="H40" s="2" t="str">
        <f>=HYPERLINK("https://upbox.ajobthing.my/leads/4320397", "https://upbox.ajobthing.my/leads/4320397")</f>
        <v>https://upbox.ajobthing.my/leads/4320397</v>
      </c>
      <c r="I40" t="inlineStr">
        <is>
          <t>SUN POWER INDUSTRIES SDN BHD</t>
        </is>
      </c>
      <c r="J40" t="inlineStr">
        <is>
          <t>Dolphin</t>
        </is>
      </c>
      <c r="K40" t="inlineStr">
        <is>
          <t>Josh</t>
        </is>
      </c>
      <c r="L40" s="4"/>
      <c r="M40" s="4">
        <v>46136.74681712963</v>
      </c>
      <c r="N40"/>
      <c r="O40">
        <v>3888</v>
      </c>
      <c r="P40" s="4"/>
      <c r="Q40" s="4"/>
      <c r="R40"/>
      <c r="S40"/>
      <c r="T40" s="4"/>
      <c r="U40" s="4"/>
      <c r="V40"/>
      <c r="W40"/>
      <c r="X40"/>
      <c r="Y40" t="inlineStr">
        <is>
          <t>Pending Appointment</t>
        </is>
      </c>
      <c r="Z40" t="inlineStr">
        <is>
          <t>Hiring Now</t>
        </is>
      </c>
      <c r="AA40">
        <v>1</v>
      </c>
      <c r="AB40" t="inlineStr">
        <is>
          <t>No Appointment Made</t>
        </is>
      </c>
      <c r="AC40"/>
      <c r="AD40" t="inlineStr">
        <is>
          <t>3 operation</t>
        </is>
      </c>
      <c r="AE40"/>
      <c r="AF40">
        <v>3000</v>
      </c>
      <c r="AG40" s="4"/>
      <c r="AH40" s="4"/>
      <c r="AI40"/>
      <c r="AJ40"/>
      <c r="AK40" t="inlineStr">
        <is>
          <t>Yes, I have</t>
        </is>
      </c>
      <c r="AL40"/>
      <c r="AM40"/>
      <c r="AN40"/>
      <c r="AO40"/>
      <c r="AP40" t="inlineStr">
        <is>
          <t>Once a year (25%)</t>
        </is>
      </c>
      <c r="AQ40"/>
      <c r="AR40"/>
      <c r="AS40" t="inlineStr">
        <is>
          <t>- Headcount: 1
- Hiring Job Details: 3 operation
- Hiring Urgency: Hiring Now
- Number of outlets: N/A
- Have recruiter team: Yes
- Number of recruiter in company: N/A
- Have ATS system: N/A
- Have career website: N/A
- Current hiring budget: RM3,000.00
- Whole year budget: N/A
- Whole year number of vacancies: N/A
- Hiring frequency: Once a year (25%)
- External job portal: N/A</t>
        </is>
      </c>
      <c r="AT40">
        <v>85</v>
      </c>
      <c r="AU40" t="inlineStr">
        <is>
          <t>0.85</t>
        </is>
      </c>
      <c r="AV40" t="inlineStr">
        <is>
          <t>15</t>
        </is>
      </c>
      <c r="AW40" t="inlineStr">
        <is>
          <t>0</t>
        </is>
      </c>
      <c r="AX40" t="inlineStr">
        <is>
          <t>Not Qualified</t>
        </is>
      </c>
      <c r="AY40" s="4"/>
      <c r="AZ40"/>
      <c r="BA40"/>
      <c r="BB40"/>
      <c r="BC40"/>
      <c r="BD40" s="4"/>
      <c r="BE40"/>
      <c r="BF40"/>
      <c r="BG40" t="inlineStr">
        <is>
          <t>Reschedule</t>
        </is>
      </c>
      <c r="BH40" t="inlineStr">
        <is>
          <t>Fauziah Maharan</t>
        </is>
      </c>
      <c r="BI40"/>
      <c r="BJ40" s="4">
        <v>46144.75592592593</v>
      </c>
      <c r="BK40" s="4">
        <v>46136.71826388889</v>
      </c>
      <c r="BL40" t="inlineStr">
        <is>
          <t>0.0</t>
        </is>
      </c>
      <c r="BM40" t="inlineStr">
        <is>
          <t>0.0</t>
        </is>
      </c>
      <c r="BN40"/>
      <c r="BO40" s="4"/>
      <c r="BP40">
        <v>168907</v>
      </c>
      <c r="BQ40"/>
      <c r="BR40"/>
      <c r="BS40"/>
      <c r="BT40"/>
      <c r="BU40"/>
      <c r="BV40"/>
      <c r="BW40"/>
      <c r="BX40"/>
      <c r="BY40"/>
      <c r="BZ40" s="4"/>
      <c r="CA40"/>
      <c r="CB40"/>
      <c r="CC40" s="4"/>
      <c r="CD40" t="inlineStr">
        <is>
          <t>20</t>
        </is>
      </c>
      <c r="CE40" t="inlineStr">
        <is>
          <t>0</t>
        </is>
      </c>
      <c r="CF40" t="inlineStr">
        <is>
          <t>Q2-W04</t>
        </is>
      </c>
      <c r="CG40"/>
      <c r="CH40"/>
      <c r="CI40"/>
      <c r="CJ40" t="inlineStr">
        <is>
          <t>No Paid</t>
        </is>
      </c>
      <c r="CK40" t="inlineStr">
        <is>
          <t>Not Eligible</t>
        </is>
      </c>
      <c r="CL40"/>
      <c r="CM40"/>
    </row>
    <row r="41" ht="25.5" customHeight="1">
      <c r="A41" t="inlineStr">
        <is>
          <t>203652</t>
        </is>
      </c>
      <c r="B41" s="2"/>
      <c r="C41"/>
      <c r="D41" s="3">
        <v>46136.759363425925</v>
      </c>
      <c r="E41" t="inlineStr">
        <is>
          <t>Q2-W04</t>
        </is>
      </c>
      <c r="F41" t="inlineStr">
        <is>
          <t>Clover</t>
        </is>
      </c>
      <c r="G41" t="inlineStr">
        <is>
          <t>Customer</t>
        </is>
      </c>
      <c r="H41" s="2" t="str">
        <f>=HYPERLINK("https://upbox.ajobthing.my/customer/203652", "https://upbox.ajobthing.my/customer/203652")</f>
        <v>https://upbox.ajobthing.my/customer/203652</v>
      </c>
      <c r="I41" t="inlineStr">
        <is>
          <t>CA SYNERGY SDN BHD</t>
        </is>
      </c>
      <c r="J41" t="inlineStr">
        <is>
          <t>Dolphin</t>
        </is>
      </c>
      <c r="K41" t="inlineStr">
        <is>
          <t>Clover</t>
        </is>
      </c>
      <c r="L41" s="4"/>
      <c r="M41" s="4">
        <v>46136.75886574074</v>
      </c>
      <c r="N41"/>
      <c r="O41">
        <v>3888</v>
      </c>
      <c r="P41" s="4"/>
      <c r="Q41" s="4"/>
      <c r="R41"/>
      <c r="S41"/>
      <c r="T41" s="4"/>
      <c r="U41" s="4"/>
      <c r="V41"/>
      <c r="W41"/>
      <c r="X41"/>
      <c r="Y41" t="inlineStr">
        <is>
          <t>Pending Appointment</t>
        </is>
      </c>
      <c r="Z41" t="inlineStr">
        <is>
          <t>Hiring Now</t>
        </is>
      </c>
      <c r="AA41">
        <v>2</v>
      </c>
      <c r="AB41" t="inlineStr">
        <is>
          <t>No Appointment Made</t>
        </is>
      </c>
      <c r="AC41"/>
      <c r="AD41" t="inlineStr">
        <is>
          <t>Hire accountant x1-2 Chi, min 1 year exp, full set account, accounting firm, Johor, previous try myfuturejob free, high TO,  audit tax sub to other company, suggest stand</t>
        </is>
      </c>
      <c r="AE41"/>
      <c r="AF41">
        <v>3000</v>
      </c>
      <c r="AG41" s="4"/>
      <c r="AH41" s="4"/>
      <c r="AI41">
        <v>3000</v>
      </c>
      <c r="AJ41">
        <v>1</v>
      </c>
      <c r="AK41" t="inlineStr">
        <is>
          <t>No, but I want in future</t>
        </is>
      </c>
      <c r="AL41">
        <v>1</v>
      </c>
      <c r="AM41" t="inlineStr">
        <is>
          <t>No, but I want in future</t>
        </is>
      </c>
      <c r="AN41"/>
      <c r="AO41" t="inlineStr">
        <is>
          <t>No, but I want in future</t>
        </is>
      </c>
      <c r="AP41" t="inlineStr">
        <is>
          <t>Once per quarter (75%)</t>
        </is>
      </c>
      <c r="AQ41">
        <v>2</v>
      </c>
      <c r="AR41" t="inlineStr">
        <is>
          <t>Did not use any job portal</t>
        </is>
      </c>
      <c r="AS41" t="inlineStr">
        <is>
          <t>- Headcount: 2
- Hiring Job Details: Hire 1-2 Chinese accountants (min 1 year exp, full set account, accounting firm, Johor, tried myfuturejob free, high TO, audit tax sub to others,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t>
        </is>
      </c>
      <c r="AT41">
        <v>110</v>
      </c>
      <c r="AU41" t="inlineStr">
        <is>
          <t>1.10</t>
        </is>
      </c>
      <c r="AV41" t="inlineStr">
        <is>
          <t>15</t>
        </is>
      </c>
      <c r="AW41" t="inlineStr">
        <is>
          <t>0</t>
        </is>
      </c>
      <c r="AX41" t="inlineStr">
        <is>
          <t>Not Qualified</t>
        </is>
      </c>
      <c r="AY41" s="4"/>
      <c r="AZ41"/>
      <c r="BA41"/>
      <c r="BB41"/>
      <c r="BC41" t="inlineStr">
        <is>
          <t>on hold, still have candidate interview</t>
        </is>
      </c>
      <c r="BD41" s="4">
        <v>46139.50767361111</v>
      </c>
      <c r="BE41"/>
      <c r="BF41"/>
      <c r="BG41" t="inlineStr">
        <is>
          <t>Reschedule</t>
        </is>
      </c>
      <c r="BH41" t="inlineStr">
        <is>
          <t>Reagen</t>
        </is>
      </c>
      <c r="BI41"/>
      <c r="BJ41" s="4">
        <v>46144.75436342593</v>
      </c>
      <c r="BK41" s="4">
        <v>46136.754583333335</v>
      </c>
      <c r="BL41" t="inlineStr">
        <is>
          <t>0.0</t>
        </is>
      </c>
      <c r="BM41" t="inlineStr">
        <is>
          <t>0.0</t>
        </is>
      </c>
      <c r="BN41"/>
      <c r="BO41" s="4"/>
      <c r="BP41">
        <v>168916</v>
      </c>
      <c r="BQ41"/>
      <c r="BR41"/>
      <c r="BS41"/>
      <c r="BT41"/>
      <c r="BU41"/>
      <c r="BV41">
        <v>2728987</v>
      </c>
      <c r="BW41" t="inlineStr">
        <is>
          <t>Follow Up : Lost - Free Portal</t>
        </is>
      </c>
      <c r="BX41"/>
      <c r="BY41"/>
      <c r="BZ41" s="4"/>
      <c r="CA41"/>
      <c r="CB41"/>
      <c r="CC41" s="4"/>
      <c r="CD41" t="inlineStr">
        <is>
          <t>20</t>
        </is>
      </c>
      <c r="CE41" t="inlineStr">
        <is>
          <t>0</t>
        </is>
      </c>
      <c r="CF41" t="inlineStr">
        <is>
          <t>Q2-W04</t>
        </is>
      </c>
      <c r="CG41"/>
      <c r="CH41"/>
      <c r="CI41"/>
      <c r="CJ41" t="inlineStr">
        <is>
          <t>No Paid</t>
        </is>
      </c>
      <c r="CK41" t="inlineStr">
        <is>
          <t>Not Eligible</t>
        </is>
      </c>
      <c r="CL41"/>
      <c r="CM41"/>
    </row>
    <row r="42" ht="25.5" customHeight="1">
      <c r="A42" t="inlineStr">
        <is>
          <t>189624</t>
        </is>
      </c>
      <c r="B42" s="2"/>
      <c r="C42"/>
      <c r="D42" s="3">
        <v>46139.408101851855</v>
      </c>
      <c r="E42" t="inlineStr">
        <is>
          <t>Q2-W04</t>
        </is>
      </c>
      <c r="F42" t="inlineStr">
        <is>
          <t>Alan KY</t>
        </is>
      </c>
      <c r="G42" t="inlineStr">
        <is>
          <t>Customer</t>
        </is>
      </c>
      <c r="H42" s="2" t="str">
        <f>=HYPERLINK("https://upbox.ajobthing.my/customer/189624", "https://upbox.ajobthing.my/customer/189624")</f>
        <v>https://upbox.ajobthing.my/customer/189624</v>
      </c>
      <c r="I42" t="inlineStr">
        <is>
          <t>Weller Air-Cond Parts Enterprise Sdn Bhd</t>
        </is>
      </c>
      <c r="J42" t="inlineStr">
        <is>
          <t>Dolphin</t>
        </is>
      </c>
      <c r="K42" t="inlineStr">
        <is>
          <t>Alan KY</t>
        </is>
      </c>
      <c r="L42" s="4"/>
      <c r="M42" s="4">
        <v>46139.40200231481</v>
      </c>
      <c r="N42"/>
      <c r="O42">
        <v>6048</v>
      </c>
      <c r="P42" s="4"/>
      <c r="Q42" s="4">
        <v>46141.62608796296</v>
      </c>
      <c r="R42"/>
      <c r="S42">
        <v>3672</v>
      </c>
      <c r="T42" s="4">
        <v>46141.62608796296</v>
      </c>
      <c r="U42" s="4"/>
      <c r="V42"/>
      <c r="W42">
        <v>3672</v>
      </c>
      <c r="X42"/>
      <c r="Y42" t="inlineStr">
        <is>
          <t>Pending Appointment</t>
        </is>
      </c>
      <c r="Z42" t="inlineStr">
        <is>
          <t>Hiring Now</t>
        </is>
      </c>
      <c r="AA42">
        <v>2</v>
      </c>
      <c r="AB42" t="inlineStr">
        <is>
          <t>No Appointment Made</t>
        </is>
      </c>
      <c r="AC42"/>
      <c r="AD42" t="inlineStr">
        <is>
          <t xml:space="preserve">1 HR , 1 digital marketing executive, based in KL </t>
        </is>
      </c>
      <c r="AE42"/>
      <c r="AF42"/>
      <c r="AG42" s="4"/>
      <c r="AH42" s="4"/>
      <c r="AI42"/>
      <c r="AJ42">
        <v>1</v>
      </c>
      <c r="AK42" t="inlineStr">
        <is>
          <t>No, I don't need at all</t>
        </is>
      </c>
      <c r="AL42"/>
      <c r="AM42" t="inlineStr">
        <is>
          <t>No, I don't need at all</t>
        </is>
      </c>
      <c r="AN42"/>
      <c r="AO42" t="inlineStr">
        <is>
          <t>No, I don't need at all</t>
        </is>
      </c>
      <c r="AP42" t="inlineStr">
        <is>
          <t>Once per quarter (75%)</t>
        </is>
      </c>
      <c r="AQ42"/>
      <c r="AR42" t="inlineStr">
        <is>
          <t>Jobstreet</t>
        </is>
      </c>
      <c r="AS42" t="inlineStr">
        <is>
          <t>- Headcount: 2
- Hiring Job Details: 1 HR, 1 digital marketing executive, based in KL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42">
        <v>100</v>
      </c>
      <c r="AU42" t="inlineStr">
        <is>
          <t>1.00</t>
        </is>
      </c>
      <c r="AV42" t="inlineStr">
        <is>
          <t>5</t>
        </is>
      </c>
      <c r="AW42" t="inlineStr">
        <is>
          <t>0</t>
        </is>
      </c>
      <c r="AX42" t="inlineStr">
        <is>
          <t>Not Qualified</t>
        </is>
      </c>
      <c r="AY42" s="4"/>
      <c r="AZ42"/>
      <c r="BA42"/>
      <c r="BB42"/>
      <c r="BC42" t="inlineStr">
        <is>
          <t>Our finance not received payment yet. Clarify with Fion</t>
        </is>
      </c>
      <c r="BD42" s="4">
        <v>46141.49790509259</v>
      </c>
      <c r="BE42" t="inlineStr">
        <is>
          <t>paid</t>
        </is>
      </c>
      <c r="BF42" t="inlineStr">
        <is>
          <t>Q2-W04</t>
        </is>
      </c>
      <c r="BG42" t="inlineStr">
        <is>
          <t>Reschedule</t>
        </is>
      </c>
      <c r="BH42" t="inlineStr">
        <is>
          <t>Reagen</t>
        </is>
      </c>
      <c r="BI42" t="inlineStr">
        <is>
          <t>Manufacturing / Production</t>
        </is>
      </c>
      <c r="BJ42" s="4">
        <v>46144.75232638889</v>
      </c>
      <c r="BK42" s="4">
        <v>45754.73143518518</v>
      </c>
      <c r="BL42" t="inlineStr">
        <is>
          <t>3672.0</t>
        </is>
      </c>
      <c r="BM42" t="inlineStr">
        <is>
          <t>0.0</t>
        </is>
      </c>
      <c r="BN42" t="inlineStr">
        <is>
          <t>View Company Page</t>
        </is>
      </c>
      <c r="BO42" s="4">
        <v>46144.57113425926</v>
      </c>
      <c r="BP42">
        <v>168928</v>
      </c>
      <c r="BQ42">
        <v>95104</v>
      </c>
      <c r="BR42" t="inlineStr">
        <is>
          <t>Online</t>
        </is>
      </c>
      <c r="BS42"/>
      <c r="BT42">
        <v>95104</v>
      </c>
      <c r="BU42"/>
      <c r="BV42">
        <v>2734852</v>
      </c>
      <c r="BW42" t="inlineStr">
        <is>
          <t>Service / Technical : Job Outcome Enquiry</t>
        </is>
      </c>
      <c r="BX42">
        <v>6</v>
      </c>
      <c r="BY42">
        <v>5</v>
      </c>
      <c r="BZ42" s="4">
        <v>46142.87425925926</v>
      </c>
      <c r="CA42">
        <v>60</v>
      </c>
      <c r="CB42">
        <v>60</v>
      </c>
      <c r="CC42" s="4"/>
      <c r="CD42" t="inlineStr">
        <is>
          <t>5</t>
        </is>
      </c>
      <c r="CE42" t="inlineStr">
        <is>
          <t>0</t>
        </is>
      </c>
      <c r="CF42" t="inlineStr">
        <is>
          <t>Q2-W04</t>
        </is>
      </c>
      <c r="CG42" t="inlineStr">
        <is>
          <t>Q2-W04</t>
        </is>
      </c>
      <c r="CH42" t="inlineStr">
        <is>
          <t>Q2-W04</t>
        </is>
      </c>
      <c r="CI42"/>
      <c r="CJ42" t="inlineStr">
        <is>
          <t>Paid</t>
        </is>
      </c>
      <c r="CK42" t="inlineStr">
        <is>
          <t>Not Eligible</t>
        </is>
      </c>
      <c r="CL42"/>
      <c r="CM42"/>
    </row>
    <row r="43" ht="25.5" customHeight="1">
      <c r="A43" t="inlineStr">
        <is>
          <t>203650</t>
        </is>
      </c>
      <c r="B43" s="2"/>
      <c r="C43"/>
      <c r="D43" s="3">
        <v>46139.40908564815</v>
      </c>
      <c r="E43" t="inlineStr">
        <is>
          <t>Q2-W04</t>
        </is>
      </c>
      <c r="F43" t="inlineStr">
        <is>
          <t>Chia Yee</t>
        </is>
      </c>
      <c r="G43" t="inlineStr">
        <is>
          <t>Customer</t>
        </is>
      </c>
      <c r="H43" s="2" t="str">
        <f>=HYPERLINK("https://upbox.ajobthing.my/customer/203650", "https://upbox.ajobthing.my/customer/203650")</f>
        <v>https://upbox.ajobthing.my/customer/203650</v>
      </c>
      <c r="I43" t="inlineStr">
        <is>
          <t>Benshear Technology Sdn Bhd</t>
        </is>
      </c>
      <c r="J43" t="inlineStr">
        <is>
          <t>Dolphin</t>
        </is>
      </c>
      <c r="K43" t="inlineStr">
        <is>
          <t>Chia Yee</t>
        </is>
      </c>
      <c r="L43" s="4"/>
      <c r="M43" s="4">
        <v>46139.40918981482</v>
      </c>
      <c r="N43"/>
      <c r="O43">
        <v>6048</v>
      </c>
      <c r="P43" s="4"/>
      <c r="Q43" s="4"/>
      <c r="R43"/>
      <c r="S43"/>
      <c r="T43" s="4"/>
      <c r="U43" s="4"/>
      <c r="V43"/>
      <c r="W43"/>
      <c r="X43"/>
      <c r="Y43" t="inlineStr">
        <is>
          <t>Pending Appointment</t>
        </is>
      </c>
      <c r="Z43" t="inlineStr">
        <is>
          <t>Hiring Now</t>
        </is>
      </c>
      <c r="AA43">
        <v>2</v>
      </c>
      <c r="AB43" t="inlineStr">
        <is>
          <t>No Appointment Made</t>
        </is>
      </c>
      <c r="AC43"/>
      <c r="AD43" t="inlineStr">
        <is>
          <t>1 Procurement , 1 Production Manager.</t>
        </is>
      </c>
      <c r="AE43"/>
      <c r="AF43">
        <v>0</v>
      </c>
      <c r="AG43" s="4"/>
      <c r="AH43" s="4"/>
      <c r="AI43">
        <v>0</v>
      </c>
      <c r="AJ43">
        <v>1</v>
      </c>
      <c r="AK43" t="inlineStr">
        <is>
          <t>No, I don't need at all</t>
        </is>
      </c>
      <c r="AL43">
        <v>1</v>
      </c>
      <c r="AM43" t="inlineStr">
        <is>
          <t>No, I don't need at all</t>
        </is>
      </c>
      <c r="AN43"/>
      <c r="AO43" t="inlineStr">
        <is>
          <t>No, I don't need at all</t>
        </is>
      </c>
      <c r="AP43" t="inlineStr">
        <is>
          <t>Once a year (25%)</t>
        </is>
      </c>
      <c r="AQ43">
        <v>2</v>
      </c>
      <c r="AR43" t="inlineStr">
        <is>
          <t>Did not use any job portal</t>
        </is>
      </c>
      <c r="AS43" t="inlineStr">
        <is>
          <t>- Headcount: 2
- Hiring Job Details: 1 Procurement, 1 Production Manager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43">
        <v>115</v>
      </c>
      <c r="AU43" t="inlineStr">
        <is>
          <t>1.15</t>
        </is>
      </c>
      <c r="AV43" t="inlineStr">
        <is>
          <t>15</t>
        </is>
      </c>
      <c r="AW43" t="inlineStr">
        <is>
          <t>0</t>
        </is>
      </c>
      <c r="AX43" t="inlineStr">
        <is>
          <t>Not Qualified</t>
        </is>
      </c>
      <c r="AY43" s="4"/>
      <c r="AZ43"/>
      <c r="BA43"/>
      <c r="BB43"/>
      <c r="BC43" t="inlineStr">
        <is>
          <t>Replied: waiting management response.  Over budget</t>
        </is>
      </c>
      <c r="BD43" s="4">
        <v>46142.478055555555</v>
      </c>
      <c r="BE43"/>
      <c r="BF43"/>
      <c r="BG43" t="inlineStr">
        <is>
          <t>Reschedule</t>
        </is>
      </c>
      <c r="BH43" t="inlineStr">
        <is>
          <t>Reagen</t>
        </is>
      </c>
      <c r="BI43" t="inlineStr">
        <is>
          <t>Manufacturing / Production</t>
        </is>
      </c>
      <c r="BJ43" s="4">
        <v>46144.75436342593</v>
      </c>
      <c r="BK43" s="4">
        <v>46136.733194444445</v>
      </c>
      <c r="BL43" t="inlineStr">
        <is>
          <t>0.0</t>
        </is>
      </c>
      <c r="BM43" t="inlineStr">
        <is>
          <t>0.0</t>
        </is>
      </c>
      <c r="BN43" t="inlineStr">
        <is>
          <t>View Company Page</t>
        </is>
      </c>
      <c r="BO43" s="4">
        <v>46136.8665625</v>
      </c>
      <c r="BP43">
        <v>168930</v>
      </c>
      <c r="BQ43"/>
      <c r="BR43"/>
      <c r="BS43"/>
      <c r="BT43"/>
      <c r="BU43"/>
      <c r="BV43">
        <v>2737133</v>
      </c>
      <c r="BW43" t="inlineStr">
        <is>
          <t>Follow Up : Decision Pending</t>
        </is>
      </c>
      <c r="BX43"/>
      <c r="BY43"/>
      <c r="BZ43" s="4"/>
      <c r="CA43"/>
      <c r="CB43"/>
      <c r="CC43" s="4"/>
      <c r="CD43" t="inlineStr">
        <is>
          <t>20</t>
        </is>
      </c>
      <c r="CE43" t="inlineStr">
        <is>
          <t>0</t>
        </is>
      </c>
      <c r="CF43" t="inlineStr">
        <is>
          <t>Q2-W04</t>
        </is>
      </c>
      <c r="CG43"/>
      <c r="CH43"/>
      <c r="CI43"/>
      <c r="CJ43" t="inlineStr">
        <is>
          <t>No Paid</t>
        </is>
      </c>
      <c r="CK43" t="inlineStr">
        <is>
          <t>Not Eligible</t>
        </is>
      </c>
      <c r="CL43"/>
      <c r="CM43"/>
    </row>
    <row r="44" ht="25.5" customHeight="1">
      <c r="A44" t="inlineStr">
        <is>
          <t>185919</t>
        </is>
      </c>
      <c r="B44" s="2"/>
      <c r="C44"/>
      <c r="D44" s="3">
        <v>46139.42390046296</v>
      </c>
      <c r="E44" t="inlineStr">
        <is>
          <t>Q2-W04</t>
        </is>
      </c>
      <c r="F44" t="inlineStr">
        <is>
          <t>Xin Hui</t>
        </is>
      </c>
      <c r="G44" t="inlineStr">
        <is>
          <t>Customer</t>
        </is>
      </c>
      <c r="H44" s="2" t="str">
        <f>=HYPERLINK("https://upbox.ajobthing.my/customer/185919", "https://upbox.ajobthing.my/customer/185919")</f>
        <v>https://upbox.ajobthing.my/customer/185919</v>
      </c>
      <c r="I44" t="inlineStr">
        <is>
          <t>Setiamas Services (M) Sdn Bhd</t>
        </is>
      </c>
      <c r="J44" t="inlineStr">
        <is>
          <t>Dolphin</t>
        </is>
      </c>
      <c r="K44" t="inlineStr">
        <is>
          <t>Xin Hui</t>
        </is>
      </c>
      <c r="L44" s="4"/>
      <c r="M44" s="4">
        <v>46139.425625</v>
      </c>
      <c r="N44"/>
      <c r="O44">
        <v>3888</v>
      </c>
      <c r="P44" s="4"/>
      <c r="Q44" s="4"/>
      <c r="R44"/>
      <c r="S44"/>
      <c r="T44" s="4"/>
      <c r="U44" s="4"/>
      <c r="V44"/>
      <c r="W44"/>
      <c r="X44"/>
      <c r="Y44" t="inlineStr">
        <is>
          <t>Pending Appointment</t>
        </is>
      </c>
      <c r="Z44" t="inlineStr">
        <is>
          <t>Hiring Now</t>
        </is>
      </c>
      <c r="AA44">
        <v>1</v>
      </c>
      <c r="AB44" t="inlineStr">
        <is>
          <t>No Appointment Made</t>
        </is>
      </c>
      <c r="AC44"/>
      <c r="AD44" t="inlineStr">
        <is>
          <t>cleaner</t>
        </is>
      </c>
      <c r="AE44"/>
      <c r="AF44"/>
      <c r="AG44" s="4"/>
      <c r="AH44" s="4"/>
      <c r="AI44"/>
      <c r="AJ44"/>
      <c r="AK44" t="inlineStr">
        <is>
          <t>No, I don't need at all</t>
        </is>
      </c>
      <c r="AL44"/>
      <c r="AM44" t="inlineStr">
        <is>
          <t>No, I don't need at all</t>
        </is>
      </c>
      <c r="AN44"/>
      <c r="AO44" t="inlineStr">
        <is>
          <t>No, I don't need at all</t>
        </is>
      </c>
      <c r="AP44" t="inlineStr">
        <is>
          <t>Once a year (25%)</t>
        </is>
      </c>
      <c r="AQ44"/>
      <c r="AR44" t="inlineStr">
        <is>
          <t>Free Job Portal</t>
        </is>
      </c>
      <c r="AS44" t="inlineStr">
        <is>
          <t>- Headcount: 1
- Hiring Job Details: cleaner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is>
      </c>
      <c r="AT44">
        <v>75</v>
      </c>
      <c r="AU44" t="inlineStr">
        <is>
          <t>0.75</t>
        </is>
      </c>
      <c r="AV44" t="inlineStr">
        <is>
          <t>5</t>
        </is>
      </c>
      <c r="AW44" t="inlineStr">
        <is>
          <t>0</t>
        </is>
      </c>
      <c r="AX44" t="inlineStr">
        <is>
          <t>Not Qualified</t>
        </is>
      </c>
      <c r="AY44" s="4"/>
      <c r="AZ44"/>
      <c r="BA44"/>
      <c r="BB44"/>
      <c r="BC44" t="inlineStr">
        <is>
          <t>- Headcount: 10
- Hiring Job Details: cleaner 10HC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is>
      </c>
      <c r="BD44" s="4">
        <v>46139.75015046296</v>
      </c>
      <c r="BE44"/>
      <c r="BF44"/>
      <c r="BG44" t="inlineStr">
        <is>
          <t>Reschedule</t>
        </is>
      </c>
      <c r="BH44" t="inlineStr">
        <is>
          <t>Yee Hang</t>
        </is>
      </c>
      <c r="BI44"/>
      <c r="BJ44" s="4">
        <v>46144.752071759256</v>
      </c>
      <c r="BK44" s="4">
        <v>45644.391493055555</v>
      </c>
      <c r="BL44" t="inlineStr">
        <is>
          <t>0.0</t>
        </is>
      </c>
      <c r="BM44" t="inlineStr">
        <is>
          <t>600.0</t>
        </is>
      </c>
      <c r="BN44" t="inlineStr">
        <is>
          <t>View Create Job Page</t>
        </is>
      </c>
      <c r="BO44" s="4">
        <v>45644.39865740741</v>
      </c>
      <c r="BP44">
        <v>168937</v>
      </c>
      <c r="BQ44"/>
      <c r="BR44"/>
      <c r="BS44"/>
      <c r="BT44"/>
      <c r="BU44"/>
      <c r="BV44">
        <v>2731566</v>
      </c>
      <c r="BW44" t="inlineStr">
        <is>
          <t>Customer Inquiry</t>
        </is>
      </c>
      <c r="BX44"/>
      <c r="BY44"/>
      <c r="BZ44" s="4"/>
      <c r="CA44"/>
      <c r="CB44"/>
      <c r="CC44" s="4"/>
      <c r="CD44" t="inlineStr">
        <is>
          <t>5</t>
        </is>
      </c>
      <c r="CE44" t="inlineStr">
        <is>
          <t>0</t>
        </is>
      </c>
      <c r="CF44" t="inlineStr">
        <is>
          <t>Q2-W04</t>
        </is>
      </c>
      <c r="CG44"/>
      <c r="CH44"/>
      <c r="CI44"/>
      <c r="CJ44" t="inlineStr">
        <is>
          <t>No Paid</t>
        </is>
      </c>
      <c r="CK44" t="inlineStr">
        <is>
          <t>Not Eligible</t>
        </is>
      </c>
      <c r="CL44"/>
      <c r="CM44"/>
    </row>
    <row r="45" ht="25.5" customHeight="1">
      <c r="A45" t="inlineStr">
        <is>
          <t>203693</t>
        </is>
      </c>
      <c r="B45" s="2"/>
      <c r="C45"/>
      <c r="D45" s="3">
        <v>46139.43168981482</v>
      </c>
      <c r="E45" t="inlineStr">
        <is>
          <t>Q2-W04</t>
        </is>
      </c>
      <c r="F45" t="inlineStr">
        <is>
          <t>Luqman</t>
        </is>
      </c>
      <c r="G45" t="inlineStr">
        <is>
          <t>Customer</t>
        </is>
      </c>
      <c r="H45" s="2" t="str">
        <f>=HYPERLINK("https://upbox.ajobthing.my/customer/203693", "https://upbox.ajobthing.my/customer/203693")</f>
        <v>https://upbox.ajobthing.my/customer/203693</v>
      </c>
      <c r="I45" t="inlineStr">
        <is>
          <t>Furi Global Sdn Bhd</t>
        </is>
      </c>
      <c r="J45" t="inlineStr">
        <is>
          <t>Dolphin</t>
        </is>
      </c>
      <c r="K45" t="inlineStr">
        <is>
          <t>Luqman</t>
        </is>
      </c>
      <c r="L45" s="4"/>
      <c r="M45" s="4">
        <v>46139.43178240741</v>
      </c>
      <c r="N45"/>
      <c r="O45">
        <v>6048</v>
      </c>
      <c r="P45" s="4"/>
      <c r="Q45" s="4"/>
      <c r="R45"/>
      <c r="S45"/>
      <c r="T45" s="4"/>
      <c r="U45" s="4"/>
      <c r="V45"/>
      <c r="W45"/>
      <c r="X45"/>
      <c r="Y45" t="inlineStr">
        <is>
          <t>Pending Appointment</t>
        </is>
      </c>
      <c r="Z45" t="inlineStr">
        <is>
          <t>Hiring Later</t>
        </is>
      </c>
      <c r="AA45">
        <v>3</v>
      </c>
      <c r="AB45" t="inlineStr">
        <is>
          <t>No Appointment Made</t>
        </is>
      </c>
      <c r="AC45"/>
      <c r="AD45" t="inlineStr">
        <is>
          <t xml:space="preserve">1. Operation 
2. Finance 
3. Admin </t>
        </is>
      </c>
      <c r="AE45"/>
      <c r="AF45">
        <v>3600</v>
      </c>
      <c r="AG45" s="4"/>
      <c r="AH45" s="4"/>
      <c r="AI45">
        <v>3600</v>
      </c>
      <c r="AJ45"/>
      <c r="AK45" t="inlineStr">
        <is>
          <t>No, but I want in future</t>
        </is>
      </c>
      <c r="AL45">
        <v>4</v>
      </c>
      <c r="AM45" t="inlineStr">
        <is>
          <t>No, I don't need at all</t>
        </is>
      </c>
      <c r="AN45"/>
      <c r="AO45" t="inlineStr">
        <is>
          <t>No, I don't need at all</t>
        </is>
      </c>
      <c r="AP45" t="inlineStr">
        <is>
          <t>Once a year (25%)</t>
        </is>
      </c>
      <c r="AQ45">
        <v>8</v>
      </c>
      <c r="AR45" t="inlineStr">
        <is>
          <t>Free Job Portal</t>
        </is>
      </c>
      <c r="AS45" t="inlineStr">
        <is>
          <t>- Headcount: 3
- Hiring Job Details: 1. Operation 2. Finance 3. Admin
- Hiring Urgency: Hiring Later
- Number of outlets: N/A
- Have recruiter team: No, but want in future
- Number of recruiter in company: 4
- Have ATS system: No, don't need at all
- Have career website: No, don't need at all
- Current hiring budget: RM3,600
- Whole year budget: RM3,600.00
- Whole year number of vacancies: 8
- Hiring frequency: Once a year (25%)
- External job portal: Free Job Portal</t>
        </is>
      </c>
      <c r="AT45">
        <v>75</v>
      </c>
      <c r="AU45" t="inlineStr">
        <is>
          <t>0.75</t>
        </is>
      </c>
      <c r="AV45" t="inlineStr">
        <is>
          <t>15</t>
        </is>
      </c>
      <c r="AW45" t="inlineStr">
        <is>
          <t>0</t>
        </is>
      </c>
      <c r="AX45" t="inlineStr">
        <is>
          <t>Not Qualified</t>
        </is>
      </c>
      <c r="AY45" s="4"/>
      <c r="AZ45"/>
      <c r="BA45"/>
      <c r="BB45"/>
      <c r="BC45" t="inlineStr">
        <is>
          <t>Yet to revert</t>
        </is>
      </c>
      <c r="BD45" s="4">
        <v>46142.477800925924</v>
      </c>
      <c r="BE45"/>
      <c r="BF45"/>
      <c r="BG45" t="inlineStr">
        <is>
          <t>Reschedule</t>
        </is>
      </c>
      <c r="BH45" t="inlineStr">
        <is>
          <t>Edward Hoo</t>
        </is>
      </c>
      <c r="BI45"/>
      <c r="BJ45" s="4">
        <v>46144.75436342593</v>
      </c>
      <c r="BK45" s="4">
        <v>46139.42954861111</v>
      </c>
      <c r="BL45" t="inlineStr">
        <is>
          <t>0.0</t>
        </is>
      </c>
      <c r="BM45" t="inlineStr">
        <is>
          <t>0.0</t>
        </is>
      </c>
      <c r="BN45"/>
      <c r="BO45" s="4"/>
      <c r="BP45">
        <v>168940</v>
      </c>
      <c r="BQ45"/>
      <c r="BR45"/>
      <c r="BS45"/>
      <c r="BT45"/>
      <c r="BU45"/>
      <c r="BV45">
        <v>2737131</v>
      </c>
      <c r="BW45" t="inlineStr">
        <is>
          <t>Follow Up : Decision Pending</t>
        </is>
      </c>
      <c r="BX45"/>
      <c r="BY45"/>
      <c r="BZ45" s="4"/>
      <c r="CA45"/>
      <c r="CB45"/>
      <c r="CC45" s="4"/>
      <c r="CD45" t="inlineStr">
        <is>
          <t>20</t>
        </is>
      </c>
      <c r="CE45" t="inlineStr">
        <is>
          <t>0</t>
        </is>
      </c>
      <c r="CF45" t="inlineStr">
        <is>
          <t>Q2-W04</t>
        </is>
      </c>
      <c r="CG45"/>
      <c r="CH45"/>
      <c r="CI45"/>
      <c r="CJ45" t="inlineStr">
        <is>
          <t>No Paid</t>
        </is>
      </c>
      <c r="CK45" t="inlineStr">
        <is>
          <t>Not Eligible</t>
        </is>
      </c>
      <c r="CL45"/>
      <c r="CM45"/>
    </row>
    <row r="46" ht="25.5" customHeight="1">
      <c r="A46" t="inlineStr">
        <is>
          <t>148541</t>
        </is>
      </c>
      <c r="B46" s="2"/>
      <c r="C46"/>
      <c r="D46" s="3">
        <v>46139.4437962963</v>
      </c>
      <c r="E46" t="inlineStr">
        <is>
          <t>Q2-W04</t>
        </is>
      </c>
      <c r="F46" t="inlineStr">
        <is>
          <t>Ken Yi</t>
        </is>
      </c>
      <c r="G46" t="inlineStr">
        <is>
          <t>Customer</t>
        </is>
      </c>
      <c r="H46" s="2" t="str">
        <f>=HYPERLINK("https://upbox.ajobthing.my/customer/148541", "https://upbox.ajobthing.my/customer/148541")</f>
        <v>https://upbox.ajobthing.my/customer/148541</v>
      </c>
      <c r="I46" t="inlineStr">
        <is>
          <t>Automation &amp; Control Systems Sdn Bhd</t>
        </is>
      </c>
      <c r="J46" t="inlineStr">
        <is>
          <t>Dolphin</t>
        </is>
      </c>
      <c r="K46" t="inlineStr">
        <is>
          <t>Kenyi</t>
        </is>
      </c>
      <c r="L46" s="4"/>
      <c r="M46" s="4">
        <v>46139.44217592593</v>
      </c>
      <c r="N46"/>
      <c r="O46">
        <v>6048</v>
      </c>
      <c r="P46" s="4"/>
      <c r="Q46" s="4">
        <v>46122.44831018519</v>
      </c>
      <c r="R46"/>
      <c r="S46">
        <v>0</v>
      </c>
      <c r="T46" s="4">
        <v>46064.43140046296</v>
      </c>
      <c r="U46" s="4"/>
      <c r="V46"/>
      <c r="W46">
        <v>3468.96</v>
      </c>
      <c r="X46"/>
      <c r="Y46" t="inlineStr">
        <is>
          <t>Pending Appointment</t>
        </is>
      </c>
      <c r="Z46" t="inlineStr">
        <is>
          <t>Hiring Now</t>
        </is>
      </c>
      <c r="AA46">
        <v>1</v>
      </c>
      <c r="AB46" t="inlineStr">
        <is>
          <t>No Appointment Made</t>
        </is>
      </c>
      <c r="AC46"/>
      <c r="AD46" t="inlineStr">
        <is>
          <t>Renewal</t>
        </is>
      </c>
      <c r="AE46"/>
      <c r="AF46">
        <v>0</v>
      </c>
      <c r="AG46" s="4"/>
      <c r="AH46" s="4"/>
      <c r="AI46">
        <v>0</v>
      </c>
      <c r="AJ46">
        <v>1</v>
      </c>
      <c r="AK46" t="inlineStr">
        <is>
          <t>Yes, I have</t>
        </is>
      </c>
      <c r="AL46">
        <v>1</v>
      </c>
      <c r="AM46" t="inlineStr">
        <is>
          <t>No, I don't need at all</t>
        </is>
      </c>
      <c r="AN46"/>
      <c r="AO46" t="inlineStr">
        <is>
          <t>No, I don't need at all</t>
        </is>
      </c>
      <c r="AP46" t="inlineStr">
        <is>
          <t>Every month (100%)</t>
        </is>
      </c>
      <c r="AQ46">
        <v>5</v>
      </c>
      <c r="AR46" t="inlineStr">
        <is>
          <t>Did not use any job portal</t>
        </is>
      </c>
      <c r="AS46" t="inlineStr">
        <is>
          <t>- Headcount: 1
- Hiring Job Details: Renewal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5
- Hiring frequency: Every month (100%)
- External job portal: Did not use any job portal</t>
        </is>
      </c>
      <c r="AT46">
        <v>95</v>
      </c>
      <c r="AU46" t="inlineStr">
        <is>
          <t>0.95</t>
        </is>
      </c>
      <c r="AV46" t="inlineStr">
        <is>
          <t>15</t>
        </is>
      </c>
      <c r="AW46" t="inlineStr">
        <is>
          <t>0</t>
        </is>
      </c>
      <c r="AX46" t="inlineStr">
        <is>
          <t>Not Qualified</t>
        </is>
      </c>
      <c r="AY46" s="4"/>
      <c r="AZ46"/>
      <c r="BA46"/>
      <c r="BB46"/>
      <c r="BC46" t="inlineStr">
        <is>
          <t>- Headcount: 1
- Hiring Job Details: Renewal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5
- Hiring frequency: Every month (100%)
- External job portal: Did not use any job portal</t>
        </is>
      </c>
      <c r="BD46" s="4">
        <v>46139.45847222222</v>
      </c>
      <c r="BE46" t="inlineStr">
        <is>
          <t>paid</t>
        </is>
      </c>
      <c r="BF46" t="inlineStr">
        <is>
          <t>Q1-W06</t>
        </is>
      </c>
      <c r="BG46" t="inlineStr">
        <is>
          <t>Reschedule</t>
        </is>
      </c>
      <c r="BH46" t="inlineStr">
        <is>
          <t>Fauziah Maharan</t>
        </is>
      </c>
      <c r="BI46" t="inlineStr">
        <is>
          <t>Engineering / Technical Consulting</t>
        </is>
      </c>
      <c r="BJ46" s="4">
        <v>46144.75079861111</v>
      </c>
      <c r="BK46" s="4">
        <v>44608.44907407407</v>
      </c>
      <c r="BL46" t="inlineStr">
        <is>
          <t>3468.0</t>
        </is>
      </c>
      <c r="BM46" t="inlineStr">
        <is>
          <t>0.0</t>
        </is>
      </c>
      <c r="BN46" t="inlineStr">
        <is>
          <t>View Company Page</t>
        </is>
      </c>
      <c r="BO46" s="4">
        <v>46139.44002314815</v>
      </c>
      <c r="BP46">
        <v>168948</v>
      </c>
      <c r="BQ46">
        <v>121599</v>
      </c>
      <c r="BR46" t="inlineStr">
        <is>
          <t>Proforma</t>
        </is>
      </c>
      <c r="BS46" t="inlineStr">
        <is>
          <t>Free Part-Time Job</t>
        </is>
      </c>
      <c r="BT46">
        <v>7190</v>
      </c>
      <c r="BU46"/>
      <c r="BV46">
        <v>2728504</v>
      </c>
      <c r="BW46" t="inlineStr">
        <is>
          <t>Customer Inquiry</t>
        </is>
      </c>
      <c r="BX46">
        <v>7</v>
      </c>
      <c r="BY46">
        <v>4</v>
      </c>
      <c r="BZ46" s="4">
        <v>46091.419583333336</v>
      </c>
      <c r="CA46">
        <v>60</v>
      </c>
      <c r="CB46">
        <v>59</v>
      </c>
      <c r="CC46" s="4">
        <v>46139.42979166667</v>
      </c>
      <c r="CD46" t="inlineStr">
        <is>
          <t>20</t>
        </is>
      </c>
      <c r="CE46" t="inlineStr">
        <is>
          <t>0</t>
        </is>
      </c>
      <c r="CF46" t="inlineStr">
        <is>
          <t>Q2-W04</t>
        </is>
      </c>
      <c r="CG46" t="inlineStr">
        <is>
          <t>Q2-W02</t>
        </is>
      </c>
      <c r="CH46" t="inlineStr">
        <is>
          <t>Q1-W06</t>
        </is>
      </c>
      <c r="CI46"/>
      <c r="CJ46" t="inlineStr">
        <is>
          <t>Paid</t>
        </is>
      </c>
      <c r="CK46" t="inlineStr">
        <is>
          <t>Not Eligible</t>
        </is>
      </c>
      <c r="CL46"/>
      <c r="CM46"/>
    </row>
    <row r="47" ht="25.5" customHeight="1">
      <c r="A47" t="inlineStr">
        <is>
          <t>203688</t>
        </is>
      </c>
      <c r="B47" s="2"/>
      <c r="C47"/>
      <c r="D47" s="3">
        <v>46139.44519675926</v>
      </c>
      <c r="E47" t="inlineStr">
        <is>
          <t>Q2-W04</t>
        </is>
      </c>
      <c r="F47" t="inlineStr">
        <is>
          <t>Jess</t>
        </is>
      </c>
      <c r="G47" t="inlineStr">
        <is>
          <t>Customer</t>
        </is>
      </c>
      <c r="H47" s="2" t="str">
        <f>=HYPERLINK("https://upbox.ajobthing.my/customer/203688", "https://upbox.ajobthing.my/customer/203688")</f>
        <v>https://upbox.ajobthing.my/customer/203688</v>
      </c>
      <c r="I47" t="inlineStr">
        <is>
          <t>Lucky Brew Sdn Bhd</t>
        </is>
      </c>
      <c r="J47" t="inlineStr">
        <is>
          <t>Dolphin</t>
        </is>
      </c>
      <c r="K47" t="inlineStr">
        <is>
          <t>Jess Lim</t>
        </is>
      </c>
      <c r="L47" s="4"/>
      <c r="M47" s="4">
        <v>46139.44565972222</v>
      </c>
      <c r="N47"/>
      <c r="O47">
        <v>6048</v>
      </c>
      <c r="P47" s="4"/>
      <c r="Q47" s="4"/>
      <c r="R47"/>
      <c r="S47"/>
      <c r="T47" s="4"/>
      <c r="U47" s="4"/>
      <c r="V47"/>
      <c r="W47"/>
      <c r="X47"/>
      <c r="Y47" t="inlineStr">
        <is>
          <t>Pending Appointment</t>
        </is>
      </c>
      <c r="Z47" t="inlineStr">
        <is>
          <t>Hiring Now</t>
        </is>
      </c>
      <c r="AA47">
        <v>1</v>
      </c>
      <c r="AB47" t="inlineStr">
        <is>
          <t>No Appointment Made</t>
        </is>
      </c>
      <c r="AC47"/>
      <c r="AD47" t="inlineStr">
        <is>
          <t>barista</t>
        </is>
      </c>
      <c r="AE47"/>
      <c r="AF47">
        <v>300</v>
      </c>
      <c r="AG47" s="4"/>
      <c r="AH47" s="4"/>
      <c r="AI47"/>
      <c r="AJ47">
        <v>1</v>
      </c>
      <c r="AK47" t="inlineStr">
        <is>
          <t>No, I don't need at all</t>
        </is>
      </c>
      <c r="AL47">
        <v>1</v>
      </c>
      <c r="AM47" t="inlineStr">
        <is>
          <t>No, I don't need at all</t>
        </is>
      </c>
      <c r="AN47"/>
      <c r="AO47" t="inlineStr">
        <is>
          <t>No, I don't need at all</t>
        </is>
      </c>
      <c r="AP47" t="inlineStr">
        <is>
          <t>Once a year (25%)</t>
        </is>
      </c>
      <c r="AQ47"/>
      <c r="AR47" t="inlineStr">
        <is>
          <t>Jobstreet</t>
        </is>
      </c>
      <c r="AS47" t="inlineStr">
        <is>
          <t>- Headcount: 1
- Hiring Job Details: barista
- Hiring Urgency: Hiring Now
- Number of outlets: 1
- Have recruiter team: No, I don't need at all
- Number of recruiter in company: 1
- Have ATS system: No, I don't need at all
- Have career website: No, I don't need at all
- Current hiring budget: RM300.00
- Whole year budget: 
- Whole year number of vacancies: 
- Hiring frequency: Once a year (25%)
- External job portal: Jobstreet</t>
        </is>
      </c>
      <c r="AT47">
        <v>95</v>
      </c>
      <c r="AU47" t="inlineStr">
        <is>
          <t>0.95</t>
        </is>
      </c>
      <c r="AV47" t="inlineStr">
        <is>
          <t>15</t>
        </is>
      </c>
      <c r="AW47" t="inlineStr">
        <is>
          <t>0</t>
        </is>
      </c>
      <c r="AX47" t="inlineStr">
        <is>
          <t>Not Qualified</t>
        </is>
      </c>
      <c r="AY47" s="4"/>
      <c r="AZ47"/>
      <c r="BA47"/>
      <c r="BB47"/>
      <c r="BC47" t="inlineStr">
        <is>
          <t>- Headcount: 1
- Hiring Job Details: barista
- Hiring Urgency: Hiring Now
- Number of outlets: 1
- Have recruiter team: No, I don't need at all
- Number of recruiter in company: 1
- Have ATS system: No, I don't need at all
- Have career website: No, I don't need at all
- Current hiring budget: RM300.00
- Whole year budget: 
- Whole year number of vacancies: 
- Hiring frequency: Once a year (25%)
- External job portal: Jobstreet</t>
        </is>
      </c>
      <c r="BD47" s="4">
        <v>46139.45847222222</v>
      </c>
      <c r="BE47"/>
      <c r="BF47"/>
      <c r="BG47" t="inlineStr">
        <is>
          <t>Reschedule</t>
        </is>
      </c>
      <c r="BH47" t="inlineStr">
        <is>
          <t>Fauziah Maharan</t>
        </is>
      </c>
      <c r="BI47"/>
      <c r="BJ47" s="4">
        <v>46144.75436342593</v>
      </c>
      <c r="BK47" s="4">
        <v>46139.00671296296</v>
      </c>
      <c r="BL47" t="inlineStr">
        <is>
          <t>0.0</t>
        </is>
      </c>
      <c r="BM47" t="inlineStr">
        <is>
          <t>1200.0</t>
        </is>
      </c>
      <c r="BN47" t="inlineStr">
        <is>
          <t>View Create Job Page V4</t>
        </is>
      </c>
      <c r="BO47" s="4">
        <v>46139.017592592594</v>
      </c>
      <c r="BP47">
        <v>168952</v>
      </c>
      <c r="BQ47"/>
      <c r="BR47"/>
      <c r="BS47"/>
      <c r="BT47"/>
      <c r="BU47"/>
      <c r="BV47">
        <v>2728506</v>
      </c>
      <c r="BW47" t="inlineStr">
        <is>
          <t>Customer Inquiry</t>
        </is>
      </c>
      <c r="BX47"/>
      <c r="BY47"/>
      <c r="BZ47" s="4"/>
      <c r="CA47"/>
      <c r="CB47"/>
      <c r="CC47" s="4"/>
      <c r="CD47" t="inlineStr">
        <is>
          <t>20</t>
        </is>
      </c>
      <c r="CE47" t="inlineStr">
        <is>
          <t>0</t>
        </is>
      </c>
      <c r="CF47" t="inlineStr">
        <is>
          <t>Q2-W04</t>
        </is>
      </c>
      <c r="CG47"/>
      <c r="CH47"/>
      <c r="CI47"/>
      <c r="CJ47" t="inlineStr">
        <is>
          <t>No Paid</t>
        </is>
      </c>
      <c r="CK47" t="inlineStr">
        <is>
          <t>Not Eligible</t>
        </is>
      </c>
      <c r="CL47"/>
      <c r="CM47"/>
    </row>
    <row r="48" ht="25.5" customHeight="1">
      <c r="A48" t="inlineStr">
        <is>
          <t>125267</t>
        </is>
      </c>
      <c r="B48" s="2"/>
      <c r="C48"/>
      <c r="D48" s="3">
        <v>46139.45009259259</v>
      </c>
      <c r="E48" t="inlineStr">
        <is>
          <t>Q2-W04</t>
        </is>
      </c>
      <c r="F48" t="inlineStr">
        <is>
          <t>Carmen</t>
        </is>
      </c>
      <c r="G48" t="inlineStr">
        <is>
          <t>Customer</t>
        </is>
      </c>
      <c r="H48" s="2" t="str">
        <f>=HYPERLINK("https://upbox.ajobthing.my/customer/125267", "https://upbox.ajobthing.my/customer/125267")</f>
        <v>https://upbox.ajobthing.my/customer/125267</v>
      </c>
      <c r="I48" t="inlineStr">
        <is>
          <t>RAM Guard Services Sdn Bhd</t>
        </is>
      </c>
      <c r="J48" t="inlineStr">
        <is>
          <t>Dolphin</t>
        </is>
      </c>
      <c r="K48" t="inlineStr">
        <is>
          <t>Carmen</t>
        </is>
      </c>
      <c r="L48" s="4"/>
      <c r="M48" s="4">
        <v>46139.45017361111</v>
      </c>
      <c r="N48"/>
      <c r="O48">
        <v>3888</v>
      </c>
      <c r="P48" s="4"/>
      <c r="Q48" s="4">
        <v>46142.57969907407</v>
      </c>
      <c r="R48"/>
      <c r="S48">
        <v>3576.96</v>
      </c>
      <c r="T48" s="4">
        <v>45763.419641203705</v>
      </c>
      <c r="U48" s="4"/>
      <c r="V48"/>
      <c r="W48">
        <v>324</v>
      </c>
      <c r="X48"/>
      <c r="Y48" t="inlineStr">
        <is>
          <t>Pending Appointment</t>
        </is>
      </c>
      <c r="Z48" t="inlineStr">
        <is>
          <t>Continuous Hiring</t>
        </is>
      </c>
      <c r="AA48">
        <v>7</v>
      </c>
      <c r="AB48" t="inlineStr">
        <is>
          <t>No Appointment Made</t>
        </is>
      </c>
      <c r="AC48"/>
      <c r="AD48" t="inlineStr">
        <is>
          <t>5 female security, 2 male security</t>
        </is>
      </c>
      <c r="AE48"/>
      <c r="AF48">
        <v>3000</v>
      </c>
      <c r="AG48" s="4"/>
      <c r="AH48" s="4"/>
      <c r="AI48"/>
      <c r="AJ48"/>
      <c r="AK48" t="inlineStr">
        <is>
          <t>Yes, I have</t>
        </is>
      </c>
      <c r="AL48"/>
      <c r="AM48"/>
      <c r="AN48"/>
      <c r="AO48"/>
      <c r="AP48" t="inlineStr">
        <is>
          <t>Every month (100%)</t>
        </is>
      </c>
      <c r="AQ48"/>
      <c r="AR48"/>
      <c r="AS48" t="inlineStr">
        <is>
          <t>- Headcount: 7
- Hiring Job Details: 5 female security, 2 male security
- Hiring Urgency: Continuous Hiring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Every month (100%)
- External job portal: Not available</t>
        </is>
      </c>
      <c r="AT48">
        <v>85</v>
      </c>
      <c r="AU48" t="inlineStr">
        <is>
          <t>0.85</t>
        </is>
      </c>
      <c r="AV48" t="inlineStr">
        <is>
          <t>20</t>
        </is>
      </c>
      <c r="AW48" t="inlineStr">
        <is>
          <t>0</t>
        </is>
      </c>
      <c r="AX48" t="inlineStr">
        <is>
          <t>Not Qualified</t>
        </is>
      </c>
      <c r="AY48" s="4"/>
      <c r="AZ48"/>
      <c r="BA48"/>
      <c r="BB48"/>
      <c r="BC48" t="inlineStr">
        <is>
          <t>iv sent</t>
        </is>
      </c>
      <c r="BD48" s="4">
        <v>46142.58043981482</v>
      </c>
      <c r="BE48" t="inlineStr">
        <is>
          <t>pending</t>
        </is>
      </c>
      <c r="BF48"/>
      <c r="BG48" t="inlineStr">
        <is>
          <t>Reschedule</t>
        </is>
      </c>
      <c r="BH48" t="inlineStr">
        <is>
          <t>Reagen</t>
        </is>
      </c>
      <c r="BI48" t="inlineStr">
        <is>
          <t>Security / Law Enforcement</t>
        </is>
      </c>
      <c r="BJ48" s="4">
        <v>46144.75033564815</v>
      </c>
      <c r="BK48" s="4">
        <v>43878.416909722226</v>
      </c>
      <c r="BL48" t="inlineStr">
        <is>
          <t>0.0</t>
        </is>
      </c>
      <c r="BM48" t="inlineStr">
        <is>
          <t>3600.0</t>
        </is>
      </c>
      <c r="BN48" t="inlineStr">
        <is>
          <t>View Company Page</t>
        </is>
      </c>
      <c r="BO48" s="4">
        <v>46135.63990740741</v>
      </c>
      <c r="BP48">
        <v>168957</v>
      </c>
      <c r="BQ48">
        <v>124188</v>
      </c>
      <c r="BR48" t="inlineStr">
        <is>
          <t>Proforma</t>
        </is>
      </c>
      <c r="BS48" t="inlineStr">
        <is>
          <t>AI Yearly Standard Plan (Jan 26)</t>
        </is>
      </c>
      <c r="BT48">
        <v>78513</v>
      </c>
      <c r="BU48"/>
      <c r="BV48">
        <v>2737575</v>
      </c>
      <c r="BW48" t="inlineStr">
        <is>
          <t>Follow Up : Invoice Sent 75%</t>
        </is>
      </c>
      <c r="BX48"/>
      <c r="BY48"/>
      <c r="BZ48" s="4"/>
      <c r="CA48"/>
      <c r="CB48"/>
      <c r="CC48" s="4"/>
      <c r="CD48" t="inlineStr">
        <is>
          <t>30</t>
        </is>
      </c>
      <c r="CE48" t="inlineStr">
        <is>
          <t>0</t>
        </is>
      </c>
      <c r="CF48" t="inlineStr">
        <is>
          <t>Q2-W04</t>
        </is>
      </c>
      <c r="CG48" t="inlineStr">
        <is>
          <t>Q2-W04</t>
        </is>
      </c>
      <c r="CH48"/>
      <c r="CI48"/>
      <c r="CJ48" t="inlineStr">
        <is>
          <t>Paid</t>
        </is>
      </c>
      <c r="CK48" t="inlineStr">
        <is>
          <t>Not Eligible</t>
        </is>
      </c>
      <c r="CL48"/>
      <c r="CM48"/>
    </row>
    <row r="49" ht="25.5" customHeight="1">
      <c r="A49" t="inlineStr">
        <is>
          <t>203675</t>
        </is>
      </c>
      <c r="B49" s="2"/>
      <c r="C49"/>
      <c r="D49" s="3">
        <v>46139.45743055556</v>
      </c>
      <c r="E49" t="inlineStr">
        <is>
          <t>Q2-W04</t>
        </is>
      </c>
      <c r="F49" t="inlineStr">
        <is>
          <t>Lucas</t>
        </is>
      </c>
      <c r="G49" t="inlineStr">
        <is>
          <t>Customer</t>
        </is>
      </c>
      <c r="H49" s="2" t="str">
        <f>=HYPERLINK("https://upbox.ajobthing.my/customer/203675", "https://upbox.ajobthing.my/customer/203675")</f>
        <v>https://upbox.ajobthing.my/customer/203675</v>
      </c>
      <c r="I49" t="inlineStr">
        <is>
          <t>Kiwi Classics Auto Sdn Bhd</t>
        </is>
      </c>
      <c r="J49" t="inlineStr">
        <is>
          <t>Dolphin</t>
        </is>
      </c>
      <c r="K49" t="inlineStr">
        <is>
          <t>Lucas</t>
        </is>
      </c>
      <c r="L49" s="4"/>
      <c r="M49" s="4">
        <v>46139.454560185186</v>
      </c>
      <c r="N49"/>
      <c r="O49">
        <v>3888</v>
      </c>
      <c r="P49" s="4"/>
      <c r="Q49" s="4"/>
      <c r="R49"/>
      <c r="S49"/>
      <c r="T49" s="4"/>
      <c r="U49" s="4"/>
      <c r="V49"/>
      <c r="W49"/>
      <c r="X49"/>
      <c r="Y49" t="inlineStr">
        <is>
          <t>Pending Appointment</t>
        </is>
      </c>
      <c r="Z49" t="inlineStr">
        <is>
          <t>Hiring Now</t>
        </is>
      </c>
      <c r="AA49">
        <v>3</v>
      </c>
      <c r="AB49" t="inlineStr">
        <is>
          <t>No Appointment Made</t>
        </is>
      </c>
      <c r="AC49"/>
      <c r="AD49" t="inlineStr">
        <is>
          <t xml:space="preserve">1 sale . 1 telemarketer , 1 runner </t>
        </is>
      </c>
      <c r="AE49"/>
      <c r="AF49">
        <v>0</v>
      </c>
      <c r="AG49" s="4"/>
      <c r="AH49" s="4"/>
      <c r="AI49">
        <v>0</v>
      </c>
      <c r="AJ49">
        <v>0</v>
      </c>
      <c r="AK49" t="inlineStr">
        <is>
          <t>No, I don't need at all</t>
        </is>
      </c>
      <c r="AL49">
        <v>0</v>
      </c>
      <c r="AM49" t="inlineStr">
        <is>
          <t>No, I don't need at all</t>
        </is>
      </c>
      <c r="AN49"/>
      <c r="AO49" t="inlineStr">
        <is>
          <t>No, I don't need at all</t>
        </is>
      </c>
      <c r="AP49" t="inlineStr">
        <is>
          <t>Once a year (25%)</t>
        </is>
      </c>
      <c r="AQ49">
        <v>3</v>
      </c>
      <c r="AR49" t="inlineStr">
        <is>
          <t>Jobstreet</t>
        </is>
      </c>
      <c r="AS49" t="inlineStr">
        <is>
          <t>- Headcount: 3
- Hiring Job Details: 1 sale, 1 telemarketer, 1 runner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t>
        </is>
      </c>
      <c r="AT49">
        <v>115</v>
      </c>
      <c r="AU49" t="inlineStr">
        <is>
          <t>1.15</t>
        </is>
      </c>
      <c r="AV49" t="inlineStr">
        <is>
          <t>15</t>
        </is>
      </c>
      <c r="AW49" t="inlineStr">
        <is>
          <t>0</t>
        </is>
      </c>
      <c r="AX49" t="inlineStr">
        <is>
          <t>Not Qualified</t>
        </is>
      </c>
      <c r="AY49" s="4"/>
      <c r="AZ49"/>
      <c r="BA49"/>
      <c r="BB49"/>
      <c r="BC49" t="inlineStr">
        <is>
          <t>nr , FU1</t>
        </is>
      </c>
      <c r="BD49" s="4">
        <v>46142.615</v>
      </c>
      <c r="BE49"/>
      <c r="BF49"/>
      <c r="BG49" t="inlineStr">
        <is>
          <t>Reschedule</t>
        </is>
      </c>
      <c r="BH49" t="inlineStr">
        <is>
          <t>Yee Hang</t>
        </is>
      </c>
      <c r="BI49"/>
      <c r="BJ49" s="4">
        <v>46144.75436342593</v>
      </c>
      <c r="BK49" s="4">
        <v>46138.26525462963</v>
      </c>
      <c r="BL49" t="inlineStr">
        <is>
          <t>0.0</t>
        </is>
      </c>
      <c r="BM49" t="inlineStr">
        <is>
          <t>2400.0</t>
        </is>
      </c>
      <c r="BN49" t="inlineStr">
        <is>
          <t>View Company Page</t>
        </is>
      </c>
      <c r="BO49" s="4">
        <v>46138.26577546296</v>
      </c>
      <c r="BP49">
        <v>168962</v>
      </c>
      <c r="BQ49"/>
      <c r="BR49"/>
      <c r="BS49"/>
      <c r="BT49"/>
      <c r="BU49"/>
      <c r="BV49">
        <v>2737783</v>
      </c>
      <c r="BW49" t="inlineStr">
        <is>
          <t>No Answer : Voicemail - WA sent to customer</t>
        </is>
      </c>
      <c r="BX49"/>
      <c r="BY49"/>
      <c r="BZ49" s="4"/>
      <c r="CA49"/>
      <c r="CB49"/>
      <c r="CC49" s="4"/>
      <c r="CD49" t="inlineStr">
        <is>
          <t>20</t>
        </is>
      </c>
      <c r="CE49" t="inlineStr">
        <is>
          <t>0</t>
        </is>
      </c>
      <c r="CF49" t="inlineStr">
        <is>
          <t>Q2-W04</t>
        </is>
      </c>
      <c r="CG49"/>
      <c r="CH49"/>
      <c r="CI49"/>
      <c r="CJ49" t="inlineStr">
        <is>
          <t>No Paid</t>
        </is>
      </c>
      <c r="CK49" t="inlineStr">
        <is>
          <t>Not Eligible</t>
        </is>
      </c>
      <c r="CL49"/>
      <c r="CM49"/>
    </row>
    <row r="50" ht="25.5" customHeight="1">
      <c r="A50" t="inlineStr">
        <is>
          <t>4327002</t>
        </is>
      </c>
      <c r="B50" s="2"/>
      <c r="C50"/>
      <c r="D50" s="3">
        <v>46139.46696759259</v>
      </c>
      <c r="E50" t="inlineStr">
        <is>
          <t>Q2-W04</t>
        </is>
      </c>
      <c r="F50" t="inlineStr">
        <is>
          <t>Jess</t>
        </is>
      </c>
      <c r="G50" t="inlineStr">
        <is>
          <t>Lead</t>
        </is>
      </c>
      <c r="H50" s="2" t="str">
        <f>=HYPERLINK("https://upbox.ajobthing.my/leads/4327002", "https://upbox.ajobthing.my/leads/4327002")</f>
        <v>https://upbox.ajobthing.my/leads/4327002</v>
      </c>
      <c r="I50" t="inlineStr">
        <is>
          <t>BESTARI ACADEY HOLDING SDN BHD</t>
        </is>
      </c>
      <c r="J50" t="inlineStr">
        <is>
          <t>Dolphin</t>
        </is>
      </c>
      <c r="K50" t="inlineStr">
        <is>
          <t>Jess Lim</t>
        </is>
      </c>
      <c r="L50" s="4"/>
      <c r="M50" s="4">
        <v>46139.46732638889</v>
      </c>
      <c r="N50"/>
      <c r="O50">
        <v>3888</v>
      </c>
      <c r="P50" s="4"/>
      <c r="Q50" s="4"/>
      <c r="R50"/>
      <c r="S50"/>
      <c r="T50" s="4"/>
      <c r="U50" s="4"/>
      <c r="V50"/>
      <c r="W50"/>
      <c r="X50"/>
      <c r="Y50" t="inlineStr">
        <is>
          <t>Pending Appointment</t>
        </is>
      </c>
      <c r="Z50" t="inlineStr">
        <is>
          <t>Hiring Now</t>
        </is>
      </c>
      <c r="AA50">
        <v>1</v>
      </c>
      <c r="AB50" t="inlineStr">
        <is>
          <t>No Appointment Made</t>
        </is>
      </c>
      <c r="AC50"/>
      <c r="AD50" t="inlineStr">
        <is>
          <t xml:space="preserve"> maintenance assistant </t>
        </is>
      </c>
      <c r="AE50"/>
      <c r="AF50">
        <v>500</v>
      </c>
      <c r="AG50" s="4"/>
      <c r="AH50" s="4"/>
      <c r="AI50"/>
      <c r="AJ50">
        <v>1</v>
      </c>
      <c r="AK50" t="inlineStr">
        <is>
          <t>No, I don't need at all</t>
        </is>
      </c>
      <c r="AL50">
        <v>1</v>
      </c>
      <c r="AM50" t="inlineStr">
        <is>
          <t>No, I don't need at all</t>
        </is>
      </c>
      <c r="AN50"/>
      <c r="AO50"/>
      <c r="AP50" t="inlineStr">
        <is>
          <t>Once a year (25%)</t>
        </is>
      </c>
      <c r="AQ50"/>
      <c r="AR50" t="inlineStr">
        <is>
          <t>Jobstreet</t>
        </is>
      </c>
      <c r="AS50" t="inlineStr">
        <is>
          <t>- Headcount: 1
- Hiring Job Details: 1 maintenance assistant
- Hiring Urgency: Hiring Now
- Number of outlets: 1
- Have recruiter team: No, I don't need at all
- Number of recruiter in company: 1
- Have ATS system: No, I don't need at all
- Have career website: Not specified
- Current hiring budget: RM500.00
- Whole year budget: Not specified
- Whole year number of vacancies: Not specified
- Hiring frequency: Once a year (25%)
- External job portal: Jobstreet</t>
        </is>
      </c>
      <c r="AT50">
        <v>100</v>
      </c>
      <c r="AU50" t="inlineStr">
        <is>
          <t>1.00</t>
        </is>
      </c>
      <c r="AV50" t="inlineStr">
        <is>
          <t>15</t>
        </is>
      </c>
      <c r="AW50" t="inlineStr">
        <is>
          <t>0</t>
        </is>
      </c>
      <c r="AX50" t="inlineStr">
        <is>
          <t>Not Qualified</t>
        </is>
      </c>
      <c r="AY50" s="4"/>
      <c r="AZ50"/>
      <c r="BA50"/>
      <c r="BB50"/>
      <c r="BC50"/>
      <c r="BD50" s="4"/>
      <c r="BE50"/>
      <c r="BF50"/>
      <c r="BG50" t="inlineStr">
        <is>
          <t>Reschedule</t>
        </is>
      </c>
      <c r="BH50" t="inlineStr">
        <is>
          <t>Fauziah Maharan</t>
        </is>
      </c>
      <c r="BI50"/>
      <c r="BJ50" s="4">
        <v>46144.75592592593</v>
      </c>
      <c r="BK50" s="4">
        <v>46139.40149305556</v>
      </c>
      <c r="BL50" t="inlineStr">
        <is>
          <t>0.0</t>
        </is>
      </c>
      <c r="BM50" t="inlineStr">
        <is>
          <t>0.0</t>
        </is>
      </c>
      <c r="BN50"/>
      <c r="BO50" s="4"/>
      <c r="BP50">
        <v>168971</v>
      </c>
      <c r="BQ50"/>
      <c r="BR50"/>
      <c r="BS50"/>
      <c r="BT50"/>
      <c r="BU50"/>
      <c r="BV50"/>
      <c r="BW50"/>
      <c r="BX50"/>
      <c r="BY50"/>
      <c r="BZ50" s="4"/>
      <c r="CA50"/>
      <c r="CB50"/>
      <c r="CC50" s="4"/>
      <c r="CD50" t="inlineStr">
        <is>
          <t>20</t>
        </is>
      </c>
      <c r="CE50" t="inlineStr">
        <is>
          <t>0</t>
        </is>
      </c>
      <c r="CF50" t="inlineStr">
        <is>
          <t>Q2-W04</t>
        </is>
      </c>
      <c r="CG50"/>
      <c r="CH50"/>
      <c r="CI50"/>
      <c r="CJ50" t="inlineStr">
        <is>
          <t>No Paid</t>
        </is>
      </c>
      <c r="CK50" t="inlineStr">
        <is>
          <t>Not Eligible</t>
        </is>
      </c>
      <c r="CL50"/>
      <c r="CM50"/>
    </row>
    <row r="51" ht="25.5" customHeight="1">
      <c r="A51" t="inlineStr">
        <is>
          <t>4221740</t>
        </is>
      </c>
      <c r="B51" s="2"/>
      <c r="C51"/>
      <c r="D51" s="3">
        <v>46139.47253472222</v>
      </c>
      <c r="E51" t="inlineStr">
        <is>
          <t>Q2-W04</t>
        </is>
      </c>
      <c r="F51" t="inlineStr">
        <is>
          <t>Josh</t>
        </is>
      </c>
      <c r="G51" t="inlineStr">
        <is>
          <t>Lead</t>
        </is>
      </c>
      <c r="H51" s="2" t="str">
        <f>=HYPERLINK("https://upbox.ajobthing.my/leads/4221740", "https://upbox.ajobthing.my/leads/4221740")</f>
        <v>https://upbox.ajobthing.my/leads/4221740</v>
      </c>
      <c r="I51" t="inlineStr">
        <is>
          <t>MNM GEOTECH SDN BHD</t>
        </is>
      </c>
      <c r="J51" t="inlineStr">
        <is>
          <t>Dolphin</t>
        </is>
      </c>
      <c r="K51" t="inlineStr">
        <is>
          <t>Josh</t>
        </is>
      </c>
      <c r="L51" s="4"/>
      <c r="M51" s="4">
        <v>46139.47311342593</v>
      </c>
      <c r="N51"/>
      <c r="O51">
        <v>3888</v>
      </c>
      <c r="P51" s="4"/>
      <c r="Q51" s="4"/>
      <c r="R51"/>
      <c r="S51"/>
      <c r="T51" s="4"/>
      <c r="U51" s="4"/>
      <c r="V51"/>
      <c r="W51"/>
      <c r="X51"/>
      <c r="Y51" t="inlineStr">
        <is>
          <t>Pending Appointment</t>
        </is>
      </c>
      <c r="Z51" t="inlineStr">
        <is>
          <t>Hiring Later</t>
        </is>
      </c>
      <c r="AA51">
        <v>1</v>
      </c>
      <c r="AB51" t="inlineStr">
        <is>
          <t>No Appointment Made</t>
        </is>
      </c>
      <c r="AC51"/>
      <c r="AD51" t="inlineStr">
        <is>
          <t>1 finance</t>
        </is>
      </c>
      <c r="AE51"/>
      <c r="AF51">
        <v>3000</v>
      </c>
      <c r="AG51" s="4"/>
      <c r="AH51" s="4"/>
      <c r="AI51"/>
      <c r="AJ51"/>
      <c r="AK51" t="inlineStr">
        <is>
          <t>Yes, I have</t>
        </is>
      </c>
      <c r="AL51"/>
      <c r="AM51"/>
      <c r="AN51"/>
      <c r="AO51"/>
      <c r="AP51" t="inlineStr">
        <is>
          <t>Once a year (25%)</t>
        </is>
      </c>
      <c r="AQ51"/>
      <c r="AR51"/>
      <c r="AS51" t="inlineStr">
        <is>
          <t>- Headcount: 1
- Hiring Job Details: 1 finance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
- Hiring Urgency: Hiring Later</t>
        </is>
      </c>
      <c r="AT51">
        <v>75</v>
      </c>
      <c r="AU51" t="inlineStr">
        <is>
          <t>0.75</t>
        </is>
      </c>
      <c r="AV51" t="inlineStr">
        <is>
          <t>15</t>
        </is>
      </c>
      <c r="AW51" t="inlineStr">
        <is>
          <t>0</t>
        </is>
      </c>
      <c r="AX51" t="inlineStr">
        <is>
          <t>Not Qualified</t>
        </is>
      </c>
      <c r="AY51" s="4"/>
      <c r="AZ51"/>
      <c r="BA51"/>
      <c r="BB51"/>
      <c r="BC51"/>
      <c r="BD51" s="4"/>
      <c r="BE51"/>
      <c r="BF51"/>
      <c r="BG51" t="inlineStr">
        <is>
          <t>Reschedule</t>
        </is>
      </c>
      <c r="BH51" t="inlineStr">
        <is>
          <t>Fauziah Maharan</t>
        </is>
      </c>
      <c r="BI51"/>
      <c r="BJ51" s="4">
        <v>46144.7556712963</v>
      </c>
      <c r="BK51" s="4">
        <v>46112.463796296295</v>
      </c>
      <c r="BL51" t="inlineStr">
        <is>
          <t>0.0</t>
        </is>
      </c>
      <c r="BM51" t="inlineStr">
        <is>
          <t>0.0</t>
        </is>
      </c>
      <c r="BN51"/>
      <c r="BO51" s="4"/>
      <c r="BP51">
        <v>168975</v>
      </c>
      <c r="BQ51"/>
      <c r="BR51"/>
      <c r="BS51"/>
      <c r="BT51"/>
      <c r="BU51"/>
      <c r="BV51"/>
      <c r="BW51"/>
      <c r="BX51"/>
      <c r="BY51"/>
      <c r="BZ51" s="4"/>
      <c r="CA51"/>
      <c r="CB51"/>
      <c r="CC51" s="4"/>
      <c r="CD51" t="inlineStr">
        <is>
          <t>20</t>
        </is>
      </c>
      <c r="CE51" t="inlineStr">
        <is>
          <t>0</t>
        </is>
      </c>
      <c r="CF51" t="inlineStr">
        <is>
          <t>Q2-W04</t>
        </is>
      </c>
      <c r="CG51"/>
      <c r="CH51"/>
      <c r="CI51"/>
      <c r="CJ51" t="inlineStr">
        <is>
          <t>No Paid</t>
        </is>
      </c>
      <c r="CK51" t="inlineStr">
        <is>
          <t>Not Eligible</t>
        </is>
      </c>
      <c r="CL51"/>
      <c r="CM51"/>
    </row>
    <row r="52" ht="25.5" customHeight="1">
      <c r="A52" t="inlineStr">
        <is>
          <t>199930</t>
        </is>
      </c>
      <c r="B52" s="2"/>
      <c r="C52"/>
      <c r="D52" s="3">
        <v>46139.477627314816</v>
      </c>
      <c r="E52" t="inlineStr">
        <is>
          <t>Q2-W04</t>
        </is>
      </c>
      <c r="F52" t="inlineStr">
        <is>
          <t>Alan KY</t>
        </is>
      </c>
      <c r="G52" t="inlineStr">
        <is>
          <t>Customer</t>
        </is>
      </c>
      <c r="H52" s="2" t="str">
        <f>=HYPERLINK("https://upbox.ajobthing.my/customer/199930", "https://upbox.ajobthing.my/customer/199930")</f>
        <v>https://upbox.ajobthing.my/customer/199930</v>
      </c>
      <c r="I52" t="inlineStr">
        <is>
          <t>Igreen Plus Solution Sdn. Bhd.</t>
        </is>
      </c>
      <c r="J52" t="inlineStr">
        <is>
          <t>Dolphin</t>
        </is>
      </c>
      <c r="K52" t="inlineStr">
        <is>
          <t>Alan KY</t>
        </is>
      </c>
      <c r="L52" s="4"/>
      <c r="M52" s="4">
        <v>46139.473587962966</v>
      </c>
      <c r="N52"/>
      <c r="O52">
        <v>3672</v>
      </c>
      <c r="P52" s="4"/>
      <c r="Q52" s="4">
        <v>46140.421944444446</v>
      </c>
      <c r="R52"/>
      <c r="S52">
        <v>0</v>
      </c>
      <c r="T52" s="4">
        <v>46140.41484953704</v>
      </c>
      <c r="U52" s="4"/>
      <c r="V52"/>
      <c r="W52">
        <v>1080</v>
      </c>
      <c r="X52"/>
      <c r="Y52" t="inlineStr">
        <is>
          <t>Pending Appointment</t>
        </is>
      </c>
      <c r="Z52" t="inlineStr">
        <is>
          <t>Hiring Now</t>
        </is>
      </c>
      <c r="AA52">
        <v>3</v>
      </c>
      <c r="AB52" t="inlineStr">
        <is>
          <t>No Appointment Made</t>
        </is>
      </c>
      <c r="AC52"/>
      <c r="AD52" t="inlineStr">
        <is>
          <t xml:space="preserve">1 intern, 1 BD, 1 account, based in KL </t>
        </is>
      </c>
      <c r="AE52"/>
      <c r="AF52"/>
      <c r="AG52" s="4"/>
      <c r="AH52" s="4"/>
      <c r="AI52"/>
      <c r="AJ52">
        <v>1</v>
      </c>
      <c r="AK52" t="inlineStr">
        <is>
          <t>No, I don't need at all</t>
        </is>
      </c>
      <c r="AL52"/>
      <c r="AM52" t="inlineStr">
        <is>
          <t>No, I don't need at all</t>
        </is>
      </c>
      <c r="AN52"/>
      <c r="AO52" t="inlineStr">
        <is>
          <t>No, I don't need at all</t>
        </is>
      </c>
      <c r="AP52" t="inlineStr">
        <is>
          <t>Once per quarter (75%)</t>
        </is>
      </c>
      <c r="AQ52"/>
      <c r="AR52" t="inlineStr">
        <is>
          <t>Jobstreet</t>
        </is>
      </c>
      <c r="AS52" t="inlineStr">
        <is>
          <t>- Headcount: 3
- Hiring Job Details: 1 intern, 1 BD, 1 account, based in KL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52">
        <v>105</v>
      </c>
      <c r="AU52" t="inlineStr">
        <is>
          <t>1.05</t>
        </is>
      </c>
      <c r="AV52" t="inlineStr">
        <is>
          <t>5</t>
        </is>
      </c>
      <c r="AW52" t="inlineStr">
        <is>
          <t>0</t>
        </is>
      </c>
      <c r="AX52" t="inlineStr">
        <is>
          <t>Not Qualified</t>
        </is>
      </c>
      <c r="AY52" s="4"/>
      <c r="AZ52"/>
      <c r="BA52"/>
      <c r="BB52"/>
      <c r="BC52" t="inlineStr">
        <is>
          <t>Paid via online, prefer unlock paylater. Wanna try the outcome first. 
Guide client on the platform</t>
        </is>
      </c>
      <c r="BD52" s="4">
        <v>46140.42936342592</v>
      </c>
      <c r="BE52" t="inlineStr">
        <is>
          <t>paid</t>
        </is>
      </c>
      <c r="BF52" t="inlineStr">
        <is>
          <t>Q2-W04</t>
        </is>
      </c>
      <c r="BG52" t="inlineStr">
        <is>
          <t>Reschedule</t>
        </is>
      </c>
      <c r="BH52" t="inlineStr">
        <is>
          <t>Reagen</t>
        </is>
      </c>
      <c r="BI52" t="inlineStr">
        <is>
          <t>Utilities / Power</t>
        </is>
      </c>
      <c r="BJ52" s="4">
        <v>46144.75342592593</v>
      </c>
      <c r="BK52" s="4">
        <v>46025.76017361111</v>
      </c>
      <c r="BL52" t="inlineStr">
        <is>
          <t>1080.0</t>
        </is>
      </c>
      <c r="BM52" t="inlineStr">
        <is>
          <t>1800.0</t>
        </is>
      </c>
      <c r="BN52" t="inlineStr">
        <is>
          <t>View Company Page</t>
        </is>
      </c>
      <c r="BO52" s="4">
        <v>46142.39429398148</v>
      </c>
      <c r="BP52">
        <v>168976</v>
      </c>
      <c r="BQ52">
        <v>123827</v>
      </c>
      <c r="BR52" t="inlineStr">
        <is>
          <t>Proforma</t>
        </is>
      </c>
      <c r="BS52" t="inlineStr">
        <is>
          <t>Free Part-Time Job</t>
        </is>
      </c>
      <c r="BT52">
        <v>94868</v>
      </c>
      <c r="BU52"/>
      <c r="BV52">
        <v>2731791</v>
      </c>
      <c r="BW52" t="inlineStr">
        <is>
          <t>Follow Up : Win - Customer Paid</t>
        </is>
      </c>
      <c r="BX52">
        <v>3</v>
      </c>
      <c r="BY52">
        <v>2</v>
      </c>
      <c r="BZ52" s="4">
        <v>46140.41486111111</v>
      </c>
      <c r="CA52"/>
      <c r="CB52"/>
      <c r="CC52" s="4"/>
      <c r="CD52" t="inlineStr">
        <is>
          <t>5</t>
        </is>
      </c>
      <c r="CE52" t="inlineStr">
        <is>
          <t>0</t>
        </is>
      </c>
      <c r="CF52" t="inlineStr">
        <is>
          <t>Q2-W04</t>
        </is>
      </c>
      <c r="CG52" t="inlineStr">
        <is>
          <t>Q2-W04</t>
        </is>
      </c>
      <c r="CH52" t="inlineStr">
        <is>
          <t>Q2-W04</t>
        </is>
      </c>
      <c r="CI52"/>
      <c r="CJ52" t="inlineStr">
        <is>
          <t>Paid</t>
        </is>
      </c>
      <c r="CK52" t="inlineStr">
        <is>
          <t>Not Eligible</t>
        </is>
      </c>
      <c r="CL52"/>
      <c r="CM52"/>
    </row>
    <row r="53" ht="25.5" customHeight="1">
      <c r="A53" t="inlineStr">
        <is>
          <t>181694</t>
        </is>
      </c>
      <c r="B53" s="2"/>
      <c r="C53"/>
      <c r="D53" s="3">
        <v>46139.48101851852</v>
      </c>
      <c r="E53" t="inlineStr">
        <is>
          <t>Q2-W04</t>
        </is>
      </c>
      <c r="F53" t="inlineStr">
        <is>
          <t>Eugene</t>
        </is>
      </c>
      <c r="G53" t="inlineStr">
        <is>
          <t>Customer</t>
        </is>
      </c>
      <c r="H53" s="2" t="str">
        <f>=HYPERLINK("https://upbox.ajobthing.my/customer/181694", "https://upbox.ajobthing.my/customer/181694")</f>
        <v>https://upbox.ajobthing.my/customer/181694</v>
      </c>
      <c r="I53" t="inlineStr">
        <is>
          <t>Maghfirah Travel &amp; Tours Sdn Bhd</t>
        </is>
      </c>
      <c r="J53" t="inlineStr">
        <is>
          <t>Dolphin</t>
        </is>
      </c>
      <c r="K53" t="inlineStr">
        <is>
          <t>Eugene</t>
        </is>
      </c>
      <c r="L53" s="4"/>
      <c r="M53" s="4">
        <v>46139.481099537035</v>
      </c>
      <c r="N53"/>
      <c r="O53">
        <v>3888</v>
      </c>
      <c r="P53" s="4"/>
      <c r="Q53" s="4">
        <v>45532.73741898148</v>
      </c>
      <c r="R53"/>
      <c r="S53">
        <v>1632.96</v>
      </c>
      <c r="T53" s="4">
        <v>45532.73741898148</v>
      </c>
      <c r="U53" s="4"/>
      <c r="V53"/>
      <c r="W53">
        <v>1632.96</v>
      </c>
      <c r="X53"/>
      <c r="Y53" t="inlineStr">
        <is>
          <t>Pending Appointment</t>
        </is>
      </c>
      <c r="Z53" t="inlineStr">
        <is>
          <t>Hiring Later</t>
        </is>
      </c>
      <c r="AA53">
        <v>1</v>
      </c>
      <c r="AB53" t="inlineStr">
        <is>
          <t>No Appointment Made</t>
        </is>
      </c>
      <c r="AC53"/>
      <c r="AD53" t="inlineStr">
        <is>
          <t>1 positions, based in KL</t>
        </is>
      </c>
      <c r="AE53"/>
      <c r="AF53">
        <v>3000</v>
      </c>
      <c r="AG53" s="4"/>
      <c r="AH53" s="4"/>
      <c r="AI53">
        <v>3000</v>
      </c>
      <c r="AJ53">
        <v>1</v>
      </c>
      <c r="AK53" t="inlineStr">
        <is>
          <t>No, I don't need at all</t>
        </is>
      </c>
      <c r="AL53">
        <v>1</v>
      </c>
      <c r="AM53" t="inlineStr">
        <is>
          <t>No, I don't need at all</t>
        </is>
      </c>
      <c r="AN53"/>
      <c r="AO53" t="inlineStr">
        <is>
          <t>No, I don't need at all</t>
        </is>
      </c>
      <c r="AP53" t="inlineStr">
        <is>
          <t>Twice a year (50%)</t>
        </is>
      </c>
      <c r="AQ53">
        <v>3</v>
      </c>
      <c r="AR53" t="inlineStr">
        <is>
          <t>Indeed (Paid), Free Job Portal</t>
        </is>
      </c>
      <c r="AS53" t="inlineStr">
        <is>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Indeed (Paid), Free Job Portal</t>
        </is>
      </c>
      <c r="AT53">
        <v>95</v>
      </c>
      <c r="AU53" t="inlineStr">
        <is>
          <t>0.95</t>
        </is>
      </c>
      <c r="AV53" t="inlineStr">
        <is>
          <t>15</t>
        </is>
      </c>
      <c r="AW53" t="inlineStr">
        <is>
          <t>0</t>
        </is>
      </c>
      <c r="AX53" t="inlineStr">
        <is>
          <t>Not Qualified</t>
        </is>
      </c>
      <c r="AY53" s="4"/>
      <c r="AZ53"/>
      <c r="BA53"/>
      <c r="BB53"/>
      <c r="BC53" t="inlineStr">
        <is>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Indeed (Paid), Free Job Portal</t>
        </is>
      </c>
      <c r="BD53" s="4">
        <v>46139.500185185185</v>
      </c>
      <c r="BE53" t="inlineStr">
        <is>
          <t>paid</t>
        </is>
      </c>
      <c r="BF53"/>
      <c r="BG53" t="inlineStr">
        <is>
          <t>Reschedule</t>
        </is>
      </c>
      <c r="BH53" t="inlineStr">
        <is>
          <t>Edward Hoo</t>
        </is>
      </c>
      <c r="BI53" t="inlineStr">
        <is>
          <t>Travel / Tourism</t>
        </is>
      </c>
      <c r="BJ53" s="4">
        <v>46144.75188657407</v>
      </c>
      <c r="BK53" s="4">
        <v>45520.40284722222</v>
      </c>
      <c r="BL53" t="inlineStr">
        <is>
          <t>0.0</t>
        </is>
      </c>
      <c r="BM53" t="inlineStr">
        <is>
          <t>0.0</t>
        </is>
      </c>
      <c r="BN53" t="inlineStr">
        <is>
          <t>View Company Page</t>
        </is>
      </c>
      <c r="BO53" s="4">
        <v>45791.60841435185</v>
      </c>
      <c r="BP53">
        <v>168991</v>
      </c>
      <c r="BQ53">
        <v>72541</v>
      </c>
      <c r="BR53" t="inlineStr">
        <is>
          <t>Online</t>
        </is>
      </c>
      <c r="BS53"/>
      <c r="BT53">
        <v>72541</v>
      </c>
      <c r="BU53"/>
      <c r="BV53">
        <v>2728838</v>
      </c>
      <c r="BW53" t="inlineStr">
        <is>
          <t>Customer Inquiry</t>
        </is>
      </c>
      <c r="BX53"/>
      <c r="BY53"/>
      <c r="BZ53" s="4"/>
      <c r="CA53"/>
      <c r="CB53"/>
      <c r="CC53" s="4"/>
      <c r="CD53" t="inlineStr">
        <is>
          <t>20</t>
        </is>
      </c>
      <c r="CE53" t="inlineStr">
        <is>
          <t>0</t>
        </is>
      </c>
      <c r="CF53" t="inlineStr">
        <is>
          <t>Q2-W04</t>
        </is>
      </c>
      <c r="CG53"/>
      <c r="CH53"/>
      <c r="CI53"/>
      <c r="CJ53" t="inlineStr">
        <is>
          <t>Paid</t>
        </is>
      </c>
      <c r="CK53" t="inlineStr">
        <is>
          <t>Not Eligible</t>
        </is>
      </c>
      <c r="CL53"/>
      <c r="CM53"/>
    </row>
    <row r="54" ht="25.5" customHeight="1">
      <c r="A54" t="inlineStr">
        <is>
          <t>4323194</t>
        </is>
      </c>
      <c r="B54" s="2"/>
      <c r="C54"/>
      <c r="D54" s="3">
        <v>46139.48851851852</v>
      </c>
      <c r="E54" t="inlineStr">
        <is>
          <t>Q2-W04</t>
        </is>
      </c>
      <c r="F54" t="inlineStr">
        <is>
          <t>Chia Yee</t>
        </is>
      </c>
      <c r="G54" t="inlineStr">
        <is>
          <t>Lead</t>
        </is>
      </c>
      <c r="H54" s="2" t="str">
        <f>=HYPERLINK("https://upbox.ajobthing.my/leads/4323194", "https://upbox.ajobthing.my/leads/4323194")</f>
        <v>https://upbox.ajobthing.my/leads/4323194</v>
      </c>
      <c r="I54" t="inlineStr">
        <is>
          <t>Nusa Gaya Sdn Bhd</t>
        </is>
      </c>
      <c r="J54" t="inlineStr">
        <is>
          <t>Dolphin</t>
        </is>
      </c>
      <c r="K54" t="inlineStr">
        <is>
          <t>Chia Yee</t>
        </is>
      </c>
      <c r="L54" s="4"/>
      <c r="M54" s="4">
        <v>46139.48946759259</v>
      </c>
      <c r="N54"/>
      <c r="O54">
        <v>6048</v>
      </c>
      <c r="P54" s="4"/>
      <c r="Q54" s="4"/>
      <c r="R54"/>
      <c r="S54"/>
      <c r="T54" s="4"/>
      <c r="U54" s="4"/>
      <c r="V54"/>
      <c r="W54"/>
      <c r="X54"/>
      <c r="Y54" t="inlineStr">
        <is>
          <t>Pending Appointment</t>
        </is>
      </c>
      <c r="Z54" t="inlineStr">
        <is>
          <t>Hiring Now</t>
        </is>
      </c>
      <c r="AA54">
        <v>5</v>
      </c>
      <c r="AB54" t="inlineStr">
        <is>
          <t>No Appointment Made</t>
        </is>
      </c>
      <c r="AC54"/>
      <c r="AD54" t="inlineStr">
        <is>
          <t>5 vacancy</t>
        </is>
      </c>
      <c r="AE54"/>
      <c r="AF54">
        <v>0</v>
      </c>
      <c r="AG54" s="4"/>
      <c r="AH54" s="4"/>
      <c r="AI54">
        <v>0</v>
      </c>
      <c r="AJ54">
        <v>1</v>
      </c>
      <c r="AK54" t="inlineStr">
        <is>
          <t>No, I don't need at all</t>
        </is>
      </c>
      <c r="AL54">
        <v>1</v>
      </c>
      <c r="AM54" t="inlineStr">
        <is>
          <t>No, I don't need at all</t>
        </is>
      </c>
      <c r="AN54"/>
      <c r="AO54" t="inlineStr">
        <is>
          <t>No, I don't need at all</t>
        </is>
      </c>
      <c r="AP54" t="inlineStr">
        <is>
          <t>Once a year (25%)</t>
        </is>
      </c>
      <c r="AQ54">
        <v>5</v>
      </c>
      <c r="AR54" t="inlineStr">
        <is>
          <t>Did not use any job portal</t>
        </is>
      </c>
      <c r="AS54" t="inlineStr">
        <is>
          <t>- Headcount: 5
- Hiring Job Details: 5 vacancy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is>
      </c>
      <c r="AT54">
        <v>75</v>
      </c>
      <c r="AU54" t="inlineStr">
        <is>
          <t>0.75</t>
        </is>
      </c>
      <c r="AV54" t="inlineStr">
        <is>
          <t>20</t>
        </is>
      </c>
      <c r="AW54" t="inlineStr">
        <is>
          <t>0</t>
        </is>
      </c>
      <c r="AX54" t="inlineStr">
        <is>
          <t>Not Qualified</t>
        </is>
      </c>
      <c r="AY54" s="4"/>
      <c r="AZ54"/>
      <c r="BA54"/>
      <c r="BB54"/>
      <c r="BC54"/>
      <c r="BD54" s="4"/>
      <c r="BE54"/>
      <c r="BF54"/>
      <c r="BG54" t="inlineStr">
        <is>
          <t>Reschedule</t>
        </is>
      </c>
      <c r="BH54" t="inlineStr">
        <is>
          <t>Reagen</t>
        </is>
      </c>
      <c r="BI54"/>
      <c r="BJ54" s="4">
        <v>46144.75592592593</v>
      </c>
      <c r="BK54" s="4">
        <v>46138.215474537035</v>
      </c>
      <c r="BL54" t="inlineStr">
        <is>
          <t>0.0</t>
        </is>
      </c>
      <c r="BM54" t="inlineStr">
        <is>
          <t>0.0</t>
        </is>
      </c>
      <c r="BN54"/>
      <c r="BO54" s="4"/>
      <c r="BP54">
        <v>168995</v>
      </c>
      <c r="BQ54"/>
      <c r="BR54"/>
      <c r="BS54"/>
      <c r="BT54"/>
      <c r="BU54"/>
      <c r="BV54"/>
      <c r="BW54"/>
      <c r="BX54"/>
      <c r="BY54"/>
      <c r="BZ54" s="4"/>
      <c r="CA54"/>
      <c r="CB54"/>
      <c r="CC54" s="4"/>
      <c r="CD54" t="inlineStr">
        <is>
          <t>30</t>
        </is>
      </c>
      <c r="CE54" t="inlineStr">
        <is>
          <t>0</t>
        </is>
      </c>
      <c r="CF54" t="inlineStr">
        <is>
          <t>Q2-W04</t>
        </is>
      </c>
      <c r="CG54"/>
      <c r="CH54"/>
      <c r="CI54"/>
      <c r="CJ54" t="inlineStr">
        <is>
          <t>No Paid</t>
        </is>
      </c>
      <c r="CK54" t="inlineStr">
        <is>
          <t>Not Eligible</t>
        </is>
      </c>
      <c r="CL54"/>
      <c r="CM54"/>
    </row>
    <row r="55" ht="25.5" customHeight="1">
      <c r="A55" t="inlineStr">
        <is>
          <t>4320494</t>
        </is>
      </c>
      <c r="B55" s="2"/>
      <c r="C55"/>
      <c r="D55" s="3">
        <v>46139.497349537036</v>
      </c>
      <c r="E55" t="inlineStr">
        <is>
          <t>Q2-W04</t>
        </is>
      </c>
      <c r="F55" t="inlineStr">
        <is>
          <t>Jess</t>
        </is>
      </c>
      <c r="G55" t="inlineStr">
        <is>
          <t>Lead</t>
        </is>
      </c>
      <c r="H55" s="2" t="str">
        <f>=HYPERLINK("https://upbox.ajobthing.my/leads/4320494", "https://upbox.ajobthing.my/leads/4320494")</f>
        <v>https://upbox.ajobthing.my/leads/4320494</v>
      </c>
      <c r="I55" t="inlineStr">
        <is>
          <t>Sysbot Resource Sdn Bhd</t>
        </is>
      </c>
      <c r="J55" t="inlineStr">
        <is>
          <t>Dolphin</t>
        </is>
      </c>
      <c r="K55" t="inlineStr">
        <is>
          <t>Jess Lim</t>
        </is>
      </c>
      <c r="L55" s="4"/>
      <c r="M55" s="4">
        <v>46139.49978009259</v>
      </c>
      <c r="N55"/>
      <c r="O55">
        <v>5832</v>
      </c>
      <c r="P55" s="4"/>
      <c r="Q55" s="4"/>
      <c r="R55"/>
      <c r="S55"/>
      <c r="T55" s="4"/>
      <c r="U55" s="4"/>
      <c r="V55"/>
      <c r="W55"/>
      <c r="X55"/>
      <c r="Y55" t="inlineStr">
        <is>
          <t>Pending Appointment</t>
        </is>
      </c>
      <c r="Z55" t="inlineStr">
        <is>
          <t>Hiring Now</t>
        </is>
      </c>
      <c r="AA55">
        <v>1</v>
      </c>
      <c r="AB55" t="inlineStr">
        <is>
          <t>No Appointment Made</t>
        </is>
      </c>
      <c r="AC55"/>
      <c r="AD55" t="inlineStr">
        <is>
          <t>production 5-10 sepang</t>
        </is>
      </c>
      <c r="AE55"/>
      <c r="AF55">
        <v>300</v>
      </c>
      <c r="AG55" s="4"/>
      <c r="AH55" s="4"/>
      <c r="AI55"/>
      <c r="AJ55">
        <v>2</v>
      </c>
      <c r="AK55" t="inlineStr">
        <is>
          <t>No, I don't need at all</t>
        </is>
      </c>
      <c r="AL55">
        <v>1</v>
      </c>
      <c r="AM55" t="inlineStr">
        <is>
          <t>No, I don't need at all</t>
        </is>
      </c>
      <c r="AN55"/>
      <c r="AO55" t="inlineStr">
        <is>
          <t>No, I don't need at all</t>
        </is>
      </c>
      <c r="AP55" t="inlineStr">
        <is>
          <t>Once a year (25%)</t>
        </is>
      </c>
      <c r="AQ55"/>
      <c r="AR55" t="inlineStr">
        <is>
          <t>Jobstreet</t>
        </is>
      </c>
      <c r="AS55" t="inlineStr">
        <is>
          <t>- Headcount: 1
- Hiring Job Details: production 5-10 sepang
- Hiring Urgency: Hiring Now
- Number of outlets: 2
- Have recruiter team: No, I don't need at all
- Number of recruiter in company: 1
- Have ATS system: No, I don't need at all
- Have career website: No, I don't need at all
- Current hiring budget: RM300.00
- Whole year budget: Not specified
- Whole year number of vacancies: Not specified
- Hiring frequency: Once a year (25%)
- External job portal: Jobstreet</t>
        </is>
      </c>
      <c r="AT55">
        <v>75</v>
      </c>
      <c r="AU55" t="inlineStr">
        <is>
          <t>0.75</t>
        </is>
      </c>
      <c r="AV55" t="inlineStr">
        <is>
          <t>15</t>
        </is>
      </c>
      <c r="AW55" t="inlineStr">
        <is>
          <t>0</t>
        </is>
      </c>
      <c r="AX55" t="inlineStr">
        <is>
          <t>Not Qualified</t>
        </is>
      </c>
      <c r="AY55" s="4"/>
      <c r="AZ55"/>
      <c r="BA55"/>
      <c r="BB55"/>
      <c r="BC55"/>
      <c r="BD55" s="4"/>
      <c r="BE55"/>
      <c r="BF55"/>
      <c r="BG55" t="inlineStr">
        <is>
          <t>Reschedule</t>
        </is>
      </c>
      <c r="BH55" t="inlineStr">
        <is>
          <t>Fauziah Maharan</t>
        </is>
      </c>
      <c r="BI55"/>
      <c r="BJ55" s="4">
        <v>46144.75592592593</v>
      </c>
      <c r="BK55" s="4">
        <v>46136.738391203704</v>
      </c>
      <c r="BL55" t="inlineStr">
        <is>
          <t>0.0</t>
        </is>
      </c>
      <c r="BM55" t="inlineStr">
        <is>
          <t>0.0</t>
        </is>
      </c>
      <c r="BN55"/>
      <c r="BO55" s="4"/>
      <c r="BP55">
        <v>168999</v>
      </c>
      <c r="BQ55"/>
      <c r="BR55"/>
      <c r="BS55"/>
      <c r="BT55"/>
      <c r="BU55"/>
      <c r="BV55"/>
      <c r="BW55"/>
      <c r="BX55"/>
      <c r="BY55"/>
      <c r="BZ55" s="4"/>
      <c r="CA55"/>
      <c r="CB55"/>
      <c r="CC55" s="4"/>
      <c r="CD55" t="inlineStr">
        <is>
          <t>20</t>
        </is>
      </c>
      <c r="CE55" t="inlineStr">
        <is>
          <t>0</t>
        </is>
      </c>
      <c r="CF55" t="inlineStr">
        <is>
          <t>Q2-W04</t>
        </is>
      </c>
      <c r="CG55"/>
      <c r="CH55"/>
      <c r="CI55"/>
      <c r="CJ55" t="inlineStr">
        <is>
          <t>No Paid</t>
        </is>
      </c>
      <c r="CK55" t="inlineStr">
        <is>
          <t>Not Eligible</t>
        </is>
      </c>
      <c r="CL55"/>
      <c r="CM55"/>
    </row>
    <row r="56" ht="25.5" customHeight="1">
      <c r="A56" t="inlineStr">
        <is>
          <t>189329</t>
        </is>
      </c>
      <c r="B56" s="2"/>
      <c r="C56"/>
      <c r="D56" s="3">
        <v>46139.51325231481</v>
      </c>
      <c r="E56" t="inlineStr">
        <is>
          <t>Q2-W04</t>
        </is>
      </c>
      <c r="F56" t="inlineStr">
        <is>
          <t>Luqman</t>
        </is>
      </c>
      <c r="G56" t="inlineStr">
        <is>
          <t>Customer</t>
        </is>
      </c>
      <c r="H56" s="2" t="str">
        <f>=HYPERLINK("https://upbox.ajobthing.my/customer/189329", "https://upbox.ajobthing.my/customer/189329")</f>
        <v>https://upbox.ajobthing.my/customer/189329</v>
      </c>
      <c r="I56" t="inlineStr">
        <is>
          <t>Asli Tech (M) Sdn Bhd</t>
        </is>
      </c>
      <c r="J56" t="inlineStr">
        <is>
          <t>Dolphin</t>
        </is>
      </c>
      <c r="K56" t="inlineStr">
        <is>
          <t>Luqman</t>
        </is>
      </c>
      <c r="L56" s="4"/>
      <c r="M56" s="4">
        <v>46139.51331018518</v>
      </c>
      <c r="N56"/>
      <c r="O56">
        <v>864</v>
      </c>
      <c r="P56" s="4"/>
      <c r="Q56" s="4">
        <v>45833.42517361111</v>
      </c>
      <c r="R56"/>
      <c r="S56">
        <v>648</v>
      </c>
      <c r="T56" s="4">
        <v>45833.42517361111</v>
      </c>
      <c r="U56" s="4"/>
      <c r="V56"/>
      <c r="W56">
        <v>648</v>
      </c>
      <c r="X56"/>
      <c r="Y56" t="inlineStr">
        <is>
          <t>Pending Appointment</t>
        </is>
      </c>
      <c r="Z56" t="inlineStr">
        <is>
          <t>Hiring Later</t>
        </is>
      </c>
      <c r="AA56">
        <v>1</v>
      </c>
      <c r="AB56" t="inlineStr">
        <is>
          <t>No Appointment Made</t>
        </is>
      </c>
      <c r="AC56"/>
      <c r="AD56" t="inlineStr">
        <is>
          <t xml:space="preserve">1. Sales Executive </t>
        </is>
      </c>
      <c r="AE56"/>
      <c r="AF56">
        <v>800</v>
      </c>
      <c r="AG56" s="4"/>
      <c r="AH56" s="4"/>
      <c r="AI56">
        <v>800</v>
      </c>
      <c r="AJ56"/>
      <c r="AK56" t="inlineStr">
        <is>
          <t>No, I don't need at all</t>
        </is>
      </c>
      <c r="AL56">
        <v>2</v>
      </c>
      <c r="AM56" t="inlineStr">
        <is>
          <t>No, I don't need at all</t>
        </is>
      </c>
      <c r="AN56"/>
      <c r="AO56" t="inlineStr">
        <is>
          <t>No, I don't need at all</t>
        </is>
      </c>
      <c r="AP56" t="inlineStr">
        <is>
          <t>Once a year (25%)</t>
        </is>
      </c>
      <c r="AQ56">
        <v>2</v>
      </c>
      <c r="AR56" t="inlineStr">
        <is>
          <t>Free Job Portal</t>
        </is>
      </c>
      <c r="AS56" t="inlineStr">
        <is>
          <t>- Headcount: 1
- Hiring Job Details: 1 Sales Executive
- Hiring Urgency: Hiring Later
- Number of outlets: Not provided
- Have recruiter team: No, I don't need at all
- Number of recruiter in company: 2
- Have ATS system: No, I don't need at all
- Have career website: No, I don't need at all
- Current hiring budget: RM800
- Whole year budget: RM800.00
- Whole year number of vacancies: 2
- Hiring frequency: Once a year (25%)
- External job portal: Free Job Portal</t>
        </is>
      </c>
      <c r="AT56">
        <v>105</v>
      </c>
      <c r="AU56" t="inlineStr">
        <is>
          <t>1.05</t>
        </is>
      </c>
      <c r="AV56" t="inlineStr">
        <is>
          <t>15</t>
        </is>
      </c>
      <c r="AW56" t="inlineStr">
        <is>
          <t>0</t>
        </is>
      </c>
      <c r="AX56" t="inlineStr">
        <is>
          <t>Not Qualified</t>
        </is>
      </c>
      <c r="AY56" s="4"/>
      <c r="AZ56"/>
      <c r="BA56"/>
      <c r="BB56"/>
      <c r="BC56" t="inlineStr">
        <is>
          <t>Lost - Position filled</t>
        </is>
      </c>
      <c r="BD56" s="4">
        <v>46142.66186342593</v>
      </c>
      <c r="BE56" t="inlineStr">
        <is>
          <t>paid</t>
        </is>
      </c>
      <c r="BF56"/>
      <c r="BG56" t="inlineStr">
        <is>
          <t>Reschedule</t>
        </is>
      </c>
      <c r="BH56" t="inlineStr">
        <is>
          <t>Edward Hoo</t>
        </is>
      </c>
      <c r="BI56" t="inlineStr">
        <is>
          <t>IT / Software</t>
        </is>
      </c>
      <c r="BJ56" s="4">
        <v>46144.75230324074</v>
      </c>
      <c r="BK56" s="4">
        <v>45742.63228009259</v>
      </c>
      <c r="BL56" t="inlineStr">
        <is>
          <t>648.0</t>
        </is>
      </c>
      <c r="BM56" t="inlineStr">
        <is>
          <t>600.0</t>
        </is>
      </c>
      <c r="BN56" t="inlineStr">
        <is>
          <t>PA Visit - Email</t>
        </is>
      </c>
      <c r="BO56" s="4">
        <v>45874.77884259259</v>
      </c>
      <c r="BP56">
        <v>169008</v>
      </c>
      <c r="BQ56">
        <v>80359</v>
      </c>
      <c r="BR56" t="inlineStr">
        <is>
          <t>Online</t>
        </is>
      </c>
      <c r="BS56"/>
      <c r="BT56">
        <v>80359</v>
      </c>
      <c r="BU56"/>
      <c r="BV56">
        <v>2738055</v>
      </c>
      <c r="BW56" t="inlineStr">
        <is>
          <t>Follow Up : Lost - Free Portal</t>
        </is>
      </c>
      <c r="BX56"/>
      <c r="BY56"/>
      <c r="BZ56" s="4"/>
      <c r="CA56"/>
      <c r="CB56"/>
      <c r="CC56" s="4"/>
      <c r="CD56" t="inlineStr">
        <is>
          <t>20</t>
        </is>
      </c>
      <c r="CE56" t="inlineStr">
        <is>
          <t>0</t>
        </is>
      </c>
      <c r="CF56" t="inlineStr">
        <is>
          <t>Q2-W04</t>
        </is>
      </c>
      <c r="CG56"/>
      <c r="CH56"/>
      <c r="CI56"/>
      <c r="CJ56" t="inlineStr">
        <is>
          <t>Paid</t>
        </is>
      </c>
      <c r="CK56" t="inlineStr">
        <is>
          <t>Not Eligible</t>
        </is>
      </c>
      <c r="CL56"/>
      <c r="CM56"/>
    </row>
    <row r="57" ht="25.5" customHeight="1">
      <c r="A57" t="inlineStr">
        <is>
          <t>4327236</t>
        </is>
      </c>
      <c r="B57" s="2"/>
      <c r="C57"/>
      <c r="D57" s="3">
        <v>46139.56402777778</v>
      </c>
      <c r="E57" t="inlineStr">
        <is>
          <t>Q2-W04</t>
        </is>
      </c>
      <c r="F57" t="inlineStr">
        <is>
          <t>Jeff Lee</t>
        </is>
      </c>
      <c r="G57" t="inlineStr">
        <is>
          <t>Lead</t>
        </is>
      </c>
      <c r="H57" s="2" t="str">
        <f>=HYPERLINK("https://upbox.ajobthing.my/leads/4327236", "https://upbox.ajobthing.my/leads/4327236")</f>
        <v>https://upbox.ajobthing.my/leads/4327236</v>
      </c>
      <c r="I57" t="inlineStr">
        <is>
          <t>Vpg realty sdn bhd</t>
        </is>
      </c>
      <c r="J57" t="inlineStr">
        <is>
          <t>Dolphin</t>
        </is>
      </c>
      <c r="K57" t="inlineStr">
        <is>
          <t>Jeff Lee</t>
        </is>
      </c>
      <c r="L57" s="4"/>
      <c r="M57" s="4">
        <v>46139.56327546296</v>
      </c>
      <c r="N57"/>
      <c r="O57">
        <v>3672</v>
      </c>
      <c r="P57" s="4"/>
      <c r="Q57" s="4"/>
      <c r="R57"/>
      <c r="S57"/>
      <c r="T57" s="4"/>
      <c r="U57" s="4"/>
      <c r="V57"/>
      <c r="W57"/>
      <c r="X57"/>
      <c r="Y57" t="inlineStr">
        <is>
          <t>Pending Appointment</t>
        </is>
      </c>
      <c r="Z57" t="inlineStr">
        <is>
          <t>Hiring Now</t>
        </is>
      </c>
      <c r="AA57">
        <v>12.5</v>
      </c>
      <c r="AB57" t="inlineStr">
        <is>
          <t>No Appointment Made</t>
        </is>
      </c>
      <c r="AC57"/>
      <c r="AD57" t="inlineStr">
        <is>
          <t>10-15 sales person</t>
        </is>
      </c>
      <c r="AE57"/>
      <c r="AF57">
        <v>0</v>
      </c>
      <c r="AG57" s="4"/>
      <c r="AH57" s="4"/>
      <c r="AI57">
        <v>0</v>
      </c>
      <c r="AJ57">
        <v>0</v>
      </c>
      <c r="AK57" t="inlineStr">
        <is>
          <t>No, I don't need at all</t>
        </is>
      </c>
      <c r="AL57">
        <v>0</v>
      </c>
      <c r="AM57" t="inlineStr">
        <is>
          <t>No, I don't need at all</t>
        </is>
      </c>
      <c r="AN57"/>
      <c r="AO57" t="inlineStr">
        <is>
          <t>No, I don't need at all</t>
        </is>
      </c>
      <c r="AP57" t="inlineStr">
        <is>
          <t>Once a year (25%)</t>
        </is>
      </c>
      <c r="AQ57">
        <v>10</v>
      </c>
      <c r="AR57" t="inlineStr">
        <is>
          <t>Did not use any job portal</t>
        </is>
      </c>
      <c r="AS57" t="inlineStr">
        <is>
          <t>- Headcount: 12
- Hiring Job Details: 10-15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10
- Hiring frequency: Once a year (25%)
- External job portal: Did not use any job portal</t>
        </is>
      </c>
      <c r="AT57">
        <v>95</v>
      </c>
      <c r="AU57" t="inlineStr">
        <is>
          <t>0.95</t>
        </is>
      </c>
      <c r="AV57" t="inlineStr">
        <is>
          <t>25</t>
        </is>
      </c>
      <c r="AW57" t="inlineStr">
        <is>
          <t>0</t>
        </is>
      </c>
      <c r="AX57" t="inlineStr">
        <is>
          <t>Not Qualified</t>
        </is>
      </c>
      <c r="AY57" s="4"/>
      <c r="AZ57"/>
      <c r="BA57"/>
      <c r="BB57"/>
      <c r="BC57"/>
      <c r="BD57" s="4"/>
      <c r="BE57"/>
      <c r="BF57"/>
      <c r="BG57" t="inlineStr">
        <is>
          <t>Reschedule</t>
        </is>
      </c>
      <c r="BH57" t="inlineStr">
        <is>
          <t>Yee Hang</t>
        </is>
      </c>
      <c r="BI57"/>
      <c r="BJ57" s="4">
        <v>46144.75592592593</v>
      </c>
      <c r="BK57" s="4">
        <v>46139.43239583333</v>
      </c>
      <c r="BL57" t="inlineStr">
        <is>
          <t>0.0</t>
        </is>
      </c>
      <c r="BM57" t="inlineStr">
        <is>
          <t>0.0</t>
        </is>
      </c>
      <c r="BN57"/>
      <c r="BO57" s="4"/>
      <c r="BP57">
        <v>169013</v>
      </c>
      <c r="BQ57"/>
      <c r="BR57"/>
      <c r="BS57"/>
      <c r="BT57"/>
      <c r="BU57"/>
      <c r="BV57"/>
      <c r="BW57"/>
      <c r="BX57"/>
      <c r="BY57"/>
      <c r="BZ57" s="4"/>
      <c r="CA57"/>
      <c r="CB57"/>
      <c r="CC57" s="4"/>
      <c r="CD57" t="inlineStr">
        <is>
          <t>35</t>
        </is>
      </c>
      <c r="CE57" t="inlineStr">
        <is>
          <t>0</t>
        </is>
      </c>
      <c r="CF57" t="inlineStr">
        <is>
          <t>Q2-W04</t>
        </is>
      </c>
      <c r="CG57"/>
      <c r="CH57"/>
      <c r="CI57"/>
      <c r="CJ57" t="inlineStr">
        <is>
          <t>No Paid</t>
        </is>
      </c>
      <c r="CK57" t="inlineStr">
        <is>
          <t>Eligible</t>
        </is>
      </c>
      <c r="CL57"/>
      <c r="CM57"/>
    </row>
    <row r="58" ht="25.5" customHeight="1">
      <c r="A58" t="inlineStr">
        <is>
          <t>203676</t>
        </is>
      </c>
      <c r="B58" s="2"/>
      <c r="C58"/>
      <c r="D58" s="3">
        <v>46139.5665625</v>
      </c>
      <c r="E58" t="inlineStr">
        <is>
          <t>Q2-W04</t>
        </is>
      </c>
      <c r="F58" t="inlineStr">
        <is>
          <t>Lucas</t>
        </is>
      </c>
      <c r="G58" t="inlineStr">
        <is>
          <t>Customer</t>
        </is>
      </c>
      <c r="H58" s="2" t="str">
        <f>=HYPERLINK("https://upbox.ajobthing.my/customer/203676", "https://upbox.ajobthing.my/customer/203676")</f>
        <v>https://upbox.ajobthing.my/customer/203676</v>
      </c>
      <c r="I58" t="inlineStr">
        <is>
          <t>Syarikat RS</t>
        </is>
      </c>
      <c r="J58" t="inlineStr">
        <is>
          <t>Dolphin</t>
        </is>
      </c>
      <c r="K58" t="inlineStr">
        <is>
          <t>Lucas</t>
        </is>
      </c>
      <c r="L58" s="4"/>
      <c r="M58" s="4">
        <v>46139.565671296295</v>
      </c>
      <c r="N58"/>
      <c r="O58">
        <v>3888</v>
      </c>
      <c r="P58" s="4"/>
      <c r="Q58" s="4"/>
      <c r="R58"/>
      <c r="S58"/>
      <c r="T58" s="4"/>
      <c r="U58" s="4"/>
      <c r="V58"/>
      <c r="W58"/>
      <c r="X58"/>
      <c r="Y58" t="inlineStr">
        <is>
          <t>Pending Appointment</t>
        </is>
      </c>
      <c r="Z58" t="inlineStr">
        <is>
          <t>Hiring Now</t>
        </is>
      </c>
      <c r="AA58">
        <v>2</v>
      </c>
      <c r="AB58" t="inlineStr">
        <is>
          <t>No Appointment Made</t>
        </is>
      </c>
      <c r="AC58"/>
      <c r="AD58" t="inlineStr">
        <is>
          <t xml:space="preserve"> part time  2 sale person</t>
        </is>
      </c>
      <c r="AE58"/>
      <c r="AF58">
        <v>0</v>
      </c>
      <c r="AG58" s="4"/>
      <c r="AH58" s="4"/>
      <c r="AI58">
        <v>0</v>
      </c>
      <c r="AJ58">
        <v>0</v>
      </c>
      <c r="AK58" t="inlineStr">
        <is>
          <t>No, I don't need at all</t>
        </is>
      </c>
      <c r="AL58">
        <v>0</v>
      </c>
      <c r="AM58" t="inlineStr">
        <is>
          <t>No, I don't need at all</t>
        </is>
      </c>
      <c r="AN58"/>
      <c r="AO58" t="inlineStr">
        <is>
          <t>No, I don't need at all</t>
        </is>
      </c>
      <c r="AP58" t="inlineStr">
        <is>
          <t>Once a year (25%)</t>
        </is>
      </c>
      <c r="AQ58">
        <v>2</v>
      </c>
      <c r="AR58" t="inlineStr">
        <is>
          <t>Did not use any job portal</t>
        </is>
      </c>
      <c r="AS58" t="inlineStr">
        <is>
          <t>- Headcount: 2
- Hiring Job Details: 2 part time sales persons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58">
        <v>110</v>
      </c>
      <c r="AU58" t="inlineStr">
        <is>
          <t>1.10</t>
        </is>
      </c>
      <c r="AV58" t="inlineStr">
        <is>
          <t>15</t>
        </is>
      </c>
      <c r="AW58" t="inlineStr">
        <is>
          <t>0</t>
        </is>
      </c>
      <c r="AX58" t="inlineStr">
        <is>
          <t>Not Qualified</t>
        </is>
      </c>
      <c r="AY58" s="4"/>
      <c r="AZ58"/>
      <c r="BA58"/>
      <c r="BB58"/>
      <c r="BC58" t="inlineStr">
        <is>
          <t>on hold 1st</t>
        </is>
      </c>
      <c r="BD58" s="4">
        <v>46142.62354166667</v>
      </c>
      <c r="BE58"/>
      <c r="BF58"/>
      <c r="BG58" t="inlineStr">
        <is>
          <t>Reschedule</t>
        </is>
      </c>
      <c r="BH58" t="inlineStr">
        <is>
          <t>Yee Hang</t>
        </is>
      </c>
      <c r="BI58"/>
      <c r="BJ58" s="4">
        <v>46144.75436342593</v>
      </c>
      <c r="BK58" s="4">
        <v>46138.50126157407</v>
      </c>
      <c r="BL58" t="inlineStr">
        <is>
          <t>0.0</t>
        </is>
      </c>
      <c r="BM58" t="inlineStr">
        <is>
          <t>0.0</t>
        </is>
      </c>
      <c r="BN58" t="inlineStr">
        <is>
          <t>View Company Page</t>
        </is>
      </c>
      <c r="BO58" s="4">
        <v>46138.50403935185</v>
      </c>
      <c r="BP58">
        <v>169014</v>
      </c>
      <c r="BQ58"/>
      <c r="BR58"/>
      <c r="BS58"/>
      <c r="BT58"/>
      <c r="BU58"/>
      <c r="BV58">
        <v>2737829</v>
      </c>
      <c r="BW58" t="inlineStr">
        <is>
          <t>Follow Up : Lost - Free Portal</t>
        </is>
      </c>
      <c r="BX58"/>
      <c r="BY58"/>
      <c r="BZ58" s="4"/>
      <c r="CA58"/>
      <c r="CB58"/>
      <c r="CC58" s="4"/>
      <c r="CD58" t="inlineStr">
        <is>
          <t>20</t>
        </is>
      </c>
      <c r="CE58" t="inlineStr">
        <is>
          <t>0</t>
        </is>
      </c>
      <c r="CF58" t="inlineStr">
        <is>
          <t>Q2-W04</t>
        </is>
      </c>
      <c r="CG58"/>
      <c r="CH58"/>
      <c r="CI58"/>
      <c r="CJ58" t="inlineStr">
        <is>
          <t>No Paid</t>
        </is>
      </c>
      <c r="CK58" t="inlineStr">
        <is>
          <t>Not Eligible</t>
        </is>
      </c>
      <c r="CL58"/>
      <c r="CM58"/>
    </row>
    <row r="59" ht="25.5" customHeight="1">
      <c r="A59" t="inlineStr">
        <is>
          <t>189056</t>
        </is>
      </c>
      <c r="B59" s="2"/>
      <c r="C59"/>
      <c r="D59" s="3">
        <v>46139.57383101852</v>
      </c>
      <c r="E59" t="inlineStr">
        <is>
          <t>Q2-W04</t>
        </is>
      </c>
      <c r="F59" t="inlineStr">
        <is>
          <t>Xin Hui</t>
        </is>
      </c>
      <c r="G59" t="inlineStr">
        <is>
          <t>Customer</t>
        </is>
      </c>
      <c r="H59" s="2" t="str">
        <f>=HYPERLINK("https://upbox.ajobthing.my/customer/189056", "https://upbox.ajobthing.my/customer/189056")</f>
        <v>https://upbox.ajobthing.my/customer/189056</v>
      </c>
      <c r="I59" t="inlineStr">
        <is>
          <t>Camel Power Trading Sdn Bhd</t>
        </is>
      </c>
      <c r="J59" t="inlineStr">
        <is>
          <t>Dolphin</t>
        </is>
      </c>
      <c r="K59" t="inlineStr">
        <is>
          <t>Xin Hui</t>
        </is>
      </c>
      <c r="L59" s="4"/>
      <c r="M59" s="4">
        <v>46139.574270833335</v>
      </c>
      <c r="N59"/>
      <c r="O59">
        <v>3888</v>
      </c>
      <c r="P59" s="4"/>
      <c r="Q59" s="4"/>
      <c r="R59"/>
      <c r="S59"/>
      <c r="T59" s="4"/>
      <c r="U59" s="4"/>
      <c r="V59"/>
      <c r="W59"/>
      <c r="X59"/>
      <c r="Y59" t="inlineStr">
        <is>
          <t>Pending Appointment</t>
        </is>
      </c>
      <c r="Z59" t="inlineStr">
        <is>
          <t>Hiring Later</t>
        </is>
      </c>
      <c r="AA59">
        <v>2</v>
      </c>
      <c r="AB59" t="inlineStr">
        <is>
          <t>No Appointment Made</t>
        </is>
      </c>
      <c r="AC59"/>
      <c r="AD59" t="inlineStr">
        <is>
          <t xml:space="preserve">sales / warehouse </t>
        </is>
      </c>
      <c r="AE59"/>
      <c r="AF59"/>
      <c r="AG59" s="4"/>
      <c r="AH59" s="4"/>
      <c r="AI59"/>
      <c r="AJ59"/>
      <c r="AK59" t="inlineStr">
        <is>
          <t>No, I don't need at all</t>
        </is>
      </c>
      <c r="AL59"/>
      <c r="AM59" t="inlineStr">
        <is>
          <t>No, I don't need at all</t>
        </is>
      </c>
      <c r="AN59"/>
      <c r="AO59" t="inlineStr">
        <is>
          <t>No, I don't need at all</t>
        </is>
      </c>
      <c r="AP59" t="inlineStr">
        <is>
          <t>Once a year (25%)</t>
        </is>
      </c>
      <c r="AQ59"/>
      <c r="AR59"/>
      <c r="AS59" t="inlineStr">
        <is>
          <t>- Headcount: 2
- Hiring Job Details: sales / warehouse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59">
        <v>75</v>
      </c>
      <c r="AU59" t="inlineStr">
        <is>
          <t>0.75</t>
        </is>
      </c>
      <c r="AV59" t="inlineStr">
        <is>
          <t>5</t>
        </is>
      </c>
      <c r="AW59" t="inlineStr">
        <is>
          <t>0</t>
        </is>
      </c>
      <c r="AX59" t="inlineStr">
        <is>
          <t>Not Qualified</t>
        </is>
      </c>
      <c r="AY59" s="4"/>
      <c r="AZ59"/>
      <c r="BA59"/>
      <c r="BB59"/>
      <c r="BC59" t="inlineStr">
        <is>
          <t>- Headcount: 2
- Hiring Job Details: warehouse / sales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Not provided
- External job portal: Not provided</t>
        </is>
      </c>
      <c r="BD59" s="4">
        <v>46139.75015046296</v>
      </c>
      <c r="BE59"/>
      <c r="BF59"/>
      <c r="BG59" t="inlineStr">
        <is>
          <t>Reschedule</t>
        </is>
      </c>
      <c r="BH59" t="inlineStr">
        <is>
          <t>Yee Hang</t>
        </is>
      </c>
      <c r="BI59"/>
      <c r="BJ59" s="4">
        <v>46144.752280092594</v>
      </c>
      <c r="BK59" s="4">
        <v>45735.66459490741</v>
      </c>
      <c r="BL59" t="inlineStr">
        <is>
          <t>0.0</t>
        </is>
      </c>
      <c r="BM59" t="inlineStr">
        <is>
          <t>1800.0</t>
        </is>
      </c>
      <c r="BN59" t="inlineStr">
        <is>
          <t>User Visit(Logged In)</t>
        </is>
      </c>
      <c r="BO59" s="4">
        <v>45735.664664351854</v>
      </c>
      <c r="BP59">
        <v>169018</v>
      </c>
      <c r="BQ59"/>
      <c r="BR59"/>
      <c r="BS59"/>
      <c r="BT59"/>
      <c r="BU59"/>
      <c r="BV59">
        <v>2731567</v>
      </c>
      <c r="BW59" t="inlineStr">
        <is>
          <t>Customer Inquiry</t>
        </is>
      </c>
      <c r="BX59"/>
      <c r="BY59"/>
      <c r="BZ59" s="4"/>
      <c r="CA59"/>
      <c r="CB59"/>
      <c r="CC59" s="4"/>
      <c r="CD59" t="inlineStr">
        <is>
          <t>5</t>
        </is>
      </c>
      <c r="CE59" t="inlineStr">
        <is>
          <t>0</t>
        </is>
      </c>
      <c r="CF59" t="inlineStr">
        <is>
          <t>Q2-W04</t>
        </is>
      </c>
      <c r="CG59"/>
      <c r="CH59"/>
      <c r="CI59"/>
      <c r="CJ59" t="inlineStr">
        <is>
          <t>No Paid</t>
        </is>
      </c>
      <c r="CK59" t="inlineStr">
        <is>
          <t>Not Eligible</t>
        </is>
      </c>
      <c r="CL59"/>
      <c r="CM59"/>
    </row>
    <row r="60" ht="25.5" customHeight="1">
      <c r="A60" t="inlineStr">
        <is>
          <t>169499</t>
        </is>
      </c>
      <c r="B60" s="2"/>
      <c r="C60"/>
      <c r="D60" s="3">
        <v>46139.573854166665</v>
      </c>
      <c r="E60" t="inlineStr">
        <is>
          <t>Q2-W04</t>
        </is>
      </c>
      <c r="F60" t="inlineStr">
        <is>
          <t>Chia Yee</t>
        </is>
      </c>
      <c r="G60" t="inlineStr">
        <is>
          <t>Customer</t>
        </is>
      </c>
      <c r="H60" s="2" t="str">
        <f>=HYPERLINK("https://upbox.ajobthing.my/customer/169499", "https://upbox.ajobthing.my/customer/169499")</f>
        <v>https://upbox.ajobthing.my/customer/169499</v>
      </c>
      <c r="I60" t="inlineStr">
        <is>
          <t>CJ Empire Solutions Sdn Bhd</t>
        </is>
      </c>
      <c r="J60" t="inlineStr">
        <is>
          <t>Dolphin</t>
        </is>
      </c>
      <c r="K60" t="inlineStr">
        <is>
          <t>Chia Yee</t>
        </is>
      </c>
      <c r="L60" s="4"/>
      <c r="M60" s="4">
        <v>46139.57398148148</v>
      </c>
      <c r="N60"/>
      <c r="O60">
        <v>6048</v>
      </c>
      <c r="P60" s="4"/>
      <c r="Q60" s="4">
        <v>45765.624872685185</v>
      </c>
      <c r="R60"/>
      <c r="S60">
        <v>3132</v>
      </c>
      <c r="T60" s="4">
        <v>45765.624872685185</v>
      </c>
      <c r="U60" s="4"/>
      <c r="V60"/>
      <c r="W60">
        <v>3132</v>
      </c>
      <c r="X60"/>
      <c r="Y60" t="inlineStr">
        <is>
          <t>Pending Appointment</t>
        </is>
      </c>
      <c r="Z60" t="inlineStr">
        <is>
          <t>Hiring Now</t>
        </is>
      </c>
      <c r="AA60">
        <v>2</v>
      </c>
      <c r="AB60" t="inlineStr">
        <is>
          <t>No Appointment Made</t>
        </is>
      </c>
      <c r="AC60"/>
      <c r="AD60" t="inlineStr">
        <is>
          <t>1 sales manager, 1 designer</t>
        </is>
      </c>
      <c r="AE60"/>
      <c r="AF60">
        <v>0</v>
      </c>
      <c r="AG60" s="4"/>
      <c r="AH60" s="4"/>
      <c r="AI60">
        <v>0</v>
      </c>
      <c r="AJ60">
        <v>1</v>
      </c>
      <c r="AK60" t="inlineStr">
        <is>
          <t>No, I don't need at all</t>
        </is>
      </c>
      <c r="AL60">
        <v>1</v>
      </c>
      <c r="AM60" t="inlineStr">
        <is>
          <t>No, I don't need at all</t>
        </is>
      </c>
      <c r="AN60"/>
      <c r="AO60" t="inlineStr">
        <is>
          <t>No, I don't need at all</t>
        </is>
      </c>
      <c r="AP60" t="inlineStr">
        <is>
          <t>Once a year (25%)</t>
        </is>
      </c>
      <c r="AQ60">
        <v>2</v>
      </c>
      <c r="AR60" t="inlineStr">
        <is>
          <t>Did not use any job portal</t>
        </is>
      </c>
      <c r="AS60" t="inlineStr">
        <is>
          <t>- Headcount: 2
- Hiring Job Details: 1 sales manager, 1 designer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is>
      </c>
      <c r="AT60">
        <v>115</v>
      </c>
      <c r="AU60" t="inlineStr">
        <is>
          <t>1.15</t>
        </is>
      </c>
      <c r="AV60" t="inlineStr">
        <is>
          <t>15</t>
        </is>
      </c>
      <c r="AW60" t="inlineStr">
        <is>
          <t>0</t>
        </is>
      </c>
      <c r="AX60" t="inlineStr">
        <is>
          <t>Not Qualified</t>
        </is>
      </c>
      <c r="AY60" s="4"/>
      <c r="AZ60"/>
      <c r="BA60"/>
      <c r="BB60"/>
      <c r="BC60" t="inlineStr">
        <is>
          <t>Called, number is busy.</t>
        </is>
      </c>
      <c r="BD60" s="4">
        <v>46142.48866898148</v>
      </c>
      <c r="BE60" t="inlineStr">
        <is>
          <t>paid</t>
        </is>
      </c>
      <c r="BF60"/>
      <c r="BG60" t="inlineStr">
        <is>
          <t>Reschedule</t>
        </is>
      </c>
      <c r="BH60" t="inlineStr">
        <is>
          <t>Reagen</t>
        </is>
      </c>
      <c r="BI60" t="inlineStr">
        <is>
          <t>Architecture / Interior Design</t>
        </is>
      </c>
      <c r="BJ60" s="4">
        <v>46144.75136574074</v>
      </c>
      <c r="BK60" s="4">
        <v>45132.41777777778</v>
      </c>
      <c r="BL60" t="inlineStr">
        <is>
          <t>0.0</t>
        </is>
      </c>
      <c r="BM60" t="inlineStr">
        <is>
          <t>0.0</t>
        </is>
      </c>
      <c r="BN60" t="inlineStr">
        <is>
          <t>PA Email CTA Click</t>
        </is>
      </c>
      <c r="BO60" s="4">
        <v>46135.34324074074</v>
      </c>
      <c r="BP60">
        <v>169017</v>
      </c>
      <c r="BQ60">
        <v>78589</v>
      </c>
      <c r="BR60" t="inlineStr">
        <is>
          <t>Online</t>
        </is>
      </c>
      <c r="BS60"/>
      <c r="BT60">
        <v>78589</v>
      </c>
      <c r="BU60"/>
      <c r="BV60">
        <v>2737218</v>
      </c>
      <c r="BW60" t="inlineStr">
        <is>
          <t>No Answer : Voicemail - WA sent to customer</t>
        </is>
      </c>
      <c r="BX60"/>
      <c r="BY60"/>
      <c r="BZ60" s="4"/>
      <c r="CA60"/>
      <c r="CB60"/>
      <c r="CC60" s="4"/>
      <c r="CD60" t="inlineStr">
        <is>
          <t>20</t>
        </is>
      </c>
      <c r="CE60" t="inlineStr">
        <is>
          <t>0</t>
        </is>
      </c>
      <c r="CF60" t="inlineStr">
        <is>
          <t>Q2-W04</t>
        </is>
      </c>
      <c r="CG60"/>
      <c r="CH60"/>
      <c r="CI60"/>
      <c r="CJ60" t="inlineStr">
        <is>
          <t>Paid</t>
        </is>
      </c>
      <c r="CK60" t="inlineStr">
        <is>
          <t>Not Eligible</t>
        </is>
      </c>
      <c r="CL60"/>
      <c r="CM60"/>
    </row>
    <row r="61" ht="25.5" customHeight="1">
      <c r="A61" t="inlineStr">
        <is>
          <t>203659</t>
        </is>
      </c>
      <c r="B61" s="2"/>
      <c r="C61"/>
      <c r="D61" s="3">
        <v>46139.579201388886</v>
      </c>
      <c r="E61" t="inlineStr">
        <is>
          <t>Q2-W04</t>
        </is>
      </c>
      <c r="F61" t="inlineStr">
        <is>
          <t>Chia Yee</t>
        </is>
      </c>
      <c r="G61" t="inlineStr">
        <is>
          <t>Customer</t>
        </is>
      </c>
      <c r="H61" s="2" t="str">
        <f>=HYPERLINK("https://upbox.ajobthing.my/customer/203659", "https://upbox.ajobthing.my/customer/203659")</f>
        <v>https://upbox.ajobthing.my/customer/203659</v>
      </c>
      <c r="I61" t="inlineStr">
        <is>
          <t xml:space="preserve">Ichiru my Homestyle Sdn Bhd </t>
        </is>
      </c>
      <c r="J61" t="inlineStr">
        <is>
          <t>Dolphin</t>
        </is>
      </c>
      <c r="K61" t="inlineStr">
        <is>
          <t>Chia Yee</t>
        </is>
      </c>
      <c r="L61" s="4"/>
      <c r="M61" s="4">
        <v>46139.57928240741</v>
      </c>
      <c r="N61"/>
      <c r="O61">
        <v>6048</v>
      </c>
      <c r="P61" s="4"/>
      <c r="Q61" s="4"/>
      <c r="R61"/>
      <c r="S61"/>
      <c r="T61" s="4"/>
      <c r="U61" s="4"/>
      <c r="V61"/>
      <c r="W61"/>
      <c r="X61"/>
      <c r="Y61" t="inlineStr">
        <is>
          <t>Pending Appointment</t>
        </is>
      </c>
      <c r="Z61" t="inlineStr">
        <is>
          <t>Hiring Now</t>
        </is>
      </c>
      <c r="AA61">
        <v>5</v>
      </c>
      <c r="AB61" t="inlineStr">
        <is>
          <t>No Appointment Made</t>
        </is>
      </c>
      <c r="AC61"/>
      <c r="AD61" t="inlineStr">
        <is>
          <t xml:space="preserve">  4-6 sales person, HR</t>
        </is>
      </c>
      <c r="AE61"/>
      <c r="AF61">
        <v>0</v>
      </c>
      <c r="AG61" s="4"/>
      <c r="AH61" s="4"/>
      <c r="AI61">
        <v>0</v>
      </c>
      <c r="AJ61">
        <v>1</v>
      </c>
      <c r="AK61" t="inlineStr">
        <is>
          <t>No, I don't need at all</t>
        </is>
      </c>
      <c r="AL61">
        <v>1</v>
      </c>
      <c r="AM61" t="inlineStr">
        <is>
          <t>No, I don't need at all</t>
        </is>
      </c>
      <c r="AN61"/>
      <c r="AO61" t="inlineStr">
        <is>
          <t>Yes, I have</t>
        </is>
      </c>
      <c r="AP61" t="inlineStr">
        <is>
          <t>Once a year (25%)</t>
        </is>
      </c>
      <c r="AQ61">
        <v>7</v>
      </c>
      <c r="AR61" t="inlineStr">
        <is>
          <t>Did not use any job portal</t>
        </is>
      </c>
      <c r="AS61" t="inlineStr">
        <is>
          <t>- Headcount: 5
- Hiring Job Details: 4-6 sales person, HR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7
- Hiring frequency: Once a year (25%)
- External job portal: Did not use any job portal</t>
        </is>
      </c>
      <c r="AT61">
        <v>85</v>
      </c>
      <c r="AU61" t="inlineStr">
        <is>
          <t>0.85</t>
        </is>
      </c>
      <c r="AV61" t="inlineStr">
        <is>
          <t>20</t>
        </is>
      </c>
      <c r="AW61" t="inlineStr">
        <is>
          <t>0</t>
        </is>
      </c>
      <c r="AX61" t="inlineStr">
        <is>
          <t>Not Qualified</t>
        </is>
      </c>
      <c r="AY61" s="4"/>
      <c r="AZ61"/>
      <c r="BA61"/>
      <c r="BB61"/>
      <c r="BC61" t="inlineStr">
        <is>
          <t>Replied: discuss package with clement. Crush acc with Alan</t>
        </is>
      </c>
      <c r="BD61" s="4">
        <v>46142.51422453704</v>
      </c>
      <c r="BE61"/>
      <c r="BF61"/>
      <c r="BG61" t="inlineStr">
        <is>
          <t>Reschedule</t>
        </is>
      </c>
      <c r="BH61" t="inlineStr">
        <is>
          <t>Reagen</t>
        </is>
      </c>
      <c r="BI61"/>
      <c r="BJ61" s="4">
        <v>46144.75436342593</v>
      </c>
      <c r="BK61" s="4">
        <v>46137.37599537037</v>
      </c>
      <c r="BL61" t="inlineStr">
        <is>
          <t>0.0</t>
        </is>
      </c>
      <c r="BM61" t="inlineStr">
        <is>
          <t>1200.0</t>
        </is>
      </c>
      <c r="BN61" t="inlineStr">
        <is>
          <t>View Account User</t>
        </is>
      </c>
      <c r="BO61" s="4">
        <v>46138.39142361111</v>
      </c>
      <c r="BP61">
        <v>169024</v>
      </c>
      <c r="BQ61"/>
      <c r="BR61"/>
      <c r="BS61"/>
      <c r="BT61"/>
      <c r="BU61"/>
      <c r="BV61">
        <v>2737386</v>
      </c>
      <c r="BW61" t="inlineStr">
        <is>
          <t>Follow Up : Decision Pending</t>
        </is>
      </c>
      <c r="BX61"/>
      <c r="BY61"/>
      <c r="BZ61" s="4"/>
      <c r="CA61"/>
      <c r="CB61"/>
      <c r="CC61" s="4"/>
      <c r="CD61" t="inlineStr">
        <is>
          <t>30</t>
        </is>
      </c>
      <c r="CE61" t="inlineStr">
        <is>
          <t>0</t>
        </is>
      </c>
      <c r="CF61" t="inlineStr">
        <is>
          <t>Q2-W04</t>
        </is>
      </c>
      <c r="CG61"/>
      <c r="CH61"/>
      <c r="CI61"/>
      <c r="CJ61" t="inlineStr">
        <is>
          <t>No Paid</t>
        </is>
      </c>
      <c r="CK61" t="inlineStr">
        <is>
          <t>Not Eligible</t>
        </is>
      </c>
      <c r="CL61"/>
      <c r="CM61"/>
    </row>
    <row r="62" ht="25.5" customHeight="1">
      <c r="A62" t="inlineStr">
        <is>
          <t>4327887</t>
        </is>
      </c>
      <c r="B62" s="2"/>
      <c r="C62"/>
      <c r="D62" s="3">
        <v>46139.596666666665</v>
      </c>
      <c r="E62" t="inlineStr">
        <is>
          <t>Q2-W04</t>
        </is>
      </c>
      <c r="F62" t="inlineStr">
        <is>
          <t>Evan</t>
        </is>
      </c>
      <c r="G62" t="inlineStr">
        <is>
          <t>Lead</t>
        </is>
      </c>
      <c r="H62" s="2" t="str">
        <f>=HYPERLINK("https://upbox.ajobthing.my/leads/4327887", "https://upbox.ajobthing.my/leads/4327887")</f>
        <v>https://upbox.ajobthing.my/leads/4327887</v>
      </c>
      <c r="I62" t="inlineStr">
        <is>
          <t>Backbone Pte. Ltd.</t>
        </is>
      </c>
      <c r="J62" t="inlineStr">
        <is>
          <t>Dolphin</t>
        </is>
      </c>
      <c r="K62" t="inlineStr">
        <is>
          <t>Evan</t>
        </is>
      </c>
      <c r="L62" s="4"/>
      <c r="M62" s="4">
        <v>46139.595</v>
      </c>
      <c r="N62"/>
      <c r="O62">
        <v>3672</v>
      </c>
      <c r="P62" s="4"/>
      <c r="Q62" s="4"/>
      <c r="R62"/>
      <c r="S62"/>
      <c r="T62" s="4"/>
      <c r="U62" s="4"/>
      <c r="V62"/>
      <c r="W62"/>
      <c r="X62"/>
      <c r="Y62" t="inlineStr">
        <is>
          <t>Pending Appointment</t>
        </is>
      </c>
      <c r="Z62" t="inlineStr">
        <is>
          <t>Hiring Now</t>
        </is>
      </c>
      <c r="AA62">
        <v>1</v>
      </c>
      <c r="AB62" t="inlineStr">
        <is>
          <t>No Appointment Made</t>
        </is>
      </c>
      <c r="AC62"/>
      <c r="AD62" t="inlineStr">
        <is>
          <t>1 support, all base in KL</t>
        </is>
      </c>
      <c r="AE62"/>
      <c r="AF62">
        <v>1</v>
      </c>
      <c r="AG62" s="4"/>
      <c r="AH62" s="4"/>
      <c r="AI62">
        <v>1</v>
      </c>
      <c r="AJ62">
        <v>1</v>
      </c>
      <c r="AK62" t="inlineStr">
        <is>
          <t>No, I don't need at all</t>
        </is>
      </c>
      <c r="AL62">
        <v>0</v>
      </c>
      <c r="AM62" t="inlineStr">
        <is>
          <t>No, I don't need at all</t>
        </is>
      </c>
      <c r="AN62"/>
      <c r="AO62" t="inlineStr">
        <is>
          <t>No, I don't need at all</t>
        </is>
      </c>
      <c r="AP62" t="inlineStr">
        <is>
          <t>Once a year (25%)</t>
        </is>
      </c>
      <c r="AQ62">
        <v>1</v>
      </c>
      <c r="AR62" t="inlineStr">
        <is>
          <t>Did not use any job portal</t>
        </is>
      </c>
      <c r="AS62" t="inlineStr">
        <is>
          <t>- Headcount: 1
- Hiring Job Details: 1 support,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62">
        <v>115</v>
      </c>
      <c r="AU62" t="inlineStr">
        <is>
          <t>1.15</t>
        </is>
      </c>
      <c r="AV62" t="inlineStr">
        <is>
          <t>15</t>
        </is>
      </c>
      <c r="AW62" t="inlineStr">
        <is>
          <t>0</t>
        </is>
      </c>
      <c r="AX62" t="inlineStr">
        <is>
          <t>Not Qualified</t>
        </is>
      </c>
      <c r="AY62" s="4"/>
      <c r="AZ62"/>
      <c r="BA62"/>
      <c r="BB62"/>
      <c r="BC62"/>
      <c r="BD62" s="4"/>
      <c r="BE62"/>
      <c r="BF62"/>
      <c r="BG62" t="inlineStr">
        <is>
          <t>Reschedule</t>
        </is>
      </c>
      <c r="BH62" t="inlineStr">
        <is>
          <t>Edward Hoo</t>
        </is>
      </c>
      <c r="BI62"/>
      <c r="BJ62" s="4">
        <v>46144.75592592593</v>
      </c>
      <c r="BK62" s="4">
        <v>46139.570023148146</v>
      </c>
      <c r="BL62" t="inlineStr">
        <is>
          <t>0.0</t>
        </is>
      </c>
      <c r="BM62" t="inlineStr">
        <is>
          <t>0.0</t>
        </is>
      </c>
      <c r="BN62"/>
      <c r="BO62" s="4"/>
      <c r="BP62">
        <v>169031</v>
      </c>
      <c r="BQ62"/>
      <c r="BR62"/>
      <c r="BS62"/>
      <c r="BT62"/>
      <c r="BU62"/>
      <c r="BV62"/>
      <c r="BW62"/>
      <c r="BX62"/>
      <c r="BY62"/>
      <c r="BZ62" s="4"/>
      <c r="CA62"/>
      <c r="CB62"/>
      <c r="CC62" s="4"/>
      <c r="CD62" t="inlineStr">
        <is>
          <t>20</t>
        </is>
      </c>
      <c r="CE62" t="inlineStr">
        <is>
          <t>0</t>
        </is>
      </c>
      <c r="CF62" t="inlineStr">
        <is>
          <t>Q2-W04</t>
        </is>
      </c>
      <c r="CG62"/>
      <c r="CH62"/>
      <c r="CI62"/>
      <c r="CJ62" t="inlineStr">
        <is>
          <t>No Paid</t>
        </is>
      </c>
      <c r="CK62" t="inlineStr">
        <is>
          <t>Not Eligible</t>
        </is>
      </c>
      <c r="CL62"/>
      <c r="CM62"/>
    </row>
    <row r="63" ht="25.5" customHeight="1">
      <c r="A63" t="inlineStr">
        <is>
          <t>195667</t>
        </is>
      </c>
      <c r="B63" s="2"/>
      <c r="C63"/>
      <c r="D63" s="3">
        <v>46139.59856481481</v>
      </c>
      <c r="E63" t="inlineStr">
        <is>
          <t>Q2-W04</t>
        </is>
      </c>
      <c r="F63" t="inlineStr">
        <is>
          <t>Clover</t>
        </is>
      </c>
      <c r="G63" t="inlineStr">
        <is>
          <t>Customer</t>
        </is>
      </c>
      <c r="H63" s="2" t="str">
        <f>=HYPERLINK("https://upbox.ajobthing.my/customer/195667", "https://upbox.ajobthing.my/customer/195667")</f>
        <v>https://upbox.ajobthing.my/customer/195667</v>
      </c>
      <c r="I63" t="inlineStr">
        <is>
          <t>Create Value Sdn. Bhd.</t>
        </is>
      </c>
      <c r="J63" t="inlineStr">
        <is>
          <t>Dolphin</t>
        </is>
      </c>
      <c r="K63" t="inlineStr">
        <is>
          <t>Clover</t>
        </is>
      </c>
      <c r="L63" s="4"/>
      <c r="M63" s="4">
        <v>46139.5987962963</v>
      </c>
      <c r="N63"/>
      <c r="O63">
        <v>6048</v>
      </c>
      <c r="P63" s="4"/>
      <c r="Q63" s="4">
        <v>45926.40961805556</v>
      </c>
      <c r="R63"/>
      <c r="S63">
        <v>3888</v>
      </c>
      <c r="T63" s="4">
        <v>45926.40961805556</v>
      </c>
      <c r="U63" s="4"/>
      <c r="V63"/>
      <c r="W63">
        <v>3888</v>
      </c>
      <c r="X63"/>
      <c r="Y63" t="inlineStr">
        <is>
          <t>Pending Appointment</t>
        </is>
      </c>
      <c r="Z63" t="inlineStr">
        <is>
          <t>Hiring Now</t>
        </is>
      </c>
      <c r="AA63">
        <v>4</v>
      </c>
      <c r="AB63" t="inlineStr">
        <is>
          <t>No Appointment Made</t>
        </is>
      </c>
      <c r="AC63"/>
      <c r="AD63" t="inlineStr">
        <is>
          <t>1 digital marketing, 3 legal clerk,  prefer malay/chi, urgent, legal consultancy kl, suggest pro</t>
        </is>
      </c>
      <c r="AE63"/>
      <c r="AF63">
        <v>5000</v>
      </c>
      <c r="AG63" s="4"/>
      <c r="AH63" s="4"/>
      <c r="AI63">
        <v>5000</v>
      </c>
      <c r="AJ63">
        <v>1</v>
      </c>
      <c r="AK63" t="inlineStr">
        <is>
          <t>No, but I want in future</t>
        </is>
      </c>
      <c r="AL63">
        <v>1</v>
      </c>
      <c r="AM63" t="inlineStr">
        <is>
          <t>No, but I want in future</t>
        </is>
      </c>
      <c r="AN63"/>
      <c r="AO63" t="inlineStr">
        <is>
          <t>No, but I want in future</t>
        </is>
      </c>
      <c r="AP63" t="inlineStr">
        <is>
          <t>Once per quarter (75%)</t>
        </is>
      </c>
      <c r="AQ63">
        <v>4</v>
      </c>
      <c r="AR63" t="inlineStr">
        <is>
          <t>Did not use any job portal</t>
        </is>
      </c>
      <c r="AS63" t="inlineStr">
        <is>
          <t>- Headcount: 4
- Hiring Job Details: 1 digital marketing, 3 legal clerk, prefer malay/chi, urgent, legal consultancy kl,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is>
      </c>
      <c r="AT63">
        <v>115</v>
      </c>
      <c r="AU63" t="inlineStr">
        <is>
          <t>1.15</t>
        </is>
      </c>
      <c r="AV63" t="inlineStr">
        <is>
          <t>15</t>
        </is>
      </c>
      <c r="AW63" t="inlineStr">
        <is>
          <t>0</t>
        </is>
      </c>
      <c r="AX63" t="inlineStr">
        <is>
          <t>Not Qualified</t>
        </is>
      </c>
      <c r="AY63" s="4"/>
      <c r="AZ63"/>
      <c r="BA63"/>
      <c r="BB63"/>
      <c r="BC63" t="inlineStr">
        <is>
          <t>- Headcount: 4
- Hiring Job Details: 1 digital marketing, 3 legal clerk, prefer malay/chi, urgent, legal consultancy kl,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is>
      </c>
      <c r="BD63" s="4">
        <v>46139.62505787037</v>
      </c>
      <c r="BE63" t="inlineStr">
        <is>
          <t>paid</t>
        </is>
      </c>
      <c r="BF63"/>
      <c r="BG63" t="inlineStr">
        <is>
          <t>Reschedule</t>
        </is>
      </c>
      <c r="BH63" t="inlineStr">
        <is>
          <t>Reagen</t>
        </is>
      </c>
      <c r="BI63" t="inlineStr">
        <is>
          <t>Law / Legal</t>
        </is>
      </c>
      <c r="BJ63" s="4">
        <v>46144.75278935185</v>
      </c>
      <c r="BK63" s="4">
        <v>45902.62777777778</v>
      </c>
      <c r="BL63" t="inlineStr">
        <is>
          <t>4536.0</t>
        </is>
      </c>
      <c r="BM63" t="inlineStr">
        <is>
          <t>0.0</t>
        </is>
      </c>
      <c r="BN63" t="inlineStr">
        <is>
          <t>View Company Page</t>
        </is>
      </c>
      <c r="BO63" s="4">
        <v>46142.563206018516</v>
      </c>
      <c r="BP63">
        <v>169034</v>
      </c>
      <c r="BQ63">
        <v>82752</v>
      </c>
      <c r="BR63" t="inlineStr">
        <is>
          <t>Online</t>
        </is>
      </c>
      <c r="BS63"/>
      <c r="BT63">
        <v>82752</v>
      </c>
      <c r="BU63"/>
      <c r="BV63">
        <v>2730120</v>
      </c>
      <c r="BW63" t="inlineStr">
        <is>
          <t>Customer Inquiry</t>
        </is>
      </c>
      <c r="BX63">
        <v>6</v>
      </c>
      <c r="BY63">
        <v>0</v>
      </c>
      <c r="BZ63" s="4">
        <v>46087.63559027778</v>
      </c>
      <c r="CA63">
        <v>60</v>
      </c>
      <c r="CB63">
        <v>60</v>
      </c>
      <c r="CC63" s="4"/>
      <c r="CD63" t="inlineStr">
        <is>
          <t>20</t>
        </is>
      </c>
      <c r="CE63" t="inlineStr">
        <is>
          <t>0</t>
        </is>
      </c>
      <c r="CF63" t="inlineStr">
        <is>
          <t>Q2-W04</t>
        </is>
      </c>
      <c r="CG63"/>
      <c r="CH63"/>
      <c r="CI63"/>
      <c r="CJ63" t="inlineStr">
        <is>
          <t>Paid</t>
        </is>
      </c>
      <c r="CK63" t="inlineStr">
        <is>
          <t>Not Eligible</t>
        </is>
      </c>
      <c r="CL63"/>
      <c r="CM63"/>
    </row>
    <row r="64" ht="25.5" customHeight="1">
      <c r="A64" t="inlineStr">
        <is>
          <t>197695</t>
        </is>
      </c>
      <c r="B64" s="2"/>
      <c r="C64"/>
      <c r="D64" s="3">
        <v>46139.60254629629</v>
      </c>
      <c r="E64" t="inlineStr">
        <is>
          <t>Q2-W04</t>
        </is>
      </c>
      <c r="F64" t="inlineStr">
        <is>
          <t>Keegan</t>
        </is>
      </c>
      <c r="G64" t="inlineStr">
        <is>
          <t>Customer</t>
        </is>
      </c>
      <c r="H64" s="2" t="str">
        <f>=HYPERLINK("https://upbox.ajobthing.my/customer/197695", "https://upbox.ajobthing.my/customer/197695")</f>
        <v>https://upbox.ajobthing.my/customer/197695</v>
      </c>
      <c r="I64" t="inlineStr">
        <is>
          <t>Macrolite Sdn Bhd</t>
        </is>
      </c>
      <c r="J64" t="inlineStr">
        <is>
          <t>Dolphin</t>
        </is>
      </c>
      <c r="K64" t="inlineStr">
        <is>
          <t>Keegan</t>
        </is>
      </c>
      <c r="L64" s="4"/>
      <c r="M64" s="4">
        <v>46139.60579861111</v>
      </c>
      <c r="N64"/>
      <c r="O64">
        <v>3888</v>
      </c>
      <c r="P64" s="4"/>
      <c r="Q64" s="4">
        <v>45968.58315972222</v>
      </c>
      <c r="R64"/>
      <c r="S64">
        <v>1080</v>
      </c>
      <c r="T64" s="4">
        <v>45968.58315972222</v>
      </c>
      <c r="U64" s="4"/>
      <c r="V64"/>
      <c r="W64">
        <v>1080</v>
      </c>
      <c r="X64"/>
      <c r="Y64" t="inlineStr">
        <is>
          <t>Pending Appointment</t>
        </is>
      </c>
      <c r="Z64" t="inlineStr">
        <is>
          <t>Hiring Now</t>
        </is>
      </c>
      <c r="AA64">
        <v>1</v>
      </c>
      <c r="AB64" t="inlineStr">
        <is>
          <t>No Appointment Made</t>
        </is>
      </c>
      <c r="AC64"/>
      <c r="AD64" t="inlineStr">
        <is>
          <t xml:space="preserve">1. Account Executive </t>
        </is>
      </c>
      <c r="AE64"/>
      <c r="AF64"/>
      <c r="AG64" s="4"/>
      <c r="AH64" s="4"/>
      <c r="AI64"/>
      <c r="AJ64">
        <v>1</v>
      </c>
      <c r="AK64" t="inlineStr">
        <is>
          <t>No, I don't need at all</t>
        </is>
      </c>
      <c r="AL64">
        <v>0</v>
      </c>
      <c r="AM64" t="inlineStr">
        <is>
          <t>No, I don't need at all</t>
        </is>
      </c>
      <c r="AN64"/>
      <c r="AO64" t="inlineStr">
        <is>
          <t>No, I don't need at all</t>
        </is>
      </c>
      <c r="AP64" t="inlineStr">
        <is>
          <t>Once per quarter (75%)</t>
        </is>
      </c>
      <c r="AQ64"/>
      <c r="AR64" t="inlineStr">
        <is>
          <t>Did not use any job portal</t>
        </is>
      </c>
      <c r="AS64" t="inlineStr">
        <is>
          <t>- Headcount: 1
- Hiring Job Details: 1 Account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64">
        <v>95</v>
      </c>
      <c r="AU64" t="inlineStr">
        <is>
          <t>0.95</t>
        </is>
      </c>
      <c r="AV64" t="inlineStr">
        <is>
          <t>5</t>
        </is>
      </c>
      <c r="AW64" t="inlineStr">
        <is>
          <t>0</t>
        </is>
      </c>
      <c r="AX64" t="inlineStr">
        <is>
          <t>Not Qualified</t>
        </is>
      </c>
      <c r="AY64" s="4"/>
      <c r="AZ64"/>
      <c r="BA64"/>
      <c r="BB64"/>
      <c r="BC64" t="inlineStr">
        <is>
          <t>Pending decision</t>
        </is>
      </c>
      <c r="BD64" s="4">
        <v>46141.68487268518</v>
      </c>
      <c r="BE64" t="inlineStr">
        <is>
          <t>paid</t>
        </is>
      </c>
      <c r="BF64"/>
      <c r="BG64" t="inlineStr">
        <is>
          <t>Reschedule</t>
        </is>
      </c>
      <c r="BH64" t="inlineStr">
        <is>
          <t>Edward Hoo</t>
        </is>
      </c>
      <c r="BI64" t="inlineStr">
        <is>
          <t>Manufacturing / Production</t>
        </is>
      </c>
      <c r="BJ64" s="4">
        <v>46144.752905092595</v>
      </c>
      <c r="BK64" s="4">
        <v>45958.46658564815</v>
      </c>
      <c r="BL64" t="inlineStr">
        <is>
          <t>1080.0</t>
        </is>
      </c>
      <c r="BM64" t="inlineStr">
        <is>
          <t>1200.0</t>
        </is>
      </c>
      <c r="BN64" t="inlineStr">
        <is>
          <t>View Company Page</t>
        </is>
      </c>
      <c r="BO64" s="4">
        <v>46125.43796296296</v>
      </c>
      <c r="BP64">
        <v>169037</v>
      </c>
      <c r="BQ64">
        <v>84000</v>
      </c>
      <c r="BR64" t="inlineStr">
        <is>
          <t>Online</t>
        </is>
      </c>
      <c r="BS64"/>
      <c r="BT64">
        <v>84000</v>
      </c>
      <c r="BU64"/>
      <c r="BV64">
        <v>2735898</v>
      </c>
      <c r="BW64" t="inlineStr">
        <is>
          <t>Follow Up : Decision Pending</t>
        </is>
      </c>
      <c r="BX64"/>
      <c r="BY64"/>
      <c r="BZ64" s="4"/>
      <c r="CA64"/>
      <c r="CB64"/>
      <c r="CC64" s="4"/>
      <c r="CD64" t="inlineStr">
        <is>
          <t>5</t>
        </is>
      </c>
      <c r="CE64" t="inlineStr">
        <is>
          <t>0</t>
        </is>
      </c>
      <c r="CF64" t="inlineStr">
        <is>
          <t>Q2-W04</t>
        </is>
      </c>
      <c r="CG64"/>
      <c r="CH64"/>
      <c r="CI64"/>
      <c r="CJ64" t="inlineStr">
        <is>
          <t>Paid</t>
        </is>
      </c>
      <c r="CK64" t="inlineStr">
        <is>
          <t>Not Eligible</t>
        </is>
      </c>
      <c r="CL64"/>
      <c r="CM64"/>
    </row>
    <row r="65" ht="25.5" customHeight="1">
      <c r="A65" t="inlineStr">
        <is>
          <t>160382</t>
        </is>
      </c>
      <c r="B65" s="2"/>
      <c r="C65"/>
      <c r="D65" s="3">
        <v>46139.61849537037</v>
      </c>
      <c r="E65" t="inlineStr">
        <is>
          <t>Q2-W04</t>
        </is>
      </c>
      <c r="F65" t="inlineStr">
        <is>
          <t>Clover</t>
        </is>
      </c>
      <c r="G65" t="inlineStr">
        <is>
          <t>Customer</t>
        </is>
      </c>
      <c r="H65" s="2" t="str">
        <f>=HYPERLINK("https://upbox.ajobthing.my/customer/160382", "https://upbox.ajobthing.my/customer/160382")</f>
        <v>https://upbox.ajobthing.my/customer/160382</v>
      </c>
      <c r="I65" t="inlineStr">
        <is>
          <t>M&amp;M Prestige Sdn Bhd</t>
        </is>
      </c>
      <c r="J65" t="inlineStr">
        <is>
          <t>Dolphin</t>
        </is>
      </c>
      <c r="K65" t="inlineStr">
        <is>
          <t>Clover</t>
        </is>
      </c>
      <c r="L65" s="4"/>
      <c r="M65" s="4">
        <v>46139.61802083333</v>
      </c>
      <c r="N65"/>
      <c r="O65">
        <v>6048</v>
      </c>
      <c r="P65" s="4"/>
      <c r="Q65" s="4">
        <v>45951.50047453704</v>
      </c>
      <c r="R65"/>
      <c r="S65">
        <v>810</v>
      </c>
      <c r="T65" s="4">
        <v>45951.50047453704</v>
      </c>
      <c r="U65" s="4"/>
      <c r="V65"/>
      <c r="W65">
        <v>810</v>
      </c>
      <c r="X65"/>
      <c r="Y65" t="inlineStr">
        <is>
          <t>Pending Appointment</t>
        </is>
      </c>
      <c r="Z65" t="inlineStr">
        <is>
          <t>Hiring Now</t>
        </is>
      </c>
      <c r="AA65">
        <v>6</v>
      </c>
      <c r="AB65" t="inlineStr">
        <is>
          <t>No Appointment Made</t>
        </is>
      </c>
      <c r="AC65"/>
      <c r="AD65" t="inlineStr">
        <is>
          <t xml:space="preserve"> PIC Ms Yenni 60128782781 , survey now, hire telesales x5 chi/malay, another company - operation manager x1 min 3 years,  management consultancy kl, suggest pro</t>
        </is>
      </c>
      <c r="AE65"/>
      <c r="AF65">
        <v>5000</v>
      </c>
      <c r="AG65" s="4"/>
      <c r="AH65" s="4"/>
      <c r="AI65">
        <v>5000</v>
      </c>
      <c r="AJ65">
        <v>1</v>
      </c>
      <c r="AK65" t="inlineStr">
        <is>
          <t>No, but I want in future</t>
        </is>
      </c>
      <c r="AL65">
        <v>2</v>
      </c>
      <c r="AM65" t="inlineStr">
        <is>
          <t>No, but I want in future</t>
        </is>
      </c>
      <c r="AN65"/>
      <c r="AO65" t="inlineStr">
        <is>
          <t>No, but I want in future</t>
        </is>
      </c>
      <c r="AP65" t="inlineStr">
        <is>
          <t>Once per quarter (75%)</t>
        </is>
      </c>
      <c r="AQ65">
        <v>6</v>
      </c>
      <c r="AR65" t="inlineStr">
        <is>
          <t>Did not use any job portal</t>
        </is>
      </c>
      <c r="AS65" t="inlineStr">
        <is>
          <t>- Headcount: 6
- Hiring Job Details: PIC Ms Yenni 60128782781, survey now, hire 5 chi/malay telesales, 1 3+ years experience operation manager from another company, management consultancy kl, suggest pro
- Hiring Urgency: Hiring Now
- Number of outlets: 1
- Have recruiter team: No, but want in future
- Number of recruiter in company: 2
- Have ATS system: No, but want in future
- Have career website: No, but want in future
- Current hiring budget: RM5,000
- Whole year budget: RM5,000.00
- Whole year number of vacancies: 6
- Hiring frequency: Once per quarter (75%)
- External job portal: Did not use any</t>
        </is>
      </c>
      <c r="AT65">
        <v>115</v>
      </c>
      <c r="AU65" t="inlineStr">
        <is>
          <t>1.15</t>
        </is>
      </c>
      <c r="AV65" t="inlineStr">
        <is>
          <t>20</t>
        </is>
      </c>
      <c r="AW65" t="inlineStr">
        <is>
          <t>0</t>
        </is>
      </c>
      <c r="AX65" t="inlineStr">
        <is>
          <t>Not Qualified</t>
        </is>
      </c>
      <c r="AY65" s="4"/>
      <c r="AZ65"/>
      <c r="BA65"/>
      <c r="BB65"/>
      <c r="BC65" t="inlineStr">
        <is>
          <t>- Headcount: 6
- Hiring Job Details: PIC Ms Yenni 60128782781, survey now, hire 5 chi/malay telesales, 1 3+ years experience operation manager from another company, management consultancy kl, suggest pro
- Hiring Urgency: Hiring Now
- Number of outlets: 1
- Have recruiter team: No, but want in future
- Number of recruiter in company: 2
- Have ATS system: No, but want in future
- Have career website: No, but want in future
- Current hiring budget: RM5,000
- Whole year budget: RM5,000.00
- Whole year number of vacancies: 6
- Hiring frequency: Once per quarter (75%)
- External job portal: Did not use any</t>
        </is>
      </c>
      <c r="BD65" s="4">
        <v>46139.62505787037</v>
      </c>
      <c r="BE65" t="inlineStr">
        <is>
          <t>paid</t>
        </is>
      </c>
      <c r="BF65"/>
      <c r="BG65" t="inlineStr">
        <is>
          <t>Reschedule</t>
        </is>
      </c>
      <c r="BH65" t="inlineStr">
        <is>
          <t>Reagen</t>
        </is>
      </c>
      <c r="BI65" t="inlineStr">
        <is>
          <t>Banking / Finance</t>
        </is>
      </c>
      <c r="BJ65" s="4">
        <v>46144.75109953704</v>
      </c>
      <c r="BK65" s="4">
        <v>44833.44349537037</v>
      </c>
      <c r="BL65" t="inlineStr">
        <is>
          <t>1674.0</t>
        </is>
      </c>
      <c r="BM65" t="inlineStr">
        <is>
          <t>0.0</t>
        </is>
      </c>
      <c r="BN65" t="inlineStr">
        <is>
          <t>View Candidate Search Page</t>
        </is>
      </c>
      <c r="BO65" s="4">
        <v>46034.43015046296</v>
      </c>
      <c r="BP65">
        <v>169044</v>
      </c>
      <c r="BQ65">
        <v>83457</v>
      </c>
      <c r="BR65" t="inlineStr">
        <is>
          <t>Online</t>
        </is>
      </c>
      <c r="BS65"/>
      <c r="BT65">
        <v>83457</v>
      </c>
      <c r="BU65"/>
      <c r="BV65">
        <v>2730128</v>
      </c>
      <c r="BW65" t="inlineStr">
        <is>
          <t>Customer Inquiry</t>
        </is>
      </c>
      <c r="BX65"/>
      <c r="BY65"/>
      <c r="BZ65" s="4"/>
      <c r="CA65"/>
      <c r="CB65"/>
      <c r="CC65" s="4"/>
      <c r="CD65" t="inlineStr">
        <is>
          <t>30</t>
        </is>
      </c>
      <c r="CE65" t="inlineStr">
        <is>
          <t>0</t>
        </is>
      </c>
      <c r="CF65" t="inlineStr">
        <is>
          <t>Q2-W04</t>
        </is>
      </c>
      <c r="CG65"/>
      <c r="CH65"/>
      <c r="CI65"/>
      <c r="CJ65" t="inlineStr">
        <is>
          <t>Paid</t>
        </is>
      </c>
      <c r="CK65" t="inlineStr">
        <is>
          <t>Not Eligible</t>
        </is>
      </c>
      <c r="CL65"/>
      <c r="CM65"/>
    </row>
    <row r="66" ht="25.5" customHeight="1">
      <c r="A66" t="inlineStr">
        <is>
          <t>201772</t>
        </is>
      </c>
      <c r="B66" s="2"/>
      <c r="C66"/>
      <c r="D66" s="3">
        <v>46139.62935185185</v>
      </c>
      <c r="E66" t="inlineStr">
        <is>
          <t>Q2-W04</t>
        </is>
      </c>
      <c r="F66" t="inlineStr">
        <is>
          <t>Josh</t>
        </is>
      </c>
      <c r="G66" t="inlineStr">
        <is>
          <t>Customer</t>
        </is>
      </c>
      <c r="H66" s="2" t="str">
        <f>=HYPERLINK("https://upbox.ajobthing.my/customer/201772", "https://upbox.ajobthing.my/customer/201772")</f>
        <v>https://upbox.ajobthing.my/customer/201772</v>
      </c>
      <c r="I66" t="inlineStr">
        <is>
          <t>Competent Plus Sdn. Bhd.</t>
        </is>
      </c>
      <c r="J66" t="inlineStr">
        <is>
          <t>Dolphin</t>
        </is>
      </c>
      <c r="K66" t="inlineStr">
        <is>
          <t>Josh</t>
        </is>
      </c>
      <c r="L66" s="4"/>
      <c r="M66" s="4">
        <v>46139.62956018518</v>
      </c>
      <c r="N66"/>
      <c r="O66">
        <v>6048</v>
      </c>
      <c r="P66" s="4"/>
      <c r="Q66" s="4">
        <v>46086.76584490741</v>
      </c>
      <c r="R66"/>
      <c r="S66">
        <v>0</v>
      </c>
      <c r="T66" s="4"/>
      <c r="U66" s="4"/>
      <c r="V66"/>
      <c r="W66"/>
      <c r="X66"/>
      <c r="Y66" t="inlineStr">
        <is>
          <t>Pending Appointment</t>
        </is>
      </c>
      <c r="Z66" t="inlineStr">
        <is>
          <t>Hiring Later</t>
        </is>
      </c>
      <c r="AA66">
        <v>1</v>
      </c>
      <c r="AB66" t="inlineStr">
        <is>
          <t>No Appointment Made</t>
        </is>
      </c>
      <c r="AC66"/>
      <c r="AD66" t="inlineStr">
        <is>
          <t xml:space="preserve">1 barista </t>
        </is>
      </c>
      <c r="AE66"/>
      <c r="AF66">
        <v>3000</v>
      </c>
      <c r="AG66" s="4"/>
      <c r="AH66" s="4"/>
      <c r="AI66"/>
      <c r="AJ66"/>
      <c r="AK66" t="inlineStr">
        <is>
          <t>Yes, I have</t>
        </is>
      </c>
      <c r="AL66">
        <v>1</v>
      </c>
      <c r="AM66"/>
      <c r="AN66"/>
      <c r="AO66"/>
      <c r="AP66" t="inlineStr">
        <is>
          <t>Once a year (25%)</t>
        </is>
      </c>
      <c r="AQ66"/>
      <c r="AR66"/>
      <c r="AS66" t="inlineStr">
        <is>
          <t>- Headcount: 1
- Hiring Job Details: 1 barista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AT66">
        <v>75</v>
      </c>
      <c r="AU66" t="inlineStr">
        <is>
          <t>0.75</t>
        </is>
      </c>
      <c r="AV66" t="inlineStr">
        <is>
          <t>15</t>
        </is>
      </c>
      <c r="AW66" t="inlineStr">
        <is>
          <t>0</t>
        </is>
      </c>
      <c r="AX66" t="inlineStr">
        <is>
          <t>Not Qualified</t>
        </is>
      </c>
      <c r="AY66" s="4"/>
      <c r="AZ66"/>
      <c r="BA66"/>
      <c r="BB66"/>
      <c r="BC66" t="inlineStr">
        <is>
          <t>- Headcount: 1
- Hiring Job Details: 1 barista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BD66" s="4">
        <v>46139.6668287037</v>
      </c>
      <c r="BE66" t="inlineStr">
        <is>
          <t>paid</t>
        </is>
      </c>
      <c r="BF66"/>
      <c r="BG66" t="inlineStr">
        <is>
          <t>Reschedule</t>
        </is>
      </c>
      <c r="BH66" t="inlineStr">
        <is>
          <t>Fauziah Maharan</t>
        </is>
      </c>
      <c r="BI66" t="inlineStr">
        <is>
          <t>Food / Beverage</t>
        </is>
      </c>
      <c r="BJ66" s="4">
        <v>46144.753854166665</v>
      </c>
      <c r="BK66" s="4">
        <v>46086.76563657408</v>
      </c>
      <c r="BL66" t="inlineStr">
        <is>
          <t>0.0</t>
        </is>
      </c>
      <c r="BM66" t="inlineStr">
        <is>
          <t>0.0</t>
        </is>
      </c>
      <c r="BN66" t="inlineStr">
        <is>
          <t>View Company Page</t>
        </is>
      </c>
      <c r="BO66" s="4">
        <v>46097.502233796295</v>
      </c>
      <c r="BP66">
        <v>169048</v>
      </c>
      <c r="BQ66">
        <v>116137</v>
      </c>
      <c r="BR66" t="inlineStr">
        <is>
          <t>Proforma</t>
        </is>
      </c>
      <c r="BS66" t="inlineStr">
        <is>
          <t>Free Part-Time Job</t>
        </is>
      </c>
      <c r="BT66"/>
      <c r="BU66"/>
      <c r="BV66">
        <v>2730713</v>
      </c>
      <c r="BW66" t="inlineStr">
        <is>
          <t>Customer Inquiry</t>
        </is>
      </c>
      <c r="BX66"/>
      <c r="BY66"/>
      <c r="BZ66" s="4"/>
      <c r="CA66"/>
      <c r="CB66"/>
      <c r="CC66" s="4"/>
      <c r="CD66" t="inlineStr">
        <is>
          <t>20</t>
        </is>
      </c>
      <c r="CE66" t="inlineStr">
        <is>
          <t>0</t>
        </is>
      </c>
      <c r="CF66" t="inlineStr">
        <is>
          <t>Q2-W04</t>
        </is>
      </c>
      <c r="CG66" t="inlineStr">
        <is>
          <t>Q1-W09</t>
        </is>
      </c>
      <c r="CH66"/>
      <c r="CI66"/>
      <c r="CJ66" t="inlineStr">
        <is>
          <t>No Paid</t>
        </is>
      </c>
      <c r="CK66" t="inlineStr">
        <is>
          <t>Not Eligible</t>
        </is>
      </c>
      <c r="CL66"/>
      <c r="CM66"/>
    </row>
    <row r="67" ht="25.5" customHeight="1">
      <c r="A67" t="inlineStr">
        <is>
          <t>141712</t>
        </is>
      </c>
      <c r="B67" s="2"/>
      <c r="C67"/>
      <c r="D67" s="3">
        <v>46139.62940972222</v>
      </c>
      <c r="E67" t="inlineStr">
        <is>
          <t>Q2-W04</t>
        </is>
      </c>
      <c r="F67" t="inlineStr">
        <is>
          <t>andy@ajobthing.com</t>
        </is>
      </c>
      <c r="G67" t="inlineStr">
        <is>
          <t>Customer</t>
        </is>
      </c>
      <c r="H67" s="2" t="str">
        <f>=HYPERLINK("https://upbox.ajobthing.my/customer/141712", "https://upbox.ajobthing.my/customer/141712")</f>
        <v>https://upbox.ajobthing.my/customer/141712</v>
      </c>
      <c r="I67" t="inlineStr">
        <is>
          <t>Agensi Pekerjaan XY Master Sdn Bhd</t>
        </is>
      </c>
      <c r="J67" t="inlineStr">
        <is>
          <t>Dolphin</t>
        </is>
      </c>
      <c r="K67" t="inlineStr">
        <is>
          <t>Andy</t>
        </is>
      </c>
      <c r="L67" s="4"/>
      <c r="M67" s="4">
        <v>46139.63113425926</v>
      </c>
      <c r="N67"/>
      <c r="O67">
        <v>25056</v>
      </c>
      <c r="P67" s="4"/>
      <c r="Q67" s="4">
        <v>46140.41835648148</v>
      </c>
      <c r="R67"/>
      <c r="S67">
        <v>0</v>
      </c>
      <c r="T67" s="4">
        <v>44476.46827546296</v>
      </c>
      <c r="U67" s="4"/>
      <c r="V67"/>
      <c r="W67">
        <v>3816</v>
      </c>
      <c r="X67" t="inlineStr">
        <is>
          <t>andy@ajobthing.com</t>
        </is>
      </c>
      <c r="Y67" t="inlineStr">
        <is>
          <t>Done Appointment</t>
        </is>
      </c>
      <c r="Z67" t="inlineStr">
        <is>
          <t>Continuous Hiring</t>
        </is>
      </c>
      <c r="AA67">
        <v>7</v>
      </c>
      <c r="AB67" t="inlineStr">
        <is>
          <t>Appointment Made</t>
        </is>
      </c>
      <c r="AC67" t="inlineStr">
        <is>
          <t>SME (&lt;50 employees)</t>
        </is>
      </c>
      <c r="AD67" t="inlineStr">
        <is>
          <t xml:space="preserve">Project Engineer ,  Internal Audit Manager , CNC Engineer , Design Engineer , Engineers , Production Supervisor , Sales  &amp; Marketing </t>
        </is>
      </c>
      <c r="AE67" t="inlineStr">
        <is>
          <t>HR Director / Senior HR Lead</t>
        </is>
      </c>
      <c r="AF67">
        <v>10000</v>
      </c>
      <c r="AG67" s="4">
        <v>46139.604166666664</v>
      </c>
      <c r="AH67" s="4">
        <v>46139.625</v>
      </c>
      <c r="AI67">
        <v>10000</v>
      </c>
      <c r="AJ67">
        <v>1</v>
      </c>
      <c r="AK67" t="inlineStr">
        <is>
          <t>Yes, I have</t>
        </is>
      </c>
      <c r="AL67">
        <v>5</v>
      </c>
      <c r="AM67" t="inlineStr">
        <is>
          <t>No, I don't need at all</t>
        </is>
      </c>
      <c r="AN67"/>
      <c r="AO67" t="inlineStr">
        <is>
          <t>No, I don't need at all</t>
        </is>
      </c>
      <c r="AP67" t="inlineStr">
        <is>
          <t>Every month (100%)</t>
        </is>
      </c>
      <c r="AQ67">
        <v>200</v>
      </c>
      <c r="AR67" t="inlineStr">
        <is>
          <t>Jobstreet, Linkedin (Paid)</t>
        </is>
      </c>
      <c r="AS67" t="inlineStr">
        <is>
          <t>- Headcount: 7
- Hiring Job Details: Project Engineer, Internal Audit Manager, CNC Engineer, Design Engineer, Engineers, Production Supervisor, Sales &amp; Marketing
- Hiring Urgency: Continuous Hiring
- Number of outlets: 1
- Have recruiter team: Yes
- Number of recruiter in company: 5
- Have ATS system: No, I don't need at all
- Have career website: No, I don't need at all
- Current hiring budget: RM10,000
- Whole year budget: RM10,000.00
- Whole year number of vacancies: 200
- Hiring frequency: Every month (100%)
- External job portal: Jobstreet, Linkedin (Paid)</t>
        </is>
      </c>
      <c r="AT67">
        <v>75</v>
      </c>
      <c r="AU67" t="inlineStr">
        <is>
          <t>0.75</t>
        </is>
      </c>
      <c r="AV67" t="inlineStr">
        <is>
          <t>40</t>
        </is>
      </c>
      <c r="AW67" t="inlineStr">
        <is>
          <t>0.5</t>
        </is>
      </c>
      <c r="AX67" t="inlineStr">
        <is>
          <t>Not Qualified</t>
        </is>
      </c>
      <c r="AY67" s="4">
        <v>46139.63648148148</v>
      </c>
      <c r="AZ67" t="inlineStr">
        <is>
          <t>Base Assistant</t>
        </is>
      </c>
      <c r="BA67"/>
      <c r="BB67"/>
      <c r="BC67" t="inlineStr">
        <is>
          <t>- Headcount: 7
- Hiring Job Details: Project Engineer, Internal Audit Manager, CNC Engineer, Design Engineer, Engineers, Production Supervisor, Sales &amp; Marketing
- Hiring Urgency: Continuous Hiring
- Number of outlets: 1
- Have recruiter team: Yes
- Number of recruiter in company: 5
- Have ATS system: No, I don't need at all
- Have career website: No, I don't need at all
- Current hiring budget: RM10,000
- Whole year budget: RM10,000.00
- Whole year number of vacancies: 200
- Hiring frequency: Every month (100%)
- External job portal: Jobstreet, Linkedin (Paid)</t>
        </is>
      </c>
      <c r="BD67" s="4">
        <v>46139.6668287037</v>
      </c>
      <c r="BE67" t="inlineStr">
        <is>
          <t>paid</t>
        </is>
      </c>
      <c r="BF67"/>
      <c r="BG67" t="inlineStr">
        <is>
          <t>Reschedule</t>
        </is>
      </c>
      <c r="BH67"/>
      <c r="BI67" t="inlineStr">
        <is>
          <t>HR Mgmt / Consulting</t>
        </is>
      </c>
      <c r="BJ67" s="4">
        <v>46144.75067129629</v>
      </c>
      <c r="BK67" s="4">
        <v>44474.667858796296</v>
      </c>
      <c r="BL67" t="inlineStr">
        <is>
          <t>0.0</t>
        </is>
      </c>
      <c r="BM67" t="inlineStr">
        <is>
          <t>2700.0</t>
        </is>
      </c>
      <c r="BN67" t="inlineStr">
        <is>
          <t>View Company Page</t>
        </is>
      </c>
      <c r="BO67" s="4">
        <v>46142.63512731482</v>
      </c>
      <c r="BP67">
        <v>169049</v>
      </c>
      <c r="BQ67">
        <v>123823</v>
      </c>
      <c r="BR67" t="inlineStr">
        <is>
          <t>Proforma</t>
        </is>
      </c>
      <c r="BS67" t="inlineStr">
        <is>
          <t>Free Internship Job</t>
        </is>
      </c>
      <c r="BT67">
        <v>36131</v>
      </c>
      <c r="BU67"/>
      <c r="BV67">
        <v>2730714</v>
      </c>
      <c r="BW67" t="inlineStr">
        <is>
          <t>Customer Inquiry</t>
        </is>
      </c>
      <c r="BX67">
        <v>301</v>
      </c>
      <c r="BY67">
        <v>278</v>
      </c>
      <c r="BZ67" s="4">
        <v>46142.461122685185</v>
      </c>
      <c r="CA67"/>
      <c r="CB67"/>
      <c r="CC67" s="4"/>
      <c r="CD67" t="inlineStr">
        <is>
          <t>55</t>
        </is>
      </c>
      <c r="CE67" t="inlineStr">
        <is>
          <t>0.5</t>
        </is>
      </c>
      <c r="CF67" t="inlineStr">
        <is>
          <t>Q2-W04</t>
        </is>
      </c>
      <c r="CG67" t="inlineStr">
        <is>
          <t>Q2-W04</t>
        </is>
      </c>
      <c r="CH67"/>
      <c r="CI67" t="inlineStr">
        <is>
          <t>Q2-W04</t>
        </is>
      </c>
      <c r="CJ67" t="inlineStr">
        <is>
          <t>Paid</t>
        </is>
      </c>
      <c r="CK67" t="inlineStr">
        <is>
          <t>Not Eligible</t>
        </is>
      </c>
      <c r="CL67"/>
      <c r="CM67" t="inlineStr">
        <is>
          <t>Q2-W04</t>
        </is>
      </c>
    </row>
    <row r="68" ht="25.5" customHeight="1">
      <c r="A68" t="inlineStr">
        <is>
          <t>195241</t>
        </is>
      </c>
      <c r="B68" s="2"/>
      <c r="C68"/>
      <c r="D68" s="3">
        <v>46139.63685185185</v>
      </c>
      <c r="E68" t="inlineStr">
        <is>
          <t>Q2-W04</t>
        </is>
      </c>
      <c r="F68" t="inlineStr">
        <is>
          <t>Keegan</t>
        </is>
      </c>
      <c r="G68" t="inlineStr">
        <is>
          <t>Customer</t>
        </is>
      </c>
      <c r="H68" s="2" t="str">
        <f>=HYPERLINK("https://upbox.ajobthing.my/customer/195241", "https://upbox.ajobthing.my/customer/195241")</f>
        <v>https://upbox.ajobthing.my/customer/195241</v>
      </c>
      <c r="I68" t="inlineStr">
        <is>
          <t>Pro T Sdn. Bhd.</t>
        </is>
      </c>
      <c r="J68" t="inlineStr">
        <is>
          <t>Dolphin</t>
        </is>
      </c>
      <c r="K68" t="inlineStr">
        <is>
          <t>Keegan</t>
        </is>
      </c>
      <c r="L68" s="4"/>
      <c r="M68" s="4">
        <v>46139.636921296296</v>
      </c>
      <c r="N68"/>
      <c r="O68">
        <v>6048</v>
      </c>
      <c r="P68" s="4"/>
      <c r="Q68" s="4">
        <v>46029.63722222222</v>
      </c>
      <c r="R68"/>
      <c r="S68">
        <v>0</v>
      </c>
      <c r="T68" s="4">
        <v>45891.51521990741</v>
      </c>
      <c r="U68" s="4"/>
      <c r="V68"/>
      <c r="W68">
        <v>3888</v>
      </c>
      <c r="X68"/>
      <c r="Y68" t="inlineStr">
        <is>
          <t>Pending Appointment</t>
        </is>
      </c>
      <c r="Z68" t="inlineStr">
        <is>
          <t>Hiring Now</t>
        </is>
      </c>
      <c r="AA68">
        <v>1</v>
      </c>
      <c r="AB68" t="inlineStr">
        <is>
          <t>No Appointment Made</t>
        </is>
      </c>
      <c r="AC68"/>
      <c r="AD68" t="inlineStr">
        <is>
          <t xml:space="preserve">1. Admin </t>
        </is>
      </c>
      <c r="AE68"/>
      <c r="AF68"/>
      <c r="AG68" s="4"/>
      <c r="AH68" s="4"/>
      <c r="AI68"/>
      <c r="AJ68">
        <v>1</v>
      </c>
      <c r="AK68" t="inlineStr">
        <is>
          <t>No, I don't need at all</t>
        </is>
      </c>
      <c r="AL68">
        <v>0</v>
      </c>
      <c r="AM68" t="inlineStr">
        <is>
          <t>No, I don't need at all</t>
        </is>
      </c>
      <c r="AN68"/>
      <c r="AO68" t="inlineStr">
        <is>
          <t>No, I don't need at all</t>
        </is>
      </c>
      <c r="AP68" t="inlineStr">
        <is>
          <t>Once per quarter (75%)</t>
        </is>
      </c>
      <c r="AQ68"/>
      <c r="AR68" t="inlineStr">
        <is>
          <t>Did not use any job portal</t>
        </is>
      </c>
      <c r="AS68"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68">
        <v>100</v>
      </c>
      <c r="AU68" t="inlineStr">
        <is>
          <t>1.00</t>
        </is>
      </c>
      <c r="AV68" t="inlineStr">
        <is>
          <t>5</t>
        </is>
      </c>
      <c r="AW68" t="inlineStr">
        <is>
          <t>0</t>
        </is>
      </c>
      <c r="AX68" t="inlineStr">
        <is>
          <t>Not Qualified</t>
        </is>
      </c>
      <c r="AY68" s="4"/>
      <c r="AZ68"/>
      <c r="BA68"/>
      <c r="BB68"/>
      <c r="BC68" t="inlineStr">
        <is>
          <t>Hiring plan hold on first until further noticed</t>
        </is>
      </c>
      <c r="BD68" s="4">
        <v>46141.69626157408</v>
      </c>
      <c r="BE68" t="inlineStr">
        <is>
          <t>paid</t>
        </is>
      </c>
      <c r="BF68"/>
      <c r="BG68" t="inlineStr">
        <is>
          <t>Reschedule</t>
        </is>
      </c>
      <c r="BH68" t="inlineStr">
        <is>
          <t>Edward Hoo</t>
        </is>
      </c>
      <c r="BI68" t="inlineStr">
        <is>
          <t>Other industries</t>
        </is>
      </c>
      <c r="BJ68" s="4">
        <v>46144.75274305556</v>
      </c>
      <c r="BK68" s="4">
        <v>45890.70581018519</v>
      </c>
      <c r="BL68" t="inlineStr">
        <is>
          <t>3888.0</t>
        </is>
      </c>
      <c r="BM68" t="inlineStr">
        <is>
          <t>600.0</t>
        </is>
      </c>
      <c r="BN68" t="inlineStr">
        <is>
          <t>View Candidate Search Page</t>
        </is>
      </c>
      <c r="BO68" s="4">
        <v>46100.47356481481</v>
      </c>
      <c r="BP68">
        <v>169057</v>
      </c>
      <c r="BQ68">
        <v>113633</v>
      </c>
      <c r="BR68" t="inlineStr">
        <is>
          <t>Proforma</t>
        </is>
      </c>
      <c r="BS68" t="inlineStr">
        <is>
          <t>A La Carte AI Job Ad Free</t>
        </is>
      </c>
      <c r="BT68">
        <v>81765</v>
      </c>
      <c r="BU68"/>
      <c r="BV68">
        <v>2735982</v>
      </c>
      <c r="BW68" t="inlineStr">
        <is>
          <t>Follow Up : Lost - Free Portal</t>
        </is>
      </c>
      <c r="BX68">
        <v>6</v>
      </c>
      <c r="BY68">
        <v>0</v>
      </c>
      <c r="BZ68" s="4">
        <v>46045.61863425926</v>
      </c>
      <c r="CA68">
        <v>60</v>
      </c>
      <c r="CB68">
        <v>55</v>
      </c>
      <c r="CC68" s="4">
        <v>45894.442094907405</v>
      </c>
      <c r="CD68" t="inlineStr">
        <is>
          <t>5</t>
        </is>
      </c>
      <c r="CE68" t="inlineStr">
        <is>
          <t>0</t>
        </is>
      </c>
      <c r="CF68" t="inlineStr">
        <is>
          <t>Q2-W04</t>
        </is>
      </c>
      <c r="CG68" t="inlineStr">
        <is>
          <t>Q1-W01</t>
        </is>
      </c>
      <c r="CH68"/>
      <c r="CI68"/>
      <c r="CJ68" t="inlineStr">
        <is>
          <t>Paid</t>
        </is>
      </c>
      <c r="CK68" t="inlineStr">
        <is>
          <t>Not Eligible</t>
        </is>
      </c>
      <c r="CL68"/>
      <c r="CM68"/>
    </row>
    <row r="69" ht="25.5" customHeight="1">
      <c r="A69" t="inlineStr">
        <is>
          <t>196047</t>
        </is>
      </c>
      <c r="B69" s="2"/>
      <c r="C69"/>
      <c r="D69" s="3">
        <v>46139.63915509259</v>
      </c>
      <c r="E69" t="inlineStr">
        <is>
          <t>Q2-W04</t>
        </is>
      </c>
      <c r="F69" t="inlineStr">
        <is>
          <t>Jeff Lee</t>
        </is>
      </c>
      <c r="G69" t="inlineStr">
        <is>
          <t>Customer</t>
        </is>
      </c>
      <c r="H69" s="2" t="str">
        <f>=HYPERLINK("https://upbox.ajobthing.my/customer/196047", "https://upbox.ajobthing.my/customer/196047")</f>
        <v>https://upbox.ajobthing.my/customer/196047</v>
      </c>
      <c r="I69" t="inlineStr">
        <is>
          <t>Roda Design And Build Sdn Bhd</t>
        </is>
      </c>
      <c r="J69" t="inlineStr">
        <is>
          <t>Dolphin</t>
        </is>
      </c>
      <c r="K69" t="inlineStr">
        <is>
          <t>Jeff Lee</t>
        </is>
      </c>
      <c r="L69" s="4"/>
      <c r="M69" s="4">
        <v>46139.636458333334</v>
      </c>
      <c r="N69"/>
      <c r="O69">
        <v>3672</v>
      </c>
      <c r="P69" s="4"/>
      <c r="Q69" s="4"/>
      <c r="R69"/>
      <c r="S69"/>
      <c r="T69" s="4"/>
      <c r="U69" s="4"/>
      <c r="V69"/>
      <c r="W69"/>
      <c r="X69"/>
      <c r="Y69" t="inlineStr">
        <is>
          <t>Pending Appointment</t>
        </is>
      </c>
      <c r="Z69" t="inlineStr">
        <is>
          <t>Hiring Later</t>
        </is>
      </c>
      <c r="AA69">
        <v>2</v>
      </c>
      <c r="AB69" t="inlineStr">
        <is>
          <t>No Appointment Made</t>
        </is>
      </c>
      <c r="AC69"/>
      <c r="AD69" t="inlineStr">
        <is>
          <t>1 admin, 1 designer</t>
        </is>
      </c>
      <c r="AE69"/>
      <c r="AF69">
        <v>0</v>
      </c>
      <c r="AG69" s="4"/>
      <c r="AH69" s="4"/>
      <c r="AI69">
        <v>0</v>
      </c>
      <c r="AJ69">
        <v>0</v>
      </c>
      <c r="AK69" t="inlineStr">
        <is>
          <t>No, I don't need at all</t>
        </is>
      </c>
      <c r="AL69">
        <v>0</v>
      </c>
      <c r="AM69" t="inlineStr">
        <is>
          <t>No, I don't need at all</t>
        </is>
      </c>
      <c r="AN69"/>
      <c r="AO69" t="inlineStr">
        <is>
          <t>No, I don't need at all</t>
        </is>
      </c>
      <c r="AP69" t="inlineStr">
        <is>
          <t>Once a year (25%)</t>
        </is>
      </c>
      <c r="AQ69">
        <v>2</v>
      </c>
      <c r="AR69" t="inlineStr">
        <is>
          <t>Did not use any job portal</t>
        </is>
      </c>
      <c r="AS69" t="inlineStr">
        <is>
          <t>- Headcount: 2
- Hiring Job Details: 1 admin, 1 designer
- Hiring Urgency: Hiring Later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69">
        <v>105</v>
      </c>
      <c r="AU69" t="inlineStr">
        <is>
          <t>1.05</t>
        </is>
      </c>
      <c r="AV69" t="inlineStr">
        <is>
          <t>15</t>
        </is>
      </c>
      <c r="AW69" t="inlineStr">
        <is>
          <t>0</t>
        </is>
      </c>
      <c r="AX69" t="inlineStr">
        <is>
          <t>Not Qualified</t>
        </is>
      </c>
      <c r="AY69" s="4"/>
      <c r="AZ69"/>
      <c r="BA69"/>
      <c r="BB69"/>
      <c r="BC69" t="inlineStr">
        <is>
          <t>na</t>
        </is>
      </c>
      <c r="BD69" s="4">
        <v>46141.42717592593</v>
      </c>
      <c r="BE69"/>
      <c r="BF69"/>
      <c r="BG69" t="inlineStr">
        <is>
          <t>Reschedule</t>
        </is>
      </c>
      <c r="BH69" t="inlineStr">
        <is>
          <t>Yee Hang</t>
        </is>
      </c>
      <c r="BI69" t="inlineStr">
        <is>
          <t>Construction / Building</t>
        </is>
      </c>
      <c r="BJ69" s="4">
        <v>46144.7528125</v>
      </c>
      <c r="BK69" s="4">
        <v>45912.00203703704</v>
      </c>
      <c r="BL69" t="inlineStr">
        <is>
          <t>0.0</t>
        </is>
      </c>
      <c r="BM69" t="inlineStr">
        <is>
          <t>600.0</t>
        </is>
      </c>
      <c r="BN69" t="inlineStr">
        <is>
          <t>View Jobmanager Page</t>
        </is>
      </c>
      <c r="BO69" s="4">
        <v>45914.59478009259</v>
      </c>
      <c r="BP69">
        <v>169056</v>
      </c>
      <c r="BQ69"/>
      <c r="BR69"/>
      <c r="BS69"/>
      <c r="BT69"/>
      <c r="BU69"/>
      <c r="BV69">
        <v>2734342</v>
      </c>
      <c r="BW69" t="inlineStr">
        <is>
          <t>No Answer : Voicemail - WA sent to customer</t>
        </is>
      </c>
      <c r="BX69"/>
      <c r="BY69"/>
      <c r="BZ69" s="4"/>
      <c r="CA69"/>
      <c r="CB69"/>
      <c r="CC69" s="4"/>
      <c r="CD69" t="inlineStr">
        <is>
          <t>20</t>
        </is>
      </c>
      <c r="CE69" t="inlineStr">
        <is>
          <t>0</t>
        </is>
      </c>
      <c r="CF69" t="inlineStr">
        <is>
          <t>Q2-W04</t>
        </is>
      </c>
      <c r="CG69"/>
      <c r="CH69"/>
      <c r="CI69"/>
      <c r="CJ69" t="inlineStr">
        <is>
          <t>No Paid</t>
        </is>
      </c>
      <c r="CK69" t="inlineStr">
        <is>
          <t>Not Eligible</t>
        </is>
      </c>
      <c r="CL69"/>
      <c r="CM69"/>
    </row>
    <row r="70" ht="25.5" customHeight="1">
      <c r="A70" t="inlineStr">
        <is>
          <t>195969</t>
        </is>
      </c>
      <c r="B70" s="2"/>
      <c r="C70"/>
      <c r="D70" s="3">
        <v>46139.64383101852</v>
      </c>
      <c r="E70" t="inlineStr">
        <is>
          <t>Q2-W04</t>
        </is>
      </c>
      <c r="F70" t="inlineStr">
        <is>
          <t>Jeff Lee</t>
        </is>
      </c>
      <c r="G70" t="inlineStr">
        <is>
          <t>Customer</t>
        </is>
      </c>
      <c r="H70" s="2" t="str">
        <f>=HYPERLINK("https://upbox.ajobthing.my/customer/195969", "https://upbox.ajobthing.my/customer/195969")</f>
        <v>https://upbox.ajobthing.my/customer/195969</v>
      </c>
      <c r="I70" t="inlineStr">
        <is>
          <t>Asf Food &amp; Beverage (m) Sdn Bhd</t>
        </is>
      </c>
      <c r="J70" t="inlineStr">
        <is>
          <t>Dolphin</t>
        </is>
      </c>
      <c r="K70" t="inlineStr">
        <is>
          <t>Jeff Lee</t>
        </is>
      </c>
      <c r="L70" s="4"/>
      <c r="M70" s="4">
        <v>46139.64265046296</v>
      </c>
      <c r="N70"/>
      <c r="O70">
        <v>3672</v>
      </c>
      <c r="P70" s="4"/>
      <c r="Q70" s="4"/>
      <c r="R70"/>
      <c r="S70"/>
      <c r="T70" s="4"/>
      <c r="U70" s="4"/>
      <c r="V70"/>
      <c r="W70"/>
      <c r="X70"/>
      <c r="Y70" t="inlineStr">
        <is>
          <t>Pending Appointment</t>
        </is>
      </c>
      <c r="Z70" t="inlineStr">
        <is>
          <t>Hiring Now</t>
        </is>
      </c>
      <c r="AA70">
        <v>2</v>
      </c>
      <c r="AB70" t="inlineStr">
        <is>
          <t>No Appointment Made</t>
        </is>
      </c>
      <c r="AC70"/>
      <c r="AD70" t="inlineStr">
        <is>
          <t>1 Quality Control Processing, 1 R&amp;D Assistant</t>
        </is>
      </c>
      <c r="AE70"/>
      <c r="AF70">
        <v>0</v>
      </c>
      <c r="AG70" s="4"/>
      <c r="AH70" s="4"/>
      <c r="AI70">
        <v>0</v>
      </c>
      <c r="AJ70">
        <v>0</v>
      </c>
      <c r="AK70" t="inlineStr">
        <is>
          <t>No, I don't need at all</t>
        </is>
      </c>
      <c r="AL70">
        <v>0</v>
      </c>
      <c r="AM70"/>
      <c r="AN70"/>
      <c r="AO70" t="inlineStr">
        <is>
          <t>No, I don't need at all</t>
        </is>
      </c>
      <c r="AP70" t="inlineStr">
        <is>
          <t>Once a year (25%)</t>
        </is>
      </c>
      <c r="AQ70">
        <v>2</v>
      </c>
      <c r="AR70" t="inlineStr">
        <is>
          <t>Jobstreet, Indeed (Paid)</t>
        </is>
      </c>
      <c r="AS70" t="inlineStr">
        <is>
          <t>- Headcount: 2
- Hiring Job Details: 1 Quality Control Processing, 1 R&amp;D Assistant
- Hiring Urgency: Hiring Now
- Number of outlets: 0
- Have recruiter team: No, I don't need at all
- Number of recruiter in company: 0
- Have ATS system: 
- Have career website: No, I don't need at all
- Current hiring budget: RM0
- Whole year budget: RM0.00
- Whole year number of vacancies: 2
- Hiring frequency: Once a year (25%)
- External job portal: Jobstreet,Indeed (Paid)</t>
        </is>
      </c>
      <c r="AT70">
        <v>105</v>
      </c>
      <c r="AU70" t="inlineStr">
        <is>
          <t>1.05</t>
        </is>
      </c>
      <c r="AV70" t="inlineStr">
        <is>
          <t>15</t>
        </is>
      </c>
      <c r="AW70" t="inlineStr">
        <is>
          <t>0</t>
        </is>
      </c>
      <c r="AX70" t="inlineStr">
        <is>
          <t>Not Qualified</t>
        </is>
      </c>
      <c r="AY70" s="4"/>
      <c r="AZ70"/>
      <c r="BA70"/>
      <c r="BB70"/>
      <c r="BC70" t="inlineStr">
        <is>
          <t>pending *</t>
        </is>
      </c>
      <c r="BD70" s="4">
        <v>46141.43074074074</v>
      </c>
      <c r="BE70"/>
      <c r="BF70"/>
      <c r="BG70" t="inlineStr">
        <is>
          <t>Reschedule</t>
        </is>
      </c>
      <c r="BH70" t="inlineStr">
        <is>
          <t>Yee Hang</t>
        </is>
      </c>
      <c r="BI70"/>
      <c r="BJ70" s="4">
        <v>46144.75278935185</v>
      </c>
      <c r="BK70" s="4">
        <v>45910.490439814814</v>
      </c>
      <c r="BL70" t="inlineStr">
        <is>
          <t>0.0</t>
        </is>
      </c>
      <c r="BM70" t="inlineStr">
        <is>
          <t>600.0</t>
        </is>
      </c>
      <c r="BN70" t="inlineStr">
        <is>
          <t>View Jobmanager Page</t>
        </is>
      </c>
      <c r="BO70" s="4">
        <v>45910.50734953704</v>
      </c>
      <c r="BP70">
        <v>169062</v>
      </c>
      <c r="BQ70"/>
      <c r="BR70"/>
      <c r="BS70"/>
      <c r="BT70"/>
      <c r="BU70"/>
      <c r="BV70">
        <v>2734375</v>
      </c>
      <c r="BW70" t="inlineStr">
        <is>
          <t>Follow Up : Decision Pending</t>
        </is>
      </c>
      <c r="BX70"/>
      <c r="BY70"/>
      <c r="BZ70" s="4"/>
      <c r="CA70"/>
      <c r="CB70"/>
      <c r="CC70" s="4"/>
      <c r="CD70" t="inlineStr">
        <is>
          <t>20</t>
        </is>
      </c>
      <c r="CE70" t="inlineStr">
        <is>
          <t>0</t>
        </is>
      </c>
      <c r="CF70" t="inlineStr">
        <is>
          <t>Q2-W04</t>
        </is>
      </c>
      <c r="CG70"/>
      <c r="CH70"/>
      <c r="CI70"/>
      <c r="CJ70" t="inlineStr">
        <is>
          <t>No Paid</t>
        </is>
      </c>
      <c r="CK70" t="inlineStr">
        <is>
          <t>Not Eligible</t>
        </is>
      </c>
      <c r="CL70"/>
      <c r="CM70"/>
    </row>
    <row r="71" ht="25.5" customHeight="1">
      <c r="A71" t="inlineStr">
        <is>
          <t>203708</t>
        </is>
      </c>
      <c r="B71" s="2"/>
      <c r="C71"/>
      <c r="D71" s="3">
        <v>46139.64576388889</v>
      </c>
      <c r="E71" t="inlineStr">
        <is>
          <t>Q2-W04</t>
        </is>
      </c>
      <c r="F71" t="inlineStr">
        <is>
          <t>Jess</t>
        </is>
      </c>
      <c r="G71" t="inlineStr">
        <is>
          <t>Customer</t>
        </is>
      </c>
      <c r="H71" s="2" t="str">
        <f>=HYPERLINK("https://upbox.ajobthing.my/customer/203708", "https://upbox.ajobthing.my/customer/203708")</f>
        <v>https://upbox.ajobthing.my/customer/203708</v>
      </c>
      <c r="I71" t="inlineStr">
        <is>
          <t>Public Yong Tow Foo Sdn Bhd</t>
        </is>
      </c>
      <c r="J71" t="inlineStr">
        <is>
          <t>Dolphin</t>
        </is>
      </c>
      <c r="K71" t="inlineStr">
        <is>
          <t>Jess Lim</t>
        </is>
      </c>
      <c r="L71" s="4"/>
      <c r="M71" s="4">
        <v>46139.64635416667</v>
      </c>
      <c r="N71"/>
      <c r="O71">
        <v>6048</v>
      </c>
      <c r="P71" s="4"/>
      <c r="Q71" s="4">
        <v>46143.78876157408</v>
      </c>
      <c r="R71"/>
      <c r="S71">
        <v>3888</v>
      </c>
      <c r="T71" s="4">
        <v>46143.78876157408</v>
      </c>
      <c r="U71" s="4"/>
      <c r="V71"/>
      <c r="W71">
        <v>3888</v>
      </c>
      <c r="X71"/>
      <c r="Y71" t="inlineStr">
        <is>
          <t>Pending Appointment</t>
        </is>
      </c>
      <c r="Z71" t="inlineStr">
        <is>
          <t>Hiring Now</t>
        </is>
      </c>
      <c r="AA71">
        <v>1</v>
      </c>
      <c r="AB71" t="inlineStr">
        <is>
          <t>No Appointment Made</t>
        </is>
      </c>
      <c r="AC71"/>
      <c r="AD71" t="inlineStr">
        <is>
          <t>admin 1 mandarin englsih</t>
        </is>
      </c>
      <c r="AE71"/>
      <c r="AF71">
        <v>1000</v>
      </c>
      <c r="AG71" s="4"/>
      <c r="AH71" s="4"/>
      <c r="AI71"/>
      <c r="AJ71">
        <v>1</v>
      </c>
      <c r="AK71" t="inlineStr">
        <is>
          <t>No, I don't need at all</t>
        </is>
      </c>
      <c r="AL71">
        <v>1</v>
      </c>
      <c r="AM71" t="inlineStr">
        <is>
          <t>No, I don't need at all</t>
        </is>
      </c>
      <c r="AN71"/>
      <c r="AO71" t="inlineStr">
        <is>
          <t>No, I don't need at all</t>
        </is>
      </c>
      <c r="AP71" t="inlineStr">
        <is>
          <t>Once a year (25%)</t>
        </is>
      </c>
      <c r="AQ71"/>
      <c r="AR71" t="inlineStr">
        <is>
          <t>Free Job Portal</t>
        </is>
      </c>
      <c r="AS71" t="inlineStr">
        <is>
          <t>- Headcount: 1
- Hiring Job Details: 1 admin (requires mandarin and english)
- Hiring Urgency: Hiring Now
- Number of outlets: 1
- Have recruiter team: No, I don't need at all
- Number of recruiter in company: 1
- Have ATS system: No, I don't need at all
- Have career website: No, I don't need at all
- Current hiring budget: RM1,000.00
- Whole year budget: Not specified
- Whole year number of vacancies: Not specified
- Hiring frequency: Once a year (25%)
- External job portal: Free Job Portal</t>
        </is>
      </c>
      <c r="AT71">
        <v>100</v>
      </c>
      <c r="AU71" t="inlineStr">
        <is>
          <t>1.00</t>
        </is>
      </c>
      <c r="AV71" t="inlineStr">
        <is>
          <t>15</t>
        </is>
      </c>
      <c r="AW71" t="inlineStr">
        <is>
          <t>0</t>
        </is>
      </c>
      <c r="AX71" t="inlineStr">
        <is>
          <t>Not Qualified</t>
        </is>
      </c>
      <c r="AY71" s="4"/>
      <c r="AZ71"/>
      <c r="BA71"/>
      <c r="BB71"/>
      <c r="BC71" t="inlineStr">
        <is>
          <t>- Headcount: 1
- Hiring Job Details: 1 admin (requires mandarin and english)
- Hiring Urgency: Hiring Now
- Number of outlets: 1
- Have recruiter team: No, I don't need at all
- Number of recruiter in company: 1
- Have ATS system: No, I don't need at all
- Have career website: No, I don't need at all
- Current hiring budget: RM1,000.00
- Whole year budget: Not specified
- Whole year number of vacancies: Not specified
- Hiring frequency: Once a year (25%)
- External job portal: Free Job Portal</t>
        </is>
      </c>
      <c r="BD71" s="4">
        <v>46139.6668287037</v>
      </c>
      <c r="BE71" t="inlineStr">
        <is>
          <t>paid</t>
        </is>
      </c>
      <c r="BF71" t="inlineStr">
        <is>
          <t>Q2-W05</t>
        </is>
      </c>
      <c r="BG71" t="inlineStr">
        <is>
          <t>Reschedule</t>
        </is>
      </c>
      <c r="BH71" t="inlineStr">
        <is>
          <t>Fauziah Maharan</t>
        </is>
      </c>
      <c r="BI71" t="inlineStr">
        <is>
          <t>Food / Beverage</t>
        </is>
      </c>
      <c r="BJ71" s="4">
        <v>46144.75436342593</v>
      </c>
      <c r="BK71" s="4">
        <v>46139.6337037037</v>
      </c>
      <c r="BL71" t="inlineStr">
        <is>
          <t>3888.0</t>
        </is>
      </c>
      <c r="BM71" t="inlineStr">
        <is>
          <t>0.0</t>
        </is>
      </c>
      <c r="BN71" t="inlineStr">
        <is>
          <t>View Company Page</t>
        </is>
      </c>
      <c r="BO71" s="4">
        <v>46144.67003472222</v>
      </c>
      <c r="BP71">
        <v>169063</v>
      </c>
      <c r="BQ71">
        <v>95238</v>
      </c>
      <c r="BR71" t="inlineStr">
        <is>
          <t>Online</t>
        </is>
      </c>
      <c r="BS71"/>
      <c r="BT71">
        <v>95238</v>
      </c>
      <c r="BU71"/>
      <c r="BV71">
        <v>2730725</v>
      </c>
      <c r="BW71" t="inlineStr">
        <is>
          <t>Customer Inquiry</t>
        </is>
      </c>
      <c r="BX71">
        <v>6</v>
      </c>
      <c r="BY71">
        <v>5</v>
      </c>
      <c r="BZ71" s="4">
        <v>46143.79356481481</v>
      </c>
      <c r="CA71">
        <v>60</v>
      </c>
      <c r="CB71">
        <v>58</v>
      </c>
      <c r="CC71" s="4">
        <v>46144.432858796295</v>
      </c>
      <c r="CD71" t="inlineStr">
        <is>
          <t>20</t>
        </is>
      </c>
      <c r="CE71" t="inlineStr">
        <is>
          <t>0</t>
        </is>
      </c>
      <c r="CF71" t="inlineStr">
        <is>
          <t>Q2-W04</t>
        </is>
      </c>
      <c r="CG71" t="inlineStr">
        <is>
          <t>Q2-W05</t>
        </is>
      </c>
      <c r="CH71" t="inlineStr">
        <is>
          <t>Q2-W05</t>
        </is>
      </c>
      <c r="CI71"/>
      <c r="CJ71" t="inlineStr">
        <is>
          <t>Paid</t>
        </is>
      </c>
      <c r="CK71" t="inlineStr">
        <is>
          <t>Not Eligible</t>
        </is>
      </c>
      <c r="CL71"/>
      <c r="CM71"/>
    </row>
    <row r="72" ht="25.5" customHeight="1">
      <c r="A72" t="inlineStr">
        <is>
          <t>203428</t>
        </is>
      </c>
      <c r="B72" s="2"/>
      <c r="C72"/>
      <c r="D72" s="3">
        <v>46139.6484375</v>
      </c>
      <c r="E72" t="inlineStr">
        <is>
          <t>Q2-W04</t>
        </is>
      </c>
      <c r="F72" t="inlineStr">
        <is>
          <t>Josh</t>
        </is>
      </c>
      <c r="G72" t="inlineStr">
        <is>
          <t>Customer</t>
        </is>
      </c>
      <c r="H72" s="2" t="str">
        <f>=HYPERLINK("https://upbox.ajobthing.my/customer/203428", "https://upbox.ajobthing.my/customer/203428")</f>
        <v>https://upbox.ajobthing.my/customer/203428</v>
      </c>
      <c r="I72" t="inlineStr">
        <is>
          <t>OCE Store Sdn Bhd</t>
        </is>
      </c>
      <c r="J72" t="inlineStr">
        <is>
          <t>Dolphin</t>
        </is>
      </c>
      <c r="K72" t="inlineStr">
        <is>
          <t>Josh</t>
        </is>
      </c>
      <c r="L72" s="4"/>
      <c r="M72" s="4">
        <v>46139.64927083333</v>
      </c>
      <c r="N72"/>
      <c r="O72">
        <v>3888</v>
      </c>
      <c r="P72" s="4"/>
      <c r="Q72" s="4">
        <v>46133.75798611111</v>
      </c>
      <c r="R72"/>
      <c r="S72">
        <v>1296</v>
      </c>
      <c r="T72" s="4">
        <v>46133.75798611111</v>
      </c>
      <c r="U72" s="4"/>
      <c r="V72"/>
      <c r="W72">
        <v>1296</v>
      </c>
      <c r="X72"/>
      <c r="Y72" t="inlineStr">
        <is>
          <t>Pending Appointment</t>
        </is>
      </c>
      <c r="Z72" t="inlineStr">
        <is>
          <t>Hiring Now</t>
        </is>
      </c>
      <c r="AA72">
        <v>0</v>
      </c>
      <c r="AB72" t="inlineStr">
        <is>
          <t>No Appointment Made</t>
        </is>
      </c>
      <c r="AC72"/>
      <c r="AD72" t="inlineStr">
        <is>
          <t xml:space="preserve">1 Hr </t>
        </is>
      </c>
      <c r="AE72"/>
      <c r="AF72">
        <v>3000</v>
      </c>
      <c r="AG72" s="4"/>
      <c r="AH72" s="4"/>
      <c r="AI72"/>
      <c r="AJ72"/>
      <c r="AK72" t="inlineStr">
        <is>
          <t>Yes, I have</t>
        </is>
      </c>
      <c r="AL72">
        <v>1</v>
      </c>
      <c r="AM72"/>
      <c r="AN72"/>
      <c r="AO72"/>
      <c r="AP72" t="inlineStr">
        <is>
          <t>Once a year (25%)</t>
        </is>
      </c>
      <c r="AQ72"/>
      <c r="AR72"/>
      <c r="AS72" t="inlineStr">
        <is>
          <t>- Headcount: 0
- Hiring Job Details: 1 Hr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is>
      </c>
      <c r="AT72">
        <v>45</v>
      </c>
      <c r="AU72" t="inlineStr">
        <is>
          <t>0.45</t>
        </is>
      </c>
      <c r="AV72" t="inlineStr">
        <is>
          <t>15</t>
        </is>
      </c>
      <c r="AW72" t="inlineStr">
        <is>
          <t>0</t>
        </is>
      </c>
      <c r="AX72" t="inlineStr">
        <is>
          <t>Not Qualified</t>
        </is>
      </c>
      <c r="AY72" s="4"/>
      <c r="AZ72"/>
      <c r="BA72"/>
      <c r="BB72"/>
      <c r="BC72" t="inlineStr">
        <is>
          <t>- Headcount: 0
- Hiring Job Details: 1 Hr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is>
      </c>
      <c r="BD72" s="4">
        <v>46139.6668287037</v>
      </c>
      <c r="BE72" t="inlineStr">
        <is>
          <t>paid</t>
        </is>
      </c>
      <c r="BF72" t="inlineStr">
        <is>
          <t>Q2-W03</t>
        </is>
      </c>
      <c r="BG72" t="inlineStr">
        <is>
          <t>Reschedule</t>
        </is>
      </c>
      <c r="BH72" t="inlineStr">
        <is>
          <t>Fauziah Maharan</t>
        </is>
      </c>
      <c r="BI72"/>
      <c r="BJ72" s="4">
        <v>46144.75430555556</v>
      </c>
      <c r="BK72" s="4">
        <v>46132.499768518515</v>
      </c>
      <c r="BL72" t="inlineStr">
        <is>
          <t>1296.0</t>
        </is>
      </c>
      <c r="BM72" t="inlineStr">
        <is>
          <t>0.0</t>
        </is>
      </c>
      <c r="BN72" t="inlineStr">
        <is>
          <t>View Candidate Search Page</t>
        </is>
      </c>
      <c r="BO72" s="4">
        <v>46143.964791666665</v>
      </c>
      <c r="BP72">
        <v>169066</v>
      </c>
      <c r="BQ72">
        <v>94556</v>
      </c>
      <c r="BR72" t="inlineStr">
        <is>
          <t>Online</t>
        </is>
      </c>
      <c r="BS72"/>
      <c r="BT72">
        <v>94556</v>
      </c>
      <c r="BU72"/>
      <c r="BV72">
        <v>2730726</v>
      </c>
      <c r="BW72" t="inlineStr">
        <is>
          <t>Customer Inquiry</t>
        </is>
      </c>
      <c r="BX72">
        <v>1</v>
      </c>
      <c r="BY72">
        <v>0</v>
      </c>
      <c r="BZ72" s="4">
        <v>46134.59840277778</v>
      </c>
      <c r="CA72">
        <v>23</v>
      </c>
      <c r="CB72">
        <v>21</v>
      </c>
      <c r="CC72" s="4">
        <v>46136.72141203703</v>
      </c>
      <c r="CD72" t="inlineStr">
        <is>
          <t>20</t>
        </is>
      </c>
      <c r="CE72" t="inlineStr">
        <is>
          <t>0</t>
        </is>
      </c>
      <c r="CF72" t="inlineStr">
        <is>
          <t>Q2-W04</t>
        </is>
      </c>
      <c r="CG72" t="inlineStr">
        <is>
          <t>Q2-W03</t>
        </is>
      </c>
      <c r="CH72" t="inlineStr">
        <is>
          <t>Q2-W03</t>
        </is>
      </c>
      <c r="CI72"/>
      <c r="CJ72" t="inlineStr">
        <is>
          <t>Paid</t>
        </is>
      </c>
      <c r="CK72" t="inlineStr">
        <is>
          <t>Not Eligible</t>
        </is>
      </c>
      <c r="CL72"/>
      <c r="CM72"/>
    </row>
    <row r="73" ht="25.5" customHeight="1">
      <c r="A73" t="inlineStr">
        <is>
          <t>127493</t>
        </is>
      </c>
      <c r="B73" s="2"/>
      <c r="C73"/>
      <c r="D73" s="3">
        <v>46139.65503472222</v>
      </c>
      <c r="E73" t="inlineStr">
        <is>
          <t>Q2-W04</t>
        </is>
      </c>
      <c r="F73" t="inlineStr">
        <is>
          <t>Angel  Low</t>
        </is>
      </c>
      <c r="G73" t="inlineStr">
        <is>
          <t>Customer</t>
        </is>
      </c>
      <c r="H73" s="2" t="str">
        <f>=HYPERLINK("https://upbox.ajobthing.my/customer/127493", "https://upbox.ajobthing.my/customer/127493")</f>
        <v>https://upbox.ajobthing.my/customer/127493</v>
      </c>
      <c r="I73" t="inlineStr">
        <is>
          <t>Lau Chin Guan</t>
        </is>
      </c>
      <c r="J73" t="inlineStr">
        <is>
          <t>Dolphin</t>
        </is>
      </c>
      <c r="K73" t="inlineStr">
        <is>
          <t>Angel Low</t>
        </is>
      </c>
      <c r="L73" s="4"/>
      <c r="M73" s="4">
        <v>46139.655694444446</v>
      </c>
      <c r="N73"/>
      <c r="O73">
        <v>5832</v>
      </c>
      <c r="P73" s="4"/>
      <c r="Q73" s="4">
        <v>45300.578935185185</v>
      </c>
      <c r="R73"/>
      <c r="S73">
        <v>2968</v>
      </c>
      <c r="T73" s="4"/>
      <c r="U73" s="4"/>
      <c r="V73"/>
      <c r="W73"/>
      <c r="X73"/>
      <c r="Y73" t="inlineStr">
        <is>
          <t>Pending Appointment</t>
        </is>
      </c>
      <c r="Z73"/>
      <c r="AA73">
        <v>1</v>
      </c>
      <c r="AB73" t="inlineStr">
        <is>
          <t>No Appointment Made</t>
        </is>
      </c>
      <c r="AC73"/>
      <c r="AD73" t="inlineStr">
        <is>
          <t xml:space="preserve">insurance agent </t>
        </is>
      </c>
      <c r="AE73"/>
      <c r="AF73"/>
      <c r="AG73" s="4"/>
      <c r="AH73" s="4"/>
      <c r="AI73"/>
      <c r="AJ73"/>
      <c r="AK73"/>
      <c r="AL73"/>
      <c r="AM73"/>
      <c r="AN73"/>
      <c r="AO73"/>
      <c r="AP73"/>
      <c r="AQ73"/>
      <c r="AR73"/>
      <c r="AS73" t="inlineStr">
        <is>
          <t>- Headcount: 1
- Hiring Job Details: insurance agent
- Number of outlets: N/A
- Have recruiter team: N/A
- Number of recruiter in company: N/A
- Have ATS system: N/A
- Have career website: N/A
- Current hiring budget: N/A
- Whole year budget: N/A
- Whole year number of vacancies: N/A
- Hiring frequency: N/A
- External job portal: N/A
- Hiring Urgency: N/A</t>
        </is>
      </c>
      <c r="AT73">
        <v>60</v>
      </c>
      <c r="AU73" t="inlineStr">
        <is>
          <t>0.60</t>
        </is>
      </c>
      <c r="AV73" t="inlineStr">
        <is>
          <t>5</t>
        </is>
      </c>
      <c r="AW73" t="inlineStr">
        <is>
          <t>0</t>
        </is>
      </c>
      <c r="AX73" t="inlineStr">
        <is>
          <t>Not Qualified</t>
        </is>
      </c>
      <c r="AY73" s="4"/>
      <c r="AZ73"/>
      <c r="BA73"/>
      <c r="BB73"/>
      <c r="BC73" t="inlineStr">
        <is>
          <t>- Headcount: 1
- Hiring Job Details: insurance agent
- Number of outlets: N/A
- Have recruiter team: N/A
- Number of recruiter in company: N/A
- Have ATS system: N/A
- Have career website: N/A
- Current hiring budget: N/A
- Whole year budget: N/A
- Whole year number of vacancies: N/A
- Hiring frequency: N/A
- External job portal: N/A
- Hiring Urgency: N/A</t>
        </is>
      </c>
      <c r="BD73" s="4">
        <v>46139.66684027778</v>
      </c>
      <c r="BE73" t="inlineStr">
        <is>
          <t>pending</t>
        </is>
      </c>
      <c r="BF73"/>
      <c r="BG73" t="inlineStr">
        <is>
          <t>Reschedule</t>
        </is>
      </c>
      <c r="BH73" t="inlineStr">
        <is>
          <t>Fauziah Maharan</t>
        </is>
      </c>
      <c r="BI73" t="inlineStr">
        <is>
          <t>Insurance</t>
        </is>
      </c>
      <c r="BJ73" s="4">
        <v>46144.750393518516</v>
      </c>
      <c r="BK73" s="4">
        <v>44025.564050925925</v>
      </c>
      <c r="BL73" t="inlineStr">
        <is>
          <t>0.0</t>
        </is>
      </c>
      <c r="BM73" t="inlineStr">
        <is>
          <t>0.0</t>
        </is>
      </c>
      <c r="BN73" t="inlineStr">
        <is>
          <t>View Candidate Search Page</t>
        </is>
      </c>
      <c r="BO73" s="4">
        <v>45879.506203703706</v>
      </c>
      <c r="BP73">
        <v>169071</v>
      </c>
      <c r="BQ73">
        <v>84576</v>
      </c>
      <c r="BR73" t="inlineStr">
        <is>
          <t>Proforma</t>
        </is>
      </c>
      <c r="BS73" t="inlineStr">
        <is>
          <t>Startup Package - Instant Job Slot Christmas Promo</t>
        </is>
      </c>
      <c r="BT73"/>
      <c r="BU73"/>
      <c r="BV73">
        <v>2730729</v>
      </c>
      <c r="BW73" t="inlineStr">
        <is>
          <t>Customer Inquiry</t>
        </is>
      </c>
      <c r="BX73"/>
      <c r="BY73"/>
      <c r="BZ73" s="4"/>
      <c r="CA73"/>
      <c r="CB73"/>
      <c r="CC73" s="4"/>
      <c r="CD73" t="inlineStr">
        <is>
          <t>5</t>
        </is>
      </c>
      <c r="CE73" t="inlineStr">
        <is>
          <t>0</t>
        </is>
      </c>
      <c r="CF73" t="inlineStr">
        <is>
          <t>Q2-W04</t>
        </is>
      </c>
      <c r="CG73"/>
      <c r="CH73"/>
      <c r="CI73"/>
      <c r="CJ73" t="inlineStr">
        <is>
          <t>No Paid</t>
        </is>
      </c>
      <c r="CK73" t="inlineStr">
        <is>
          <t>Not Eligible</t>
        </is>
      </c>
      <c r="CL73"/>
      <c r="CM73"/>
    </row>
    <row r="74" ht="25.5" customHeight="1">
      <c r="A74" t="inlineStr">
        <is>
          <t>203568</t>
        </is>
      </c>
      <c r="B74" s="2"/>
      <c r="C74"/>
      <c r="D74" s="3">
        <v>46139.65584490741</v>
      </c>
      <c r="E74" t="inlineStr">
        <is>
          <t>Q2-W04</t>
        </is>
      </c>
      <c r="F74" t="inlineStr">
        <is>
          <t>Carmen</t>
        </is>
      </c>
      <c r="G74" t="inlineStr">
        <is>
          <t>Customer</t>
        </is>
      </c>
      <c r="H74" s="2" t="str">
        <f>=HYPERLINK("https://upbox.ajobthing.my/customer/203568", "https://upbox.ajobthing.my/customer/203568")</f>
        <v>https://upbox.ajobthing.my/customer/203568</v>
      </c>
      <c r="I74" t="inlineStr">
        <is>
          <t>TRENDY BRAND HUB SDN. BHD.</t>
        </is>
      </c>
      <c r="J74" t="inlineStr">
        <is>
          <t>Dolphin</t>
        </is>
      </c>
      <c r="K74" t="inlineStr">
        <is>
          <t>Carmen</t>
        </is>
      </c>
      <c r="L74" s="4"/>
      <c r="M74" s="4">
        <v>46135.1640162037</v>
      </c>
      <c r="N74"/>
      <c r="O74"/>
      <c r="P74" s="4"/>
      <c r="Q74" s="4">
        <v>46139.679456018515</v>
      </c>
      <c r="R74"/>
      <c r="S74">
        <v>3888</v>
      </c>
      <c r="T74" s="4">
        <v>46139.679456018515</v>
      </c>
      <c r="U74" s="4"/>
      <c r="V74"/>
      <c r="W74">
        <v>3888</v>
      </c>
      <c r="X74"/>
      <c r="Y74" t="inlineStr">
        <is>
          <t>Pending Appointment</t>
        </is>
      </c>
      <c r="Z74" t="inlineStr">
        <is>
          <t>Hiring Now</t>
        </is>
      </c>
      <c r="AA74">
        <v>4</v>
      </c>
      <c r="AB74" t="inlineStr">
        <is>
          <t>No Appointment Made</t>
        </is>
      </c>
      <c r="AC74"/>
      <c r="AD74" t="inlineStr">
        <is>
          <t xml:space="preserve"> 4 positions include HQ and Retail</t>
        </is>
      </c>
      <c r="AE74"/>
      <c r="AF74">
        <v>3888</v>
      </c>
      <c r="AG74" s="4"/>
      <c r="AH74" s="4"/>
      <c r="AI74"/>
      <c r="AJ74"/>
      <c r="AK74" t="inlineStr">
        <is>
          <t>Yes, I have</t>
        </is>
      </c>
      <c r="AL74"/>
      <c r="AM74"/>
      <c r="AN74"/>
      <c r="AO74"/>
      <c r="AP74" t="inlineStr">
        <is>
          <t>Once a year (25%)</t>
        </is>
      </c>
      <c r="AQ74"/>
      <c r="AR74"/>
      <c r="AS74" t="inlineStr">
        <is>
          <t>- Headcount: 4
- Hiring Job Details: 4 positions include HQ and Retail
- Hiring Urgency: Hiring Now
- Number of outlets: N/A
- Have recruiter team: Yes
- Number of recruiter in company: N/A
- Have ATS system: N/A
- Have career website: N/A
- Current hiring budget: RM3,888.00
- Whole year budget: N/A
- Whole year number of vacancies: N/A
- Hiring frequency: Once a year (25%)
- External job portal: N/A</t>
        </is>
      </c>
      <c r="AT74">
        <v>45</v>
      </c>
      <c r="AU74" t="inlineStr">
        <is>
          <t>0.45</t>
        </is>
      </c>
      <c r="AV74" t="inlineStr">
        <is>
          <t>15</t>
        </is>
      </c>
      <c r="AW74" t="inlineStr">
        <is>
          <t>0</t>
        </is>
      </c>
      <c r="AX74" t="inlineStr">
        <is>
          <t>Not Qualified</t>
        </is>
      </c>
      <c r="AY74" s="4"/>
      <c r="AZ74"/>
      <c r="BA74"/>
      <c r="BB74"/>
      <c r="BC74" t="inlineStr">
        <is>
          <t>guide her to post job</t>
        </is>
      </c>
      <c r="BD74" s="4">
        <v>46140.42017361111</v>
      </c>
      <c r="BE74" t="inlineStr">
        <is>
          <t>paid</t>
        </is>
      </c>
      <c r="BF74" t="inlineStr">
        <is>
          <t>Q2-W04</t>
        </is>
      </c>
      <c r="BG74" t="inlineStr">
        <is>
          <t>Reschedule</t>
        </is>
      </c>
      <c r="BH74" t="inlineStr">
        <is>
          <t>Reagen</t>
        </is>
      </c>
      <c r="BI74" t="inlineStr">
        <is>
          <t>General / Wholesale Trading</t>
        </is>
      </c>
      <c r="BJ74" s="4">
        <v>46144.75435185185</v>
      </c>
      <c r="BK74" s="4">
        <v>46135.49728009259</v>
      </c>
      <c r="BL74" t="inlineStr">
        <is>
          <t>3888.0</t>
        </is>
      </c>
      <c r="BM74" t="inlineStr">
        <is>
          <t>0.0</t>
        </is>
      </c>
      <c r="BN74" t="inlineStr">
        <is>
          <t>View Company Page</t>
        </is>
      </c>
      <c r="BO74" s="4">
        <v>46142.675983796296</v>
      </c>
      <c r="BP74">
        <v>168507</v>
      </c>
      <c r="BQ74">
        <v>94818</v>
      </c>
      <c r="BR74" t="inlineStr">
        <is>
          <t>Online</t>
        </is>
      </c>
      <c r="BS74"/>
      <c r="BT74">
        <v>94818</v>
      </c>
      <c r="BU74"/>
      <c r="BV74">
        <v>2731766</v>
      </c>
      <c r="BW74" t="inlineStr">
        <is>
          <t>Service / Technical : Help To Post Job</t>
        </is>
      </c>
      <c r="BX74">
        <v>8</v>
      </c>
      <c r="BY74">
        <v>4</v>
      </c>
      <c r="BZ74" s="4">
        <v>46141.4678587963</v>
      </c>
      <c r="CA74">
        <v>60</v>
      </c>
      <c r="CB74">
        <v>60</v>
      </c>
      <c r="CC74" s="4"/>
      <c r="CD74" t="inlineStr">
        <is>
          <t>20</t>
        </is>
      </c>
      <c r="CE74" t="inlineStr">
        <is>
          <t>0</t>
        </is>
      </c>
      <c r="CF74" t="inlineStr">
        <is>
          <t>Q2-W03</t>
        </is>
      </c>
      <c r="CG74" t="inlineStr">
        <is>
          <t>Q2-W04</t>
        </is>
      </c>
      <c r="CH74" t="inlineStr">
        <is>
          <t>Q2-W04</t>
        </is>
      </c>
      <c r="CI74"/>
      <c r="CJ74" t="inlineStr">
        <is>
          <t>Paid</t>
        </is>
      </c>
      <c r="CK74" t="inlineStr">
        <is>
          <t>Not Eligible</t>
        </is>
      </c>
      <c r="CL74"/>
      <c r="CM74"/>
    </row>
    <row r="75" ht="25.5" customHeight="1">
      <c r="A75" t="inlineStr">
        <is>
          <t>203709</t>
        </is>
      </c>
      <c r="B75" s="2"/>
      <c r="C75"/>
      <c r="D75" s="3">
        <v>46139.65864583333</v>
      </c>
      <c r="E75" t="inlineStr">
        <is>
          <t>Q2-W04</t>
        </is>
      </c>
      <c r="F75" t="inlineStr">
        <is>
          <t>Evan</t>
        </is>
      </c>
      <c r="G75" t="inlineStr">
        <is>
          <t>Customer</t>
        </is>
      </c>
      <c r="H75" s="2" t="str">
        <f>=HYPERLINK("https://upbox.ajobthing.my/customer/203709", "https://upbox.ajobthing.my/customer/203709")</f>
        <v>https://upbox.ajobthing.my/customer/203709</v>
      </c>
      <c r="I75" t="inlineStr">
        <is>
          <t>RESTORAN SRI TASIK UTAMA</t>
        </is>
      </c>
      <c r="J75" t="inlineStr">
        <is>
          <t>Dolphin</t>
        </is>
      </c>
      <c r="K75" t="inlineStr">
        <is>
          <t>Evan</t>
        </is>
      </c>
      <c r="L75" s="4"/>
      <c r="M75" s="4">
        <v>46139.65760416666</v>
      </c>
      <c r="N75"/>
      <c r="O75">
        <v>6048</v>
      </c>
      <c r="P75" s="4"/>
      <c r="Q75" s="4"/>
      <c r="R75"/>
      <c r="S75"/>
      <c r="T75" s="4"/>
      <c r="U75" s="4"/>
      <c r="V75"/>
      <c r="W75"/>
      <c r="X75"/>
      <c r="Y75" t="inlineStr">
        <is>
          <t>Pending Appointment</t>
        </is>
      </c>
      <c r="Z75" t="inlineStr">
        <is>
          <t>Hiring Now</t>
        </is>
      </c>
      <c r="AA75">
        <v>1</v>
      </c>
      <c r="AB75" t="inlineStr">
        <is>
          <t>No Appointment Made</t>
        </is>
      </c>
      <c r="AC75"/>
      <c r="AD75" t="inlineStr">
        <is>
          <t>1 chef, all base in melaka</t>
        </is>
      </c>
      <c r="AE75"/>
      <c r="AF75">
        <v>1</v>
      </c>
      <c r="AG75" s="4"/>
      <c r="AH75" s="4"/>
      <c r="AI75">
        <v>1</v>
      </c>
      <c r="AJ75">
        <v>1</v>
      </c>
      <c r="AK75" t="inlineStr">
        <is>
          <t>No, I don't need at all</t>
        </is>
      </c>
      <c r="AL75">
        <v>0</v>
      </c>
      <c r="AM75" t="inlineStr">
        <is>
          <t>No, I don't need at all</t>
        </is>
      </c>
      <c r="AN75"/>
      <c r="AO75" t="inlineStr">
        <is>
          <t>No, I don't need at all</t>
        </is>
      </c>
      <c r="AP75" t="inlineStr">
        <is>
          <t>Once a year (25%)</t>
        </is>
      </c>
      <c r="AQ75">
        <v>1</v>
      </c>
      <c r="AR75" t="inlineStr">
        <is>
          <t>Did not use any job portal</t>
        </is>
      </c>
      <c r="AS75" t="inlineStr">
        <is>
          <t>- Headcount: 1
- Hiring Job Details: 1 chef, all based in Melaka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75">
        <v>115</v>
      </c>
      <c r="AU75" t="inlineStr">
        <is>
          <t>1.15</t>
        </is>
      </c>
      <c r="AV75" t="inlineStr">
        <is>
          <t>15</t>
        </is>
      </c>
      <c r="AW75" t="inlineStr">
        <is>
          <t>0</t>
        </is>
      </c>
      <c r="AX75" t="inlineStr">
        <is>
          <t>Not Qualified</t>
        </is>
      </c>
      <c r="AY75" s="4"/>
      <c r="AZ75"/>
      <c r="BA75"/>
      <c r="BB75"/>
      <c r="BC75" t="inlineStr">
        <is>
          <t>- Headcount: 1
- Hiring Job Details: 1 chef, all based in Melaka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75" s="4">
        <v>46139.66684027778</v>
      </c>
      <c r="BE75"/>
      <c r="BF75"/>
      <c r="BG75" t="inlineStr">
        <is>
          <t>Reschedule</t>
        </is>
      </c>
      <c r="BH75" t="inlineStr">
        <is>
          <t>Edward Hoo</t>
        </is>
      </c>
      <c r="BI75"/>
      <c r="BJ75" s="4">
        <v>46144.75436342593</v>
      </c>
      <c r="BK75" s="4">
        <v>46139.6349537037</v>
      </c>
      <c r="BL75" t="inlineStr">
        <is>
          <t>0.0</t>
        </is>
      </c>
      <c r="BM75" t="inlineStr">
        <is>
          <t>0.0</t>
        </is>
      </c>
      <c r="BN75" t="inlineStr">
        <is>
          <t>View Create Job Page V4</t>
        </is>
      </c>
      <c r="BO75" s="4">
        <v>46139.64861111111</v>
      </c>
      <c r="BP75">
        <v>169073</v>
      </c>
      <c r="BQ75"/>
      <c r="BR75"/>
      <c r="BS75"/>
      <c r="BT75"/>
      <c r="BU75"/>
      <c r="BV75">
        <v>2730731</v>
      </c>
      <c r="BW75" t="inlineStr">
        <is>
          <t>Customer Inquiry</t>
        </is>
      </c>
      <c r="BX75"/>
      <c r="BY75"/>
      <c r="BZ75" s="4"/>
      <c r="CA75"/>
      <c r="CB75"/>
      <c r="CC75" s="4"/>
      <c r="CD75" t="inlineStr">
        <is>
          <t>20</t>
        </is>
      </c>
      <c r="CE75" t="inlineStr">
        <is>
          <t>0</t>
        </is>
      </c>
      <c r="CF75" t="inlineStr">
        <is>
          <t>Q2-W04</t>
        </is>
      </c>
      <c r="CG75"/>
      <c r="CH75"/>
      <c r="CI75"/>
      <c r="CJ75" t="inlineStr">
        <is>
          <t>No Paid</t>
        </is>
      </c>
      <c r="CK75" t="inlineStr">
        <is>
          <t>Not Eligible</t>
        </is>
      </c>
      <c r="CL75"/>
      <c r="CM75"/>
    </row>
    <row r="76" ht="25.5" customHeight="1">
      <c r="A76" t="inlineStr">
        <is>
          <t>4328318</t>
        </is>
      </c>
      <c r="B76" s="2"/>
      <c r="C76"/>
      <c r="D76" s="3">
        <v>46139.663298611114</v>
      </c>
      <c r="E76" t="inlineStr">
        <is>
          <t>Q2-W04</t>
        </is>
      </c>
      <c r="F76" t="inlineStr">
        <is>
          <t>Lucas</t>
        </is>
      </c>
      <c r="G76" t="inlineStr">
        <is>
          <t>Lead</t>
        </is>
      </c>
      <c r="H76" s="2" t="str">
        <f>=HYPERLINK("https://upbox.ajobthing.my/leads/4328318", "https://upbox.ajobthing.my/leads/4328318")</f>
        <v>https://upbox.ajobthing.my/leads/4328318</v>
      </c>
      <c r="I76" t="inlineStr">
        <is>
          <t>FINCORE</t>
        </is>
      </c>
      <c r="J76" t="inlineStr">
        <is>
          <t>Dolphin</t>
        </is>
      </c>
      <c r="K76" t="inlineStr">
        <is>
          <t>Lucas</t>
        </is>
      </c>
      <c r="L76" s="4"/>
      <c r="M76" s="4">
        <v>46139.661574074074</v>
      </c>
      <c r="N76"/>
      <c r="O76">
        <v>3888</v>
      </c>
      <c r="P76" s="4"/>
      <c r="Q76" s="4"/>
      <c r="R76"/>
      <c r="S76"/>
      <c r="T76" s="4"/>
      <c r="U76" s="4"/>
      <c r="V76"/>
      <c r="W76"/>
      <c r="X76"/>
      <c r="Y76" t="inlineStr">
        <is>
          <t>Pending Appointment</t>
        </is>
      </c>
      <c r="Z76" t="inlineStr">
        <is>
          <t>Hiring Now</t>
        </is>
      </c>
      <c r="AA76">
        <v>10</v>
      </c>
      <c r="AB76" t="inlineStr">
        <is>
          <t>No Appointment Made</t>
        </is>
      </c>
      <c r="AC76"/>
      <c r="AD76" t="inlineStr">
        <is>
          <t>10 telemarketer</t>
        </is>
      </c>
      <c r="AE76"/>
      <c r="AF76">
        <v>0</v>
      </c>
      <c r="AG76" s="4"/>
      <c r="AH76" s="4"/>
      <c r="AI76">
        <v>0</v>
      </c>
      <c r="AJ76"/>
      <c r="AK76" t="inlineStr">
        <is>
          <t>No, I don't need at all</t>
        </is>
      </c>
      <c r="AL76">
        <v>0</v>
      </c>
      <c r="AM76" t="inlineStr">
        <is>
          <t>No, I don't need at all</t>
        </is>
      </c>
      <c r="AN76"/>
      <c r="AO76" t="inlineStr">
        <is>
          <t>No, I don't need at all</t>
        </is>
      </c>
      <c r="AP76" t="inlineStr">
        <is>
          <t>Once a year (25%)</t>
        </is>
      </c>
      <c r="AQ76">
        <v>10</v>
      </c>
      <c r="AR76" t="inlineStr">
        <is>
          <t>Did not use any job portal</t>
        </is>
      </c>
      <c r="AS76" t="inlineStr">
        <is>
          <t>- Headcount: 10
- Hiring Job Details: 10 telemarketer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10
- Hiring frequency: Once a year (25%)
- External job portal: Did not use any job portal</t>
        </is>
      </c>
      <c r="AT76">
        <v>110</v>
      </c>
      <c r="AU76" t="inlineStr">
        <is>
          <t>1.10</t>
        </is>
      </c>
      <c r="AV76" t="inlineStr">
        <is>
          <t>20</t>
        </is>
      </c>
      <c r="AW76" t="inlineStr">
        <is>
          <t>0</t>
        </is>
      </c>
      <c r="AX76" t="inlineStr">
        <is>
          <t>Not Qualified</t>
        </is>
      </c>
      <c r="AY76" s="4"/>
      <c r="AZ76"/>
      <c r="BA76"/>
      <c r="BB76"/>
      <c r="BC76"/>
      <c r="BD76" s="4"/>
      <c r="BE76"/>
      <c r="BF76"/>
      <c r="BG76" t="inlineStr">
        <is>
          <t>Reschedule</t>
        </is>
      </c>
      <c r="BH76" t="inlineStr">
        <is>
          <t>Yee Hang</t>
        </is>
      </c>
      <c r="BI76"/>
      <c r="BJ76" s="4">
        <v>46144.75592592593</v>
      </c>
      <c r="BK76" s="4">
        <v>46139.64959490741</v>
      </c>
      <c r="BL76" t="inlineStr">
        <is>
          <t>0.0</t>
        </is>
      </c>
      <c r="BM76" t="inlineStr">
        <is>
          <t>0.0</t>
        </is>
      </c>
      <c r="BN76"/>
      <c r="BO76" s="4"/>
      <c r="BP76">
        <v>169076</v>
      </c>
      <c r="BQ76"/>
      <c r="BR76"/>
      <c r="BS76"/>
      <c r="BT76"/>
      <c r="BU76"/>
      <c r="BV76"/>
      <c r="BW76"/>
      <c r="BX76"/>
      <c r="BY76"/>
      <c r="BZ76" s="4"/>
      <c r="CA76"/>
      <c r="CB76"/>
      <c r="CC76" s="4"/>
      <c r="CD76" t="inlineStr">
        <is>
          <t>30</t>
        </is>
      </c>
      <c r="CE76" t="inlineStr">
        <is>
          <t>0</t>
        </is>
      </c>
      <c r="CF76" t="inlineStr">
        <is>
          <t>Q2-W04</t>
        </is>
      </c>
      <c r="CG76"/>
      <c r="CH76"/>
      <c r="CI76"/>
      <c r="CJ76" t="inlineStr">
        <is>
          <t>No Paid</t>
        </is>
      </c>
      <c r="CK76" t="inlineStr">
        <is>
          <t>Eligible</t>
        </is>
      </c>
      <c r="CL76"/>
      <c r="CM76"/>
    </row>
    <row r="77" ht="25.5" customHeight="1">
      <c r="A77" t="inlineStr">
        <is>
          <t>199293</t>
        </is>
      </c>
      <c r="B77" s="2"/>
      <c r="C77"/>
      <c r="D77" s="3">
        <v>46139.669328703705</v>
      </c>
      <c r="E77" t="inlineStr">
        <is>
          <t>Q2-W04</t>
        </is>
      </c>
      <c r="F77" t="inlineStr">
        <is>
          <t>Ken Yi</t>
        </is>
      </c>
      <c r="G77" t="inlineStr">
        <is>
          <t>Customer</t>
        </is>
      </c>
      <c r="H77" s="2" t="str">
        <f>=HYPERLINK("https://upbox.ajobthing.my/customer/199293", "https://upbox.ajobthing.my/customer/199293")</f>
        <v>https://upbox.ajobthing.my/customer/199293</v>
      </c>
      <c r="I77" t="inlineStr">
        <is>
          <t>Green Cold (Malaysia) Sdn Bhd</t>
        </is>
      </c>
      <c r="J77" t="inlineStr">
        <is>
          <t>Dolphin</t>
        </is>
      </c>
      <c r="K77" t="inlineStr">
        <is>
          <t>Kenyi</t>
        </is>
      </c>
      <c r="L77" s="4"/>
      <c r="M77" s="4">
        <v>46139.6784837963</v>
      </c>
      <c r="N77"/>
      <c r="O77">
        <v>10800</v>
      </c>
      <c r="P77" s="4"/>
      <c r="Q77" s="4">
        <v>46036.65369212963</v>
      </c>
      <c r="R77"/>
      <c r="S77">
        <v>864</v>
      </c>
      <c r="T77" s="4">
        <v>46036.65369212963</v>
      </c>
      <c r="U77" s="4"/>
      <c r="V77"/>
      <c r="W77">
        <v>864</v>
      </c>
      <c r="X77"/>
      <c r="Y77" t="inlineStr">
        <is>
          <t>Pending Appointment</t>
        </is>
      </c>
      <c r="Z77" t="inlineStr">
        <is>
          <t>Hiring Now</t>
        </is>
      </c>
      <c r="AA77">
        <v>1</v>
      </c>
      <c r="AB77" t="inlineStr">
        <is>
          <t>No Appointment Made</t>
        </is>
      </c>
      <c r="AC77"/>
      <c r="AD77" t="inlineStr">
        <is>
          <t>Hiring Project Manager for indonesia Market</t>
        </is>
      </c>
      <c r="AE77"/>
      <c r="AF77">
        <v>0</v>
      </c>
      <c r="AG77" s="4"/>
      <c r="AH77" s="4"/>
      <c r="AI77">
        <v>5000</v>
      </c>
      <c r="AJ77">
        <v>4</v>
      </c>
      <c r="AK77" t="inlineStr">
        <is>
          <t>Yes, I have</t>
        </is>
      </c>
      <c r="AL77">
        <v>1</v>
      </c>
      <c r="AM77" t="inlineStr">
        <is>
          <t>No, I don't need at all</t>
        </is>
      </c>
      <c r="AN77"/>
      <c r="AO77" t="inlineStr">
        <is>
          <t>No, I don't need at all</t>
        </is>
      </c>
      <c r="AP77" t="inlineStr">
        <is>
          <t>Every month (100%)</t>
        </is>
      </c>
      <c r="AQ77">
        <v>10</v>
      </c>
      <c r="AR77" t="inlineStr">
        <is>
          <t>Jobstreet, Free Job Portal</t>
        </is>
      </c>
      <c r="AS77" t="inlineStr">
        <is>
          <t>- Headcount: 1
- Hiring Job Details: 1 Project Manager for Indonesia Market
- Hiring Urgency: Hiring Now
- Number of outlets: 4
- Have recruiter team: Yes
- Number of recruiter in company: 1
- Have ATS system: No, I don't need at all
- Have career website: No, I don't need at all
- Current hiring budget: RM0.00
- Whole year budget: RM5,000.00
- Whole year number of vacancies: 10
- Hiring frequency: Every month (100%)
- External job portal: Jobstreet, Free Job Portal</t>
        </is>
      </c>
      <c r="AT77">
        <v>115</v>
      </c>
      <c r="AU77" t="inlineStr">
        <is>
          <t>1.15</t>
        </is>
      </c>
      <c r="AV77" t="inlineStr">
        <is>
          <t>15</t>
        </is>
      </c>
      <c r="AW77" t="inlineStr">
        <is>
          <t>0</t>
        </is>
      </c>
      <c r="AX77" t="inlineStr">
        <is>
          <t>Not Qualified</t>
        </is>
      </c>
      <c r="AY77" s="4"/>
      <c r="AZ77"/>
      <c r="BA77"/>
      <c r="BB77"/>
      <c r="BC77" t="inlineStr">
        <is>
          <t>- Headcount: 1
- Hiring Job Details: 1 Project Manager for Indonesia Market
- Hiring Urgency: Hiring Now
- Number of outlets: 4
- Have recruiter team: Yes
- Number of recruiter in company: 1
- Have ATS system: No, I don't need at all
- Have career website: No, I don't need at all
- Current hiring budget: RM0.00
- Whole year budget: RM5,000.00
- Whole year number of vacancies: 10
- Hiring frequency: Every month (100%)
- External job portal: Jobstreet, Free Job Portal</t>
        </is>
      </c>
      <c r="BD77" s="4">
        <v>46139.70836805556</v>
      </c>
      <c r="BE77" t="inlineStr">
        <is>
          <t>paid</t>
        </is>
      </c>
      <c r="BF77" t="inlineStr">
        <is>
          <t>Q1-W02</t>
        </is>
      </c>
      <c r="BG77" t="inlineStr">
        <is>
          <t>Reschedule</t>
        </is>
      </c>
      <c r="BH77" t="inlineStr">
        <is>
          <t>Fauziah Maharan</t>
        </is>
      </c>
      <c r="BI77" t="inlineStr">
        <is>
          <t>Engineering / Technical Consulting</t>
        </is>
      </c>
      <c r="BJ77" s="4">
        <v>46144.753275462965</v>
      </c>
      <c r="BK77" s="4">
        <v>46002.588275462964</v>
      </c>
      <c r="BL77" t="inlineStr">
        <is>
          <t>864.0</t>
        </is>
      </c>
      <c r="BM77" t="inlineStr">
        <is>
          <t>1200.0</t>
        </is>
      </c>
      <c r="BN77" t="inlineStr">
        <is>
          <t>View Jobmanager Page</t>
        </is>
      </c>
      <c r="BO77" s="4">
        <v>46090.643113425926</v>
      </c>
      <c r="BP77">
        <v>169081</v>
      </c>
      <c r="BQ77">
        <v>85586</v>
      </c>
      <c r="BR77" t="inlineStr">
        <is>
          <t>Online</t>
        </is>
      </c>
      <c r="BS77"/>
      <c r="BT77">
        <v>85586</v>
      </c>
      <c r="BU77"/>
      <c r="BV77">
        <v>2731346</v>
      </c>
      <c r="BW77" t="inlineStr">
        <is>
          <t>Customer Inquiry</t>
        </is>
      </c>
      <c r="BX77"/>
      <c r="BY77"/>
      <c r="BZ77" s="4"/>
      <c r="CA77"/>
      <c r="CB77"/>
      <c r="CC77" s="4"/>
      <c r="CD77" t="inlineStr">
        <is>
          <t>20</t>
        </is>
      </c>
      <c r="CE77" t="inlineStr">
        <is>
          <t>0</t>
        </is>
      </c>
      <c r="CF77" t="inlineStr">
        <is>
          <t>Q2-W04</t>
        </is>
      </c>
      <c r="CG77" t="inlineStr">
        <is>
          <t>Q1-W02</t>
        </is>
      </c>
      <c r="CH77" t="inlineStr">
        <is>
          <t>Q1-W02</t>
        </is>
      </c>
      <c r="CI77"/>
      <c r="CJ77" t="inlineStr">
        <is>
          <t>Paid</t>
        </is>
      </c>
      <c r="CK77" t="inlineStr">
        <is>
          <t>Not Eligible</t>
        </is>
      </c>
      <c r="CL77"/>
      <c r="CM77"/>
    </row>
    <row r="78" ht="25.5" customHeight="1">
      <c r="A78" t="inlineStr">
        <is>
          <t>153146</t>
        </is>
      </c>
      <c r="B78" s="2"/>
      <c r="C78"/>
      <c r="D78" s="3">
        <v>46139.66972222222</v>
      </c>
      <c r="E78" t="inlineStr">
        <is>
          <t>Q2-W04</t>
        </is>
      </c>
      <c r="F78" t="inlineStr">
        <is>
          <t>Josh</t>
        </is>
      </c>
      <c r="G78" t="inlineStr">
        <is>
          <t>Customer</t>
        </is>
      </c>
      <c r="H78" s="2" t="str">
        <f>=HYPERLINK("https://upbox.ajobthing.my/customer/153146", "https://upbox.ajobthing.my/customer/153146")</f>
        <v>https://upbox.ajobthing.my/customer/153146</v>
      </c>
      <c r="I78" t="inlineStr">
        <is>
          <t>Infofish</t>
        </is>
      </c>
      <c r="J78" t="inlineStr">
        <is>
          <t>Dolphin</t>
        </is>
      </c>
      <c r="K78" t="inlineStr">
        <is>
          <t>Josh</t>
        </is>
      </c>
      <c r="L78" s="4"/>
      <c r="M78" s="4">
        <v>46139.66984953704</v>
      </c>
      <c r="N78"/>
      <c r="O78">
        <v>864</v>
      </c>
      <c r="P78" s="4"/>
      <c r="Q78" s="4"/>
      <c r="R78"/>
      <c r="S78"/>
      <c r="T78" s="4"/>
      <c r="U78" s="4"/>
      <c r="V78"/>
      <c r="W78"/>
      <c r="X78"/>
      <c r="Y78" t="inlineStr">
        <is>
          <t>Pending Appointment</t>
        </is>
      </c>
      <c r="Z78" t="inlineStr">
        <is>
          <t>Hiring Now</t>
        </is>
      </c>
      <c r="AA78">
        <v>1</v>
      </c>
      <c r="AB78" t="inlineStr">
        <is>
          <t>No Appointment Made</t>
        </is>
      </c>
      <c r="AC78"/>
      <c r="AD78" t="inlineStr">
        <is>
          <t xml:space="preserve">1 IT officer </t>
        </is>
      </c>
      <c r="AE78"/>
      <c r="AF78">
        <v>1000</v>
      </c>
      <c r="AG78" s="4"/>
      <c r="AH78" s="4"/>
      <c r="AI78"/>
      <c r="AJ78"/>
      <c r="AK78" t="inlineStr">
        <is>
          <t>Yes, I have</t>
        </is>
      </c>
      <c r="AL78">
        <v>1</v>
      </c>
      <c r="AM78"/>
      <c r="AN78"/>
      <c r="AO78"/>
      <c r="AP78" t="inlineStr">
        <is>
          <t>Once a year (25%)</t>
        </is>
      </c>
      <c r="AQ78"/>
      <c r="AR78"/>
      <c r="AS78" t="inlineStr">
        <is>
          <t>- Headcount: 1
- Hiring Job Details: 1 IT officer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is>
      </c>
      <c r="AT78">
        <v>95</v>
      </c>
      <c r="AU78" t="inlineStr">
        <is>
          <t>0.95</t>
        </is>
      </c>
      <c r="AV78" t="inlineStr">
        <is>
          <t>15</t>
        </is>
      </c>
      <c r="AW78" t="inlineStr">
        <is>
          <t>0</t>
        </is>
      </c>
      <c r="AX78" t="inlineStr">
        <is>
          <t>Not Qualified</t>
        </is>
      </c>
      <c r="AY78" s="4"/>
      <c r="AZ78"/>
      <c r="BA78"/>
      <c r="BB78"/>
      <c r="BC78" t="inlineStr">
        <is>
          <t>- Headcount: 1
- Hiring Job Details: 1 IT officer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is>
      </c>
      <c r="BD78" s="4">
        <v>46139.70836805556</v>
      </c>
      <c r="BE78"/>
      <c r="BF78"/>
      <c r="BG78" t="inlineStr">
        <is>
          <t>Reschedule</t>
        </is>
      </c>
      <c r="BH78" t="inlineStr">
        <is>
          <t>Fauziah Maharan</t>
        </is>
      </c>
      <c r="BI78" t="inlineStr">
        <is>
          <t>Agriculture / Poultry / Fisheries</t>
        </is>
      </c>
      <c r="BJ78" s="4">
        <v>46144.7509375</v>
      </c>
      <c r="BK78" s="4">
        <v>44678.49765046296</v>
      </c>
      <c r="BL78" t="inlineStr">
        <is>
          <t>0.0</t>
        </is>
      </c>
      <c r="BM78" t="inlineStr">
        <is>
          <t>0.0</t>
        </is>
      </c>
      <c r="BN78" t="inlineStr">
        <is>
          <t>View Create Job Page</t>
        </is>
      </c>
      <c r="BO78" s="4">
        <v>45006.588321759256</v>
      </c>
      <c r="BP78">
        <v>169078</v>
      </c>
      <c r="BQ78"/>
      <c r="BR78"/>
      <c r="BS78"/>
      <c r="BT78"/>
      <c r="BU78"/>
      <c r="BV78">
        <v>2731347</v>
      </c>
      <c r="BW78" t="inlineStr">
        <is>
          <t>Customer Inquiry</t>
        </is>
      </c>
      <c r="BX78"/>
      <c r="BY78"/>
      <c r="BZ78" s="4"/>
      <c r="CA78"/>
      <c r="CB78"/>
      <c r="CC78" s="4"/>
      <c r="CD78" t="inlineStr">
        <is>
          <t>20</t>
        </is>
      </c>
      <c r="CE78" t="inlineStr">
        <is>
          <t>0</t>
        </is>
      </c>
      <c r="CF78" t="inlineStr">
        <is>
          <t>Q2-W04</t>
        </is>
      </c>
      <c r="CG78"/>
      <c r="CH78"/>
      <c r="CI78"/>
      <c r="CJ78" t="inlineStr">
        <is>
          <t>No Paid</t>
        </is>
      </c>
      <c r="CK78" t="inlineStr">
        <is>
          <t>Not Eligible</t>
        </is>
      </c>
      <c r="CL78"/>
      <c r="CM78"/>
    </row>
    <row r="79" ht="25.5" customHeight="1">
      <c r="A79" t="inlineStr">
        <is>
          <t>157439</t>
        </is>
      </c>
      <c r="B79" s="2"/>
      <c r="C79"/>
      <c r="D79" s="3">
        <v>46139.68074074074</v>
      </c>
      <c r="E79" t="inlineStr">
        <is>
          <t>Q2-W04</t>
        </is>
      </c>
      <c r="F79" t="inlineStr">
        <is>
          <t>Angel  Low</t>
        </is>
      </c>
      <c r="G79" t="inlineStr">
        <is>
          <t>Customer</t>
        </is>
      </c>
      <c r="H79" s="2" t="str">
        <f>=HYPERLINK("https://upbox.ajobthing.my/customer/157439", "https://upbox.ajobthing.my/customer/157439")</f>
        <v>https://upbox.ajobthing.my/customer/157439</v>
      </c>
      <c r="I79" t="inlineStr">
        <is>
          <t>MC-Growth Resources Sdn Bhd</t>
        </is>
      </c>
      <c r="J79" t="inlineStr">
        <is>
          <t>Dolphin</t>
        </is>
      </c>
      <c r="K79" t="inlineStr">
        <is>
          <t>Angel Low</t>
        </is>
      </c>
      <c r="L79" s="4"/>
      <c r="M79" s="4">
        <v>46139.68108796296</v>
      </c>
      <c r="N79"/>
      <c r="O79">
        <v>3672</v>
      </c>
      <c r="P79" s="4"/>
      <c r="Q79" s="4">
        <v>46141.39164351852</v>
      </c>
      <c r="R79"/>
      <c r="S79">
        <v>1296</v>
      </c>
      <c r="T79" s="4">
        <v>46141.39164351852</v>
      </c>
      <c r="U79" s="4"/>
      <c r="V79"/>
      <c r="W79">
        <v>1296</v>
      </c>
      <c r="X79"/>
      <c r="Y79" t="inlineStr">
        <is>
          <t>Pending Appointment</t>
        </is>
      </c>
      <c r="Z79"/>
      <c r="AA79">
        <v>1</v>
      </c>
      <c r="AB79" t="inlineStr">
        <is>
          <t>No Appointment Made</t>
        </is>
      </c>
      <c r="AC79"/>
      <c r="AD79" t="inlineStr">
        <is>
          <t xml:space="preserve">junior account mandarin speaker </t>
        </is>
      </c>
      <c r="AE79"/>
      <c r="AF79"/>
      <c r="AG79" s="4"/>
      <c r="AH79" s="4"/>
      <c r="AI79"/>
      <c r="AJ79"/>
      <c r="AK79"/>
      <c r="AL79"/>
      <c r="AM79"/>
      <c r="AN79"/>
      <c r="AO79"/>
      <c r="AP79"/>
      <c r="AQ79"/>
      <c r="AR79"/>
      <c r="AS79" t="inlineStr">
        <is>
          <t>- Headcount: 1
- Hiring Job Details: junior account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79">
        <v>25</v>
      </c>
      <c r="AU79" t="inlineStr">
        <is>
          <t>0.25</t>
        </is>
      </c>
      <c r="AV79" t="inlineStr">
        <is>
          <t>5</t>
        </is>
      </c>
      <c r="AW79" t="inlineStr">
        <is>
          <t>0</t>
        </is>
      </c>
      <c r="AX79" t="inlineStr">
        <is>
          <t>Not Qualified</t>
        </is>
      </c>
      <c r="AY79" s="4"/>
      <c r="AZ79"/>
      <c r="BA79"/>
      <c r="BB79"/>
      <c r="BC79" t="inlineStr">
        <is>
          <t>leads</t>
        </is>
      </c>
      <c r="BD79" s="4">
        <v>46141.75821759259</v>
      </c>
      <c r="BE79" t="inlineStr">
        <is>
          <t>paid</t>
        </is>
      </c>
      <c r="BF79" t="inlineStr">
        <is>
          <t>Q2-W04</t>
        </is>
      </c>
      <c r="BG79" t="inlineStr">
        <is>
          <t>Reschedule</t>
        </is>
      </c>
      <c r="BH79" t="inlineStr">
        <is>
          <t>Fauziah Maharan</t>
        </is>
      </c>
      <c r="BI79" t="inlineStr">
        <is>
          <t>General / Wholesale Trading</t>
        </is>
      </c>
      <c r="BJ79" s="4">
        <v>46144.75101851852</v>
      </c>
      <c r="BK79" s="4">
        <v>44763.57302083333</v>
      </c>
      <c r="BL79" t="inlineStr">
        <is>
          <t>1296.0</t>
        </is>
      </c>
      <c r="BM79" t="inlineStr">
        <is>
          <t>0.0</t>
        </is>
      </c>
      <c r="BN79" t="inlineStr">
        <is>
          <t>View Company Page</t>
        </is>
      </c>
      <c r="BO79" s="4">
        <v>46144.44950231481</v>
      </c>
      <c r="BP79">
        <v>169082</v>
      </c>
      <c r="BQ79">
        <v>95054</v>
      </c>
      <c r="BR79" t="inlineStr">
        <is>
          <t>Online</t>
        </is>
      </c>
      <c r="BS79"/>
      <c r="BT79">
        <v>95054</v>
      </c>
      <c r="BU79"/>
      <c r="BV79">
        <v>2736349</v>
      </c>
      <c r="BW79" t="inlineStr">
        <is>
          <t>Customer Inquiry</t>
        </is>
      </c>
      <c r="BX79">
        <v>1</v>
      </c>
      <c r="BY79">
        <v>0</v>
      </c>
      <c r="BZ79" s="4">
        <v>46141.42795138889</v>
      </c>
      <c r="CA79">
        <v>10</v>
      </c>
      <c r="CB79">
        <v>9</v>
      </c>
      <c r="CC79" s="4">
        <v>46141.44244212963</v>
      </c>
      <c r="CD79" t="inlineStr">
        <is>
          <t>5</t>
        </is>
      </c>
      <c r="CE79" t="inlineStr">
        <is>
          <t>0</t>
        </is>
      </c>
      <c r="CF79" t="inlineStr">
        <is>
          <t>Q2-W04</t>
        </is>
      </c>
      <c r="CG79" t="inlineStr">
        <is>
          <t>Q2-W04</t>
        </is>
      </c>
      <c r="CH79" t="inlineStr">
        <is>
          <t>Q2-W04</t>
        </is>
      </c>
      <c r="CI79"/>
      <c r="CJ79" t="inlineStr">
        <is>
          <t>Paid</t>
        </is>
      </c>
      <c r="CK79" t="inlineStr">
        <is>
          <t>Not Eligible</t>
        </is>
      </c>
      <c r="CL79"/>
      <c r="CM79"/>
    </row>
    <row r="80" ht="25.5" customHeight="1">
      <c r="A80" t="inlineStr">
        <is>
          <t>165517</t>
        </is>
      </c>
      <c r="B80" s="2"/>
      <c r="C80"/>
      <c r="D80" s="3">
        <v>46139.68133101852</v>
      </c>
      <c r="E80" t="inlineStr">
        <is>
          <t>Q2-W04</t>
        </is>
      </c>
      <c r="F80" t="inlineStr">
        <is>
          <t>Eugene</t>
        </is>
      </c>
      <c r="G80" t="inlineStr">
        <is>
          <t>Customer</t>
        </is>
      </c>
      <c r="H80" s="2" t="str">
        <f>=HYPERLINK("https://upbox.ajobthing.my/customer/165517", "https://upbox.ajobthing.my/customer/165517")</f>
        <v>https://upbox.ajobthing.my/customer/165517</v>
      </c>
      <c r="I80" t="inlineStr">
        <is>
          <t>Fancy Time Trading Sdn Bhd</t>
        </is>
      </c>
      <c r="J80" t="inlineStr">
        <is>
          <t>Dolphin</t>
        </is>
      </c>
      <c r="K80" t="inlineStr">
        <is>
          <t>Eugene</t>
        </is>
      </c>
      <c r="L80" s="4"/>
      <c r="M80" s="4">
        <v>46139.68141203704</v>
      </c>
      <c r="N80"/>
      <c r="O80">
        <v>3888</v>
      </c>
      <c r="P80" s="4"/>
      <c r="Q80" s="4">
        <v>45133.359560185185</v>
      </c>
      <c r="R80"/>
      <c r="S80">
        <v>2374.4</v>
      </c>
      <c r="T80" s="4">
        <v>45133.359560185185</v>
      </c>
      <c r="U80" s="4"/>
      <c r="V80"/>
      <c r="W80">
        <v>2374.4</v>
      </c>
      <c r="X80"/>
      <c r="Y80" t="inlineStr">
        <is>
          <t>Pending Appointment</t>
        </is>
      </c>
      <c r="Z80" t="inlineStr">
        <is>
          <t>Hiring Now</t>
        </is>
      </c>
      <c r="AA80">
        <v>2</v>
      </c>
      <c r="AB80" t="inlineStr">
        <is>
          <t>No Appointment Made</t>
        </is>
      </c>
      <c r="AC80"/>
      <c r="AD80" t="inlineStr">
        <is>
          <t>2 positions, based in KL</t>
        </is>
      </c>
      <c r="AE80"/>
      <c r="AF80">
        <v>3600</v>
      </c>
      <c r="AG80" s="4"/>
      <c r="AH80" s="4"/>
      <c r="AI80">
        <v>3888</v>
      </c>
      <c r="AJ80">
        <v>1</v>
      </c>
      <c r="AK80" t="inlineStr">
        <is>
          <t>No, I don't need at all</t>
        </is>
      </c>
      <c r="AL80">
        <v>1</v>
      </c>
      <c r="AM80" t="inlineStr">
        <is>
          <t>No, I don't need at all</t>
        </is>
      </c>
      <c r="AN80"/>
      <c r="AO80" t="inlineStr">
        <is>
          <t>No, I don't need at all</t>
        </is>
      </c>
      <c r="AP80" t="inlineStr">
        <is>
          <t>Once a year (25%)</t>
        </is>
      </c>
      <c r="AQ80">
        <v>3</v>
      </c>
      <c r="AR80" t="inlineStr">
        <is>
          <t>Free Job Portal</t>
        </is>
      </c>
      <c r="AS80"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RM3,600
- Whole year budget: RM3,888.00
- Whole year number of vacancies: 3
- Hiring frequency: Once a year (25%)
- External job portal: Free Job Portal</t>
        </is>
      </c>
      <c r="AT80">
        <v>75</v>
      </c>
      <c r="AU80" t="inlineStr">
        <is>
          <t>0.75</t>
        </is>
      </c>
      <c r="AV80" t="inlineStr">
        <is>
          <t>15</t>
        </is>
      </c>
      <c r="AW80" t="inlineStr">
        <is>
          <t>0</t>
        </is>
      </c>
      <c r="AX80" t="inlineStr">
        <is>
          <t>Not Qualified</t>
        </is>
      </c>
      <c r="AY80" s="4"/>
      <c r="AZ80"/>
      <c r="BA80"/>
      <c r="BB80"/>
      <c r="BC80" t="inlineStr">
        <is>
          <t>still with JS</t>
        </is>
      </c>
      <c r="BD80" s="4">
        <v>46140.61666666667</v>
      </c>
      <c r="BE80" t="inlineStr">
        <is>
          <t>paid</t>
        </is>
      </c>
      <c r="BF80"/>
      <c r="BG80" t="inlineStr">
        <is>
          <t>Reschedule</t>
        </is>
      </c>
      <c r="BH80" t="inlineStr">
        <is>
          <t>Edward Hoo</t>
        </is>
      </c>
      <c r="BI80" t="inlineStr">
        <is>
          <t>Retail / Merchandise</t>
        </is>
      </c>
      <c r="BJ80" s="4">
        <v>46144.75127314815</v>
      </c>
      <c r="BK80" s="4">
        <v>45004.54684027778</v>
      </c>
      <c r="BL80" t="inlineStr">
        <is>
          <t>0.0</t>
        </is>
      </c>
      <c r="BM80" t="inlineStr">
        <is>
          <t>0.0</t>
        </is>
      </c>
      <c r="BN80" t="inlineStr">
        <is>
          <t>View Company Page</t>
        </is>
      </c>
      <c r="BO80" s="4">
        <v>45511.79666666667</v>
      </c>
      <c r="BP80">
        <v>169085</v>
      </c>
      <c r="BQ80">
        <v>60790</v>
      </c>
      <c r="BR80" t="inlineStr">
        <is>
          <t>Online</t>
        </is>
      </c>
      <c r="BS80"/>
      <c r="BT80">
        <v>60790</v>
      </c>
      <c r="BU80"/>
      <c r="BV80">
        <v>2732856</v>
      </c>
      <c r="BW80" t="inlineStr">
        <is>
          <t>Follow Up : Lost - Free Portal</t>
        </is>
      </c>
      <c r="BX80"/>
      <c r="BY80"/>
      <c r="BZ80" s="4"/>
      <c r="CA80"/>
      <c r="CB80"/>
      <c r="CC80" s="4"/>
      <c r="CD80" t="inlineStr">
        <is>
          <t>20</t>
        </is>
      </c>
      <c r="CE80" t="inlineStr">
        <is>
          <t>0</t>
        </is>
      </c>
      <c r="CF80" t="inlineStr">
        <is>
          <t>Q2-W04</t>
        </is>
      </c>
      <c r="CG80"/>
      <c r="CH80"/>
      <c r="CI80"/>
      <c r="CJ80" t="inlineStr">
        <is>
          <t>Paid</t>
        </is>
      </c>
      <c r="CK80" t="inlineStr">
        <is>
          <t>Not Eligible</t>
        </is>
      </c>
      <c r="CL80"/>
      <c r="CM80"/>
    </row>
    <row r="81" ht="25.5" customHeight="1">
      <c r="A81" t="inlineStr">
        <is>
          <t>195964</t>
        </is>
      </c>
      <c r="B81" s="2"/>
      <c r="C81"/>
      <c r="D81" s="3">
        <v>46139.68152777778</v>
      </c>
      <c r="E81" t="inlineStr">
        <is>
          <t>Q2-W04</t>
        </is>
      </c>
      <c r="F81" t="inlineStr">
        <is>
          <t>Clover</t>
        </is>
      </c>
      <c r="G81" t="inlineStr">
        <is>
          <t>Customer</t>
        </is>
      </c>
      <c r="H81" s="2" t="str">
        <f>=HYPERLINK("https://upbox.ajobthing.my/customer/195964", "https://upbox.ajobthing.my/customer/195964")</f>
        <v>https://upbox.ajobthing.my/customer/195964</v>
      </c>
      <c r="I81" t="inlineStr">
        <is>
          <t>Sette Reps Sdn Bhd</t>
        </is>
      </c>
      <c r="J81" t="inlineStr">
        <is>
          <t>Dolphin</t>
        </is>
      </c>
      <c r="K81" t="inlineStr">
        <is>
          <t>Clover</t>
        </is>
      </c>
      <c r="L81" s="4"/>
      <c r="M81" s="4">
        <v>46139.67847222222</v>
      </c>
      <c r="N81"/>
      <c r="O81">
        <v>3888</v>
      </c>
      <c r="P81" s="4"/>
      <c r="Q81" s="4">
        <v>46066.903969907406</v>
      </c>
      <c r="R81"/>
      <c r="S81">
        <v>0</v>
      </c>
      <c r="T81" s="4">
        <v>46030.655648148146</v>
      </c>
      <c r="U81" s="4"/>
      <c r="V81"/>
      <c r="W81">
        <v>864</v>
      </c>
      <c r="X81"/>
      <c r="Y81" t="inlineStr">
        <is>
          <t>Pending Appointment</t>
        </is>
      </c>
      <c r="Z81" t="inlineStr">
        <is>
          <t>Hiring Later</t>
        </is>
      </c>
      <c r="AA81">
        <v>2</v>
      </c>
      <c r="AB81" t="inlineStr">
        <is>
          <t>No Appointment Made</t>
        </is>
      </c>
      <c r="AC81"/>
      <c r="AD81" t="inlineStr">
        <is>
          <t>Future hiring for sales exec 1-2, all races, maybe jun/july , marketing at bangsar</t>
        </is>
      </c>
      <c r="AE81"/>
      <c r="AF81">
        <v>3000</v>
      </c>
      <c r="AG81" s="4"/>
      <c r="AH81" s="4"/>
      <c r="AI81">
        <v>3000</v>
      </c>
      <c r="AJ81">
        <v>1</v>
      </c>
      <c r="AK81" t="inlineStr">
        <is>
          <t>No, but I want in future</t>
        </is>
      </c>
      <c r="AL81">
        <v>1</v>
      </c>
      <c r="AM81" t="inlineStr">
        <is>
          <t>No, but I want in future</t>
        </is>
      </c>
      <c r="AN81"/>
      <c r="AO81" t="inlineStr">
        <is>
          <t>No, but I want in future</t>
        </is>
      </c>
      <c r="AP81" t="inlineStr">
        <is>
          <t>Twice a year (50%)</t>
        </is>
      </c>
      <c r="AQ81">
        <v>2</v>
      </c>
      <c r="AR81" t="inlineStr">
        <is>
          <t>Did not use any job portal</t>
        </is>
      </c>
      <c r="AS81" t="inlineStr">
        <is>
          <t>- Headcount: 2
- Hiring Job Details: Future hiring for sales exec 1-2 (all races, maybe Jun/July), marketing at Bangsar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81">
        <v>85</v>
      </c>
      <c r="AU81" t="inlineStr">
        <is>
          <t>0.85</t>
        </is>
      </c>
      <c r="AV81" t="inlineStr">
        <is>
          <t>15</t>
        </is>
      </c>
      <c r="AW81" t="inlineStr">
        <is>
          <t>0</t>
        </is>
      </c>
      <c r="AX81" t="inlineStr">
        <is>
          <t>Not Qualified</t>
        </is>
      </c>
      <c r="AY81" s="4"/>
      <c r="AZ81"/>
      <c r="BA81"/>
      <c r="BB81"/>
      <c r="BC81" t="inlineStr">
        <is>
          <t>- Headcount: 2
- Hiring Job Details: Future hiring for sales exec 1-2 (all races, maybe Jun/July), marketing at Bangsar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BD81" s="4">
        <v>46139.70836805556</v>
      </c>
      <c r="BE81" t="inlineStr">
        <is>
          <t>paid</t>
        </is>
      </c>
      <c r="BF81" t="inlineStr">
        <is>
          <t>Q1-W01</t>
        </is>
      </c>
      <c r="BG81" t="inlineStr">
        <is>
          <t>Reschedule</t>
        </is>
      </c>
      <c r="BH81" t="inlineStr">
        <is>
          <t>Reagen</t>
        </is>
      </c>
      <c r="BI81" t="inlineStr">
        <is>
          <t>Travel / Tourism</t>
        </is>
      </c>
      <c r="BJ81" s="4">
        <v>46144.75278935185</v>
      </c>
      <c r="BK81" s="4">
        <v>45910.4606712963</v>
      </c>
      <c r="BL81" t="inlineStr">
        <is>
          <t>2160.0</t>
        </is>
      </c>
      <c r="BM81" t="inlineStr">
        <is>
          <t>0.0</t>
        </is>
      </c>
      <c r="BN81" t="inlineStr">
        <is>
          <t>View Company Page</t>
        </is>
      </c>
      <c r="BO81" s="4">
        <v>46069.5515625</v>
      </c>
      <c r="BP81">
        <v>169080</v>
      </c>
      <c r="BQ81">
        <v>115173</v>
      </c>
      <c r="BR81" t="inlineStr">
        <is>
          <t>Proforma</t>
        </is>
      </c>
      <c r="BS81" t="inlineStr">
        <is>
          <t>Free Internship Job</t>
        </is>
      </c>
      <c r="BT81">
        <v>85459</v>
      </c>
      <c r="BU81"/>
      <c r="BV81">
        <v>2731350</v>
      </c>
      <c r="BW81" t="inlineStr">
        <is>
          <t>Customer Inquiry</t>
        </is>
      </c>
      <c r="BX81"/>
      <c r="BY81"/>
      <c r="BZ81" s="4"/>
      <c r="CA81"/>
      <c r="CB81"/>
      <c r="CC81" s="4"/>
      <c r="CD81" t="inlineStr">
        <is>
          <t>20</t>
        </is>
      </c>
      <c r="CE81" t="inlineStr">
        <is>
          <t>0</t>
        </is>
      </c>
      <c r="CF81" t="inlineStr">
        <is>
          <t>Q2-W04</t>
        </is>
      </c>
      <c r="CG81" t="inlineStr">
        <is>
          <t>Q1-W07</t>
        </is>
      </c>
      <c r="CH81" t="inlineStr">
        <is>
          <t>Q1-W01</t>
        </is>
      </c>
      <c r="CI81"/>
      <c r="CJ81" t="inlineStr">
        <is>
          <t>Paid</t>
        </is>
      </c>
      <c r="CK81" t="inlineStr">
        <is>
          <t>Not Eligible</t>
        </is>
      </c>
      <c r="CL81"/>
      <c r="CM81"/>
    </row>
    <row r="82" ht="25.5" customHeight="1">
      <c r="A82" t="inlineStr">
        <is>
          <t>4328423</t>
        </is>
      </c>
      <c r="B82" s="2"/>
      <c r="C82"/>
      <c r="D82" s="3">
        <v>46139.68309027778</v>
      </c>
      <c r="E82" t="inlineStr">
        <is>
          <t>Q2-W04</t>
        </is>
      </c>
      <c r="F82" t="inlineStr">
        <is>
          <t>Josh</t>
        </is>
      </c>
      <c r="G82" t="inlineStr">
        <is>
          <t>Lead</t>
        </is>
      </c>
      <c r="H82" s="2" t="str">
        <f>=HYPERLINK("https://upbox.ajobthing.my/leads/4328423", "https://upbox.ajobthing.my/leads/4328423")</f>
        <v>https://upbox.ajobthing.my/leads/4328423</v>
      </c>
      <c r="I82" t="inlineStr">
        <is>
          <t>ASIAN ART-STONE (M) SDN BHD</t>
        </is>
      </c>
      <c r="J82" t="inlineStr">
        <is>
          <t>Dolphin</t>
        </is>
      </c>
      <c r="K82" t="inlineStr">
        <is>
          <t>Josh</t>
        </is>
      </c>
      <c r="L82" s="4"/>
      <c r="M82" s="4">
        <v>46142.67804398148</v>
      </c>
      <c r="N82"/>
      <c r="O82">
        <v>1512</v>
      </c>
      <c r="P82" s="4"/>
      <c r="Q82" s="4"/>
      <c r="R82"/>
      <c r="S82"/>
      <c r="T82" s="4"/>
      <c r="U82" s="4"/>
      <c r="V82"/>
      <c r="W82"/>
      <c r="X82"/>
      <c r="Y82" t="inlineStr">
        <is>
          <t>Pending Appointment</t>
        </is>
      </c>
      <c r="Z82" t="inlineStr">
        <is>
          <t>Hiring Now</t>
        </is>
      </c>
      <c r="AA82">
        <v>4</v>
      </c>
      <c r="AB82" t="inlineStr">
        <is>
          <t>No Appointment Made</t>
        </is>
      </c>
      <c r="AC82"/>
      <c r="AD82" t="inlineStr">
        <is>
          <t xml:space="preserve">2 sales, 2 admin </t>
        </is>
      </c>
      <c r="AE82"/>
      <c r="AF82">
        <v>3000</v>
      </c>
      <c r="AG82" s="4"/>
      <c r="AH82" s="4"/>
      <c r="AI82"/>
      <c r="AJ82"/>
      <c r="AK82" t="inlineStr">
        <is>
          <t>Yes, I have</t>
        </is>
      </c>
      <c r="AL82">
        <v>1</v>
      </c>
      <c r="AM82"/>
      <c r="AN82"/>
      <c r="AO82"/>
      <c r="AP82" t="inlineStr">
        <is>
          <t>Once a year (25%)</t>
        </is>
      </c>
      <c r="AQ82"/>
      <c r="AR82"/>
      <c r="AS82" t="inlineStr">
        <is>
          <t>- Headcount: 4
- Hiring Job Details: 2 sales, 2 admin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
- Hiring Urgency: Hiring Now</t>
        </is>
      </c>
      <c r="AT82">
        <v>95</v>
      </c>
      <c r="AU82" t="inlineStr">
        <is>
          <t>0.95</t>
        </is>
      </c>
      <c r="AV82" t="inlineStr">
        <is>
          <t>15</t>
        </is>
      </c>
      <c r="AW82" t="inlineStr">
        <is>
          <t>0</t>
        </is>
      </c>
      <c r="AX82" t="inlineStr">
        <is>
          <t>Not Qualified</t>
        </is>
      </c>
      <c r="AY82" s="4"/>
      <c r="AZ82"/>
      <c r="BA82"/>
      <c r="BB82"/>
      <c r="BC82"/>
      <c r="BD82" s="4"/>
      <c r="BE82"/>
      <c r="BF82"/>
      <c r="BG82" t="inlineStr">
        <is>
          <t>Reschedule</t>
        </is>
      </c>
      <c r="BH82" t="inlineStr">
        <is>
          <t>Fauziah Maharan</t>
        </is>
      </c>
      <c r="BI82"/>
      <c r="BJ82" s="4">
        <v>46144.75592592593</v>
      </c>
      <c r="BK82" s="4">
        <v>46139.66930555556</v>
      </c>
      <c r="BL82" t="inlineStr">
        <is>
          <t>0.0</t>
        </is>
      </c>
      <c r="BM82" t="inlineStr">
        <is>
          <t>0.0</t>
        </is>
      </c>
      <c r="BN82"/>
      <c r="BO82" s="4"/>
      <c r="BP82">
        <v>169730</v>
      </c>
      <c r="BQ82"/>
      <c r="BR82"/>
      <c r="BS82"/>
      <c r="BT82"/>
      <c r="BU82"/>
      <c r="BV82"/>
      <c r="BW82"/>
      <c r="BX82"/>
      <c r="BY82"/>
      <c r="BZ82" s="4"/>
      <c r="CA82"/>
      <c r="CB82"/>
      <c r="CC82" s="4"/>
      <c r="CD82" t="inlineStr">
        <is>
          <t>20</t>
        </is>
      </c>
      <c r="CE82" t="inlineStr">
        <is>
          <t>0</t>
        </is>
      </c>
      <c r="CF82" t="inlineStr">
        <is>
          <t>Q2-W04</t>
        </is>
      </c>
      <c r="CG82"/>
      <c r="CH82"/>
      <c r="CI82"/>
      <c r="CJ82" t="inlineStr">
        <is>
          <t>No Paid</t>
        </is>
      </c>
      <c r="CK82" t="inlineStr">
        <is>
          <t>Not Eligible</t>
        </is>
      </c>
      <c r="CL82"/>
      <c r="CM82"/>
    </row>
    <row r="83" ht="25.5" customHeight="1">
      <c r="A83" t="inlineStr">
        <is>
          <t>194899</t>
        </is>
      </c>
      <c r="B83" s="2"/>
      <c r="C83"/>
      <c r="D83" s="3">
        <v>46139.68813657408</v>
      </c>
      <c r="E83" t="inlineStr">
        <is>
          <t>Q2-W04</t>
        </is>
      </c>
      <c r="F83" t="inlineStr">
        <is>
          <t>Jeff Lee</t>
        </is>
      </c>
      <c r="G83" t="inlineStr">
        <is>
          <t>Customer</t>
        </is>
      </c>
      <c r="H83" s="2" t="str">
        <f>=HYPERLINK("https://upbox.ajobthing.my/customer/194899", "https://upbox.ajobthing.my/customer/194899")</f>
        <v>https://upbox.ajobthing.my/customer/194899</v>
      </c>
      <c r="I83" t="inlineStr">
        <is>
          <t>2Stallions Sdn Bhd</t>
        </is>
      </c>
      <c r="J83" t="inlineStr">
        <is>
          <t>Dolphin</t>
        </is>
      </c>
      <c r="K83" t="inlineStr">
        <is>
          <t>Jeff Lee</t>
        </is>
      </c>
      <c r="L83" s="4"/>
      <c r="M83" s="4">
        <v>46139.684745370374</v>
      </c>
      <c r="N83"/>
      <c r="O83">
        <v>3672</v>
      </c>
      <c r="P83" s="4"/>
      <c r="Q83" s="4"/>
      <c r="R83"/>
      <c r="S83"/>
      <c r="T83" s="4"/>
      <c r="U83" s="4"/>
      <c r="V83"/>
      <c r="W83"/>
      <c r="X83"/>
      <c r="Y83" t="inlineStr">
        <is>
          <t>Pending Appointment</t>
        </is>
      </c>
      <c r="Z83" t="inlineStr">
        <is>
          <t>Hiring Now</t>
        </is>
      </c>
      <c r="AA83">
        <v>1</v>
      </c>
      <c r="AB83" t="inlineStr">
        <is>
          <t>No Appointment Made</t>
        </is>
      </c>
      <c r="AC83"/>
      <c r="AD83" t="inlineStr">
        <is>
          <t>1 Sales Executive</t>
        </is>
      </c>
      <c r="AE83"/>
      <c r="AF83">
        <v>0</v>
      </c>
      <c r="AG83" s="4"/>
      <c r="AH83" s="4"/>
      <c r="AI83">
        <v>0</v>
      </c>
      <c r="AJ83">
        <v>0</v>
      </c>
      <c r="AK83" t="inlineStr">
        <is>
          <t>No, I don't need at all</t>
        </is>
      </c>
      <c r="AL83">
        <v>0</v>
      </c>
      <c r="AM83" t="inlineStr">
        <is>
          <t>No, I don't need at all</t>
        </is>
      </c>
      <c r="AN83"/>
      <c r="AO83" t="inlineStr">
        <is>
          <t>No, I don't need at all</t>
        </is>
      </c>
      <c r="AP83" t="inlineStr">
        <is>
          <t>Twice a year (50%)</t>
        </is>
      </c>
      <c r="AQ83">
        <v>3</v>
      </c>
      <c r="AR83" t="inlineStr">
        <is>
          <t>Indeed (Paid), Hiredly, Jobstreet, Linkedin (Paid)</t>
        </is>
      </c>
      <c r="AS83" t="inlineStr">
        <is>
          <t>- Headcount: 1
- Hiring Job Details: 1 Sales Executive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Twice a year (50%)
- External job portal: Indeed (Paid),Hiredly,Jobstreet,Linkedin (Paid)</t>
        </is>
      </c>
      <c r="AT83">
        <v>100</v>
      </c>
      <c r="AU83" t="inlineStr">
        <is>
          <t>1.00</t>
        </is>
      </c>
      <c r="AV83" t="inlineStr">
        <is>
          <t>15</t>
        </is>
      </c>
      <c r="AW83" t="inlineStr">
        <is>
          <t>0</t>
        </is>
      </c>
      <c r="AX83" t="inlineStr">
        <is>
          <t>Not Qualified</t>
        </is>
      </c>
      <c r="AY83" s="4"/>
      <c r="AZ83"/>
      <c r="BA83"/>
      <c r="BB83"/>
      <c r="BC83" t="inlineStr">
        <is>
          <t>pending</t>
        </is>
      </c>
      <c r="BD83" s="4">
        <v>46141.437002314815</v>
      </c>
      <c r="BE83"/>
      <c r="BF83"/>
      <c r="BG83" t="inlineStr">
        <is>
          <t>Reschedule</t>
        </is>
      </c>
      <c r="BH83" t="inlineStr">
        <is>
          <t>Yee Hang</t>
        </is>
      </c>
      <c r="BI83" t="inlineStr">
        <is>
          <t>Advertising / Marketing</t>
        </is>
      </c>
      <c r="BJ83" s="4">
        <v>46144.75271990741</v>
      </c>
      <c r="BK83" s="4">
        <v>45882.520844907405</v>
      </c>
      <c r="BL83" t="inlineStr">
        <is>
          <t>0.0</t>
        </is>
      </c>
      <c r="BM83" t="inlineStr">
        <is>
          <t>1350.0</t>
        </is>
      </c>
      <c r="BN83" t="inlineStr">
        <is>
          <t>View Candidate Search Page</t>
        </is>
      </c>
      <c r="BO83" s="4">
        <v>45882.578831018516</v>
      </c>
      <c r="BP83">
        <v>169089</v>
      </c>
      <c r="BQ83"/>
      <c r="BR83"/>
      <c r="BS83"/>
      <c r="BT83"/>
      <c r="BU83"/>
      <c r="BV83">
        <v>2734437</v>
      </c>
      <c r="BW83" t="inlineStr">
        <is>
          <t>Follow Up : Decision Pending</t>
        </is>
      </c>
      <c r="BX83"/>
      <c r="BY83"/>
      <c r="BZ83" s="4"/>
      <c r="CA83"/>
      <c r="CB83"/>
      <c r="CC83" s="4"/>
      <c r="CD83" t="inlineStr">
        <is>
          <t>20</t>
        </is>
      </c>
      <c r="CE83" t="inlineStr">
        <is>
          <t>0</t>
        </is>
      </c>
      <c r="CF83" t="inlineStr">
        <is>
          <t>Q2-W04</t>
        </is>
      </c>
      <c r="CG83"/>
      <c r="CH83"/>
      <c r="CI83"/>
      <c r="CJ83" t="inlineStr">
        <is>
          <t>No Paid</t>
        </is>
      </c>
      <c r="CK83" t="inlineStr">
        <is>
          <t>Not Eligible</t>
        </is>
      </c>
      <c r="CL83"/>
      <c r="CM83"/>
    </row>
    <row r="84" ht="25.5" customHeight="1">
      <c r="A84" t="inlineStr">
        <is>
          <t>4313977</t>
        </is>
      </c>
      <c r="B84" s="2"/>
      <c r="C84"/>
      <c r="D84" s="3">
        <v>46139.69667824074</v>
      </c>
      <c r="E84" t="inlineStr">
        <is>
          <t>Q2-W04</t>
        </is>
      </c>
      <c r="F84" t="inlineStr">
        <is>
          <t>Josh</t>
        </is>
      </c>
      <c r="G84" t="inlineStr">
        <is>
          <t>Lead</t>
        </is>
      </c>
      <c r="H84" s="2" t="str">
        <f>=HYPERLINK("https://upbox.ajobthing.my/leads/4313977", "https://upbox.ajobthing.my/leads/4313977")</f>
        <v>https://upbox.ajobthing.my/leads/4313977</v>
      </c>
      <c r="I84" t="inlineStr">
        <is>
          <t>Zyrain</t>
        </is>
      </c>
      <c r="J84" t="inlineStr">
        <is>
          <t>Dolphin</t>
        </is>
      </c>
      <c r="K84" t="inlineStr">
        <is>
          <t>Josh</t>
        </is>
      </c>
      <c r="L84" s="4"/>
      <c r="M84" s="4">
        <v>46139.69739583333</v>
      </c>
      <c r="N84"/>
      <c r="O84">
        <v>6048</v>
      </c>
      <c r="P84" s="4"/>
      <c r="Q84" s="4"/>
      <c r="R84"/>
      <c r="S84"/>
      <c r="T84" s="4"/>
      <c r="U84" s="4"/>
      <c r="V84"/>
      <c r="W84"/>
      <c r="X84"/>
      <c r="Y84" t="inlineStr">
        <is>
          <t>Pending Appointment</t>
        </is>
      </c>
      <c r="Z84" t="inlineStr">
        <is>
          <t>Hiring Later</t>
        </is>
      </c>
      <c r="AA84">
        <v>6</v>
      </c>
      <c r="AB84" t="inlineStr">
        <is>
          <t>No Appointment Made</t>
        </is>
      </c>
      <c r="AC84"/>
      <c r="AD84" t="inlineStr">
        <is>
          <t xml:space="preserve">3 IT, 3 admin </t>
        </is>
      </c>
      <c r="AE84"/>
      <c r="AF84">
        <v>3000</v>
      </c>
      <c r="AG84" s="4"/>
      <c r="AH84" s="4"/>
      <c r="AI84"/>
      <c r="AJ84"/>
      <c r="AK84" t="inlineStr">
        <is>
          <t>Yes, I have</t>
        </is>
      </c>
      <c r="AL84"/>
      <c r="AM84"/>
      <c r="AN84"/>
      <c r="AO84"/>
      <c r="AP84" t="inlineStr">
        <is>
          <t>Once a year (25%)</t>
        </is>
      </c>
      <c r="AQ84"/>
      <c r="AR84"/>
      <c r="AS84" t="inlineStr">
        <is>
          <t>- Headcount: 6
- Hiring Job Details: 3 IT, 3 admin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
- Hiring Urgency: Hiring Later</t>
        </is>
      </c>
      <c r="AT84">
        <v>75</v>
      </c>
      <c r="AU84" t="inlineStr">
        <is>
          <t>0.75</t>
        </is>
      </c>
      <c r="AV84" t="inlineStr">
        <is>
          <t>20</t>
        </is>
      </c>
      <c r="AW84" t="inlineStr">
        <is>
          <t>0</t>
        </is>
      </c>
      <c r="AX84" t="inlineStr">
        <is>
          <t>Not Qualified</t>
        </is>
      </c>
      <c r="AY84" s="4"/>
      <c r="AZ84"/>
      <c r="BA84"/>
      <c r="BB84"/>
      <c r="BC84"/>
      <c r="BD84" s="4"/>
      <c r="BE84"/>
      <c r="BF84"/>
      <c r="BG84" t="inlineStr">
        <is>
          <t>Reschedule</t>
        </is>
      </c>
      <c r="BH84" t="inlineStr">
        <is>
          <t>Fauziah Maharan</t>
        </is>
      </c>
      <c r="BI84"/>
      <c r="BJ84" s="4">
        <v>46144.755902777775</v>
      </c>
      <c r="BK84" s="4">
        <v>46134.78141203704</v>
      </c>
      <c r="BL84" t="inlineStr">
        <is>
          <t>0.0</t>
        </is>
      </c>
      <c r="BM84" t="inlineStr">
        <is>
          <t>0.0</t>
        </is>
      </c>
      <c r="BN84"/>
      <c r="BO84" s="4"/>
      <c r="BP84">
        <v>169095</v>
      </c>
      <c r="BQ84"/>
      <c r="BR84"/>
      <c r="BS84"/>
      <c r="BT84"/>
      <c r="BU84"/>
      <c r="BV84"/>
      <c r="BW84"/>
      <c r="BX84"/>
      <c r="BY84"/>
      <c r="BZ84" s="4"/>
      <c r="CA84"/>
      <c r="CB84"/>
      <c r="CC84" s="4"/>
      <c r="CD84" t="inlineStr">
        <is>
          <t>30</t>
        </is>
      </c>
      <c r="CE84" t="inlineStr">
        <is>
          <t>0</t>
        </is>
      </c>
      <c r="CF84" t="inlineStr">
        <is>
          <t>Q2-W04</t>
        </is>
      </c>
      <c r="CG84"/>
      <c r="CH84"/>
      <c r="CI84"/>
      <c r="CJ84" t="inlineStr">
        <is>
          <t>No Paid</t>
        </is>
      </c>
      <c r="CK84" t="inlineStr">
        <is>
          <t>Not Eligible</t>
        </is>
      </c>
      <c r="CL84"/>
      <c r="CM84"/>
    </row>
    <row r="85" ht="25.5" customHeight="1">
      <c r="A85" t="inlineStr">
        <is>
          <t>176489</t>
        </is>
      </c>
      <c r="B85" s="2"/>
      <c r="C85"/>
      <c r="D85" s="3">
        <v>46139.71791666667</v>
      </c>
      <c r="E85" t="inlineStr">
        <is>
          <t>Q2-W04</t>
        </is>
      </c>
      <c r="F85" t="inlineStr">
        <is>
          <t>Evan</t>
        </is>
      </c>
      <c r="G85" t="inlineStr">
        <is>
          <t>Customer</t>
        </is>
      </c>
      <c r="H85" s="2" t="str">
        <f>=HYPERLINK("https://upbox.ajobthing.my/customer/176489", "https://upbox.ajobthing.my/customer/176489")</f>
        <v>https://upbox.ajobthing.my/customer/176489</v>
      </c>
      <c r="I85" t="inlineStr">
        <is>
          <t>Tchocolate Gallery Sdn Bhd</t>
        </is>
      </c>
      <c r="J85" t="inlineStr">
        <is>
          <t>Dolphin</t>
        </is>
      </c>
      <c r="K85" t="inlineStr">
        <is>
          <t>Evan</t>
        </is>
      </c>
      <c r="L85" s="4"/>
      <c r="M85" s="4">
        <v>46139.717465277776</v>
      </c>
      <c r="N85"/>
      <c r="O85">
        <v>3888</v>
      </c>
      <c r="P85" s="4"/>
      <c r="Q85" s="4">
        <v>45476</v>
      </c>
      <c r="R85"/>
      <c r="S85">
        <v>1728</v>
      </c>
      <c r="T85" s="4">
        <v>45476</v>
      </c>
      <c r="U85" s="4"/>
      <c r="V85"/>
      <c r="W85">
        <v>1728</v>
      </c>
      <c r="X85"/>
      <c r="Y85" t="inlineStr">
        <is>
          <t>Pending Appointment</t>
        </is>
      </c>
      <c r="Z85" t="inlineStr">
        <is>
          <t>Hiring Now</t>
        </is>
      </c>
      <c r="AA85">
        <v>1</v>
      </c>
      <c r="AB85" t="inlineStr">
        <is>
          <t>No Appointment Made</t>
        </is>
      </c>
      <c r="AC85"/>
      <c r="AD85" t="inlineStr">
        <is>
          <t>1 clerk, all base in KL</t>
        </is>
      </c>
      <c r="AE85"/>
      <c r="AF85">
        <v>1</v>
      </c>
      <c r="AG85" s="4"/>
      <c r="AH85" s="4"/>
      <c r="AI85">
        <v>1</v>
      </c>
      <c r="AJ85">
        <v>1</v>
      </c>
      <c r="AK85" t="inlineStr">
        <is>
          <t>No, I don't need at all</t>
        </is>
      </c>
      <c r="AL85">
        <v>0</v>
      </c>
      <c r="AM85" t="inlineStr">
        <is>
          <t>No, I don't need at all</t>
        </is>
      </c>
      <c r="AN85"/>
      <c r="AO85" t="inlineStr">
        <is>
          <t>No, I don't need at all</t>
        </is>
      </c>
      <c r="AP85" t="inlineStr">
        <is>
          <t>Once a year (25%)</t>
        </is>
      </c>
      <c r="AQ85">
        <v>1</v>
      </c>
      <c r="AR85" t="inlineStr">
        <is>
          <t>Jobstreet, Free Job Portal</t>
        </is>
      </c>
      <c r="AS85" t="inlineStr">
        <is>
          <t>- Headcount: 1
- Hiring Job Details: 1 clerk,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 Free Job Portal</t>
        </is>
      </c>
      <c r="AT85">
        <v>115</v>
      </c>
      <c r="AU85" t="inlineStr">
        <is>
          <t>1.15</t>
        </is>
      </c>
      <c r="AV85" t="inlineStr">
        <is>
          <t>15</t>
        </is>
      </c>
      <c r="AW85" t="inlineStr">
        <is>
          <t>0</t>
        </is>
      </c>
      <c r="AX85" t="inlineStr">
        <is>
          <t>Not Qualified</t>
        </is>
      </c>
      <c r="AY85" s="4"/>
      <c r="AZ85"/>
      <c r="BA85"/>
      <c r="BB85"/>
      <c r="BC85" t="inlineStr">
        <is>
          <t>- Headcount: 1
- Hiring Job Details: 1 clerk,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 Free Job Portal</t>
        </is>
      </c>
      <c r="BD85" s="4">
        <v>46139.75013888889</v>
      </c>
      <c r="BE85" t="inlineStr">
        <is>
          <t>paid</t>
        </is>
      </c>
      <c r="BF85"/>
      <c r="BG85" t="inlineStr">
        <is>
          <t>Reschedule</t>
        </is>
      </c>
      <c r="BH85" t="inlineStr">
        <is>
          <t>Edward Hoo</t>
        </is>
      </c>
      <c r="BI85" t="inlineStr">
        <is>
          <t>Food / Beverage</t>
        </is>
      </c>
      <c r="BJ85" s="4">
        <v>46144.751655092594</v>
      </c>
      <c r="BK85" s="4">
        <v>45369.478634259256</v>
      </c>
      <c r="BL85" t="inlineStr">
        <is>
          <t>0.0</t>
        </is>
      </c>
      <c r="BM85" t="inlineStr">
        <is>
          <t>0.0</t>
        </is>
      </c>
      <c r="BN85" t="inlineStr">
        <is>
          <t>View Jobmanager Page</t>
        </is>
      </c>
      <c r="BO85" s="4">
        <v>45948.411724537036</v>
      </c>
      <c r="BP85">
        <v>169103</v>
      </c>
      <c r="BQ85">
        <v>70701</v>
      </c>
      <c r="BR85" t="inlineStr">
        <is>
          <t>Online</t>
        </is>
      </c>
      <c r="BS85"/>
      <c r="BT85">
        <v>70701</v>
      </c>
      <c r="BU85"/>
      <c r="BV85">
        <v>2731561</v>
      </c>
      <c r="BW85" t="inlineStr">
        <is>
          <t>Customer Inquiry</t>
        </is>
      </c>
      <c r="BX85"/>
      <c r="BY85"/>
      <c r="BZ85" s="4"/>
      <c r="CA85"/>
      <c r="CB85"/>
      <c r="CC85" s="4"/>
      <c r="CD85" t="inlineStr">
        <is>
          <t>20</t>
        </is>
      </c>
      <c r="CE85" t="inlineStr">
        <is>
          <t>0</t>
        </is>
      </c>
      <c r="CF85" t="inlineStr">
        <is>
          <t>Q2-W04</t>
        </is>
      </c>
      <c r="CG85"/>
      <c r="CH85"/>
      <c r="CI85"/>
      <c r="CJ85" t="inlineStr">
        <is>
          <t>Paid</t>
        </is>
      </c>
      <c r="CK85" t="inlineStr">
        <is>
          <t>Not Eligible</t>
        </is>
      </c>
      <c r="CL85"/>
      <c r="CM85"/>
    </row>
    <row r="86" ht="25.5" customHeight="1">
      <c r="A86" t="inlineStr">
        <is>
          <t>131471</t>
        </is>
      </c>
      <c r="B86" s="2"/>
      <c r="C86"/>
      <c r="D86" s="3">
        <v>46139.71853009259</v>
      </c>
      <c r="E86" t="inlineStr">
        <is>
          <t>Q2-W04</t>
        </is>
      </c>
      <c r="F86" t="inlineStr">
        <is>
          <t>Fariz</t>
        </is>
      </c>
      <c r="G86" t="inlineStr">
        <is>
          <t>Customer</t>
        </is>
      </c>
      <c r="H86" s="2" t="str">
        <f>=HYPERLINK("https://upbox.ajobthing.my/customer/131471", "https://upbox.ajobthing.my/customer/131471")</f>
        <v>https://upbox.ajobthing.my/customer/131471</v>
      </c>
      <c r="I86" t="inlineStr">
        <is>
          <t>Chop Lee Huat Cermin &amp; Aluminium Sdn Bhd</t>
        </is>
      </c>
      <c r="J86" t="inlineStr">
        <is>
          <t>Dolphin</t>
        </is>
      </c>
      <c r="K86" t="inlineStr">
        <is>
          <t>Fariz</t>
        </is>
      </c>
      <c r="L86" s="4"/>
      <c r="M86" s="4">
        <v>46139.718773148146</v>
      </c>
      <c r="N86"/>
      <c r="O86">
        <v>3888</v>
      </c>
      <c r="P86" s="4"/>
      <c r="Q86" s="4">
        <v>45505.42989583333</v>
      </c>
      <c r="R86"/>
      <c r="S86">
        <v>3240</v>
      </c>
      <c r="T86" s="4">
        <v>44974.573599537034</v>
      </c>
      <c r="U86" s="4"/>
      <c r="V86"/>
      <c r="W86">
        <v>1908</v>
      </c>
      <c r="X86"/>
      <c r="Y86" t="inlineStr">
        <is>
          <t>Pending Appointment</t>
        </is>
      </c>
      <c r="Z86" t="inlineStr">
        <is>
          <t>Hiring Later</t>
        </is>
      </c>
      <c r="AA86">
        <v>2</v>
      </c>
      <c r="AB86" t="inlineStr">
        <is>
          <t>No Appointment Made</t>
        </is>
      </c>
      <c r="AC86"/>
      <c r="AD86" t="inlineStr">
        <is>
          <t>2 construction</t>
        </is>
      </c>
      <c r="AE86"/>
      <c r="AF86">
        <v>3600</v>
      </c>
      <c r="AG86" s="4"/>
      <c r="AH86" s="4"/>
      <c r="AI86">
        <v>3600</v>
      </c>
      <c r="AJ86"/>
      <c r="AK86" t="inlineStr">
        <is>
          <t>No, I don't need at all</t>
        </is>
      </c>
      <c r="AL86">
        <v>1</v>
      </c>
      <c r="AM86" t="inlineStr">
        <is>
          <t>No, I don't need at all</t>
        </is>
      </c>
      <c r="AN86"/>
      <c r="AO86" t="inlineStr">
        <is>
          <t>No, but I want in future</t>
        </is>
      </c>
      <c r="AP86" t="inlineStr">
        <is>
          <t>Once a year (25%)</t>
        </is>
      </c>
      <c r="AQ86">
        <v>3</v>
      </c>
      <c r="AR86" t="inlineStr">
        <is>
          <t>Free Job Portal</t>
        </is>
      </c>
      <c r="AS86" t="inlineStr">
        <is>
          <t>- Headcount: 2
- Hiring Job Details: 2 construction
- Number of outlets: Not provided
- Have recruiter team: No, I don't need at all
- Number of recruiter in company: 1
- Have ATS system: No, I don't need at all
- Have career website: No, but I want in future
- Current hiring budget: RM3,600
- Whole year budget: RM3,600.00
- Whole year number of vacancies: 3
- Hiring frequency: Once a year (25%)
- External job portal: Free Job Portal
- Hiring Urgency: Hiring Later</t>
        </is>
      </c>
      <c r="AT86">
        <v>90</v>
      </c>
      <c r="AU86" t="inlineStr">
        <is>
          <t>0.90</t>
        </is>
      </c>
      <c r="AV86" t="inlineStr">
        <is>
          <t>15</t>
        </is>
      </c>
      <c r="AW86" t="inlineStr">
        <is>
          <t>0</t>
        </is>
      </c>
      <c r="AX86" t="inlineStr">
        <is>
          <t>Not Qualified</t>
        </is>
      </c>
      <c r="AY86" s="4"/>
      <c r="AZ86"/>
      <c r="BA86"/>
      <c r="BB86"/>
      <c r="BC86" t="inlineStr">
        <is>
          <t>- Headcount: 2
- Hiring Job Details: 2 construction
- Number of outlets: Not provided
- Have recruiter team: No, I don't need at all
- Number of recruiter in company: 1
- Have ATS system: No, I don't need at all
- Have career website: No, but I want in future
- Current hiring budget: RM3,600
- Whole year budget: RM3,600.00
- Whole year number of vacancies: 3
- Hiring frequency: Once a year (25%)
- External job portal: Free Job Portal
- Hiring Urgency: Hiring Later</t>
        </is>
      </c>
      <c r="BD86" s="4">
        <v>46139.75015046296</v>
      </c>
      <c r="BE86" t="inlineStr">
        <is>
          <t>pending</t>
        </is>
      </c>
      <c r="BF86"/>
      <c r="BG86" t="inlineStr">
        <is>
          <t>Reschedule</t>
        </is>
      </c>
      <c r="BH86" t="inlineStr">
        <is>
          <t>Edward Hoo</t>
        </is>
      </c>
      <c r="BI86" t="inlineStr">
        <is>
          <t>Manufacturing / Production</t>
        </is>
      </c>
      <c r="BJ86" s="4">
        <v>46144.75047453704</v>
      </c>
      <c r="BK86" s="4">
        <v>44136.69315972222</v>
      </c>
      <c r="BL86" t="inlineStr">
        <is>
          <t>0.0</t>
        </is>
      </c>
      <c r="BM86" t="inlineStr">
        <is>
          <t>600.0</t>
        </is>
      </c>
      <c r="BN86" t="inlineStr">
        <is>
          <t>View Candidate Search Page</t>
        </is>
      </c>
      <c r="BO86" s="4">
        <v>45872.528391203705</v>
      </c>
      <c r="BP86">
        <v>169104</v>
      </c>
      <c r="BQ86">
        <v>93543</v>
      </c>
      <c r="BR86" t="inlineStr">
        <is>
          <t>Proforma</t>
        </is>
      </c>
      <c r="BS86" t="inlineStr">
        <is>
          <t>Instant Job Slot - STARTUP Package Feb</t>
        </is>
      </c>
      <c r="BT86">
        <v>55525</v>
      </c>
      <c r="BU86"/>
      <c r="BV86">
        <v>2731562</v>
      </c>
      <c r="BW86" t="inlineStr">
        <is>
          <t>Customer Inquiry</t>
        </is>
      </c>
      <c r="BX86"/>
      <c r="BY86"/>
      <c r="BZ86" s="4"/>
      <c r="CA86"/>
      <c r="CB86"/>
      <c r="CC86" s="4"/>
      <c r="CD86" t="inlineStr">
        <is>
          <t>20</t>
        </is>
      </c>
      <c r="CE86" t="inlineStr">
        <is>
          <t>0</t>
        </is>
      </c>
      <c r="CF86" t="inlineStr">
        <is>
          <t>Q2-W04</t>
        </is>
      </c>
      <c r="CG86"/>
      <c r="CH86"/>
      <c r="CI86"/>
      <c r="CJ86" t="inlineStr">
        <is>
          <t>Paid</t>
        </is>
      </c>
      <c r="CK86" t="inlineStr">
        <is>
          <t>Not Eligible</t>
        </is>
      </c>
      <c r="CL86"/>
      <c r="CM86"/>
    </row>
    <row r="87" ht="25.5" customHeight="1">
      <c r="A87" t="inlineStr">
        <is>
          <t>185919</t>
        </is>
      </c>
      <c r="B87" s="2"/>
      <c r="C87"/>
      <c r="D87" s="3">
        <v>46139.732094907406</v>
      </c>
      <c r="E87" t="inlineStr">
        <is>
          <t>Q2-W04</t>
        </is>
      </c>
      <c r="F87" t="inlineStr">
        <is>
          <t>Xin Hui</t>
        </is>
      </c>
      <c r="G87" t="inlineStr">
        <is>
          <t>Customer</t>
        </is>
      </c>
      <c r="H87" s="2" t="str">
        <f>=HYPERLINK("https://upbox.ajobthing.my/customer/185919", "https://upbox.ajobthing.my/customer/185919")</f>
        <v>https://upbox.ajobthing.my/customer/185919</v>
      </c>
      <c r="I87" t="inlineStr">
        <is>
          <t>Setiamas Services (M) Sdn Bhd</t>
        </is>
      </c>
      <c r="J87" t="inlineStr">
        <is>
          <t>Dolphin</t>
        </is>
      </c>
      <c r="K87" t="inlineStr">
        <is>
          <t>Xin Hui</t>
        </is>
      </c>
      <c r="L87" s="4"/>
      <c r="M87" s="4">
        <v>46139.425625</v>
      </c>
      <c r="N87"/>
      <c r="O87">
        <v>3888</v>
      </c>
      <c r="P87" s="4"/>
      <c r="Q87" s="4"/>
      <c r="R87"/>
      <c r="S87"/>
      <c r="T87" s="4"/>
      <c r="U87" s="4"/>
      <c r="V87"/>
      <c r="W87"/>
      <c r="X87"/>
      <c r="Y87" t="inlineStr">
        <is>
          <t>Pending Appointment</t>
        </is>
      </c>
      <c r="Z87" t="inlineStr">
        <is>
          <t>Hiring Now</t>
        </is>
      </c>
      <c r="AA87">
        <v>10</v>
      </c>
      <c r="AB87" t="inlineStr">
        <is>
          <t>No Appointment Made</t>
        </is>
      </c>
      <c r="AC87"/>
      <c r="AD87" t="inlineStr">
        <is>
          <t>cleaner 10HC</t>
        </is>
      </c>
      <c r="AE87"/>
      <c r="AF87"/>
      <c r="AG87" s="4"/>
      <c r="AH87" s="4"/>
      <c r="AI87"/>
      <c r="AJ87"/>
      <c r="AK87" t="inlineStr">
        <is>
          <t>No, I don't need at all</t>
        </is>
      </c>
      <c r="AL87"/>
      <c r="AM87" t="inlineStr">
        <is>
          <t>No, I don't need at all</t>
        </is>
      </c>
      <c r="AN87"/>
      <c r="AO87" t="inlineStr">
        <is>
          <t>No, I don't need at all</t>
        </is>
      </c>
      <c r="AP87" t="inlineStr">
        <is>
          <t>Once a year (25%)</t>
        </is>
      </c>
      <c r="AQ87"/>
      <c r="AR87" t="inlineStr">
        <is>
          <t>Free Job Portal</t>
        </is>
      </c>
      <c r="AS87" t="inlineStr">
        <is>
          <t>- Headcount: 10
- Hiring Job Details: cleaner 10HC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is>
      </c>
      <c r="AT87">
        <v>95</v>
      </c>
      <c r="AU87" t="inlineStr">
        <is>
          <t>0.95</t>
        </is>
      </c>
      <c r="AV87" t="inlineStr">
        <is>
          <t>10</t>
        </is>
      </c>
      <c r="AW87" t="inlineStr">
        <is>
          <t>0</t>
        </is>
      </c>
      <c r="AX87" t="inlineStr">
        <is>
          <t>Not Qualified</t>
        </is>
      </c>
      <c r="AY87" s="4"/>
      <c r="AZ87"/>
      <c r="BA87"/>
      <c r="BB87"/>
      <c r="BC87" t="inlineStr">
        <is>
          <t>- Headcount: 10
- Hiring Job Details: cleaner 10HC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is>
      </c>
      <c r="BD87" s="4">
        <v>46139.75015046296</v>
      </c>
      <c r="BE87"/>
      <c r="BF87"/>
      <c r="BG87" t="inlineStr">
        <is>
          <t>Reschedule</t>
        </is>
      </c>
      <c r="BH87" t="inlineStr">
        <is>
          <t>Yee Hang</t>
        </is>
      </c>
      <c r="BI87"/>
      <c r="BJ87" s="4">
        <v>46144.752071759256</v>
      </c>
      <c r="BK87" s="4">
        <v>45644.391493055555</v>
      </c>
      <c r="BL87" t="inlineStr">
        <is>
          <t>0.0</t>
        </is>
      </c>
      <c r="BM87" t="inlineStr">
        <is>
          <t>600.0</t>
        </is>
      </c>
      <c r="BN87" t="inlineStr">
        <is>
          <t>View Create Job Page</t>
        </is>
      </c>
      <c r="BO87" s="4">
        <v>45644.39865740741</v>
      </c>
      <c r="BP87">
        <v>168937</v>
      </c>
      <c r="BQ87"/>
      <c r="BR87"/>
      <c r="BS87"/>
      <c r="BT87"/>
      <c r="BU87"/>
      <c r="BV87">
        <v>2731566</v>
      </c>
      <c r="BW87" t="inlineStr">
        <is>
          <t>Customer Inquiry</t>
        </is>
      </c>
      <c r="BX87"/>
      <c r="BY87"/>
      <c r="BZ87" s="4"/>
      <c r="CA87"/>
      <c r="CB87"/>
      <c r="CC87" s="4"/>
      <c r="CD87" t="inlineStr">
        <is>
          <t>15</t>
        </is>
      </c>
      <c r="CE87" t="inlineStr">
        <is>
          <t>0</t>
        </is>
      </c>
      <c r="CF87" t="inlineStr">
        <is>
          <t>Q2-W04</t>
        </is>
      </c>
      <c r="CG87"/>
      <c r="CH87"/>
      <c r="CI87"/>
      <c r="CJ87" t="inlineStr">
        <is>
          <t>No Paid</t>
        </is>
      </c>
      <c r="CK87" t="inlineStr">
        <is>
          <t>Eligible</t>
        </is>
      </c>
      <c r="CL87"/>
      <c r="CM87"/>
    </row>
    <row r="88" ht="25.5" customHeight="1">
      <c r="A88" t="inlineStr">
        <is>
          <t>189056</t>
        </is>
      </c>
      <c r="B88" s="2"/>
      <c r="C88"/>
      <c r="D88" s="3">
        <v>46139.73292824074</v>
      </c>
      <c r="E88" t="inlineStr">
        <is>
          <t>Q2-W04</t>
        </is>
      </c>
      <c r="F88" t="inlineStr">
        <is>
          <t>Xin Hui</t>
        </is>
      </c>
      <c r="G88" t="inlineStr">
        <is>
          <t>Customer</t>
        </is>
      </c>
      <c r="H88" s="2" t="str">
        <f>=HYPERLINK("https://upbox.ajobthing.my/customer/189056", "https://upbox.ajobthing.my/customer/189056")</f>
        <v>https://upbox.ajobthing.my/customer/189056</v>
      </c>
      <c r="I88" t="inlineStr">
        <is>
          <t>Camel Power Trading Sdn Bhd</t>
        </is>
      </c>
      <c r="J88" t="inlineStr">
        <is>
          <t>Dolphin</t>
        </is>
      </c>
      <c r="K88" t="inlineStr">
        <is>
          <t>Xin Hui</t>
        </is>
      </c>
      <c r="L88" s="4"/>
      <c r="M88" s="4">
        <v>46139.574270833335</v>
      </c>
      <c r="N88"/>
      <c r="O88">
        <v>3888</v>
      </c>
      <c r="P88" s="4"/>
      <c r="Q88" s="4"/>
      <c r="R88"/>
      <c r="S88"/>
      <c r="T88" s="4"/>
      <c r="U88" s="4"/>
      <c r="V88"/>
      <c r="W88"/>
      <c r="X88"/>
      <c r="Y88" t="inlineStr">
        <is>
          <t>Pending Appointment</t>
        </is>
      </c>
      <c r="Z88" t="inlineStr">
        <is>
          <t>Hiring Now</t>
        </is>
      </c>
      <c r="AA88">
        <v>2</v>
      </c>
      <c r="AB88" t="inlineStr">
        <is>
          <t>No Appointment Made</t>
        </is>
      </c>
      <c r="AC88"/>
      <c r="AD88" t="inlineStr">
        <is>
          <t>warehouse / sales</t>
        </is>
      </c>
      <c r="AE88"/>
      <c r="AF88"/>
      <c r="AG88" s="4"/>
      <c r="AH88" s="4"/>
      <c r="AI88"/>
      <c r="AJ88"/>
      <c r="AK88" t="inlineStr">
        <is>
          <t>No, I don't need at all</t>
        </is>
      </c>
      <c r="AL88"/>
      <c r="AM88" t="inlineStr">
        <is>
          <t>No, I don't need at all</t>
        </is>
      </c>
      <c r="AN88"/>
      <c r="AO88" t="inlineStr">
        <is>
          <t>No, I don't need at all</t>
        </is>
      </c>
      <c r="AP88"/>
      <c r="AQ88"/>
      <c r="AR88"/>
      <c r="AS88" t="inlineStr">
        <is>
          <t>- Headcount: 2
- Hiring Job Details: warehouse / sales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Not provided
- External job portal: Not provided</t>
        </is>
      </c>
      <c r="AT88">
        <v>75</v>
      </c>
      <c r="AU88" t="inlineStr">
        <is>
          <t>0.75</t>
        </is>
      </c>
      <c r="AV88" t="inlineStr">
        <is>
          <t>5</t>
        </is>
      </c>
      <c r="AW88" t="inlineStr">
        <is>
          <t>0</t>
        </is>
      </c>
      <c r="AX88" t="inlineStr">
        <is>
          <t>Not Qualified</t>
        </is>
      </c>
      <c r="AY88" s="4"/>
      <c r="AZ88"/>
      <c r="BA88"/>
      <c r="BB88"/>
      <c r="BC88" t="inlineStr">
        <is>
          <t>- Headcount: 2
- Hiring Job Details: warehouse / sales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Not provided
- External job portal: Not provided</t>
        </is>
      </c>
      <c r="BD88" s="4">
        <v>46139.75015046296</v>
      </c>
      <c r="BE88"/>
      <c r="BF88"/>
      <c r="BG88" t="inlineStr">
        <is>
          <t>Reschedule</t>
        </is>
      </c>
      <c r="BH88" t="inlineStr">
        <is>
          <t>Yee Hang</t>
        </is>
      </c>
      <c r="BI88"/>
      <c r="BJ88" s="4">
        <v>46144.752280092594</v>
      </c>
      <c r="BK88" s="4">
        <v>45735.66459490741</v>
      </c>
      <c r="BL88" t="inlineStr">
        <is>
          <t>0.0</t>
        </is>
      </c>
      <c r="BM88" t="inlineStr">
        <is>
          <t>1800.0</t>
        </is>
      </c>
      <c r="BN88" t="inlineStr">
        <is>
          <t>User Visit(Logged In)</t>
        </is>
      </c>
      <c r="BO88" s="4">
        <v>45735.664664351854</v>
      </c>
      <c r="BP88">
        <v>169018</v>
      </c>
      <c r="BQ88"/>
      <c r="BR88"/>
      <c r="BS88"/>
      <c r="BT88"/>
      <c r="BU88"/>
      <c r="BV88">
        <v>2731567</v>
      </c>
      <c r="BW88" t="inlineStr">
        <is>
          <t>Customer Inquiry</t>
        </is>
      </c>
      <c r="BX88"/>
      <c r="BY88"/>
      <c r="BZ88" s="4"/>
      <c r="CA88"/>
      <c r="CB88"/>
      <c r="CC88" s="4"/>
      <c r="CD88" t="inlineStr">
        <is>
          <t>5</t>
        </is>
      </c>
      <c r="CE88" t="inlineStr">
        <is>
          <t>0</t>
        </is>
      </c>
      <c r="CF88" t="inlineStr">
        <is>
          <t>Q2-W04</t>
        </is>
      </c>
      <c r="CG88"/>
      <c r="CH88"/>
      <c r="CI88"/>
      <c r="CJ88" t="inlineStr">
        <is>
          <t>No Paid</t>
        </is>
      </c>
      <c r="CK88" t="inlineStr">
        <is>
          <t>Not Eligible</t>
        </is>
      </c>
      <c r="CL88"/>
      <c r="CM88"/>
    </row>
    <row r="89" ht="25.5" customHeight="1">
      <c r="A89" t="inlineStr">
        <is>
          <t>37455</t>
        </is>
      </c>
      <c r="B89" s="2"/>
      <c r="C89"/>
      <c r="D89" s="3">
        <v>46139.73645833333</v>
      </c>
      <c r="E89" t="inlineStr">
        <is>
          <t>Q2-W04</t>
        </is>
      </c>
      <c r="F89" t="inlineStr">
        <is>
          <t>Evan</t>
        </is>
      </c>
      <c r="G89" t="inlineStr">
        <is>
          <t>Customer</t>
        </is>
      </c>
      <c r="H89" s="2" t="str">
        <f>=HYPERLINK("https://upbox.ajobthing.my/customer/37455", "https://upbox.ajobthing.my/customer/37455")</f>
        <v>https://upbox.ajobthing.my/customer/37455</v>
      </c>
      <c r="I89" t="inlineStr">
        <is>
          <t>Petswonderland &amp; Co. Sdn Bhd</t>
        </is>
      </c>
      <c r="J89" t="inlineStr">
        <is>
          <t>Dolphin</t>
        </is>
      </c>
      <c r="K89" t="inlineStr">
        <is>
          <t>Evan</t>
        </is>
      </c>
      <c r="L89" s="4"/>
      <c r="M89" s="4">
        <v>46139.735983796294</v>
      </c>
      <c r="N89"/>
      <c r="O89">
        <v>10800</v>
      </c>
      <c r="P89" s="4"/>
      <c r="Q89" s="4"/>
      <c r="R89"/>
      <c r="S89"/>
      <c r="T89" s="4"/>
      <c r="U89" s="4"/>
      <c r="V89"/>
      <c r="W89"/>
      <c r="X89"/>
      <c r="Y89" t="inlineStr">
        <is>
          <t>Pending Appointment</t>
        </is>
      </c>
      <c r="Z89" t="inlineStr">
        <is>
          <t>Hiring Now</t>
        </is>
      </c>
      <c r="AA89">
        <v>10</v>
      </c>
      <c r="AB89" t="inlineStr">
        <is>
          <t>No Appointment Made</t>
        </is>
      </c>
      <c r="AC89"/>
      <c r="AD89" t="inlineStr">
        <is>
          <t>10 retail, all base in KL</t>
        </is>
      </c>
      <c r="AE89"/>
      <c r="AF89">
        <v>1</v>
      </c>
      <c r="AG89" s="4"/>
      <c r="AH89" s="4"/>
      <c r="AI89">
        <v>1</v>
      </c>
      <c r="AJ89">
        <v>1</v>
      </c>
      <c r="AK89" t="inlineStr">
        <is>
          <t>No, I don't need at all</t>
        </is>
      </c>
      <c r="AL89">
        <v>1</v>
      </c>
      <c r="AM89" t="inlineStr">
        <is>
          <t>No, I don't need at all</t>
        </is>
      </c>
      <c r="AN89"/>
      <c r="AO89" t="inlineStr">
        <is>
          <t>No, I don't need at all</t>
        </is>
      </c>
      <c r="AP89" t="inlineStr">
        <is>
          <t>Once per quarter (75%)</t>
        </is>
      </c>
      <c r="AQ89">
        <v>10</v>
      </c>
      <c r="AR89" t="inlineStr">
        <is>
          <t>Jobstreet, Free Job Portal</t>
        </is>
      </c>
      <c r="AS89" t="inlineStr">
        <is>
          <t>- Headcount: 10
- Hiring Job Details: 10 retail,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10
- Hiring frequency: Once per quarter (75%)
- External job portal: Jobstreet,Free Job Portal</t>
        </is>
      </c>
      <c r="AT89">
        <v>110</v>
      </c>
      <c r="AU89" t="inlineStr">
        <is>
          <t>1.10</t>
        </is>
      </c>
      <c r="AV89" t="inlineStr">
        <is>
          <t>20</t>
        </is>
      </c>
      <c r="AW89" t="inlineStr">
        <is>
          <t>0</t>
        </is>
      </c>
      <c r="AX89" t="inlineStr">
        <is>
          <t>Not Qualified</t>
        </is>
      </c>
      <c r="AY89" s="4"/>
      <c r="AZ89"/>
      <c r="BA89"/>
      <c r="BB89"/>
      <c r="BC89" t="inlineStr">
        <is>
          <t>- Headcount: 10
- Hiring Job Details: 10 retail,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10
- Hiring frequency: Once per quarter (75%)
- External job portal: Jobstreet,Free Job Portal</t>
        </is>
      </c>
      <c r="BD89" s="4">
        <v>46139.75015046296</v>
      </c>
      <c r="BE89"/>
      <c r="BF89"/>
      <c r="BG89" t="inlineStr">
        <is>
          <t>Reschedule</t>
        </is>
      </c>
      <c r="BH89" t="inlineStr">
        <is>
          <t>Edward Hoo</t>
        </is>
      </c>
      <c r="BI89" t="inlineStr">
        <is>
          <t>Retail / Merchandise</t>
        </is>
      </c>
      <c r="BJ89" s="4">
        <v>46144.75475694444</v>
      </c>
      <c r="BK89" s="4">
        <v>42874.369780092595</v>
      </c>
      <c r="BL89" t="inlineStr">
        <is>
          <t>0.0</t>
        </is>
      </c>
      <c r="BM89" t="inlineStr">
        <is>
          <t>1800.0</t>
        </is>
      </c>
      <c r="BN89"/>
      <c r="BO89" s="4"/>
      <c r="BP89">
        <v>169111</v>
      </c>
      <c r="BQ89"/>
      <c r="BR89"/>
      <c r="BS89"/>
      <c r="BT89"/>
      <c r="BU89"/>
      <c r="BV89">
        <v>2731568</v>
      </c>
      <c r="BW89" t="inlineStr">
        <is>
          <t>Customer Inquiry</t>
        </is>
      </c>
      <c r="BX89"/>
      <c r="BY89"/>
      <c r="BZ89" s="4"/>
      <c r="CA89"/>
      <c r="CB89"/>
      <c r="CC89" s="4"/>
      <c r="CD89" t="inlineStr">
        <is>
          <t>30</t>
        </is>
      </c>
      <c r="CE89" t="inlineStr">
        <is>
          <t>0</t>
        </is>
      </c>
      <c r="CF89" t="inlineStr">
        <is>
          <t>Q2-W04</t>
        </is>
      </c>
      <c r="CG89"/>
      <c r="CH89"/>
      <c r="CI89"/>
      <c r="CJ89" t="inlineStr">
        <is>
          <t>No Paid</t>
        </is>
      </c>
      <c r="CK89" t="inlineStr">
        <is>
          <t>Eligible</t>
        </is>
      </c>
      <c r="CL89"/>
      <c r="CM89"/>
    </row>
    <row r="90" ht="25.5" customHeight="1">
      <c r="A90" t="inlineStr">
        <is>
          <t>203715</t>
        </is>
      </c>
      <c r="B90" s="2"/>
      <c r="C90"/>
      <c r="D90" s="3">
        <v>46139.737025462964</v>
      </c>
      <c r="E90" t="inlineStr">
        <is>
          <t>Q2-W04</t>
        </is>
      </c>
      <c r="F90" t="inlineStr">
        <is>
          <t>Clover</t>
        </is>
      </c>
      <c r="G90" t="inlineStr">
        <is>
          <t>Customer</t>
        </is>
      </c>
      <c r="H90" s="2" t="str">
        <f>=HYPERLINK("https://upbox.ajobthing.my/customer/203715", "https://upbox.ajobthing.my/customer/203715")</f>
        <v>https://upbox.ajobthing.my/customer/203715</v>
      </c>
      <c r="I90" t="inlineStr">
        <is>
          <t xml:space="preserve">Ninso nusa bestari </t>
        </is>
      </c>
      <c r="J90" t="inlineStr">
        <is>
          <t>Dolphin</t>
        </is>
      </c>
      <c r="K90" t="inlineStr">
        <is>
          <t>Clover</t>
        </is>
      </c>
      <c r="L90" s="4"/>
      <c r="M90" s="4">
        <v>46139.7371875</v>
      </c>
      <c r="N90"/>
      <c r="O90">
        <v>3888</v>
      </c>
      <c r="P90" s="4"/>
      <c r="Q90" s="4"/>
      <c r="R90"/>
      <c r="S90"/>
      <c r="T90" s="4"/>
      <c r="U90" s="4"/>
      <c r="V90"/>
      <c r="W90"/>
      <c r="X90"/>
      <c r="Y90" t="inlineStr">
        <is>
          <t>Pending Appointment</t>
        </is>
      </c>
      <c r="Z90" t="inlineStr">
        <is>
          <t>Hiring Now</t>
        </is>
      </c>
      <c r="AA90">
        <v>4</v>
      </c>
      <c r="AB90" t="inlineStr">
        <is>
          <t>No Appointment Made</t>
        </is>
      </c>
      <c r="AC90"/>
      <c r="AD90" t="inlineStr">
        <is>
          <t>Hire sales assistant x1-2, cashier x1-2, all races, dollar retails store, johor, suggest stand, previous fb</t>
        </is>
      </c>
      <c r="AE90"/>
      <c r="AF90">
        <v>3000</v>
      </c>
      <c r="AG90" s="4"/>
      <c r="AH90" s="4"/>
      <c r="AI90">
        <v>3000</v>
      </c>
      <c r="AJ90">
        <v>1</v>
      </c>
      <c r="AK90" t="inlineStr">
        <is>
          <t>No, but I want in future</t>
        </is>
      </c>
      <c r="AL90">
        <v>1</v>
      </c>
      <c r="AM90" t="inlineStr">
        <is>
          <t>No, but I want in future</t>
        </is>
      </c>
      <c r="AN90"/>
      <c r="AO90" t="inlineStr">
        <is>
          <t>No, but I want in future</t>
        </is>
      </c>
      <c r="AP90" t="inlineStr">
        <is>
          <t>Twice a year (50%)</t>
        </is>
      </c>
      <c r="AQ90">
        <v>4</v>
      </c>
      <c r="AR90" t="inlineStr">
        <is>
          <t>Did not use any job portal</t>
        </is>
      </c>
      <c r="AS90" t="inlineStr">
        <is>
          <t>- Headcount: 4
- Hiring Job Details: Hire sales assistant x1-2, cashier x1-2, all races, dollar retails store, johor, suggest stand, previous fb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4
- Hiring frequency: Twice a year (50%)
- External job portal: Did not use any</t>
        </is>
      </c>
      <c r="AT90">
        <v>115</v>
      </c>
      <c r="AU90" t="inlineStr">
        <is>
          <t>1.15</t>
        </is>
      </c>
      <c r="AV90" t="inlineStr">
        <is>
          <t>15</t>
        </is>
      </c>
      <c r="AW90" t="inlineStr">
        <is>
          <t>0</t>
        </is>
      </c>
      <c r="AX90" t="inlineStr">
        <is>
          <t>Not Qualified</t>
        </is>
      </c>
      <c r="AY90" s="4"/>
      <c r="AZ90"/>
      <c r="BA90"/>
      <c r="BB90"/>
      <c r="BC90" t="inlineStr">
        <is>
          <t>- Headcount: 4
- Hiring Job Details: Hire sales assistant x1-2, cashier x1-2, all races, dollar retails store, johor, suggest stand, previous fb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4
- Hiring frequency: Twice a year (50%)
- External job portal: Did not use any</t>
        </is>
      </c>
      <c r="BD90" s="4">
        <v>46139.75015046296</v>
      </c>
      <c r="BE90"/>
      <c r="BF90"/>
      <c r="BG90" t="inlineStr">
        <is>
          <t>Reschedule</t>
        </is>
      </c>
      <c r="BH90" t="inlineStr">
        <is>
          <t>Reagen</t>
        </is>
      </c>
      <c r="BI90"/>
      <c r="BJ90" s="4">
        <v>46144.75436342593</v>
      </c>
      <c r="BK90" s="4">
        <v>46139.73273148148</v>
      </c>
      <c r="BL90" t="inlineStr">
        <is>
          <t>0.0</t>
        </is>
      </c>
      <c r="BM90" t="inlineStr">
        <is>
          <t>0.0</t>
        </is>
      </c>
      <c r="BN90" t="inlineStr">
        <is>
          <t>User Register</t>
        </is>
      </c>
      <c r="BO90" s="4">
        <v>46139.73273148148</v>
      </c>
      <c r="BP90">
        <v>169112</v>
      </c>
      <c r="BQ90"/>
      <c r="BR90"/>
      <c r="BS90"/>
      <c r="BT90"/>
      <c r="BU90"/>
      <c r="BV90">
        <v>2731570</v>
      </c>
      <c r="BW90" t="inlineStr">
        <is>
          <t>Customer Inquiry</t>
        </is>
      </c>
      <c r="BX90"/>
      <c r="BY90"/>
      <c r="BZ90" s="4"/>
      <c r="CA90"/>
      <c r="CB90"/>
      <c r="CC90" s="4"/>
      <c r="CD90" t="inlineStr">
        <is>
          <t>20</t>
        </is>
      </c>
      <c r="CE90" t="inlineStr">
        <is>
          <t>0</t>
        </is>
      </c>
      <c r="CF90" t="inlineStr">
        <is>
          <t>Q2-W04</t>
        </is>
      </c>
      <c r="CG90"/>
      <c r="CH90"/>
      <c r="CI90"/>
      <c r="CJ90" t="inlineStr">
        <is>
          <t>No Paid</t>
        </is>
      </c>
      <c r="CK90" t="inlineStr">
        <is>
          <t>Not Eligible</t>
        </is>
      </c>
      <c r="CL90"/>
      <c r="CM90"/>
    </row>
    <row r="91" ht="25.5" customHeight="1">
      <c r="A91" t="inlineStr">
        <is>
          <t>6316</t>
        </is>
      </c>
      <c r="B91" s="2"/>
      <c r="C91"/>
      <c r="D91" s="3">
        <v>46139.739594907405</v>
      </c>
      <c r="E91" t="inlineStr">
        <is>
          <t>Q2-W04</t>
        </is>
      </c>
      <c r="F91" t="inlineStr">
        <is>
          <t>Xin Hui</t>
        </is>
      </c>
      <c r="G91" t="inlineStr">
        <is>
          <t>Customer</t>
        </is>
      </c>
      <c r="H91" s="2" t="str">
        <f>=HYPERLINK("https://upbox.ajobthing.my/customer/6316", "https://upbox.ajobthing.my/customer/6316")</f>
        <v>https://upbox.ajobthing.my/customer/6316</v>
      </c>
      <c r="I91" t="inlineStr">
        <is>
          <t>Eco Network Sdn Bhd</t>
        </is>
      </c>
      <c r="J91" t="inlineStr">
        <is>
          <t>Dolphin</t>
        </is>
      </c>
      <c r="K91" t="inlineStr">
        <is>
          <t>Xin Hui</t>
        </is>
      </c>
      <c r="L91" s="4"/>
      <c r="M91" s="4">
        <v>46139.73983796296</v>
      </c>
      <c r="N91"/>
      <c r="O91">
        <v>3888</v>
      </c>
      <c r="P91" s="4"/>
      <c r="Q91" s="4">
        <v>44236.94462962963</v>
      </c>
      <c r="R91"/>
      <c r="S91">
        <v>199.28</v>
      </c>
      <c r="T91" s="4">
        <v>44236.94462962963</v>
      </c>
      <c r="U91" s="4"/>
      <c r="V91"/>
      <c r="W91">
        <v>199.28</v>
      </c>
      <c r="X91"/>
      <c r="Y91" t="inlineStr">
        <is>
          <t>Pending Appointment</t>
        </is>
      </c>
      <c r="Z91" t="inlineStr">
        <is>
          <t>Hiring Later</t>
        </is>
      </c>
      <c r="AA91">
        <v>1</v>
      </c>
      <c r="AB91" t="inlineStr">
        <is>
          <t>No Appointment Made</t>
        </is>
      </c>
      <c r="AC91"/>
      <c r="AD91" t="inlineStr">
        <is>
          <t>admin</t>
        </is>
      </c>
      <c r="AE91"/>
      <c r="AF91"/>
      <c r="AG91" s="4"/>
      <c r="AH91" s="4"/>
      <c r="AI91"/>
      <c r="AJ91"/>
      <c r="AK91" t="inlineStr">
        <is>
          <t>No, I don't need at all</t>
        </is>
      </c>
      <c r="AL91"/>
      <c r="AM91" t="inlineStr">
        <is>
          <t>No, I don't need at all</t>
        </is>
      </c>
      <c r="AN91"/>
      <c r="AO91" t="inlineStr">
        <is>
          <t>No, I don't need at all</t>
        </is>
      </c>
      <c r="AP91" t="inlineStr">
        <is>
          <t>Once a year (25%)</t>
        </is>
      </c>
      <c r="AQ91"/>
      <c r="AR91" t="inlineStr">
        <is>
          <t>Free Job Portal</t>
        </is>
      </c>
      <c r="AS91" t="inlineStr">
        <is>
          <t>- Headcount: 1
- Hiring Job Details: admin
- Hiring Urgency: Hiring Later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Free Job Portal</t>
        </is>
      </c>
      <c r="AT91">
        <v>75</v>
      </c>
      <c r="AU91" t="inlineStr">
        <is>
          <t>0.75</t>
        </is>
      </c>
      <c r="AV91" t="inlineStr">
        <is>
          <t>5</t>
        </is>
      </c>
      <c r="AW91" t="inlineStr">
        <is>
          <t>0</t>
        </is>
      </c>
      <c r="AX91" t="inlineStr">
        <is>
          <t>Not Qualified</t>
        </is>
      </c>
      <c r="AY91" s="4"/>
      <c r="AZ91"/>
      <c r="BA91"/>
      <c r="BB91"/>
      <c r="BC91" t="inlineStr">
        <is>
          <t>- Headcount: 1
- Hiring Job Details: admin
- Hiring Urgency: Hiring Later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Free Job Portal</t>
        </is>
      </c>
      <c r="BD91" s="4">
        <v>46139.75015046296</v>
      </c>
      <c r="BE91" t="inlineStr">
        <is>
          <t>paid</t>
        </is>
      </c>
      <c r="BF91"/>
      <c r="BG91" t="inlineStr">
        <is>
          <t>Reschedule</t>
        </is>
      </c>
      <c r="BH91" t="inlineStr">
        <is>
          <t>Yee Hang</t>
        </is>
      </c>
      <c r="BI91" t="inlineStr">
        <is>
          <t>General / Wholesale Trading</t>
        </is>
      </c>
      <c r="BJ91" s="4">
        <v>46144.75612268518</v>
      </c>
      <c r="BK91" s="4">
        <v>42424.055497685185</v>
      </c>
      <c r="BL91" t="inlineStr">
        <is>
          <t>0.0</t>
        </is>
      </c>
      <c r="BM91" t="inlineStr">
        <is>
          <t>750.0</t>
        </is>
      </c>
      <c r="BN91" t="inlineStr">
        <is>
          <t>View Candidate Search Page</t>
        </is>
      </c>
      <c r="BO91" s="4">
        <v>45641.022939814815</v>
      </c>
      <c r="BP91">
        <v>169113</v>
      </c>
      <c r="BQ91">
        <v>30202</v>
      </c>
      <c r="BR91" t="inlineStr">
        <is>
          <t>Online</t>
        </is>
      </c>
      <c r="BS91"/>
      <c r="BT91">
        <v>30202</v>
      </c>
      <c r="BU91"/>
      <c r="BV91">
        <v>2731571</v>
      </c>
      <c r="BW91" t="inlineStr">
        <is>
          <t>Customer Inquiry</t>
        </is>
      </c>
      <c r="BX91"/>
      <c r="BY91"/>
      <c r="BZ91" s="4"/>
      <c r="CA91"/>
      <c r="CB91"/>
      <c r="CC91" s="4"/>
      <c r="CD91" t="inlineStr">
        <is>
          <t>5</t>
        </is>
      </c>
      <c r="CE91" t="inlineStr">
        <is>
          <t>0</t>
        </is>
      </c>
      <c r="CF91" t="inlineStr">
        <is>
          <t>Q2-W04</t>
        </is>
      </c>
      <c r="CG91"/>
      <c r="CH91"/>
      <c r="CI91"/>
      <c r="CJ91" t="inlineStr">
        <is>
          <t>Paid</t>
        </is>
      </c>
      <c r="CK91" t="inlineStr">
        <is>
          <t>Not Eligible</t>
        </is>
      </c>
      <c r="CL91"/>
      <c r="CM91"/>
    </row>
    <row r="92" ht="25.5" customHeight="1">
      <c r="A92" t="inlineStr">
        <is>
          <t>161340</t>
        </is>
      </c>
      <c r="B92" s="2"/>
      <c r="C92"/>
      <c r="D92" s="3">
        <v>46139.74568287037</v>
      </c>
      <c r="E92" t="inlineStr">
        <is>
          <t>Q2-W04</t>
        </is>
      </c>
      <c r="F92" t="inlineStr">
        <is>
          <t>Jess</t>
        </is>
      </c>
      <c r="G92" t="inlineStr">
        <is>
          <t>Customer</t>
        </is>
      </c>
      <c r="H92" s="2" t="str">
        <f>=HYPERLINK("https://upbox.ajobthing.my/customer/161340", "https://upbox.ajobthing.my/customer/161340")</f>
        <v>https://upbox.ajobthing.my/customer/161340</v>
      </c>
      <c r="I92" t="inlineStr">
        <is>
          <t>Yorky Trading Sdn Bhd</t>
        </is>
      </c>
      <c r="J92" t="inlineStr">
        <is>
          <t>Dolphin</t>
        </is>
      </c>
      <c r="K92" t="inlineStr">
        <is>
          <t>Jess Lim</t>
        </is>
      </c>
      <c r="L92" s="4"/>
      <c r="M92" s="4">
        <v>46140.50104166667</v>
      </c>
      <c r="N92"/>
      <c r="O92">
        <v>864</v>
      </c>
      <c r="P92" s="4"/>
      <c r="Q92" s="4">
        <v>46142.34123842593</v>
      </c>
      <c r="R92"/>
      <c r="S92">
        <v>0</v>
      </c>
      <c r="T92" s="4">
        <v>45840.45726851852</v>
      </c>
      <c r="U92" s="4"/>
      <c r="V92"/>
      <c r="W92">
        <v>1296</v>
      </c>
      <c r="X92"/>
      <c r="Y92" t="inlineStr">
        <is>
          <t>Pending Appointment</t>
        </is>
      </c>
      <c r="Z92" t="inlineStr">
        <is>
          <t>Hiring Now</t>
        </is>
      </c>
      <c r="AA92">
        <v>2</v>
      </c>
      <c r="AB92" t="inlineStr">
        <is>
          <t>No Appointment Made</t>
        </is>
      </c>
      <c r="AC92"/>
      <c r="AD92" t="inlineStr">
        <is>
          <t>sales 2 kl</t>
        </is>
      </c>
      <c r="AE92"/>
      <c r="AF92">
        <v>2000</v>
      </c>
      <c r="AG92" s="4"/>
      <c r="AH92" s="4"/>
      <c r="AI92"/>
      <c r="AJ92">
        <v>1</v>
      </c>
      <c r="AK92" t="inlineStr">
        <is>
          <t>No, I don't need at all</t>
        </is>
      </c>
      <c r="AL92">
        <v>1</v>
      </c>
      <c r="AM92" t="inlineStr">
        <is>
          <t>No, I don't need at all</t>
        </is>
      </c>
      <c r="AN92"/>
      <c r="AO92" t="inlineStr">
        <is>
          <t>No, I don't need at all</t>
        </is>
      </c>
      <c r="AP92" t="inlineStr">
        <is>
          <t>Once a year (25%)</t>
        </is>
      </c>
      <c r="AQ92"/>
      <c r="AR92" t="inlineStr">
        <is>
          <t>Jobstreet</t>
        </is>
      </c>
      <c r="AS92" t="inlineStr">
        <is>
          <t>- Headcount: 2
- Hiring Job Details: sales 2 kl
- Hiring Urgency: Hiring Now
- Number of outlets: 1
- Have recruiter team: No, I don't need at all
- Number of recruiter in company: 1
- Have ATS system: No, I don't need at all
- Have career website: No, I don't need at all
- Current hiring budget: RM2,000.00
- Whole year budget: 
- Whole year number of vacancies: 
- Hiring frequency: Once a year (25%)
- External job portal: Jobstreet</t>
        </is>
      </c>
      <c r="AT92">
        <v>95</v>
      </c>
      <c r="AU92" t="inlineStr">
        <is>
          <t>0.95</t>
        </is>
      </c>
      <c r="AV92" t="inlineStr">
        <is>
          <t>15</t>
        </is>
      </c>
      <c r="AW92" t="inlineStr">
        <is>
          <t>0</t>
        </is>
      </c>
      <c r="AX92" t="inlineStr">
        <is>
          <t>Not Qualified</t>
        </is>
      </c>
      <c r="AY92" s="4"/>
      <c r="AZ92"/>
      <c r="BA92"/>
      <c r="BB92"/>
      <c r="BC92" t="inlineStr">
        <is>
          <t>- Headcount: 2
- Hiring Job Details: sales 2 kl
- Hiring Urgency: Hiring Now
- Number of outlets: 1
- Have recruiter team: No, I don't need at all
- Number of recruiter in company: 1
- Have ATS system: No, I don't need at all
- Have career website: No, I don't need at all
- Current hiring budget: RM2,000.00
- Whole year budget: 
- Whole year number of vacancies: 
- Hiring frequency: Once a year (25%)
- External job portal: Jobstreet</t>
        </is>
      </c>
      <c r="BD92" s="4">
        <v>46139.75015046296</v>
      </c>
      <c r="BE92" t="inlineStr">
        <is>
          <t>paid</t>
        </is>
      </c>
      <c r="BF92"/>
      <c r="BG92" t="inlineStr">
        <is>
          <t>Reschedule</t>
        </is>
      </c>
      <c r="BH92" t="inlineStr">
        <is>
          <t>Fauziah Maharan</t>
        </is>
      </c>
      <c r="BI92" t="inlineStr">
        <is>
          <t>Repair / Maintenance</t>
        </is>
      </c>
      <c r="BJ92" s="4">
        <v>46144.751122685186</v>
      </c>
      <c r="BK92" s="4">
        <v>44856.79770833333</v>
      </c>
      <c r="BL92" t="inlineStr">
        <is>
          <t>2160.0</t>
        </is>
      </c>
      <c r="BM92" t="inlineStr">
        <is>
          <t>0.0</t>
        </is>
      </c>
      <c r="BN92" t="inlineStr">
        <is>
          <t>User Visit(Logged In)</t>
        </is>
      </c>
      <c r="BO92" s="4">
        <v>46144.37226851852</v>
      </c>
      <c r="BP92">
        <v>169214</v>
      </c>
      <c r="BQ92">
        <v>124130</v>
      </c>
      <c r="BR92" t="inlineStr">
        <is>
          <t>Proforma</t>
        </is>
      </c>
      <c r="BS92" t="inlineStr">
        <is>
          <t>Free Part-Time Job</t>
        </is>
      </c>
      <c r="BT92">
        <v>80499</v>
      </c>
      <c r="BU92"/>
      <c r="BV92">
        <v>2731572</v>
      </c>
      <c r="BW92" t="inlineStr">
        <is>
          <t>Customer Inquiry</t>
        </is>
      </c>
      <c r="BX92">
        <v>4</v>
      </c>
      <c r="BY92">
        <v>2</v>
      </c>
      <c r="BZ92" s="4">
        <v>46142.34664351852</v>
      </c>
      <c r="CA92"/>
      <c r="CB92"/>
      <c r="CC92" s="4"/>
      <c r="CD92" t="inlineStr">
        <is>
          <t>20</t>
        </is>
      </c>
      <c r="CE92" t="inlineStr">
        <is>
          <t>0</t>
        </is>
      </c>
      <c r="CF92" t="inlineStr">
        <is>
          <t>Q2-W04</t>
        </is>
      </c>
      <c r="CG92" t="inlineStr">
        <is>
          <t>Q2-W04</t>
        </is>
      </c>
      <c r="CH92"/>
      <c r="CI92"/>
      <c r="CJ92" t="inlineStr">
        <is>
          <t>Paid</t>
        </is>
      </c>
      <c r="CK92" t="inlineStr">
        <is>
          <t>Not Eligible</t>
        </is>
      </c>
      <c r="CL92"/>
      <c r="CM92"/>
    </row>
    <row r="93" ht="25.5" customHeight="1">
      <c r="A93" t="inlineStr">
        <is>
          <t>183410</t>
        </is>
      </c>
      <c r="B93" s="2"/>
      <c r="C93"/>
      <c r="D93" s="3">
        <v>46139.748564814814</v>
      </c>
      <c r="E93" t="inlineStr">
        <is>
          <t>Q2-W04</t>
        </is>
      </c>
      <c r="F93" t="inlineStr">
        <is>
          <t>Jess</t>
        </is>
      </c>
      <c r="G93" t="inlineStr">
        <is>
          <t>Customer</t>
        </is>
      </c>
      <c r="H93" s="2" t="str">
        <f>=HYPERLINK("https://upbox.ajobthing.my/customer/183410", "https://upbox.ajobthing.my/customer/183410")</f>
        <v>https://upbox.ajobthing.my/customer/183410</v>
      </c>
      <c r="I93" t="inlineStr">
        <is>
          <t>Eastway Comnaga Sdn Bhd</t>
        </is>
      </c>
      <c r="J93" t="inlineStr">
        <is>
          <t>Dolphin</t>
        </is>
      </c>
      <c r="K93" t="inlineStr">
        <is>
          <t>Jess Lim</t>
        </is>
      </c>
      <c r="L93" s="4"/>
      <c r="M93" s="4">
        <v>46139.74774305556</v>
      </c>
      <c r="N93"/>
      <c r="O93">
        <v>3888</v>
      </c>
      <c r="P93" s="4"/>
      <c r="Q93" s="4">
        <v>46139.676145833335</v>
      </c>
      <c r="R93"/>
      <c r="S93">
        <v>864</v>
      </c>
      <c r="T93" s="4">
        <v>46139.676145833335</v>
      </c>
      <c r="U93" s="4"/>
      <c r="V93"/>
      <c r="W93">
        <v>864</v>
      </c>
      <c r="X93"/>
      <c r="Y93" t="inlineStr">
        <is>
          <t>Pending Appointment</t>
        </is>
      </c>
      <c r="Z93" t="inlineStr">
        <is>
          <t>Hiring Now</t>
        </is>
      </c>
      <c r="AA93">
        <v>1</v>
      </c>
      <c r="AB93" t="inlineStr">
        <is>
          <t>No Appointment Made</t>
        </is>
      </c>
      <c r="AC93"/>
      <c r="AD93" t="inlineStr">
        <is>
          <t>production operato kl 1</t>
        </is>
      </c>
      <c r="AE93"/>
      <c r="AF93">
        <v>800</v>
      </c>
      <c r="AG93" s="4"/>
      <c r="AH93" s="4"/>
      <c r="AI93"/>
      <c r="AJ93">
        <v>1</v>
      </c>
      <c r="AK93" t="inlineStr">
        <is>
          <t>No, I don't need at all</t>
        </is>
      </c>
      <c r="AL93">
        <v>1</v>
      </c>
      <c r="AM93" t="inlineStr">
        <is>
          <t>No, I don't need at all</t>
        </is>
      </c>
      <c r="AN93"/>
      <c r="AO93" t="inlineStr">
        <is>
          <t>No, I don't need at all</t>
        </is>
      </c>
      <c r="AP93" t="inlineStr">
        <is>
          <t>Once a year (25%)</t>
        </is>
      </c>
      <c r="AQ93"/>
      <c r="AR93" t="inlineStr">
        <is>
          <t>Jobstreet</t>
        </is>
      </c>
      <c r="AS93" t="inlineStr">
        <is>
          <t>- Headcount: 1
- Hiring Job Details: production operato kl 1
- Hiring Urgency: Hiring Now
- Number of outlets: 1
- Have recruiter team: No, I don't need at all
- Number of recruiter in company: 1
- Have ATS system: No, I don't need at all
- Have career website: No, I don't need at all
- Current hiring budget: RM800.00
- Whole year budget: 
- Whole year number of vacancies: 
- Hiring frequency: Once a year (25%)
- External job portal: Jobstreet</t>
        </is>
      </c>
      <c r="AT93">
        <v>95</v>
      </c>
      <c r="AU93" t="inlineStr">
        <is>
          <t>0.95</t>
        </is>
      </c>
      <c r="AV93" t="inlineStr">
        <is>
          <t>15</t>
        </is>
      </c>
      <c r="AW93" t="inlineStr">
        <is>
          <t>0</t>
        </is>
      </c>
      <c r="AX93" t="inlineStr">
        <is>
          <t>Not Qualified</t>
        </is>
      </c>
      <c r="AY93" s="4"/>
      <c r="AZ93"/>
      <c r="BA93"/>
      <c r="BB93"/>
      <c r="BC93" t="inlineStr">
        <is>
          <t>- Headcount: 1
- Hiring Job Details: production operato kl 1
- Hiring Urgency: Hiring Now
- Number of outlets: 1
- Have recruiter team: No, I don't need at all
- Number of recruiter in company: 1
- Have ATS system: No, I don't need at all
- Have career website: No, I don't need at all
- Current hiring budget: RM800.00
- Whole year budget: 
- Whole year number of vacancies: 
- Hiring frequency: Once a year (25%)
- External job portal: Jobstreet</t>
        </is>
      </c>
      <c r="BD93" s="4">
        <v>46139.75015046296</v>
      </c>
      <c r="BE93" t="inlineStr">
        <is>
          <t>paid</t>
        </is>
      </c>
      <c r="BF93" t="inlineStr">
        <is>
          <t>Q2-W04</t>
        </is>
      </c>
      <c r="BG93" t="inlineStr">
        <is>
          <t>Reschedule</t>
        </is>
      </c>
      <c r="BH93" t="inlineStr">
        <is>
          <t>Fauziah Maharan</t>
        </is>
      </c>
      <c r="BI93" t="inlineStr">
        <is>
          <t>Manufacturing / Production</t>
        </is>
      </c>
      <c r="BJ93" s="4">
        <v>46144.751967592594</v>
      </c>
      <c r="BK93" s="4">
        <v>45569.43085648148</v>
      </c>
      <c r="BL93" t="inlineStr">
        <is>
          <t>2052.0</t>
        </is>
      </c>
      <c r="BM93" t="inlineStr">
        <is>
          <t>1800.0</t>
        </is>
      </c>
      <c r="BN93" t="inlineStr">
        <is>
          <t>View Company Page</t>
        </is>
      </c>
      <c r="BO93" s="4">
        <v>46142.68200231482</v>
      </c>
      <c r="BP93">
        <v>169123</v>
      </c>
      <c r="BQ93">
        <v>94817</v>
      </c>
      <c r="BR93" t="inlineStr">
        <is>
          <t>Online</t>
        </is>
      </c>
      <c r="BS93"/>
      <c r="BT93">
        <v>94817</v>
      </c>
      <c r="BU93"/>
      <c r="BV93">
        <v>2731574</v>
      </c>
      <c r="BW93" t="inlineStr">
        <is>
          <t>Customer Inquiry</t>
        </is>
      </c>
      <c r="BX93">
        <v>3</v>
      </c>
      <c r="BY93">
        <v>2</v>
      </c>
      <c r="BZ93" s="4">
        <v>46139.676157407404</v>
      </c>
      <c r="CA93">
        <v>10</v>
      </c>
      <c r="CB93">
        <v>10</v>
      </c>
      <c r="CC93" s="4"/>
      <c r="CD93" t="inlineStr">
        <is>
          <t>20</t>
        </is>
      </c>
      <c r="CE93" t="inlineStr">
        <is>
          <t>0</t>
        </is>
      </c>
      <c r="CF93" t="inlineStr">
        <is>
          <t>Q2-W04</t>
        </is>
      </c>
      <c r="CG93" t="inlineStr">
        <is>
          <t>Q2-W04</t>
        </is>
      </c>
      <c r="CH93" t="inlineStr">
        <is>
          <t>Q2-W04</t>
        </is>
      </c>
      <c r="CI93"/>
      <c r="CJ93" t="inlineStr">
        <is>
          <t>Paid</t>
        </is>
      </c>
      <c r="CK93" t="inlineStr">
        <is>
          <t>Not Eligible</t>
        </is>
      </c>
      <c r="CL93"/>
      <c r="CM93"/>
    </row>
    <row r="94" ht="25.5" customHeight="1">
      <c r="A94" t="inlineStr">
        <is>
          <t>39344</t>
        </is>
      </c>
      <c r="B94" s="2"/>
      <c r="C94"/>
      <c r="D94" s="3">
        <v>46139.74962962963</v>
      </c>
      <c r="E94" t="inlineStr">
        <is>
          <t>Q2-W04</t>
        </is>
      </c>
      <c r="F94" t="inlineStr">
        <is>
          <t>Alan KY</t>
        </is>
      </c>
      <c r="G94" t="inlineStr">
        <is>
          <t>Customer</t>
        </is>
      </c>
      <c r="H94" s="2" t="str">
        <f>=HYPERLINK("https://upbox.ajobthing.my/customer/39344", "https://upbox.ajobthing.my/customer/39344")</f>
        <v>https://upbox.ajobthing.my/customer/39344</v>
      </c>
      <c r="I94" t="inlineStr">
        <is>
          <t>Yew Siong Industrial Supplies Sdn Bhd</t>
        </is>
      </c>
      <c r="J94" t="inlineStr">
        <is>
          <t>Dolphin</t>
        </is>
      </c>
      <c r="K94" t="inlineStr">
        <is>
          <t>Alan KY</t>
        </is>
      </c>
      <c r="L94" s="4"/>
      <c r="M94" s="4">
        <v>46139.74765046296</v>
      </c>
      <c r="N94"/>
      <c r="O94">
        <v>3672</v>
      </c>
      <c r="P94" s="4"/>
      <c r="Q94" s="4">
        <v>46142.88153935185</v>
      </c>
      <c r="R94"/>
      <c r="S94">
        <v>1296</v>
      </c>
      <c r="T94" s="4">
        <v>46142.88153935185</v>
      </c>
      <c r="U94" s="4"/>
      <c r="V94"/>
      <c r="W94">
        <v>1296</v>
      </c>
      <c r="X94"/>
      <c r="Y94" t="inlineStr">
        <is>
          <t>Pending Appointment</t>
        </is>
      </c>
      <c r="Z94" t="inlineStr">
        <is>
          <t>Hiring Now</t>
        </is>
      </c>
      <c r="AA94">
        <v>3</v>
      </c>
      <c r="AB94" t="inlineStr">
        <is>
          <t>No Appointment Made</t>
        </is>
      </c>
      <c r="AC94"/>
      <c r="AD94" t="inlineStr">
        <is>
          <t xml:space="preserve">3 sales (2 kl 1 johor) </t>
        </is>
      </c>
      <c r="AE94"/>
      <c r="AF94"/>
      <c r="AG94" s="4"/>
      <c r="AH94" s="4"/>
      <c r="AI94"/>
      <c r="AJ94">
        <v>2</v>
      </c>
      <c r="AK94" t="inlineStr">
        <is>
          <t>No, I don't need at all</t>
        </is>
      </c>
      <c r="AL94">
        <v>0</v>
      </c>
      <c r="AM94" t="inlineStr">
        <is>
          <t>No, I don't need at all</t>
        </is>
      </c>
      <c r="AN94"/>
      <c r="AO94" t="inlineStr">
        <is>
          <t>No, I don't need at all</t>
        </is>
      </c>
      <c r="AP94" t="inlineStr">
        <is>
          <t>Once per quarter (75%)</t>
        </is>
      </c>
      <c r="AQ94"/>
      <c r="AR94" t="inlineStr">
        <is>
          <t>Jobstreet</t>
        </is>
      </c>
      <c r="AS94" t="inlineStr">
        <is>
          <t>- Headcount: 3
- Hiring Job Details: 3 sales (2 kl 1 johor)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94">
        <v>95</v>
      </c>
      <c r="AU94" t="inlineStr">
        <is>
          <t>0.95</t>
        </is>
      </c>
      <c r="AV94" t="inlineStr">
        <is>
          <t>5</t>
        </is>
      </c>
      <c r="AW94" t="inlineStr">
        <is>
          <t>0</t>
        </is>
      </c>
      <c r="AX94" t="inlineStr">
        <is>
          <t>Not Qualified</t>
        </is>
      </c>
      <c r="AY94" s="4"/>
      <c r="AZ94"/>
      <c r="BA94"/>
      <c r="BB94"/>
      <c r="BC94" t="inlineStr">
        <is>
          <t>Payment done - submit to assign</t>
        </is>
      </c>
      <c r="BD94" s="4">
        <v>46142.6947337963</v>
      </c>
      <c r="BE94" t="inlineStr">
        <is>
          <t>paid</t>
        </is>
      </c>
      <c r="BF94" t="inlineStr">
        <is>
          <t>Q2-W04</t>
        </is>
      </c>
      <c r="BG94" t="inlineStr">
        <is>
          <t>Reschedule</t>
        </is>
      </c>
      <c r="BH94" t="inlineStr">
        <is>
          <t>Reagen</t>
        </is>
      </c>
      <c r="BI94" t="inlineStr">
        <is>
          <t>General / Wholesale Trading</t>
        </is>
      </c>
      <c r="BJ94" s="4">
        <v>46144.75506944444</v>
      </c>
      <c r="BK94" s="4">
        <v>42925.62905092593</v>
      </c>
      <c r="BL94" t="inlineStr">
        <is>
          <t>0.0</t>
        </is>
      </c>
      <c r="BM94" t="inlineStr">
        <is>
          <t>3000.0</t>
        </is>
      </c>
      <c r="BN94" t="inlineStr">
        <is>
          <t>View Shop</t>
        </is>
      </c>
      <c r="BO94" s="4">
        <v>43675.638819444444</v>
      </c>
      <c r="BP94">
        <v>169122</v>
      </c>
      <c r="BQ94">
        <v>95227</v>
      </c>
      <c r="BR94" t="inlineStr">
        <is>
          <t>Online</t>
        </is>
      </c>
      <c r="BS94"/>
      <c r="BT94">
        <v>95227</v>
      </c>
      <c r="BU94"/>
      <c r="BV94">
        <v>2738219</v>
      </c>
      <c r="BW94" t="inlineStr">
        <is>
          <t>Follow Up : Win - Customer Paid</t>
        </is>
      </c>
      <c r="BX94">
        <v>1</v>
      </c>
      <c r="BY94">
        <v>1</v>
      </c>
      <c r="BZ94" s="4"/>
      <c r="CA94"/>
      <c r="CB94"/>
      <c r="CC94" s="4"/>
      <c r="CD94" t="inlineStr">
        <is>
          <t>5</t>
        </is>
      </c>
      <c r="CE94" t="inlineStr">
        <is>
          <t>0</t>
        </is>
      </c>
      <c r="CF94" t="inlineStr">
        <is>
          <t>Q2-W04</t>
        </is>
      </c>
      <c r="CG94" t="inlineStr">
        <is>
          <t>Q2-W04</t>
        </is>
      </c>
      <c r="CH94" t="inlineStr">
        <is>
          <t>Q2-W04</t>
        </is>
      </c>
      <c r="CI94"/>
      <c r="CJ94" t="inlineStr">
        <is>
          <t>Paid</t>
        </is>
      </c>
      <c r="CK94" t="inlineStr">
        <is>
          <t>Not Eligible</t>
        </is>
      </c>
      <c r="CL94"/>
      <c r="CM94"/>
    </row>
    <row r="95" ht="25.5" customHeight="1">
      <c r="A95" t="inlineStr">
        <is>
          <t>186508</t>
        </is>
      </c>
      <c r="B95" s="2"/>
      <c r="C95"/>
      <c r="D95" s="3">
        <v>46139.765</v>
      </c>
      <c r="E95" t="inlineStr">
        <is>
          <t>Q2-W04</t>
        </is>
      </c>
      <c r="F95" t="inlineStr">
        <is>
          <t>Jess</t>
        </is>
      </c>
      <c r="G95" t="inlineStr">
        <is>
          <t>Customer</t>
        </is>
      </c>
      <c r="H95" s="2" t="str">
        <f>=HYPERLINK("https://upbox.ajobthing.my/customer/186508", "https://upbox.ajobthing.my/customer/186508")</f>
        <v>https://upbox.ajobthing.my/customer/186508</v>
      </c>
      <c r="I95" t="inlineStr">
        <is>
          <t>Juicy Beverages&amp;nbsp;Sdn&amp;nbsp;Bhd</t>
        </is>
      </c>
      <c r="J95" t="inlineStr">
        <is>
          <t>Dolphin</t>
        </is>
      </c>
      <c r="K95" t="inlineStr">
        <is>
          <t>Jess Lim</t>
        </is>
      </c>
      <c r="L95" s="4"/>
      <c r="M95" s="4">
        <v>46139.7656712963</v>
      </c>
      <c r="N95"/>
      <c r="O95">
        <v>3888</v>
      </c>
      <c r="P95" s="4"/>
      <c r="Q95" s="4">
        <v>45665.39407407407</v>
      </c>
      <c r="R95"/>
      <c r="S95">
        <v>2700</v>
      </c>
      <c r="T95" s="4">
        <v>45665.39407407407</v>
      </c>
      <c r="U95" s="4"/>
      <c r="V95"/>
      <c r="W95">
        <v>2700</v>
      </c>
      <c r="X95"/>
      <c r="Y95" t="inlineStr">
        <is>
          <t>Pending Appointment</t>
        </is>
      </c>
      <c r="Z95" t="inlineStr">
        <is>
          <t>Hiring Now</t>
        </is>
      </c>
      <c r="AA95">
        <v>2</v>
      </c>
      <c r="AB95" t="inlineStr">
        <is>
          <t>No Appointment Made</t>
        </is>
      </c>
      <c r="AC95"/>
      <c r="AD95" t="inlineStr">
        <is>
          <t>account assitant 2</t>
        </is>
      </c>
      <c r="AE95"/>
      <c r="AF95">
        <v>2900</v>
      </c>
      <c r="AG95" s="4"/>
      <c r="AH95" s="4"/>
      <c r="AI95"/>
      <c r="AJ95">
        <v>1</v>
      </c>
      <c r="AK95" t="inlineStr">
        <is>
          <t>No, I don't need at all</t>
        </is>
      </c>
      <c r="AL95">
        <v>1</v>
      </c>
      <c r="AM95" t="inlineStr">
        <is>
          <t>No, I don't need at all</t>
        </is>
      </c>
      <c r="AN95"/>
      <c r="AO95" t="inlineStr">
        <is>
          <t>No, I don't need at all</t>
        </is>
      </c>
      <c r="AP95" t="inlineStr">
        <is>
          <t>Once a year (25%)</t>
        </is>
      </c>
      <c r="AQ95"/>
      <c r="AR95" t="inlineStr">
        <is>
          <t>Jobstreet</t>
        </is>
      </c>
      <c r="AS95" t="inlineStr">
        <is>
          <t>- Headcount: 2
- Hiring Job Details: account assitant 2
- Hiring Urgency: Hiring Now
- Number of outlets: 1
- Have recruiter team: No, I don't need at all
- Number of recruiter in company: 1
- Have ATS system: No, I don't need at all
- Have career website: No, I don't need at all
- Current hiring budget: RM2,900.00
- Whole year budget: 
- Whole year number of vacancies: 
- Hiring frequency: Once a year (25%)
- External job portal: Jobstreet</t>
        </is>
      </c>
      <c r="AT95">
        <v>95</v>
      </c>
      <c r="AU95" t="inlineStr">
        <is>
          <t>0.95</t>
        </is>
      </c>
      <c r="AV95" t="inlineStr">
        <is>
          <t>15</t>
        </is>
      </c>
      <c r="AW95" t="inlineStr">
        <is>
          <t>0</t>
        </is>
      </c>
      <c r="AX95" t="inlineStr">
        <is>
          <t>Not Qualified</t>
        </is>
      </c>
      <c r="AY95" s="4"/>
      <c r="AZ95"/>
      <c r="BA95"/>
      <c r="BB95"/>
      <c r="BC95" t="inlineStr">
        <is>
          <t>- Headcount: 2
- Hiring Job Details: account assitant 2
- Hiring Urgency: Hiring Now
- Number of outlets: 1
- Have recruiter team: No, I don't need at all
- Number of recruiter in company: 1
- Have ATS system: No, I don't need at all
- Have career website: No, I don't need at all
- Current hiring budget: RM2,900.00
- Whole year budget: 
- Whole year number of vacancies: 
- Hiring frequency: Once a year (25%)
- External job portal: Jobstreet</t>
        </is>
      </c>
      <c r="BD95" s="4">
        <v>46139.79172453703</v>
      </c>
      <c r="BE95" t="inlineStr">
        <is>
          <t>paid</t>
        </is>
      </c>
      <c r="BF95"/>
      <c r="BG95" t="inlineStr">
        <is>
          <t>Reschedule</t>
        </is>
      </c>
      <c r="BH95" t="inlineStr">
        <is>
          <t>Fauziah Maharan</t>
        </is>
      </c>
      <c r="BI95" t="inlineStr">
        <is>
          <t>Food / Beverage</t>
        </is>
      </c>
      <c r="BJ95" s="4">
        <v>46144.752118055556</v>
      </c>
      <c r="BK95" s="4">
        <v>45664.57744212963</v>
      </c>
      <c r="BL95" t="inlineStr">
        <is>
          <t>0.0</t>
        </is>
      </c>
      <c r="BM95" t="inlineStr">
        <is>
          <t>0.0</t>
        </is>
      </c>
      <c r="BN95" t="inlineStr">
        <is>
          <t>User Visit(Logged In)</t>
        </is>
      </c>
      <c r="BO95" s="4">
        <v>46139.777349537035</v>
      </c>
      <c r="BP95">
        <v>169126</v>
      </c>
      <c r="BQ95">
        <v>75945</v>
      </c>
      <c r="BR95" t="inlineStr">
        <is>
          <t>Online</t>
        </is>
      </c>
      <c r="BS95"/>
      <c r="BT95">
        <v>75945</v>
      </c>
      <c r="BU95"/>
      <c r="BV95">
        <v>2731636</v>
      </c>
      <c r="BW95" t="inlineStr">
        <is>
          <t>Customer Inquiry</t>
        </is>
      </c>
      <c r="BX95"/>
      <c r="BY95"/>
      <c r="BZ95" s="4"/>
      <c r="CA95"/>
      <c r="CB95"/>
      <c r="CC95" s="4"/>
      <c r="CD95" t="inlineStr">
        <is>
          <t>20</t>
        </is>
      </c>
      <c r="CE95" t="inlineStr">
        <is>
          <t>0</t>
        </is>
      </c>
      <c r="CF95" t="inlineStr">
        <is>
          <t>Q2-W04</t>
        </is>
      </c>
      <c r="CG95"/>
      <c r="CH95"/>
      <c r="CI95"/>
      <c r="CJ95" t="inlineStr">
        <is>
          <t>Paid</t>
        </is>
      </c>
      <c r="CK95" t="inlineStr">
        <is>
          <t>Not Eligible</t>
        </is>
      </c>
      <c r="CL95"/>
      <c r="CM95"/>
    </row>
    <row r="96" ht="25.5" customHeight="1">
      <c r="A96" t="inlineStr">
        <is>
          <t>199444</t>
        </is>
      </c>
      <c r="B96" s="2"/>
      <c r="C96"/>
      <c r="D96" s="3">
        <v>46140.365266203706</v>
      </c>
      <c r="E96" t="inlineStr">
        <is>
          <t>Q2-W04</t>
        </is>
      </c>
      <c r="F96" t="inlineStr">
        <is>
          <t>Luqman</t>
        </is>
      </c>
      <c r="G96" t="inlineStr">
        <is>
          <t>Customer</t>
        </is>
      </c>
      <c r="H96" s="2" t="str">
        <f>=HYPERLINK("https://upbox.ajobthing.my/customer/199444", "https://upbox.ajobthing.my/customer/199444")</f>
        <v>https://upbox.ajobthing.my/customer/199444</v>
      </c>
      <c r="I96" t="inlineStr">
        <is>
          <t>Company Confidential</t>
        </is>
      </c>
      <c r="J96" t="inlineStr">
        <is>
          <t>Dolphin</t>
        </is>
      </c>
      <c r="K96" t="inlineStr">
        <is>
          <t>Luqman</t>
        </is>
      </c>
      <c r="L96" s="4"/>
      <c r="M96" s="4">
        <v>46140.36537037037</v>
      </c>
      <c r="N96"/>
      <c r="O96">
        <v>3888</v>
      </c>
      <c r="P96" s="4"/>
      <c r="Q96" s="4"/>
      <c r="R96"/>
      <c r="S96"/>
      <c r="T96" s="4"/>
      <c r="U96" s="4"/>
      <c r="V96"/>
      <c r="W96"/>
      <c r="X96"/>
      <c r="Y96" t="inlineStr">
        <is>
          <t>Pending Appointment</t>
        </is>
      </c>
      <c r="Z96" t="inlineStr">
        <is>
          <t>Hiring Later</t>
        </is>
      </c>
      <c r="AA96">
        <v>4</v>
      </c>
      <c r="AB96" t="inlineStr">
        <is>
          <t>No Appointment Made</t>
        </is>
      </c>
      <c r="AC96"/>
      <c r="AD96" t="inlineStr">
        <is>
          <t xml:space="preserve">1. Supervisor 
2. Fit Manager 
3. Branch Manager
4. HR Executive </t>
        </is>
      </c>
      <c r="AE96"/>
      <c r="AF96">
        <v>3600</v>
      </c>
      <c r="AG96" s="4"/>
      <c r="AH96" s="4"/>
      <c r="AI96">
        <v>3600</v>
      </c>
      <c r="AJ96"/>
      <c r="AK96" t="inlineStr">
        <is>
          <t>Yes, I have</t>
        </is>
      </c>
      <c r="AL96">
        <v>4</v>
      </c>
      <c r="AM96" t="inlineStr">
        <is>
          <t>No, I don't need at all</t>
        </is>
      </c>
      <c r="AN96"/>
      <c r="AO96" t="inlineStr">
        <is>
          <t>No, but I want in future</t>
        </is>
      </c>
      <c r="AP96" t="inlineStr">
        <is>
          <t>Once a year (25%)</t>
        </is>
      </c>
      <c r="AQ96">
        <v>6</v>
      </c>
      <c r="AR96" t="inlineStr">
        <is>
          <t>Jobstreet</t>
        </is>
      </c>
      <c r="AS96" t="inlineStr">
        <is>
          <t>- Headcount: 4
- Hiring Job Details: 1. Supervisor 2. Fit Manager 3. Branch Manager 4. HR Executive
- Hiring Urgency: Hiring Later
- Number of outlets: None
- Have recruiter team: Yes
- Number of recruiter in company: 4
- Have ATS system: No, don't need at all
- Have career website: No, but want in future
- Current hiring budget: RM3,600
- Whole year budget: RM3,600.00
- Whole year number of vacancies: 6
- Hiring frequency: Once a year (25%)
- External job portal: Jobstreet</t>
        </is>
      </c>
      <c r="AT96">
        <v>75</v>
      </c>
      <c r="AU96" t="inlineStr">
        <is>
          <t>0.75</t>
        </is>
      </c>
      <c r="AV96" t="inlineStr">
        <is>
          <t>15</t>
        </is>
      </c>
      <c r="AW96" t="inlineStr">
        <is>
          <t>0</t>
        </is>
      </c>
      <c r="AX96" t="inlineStr">
        <is>
          <t>Not Qualified</t>
        </is>
      </c>
      <c r="AY96" s="4"/>
      <c r="AZ96"/>
      <c r="BA96"/>
      <c r="BB96"/>
      <c r="BC96" t="inlineStr">
        <is>
          <t>- Headcount: 4
- Hiring Job Details: 1. Supervisor 2. Fit Manager 3. Branch Manager 4. HR Executive
- Hiring Urgency: Hiring Later
- Number of outlets: None
- Have recruiter team: Yes
- Number of recruiter in company: 4
- Have ATS system: No, don't need at all
- Have career website: No, but want in future
- Current hiring budget: RM3,600
- Whole year budget: RM3,600.00
- Whole year number of vacancies: 6
- Hiring frequency: Once a year (25%)
- External job portal: Jobstreet</t>
        </is>
      </c>
      <c r="BD96" s="4">
        <v>46140.375185185185</v>
      </c>
      <c r="BE96"/>
      <c r="BF96"/>
      <c r="BG96" t="inlineStr">
        <is>
          <t>Reschedule</t>
        </is>
      </c>
      <c r="BH96" t="inlineStr">
        <is>
          <t>Edward Hoo</t>
        </is>
      </c>
      <c r="BI96"/>
      <c r="BJ96" s="4">
        <v>46144.75329861111</v>
      </c>
      <c r="BK96" s="4">
        <v>46007.62862268519</v>
      </c>
      <c r="BL96" t="inlineStr">
        <is>
          <t>0.0</t>
        </is>
      </c>
      <c r="BM96" t="inlineStr">
        <is>
          <t>3000.0</t>
        </is>
      </c>
      <c r="BN96" t="inlineStr">
        <is>
          <t>View Create Job Page V4</t>
        </is>
      </c>
      <c r="BO96" s="4">
        <v>46007.62892361111</v>
      </c>
      <c r="BP96">
        <v>169128</v>
      </c>
      <c r="BQ96"/>
      <c r="BR96"/>
      <c r="BS96"/>
      <c r="BT96"/>
      <c r="BU96"/>
      <c r="BV96">
        <v>2731666</v>
      </c>
      <c r="BW96" t="inlineStr">
        <is>
          <t>Customer Inquiry</t>
        </is>
      </c>
      <c r="BX96"/>
      <c r="BY96"/>
      <c r="BZ96" s="4"/>
      <c r="CA96"/>
      <c r="CB96"/>
      <c r="CC96" s="4"/>
      <c r="CD96" t="inlineStr">
        <is>
          <t>20</t>
        </is>
      </c>
      <c r="CE96" t="inlineStr">
        <is>
          <t>0</t>
        </is>
      </c>
      <c r="CF96" t="inlineStr">
        <is>
          <t>Q2-W04</t>
        </is>
      </c>
      <c r="CG96"/>
      <c r="CH96"/>
      <c r="CI96"/>
      <c r="CJ96" t="inlineStr">
        <is>
          <t>No Paid</t>
        </is>
      </c>
      <c r="CK96" t="inlineStr">
        <is>
          <t>Not Eligible</t>
        </is>
      </c>
      <c r="CL96"/>
      <c r="CM96"/>
    </row>
    <row r="97" ht="25.5" customHeight="1">
      <c r="A97" t="inlineStr">
        <is>
          <t>203722</t>
        </is>
      </c>
      <c r="B97" s="2"/>
      <c r="C97"/>
      <c r="D97" s="3">
        <v>46140.43221064815</v>
      </c>
      <c r="E97" t="inlineStr">
        <is>
          <t>Q2-W04</t>
        </is>
      </c>
      <c r="F97" t="inlineStr">
        <is>
          <t>Keegan</t>
        </is>
      </c>
      <c r="G97" t="inlineStr">
        <is>
          <t>Customer</t>
        </is>
      </c>
      <c r="H97" s="2" t="str">
        <f>=HYPERLINK("https://upbox.ajobthing.my/customer/203722", "https://upbox.ajobthing.my/customer/203722")</f>
        <v>https://upbox.ajobthing.my/customer/203722</v>
      </c>
      <c r="I97" t="inlineStr">
        <is>
          <t>Platinium Total Logistics Sdn Bhd</t>
        </is>
      </c>
      <c r="J97" t="inlineStr">
        <is>
          <t>Dolphin</t>
        </is>
      </c>
      <c r="K97" t="inlineStr">
        <is>
          <t>Keegan</t>
        </is>
      </c>
      <c r="L97" s="4"/>
      <c r="M97" s="4">
        <v>46140.43234953703</v>
      </c>
      <c r="N97"/>
      <c r="O97">
        <v>6048</v>
      </c>
      <c r="P97" s="4"/>
      <c r="Q97" s="4"/>
      <c r="R97"/>
      <c r="S97"/>
      <c r="T97" s="4"/>
      <c r="U97" s="4"/>
      <c r="V97"/>
      <c r="W97"/>
      <c r="X97"/>
      <c r="Y97" t="inlineStr">
        <is>
          <t>Pending Appointment</t>
        </is>
      </c>
      <c r="Z97" t="inlineStr">
        <is>
          <t>Hiring Now</t>
        </is>
      </c>
      <c r="AA97">
        <v>3</v>
      </c>
      <c r="AB97" t="inlineStr">
        <is>
          <t>No Appointment Made</t>
        </is>
      </c>
      <c r="AC97"/>
      <c r="AD97" t="inlineStr">
        <is>
          <t xml:space="preserve">1. Admin
2. Sales 
3. Marketing </t>
        </is>
      </c>
      <c r="AE97"/>
      <c r="AF97"/>
      <c r="AG97" s="4"/>
      <c r="AH97" s="4"/>
      <c r="AI97"/>
      <c r="AJ97">
        <v>1</v>
      </c>
      <c r="AK97" t="inlineStr">
        <is>
          <t>No, I don't need at all</t>
        </is>
      </c>
      <c r="AL97">
        <v>0</v>
      </c>
      <c r="AM97" t="inlineStr">
        <is>
          <t>No, I don't need at all</t>
        </is>
      </c>
      <c r="AN97"/>
      <c r="AO97" t="inlineStr">
        <is>
          <t>No, I don't need at all</t>
        </is>
      </c>
      <c r="AP97" t="inlineStr">
        <is>
          <t>Once per quarter (75%)</t>
        </is>
      </c>
      <c r="AQ97"/>
      <c r="AR97" t="inlineStr">
        <is>
          <t>Did not use any job portal</t>
        </is>
      </c>
      <c r="AS97" t="inlineStr">
        <is>
          <t>- Headcount: 3
- Hiring Job Details: 1. Admin\n2. Sales \n3.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97">
        <v>75</v>
      </c>
      <c r="AU97" t="inlineStr">
        <is>
          <t>0.75</t>
        </is>
      </c>
      <c r="AV97" t="inlineStr">
        <is>
          <t>5</t>
        </is>
      </c>
      <c r="AW97" t="inlineStr">
        <is>
          <t>0</t>
        </is>
      </c>
      <c r="AX97" t="inlineStr">
        <is>
          <t>Not Qualified</t>
        </is>
      </c>
      <c r="AY97" s="4"/>
      <c r="AZ97"/>
      <c r="BA97"/>
      <c r="BB97"/>
      <c r="BC97" t="inlineStr">
        <is>
          <t>- Headcount: 3
- Hiring Job Details: 1. Admin\n2. Sales \n3.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97" s="4">
        <v>46140.45835648148</v>
      </c>
      <c r="BE97"/>
      <c r="BF97"/>
      <c r="BG97" t="inlineStr">
        <is>
          <t>Reschedule</t>
        </is>
      </c>
      <c r="BH97" t="inlineStr">
        <is>
          <t>Edward Hoo</t>
        </is>
      </c>
      <c r="BI97"/>
      <c r="BJ97" s="4">
        <v>46144.75438657407</v>
      </c>
      <c r="BK97" s="4">
        <v>46140.33914351852</v>
      </c>
      <c r="BL97" t="inlineStr">
        <is>
          <t>0.0</t>
        </is>
      </c>
      <c r="BM97" t="inlineStr">
        <is>
          <t>0.0</t>
        </is>
      </c>
      <c r="BN97" t="inlineStr">
        <is>
          <t>User Visit(Logged In)</t>
        </is>
      </c>
      <c r="BO97" s="4">
        <v>46140.33917824074</v>
      </c>
      <c r="BP97">
        <v>169139</v>
      </c>
      <c r="BQ97"/>
      <c r="BR97"/>
      <c r="BS97"/>
      <c r="BT97"/>
      <c r="BU97"/>
      <c r="BV97">
        <v>2731991</v>
      </c>
      <c r="BW97" t="inlineStr">
        <is>
          <t>Customer Inquiry</t>
        </is>
      </c>
      <c r="BX97"/>
      <c r="BY97"/>
      <c r="BZ97" s="4"/>
      <c r="CA97"/>
      <c r="CB97"/>
      <c r="CC97" s="4"/>
      <c r="CD97" t="inlineStr">
        <is>
          <t>5</t>
        </is>
      </c>
      <c r="CE97" t="inlineStr">
        <is>
          <t>0</t>
        </is>
      </c>
      <c r="CF97" t="inlineStr">
        <is>
          <t>Q2-W04</t>
        </is>
      </c>
      <c r="CG97"/>
      <c r="CH97"/>
      <c r="CI97"/>
      <c r="CJ97" t="inlineStr">
        <is>
          <t>No Paid</t>
        </is>
      </c>
      <c r="CK97" t="inlineStr">
        <is>
          <t>Not Eligible</t>
        </is>
      </c>
      <c r="CL97"/>
      <c r="CM97"/>
    </row>
    <row r="98" ht="25.5" customHeight="1">
      <c r="A98" t="inlineStr">
        <is>
          <t>8020</t>
        </is>
      </c>
      <c r="B98" s="2"/>
      <c r="C98"/>
      <c r="D98" s="3">
        <v>46140.43722222222</v>
      </c>
      <c r="E98" t="inlineStr">
        <is>
          <t>Q2-W04</t>
        </is>
      </c>
      <c r="F98" t="inlineStr">
        <is>
          <t>Xin Hui</t>
        </is>
      </c>
      <c r="G98" t="inlineStr">
        <is>
          <t>Customer</t>
        </is>
      </c>
      <c r="H98" s="2" t="str">
        <f>=HYPERLINK("https://upbox.ajobthing.my/customer/8020", "https://upbox.ajobthing.my/customer/8020")</f>
        <v>https://upbox.ajobthing.my/customer/8020</v>
      </c>
      <c r="I98" t="inlineStr">
        <is>
          <t>HCMS Management Sdn. Bhd.</t>
        </is>
      </c>
      <c r="J98" t="inlineStr">
        <is>
          <t>Dolphin</t>
        </is>
      </c>
      <c r="K98" t="inlineStr">
        <is>
          <t>Xin Hui</t>
        </is>
      </c>
      <c r="L98" s="4"/>
      <c r="M98" s="4">
        <v>46140.439722222225</v>
      </c>
      <c r="N98"/>
      <c r="O98">
        <v>3576.96</v>
      </c>
      <c r="P98" s="4"/>
      <c r="Q98" s="4">
        <v>44791.00579861111</v>
      </c>
      <c r="R98"/>
      <c r="S98">
        <v>848</v>
      </c>
      <c r="T98" s="4">
        <v>44791.00579861111</v>
      </c>
      <c r="U98" s="4"/>
      <c r="V98"/>
      <c r="W98">
        <v>848</v>
      </c>
      <c r="X98"/>
      <c r="Y98" t="inlineStr">
        <is>
          <t>Pending Appointment</t>
        </is>
      </c>
      <c r="Z98" t="inlineStr">
        <is>
          <t>Hiring Now</t>
        </is>
      </c>
      <c r="AA98">
        <v>1</v>
      </c>
      <c r="AB98" t="inlineStr">
        <is>
          <t>No Appointment Made</t>
        </is>
      </c>
      <c r="AC98"/>
      <c r="AD98" t="inlineStr">
        <is>
          <t>clerk</t>
        </is>
      </c>
      <c r="AE98"/>
      <c r="AF98"/>
      <c r="AG98" s="4"/>
      <c r="AH98" s="4"/>
      <c r="AI98"/>
      <c r="AJ98"/>
      <c r="AK98" t="inlineStr">
        <is>
          <t>No, I don't need at all</t>
        </is>
      </c>
      <c r="AL98"/>
      <c r="AM98" t="inlineStr">
        <is>
          <t>No, I don't need at all</t>
        </is>
      </c>
      <c r="AN98"/>
      <c r="AO98" t="inlineStr">
        <is>
          <t>No, I don't need at all</t>
        </is>
      </c>
      <c r="AP98" t="inlineStr">
        <is>
          <t>Once a year (25%)</t>
        </is>
      </c>
      <c r="AQ98"/>
      <c r="AR98" t="inlineStr">
        <is>
          <t>Jobstreet</t>
        </is>
      </c>
      <c r="AS98" t="inlineStr">
        <is>
          <t>- Headcount: 1
- Hiring Job Details: clerk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is>
      </c>
      <c r="AT98">
        <v>75</v>
      </c>
      <c r="AU98" t="inlineStr">
        <is>
          <t>0.75</t>
        </is>
      </c>
      <c r="AV98" t="inlineStr">
        <is>
          <t>5</t>
        </is>
      </c>
      <c r="AW98" t="inlineStr">
        <is>
          <t>0</t>
        </is>
      </c>
      <c r="AX98" t="inlineStr">
        <is>
          <t>Not Qualified</t>
        </is>
      </c>
      <c r="AY98" s="4"/>
      <c r="AZ98"/>
      <c r="BA98"/>
      <c r="BB98"/>
      <c r="BC98" t="inlineStr">
        <is>
          <t>- Headcount: 1
- Hiring Job Details: clerk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is>
      </c>
      <c r="BD98" s="4">
        <v>46140.45836805556</v>
      </c>
      <c r="BE98" t="inlineStr">
        <is>
          <t>paid</t>
        </is>
      </c>
      <c r="BF98"/>
      <c r="BG98" t="inlineStr">
        <is>
          <t>Reschedule</t>
        </is>
      </c>
      <c r="BH98" t="inlineStr">
        <is>
          <t>Yee Hang</t>
        </is>
      </c>
      <c r="BI98" t="inlineStr">
        <is>
          <t>Accounting / Tax Services</t>
        </is>
      </c>
      <c r="BJ98" s="4">
        <v>46144.756157407406</v>
      </c>
      <c r="BK98" s="4">
        <v>42472.46871527778</v>
      </c>
      <c r="BL98" t="inlineStr">
        <is>
          <t>0.0</t>
        </is>
      </c>
      <c r="BM98" t="inlineStr">
        <is>
          <t>600.0</t>
        </is>
      </c>
      <c r="BN98" t="inlineStr">
        <is>
          <t>View Company Page</t>
        </is>
      </c>
      <c r="BO98" s="4">
        <v>45978.68525462963</v>
      </c>
      <c r="BP98">
        <v>169140</v>
      </c>
      <c r="BQ98">
        <v>49478</v>
      </c>
      <c r="BR98" t="inlineStr">
        <is>
          <t>Online</t>
        </is>
      </c>
      <c r="BS98"/>
      <c r="BT98">
        <v>49478</v>
      </c>
      <c r="BU98"/>
      <c r="BV98">
        <v>2731993</v>
      </c>
      <c r="BW98" t="inlineStr">
        <is>
          <t>Customer Inquiry</t>
        </is>
      </c>
      <c r="BX98"/>
      <c r="BY98"/>
      <c r="BZ98" s="4"/>
      <c r="CA98"/>
      <c r="CB98"/>
      <c r="CC98" s="4"/>
      <c r="CD98" t="inlineStr">
        <is>
          <t>5</t>
        </is>
      </c>
      <c r="CE98" t="inlineStr">
        <is>
          <t>0</t>
        </is>
      </c>
      <c r="CF98" t="inlineStr">
        <is>
          <t>Q2-W04</t>
        </is>
      </c>
      <c r="CG98"/>
      <c r="CH98"/>
      <c r="CI98"/>
      <c r="CJ98" t="inlineStr">
        <is>
          <t>Paid</t>
        </is>
      </c>
      <c r="CK98" t="inlineStr">
        <is>
          <t>Not Eligible</t>
        </is>
      </c>
      <c r="CL98"/>
      <c r="CM98"/>
    </row>
    <row r="99" ht="25.5" customHeight="1">
      <c r="A99" t="inlineStr">
        <is>
          <t>179168</t>
        </is>
      </c>
      <c r="B99" s="2"/>
      <c r="C99"/>
      <c r="D99" s="3">
        <v>46140.44001157407</v>
      </c>
      <c r="E99" t="inlineStr">
        <is>
          <t>Q2-W04</t>
        </is>
      </c>
      <c r="F99" t="inlineStr">
        <is>
          <t>Eugene</t>
        </is>
      </c>
      <c r="G99" t="inlineStr">
        <is>
          <t>Customer</t>
        </is>
      </c>
      <c r="H99" s="2" t="str">
        <f>=HYPERLINK("https://upbox.ajobthing.my/customer/179168", "https://upbox.ajobthing.my/customer/179168")</f>
        <v>https://upbox.ajobthing.my/customer/179168</v>
      </c>
      <c r="I99" t="inlineStr">
        <is>
          <t xml:space="preserve">Miri Housing Properties Sdn Bhd </t>
        </is>
      </c>
      <c r="J99" t="inlineStr">
        <is>
          <t>Dolphin</t>
        </is>
      </c>
      <c r="K99" t="inlineStr">
        <is>
          <t>Eugene</t>
        </is>
      </c>
      <c r="L99" s="4"/>
      <c r="M99" s="4">
        <v>46140.44231481481</v>
      </c>
      <c r="N99"/>
      <c r="O99">
        <v>3576.96</v>
      </c>
      <c r="P99" s="4"/>
      <c r="Q99" s="4">
        <v>46141.655810185184</v>
      </c>
      <c r="R99"/>
      <c r="S99">
        <v>3576.96</v>
      </c>
      <c r="T99" s="4">
        <v>45453.67040509259</v>
      </c>
      <c r="U99" s="4"/>
      <c r="V99"/>
      <c r="W99">
        <v>684.72</v>
      </c>
      <c r="X99"/>
      <c r="Y99" t="inlineStr">
        <is>
          <t>Pending Appointment</t>
        </is>
      </c>
      <c r="Z99" t="inlineStr">
        <is>
          <t>Hiring Now</t>
        </is>
      </c>
      <c r="AA99">
        <v>2</v>
      </c>
      <c r="AB99" t="inlineStr">
        <is>
          <t>No Appointment Made</t>
        </is>
      </c>
      <c r="AC99"/>
      <c r="AD99" t="inlineStr">
        <is>
          <t>1 account exec, 1 account admin, based in miri</t>
        </is>
      </c>
      <c r="AE99"/>
      <c r="AF99">
        <v>3000</v>
      </c>
      <c r="AG99" s="4"/>
      <c r="AH99" s="4"/>
      <c r="AI99">
        <v>3000</v>
      </c>
      <c r="AJ99">
        <v>1</v>
      </c>
      <c r="AK99" t="inlineStr">
        <is>
          <t>No, I don't need at all</t>
        </is>
      </c>
      <c r="AL99">
        <v>1</v>
      </c>
      <c r="AM99" t="inlineStr">
        <is>
          <t>No, I don't need at all</t>
        </is>
      </c>
      <c r="AN99"/>
      <c r="AO99" t="inlineStr">
        <is>
          <t>No, I don't need at all</t>
        </is>
      </c>
      <c r="AP99" t="inlineStr">
        <is>
          <t>Twice a year (50%)</t>
        </is>
      </c>
      <c r="AQ99">
        <v>2</v>
      </c>
      <c r="AR99" t="inlineStr">
        <is>
          <t>Jobstreet, Jobstore, Free Job Portal</t>
        </is>
      </c>
      <c r="AS99" t="inlineStr">
        <is>
          <t>- Headcount: 2
- Hiring Job Details: 1 account exec, 1 account admin, based in miri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Jobstreet,Jobstore,Free Job Portal</t>
        </is>
      </c>
      <c r="AT99">
        <v>110</v>
      </c>
      <c r="AU99" t="inlineStr">
        <is>
          <t>1.10</t>
        </is>
      </c>
      <c r="AV99" t="inlineStr">
        <is>
          <t>15</t>
        </is>
      </c>
      <c r="AW99" t="inlineStr">
        <is>
          <t>0</t>
        </is>
      </c>
      <c r="AX99" t="inlineStr">
        <is>
          <t>Not Qualified</t>
        </is>
      </c>
      <c r="AY99" s="4"/>
      <c r="AZ99"/>
      <c r="BA99"/>
      <c r="BB99"/>
      <c r="BC99" t="inlineStr">
        <is>
          <t>inv sent</t>
        </is>
      </c>
      <c r="BD99" s="4">
        <v>46141.664351851854</v>
      </c>
      <c r="BE99" t="inlineStr">
        <is>
          <t>pending</t>
        </is>
      </c>
      <c r="BF99"/>
      <c r="BG99" t="inlineStr">
        <is>
          <t>Reschedule</t>
        </is>
      </c>
      <c r="BH99" t="inlineStr">
        <is>
          <t>Edward Hoo</t>
        </is>
      </c>
      <c r="BI99" t="inlineStr">
        <is>
          <t>Property / Real Estate</t>
        </is>
      </c>
      <c r="BJ99" s="4">
        <v>46144.751759259256</v>
      </c>
      <c r="BK99" s="4">
        <v>45449.61099537037</v>
      </c>
      <c r="BL99" t="inlineStr">
        <is>
          <t>0.0</t>
        </is>
      </c>
      <c r="BM99" t="inlineStr">
        <is>
          <t>3000.0</t>
        </is>
      </c>
      <c r="BN99" t="inlineStr">
        <is>
          <t>View Create Job Page</t>
        </is>
      </c>
      <c r="BO99" s="4">
        <v>45478.3741087963</v>
      </c>
      <c r="BP99">
        <v>169144</v>
      </c>
      <c r="BQ99">
        <v>124084</v>
      </c>
      <c r="BR99" t="inlineStr">
        <is>
          <t>Proforma</t>
        </is>
      </c>
      <c r="BS99" t="inlineStr">
        <is>
          <t>AI Yearly Standard Plan (Jan 26)</t>
        </is>
      </c>
      <c r="BT99">
        <v>69953</v>
      </c>
      <c r="BU99"/>
      <c r="BV99">
        <v>2735761</v>
      </c>
      <c r="BW99" t="inlineStr">
        <is>
          <t>Follow Up : Invoice Sent 75%</t>
        </is>
      </c>
      <c r="BX99"/>
      <c r="BY99"/>
      <c r="BZ99" s="4"/>
      <c r="CA99"/>
      <c r="CB99"/>
      <c r="CC99" s="4"/>
      <c r="CD99" t="inlineStr">
        <is>
          <t>20</t>
        </is>
      </c>
      <c r="CE99" t="inlineStr">
        <is>
          <t>0</t>
        </is>
      </c>
      <c r="CF99" t="inlineStr">
        <is>
          <t>Q2-W04</t>
        </is>
      </c>
      <c r="CG99" t="inlineStr">
        <is>
          <t>Q2-W04</t>
        </is>
      </c>
      <c r="CH99"/>
      <c r="CI99"/>
      <c r="CJ99" t="inlineStr">
        <is>
          <t>Paid</t>
        </is>
      </c>
      <c r="CK99" t="inlineStr">
        <is>
          <t>Not Eligible</t>
        </is>
      </c>
      <c r="CL99"/>
      <c r="CM99"/>
    </row>
    <row r="100" ht="25.5" customHeight="1">
      <c r="A100" t="inlineStr">
        <is>
          <t>201599</t>
        </is>
      </c>
      <c r="B100" s="2"/>
      <c r="C100"/>
      <c r="D100" s="3">
        <v>46140.4440625</v>
      </c>
      <c r="E100" t="inlineStr">
        <is>
          <t>Q2-W04</t>
        </is>
      </c>
      <c r="F100" t="inlineStr">
        <is>
          <t>Ratha</t>
        </is>
      </c>
      <c r="G100" t="inlineStr">
        <is>
          <t>Customer</t>
        </is>
      </c>
      <c r="H100" s="2" t="str">
        <f>=HYPERLINK("https://upbox.ajobthing.my/customer/201599", "https://upbox.ajobthing.my/customer/201599")</f>
        <v>https://upbox.ajobthing.my/customer/201599</v>
      </c>
      <c r="I100" t="inlineStr">
        <is>
          <t>Nn Advisory</t>
        </is>
      </c>
      <c r="J100" t="inlineStr">
        <is>
          <t>Dolphin</t>
        </is>
      </c>
      <c r="K100" t="inlineStr">
        <is>
          <t>Ratha</t>
        </is>
      </c>
      <c r="L100" s="4"/>
      <c r="M100" s="4">
        <v>46140.44489583333</v>
      </c>
      <c r="N100"/>
      <c r="O100">
        <v>3888</v>
      </c>
      <c r="P100" s="4"/>
      <c r="Q100" s="4"/>
      <c r="R100"/>
      <c r="S100"/>
      <c r="T100" s="4"/>
      <c r="U100" s="4"/>
      <c r="V100"/>
      <c r="W100"/>
      <c r="X100"/>
      <c r="Y100" t="inlineStr">
        <is>
          <t>Pending Appointment</t>
        </is>
      </c>
      <c r="Z100" t="inlineStr">
        <is>
          <t>Hiring Later</t>
        </is>
      </c>
      <c r="AA100">
        <v>1</v>
      </c>
      <c r="AB100" t="inlineStr">
        <is>
          <t>No Appointment Made</t>
        </is>
      </c>
      <c r="AC100"/>
      <c r="AD100" t="inlineStr">
        <is>
          <t>Sales
Location : Cyber</t>
        </is>
      </c>
      <c r="AE100"/>
      <c r="AF100"/>
      <c r="AG100" s="4"/>
      <c r="AH100" s="4"/>
      <c r="AI100">
        <v>0</v>
      </c>
      <c r="AJ100">
        <v>1</v>
      </c>
      <c r="AK100" t="inlineStr">
        <is>
          <t>Yes, I have</t>
        </is>
      </c>
      <c r="AL100">
        <v>2</v>
      </c>
      <c r="AM100" t="inlineStr">
        <is>
          <t>No, I don't need at all</t>
        </is>
      </c>
      <c r="AN100"/>
      <c r="AO100" t="inlineStr">
        <is>
          <t>No, I don't need at all</t>
        </is>
      </c>
      <c r="AP100" t="inlineStr">
        <is>
          <t>Twice a year (50%)</t>
        </is>
      </c>
      <c r="AQ100">
        <v>0</v>
      </c>
      <c r="AR100" t="inlineStr">
        <is>
          <t>Free Job Portal</t>
        </is>
      </c>
      <c r="AS100" t="inlineStr">
        <is>
          <t>- Headcount: 1
- Hiring Job Details: 1 Sales
- Hiring Urgency: Hiring Later
- Number of outlets: 1
- Have recruiter team: Yes, I have
- Number of recruiter in company: 2
- Have ATS system: No, I don't need at all
- Have career website: No, I don't need at all
- Current hiring budget: RM (empty)
- Whole year budget: RM0.00
- Whole year number of vacancies: 0
- Hiring frequency: Twice a year (50%)
- External job portal: Free Job Portal</t>
        </is>
      </c>
      <c r="AT100">
        <v>95</v>
      </c>
      <c r="AU100" t="inlineStr">
        <is>
          <t>0.95</t>
        </is>
      </c>
      <c r="AV100" t="inlineStr">
        <is>
          <t>5</t>
        </is>
      </c>
      <c r="AW100" t="inlineStr">
        <is>
          <t>0</t>
        </is>
      </c>
      <c r="AX100" t="inlineStr">
        <is>
          <t>Not Qualified</t>
        </is>
      </c>
      <c r="AY100" s="4"/>
      <c r="AZ100"/>
      <c r="BA100"/>
      <c r="BB100"/>
      <c r="BC100" t="inlineStr">
        <is>
          <t>- Headcount: 1
- Hiring Job Details: 1 Sales
- Hiring Urgency: Hiring Later
- Number of outlets: 1
- Have recruiter team: Yes, I have
- Number of recruiter in company: 2
- Have ATS system: No, I don't need at all
- Have career website: No, I don't need at all
- Current hiring budget: RM (empty)
- Whole year budget: RM0.00
- Whole year number of vacancies: 0
- Hiring frequency: Twice a year (50%)
- External job portal: Free Job Portal</t>
        </is>
      </c>
      <c r="BD100" s="4">
        <v>46140.45836805556</v>
      </c>
      <c r="BE100"/>
      <c r="BF100"/>
      <c r="BG100" t="inlineStr">
        <is>
          <t>Reschedule</t>
        </is>
      </c>
      <c r="BH100" t="inlineStr">
        <is>
          <t>Fauziah Maharan</t>
        </is>
      </c>
      <c r="BI100"/>
      <c r="BJ100" s="4">
        <v>46144.75383101852</v>
      </c>
      <c r="BK100" s="4">
        <v>46083.83545138889</v>
      </c>
      <c r="BL100" t="inlineStr">
        <is>
          <t>0.0</t>
        </is>
      </c>
      <c r="BM100" t="inlineStr">
        <is>
          <t>0.0</t>
        </is>
      </c>
      <c r="BN100" t="inlineStr">
        <is>
          <t>View Company Page</t>
        </is>
      </c>
      <c r="BO100" s="4">
        <v>46083.841770833336</v>
      </c>
      <c r="BP100">
        <v>169145</v>
      </c>
      <c r="BQ100"/>
      <c r="BR100"/>
      <c r="BS100"/>
      <c r="BT100"/>
      <c r="BU100"/>
      <c r="BV100">
        <v>2731996</v>
      </c>
      <c r="BW100" t="inlineStr">
        <is>
          <t>Customer Inquiry</t>
        </is>
      </c>
      <c r="BX100"/>
      <c r="BY100"/>
      <c r="BZ100" s="4"/>
      <c r="CA100"/>
      <c r="CB100"/>
      <c r="CC100" s="4"/>
      <c r="CD100" t="inlineStr">
        <is>
          <t>5</t>
        </is>
      </c>
      <c r="CE100" t="inlineStr">
        <is>
          <t>0</t>
        </is>
      </c>
      <c r="CF100" t="inlineStr">
        <is>
          <t>Q2-W04</t>
        </is>
      </c>
      <c r="CG100"/>
      <c r="CH100"/>
      <c r="CI100"/>
      <c r="CJ100" t="inlineStr">
        <is>
          <t>No Paid</t>
        </is>
      </c>
      <c r="CK100" t="inlineStr">
        <is>
          <t>Not Eligible</t>
        </is>
      </c>
      <c r="CL100"/>
      <c r="CM100"/>
    </row>
    <row r="101" ht="25.5" customHeight="1">
      <c r="A101" t="inlineStr">
        <is>
          <t>133851</t>
        </is>
      </c>
      <c r="B101" s="2"/>
      <c r="C101"/>
      <c r="D101" s="3">
        <v>46140.446377314816</v>
      </c>
      <c r="E101" t="inlineStr">
        <is>
          <t>Q2-W04</t>
        </is>
      </c>
      <c r="F101" t="inlineStr">
        <is>
          <t>Jess</t>
        </is>
      </c>
      <c r="G101" t="inlineStr">
        <is>
          <t>Customer</t>
        </is>
      </c>
      <c r="H101" s="2" t="str">
        <f>=HYPERLINK("https://upbox.ajobthing.my/customer/133851", "https://upbox.ajobthing.my/customer/133851")</f>
        <v>https://upbox.ajobthing.my/customer/133851</v>
      </c>
      <c r="I101" t="inlineStr">
        <is>
          <t>EC Precast Sdn Bhd</t>
        </is>
      </c>
      <c r="J101" t="inlineStr">
        <is>
          <t>Dolphin</t>
        </is>
      </c>
      <c r="K101" t="inlineStr">
        <is>
          <t>Jess Lim</t>
        </is>
      </c>
      <c r="L101" s="4"/>
      <c r="M101" s="4">
        <v>46140.44719907407</v>
      </c>
      <c r="N101"/>
      <c r="O101">
        <v>3576.96</v>
      </c>
      <c r="P101" s="4"/>
      <c r="Q101" s="4">
        <v>45895.624375</v>
      </c>
      <c r="R101"/>
      <c r="S101">
        <v>1080</v>
      </c>
      <c r="T101" s="4">
        <v>45895.624375</v>
      </c>
      <c r="U101" s="4"/>
      <c r="V101"/>
      <c r="W101">
        <v>1080</v>
      </c>
      <c r="X101"/>
      <c r="Y101" t="inlineStr">
        <is>
          <t>Pending Appointment</t>
        </is>
      </c>
      <c r="Z101" t="inlineStr">
        <is>
          <t>Hiring Now</t>
        </is>
      </c>
      <c r="AA101">
        <v>1</v>
      </c>
      <c r="AB101" t="inlineStr">
        <is>
          <t>No Appointment Made</t>
        </is>
      </c>
      <c r="AC101"/>
      <c r="AD101" t="inlineStr">
        <is>
          <t>operation admin 1</t>
        </is>
      </c>
      <c r="AE101"/>
      <c r="AF101">
        <v>1200</v>
      </c>
      <c r="AG101" s="4"/>
      <c r="AH101" s="4"/>
      <c r="AI101"/>
      <c r="AJ101">
        <v>1</v>
      </c>
      <c r="AK101" t="inlineStr">
        <is>
          <t>No, I don't need at all</t>
        </is>
      </c>
      <c r="AL101">
        <v>1</v>
      </c>
      <c r="AM101" t="inlineStr">
        <is>
          <t>No, I don't need at all</t>
        </is>
      </c>
      <c r="AN101"/>
      <c r="AO101" t="inlineStr">
        <is>
          <t>No, I don't need at all</t>
        </is>
      </c>
      <c r="AP101" t="inlineStr">
        <is>
          <t>Once a year (25%)</t>
        </is>
      </c>
      <c r="AQ101"/>
      <c r="AR101" t="inlineStr">
        <is>
          <t>Jobstreet</t>
        </is>
      </c>
      <c r="AS101" t="inlineStr">
        <is>
          <t>- Headcount: 1
- Hiring Job Details: 1 operation admin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101">
        <v>100</v>
      </c>
      <c r="AU101" t="inlineStr">
        <is>
          <t>1.00</t>
        </is>
      </c>
      <c r="AV101" t="inlineStr">
        <is>
          <t>15</t>
        </is>
      </c>
      <c r="AW101" t="inlineStr">
        <is>
          <t>0</t>
        </is>
      </c>
      <c r="AX101" t="inlineStr">
        <is>
          <t>Not Qualified</t>
        </is>
      </c>
      <c r="AY101" s="4"/>
      <c r="AZ101"/>
      <c r="BA101"/>
      <c r="BB101"/>
      <c r="BC101" t="inlineStr">
        <is>
          <t>pending decision</t>
        </is>
      </c>
      <c r="BD101" s="4">
        <v>46142.57255787037</v>
      </c>
      <c r="BE101" t="inlineStr">
        <is>
          <t>paid</t>
        </is>
      </c>
      <c r="BF101"/>
      <c r="BG101" t="inlineStr">
        <is>
          <t>Reschedule</t>
        </is>
      </c>
      <c r="BH101" t="inlineStr">
        <is>
          <t>Fauziah Maharan</t>
        </is>
      </c>
      <c r="BI101" t="inlineStr">
        <is>
          <t>Manufacturing / Production</t>
        </is>
      </c>
      <c r="BJ101" s="4">
        <v>46144.75050925926</v>
      </c>
      <c r="BK101" s="4">
        <v>44225.52847222222</v>
      </c>
      <c r="BL101" t="inlineStr">
        <is>
          <t>1080.0</t>
        </is>
      </c>
      <c r="BM101" t="inlineStr">
        <is>
          <t>0.0</t>
        </is>
      </c>
      <c r="BN101" t="inlineStr">
        <is>
          <t>View Jobmanager Page</t>
        </is>
      </c>
      <c r="BO101" s="4">
        <v>46107.66971064815</v>
      </c>
      <c r="BP101">
        <v>169152</v>
      </c>
      <c r="BQ101">
        <v>81885</v>
      </c>
      <c r="BR101" t="inlineStr">
        <is>
          <t>Online</t>
        </is>
      </c>
      <c r="BS101"/>
      <c r="BT101">
        <v>81885</v>
      </c>
      <c r="BU101"/>
      <c r="BV101">
        <v>2737537</v>
      </c>
      <c r="BW101" t="inlineStr">
        <is>
          <t>Follow Up : Decision Pending</t>
        </is>
      </c>
      <c r="BX101"/>
      <c r="BY101"/>
      <c r="BZ101" s="4"/>
      <c r="CA101"/>
      <c r="CB101"/>
      <c r="CC101" s="4"/>
      <c r="CD101" t="inlineStr">
        <is>
          <t>20</t>
        </is>
      </c>
      <c r="CE101" t="inlineStr">
        <is>
          <t>0</t>
        </is>
      </c>
      <c r="CF101" t="inlineStr">
        <is>
          <t>Q2-W04</t>
        </is>
      </c>
      <c r="CG101"/>
      <c r="CH101"/>
      <c r="CI101"/>
      <c r="CJ101" t="inlineStr">
        <is>
          <t>Paid</t>
        </is>
      </c>
      <c r="CK101" t="inlineStr">
        <is>
          <t>Not Eligible</t>
        </is>
      </c>
      <c r="CL101"/>
      <c r="CM101"/>
    </row>
    <row r="102" ht="25.5" customHeight="1">
      <c r="A102" t="inlineStr">
        <is>
          <t>4328567</t>
        </is>
      </c>
      <c r="B102" s="2"/>
      <c r="C102"/>
      <c r="D102" s="3">
        <v>46140.44665509259</v>
      </c>
      <c r="E102" t="inlineStr">
        <is>
          <t>Q2-W04</t>
        </is>
      </c>
      <c r="F102" t="inlineStr">
        <is>
          <t>Carmen</t>
        </is>
      </c>
      <c r="G102" t="inlineStr">
        <is>
          <t>Lead</t>
        </is>
      </c>
      <c r="H102" s="2" t="str">
        <f>=HYPERLINK("https://upbox.ajobthing.my/leads/4328567", "https://upbox.ajobthing.my/leads/4328567")</f>
        <v>https://upbox.ajobthing.my/leads/4328567</v>
      </c>
      <c r="I102" t="inlineStr">
        <is>
          <t>Weetar Malaysia</t>
        </is>
      </c>
      <c r="J102" t="inlineStr">
        <is>
          <t>Dolphin</t>
        </is>
      </c>
      <c r="K102" t="inlineStr">
        <is>
          <t>Carmen</t>
        </is>
      </c>
      <c r="L102" s="4"/>
      <c r="M102" s="4">
        <v>46140.44724537037</v>
      </c>
      <c r="N102"/>
      <c r="O102">
        <v>3888</v>
      </c>
      <c r="P102" s="4"/>
      <c r="Q102" s="4"/>
      <c r="R102"/>
      <c r="S102"/>
      <c r="T102" s="4"/>
      <c r="U102" s="4"/>
      <c r="V102"/>
      <c r="W102"/>
      <c r="X102"/>
      <c r="Y102" t="inlineStr">
        <is>
          <t>Pending Appointment</t>
        </is>
      </c>
      <c r="Z102" t="inlineStr">
        <is>
          <t>Hiring Now</t>
        </is>
      </c>
      <c r="AA102">
        <v>4</v>
      </c>
      <c r="AB102" t="inlineStr">
        <is>
          <t>No Appointment Made</t>
        </is>
      </c>
      <c r="AC102"/>
      <c r="AD102" t="inlineStr">
        <is>
          <t>E-commerce operations x 4</t>
        </is>
      </c>
      <c r="AE102"/>
      <c r="AF102">
        <v>0</v>
      </c>
      <c r="AG102" s="4"/>
      <c r="AH102" s="4"/>
      <c r="AI102"/>
      <c r="AJ102"/>
      <c r="AK102" t="inlineStr">
        <is>
          <t>Yes, I have</t>
        </is>
      </c>
      <c r="AL102"/>
      <c r="AM102"/>
      <c r="AN102"/>
      <c r="AO102"/>
      <c r="AP102" t="inlineStr">
        <is>
          <t>Twice a year (50%)</t>
        </is>
      </c>
      <c r="AQ102"/>
      <c r="AR102"/>
      <c r="AS102" t="inlineStr">
        <is>
          <t>- Headcount: 4
- Hiring Job Details: E-commerce operations x 4
- Number of outlets: Not available
- Have recruiter team: Yes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
- Hiring Urgency: Hiring Now</t>
        </is>
      </c>
      <c r="AT102">
        <v>95</v>
      </c>
      <c r="AU102" t="inlineStr">
        <is>
          <t>0.95</t>
        </is>
      </c>
      <c r="AV102" t="inlineStr">
        <is>
          <t>15</t>
        </is>
      </c>
      <c r="AW102" t="inlineStr">
        <is>
          <t>0</t>
        </is>
      </c>
      <c r="AX102" t="inlineStr">
        <is>
          <t>Not Qualified</t>
        </is>
      </c>
      <c r="AY102" s="4"/>
      <c r="AZ102"/>
      <c r="BA102"/>
      <c r="BB102"/>
      <c r="BC102"/>
      <c r="BD102" s="4"/>
      <c r="BE102"/>
      <c r="BF102"/>
      <c r="BG102" t="inlineStr">
        <is>
          <t>Reschedule</t>
        </is>
      </c>
      <c r="BH102" t="inlineStr">
        <is>
          <t>Reagen</t>
        </is>
      </c>
      <c r="BI102"/>
      <c r="BJ102" s="4">
        <v>46144.75592592593</v>
      </c>
      <c r="BK102" s="4">
        <v>46139.69388888889</v>
      </c>
      <c r="BL102" t="inlineStr">
        <is>
          <t>0.0</t>
        </is>
      </c>
      <c r="BM102" t="inlineStr">
        <is>
          <t>0.0</t>
        </is>
      </c>
      <c r="BN102"/>
      <c r="BO102" s="4"/>
      <c r="BP102">
        <v>169153</v>
      </c>
      <c r="BQ102"/>
      <c r="BR102"/>
      <c r="BS102"/>
      <c r="BT102"/>
      <c r="BU102"/>
      <c r="BV102"/>
      <c r="BW102"/>
      <c r="BX102"/>
      <c r="BY102"/>
      <c r="BZ102" s="4"/>
      <c r="CA102"/>
      <c r="CB102"/>
      <c r="CC102" s="4"/>
      <c r="CD102" t="inlineStr">
        <is>
          <t>20</t>
        </is>
      </c>
      <c r="CE102" t="inlineStr">
        <is>
          <t>0</t>
        </is>
      </c>
      <c r="CF102" t="inlineStr">
        <is>
          <t>Q2-W04</t>
        </is>
      </c>
      <c r="CG102"/>
      <c r="CH102"/>
      <c r="CI102"/>
      <c r="CJ102" t="inlineStr">
        <is>
          <t>No Paid</t>
        </is>
      </c>
      <c r="CK102" t="inlineStr">
        <is>
          <t>Not Eligible</t>
        </is>
      </c>
      <c r="CL102"/>
      <c r="CM102"/>
    </row>
    <row r="103" ht="25.5" customHeight="1">
      <c r="A103" t="inlineStr">
        <is>
          <t>198593</t>
        </is>
      </c>
      <c r="B103" s="2"/>
      <c r="C103"/>
      <c r="D103" s="3">
        <v>46140.46359953703</v>
      </c>
      <c r="E103" t="inlineStr">
        <is>
          <t>Q2-W04</t>
        </is>
      </c>
      <c r="F103" t="inlineStr">
        <is>
          <t>Dickson</t>
        </is>
      </c>
      <c r="G103" t="inlineStr">
        <is>
          <t>Customer</t>
        </is>
      </c>
      <c r="H103" s="2" t="str">
        <f>=HYPERLINK("https://upbox.ajobthing.my/customer/198593", "https://upbox.ajobthing.my/customer/198593")</f>
        <v>https://upbox.ajobthing.my/customer/198593</v>
      </c>
      <c r="I103" t="inlineStr">
        <is>
          <t>Cocwonder Digital Engineering Sdn Bhd</t>
        </is>
      </c>
      <c r="J103" t="inlineStr">
        <is>
          <t>Dolphin</t>
        </is>
      </c>
      <c r="K103" t="inlineStr">
        <is>
          <t>Dickson</t>
        </is>
      </c>
      <c r="L103" s="4"/>
      <c r="M103" s="4">
        <v>46140.463692129626</v>
      </c>
      <c r="N103"/>
      <c r="O103">
        <v>6048</v>
      </c>
      <c r="P103" s="4"/>
      <c r="Q103" s="4"/>
      <c r="R103"/>
      <c r="S103"/>
      <c r="T103" s="4"/>
      <c r="U103" s="4"/>
      <c r="V103"/>
      <c r="W103"/>
      <c r="X103"/>
      <c r="Y103" t="inlineStr">
        <is>
          <t>Pending Appointment</t>
        </is>
      </c>
      <c r="Z103" t="inlineStr">
        <is>
          <t>Hiring Now</t>
        </is>
      </c>
      <c r="AA103">
        <v>3</v>
      </c>
      <c r="AB103" t="inlineStr">
        <is>
          <t>No Appointment Made</t>
        </is>
      </c>
      <c r="AC103"/>
      <c r="AD103" t="inlineStr">
        <is>
          <t xml:space="preserve">1 quantity surveyor, 1 mechanic, 1 technician </t>
        </is>
      </c>
      <c r="AE103"/>
      <c r="AF103"/>
      <c r="AG103" s="4"/>
      <c r="AH103" s="4"/>
      <c r="AI103"/>
      <c r="AJ103">
        <v>1</v>
      </c>
      <c r="AK103" t="inlineStr">
        <is>
          <t>No, I don't need at all</t>
        </is>
      </c>
      <c r="AL103"/>
      <c r="AM103" t="inlineStr">
        <is>
          <t>No, I don't need at all</t>
        </is>
      </c>
      <c r="AN103"/>
      <c r="AO103" t="inlineStr">
        <is>
          <t>No, I don't need at all</t>
        </is>
      </c>
      <c r="AP103" t="inlineStr">
        <is>
          <t>Once per quarter (75%)</t>
        </is>
      </c>
      <c r="AQ103"/>
      <c r="AR103"/>
      <c r="AS103" t="inlineStr">
        <is>
          <t>- Headcount: 3
- Hiring Job Details: 1 quantity surveyor, 1 mechanic, 1 technician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103">
        <v>95</v>
      </c>
      <c r="AU103" t="inlineStr">
        <is>
          <t>0.95</t>
        </is>
      </c>
      <c r="AV103" t="inlineStr">
        <is>
          <t>5</t>
        </is>
      </c>
      <c r="AW103" t="inlineStr">
        <is>
          <t>0</t>
        </is>
      </c>
      <c r="AX103" t="inlineStr">
        <is>
          <t>Not Qualified</t>
        </is>
      </c>
      <c r="AY103" s="4"/>
      <c r="AZ103"/>
      <c r="BA103"/>
      <c r="BB103"/>
      <c r="BC103" t="inlineStr">
        <is>
          <t>- Headcount: 3
- Hiring Job Details: 1 quantity surveyor, 1 mechanic, 1 technician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BD103" s="4">
        <v>46140.50001157408</v>
      </c>
      <c r="BE103"/>
      <c r="BF103"/>
      <c r="BG103" t="inlineStr">
        <is>
          <t>Reschedule</t>
        </is>
      </c>
      <c r="BH103" t="inlineStr">
        <is>
          <t>Edward Hoo</t>
        </is>
      </c>
      <c r="BI103"/>
      <c r="BJ103" s="4">
        <v>46144.75310185185</v>
      </c>
      <c r="BK103" s="4">
        <v>45985.61699074074</v>
      </c>
      <c r="BL103" t="inlineStr">
        <is>
          <t>0.0</t>
        </is>
      </c>
      <c r="BM103" t="inlineStr">
        <is>
          <t>3000.0</t>
        </is>
      </c>
      <c r="BN103" t="inlineStr">
        <is>
          <t>User Visit(Logged In)</t>
        </is>
      </c>
      <c r="BO103" s="4">
        <v>45985.62740740741</v>
      </c>
      <c r="BP103">
        <v>169166</v>
      </c>
      <c r="BQ103"/>
      <c r="BR103"/>
      <c r="BS103"/>
      <c r="BT103"/>
      <c r="BU103"/>
      <c r="BV103">
        <v>2732304</v>
      </c>
      <c r="BW103" t="inlineStr">
        <is>
          <t>Customer Inquiry</t>
        </is>
      </c>
      <c r="BX103"/>
      <c r="BY103"/>
      <c r="BZ103" s="4"/>
      <c r="CA103"/>
      <c r="CB103"/>
      <c r="CC103" s="4"/>
      <c r="CD103" t="inlineStr">
        <is>
          <t>5</t>
        </is>
      </c>
      <c r="CE103" t="inlineStr">
        <is>
          <t>0</t>
        </is>
      </c>
      <c r="CF103" t="inlineStr">
        <is>
          <t>Q2-W04</t>
        </is>
      </c>
      <c r="CG103"/>
      <c r="CH103"/>
      <c r="CI103"/>
      <c r="CJ103" t="inlineStr">
        <is>
          <t>No Paid</t>
        </is>
      </c>
      <c r="CK103" t="inlineStr">
        <is>
          <t>Not Eligible</t>
        </is>
      </c>
      <c r="CL103"/>
      <c r="CM103"/>
    </row>
    <row r="104" ht="25.5" customHeight="1">
      <c r="A104" t="inlineStr">
        <is>
          <t>203724</t>
        </is>
      </c>
      <c r="B104" s="2"/>
      <c r="C104"/>
      <c r="D104" s="3">
        <v>46140.4659837963</v>
      </c>
      <c r="E104" t="inlineStr">
        <is>
          <t>Q2-W04</t>
        </is>
      </c>
      <c r="F104" t="inlineStr">
        <is>
          <t>Clover</t>
        </is>
      </c>
      <c r="G104" t="inlineStr">
        <is>
          <t>Customer</t>
        </is>
      </c>
      <c r="H104" s="2" t="str">
        <f>=HYPERLINK("https://upbox.ajobthing.my/customer/203724", "https://upbox.ajobthing.my/customer/203724")</f>
        <v>https://upbox.ajobthing.my/customer/203724</v>
      </c>
      <c r="I104" t="inlineStr">
        <is>
          <t>Mediace Sdn Bhd</t>
        </is>
      </c>
      <c r="J104" t="inlineStr">
        <is>
          <t>Dolphin</t>
        </is>
      </c>
      <c r="K104" t="inlineStr">
        <is>
          <t>Clover</t>
        </is>
      </c>
      <c r="L104" s="4"/>
      <c r="M104" s="4">
        <v>46142.65962962963</v>
      </c>
      <c r="N104"/>
      <c r="O104">
        <v>5412.96</v>
      </c>
      <c r="P104" s="4"/>
      <c r="Q104" s="4"/>
      <c r="R104"/>
      <c r="S104"/>
      <c r="T104" s="4"/>
      <c r="U104" s="4"/>
      <c r="V104"/>
      <c r="W104"/>
      <c r="X104"/>
      <c r="Y104" t="inlineStr">
        <is>
          <t>Pending Appointment</t>
        </is>
      </c>
      <c r="Z104" t="inlineStr">
        <is>
          <t>Hiring Now</t>
        </is>
      </c>
      <c r="AA104">
        <v>2</v>
      </c>
      <c r="AB104" t="inlineStr">
        <is>
          <t>No Appointment Made</t>
        </is>
      </c>
      <c r="AC104"/>
      <c r="AD104" t="inlineStr">
        <is>
          <t>Hire sales admin x1-2, chi only, banting selangor,  previous using JS,  manufacturing canvas/ steel ,  future maybe hiring operator x1-2, account x1-2, malay/chi, depends on what position, suggest pro</t>
        </is>
      </c>
      <c r="AE104"/>
      <c r="AF104">
        <v>5000</v>
      </c>
      <c r="AG104" s="4"/>
      <c r="AH104" s="4"/>
      <c r="AI104">
        <v>5000</v>
      </c>
      <c r="AJ104">
        <v>1</v>
      </c>
      <c r="AK104" t="inlineStr">
        <is>
          <t>No, but I want in future</t>
        </is>
      </c>
      <c r="AL104">
        <v>1</v>
      </c>
      <c r="AM104" t="inlineStr">
        <is>
          <t>No, but I want in future</t>
        </is>
      </c>
      <c r="AN104"/>
      <c r="AO104" t="inlineStr">
        <is>
          <t>No, but I want in future</t>
        </is>
      </c>
      <c r="AP104" t="inlineStr">
        <is>
          <t>Once per quarter (75%)</t>
        </is>
      </c>
      <c r="AQ104">
        <v>4</v>
      </c>
      <c r="AR104" t="inlineStr">
        <is>
          <t>Jobstreet</t>
        </is>
      </c>
      <c r="AS104" t="inlineStr">
        <is>
          <t>- Headcount: 2
- Hiring Job Details: Hire sales admin x1-2 (chi only, banting selangor, used JS, manufacturing canvas/steel); future possible operator/account x1-2 each (malay/chi per position);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Jobstreet</t>
        </is>
      </c>
      <c r="AT104">
        <v>115</v>
      </c>
      <c r="AU104" t="inlineStr">
        <is>
          <t>1.15</t>
        </is>
      </c>
      <c r="AV104" t="inlineStr">
        <is>
          <t>15</t>
        </is>
      </c>
      <c r="AW104" t="inlineStr">
        <is>
          <t>0</t>
        </is>
      </c>
      <c r="AX104" t="inlineStr">
        <is>
          <t>Not Qualified</t>
        </is>
      </c>
      <c r="AY104" s="4"/>
      <c r="AZ104"/>
      <c r="BA104"/>
      <c r="BB104"/>
      <c r="BC104" t="inlineStr">
        <is>
          <t>Still considering</t>
        </is>
      </c>
      <c r="BD104" s="4">
        <v>46142.66069444444</v>
      </c>
      <c r="BE104"/>
      <c r="BF104"/>
      <c r="BG104" t="inlineStr">
        <is>
          <t>Reschedule</t>
        </is>
      </c>
      <c r="BH104" t="inlineStr">
        <is>
          <t>Reagen</t>
        </is>
      </c>
      <c r="BI104"/>
      <c r="BJ104" s="4">
        <v>46144.75438657407</v>
      </c>
      <c r="BK104" s="4">
        <v>46140.39103009259</v>
      </c>
      <c r="BL104" t="inlineStr">
        <is>
          <t>0.0</t>
        </is>
      </c>
      <c r="BM104" t="inlineStr">
        <is>
          <t>600.0</t>
        </is>
      </c>
      <c r="BN104" t="inlineStr">
        <is>
          <t>View Company Page</t>
        </is>
      </c>
      <c r="BO104" s="4">
        <v>46140.45606481482</v>
      </c>
      <c r="BP104">
        <v>169720</v>
      </c>
      <c r="BQ104"/>
      <c r="BR104"/>
      <c r="BS104"/>
      <c r="BT104"/>
      <c r="BU104"/>
      <c r="BV104">
        <v>2738051</v>
      </c>
      <c r="BW104" t="inlineStr">
        <is>
          <t>Follow Up : Decision Pending</t>
        </is>
      </c>
      <c r="BX104"/>
      <c r="BY104"/>
      <c r="BZ104" s="4"/>
      <c r="CA104"/>
      <c r="CB104"/>
      <c r="CC104" s="4"/>
      <c r="CD104" t="inlineStr">
        <is>
          <t>20</t>
        </is>
      </c>
      <c r="CE104" t="inlineStr">
        <is>
          <t>0</t>
        </is>
      </c>
      <c r="CF104" t="inlineStr">
        <is>
          <t>Q2-W04</t>
        </is>
      </c>
      <c r="CG104"/>
      <c r="CH104"/>
      <c r="CI104"/>
      <c r="CJ104" t="inlineStr">
        <is>
          <t>No Paid</t>
        </is>
      </c>
      <c r="CK104" t="inlineStr">
        <is>
          <t>Not Eligible</t>
        </is>
      </c>
      <c r="CL104"/>
      <c r="CM104"/>
    </row>
    <row r="105" ht="25.5" customHeight="1">
      <c r="A105" t="inlineStr">
        <is>
          <t>188024</t>
        </is>
      </c>
      <c r="B105" s="2"/>
      <c r="C105"/>
      <c r="D105" s="3">
        <v>46140.46655092593</v>
      </c>
      <c r="E105" t="inlineStr">
        <is>
          <t>Q2-W04</t>
        </is>
      </c>
      <c r="F105" t="inlineStr">
        <is>
          <t>Xin Hui</t>
        </is>
      </c>
      <c r="G105" t="inlineStr">
        <is>
          <t>Customer</t>
        </is>
      </c>
      <c r="H105" s="2" t="str">
        <f>=HYPERLINK("https://upbox.ajobthing.my/customer/188024", "https://upbox.ajobthing.my/customer/188024")</f>
        <v>https://upbox.ajobthing.my/customer/188024</v>
      </c>
      <c r="I105" t="inlineStr">
        <is>
          <t>KM VET PHARM SDN BHD</t>
        </is>
      </c>
      <c r="J105" t="inlineStr">
        <is>
          <t>Dolphin</t>
        </is>
      </c>
      <c r="K105" t="inlineStr">
        <is>
          <t>Xin Hui</t>
        </is>
      </c>
      <c r="L105" s="4"/>
      <c r="M105" s="4">
        <v>46140.46824074074</v>
      </c>
      <c r="N105"/>
      <c r="O105">
        <v>3576.96</v>
      </c>
      <c r="P105" s="4"/>
      <c r="Q105" s="4"/>
      <c r="R105"/>
      <c r="S105"/>
      <c r="T105" s="4"/>
      <c r="U105" s="4"/>
      <c r="V105"/>
      <c r="W105"/>
      <c r="X105"/>
      <c r="Y105" t="inlineStr">
        <is>
          <t>Pending Appointment</t>
        </is>
      </c>
      <c r="Z105" t="inlineStr">
        <is>
          <t>Hiring Later</t>
        </is>
      </c>
      <c r="AA105">
        <v>1</v>
      </c>
      <c r="AB105" t="inlineStr">
        <is>
          <t>No Appointment Made</t>
        </is>
      </c>
      <c r="AC105"/>
      <c r="AD105" t="inlineStr">
        <is>
          <t>admin</t>
        </is>
      </c>
      <c r="AE105"/>
      <c r="AF105"/>
      <c r="AG105" s="4"/>
      <c r="AH105" s="4"/>
      <c r="AI105"/>
      <c r="AJ105"/>
      <c r="AK105" t="inlineStr">
        <is>
          <t>No, I don't need at all</t>
        </is>
      </c>
      <c r="AL105"/>
      <c r="AM105" t="inlineStr">
        <is>
          <t>No, I don't need at all</t>
        </is>
      </c>
      <c r="AN105"/>
      <c r="AO105" t="inlineStr">
        <is>
          <t>No, I don't need at all</t>
        </is>
      </c>
      <c r="AP105"/>
      <c r="AQ105"/>
      <c r="AR105"/>
      <c r="AS105" t="inlineStr">
        <is>
          <t>- Headcount: 1
- Hiring Job Details: admin
- Hiring Urgency: Hiring Later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N/A
- External job portal: N/A</t>
        </is>
      </c>
      <c r="AT105">
        <v>75</v>
      </c>
      <c r="AU105" t="inlineStr">
        <is>
          <t>0.75</t>
        </is>
      </c>
      <c r="AV105" t="inlineStr">
        <is>
          <t>5</t>
        </is>
      </c>
      <c r="AW105" t="inlineStr">
        <is>
          <t>0</t>
        </is>
      </c>
      <c r="AX105" t="inlineStr">
        <is>
          <t>Not Qualified</t>
        </is>
      </c>
      <c r="AY105" s="4"/>
      <c r="AZ105"/>
      <c r="BA105"/>
      <c r="BB105"/>
      <c r="BC105" t="inlineStr">
        <is>
          <t>- Headcount: 1
- Hiring Job Details: admin
- Hiring Urgency: Hiring Later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N/A
- External job portal: N/A</t>
        </is>
      </c>
      <c r="BD105" s="4">
        <v>46140.50001157408</v>
      </c>
      <c r="BE105"/>
      <c r="BF105"/>
      <c r="BG105" t="inlineStr">
        <is>
          <t>Reschedule</t>
        </is>
      </c>
      <c r="BH105" t="inlineStr">
        <is>
          <t>Yee Hang</t>
        </is>
      </c>
      <c r="BI105"/>
      <c r="BJ105" s="4">
        <v>46144.75219907407</v>
      </c>
      <c r="BK105" s="4">
        <v>45709.76263888889</v>
      </c>
      <c r="BL105" t="inlineStr">
        <is>
          <t>0.0</t>
        </is>
      </c>
      <c r="BM105" t="inlineStr">
        <is>
          <t>2400.0</t>
        </is>
      </c>
      <c r="BN105" t="inlineStr">
        <is>
          <t>User Visit(Logged In)</t>
        </is>
      </c>
      <c r="BO105" s="4">
        <v>45709.762719907405</v>
      </c>
      <c r="BP105">
        <v>169169</v>
      </c>
      <c r="BQ105"/>
      <c r="BR105"/>
      <c r="BS105"/>
      <c r="BT105"/>
      <c r="BU105"/>
      <c r="BV105">
        <v>2732306</v>
      </c>
      <c r="BW105" t="inlineStr">
        <is>
          <t>Customer Inquiry</t>
        </is>
      </c>
      <c r="BX105"/>
      <c r="BY105"/>
      <c r="BZ105" s="4"/>
      <c r="CA105"/>
      <c r="CB105"/>
      <c r="CC105" s="4"/>
      <c r="CD105" t="inlineStr">
        <is>
          <t>5</t>
        </is>
      </c>
      <c r="CE105" t="inlineStr">
        <is>
          <t>0</t>
        </is>
      </c>
      <c r="CF105" t="inlineStr">
        <is>
          <t>Q2-W04</t>
        </is>
      </c>
      <c r="CG105"/>
      <c r="CH105"/>
      <c r="CI105"/>
      <c r="CJ105" t="inlineStr">
        <is>
          <t>No Paid</t>
        </is>
      </c>
      <c r="CK105" t="inlineStr">
        <is>
          <t>Not Eligible</t>
        </is>
      </c>
      <c r="CL105"/>
      <c r="CM105"/>
    </row>
    <row r="106" ht="25.5" customHeight="1">
      <c r="A106" t="inlineStr">
        <is>
          <t>192463</t>
        </is>
      </c>
      <c r="B106" s="2"/>
      <c r="C106"/>
      <c r="D106" s="3">
        <v>46140.47221064815</v>
      </c>
      <c r="E106" t="inlineStr">
        <is>
          <t>Q2-W04</t>
        </is>
      </c>
      <c r="F106" t="inlineStr">
        <is>
          <t>Lucas</t>
        </is>
      </c>
      <c r="G106" t="inlineStr">
        <is>
          <t>Customer</t>
        </is>
      </c>
      <c r="H106" s="2" t="str">
        <f>=HYPERLINK("https://upbox.ajobthing.my/customer/192463", "https://upbox.ajobthing.my/customer/192463")</f>
        <v>https://upbox.ajobthing.my/customer/192463</v>
      </c>
      <c r="I106" t="inlineStr">
        <is>
          <t>Chiropractic First Group (m'sia) Sdn Bhd</t>
        </is>
      </c>
      <c r="J106" t="inlineStr">
        <is>
          <t>Dolphin</t>
        </is>
      </c>
      <c r="K106" t="inlineStr">
        <is>
          <t>Lucas</t>
        </is>
      </c>
      <c r="L106" s="4"/>
      <c r="M106" s="4">
        <v>46140.47052083333</v>
      </c>
      <c r="N106"/>
      <c r="O106">
        <v>3576.96</v>
      </c>
      <c r="P106" s="4"/>
      <c r="Q106" s="4">
        <v>46140.69892361111</v>
      </c>
      <c r="R106"/>
      <c r="S106">
        <v>3576.96</v>
      </c>
      <c r="T106" s="4"/>
      <c r="U106" s="4"/>
      <c r="V106"/>
      <c r="W106"/>
      <c r="X106"/>
      <c r="Y106" t="inlineStr">
        <is>
          <t>Pending Appointment</t>
        </is>
      </c>
      <c r="Z106" t="inlineStr">
        <is>
          <t>Hiring Now</t>
        </is>
      </c>
      <c r="AA106">
        <v>1</v>
      </c>
      <c r="AB106" t="inlineStr">
        <is>
          <t>No Appointment Made</t>
        </is>
      </c>
      <c r="AC106"/>
      <c r="AD106" t="inlineStr">
        <is>
          <t xml:space="preserve">1 therapist </t>
        </is>
      </c>
      <c r="AE106"/>
      <c r="AF106">
        <v>0</v>
      </c>
      <c r="AG106" s="4"/>
      <c r="AH106" s="4"/>
      <c r="AI106">
        <v>0</v>
      </c>
      <c r="AJ106">
        <v>0</v>
      </c>
      <c r="AK106" t="inlineStr">
        <is>
          <t>No, I don't need at all</t>
        </is>
      </c>
      <c r="AL106">
        <v>0</v>
      </c>
      <c r="AM106" t="inlineStr">
        <is>
          <t>No, I don't need at all</t>
        </is>
      </c>
      <c r="AN106"/>
      <c r="AO106" t="inlineStr">
        <is>
          <t>No, I don't need at all</t>
        </is>
      </c>
      <c r="AP106" t="inlineStr">
        <is>
          <t>Once a year (25%)</t>
        </is>
      </c>
      <c r="AQ106">
        <v>1</v>
      </c>
      <c r="AR106" t="inlineStr">
        <is>
          <t>Did not use any job portal</t>
        </is>
      </c>
      <c r="AS106" t="inlineStr">
        <is>
          <t>- Headcount: 1
- Hiring Job Details: 1 therapist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06">
        <v>100</v>
      </c>
      <c r="AU106" t="inlineStr">
        <is>
          <t>1.00</t>
        </is>
      </c>
      <c r="AV106" t="inlineStr">
        <is>
          <t>15</t>
        </is>
      </c>
      <c r="AW106" t="inlineStr">
        <is>
          <t>0</t>
        </is>
      </c>
      <c r="AX106" t="inlineStr">
        <is>
          <t>Not Qualified</t>
        </is>
      </c>
      <c r="AY106" s="4"/>
      <c r="AZ106"/>
      <c r="BA106"/>
      <c r="BB106"/>
      <c r="BC106" t="inlineStr">
        <is>
          <t>req send invoice</t>
        </is>
      </c>
      <c r="BD106" s="4">
        <v>46140.70107638889</v>
      </c>
      <c r="BE106" t="inlineStr">
        <is>
          <t>pending</t>
        </is>
      </c>
      <c r="BF106"/>
      <c r="BG106" t="inlineStr">
        <is>
          <t>Reschedule</t>
        </is>
      </c>
      <c r="BH106" t="inlineStr">
        <is>
          <t>Yee Hang</t>
        </is>
      </c>
      <c r="BI106" t="inlineStr">
        <is>
          <t>Healthcare / Medical</t>
        </is>
      </c>
      <c r="BJ106" s="4">
        <v>46144.75256944444</v>
      </c>
      <c r="BK106" s="4">
        <v>45819.674895833334</v>
      </c>
      <c r="BL106" t="inlineStr">
        <is>
          <t>0.0</t>
        </is>
      </c>
      <c r="BM106" t="inlineStr">
        <is>
          <t>0.0</t>
        </is>
      </c>
      <c r="BN106" t="inlineStr">
        <is>
          <t>View Jobmanager Page</t>
        </is>
      </c>
      <c r="BO106" s="4">
        <v>45819.714953703704</v>
      </c>
      <c r="BP106">
        <v>169172</v>
      </c>
      <c r="BQ106">
        <v>123946</v>
      </c>
      <c r="BR106" t="inlineStr">
        <is>
          <t>Proforma</t>
        </is>
      </c>
      <c r="BS106" t="inlineStr">
        <is>
          <t>AI Yearly Standard Plan (Jan 26)</t>
        </is>
      </c>
      <c r="BT106"/>
      <c r="BU106"/>
      <c r="BV106">
        <v>2733576</v>
      </c>
      <c r="BW106" t="inlineStr">
        <is>
          <t>Follow Up : Invoice Sent 75%</t>
        </is>
      </c>
      <c r="BX106"/>
      <c r="BY106"/>
      <c r="BZ106" s="4"/>
      <c r="CA106"/>
      <c r="CB106"/>
      <c r="CC106" s="4"/>
      <c r="CD106" t="inlineStr">
        <is>
          <t>20</t>
        </is>
      </c>
      <c r="CE106" t="inlineStr">
        <is>
          <t>0</t>
        </is>
      </c>
      <c r="CF106" t="inlineStr">
        <is>
          <t>Q2-W04</t>
        </is>
      </c>
      <c r="CG106" t="inlineStr">
        <is>
          <t>Q2-W04</t>
        </is>
      </c>
      <c r="CH106"/>
      <c r="CI106"/>
      <c r="CJ106" t="inlineStr">
        <is>
          <t>No Paid</t>
        </is>
      </c>
      <c r="CK106" t="inlineStr">
        <is>
          <t>Not Eligible</t>
        </is>
      </c>
      <c r="CL106"/>
      <c r="CM106"/>
    </row>
    <row r="107" ht="25.5" customHeight="1">
      <c r="A107" t="inlineStr">
        <is>
          <t>163326</t>
        </is>
      </c>
      <c r="B107" s="2"/>
      <c r="C107"/>
      <c r="D107" s="3">
        <v>46140.48030092593</v>
      </c>
      <c r="E107" t="inlineStr">
        <is>
          <t>Q2-W04</t>
        </is>
      </c>
      <c r="F107" t="inlineStr">
        <is>
          <t>Eugene</t>
        </is>
      </c>
      <c r="G107" t="inlineStr">
        <is>
          <t>Customer</t>
        </is>
      </c>
      <c r="H107" s="2" t="str">
        <f>=HYPERLINK("https://upbox.ajobthing.my/customer/163326", "https://upbox.ajobthing.my/customer/163326")</f>
        <v>https://upbox.ajobthing.my/customer/163326</v>
      </c>
      <c r="I107" t="inlineStr">
        <is>
          <t>Maxi Safety Concept Sdn Bhd</t>
        </is>
      </c>
      <c r="J107" t="inlineStr">
        <is>
          <t>Dolphin</t>
        </is>
      </c>
      <c r="K107" t="inlineStr">
        <is>
          <t>Eugene</t>
        </is>
      </c>
      <c r="L107" s="4"/>
      <c r="M107" s="4">
        <v>46140.48092592593</v>
      </c>
      <c r="N107"/>
      <c r="O107">
        <v>3888</v>
      </c>
      <c r="P107" s="4"/>
      <c r="Q107" s="4">
        <v>46066.91028935185</v>
      </c>
      <c r="R107"/>
      <c r="S107">
        <v>0</v>
      </c>
      <c r="T107" s="4">
        <v>44976.80708333333</v>
      </c>
      <c r="U107" s="4"/>
      <c r="V107"/>
      <c r="W107">
        <v>1696</v>
      </c>
      <c r="X107"/>
      <c r="Y107" t="inlineStr">
        <is>
          <t>Pending Appointment</t>
        </is>
      </c>
      <c r="Z107" t="inlineStr">
        <is>
          <t>Hiring Now</t>
        </is>
      </c>
      <c r="AA107">
        <v>1</v>
      </c>
      <c r="AB107" t="inlineStr">
        <is>
          <t>No Appointment Made</t>
        </is>
      </c>
      <c r="AC107"/>
      <c r="AD107" t="inlineStr">
        <is>
          <t>1 positions , based in KL</t>
        </is>
      </c>
      <c r="AE107"/>
      <c r="AF107">
        <v>3000</v>
      </c>
      <c r="AG107" s="4"/>
      <c r="AH107" s="4"/>
      <c r="AI107">
        <v>3000</v>
      </c>
      <c r="AJ107">
        <v>1</v>
      </c>
      <c r="AK107" t="inlineStr">
        <is>
          <t>No, I don't need at all</t>
        </is>
      </c>
      <c r="AL107">
        <v>1</v>
      </c>
      <c r="AM107" t="inlineStr">
        <is>
          <t>No, I don't need at all</t>
        </is>
      </c>
      <c r="AN107"/>
      <c r="AO107" t="inlineStr">
        <is>
          <t>No, I don't need at all</t>
        </is>
      </c>
      <c r="AP107" t="inlineStr">
        <is>
          <t>Once a year (25%)</t>
        </is>
      </c>
      <c r="AQ107">
        <v>1</v>
      </c>
      <c r="AR107" t="inlineStr">
        <is>
          <t>Free Job Portal</t>
        </is>
      </c>
      <c r="AS107"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Free Job Portal</t>
        </is>
      </c>
      <c r="AT107">
        <v>100</v>
      </c>
      <c r="AU107" t="inlineStr">
        <is>
          <t>1.00</t>
        </is>
      </c>
      <c r="AV107" t="inlineStr">
        <is>
          <t>15</t>
        </is>
      </c>
      <c r="AW107" t="inlineStr">
        <is>
          <t>0</t>
        </is>
      </c>
      <c r="AX107" t="inlineStr">
        <is>
          <t>Not Qualified</t>
        </is>
      </c>
      <c r="AY107" s="4"/>
      <c r="AZ107"/>
      <c r="BA107"/>
      <c r="BB107"/>
      <c r="BC107"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Free Job Portal</t>
        </is>
      </c>
      <c r="BD107" s="4">
        <v>46140.500023148146</v>
      </c>
      <c r="BE107" t="inlineStr">
        <is>
          <t>paid</t>
        </is>
      </c>
      <c r="BF107"/>
      <c r="BG107" t="inlineStr">
        <is>
          <t>Reschedule</t>
        </is>
      </c>
      <c r="BH107" t="inlineStr">
        <is>
          <t>Edward Hoo</t>
        </is>
      </c>
      <c r="BI107" t="inlineStr">
        <is>
          <t>Consumer Products / FMCG</t>
        </is>
      </c>
      <c r="BJ107" s="4">
        <v>46144.751180555555</v>
      </c>
      <c r="BK107" s="4">
        <v>44926.410520833335</v>
      </c>
      <c r="BL107" t="inlineStr">
        <is>
          <t>0.0</t>
        </is>
      </c>
      <c r="BM107" t="inlineStr">
        <is>
          <t>0.0</t>
        </is>
      </c>
      <c r="BN107" t="inlineStr">
        <is>
          <t>View Jobmanager Page</t>
        </is>
      </c>
      <c r="BO107" s="4">
        <v>45226.72178240741</v>
      </c>
      <c r="BP107">
        <v>169189</v>
      </c>
      <c r="BQ107">
        <v>115416</v>
      </c>
      <c r="BR107" t="inlineStr">
        <is>
          <t>Proforma</t>
        </is>
      </c>
      <c r="BS107" t="inlineStr">
        <is>
          <t>Free Internship Job</t>
        </is>
      </c>
      <c r="BT107">
        <v>55479</v>
      </c>
      <c r="BU107"/>
      <c r="BV107">
        <v>2732310</v>
      </c>
      <c r="BW107" t="inlineStr">
        <is>
          <t>Customer Inquiry</t>
        </is>
      </c>
      <c r="BX107"/>
      <c r="BY107"/>
      <c r="BZ107" s="4"/>
      <c r="CA107"/>
      <c r="CB107"/>
      <c r="CC107" s="4"/>
      <c r="CD107" t="inlineStr">
        <is>
          <t>20</t>
        </is>
      </c>
      <c r="CE107" t="inlineStr">
        <is>
          <t>0</t>
        </is>
      </c>
      <c r="CF107" t="inlineStr">
        <is>
          <t>Q2-W04</t>
        </is>
      </c>
      <c r="CG107" t="inlineStr">
        <is>
          <t>Q1-W07</t>
        </is>
      </c>
      <c r="CH107"/>
      <c r="CI107"/>
      <c r="CJ107" t="inlineStr">
        <is>
          <t>Paid</t>
        </is>
      </c>
      <c r="CK107" t="inlineStr">
        <is>
          <t>Not Eligible</t>
        </is>
      </c>
      <c r="CL107"/>
      <c r="CM107"/>
    </row>
    <row r="108" ht="25.5" customHeight="1">
      <c r="A108" t="inlineStr">
        <is>
          <t>182264</t>
        </is>
      </c>
      <c r="B108" s="2"/>
      <c r="C108"/>
      <c r="D108" s="3">
        <v>46140.48174768518</v>
      </c>
      <c r="E108" t="inlineStr">
        <is>
          <t>Q2-W04</t>
        </is>
      </c>
      <c r="F108" t="inlineStr">
        <is>
          <t>Dickson</t>
        </is>
      </c>
      <c r="G108" t="inlineStr">
        <is>
          <t>Customer</t>
        </is>
      </c>
      <c r="H108" s="2" t="str">
        <f>=HYPERLINK("https://upbox.ajobthing.my/customer/182264", "https://upbox.ajobthing.my/customer/182264")</f>
        <v>https://upbox.ajobthing.my/customer/182264</v>
      </c>
      <c r="I108" t="inlineStr">
        <is>
          <t>Industrial Filtration Sdn Bhd</t>
        </is>
      </c>
      <c r="J108" t="inlineStr">
        <is>
          <t>Dolphin</t>
        </is>
      </c>
      <c r="K108" t="inlineStr">
        <is>
          <t>Dickson</t>
        </is>
      </c>
      <c r="L108" s="4"/>
      <c r="M108" s="4">
        <v>46140.48185185185</v>
      </c>
      <c r="N108"/>
      <c r="O108">
        <v>1296</v>
      </c>
      <c r="P108" s="4"/>
      <c r="Q108" s="4">
        <v>45537.50815972222</v>
      </c>
      <c r="R108"/>
      <c r="S108">
        <v>756</v>
      </c>
      <c r="T108" s="4">
        <v>45537.50815972222</v>
      </c>
      <c r="U108" s="4"/>
      <c r="V108"/>
      <c r="W108">
        <v>756</v>
      </c>
      <c r="X108"/>
      <c r="Y108" t="inlineStr">
        <is>
          <t>Pending Appointment</t>
        </is>
      </c>
      <c r="Z108" t="inlineStr">
        <is>
          <t>Hiring Now</t>
        </is>
      </c>
      <c r="AA108">
        <v>1</v>
      </c>
      <c r="AB108" t="inlineStr">
        <is>
          <t>No Appointment Made</t>
        </is>
      </c>
      <c r="AC108"/>
      <c r="AD108" t="inlineStr">
        <is>
          <t>1 marketing executive</t>
        </is>
      </c>
      <c r="AE108"/>
      <c r="AF108"/>
      <c r="AG108" s="4"/>
      <c r="AH108" s="4"/>
      <c r="AI108"/>
      <c r="AJ108">
        <v>1</v>
      </c>
      <c r="AK108" t="inlineStr">
        <is>
          <t>No, I don't need at all</t>
        </is>
      </c>
      <c r="AL108"/>
      <c r="AM108" t="inlineStr">
        <is>
          <t>No, I don't need at all</t>
        </is>
      </c>
      <c r="AN108"/>
      <c r="AO108" t="inlineStr">
        <is>
          <t>No, I don't need at all</t>
        </is>
      </c>
      <c r="AP108" t="inlineStr">
        <is>
          <t>Once per quarter (75%)</t>
        </is>
      </c>
      <c r="AQ108"/>
      <c r="AR108" t="inlineStr">
        <is>
          <t>Jobstore</t>
        </is>
      </c>
      <c r="AS108" t="inlineStr">
        <is>
          <t>- Headcount: 1
- Hiring Job Details: 1 marketing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Jobstore</t>
        </is>
      </c>
      <c r="AT108">
        <v>100</v>
      </c>
      <c r="AU108" t="inlineStr">
        <is>
          <t>1.00</t>
        </is>
      </c>
      <c r="AV108" t="inlineStr">
        <is>
          <t>5</t>
        </is>
      </c>
      <c r="AW108" t="inlineStr">
        <is>
          <t>0</t>
        </is>
      </c>
      <c r="AX108" t="inlineStr">
        <is>
          <t>Not Qualified</t>
        </is>
      </c>
      <c r="AY108" s="4"/>
      <c r="AZ108"/>
      <c r="BA108"/>
      <c r="BB108"/>
      <c r="BC108" t="inlineStr">
        <is>
          <t>- Headcount: 1
- Hiring Job Details: 1 marketing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Jobstore</t>
        </is>
      </c>
      <c r="BD108" s="4">
        <v>46140.500023148146</v>
      </c>
      <c r="BE108" t="inlineStr">
        <is>
          <t>paid</t>
        </is>
      </c>
      <c r="BF108"/>
      <c r="BG108" t="inlineStr">
        <is>
          <t>Reschedule</t>
        </is>
      </c>
      <c r="BH108" t="inlineStr">
        <is>
          <t>Edward Hoo</t>
        </is>
      </c>
      <c r="BI108" t="inlineStr">
        <is>
          <t>Manufacturing / Production</t>
        </is>
      </c>
      <c r="BJ108" s="4">
        <v>46144.751921296294</v>
      </c>
      <c r="BK108" s="4">
        <v>45537.473275462966</v>
      </c>
      <c r="BL108" t="inlineStr">
        <is>
          <t>0.0</t>
        </is>
      </c>
      <c r="BM108" t="inlineStr">
        <is>
          <t>1200.0</t>
        </is>
      </c>
      <c r="BN108" t="inlineStr">
        <is>
          <t>User Visit(Logged In)</t>
        </is>
      </c>
      <c r="BO108" s="4">
        <v>45791.44994212963</v>
      </c>
      <c r="BP108">
        <v>169190</v>
      </c>
      <c r="BQ108">
        <v>72647</v>
      </c>
      <c r="BR108" t="inlineStr">
        <is>
          <t>Online</t>
        </is>
      </c>
      <c r="BS108"/>
      <c r="BT108">
        <v>72647</v>
      </c>
      <c r="BU108"/>
      <c r="BV108">
        <v>2732311</v>
      </c>
      <c r="BW108" t="inlineStr">
        <is>
          <t>Customer Inquiry</t>
        </is>
      </c>
      <c r="BX108"/>
      <c r="BY108"/>
      <c r="BZ108" s="4"/>
      <c r="CA108"/>
      <c r="CB108"/>
      <c r="CC108" s="4"/>
      <c r="CD108" t="inlineStr">
        <is>
          <t>5</t>
        </is>
      </c>
      <c r="CE108" t="inlineStr">
        <is>
          <t>0</t>
        </is>
      </c>
      <c r="CF108" t="inlineStr">
        <is>
          <t>Q2-W04</t>
        </is>
      </c>
      <c r="CG108"/>
      <c r="CH108"/>
      <c r="CI108"/>
      <c r="CJ108" t="inlineStr">
        <is>
          <t>Paid</t>
        </is>
      </c>
      <c r="CK108" t="inlineStr">
        <is>
          <t>Not Eligible</t>
        </is>
      </c>
      <c r="CL108"/>
      <c r="CM108"/>
    </row>
    <row r="109" ht="25.5" customHeight="1">
      <c r="A109" t="inlineStr">
        <is>
          <t>188365</t>
        </is>
      </c>
      <c r="B109" s="2"/>
      <c r="C109"/>
      <c r="D109" s="3">
        <v>46140.4894212963</v>
      </c>
      <c r="E109" t="inlineStr">
        <is>
          <t>Q2-W04</t>
        </is>
      </c>
      <c r="F109" t="inlineStr">
        <is>
          <t>Lucas</t>
        </is>
      </c>
      <c r="G109" t="inlineStr">
        <is>
          <t>Customer</t>
        </is>
      </c>
      <c r="H109" s="2" t="str">
        <f>=HYPERLINK("https://upbox.ajobthing.my/customer/188365", "https://upbox.ajobthing.my/customer/188365")</f>
        <v>https://upbox.ajobthing.my/customer/188365</v>
      </c>
      <c r="I109" t="inlineStr">
        <is>
          <t>Wright Capital Management</t>
        </is>
      </c>
      <c r="J109" t="inlineStr">
        <is>
          <t>Dolphin</t>
        </is>
      </c>
      <c r="K109" t="inlineStr">
        <is>
          <t>Lucas</t>
        </is>
      </c>
      <c r="L109" s="4"/>
      <c r="M109" s="4">
        <v>46140.48767361111</v>
      </c>
      <c r="N109"/>
      <c r="O109">
        <v>3576.96</v>
      </c>
      <c r="P109" s="4"/>
      <c r="Q109" s="4">
        <v>46113.74136574074</v>
      </c>
      <c r="R109"/>
      <c r="S109">
        <v>1296</v>
      </c>
      <c r="T109" s="4">
        <v>46113.74136574074</v>
      </c>
      <c r="U109" s="4"/>
      <c r="V109"/>
      <c r="W109">
        <v>1296</v>
      </c>
      <c r="X109"/>
      <c r="Y109" t="inlineStr">
        <is>
          <t>Pending Appointment</t>
        </is>
      </c>
      <c r="Z109" t="inlineStr">
        <is>
          <t>Hiring Now</t>
        </is>
      </c>
      <c r="AA109">
        <v>1</v>
      </c>
      <c r="AB109" t="inlineStr">
        <is>
          <t>No Appointment Made</t>
        </is>
      </c>
      <c r="AC109"/>
      <c r="AD109" t="inlineStr">
        <is>
          <t xml:space="preserve">1 sale </t>
        </is>
      </c>
      <c r="AE109"/>
      <c r="AF109">
        <v>0</v>
      </c>
      <c r="AG109" s="4"/>
      <c r="AH109" s="4"/>
      <c r="AI109">
        <v>0</v>
      </c>
      <c r="AJ109">
        <v>0</v>
      </c>
      <c r="AK109" t="inlineStr">
        <is>
          <t>No, I don't need at all</t>
        </is>
      </c>
      <c r="AL109">
        <v>0</v>
      </c>
      <c r="AM109" t="inlineStr">
        <is>
          <t>No, I don't need at all</t>
        </is>
      </c>
      <c r="AN109"/>
      <c r="AO109" t="inlineStr">
        <is>
          <t>No, I don't need at all</t>
        </is>
      </c>
      <c r="AP109" t="inlineStr">
        <is>
          <t>Once a year (25%)</t>
        </is>
      </c>
      <c r="AQ109">
        <v>1</v>
      </c>
      <c r="AR109" t="inlineStr">
        <is>
          <t>Did not use any job portal</t>
        </is>
      </c>
      <c r="AS109" t="inlineStr">
        <is>
          <t>- Headcount: 1
- Hiring Job Details: 1 sale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09">
        <v>95</v>
      </c>
      <c r="AU109" t="inlineStr">
        <is>
          <t>0.95</t>
        </is>
      </c>
      <c r="AV109" t="inlineStr">
        <is>
          <t>15</t>
        </is>
      </c>
      <c r="AW109" t="inlineStr">
        <is>
          <t>0</t>
        </is>
      </c>
      <c r="AX109" t="inlineStr">
        <is>
          <t>Not Qualified</t>
        </is>
      </c>
      <c r="AY109" s="4"/>
      <c r="AZ109"/>
      <c r="BA109"/>
      <c r="BB109"/>
      <c r="BC109" t="inlineStr">
        <is>
          <t>pending from boss</t>
        </is>
      </c>
      <c r="BD109" s="4">
        <v>46142.679710648146</v>
      </c>
      <c r="BE109" t="inlineStr">
        <is>
          <t>paid</t>
        </is>
      </c>
      <c r="BF109" t="inlineStr">
        <is>
          <t>Q1-W13</t>
        </is>
      </c>
      <c r="BG109" t="inlineStr">
        <is>
          <t>Reschedule</t>
        </is>
      </c>
      <c r="BH109" t="inlineStr">
        <is>
          <t>Yee Hang</t>
        </is>
      </c>
      <c r="BI109" t="inlineStr">
        <is>
          <t>Banking / Finance</t>
        </is>
      </c>
      <c r="BJ109" s="4">
        <v>46144.75224537037</v>
      </c>
      <c r="BK109" s="4">
        <v>45719.66484953704</v>
      </c>
      <c r="BL109" t="inlineStr">
        <is>
          <t>1296.0</t>
        </is>
      </c>
      <c r="BM109" t="inlineStr">
        <is>
          <t>0.0</t>
        </is>
      </c>
      <c r="BN109" t="inlineStr">
        <is>
          <t>Send Chat to Applicant</t>
        </is>
      </c>
      <c r="BO109" s="4">
        <v>46142.67351851852</v>
      </c>
      <c r="BP109">
        <v>169195</v>
      </c>
      <c r="BQ109">
        <v>90592</v>
      </c>
      <c r="BR109" t="inlineStr">
        <is>
          <t>Online</t>
        </is>
      </c>
      <c r="BS109"/>
      <c r="BT109">
        <v>90592</v>
      </c>
      <c r="BU109"/>
      <c r="BV109">
        <v>2738143</v>
      </c>
      <c r="BW109" t="inlineStr">
        <is>
          <t>Follow Up : Decision Pending</t>
        </is>
      </c>
      <c r="BX109"/>
      <c r="BY109"/>
      <c r="BZ109" s="4"/>
      <c r="CA109">
        <v>23</v>
      </c>
      <c r="CB109">
        <v>4</v>
      </c>
      <c r="CC109" s="4">
        <v>46135.46172453704</v>
      </c>
      <c r="CD109" t="inlineStr">
        <is>
          <t>20</t>
        </is>
      </c>
      <c r="CE109" t="inlineStr">
        <is>
          <t>0</t>
        </is>
      </c>
      <c r="CF109" t="inlineStr">
        <is>
          <t>Q2-W04</t>
        </is>
      </c>
      <c r="CG109" t="inlineStr">
        <is>
          <t>Q1-W13</t>
        </is>
      </c>
      <c r="CH109" t="inlineStr">
        <is>
          <t>Q1-W13</t>
        </is>
      </c>
      <c r="CI109"/>
      <c r="CJ109" t="inlineStr">
        <is>
          <t>Paid</t>
        </is>
      </c>
      <c r="CK109" t="inlineStr">
        <is>
          <t>Not Eligible</t>
        </is>
      </c>
      <c r="CL109"/>
      <c r="CM109"/>
    </row>
    <row r="110" ht="25.5" customHeight="1">
      <c r="A110" t="inlineStr">
        <is>
          <t>5697</t>
        </is>
      </c>
      <c r="B110" s="2"/>
      <c r="C110"/>
      <c r="D110" s="3">
        <v>46140.48971064815</v>
      </c>
      <c r="E110" t="inlineStr">
        <is>
          <t>Q2-W04</t>
        </is>
      </c>
      <c r="F110" t="inlineStr">
        <is>
          <t>Ken Yi</t>
        </is>
      </c>
      <c r="G110" t="inlineStr">
        <is>
          <t>Customer</t>
        </is>
      </c>
      <c r="H110" s="2" t="str">
        <f>=HYPERLINK("https://upbox.ajobthing.my/customer/5697", "https://upbox.ajobthing.my/customer/5697")</f>
        <v>https://upbox.ajobthing.my/customer/5697</v>
      </c>
      <c r="I110" t="inlineStr">
        <is>
          <t>IE Consultancy</t>
        </is>
      </c>
      <c r="J110" t="inlineStr">
        <is>
          <t>Dolphin</t>
        </is>
      </c>
      <c r="K110" t="inlineStr">
        <is>
          <t>Kenyi</t>
        </is>
      </c>
      <c r="L110" s="4"/>
      <c r="M110" s="4">
        <v>46140.488391203704</v>
      </c>
      <c r="N110"/>
      <c r="O110">
        <v>3576.96</v>
      </c>
      <c r="P110" s="4"/>
      <c r="Q110" s="4">
        <v>46119.64460648148</v>
      </c>
      <c r="R110"/>
      <c r="S110">
        <v>0</v>
      </c>
      <c r="T110" s="4">
        <v>45853.65017361111</v>
      </c>
      <c r="U110" s="4"/>
      <c r="V110"/>
      <c r="W110">
        <v>324</v>
      </c>
      <c r="X110"/>
      <c r="Y110" t="inlineStr">
        <is>
          <t>Pending Appointment</t>
        </is>
      </c>
      <c r="Z110" t="inlineStr">
        <is>
          <t>Hiring Now</t>
        </is>
      </c>
      <c r="AA110">
        <v>2</v>
      </c>
      <c r="AB110" t="inlineStr">
        <is>
          <t>No Appointment Made</t>
        </is>
      </c>
      <c r="AC110"/>
      <c r="AD110" t="inlineStr">
        <is>
          <t>Hiring now , promotion for flash sales, Marketing, sales</t>
        </is>
      </c>
      <c r="AE110"/>
      <c r="AF110">
        <v>3672</v>
      </c>
      <c r="AG110" s="4"/>
      <c r="AH110" s="4"/>
      <c r="AI110">
        <v>0</v>
      </c>
      <c r="AJ110">
        <v>1</v>
      </c>
      <c r="AK110" t="inlineStr">
        <is>
          <t>Yes, I have</t>
        </is>
      </c>
      <c r="AL110">
        <v>1</v>
      </c>
      <c r="AM110" t="inlineStr">
        <is>
          <t>No, I don't need at all</t>
        </is>
      </c>
      <c r="AN110"/>
      <c r="AO110" t="inlineStr">
        <is>
          <t>No, I don't need at all</t>
        </is>
      </c>
      <c r="AP110" t="inlineStr">
        <is>
          <t>Every month (100%)</t>
        </is>
      </c>
      <c r="AQ110">
        <v>3</v>
      </c>
      <c r="AR110" t="inlineStr">
        <is>
          <t>Jobstreet, Hiredly</t>
        </is>
      </c>
      <c r="AS110" t="inlineStr">
        <is>
          <t>- Headcount: 2
- Hiring Job Details: Hiring now, promotion for flash sales, Marketing, sales
- Hiring Urgency: Hiring Now
- Number of outlets: 1
- Have recruiter team: Yes
- Number of recruiter in company: 1
- Have ATS system: No, I don't need at all
- Have career website: No, I don't need at all
- Current hiring budget: RM3,672
- Whole year budget: RM0.00
- Whole year number of vacancies: 3
- Hiring frequency: Every month (100%)
- External job portal: Jobstreet, Hiredly</t>
        </is>
      </c>
      <c r="AT110">
        <v>95</v>
      </c>
      <c r="AU110" t="inlineStr">
        <is>
          <t>0.95</t>
        </is>
      </c>
      <c r="AV110" t="inlineStr">
        <is>
          <t>15</t>
        </is>
      </c>
      <c r="AW110" t="inlineStr">
        <is>
          <t>0</t>
        </is>
      </c>
      <c r="AX110" t="inlineStr">
        <is>
          <t>Not Qualified</t>
        </is>
      </c>
      <c r="AY110" s="4"/>
      <c r="AZ110"/>
      <c r="BA110"/>
      <c r="BB110"/>
      <c r="BC110" t="inlineStr">
        <is>
          <t>- Headcount: 2
- Hiring Job Details: Hiring now, promotion for flash sales, Marketing, sales
- Hiring Urgency: Hiring Now
- Number of outlets: 1
- Have recruiter team: Yes
- Number of recruiter in company: 1
- Have ATS system: No, I don't need at all
- Have career website: No, I don't need at all
- Current hiring budget: RM3,672
- Whole year budget: RM0.00
- Whole year number of vacancies: 3
- Hiring frequency: Every month (100%)
- External job portal: Jobstreet, Hiredly</t>
        </is>
      </c>
      <c r="BD110" s="4">
        <v>46140.500023148146</v>
      </c>
      <c r="BE110" t="inlineStr">
        <is>
          <t>paid</t>
        </is>
      </c>
      <c r="BF110"/>
      <c r="BG110" t="inlineStr">
        <is>
          <t>Reschedule</t>
        </is>
      </c>
      <c r="BH110" t="inlineStr">
        <is>
          <t>Fauziah Maharan</t>
        </is>
      </c>
      <c r="BI110" t="inlineStr">
        <is>
          <t>HR Mgmt / Consulting</t>
        </is>
      </c>
      <c r="BJ110" s="4">
        <v>46144.75609953704</v>
      </c>
      <c r="BK110" s="4">
        <v>42415.58170138889</v>
      </c>
      <c r="BL110" t="inlineStr">
        <is>
          <t>324.0</t>
        </is>
      </c>
      <c r="BM110" t="inlineStr">
        <is>
          <t>300.0</t>
        </is>
      </c>
      <c r="BN110" t="inlineStr">
        <is>
          <t>Search tab: Save Candidate</t>
        </is>
      </c>
      <c r="BO110" s="4">
        <v>46142.76466435185</v>
      </c>
      <c r="BP110">
        <v>169197</v>
      </c>
      <c r="BQ110">
        <v>120506</v>
      </c>
      <c r="BR110" t="inlineStr">
        <is>
          <t>Proforma</t>
        </is>
      </c>
      <c r="BS110" t="inlineStr">
        <is>
          <t>Free Part-Time Job</t>
        </is>
      </c>
      <c r="BT110">
        <v>80780</v>
      </c>
      <c r="BU110"/>
      <c r="BV110">
        <v>2732315</v>
      </c>
      <c r="BW110" t="inlineStr">
        <is>
          <t>Customer Inquiry</t>
        </is>
      </c>
      <c r="BX110"/>
      <c r="BY110"/>
      <c r="BZ110" s="4"/>
      <c r="CA110">
        <v>10</v>
      </c>
      <c r="CB110">
        <v>6</v>
      </c>
      <c r="CC110" s="4">
        <v>46142.764085648145</v>
      </c>
      <c r="CD110" t="inlineStr">
        <is>
          <t>20</t>
        </is>
      </c>
      <c r="CE110" t="inlineStr">
        <is>
          <t>0</t>
        </is>
      </c>
      <c r="CF110" t="inlineStr">
        <is>
          <t>Q2-W04</t>
        </is>
      </c>
      <c r="CG110" t="inlineStr">
        <is>
          <t>Q2-W01</t>
        </is>
      </c>
      <c r="CH110"/>
      <c r="CI110"/>
      <c r="CJ110" t="inlineStr">
        <is>
          <t>Paid</t>
        </is>
      </c>
      <c r="CK110" t="inlineStr">
        <is>
          <t>Not Eligible</t>
        </is>
      </c>
      <c r="CL110"/>
      <c r="CM110"/>
    </row>
    <row r="111" ht="25.5" customHeight="1">
      <c r="A111" t="inlineStr">
        <is>
          <t>203519</t>
        </is>
      </c>
      <c r="B111" s="2"/>
      <c r="C111"/>
      <c r="D111" s="3">
        <v>46140.490266203706</v>
      </c>
      <c r="E111" t="inlineStr">
        <is>
          <t>Q2-W04</t>
        </is>
      </c>
      <c r="F111" t="inlineStr">
        <is>
          <t>Eugene</t>
        </is>
      </c>
      <c r="G111" t="inlineStr">
        <is>
          <t>Customer</t>
        </is>
      </c>
      <c r="H111" s="2" t="str">
        <f>=HYPERLINK("https://upbox.ajobthing.my/customer/203519", "https://upbox.ajobthing.my/customer/203519")</f>
        <v>https://upbox.ajobthing.my/customer/203519</v>
      </c>
      <c r="I111" t="inlineStr">
        <is>
          <t>Platinums M&amp;e Engineering Sdn Bhd</t>
        </is>
      </c>
      <c r="J111" t="inlineStr">
        <is>
          <t>Dolphin</t>
        </is>
      </c>
      <c r="K111" t="inlineStr">
        <is>
          <t>Eugene</t>
        </is>
      </c>
      <c r="L111" s="4"/>
      <c r="M111" s="4">
        <v>46140.490381944444</v>
      </c>
      <c r="N111"/>
      <c r="O111">
        <v>3888</v>
      </c>
      <c r="P111" s="4"/>
      <c r="Q111" s="4"/>
      <c r="R111"/>
      <c r="S111"/>
      <c r="T111" s="4"/>
      <c r="U111" s="4"/>
      <c r="V111"/>
      <c r="W111"/>
      <c r="X111" t="inlineStr">
        <is>
          <t>Edward Hoo</t>
        </is>
      </c>
      <c r="Y111" t="inlineStr">
        <is>
          <t>Done Appointment</t>
        </is>
      </c>
      <c r="Z111" t="inlineStr">
        <is>
          <t>Hiring Now</t>
        </is>
      </c>
      <c r="AA111">
        <v>10</v>
      </c>
      <c r="AB111" t="inlineStr">
        <is>
          <t>Appointment Made</t>
        </is>
      </c>
      <c r="AC111" t="inlineStr">
        <is>
          <t>Mid-size (50-100 employees)</t>
        </is>
      </c>
      <c r="AD111" t="inlineStr">
        <is>
          <t>10 positions, Project Engineer, Project Coordinatior, Driver, multiple branches</t>
        </is>
      </c>
      <c r="AE111" t="inlineStr">
        <is>
          <t>HR Manager / Talent Manager</t>
        </is>
      </c>
      <c r="AF111">
        <v>6000</v>
      </c>
      <c r="AG111" s="4">
        <v>46140.458333333336</v>
      </c>
      <c r="AH111" s="4">
        <v>46140.48888888889</v>
      </c>
      <c r="AI111">
        <v>6000</v>
      </c>
      <c r="AJ111">
        <v>3</v>
      </c>
      <c r="AK111" t="inlineStr">
        <is>
          <t>No, I don't need at all</t>
        </is>
      </c>
      <c r="AL111">
        <v>2</v>
      </c>
      <c r="AM111" t="inlineStr">
        <is>
          <t>No, but I want in future</t>
        </is>
      </c>
      <c r="AN111"/>
      <c r="AO111" t="inlineStr">
        <is>
          <t>No, but I want in future</t>
        </is>
      </c>
      <c r="AP111" t="inlineStr">
        <is>
          <t>Once per quarter (75%)</t>
        </is>
      </c>
      <c r="AQ111">
        <v>20</v>
      </c>
      <c r="AR111" t="inlineStr">
        <is>
          <t>Jobstreet, Indeed (Paid), Free Job Portal</t>
        </is>
      </c>
      <c r="AS111" t="inlineStr">
        <is>
          <t>- Headcount: 10
- Hiring Job Details: 10 positions (Project Engineer, Project Coordinatior, Driver) across multiple branches
- Hiring Urgency: Hiring Now
- Number of outlets: 3
- Have recruiter team: No, don't need at all
- Number of recruiter in company: 2
- Have ATS system: No, but want in future
- Have career website: No, but want in future
- Current hiring budget: RM6,000
- Whole year budget: RM6,000.00
- Whole year number of vacancies: 20
- Hiring frequency: Once per quarter (75%)
- External job portal: Jobstreet, Indeed (Paid), Free Job Portal</t>
        </is>
      </c>
      <c r="AT111">
        <v>95</v>
      </c>
      <c r="AU111" t="inlineStr">
        <is>
          <t>0.95</t>
        </is>
      </c>
      <c r="AV111" t="inlineStr">
        <is>
          <t>40</t>
        </is>
      </c>
      <c r="AW111" t="inlineStr">
        <is>
          <t>0.5</t>
        </is>
      </c>
      <c r="AX111" t="inlineStr">
        <is>
          <t>Not Qualified</t>
        </is>
      </c>
      <c r="AY111" s="4">
        <v>46140.4965625</v>
      </c>
      <c r="AZ111" t="inlineStr">
        <is>
          <t>Edward Hoo</t>
        </is>
      </c>
      <c r="BA111"/>
      <c r="BB111"/>
      <c r="BC111" t="inlineStr">
        <is>
          <t>pending</t>
        </is>
      </c>
      <c r="BD111" s="4">
        <v>46141.69149305556</v>
      </c>
      <c r="BE111"/>
      <c r="BF111"/>
      <c r="BG111" t="inlineStr">
        <is>
          <t>Reschedule</t>
        </is>
      </c>
      <c r="BH111" t="inlineStr">
        <is>
          <t>Edward Hoo</t>
        </is>
      </c>
      <c r="BI111"/>
      <c r="BJ111" s="4">
        <v>46144.754328703704</v>
      </c>
      <c r="BK111" s="4">
        <v>46134.43994212963</v>
      </c>
      <c r="BL111" t="inlineStr">
        <is>
          <t>0.0</t>
        </is>
      </c>
      <c r="BM111" t="inlineStr">
        <is>
          <t>0.0</t>
        </is>
      </c>
      <c r="BN111" t="inlineStr">
        <is>
          <t>View Account User</t>
        </is>
      </c>
      <c r="BO111" s="4">
        <v>46134.48368055555</v>
      </c>
      <c r="BP111">
        <v>169201</v>
      </c>
      <c r="BQ111"/>
      <c r="BR111"/>
      <c r="BS111"/>
      <c r="BT111"/>
      <c r="BU111"/>
      <c r="BV111">
        <v>2735935</v>
      </c>
      <c r="BW111" t="inlineStr">
        <is>
          <t>Follow Up : Decision Pending</t>
        </is>
      </c>
      <c r="BX111"/>
      <c r="BY111"/>
      <c r="BZ111" s="4"/>
      <c r="CA111"/>
      <c r="CB111"/>
      <c r="CC111" s="4"/>
      <c r="CD111" t="inlineStr">
        <is>
          <t>60</t>
        </is>
      </c>
      <c r="CE111" t="inlineStr">
        <is>
          <t>0.8</t>
        </is>
      </c>
      <c r="CF111" t="inlineStr">
        <is>
          <t>Q2-W04</t>
        </is>
      </c>
      <c r="CG111"/>
      <c r="CH111"/>
      <c r="CI111" t="inlineStr">
        <is>
          <t>Q2-W04</t>
        </is>
      </c>
      <c r="CJ111" t="inlineStr">
        <is>
          <t>No Paid</t>
        </is>
      </c>
      <c r="CK111" t="inlineStr">
        <is>
          <t>Eligible</t>
        </is>
      </c>
      <c r="CL111"/>
      <c r="CM111" t="inlineStr">
        <is>
          <t>Q2-W04</t>
        </is>
      </c>
    </row>
    <row r="112" ht="25.5" customHeight="1">
      <c r="A112" t="inlineStr">
        <is>
          <t>203733</t>
        </is>
      </c>
      <c r="B112" s="2"/>
      <c r="C112"/>
      <c r="D112" s="3">
        <v>46140.49469907407</v>
      </c>
      <c r="E112" t="inlineStr">
        <is>
          <t>Q2-W04</t>
        </is>
      </c>
      <c r="F112" t="inlineStr">
        <is>
          <t>Josh</t>
        </is>
      </c>
      <c r="G112" t="inlineStr">
        <is>
          <t>Customer</t>
        </is>
      </c>
      <c r="H112" s="2" t="str">
        <f>=HYPERLINK("https://upbox.ajobthing.my/customer/203733", "https://upbox.ajobthing.my/customer/203733")</f>
        <v>https://upbox.ajobthing.my/customer/203733</v>
      </c>
      <c r="I112" t="inlineStr">
        <is>
          <t>Daengco Sdn Bhd</t>
        </is>
      </c>
      <c r="J112" t="inlineStr">
        <is>
          <t>Dolphin</t>
        </is>
      </c>
      <c r="K112" t="inlineStr">
        <is>
          <t>Josh</t>
        </is>
      </c>
      <c r="L112" s="4"/>
      <c r="M112" s="4">
        <v>46140.495833333334</v>
      </c>
      <c r="N112"/>
      <c r="O112">
        <v>10381</v>
      </c>
      <c r="P112" s="4"/>
      <c r="Q112" s="4"/>
      <c r="R112"/>
      <c r="S112"/>
      <c r="T112" s="4"/>
      <c r="U112" s="4"/>
      <c r="V112"/>
      <c r="W112"/>
      <c r="X112"/>
      <c r="Y112" t="inlineStr">
        <is>
          <t>Pending Appointment</t>
        </is>
      </c>
      <c r="Z112" t="inlineStr">
        <is>
          <t>Hiring Now</t>
        </is>
      </c>
      <c r="AA112">
        <v>12</v>
      </c>
      <c r="AB112" t="inlineStr">
        <is>
          <t>No Appointment Made</t>
        </is>
      </c>
      <c r="AC112"/>
      <c r="AD112" t="inlineStr">
        <is>
          <t xml:space="preserve">civil engi - 5
qs - 2
accountant - 2
hr cum admin - 1
mechanical - 2 </t>
        </is>
      </c>
      <c r="AE112"/>
      <c r="AF112">
        <v>3000</v>
      </c>
      <c r="AG112" s="4"/>
      <c r="AH112" s="4"/>
      <c r="AI112"/>
      <c r="AJ112"/>
      <c r="AK112" t="inlineStr">
        <is>
          <t>Yes, I have</t>
        </is>
      </c>
      <c r="AL112"/>
      <c r="AM112"/>
      <c r="AN112"/>
      <c r="AO112"/>
      <c r="AP112" t="inlineStr">
        <is>
          <t>Every month (100%)</t>
        </is>
      </c>
      <c r="AQ112"/>
      <c r="AR112"/>
      <c r="AS112" t="inlineStr">
        <is>
          <t>- Headcount: 12
- Hiring Job Details: civil engi - 5, qs - 2, accountant - 2, hr cum admin - 1, mechanical - 2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Every month (100%)
- External job portal: Not specified</t>
        </is>
      </c>
      <c r="AT112">
        <v>95</v>
      </c>
      <c r="AU112" t="inlineStr">
        <is>
          <t>0.95</t>
        </is>
      </c>
      <c r="AV112" t="inlineStr">
        <is>
          <t>25</t>
        </is>
      </c>
      <c r="AW112" t="inlineStr">
        <is>
          <t>0</t>
        </is>
      </c>
      <c r="AX112" t="inlineStr">
        <is>
          <t>Not Qualified</t>
        </is>
      </c>
      <c r="AY112" s="4"/>
      <c r="AZ112"/>
      <c r="BA112"/>
      <c r="BB112"/>
      <c r="BC112" t="inlineStr">
        <is>
          <t>mayb will go for pro, waiting confirmation from ceo</t>
        </is>
      </c>
      <c r="BD112" s="4">
        <v>46142.713912037034</v>
      </c>
      <c r="BE112"/>
      <c r="BF112"/>
      <c r="BG112" t="inlineStr">
        <is>
          <t>Reschedule</t>
        </is>
      </c>
      <c r="BH112" t="inlineStr">
        <is>
          <t>Fauziah Maharan</t>
        </is>
      </c>
      <c r="BI112"/>
      <c r="BJ112" s="4">
        <v>46144.75438657407</v>
      </c>
      <c r="BK112" s="4">
        <v>46140.48311342593</v>
      </c>
      <c r="BL112" t="inlineStr">
        <is>
          <t>0.0</t>
        </is>
      </c>
      <c r="BM112" t="inlineStr">
        <is>
          <t>0.0</t>
        </is>
      </c>
      <c r="BN112" t="inlineStr">
        <is>
          <t>View Company Page</t>
        </is>
      </c>
      <c r="BO112" s="4">
        <v>46140.71165509259</v>
      </c>
      <c r="BP112">
        <v>169207</v>
      </c>
      <c r="BQ112"/>
      <c r="BR112"/>
      <c r="BS112"/>
      <c r="BT112"/>
      <c r="BU112"/>
      <c r="BV112">
        <v>2738317</v>
      </c>
      <c r="BW112" t="inlineStr">
        <is>
          <t>Follow Up : Decision Pending</t>
        </is>
      </c>
      <c r="BX112"/>
      <c r="BY112"/>
      <c r="BZ112" s="4"/>
      <c r="CA112"/>
      <c r="CB112"/>
      <c r="CC112" s="4"/>
      <c r="CD112" t="inlineStr">
        <is>
          <t>35</t>
        </is>
      </c>
      <c r="CE112" t="inlineStr">
        <is>
          <t>0</t>
        </is>
      </c>
      <c r="CF112" t="inlineStr">
        <is>
          <t>Q2-W04</t>
        </is>
      </c>
      <c r="CG112"/>
      <c r="CH112"/>
      <c r="CI112"/>
      <c r="CJ112" t="inlineStr">
        <is>
          <t>No Paid</t>
        </is>
      </c>
      <c r="CK112" t="inlineStr">
        <is>
          <t>Eligible</t>
        </is>
      </c>
      <c r="CL112"/>
      <c r="CM112"/>
    </row>
    <row r="113" ht="25.5" customHeight="1">
      <c r="A113" t="inlineStr">
        <is>
          <t>125021</t>
        </is>
      </c>
      <c r="B113" s="2"/>
      <c r="C113"/>
      <c r="D113" s="3">
        <v>46140.49491898148</v>
      </c>
      <c r="E113" t="inlineStr">
        <is>
          <t>Q2-W04</t>
        </is>
      </c>
      <c r="F113" t="inlineStr">
        <is>
          <t>Janice Yap</t>
        </is>
      </c>
      <c r="G113" t="inlineStr">
        <is>
          <t>Customer</t>
        </is>
      </c>
      <c r="H113" s="2" t="str">
        <f>=HYPERLINK("https://upbox.ajobthing.my/customer/125021", "https://upbox.ajobthing.my/customer/125021")</f>
        <v>https://upbox.ajobthing.my/customer/125021</v>
      </c>
      <c r="I113" t="inlineStr">
        <is>
          <t>MST Stainless Steel Sdn Bhd</t>
        </is>
      </c>
      <c r="J113" t="inlineStr">
        <is>
          <t>Dolphin</t>
        </is>
      </c>
      <c r="K113" t="inlineStr">
        <is>
          <t>Janice</t>
        </is>
      </c>
      <c r="L113" s="4"/>
      <c r="M113" s="4">
        <v>46140.49344907407</v>
      </c>
      <c r="N113"/>
      <c r="O113">
        <v>3888</v>
      </c>
      <c r="P113" s="4"/>
      <c r="Q113" s="4">
        <v>45897.434641203705</v>
      </c>
      <c r="R113"/>
      <c r="S113">
        <v>0</v>
      </c>
      <c r="T113" s="4">
        <v>45364.750185185185</v>
      </c>
      <c r="U113" s="4"/>
      <c r="V113"/>
      <c r="W113">
        <v>1944</v>
      </c>
      <c r="X113"/>
      <c r="Y113" t="inlineStr">
        <is>
          <t>Pending Appointment</t>
        </is>
      </c>
      <c r="Z113" t="inlineStr">
        <is>
          <t>Hiring Now</t>
        </is>
      </c>
      <c r="AA113">
        <v>2</v>
      </c>
      <c r="AB113" t="inlineStr">
        <is>
          <t>No Appointment Made</t>
        </is>
      </c>
      <c r="AC113"/>
      <c r="AD113" t="inlineStr">
        <is>
          <t>2 outdoor sales</t>
        </is>
      </c>
      <c r="AE113"/>
      <c r="AF113">
        <v>0</v>
      </c>
      <c r="AG113" s="4"/>
      <c r="AH113" s="4"/>
      <c r="AI113">
        <v>0</v>
      </c>
      <c r="AJ113"/>
      <c r="AK113" t="inlineStr">
        <is>
          <t>No, I don't need at all</t>
        </is>
      </c>
      <c r="AL113">
        <v>0</v>
      </c>
      <c r="AM113" t="inlineStr">
        <is>
          <t>No, I don't need at all</t>
        </is>
      </c>
      <c r="AN113"/>
      <c r="AO113" t="inlineStr">
        <is>
          <t>No, I don't need at all</t>
        </is>
      </c>
      <c r="AP113" t="inlineStr">
        <is>
          <t>Once a year (25%)</t>
        </is>
      </c>
      <c r="AQ113">
        <v>2</v>
      </c>
      <c r="AR113" t="inlineStr">
        <is>
          <t>Jobstreet, Linkedin (Paid)</t>
        </is>
      </c>
      <c r="AS113" t="inlineStr">
        <is>
          <t>- Headcount: 2
- Hiring Job Details: 2 outdoor sales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Jobstreet,Linkedin (Paid)
- Hiring Urgency: Hiring Now</t>
        </is>
      </c>
      <c r="AT113">
        <v>105</v>
      </c>
      <c r="AU113" t="inlineStr">
        <is>
          <t>1.05</t>
        </is>
      </c>
      <c r="AV113" t="inlineStr">
        <is>
          <t>15</t>
        </is>
      </c>
      <c r="AW113" t="inlineStr">
        <is>
          <t>0</t>
        </is>
      </c>
      <c r="AX113" t="inlineStr">
        <is>
          <t>Not Qualified</t>
        </is>
      </c>
      <c r="AY113" s="4"/>
      <c r="AZ113"/>
      <c r="BA113"/>
      <c r="BB113"/>
      <c r="BC113" t="inlineStr">
        <is>
          <t>No answer // WA sent</t>
        </is>
      </c>
      <c r="BD113" s="4">
        <v>46142.49638888889</v>
      </c>
      <c r="BE113" t="inlineStr">
        <is>
          <t>paid</t>
        </is>
      </c>
      <c r="BF113"/>
      <c r="BG113" t="inlineStr">
        <is>
          <t>Reschedule</t>
        </is>
      </c>
      <c r="BH113" t="inlineStr">
        <is>
          <t>Yee Hang</t>
        </is>
      </c>
      <c r="BI113" t="inlineStr">
        <is>
          <t>General / Wholesale Trading</t>
        </is>
      </c>
      <c r="BJ113" s="4">
        <v>46144.75033564815</v>
      </c>
      <c r="BK113" s="4">
        <v>43868.4819212963</v>
      </c>
      <c r="BL113" t="inlineStr">
        <is>
          <t>0.0</t>
        </is>
      </c>
      <c r="BM113" t="inlineStr">
        <is>
          <t>600.0</t>
        </is>
      </c>
      <c r="BN113" t="inlineStr">
        <is>
          <t>User Visit(Logged In)</t>
        </is>
      </c>
      <c r="BO113" s="4">
        <v>45979.71959490741</v>
      </c>
      <c r="BP113">
        <v>169203</v>
      </c>
      <c r="BQ113">
        <v>108696</v>
      </c>
      <c r="BR113" t="inlineStr">
        <is>
          <t>Proforma</t>
        </is>
      </c>
      <c r="BS113" t="inlineStr">
        <is>
          <t>A La Carte AI Job Ad Free</t>
        </is>
      </c>
      <c r="BT113">
        <v>66845</v>
      </c>
      <c r="BU113"/>
      <c r="BV113">
        <v>2737262</v>
      </c>
      <c r="BW113" t="inlineStr">
        <is>
          <t>No Answer : Voicemail - WA sent to customer</t>
        </is>
      </c>
      <c r="BX113"/>
      <c r="BY113"/>
      <c r="BZ113" s="4"/>
      <c r="CA113"/>
      <c r="CB113"/>
      <c r="CC113" s="4"/>
      <c r="CD113" t="inlineStr">
        <is>
          <t>20</t>
        </is>
      </c>
      <c r="CE113" t="inlineStr">
        <is>
          <t>0</t>
        </is>
      </c>
      <c r="CF113" t="inlineStr">
        <is>
          <t>Q2-W04</t>
        </is>
      </c>
      <c r="CG113"/>
      <c r="CH113"/>
      <c r="CI113"/>
      <c r="CJ113" t="inlineStr">
        <is>
          <t>Paid</t>
        </is>
      </c>
      <c r="CK113" t="inlineStr">
        <is>
          <t>Not Eligible</t>
        </is>
      </c>
      <c r="CL113"/>
      <c r="CM113"/>
    </row>
    <row r="114" ht="25.5" customHeight="1">
      <c r="A114" t="inlineStr">
        <is>
          <t>193591</t>
        </is>
      </c>
      <c r="B114" s="2"/>
      <c r="C114"/>
      <c r="D114" s="3">
        <v>46140.49585648148</v>
      </c>
      <c r="E114" t="inlineStr">
        <is>
          <t>Q2-W04</t>
        </is>
      </c>
      <c r="F114" t="inlineStr">
        <is>
          <t>Keegan</t>
        </is>
      </c>
      <c r="G114" t="inlineStr">
        <is>
          <t>Customer</t>
        </is>
      </c>
      <c r="H114" s="2" t="str">
        <f>=HYPERLINK("https://upbox.ajobthing.my/customer/193591", "https://upbox.ajobthing.my/customer/193591")</f>
        <v>https://upbox.ajobthing.my/customer/193591</v>
      </c>
      <c r="I114" t="inlineStr">
        <is>
          <t>An Nuur Food Industries Sdn. Bhd.</t>
        </is>
      </c>
      <c r="J114" t="inlineStr">
        <is>
          <t>Dolphin</t>
        </is>
      </c>
      <c r="K114" t="inlineStr">
        <is>
          <t>Keegan</t>
        </is>
      </c>
      <c r="L114" s="4"/>
      <c r="M114" s="4">
        <v>46140.49606481481</v>
      </c>
      <c r="N114"/>
      <c r="O114">
        <v>5412.96</v>
      </c>
      <c r="P114" s="4"/>
      <c r="Q114" s="4">
        <v>46045.384560185186</v>
      </c>
      <c r="R114"/>
      <c r="S114">
        <v>0</v>
      </c>
      <c r="T114" s="4">
        <v>45848.6183912037</v>
      </c>
      <c r="U114" s="4"/>
      <c r="V114"/>
      <c r="W114">
        <v>3672</v>
      </c>
      <c r="X114"/>
      <c r="Y114" t="inlineStr">
        <is>
          <t>Pending Appointment</t>
        </is>
      </c>
      <c r="Z114" t="inlineStr">
        <is>
          <t>Hiring Now</t>
        </is>
      </c>
      <c r="AA114">
        <v>1</v>
      </c>
      <c r="AB114" t="inlineStr">
        <is>
          <t>No Appointment Made</t>
        </is>
      </c>
      <c r="AC114"/>
      <c r="AD114" t="inlineStr">
        <is>
          <t xml:space="preserve">1. Account Executive </t>
        </is>
      </c>
      <c r="AE114"/>
      <c r="AF114"/>
      <c r="AG114" s="4"/>
      <c r="AH114" s="4"/>
      <c r="AI114"/>
      <c r="AJ114">
        <v>1</v>
      </c>
      <c r="AK114" t="inlineStr">
        <is>
          <t>No, I don't need at all</t>
        </is>
      </c>
      <c r="AL114">
        <v>0</v>
      </c>
      <c r="AM114" t="inlineStr">
        <is>
          <t>No, I don't need at all</t>
        </is>
      </c>
      <c r="AN114"/>
      <c r="AO114" t="inlineStr">
        <is>
          <t>No, I don't need at all</t>
        </is>
      </c>
      <c r="AP114" t="inlineStr">
        <is>
          <t>Once per quarter (75%)</t>
        </is>
      </c>
      <c r="AQ114"/>
      <c r="AR114" t="inlineStr">
        <is>
          <t>Did not use any job portal</t>
        </is>
      </c>
      <c r="AS114" t="inlineStr">
        <is>
          <t>- Headcount: 1
- Hiring Job Details: 1 Account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14">
        <v>95</v>
      </c>
      <c r="AU114" t="inlineStr">
        <is>
          <t>0.95</t>
        </is>
      </c>
      <c r="AV114" t="inlineStr">
        <is>
          <t>5</t>
        </is>
      </c>
      <c r="AW114" t="inlineStr">
        <is>
          <t>0</t>
        </is>
      </c>
      <c r="AX114" t="inlineStr">
        <is>
          <t>Not Qualified</t>
        </is>
      </c>
      <c r="AY114" s="4"/>
      <c r="AZ114"/>
      <c r="BA114"/>
      <c r="BB114"/>
      <c r="BC114" t="inlineStr">
        <is>
          <t>- Headcount: 1
- Hiring Job Details: 1 Account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14" s="4">
        <v>46140.500023148146</v>
      </c>
      <c r="BE114" t="inlineStr">
        <is>
          <t>paid</t>
        </is>
      </c>
      <c r="BF114"/>
      <c r="BG114" t="inlineStr">
        <is>
          <t>Reschedule</t>
        </is>
      </c>
      <c r="BH114" t="inlineStr">
        <is>
          <t>Edward Hoo</t>
        </is>
      </c>
      <c r="BI114" t="inlineStr">
        <is>
          <t>Oil / Gas / Petroleum</t>
        </is>
      </c>
      <c r="BJ114" s="4">
        <v>46144.75263888889</v>
      </c>
      <c r="BK114" s="4">
        <v>45848.456875</v>
      </c>
      <c r="BL114" t="inlineStr">
        <is>
          <t>3672.0</t>
        </is>
      </c>
      <c r="BM114" t="inlineStr">
        <is>
          <t>0.0</t>
        </is>
      </c>
      <c r="BN114" t="inlineStr">
        <is>
          <t>User Visit(Logged In)</t>
        </is>
      </c>
      <c r="BO114" s="4">
        <v>46134.64418981481</v>
      </c>
      <c r="BP114">
        <v>169208</v>
      </c>
      <c r="BQ114">
        <v>114298</v>
      </c>
      <c r="BR114" t="inlineStr">
        <is>
          <t>Proforma</t>
        </is>
      </c>
      <c r="BS114" t="inlineStr">
        <is>
          <t>Free Internship Job</t>
        </is>
      </c>
      <c r="BT114">
        <v>80668</v>
      </c>
      <c r="BU114"/>
      <c r="BV114">
        <v>2732320</v>
      </c>
      <c r="BW114" t="inlineStr">
        <is>
          <t>Customer Inquiry</t>
        </is>
      </c>
      <c r="BX114">
        <v>6</v>
      </c>
      <c r="BY114">
        <v>0</v>
      </c>
      <c r="BZ114" s="4">
        <v>46028.704976851855</v>
      </c>
      <c r="CA114">
        <v>60</v>
      </c>
      <c r="CB114">
        <v>15</v>
      </c>
      <c r="CC114" s="4">
        <v>46072.38190972222</v>
      </c>
      <c r="CD114" t="inlineStr">
        <is>
          <t>5</t>
        </is>
      </c>
      <c r="CE114" t="inlineStr">
        <is>
          <t>0</t>
        </is>
      </c>
      <c r="CF114" t="inlineStr">
        <is>
          <t>Q2-W04</t>
        </is>
      </c>
      <c r="CG114" t="inlineStr">
        <is>
          <t>Q1-W04</t>
        </is>
      </c>
      <c r="CH114"/>
      <c r="CI114"/>
      <c r="CJ114" t="inlineStr">
        <is>
          <t>Paid</t>
        </is>
      </c>
      <c r="CK114" t="inlineStr">
        <is>
          <t>Not Eligible</t>
        </is>
      </c>
      <c r="CL114"/>
      <c r="CM114"/>
    </row>
    <row r="115" ht="25.5" customHeight="1">
      <c r="A115" t="inlineStr">
        <is>
          <t>150993</t>
        </is>
      </c>
      <c r="B115" s="2"/>
      <c r="C115"/>
      <c r="D115" s="3">
        <v>46140.51510416667</v>
      </c>
      <c r="E115" t="inlineStr">
        <is>
          <t>Q2-W04</t>
        </is>
      </c>
      <c r="F115" t="inlineStr">
        <is>
          <t>Chia Yee</t>
        </is>
      </c>
      <c r="G115" t="inlineStr">
        <is>
          <t>Customer</t>
        </is>
      </c>
      <c r="H115" s="2" t="str">
        <f>=HYPERLINK("https://upbox.ajobthing.my/customer/150993", "https://upbox.ajobthing.my/customer/150993")</f>
        <v>https://upbox.ajobthing.my/customer/150993</v>
      </c>
      <c r="I115" t="inlineStr">
        <is>
          <t xml:space="preserve">Jian Handling Equipment Sdn Bhd </t>
        </is>
      </c>
      <c r="J115" t="inlineStr">
        <is>
          <t>Dolphin</t>
        </is>
      </c>
      <c r="K115" t="inlineStr">
        <is>
          <t>Chia Yee</t>
        </is>
      </c>
      <c r="L115" s="4"/>
      <c r="M115" s="4">
        <v>46140.515694444446</v>
      </c>
      <c r="N115"/>
      <c r="O115">
        <v>5412.96</v>
      </c>
      <c r="P115" s="4"/>
      <c r="Q115" s="4">
        <v>46111.973599537036</v>
      </c>
      <c r="R115"/>
      <c r="S115">
        <v>1296</v>
      </c>
      <c r="T115" s="4">
        <v>46111.973599537036</v>
      </c>
      <c r="U115" s="4"/>
      <c r="V115"/>
      <c r="W115">
        <v>1296</v>
      </c>
      <c r="X115"/>
      <c r="Y115" t="inlineStr">
        <is>
          <t>Pending Appointment</t>
        </is>
      </c>
      <c r="Z115" t="inlineStr">
        <is>
          <t>Hiring Now</t>
        </is>
      </c>
      <c r="AA115">
        <v>3</v>
      </c>
      <c r="AB115" t="inlineStr">
        <is>
          <t>No Appointment Made</t>
        </is>
      </c>
      <c r="AC115"/>
      <c r="AD115" t="inlineStr">
        <is>
          <t>3 Technician</t>
        </is>
      </c>
      <c r="AE115"/>
      <c r="AF115">
        <v>0</v>
      </c>
      <c r="AG115" s="4"/>
      <c r="AH115" s="4"/>
      <c r="AI115">
        <v>0</v>
      </c>
      <c r="AJ115">
        <v>1</v>
      </c>
      <c r="AK115" t="inlineStr">
        <is>
          <t>No, I don't need at all</t>
        </is>
      </c>
      <c r="AL115">
        <v>1</v>
      </c>
      <c r="AM115" t="inlineStr">
        <is>
          <t>No, I don't need at all</t>
        </is>
      </c>
      <c r="AN115"/>
      <c r="AO115" t="inlineStr">
        <is>
          <t>Yes, I have</t>
        </is>
      </c>
      <c r="AP115" t="inlineStr">
        <is>
          <t>Once a year (25%)</t>
        </is>
      </c>
      <c r="AQ115">
        <v>3</v>
      </c>
      <c r="AR115" t="inlineStr">
        <is>
          <t>Did not use any job portal</t>
        </is>
      </c>
      <c r="AS115" t="inlineStr">
        <is>
          <t>- Headcount: 3
- Hiring Job Details: 3 Technician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3
- Hiring frequency: Once a year (25%)
- External job portal: Did not use any job portal</t>
        </is>
      </c>
      <c r="AT115">
        <v>120</v>
      </c>
      <c r="AU115" t="inlineStr">
        <is>
          <t>1.20</t>
        </is>
      </c>
      <c r="AV115" t="inlineStr">
        <is>
          <t>15</t>
        </is>
      </c>
      <c r="AW115" t="inlineStr">
        <is>
          <t>0</t>
        </is>
      </c>
      <c r="AX115" t="inlineStr">
        <is>
          <t>Not Qualified</t>
        </is>
      </c>
      <c r="AY115" s="4"/>
      <c r="AZ115"/>
      <c r="BA115"/>
      <c r="BB115"/>
      <c r="BC115" t="inlineStr">
        <is>
          <t>Called Ms. tang, boss said no need first as previous try this with jobstreet also cannot get.</t>
        </is>
      </c>
      <c r="BD115" s="4">
        <v>46141.39775462963</v>
      </c>
      <c r="BE115" t="inlineStr">
        <is>
          <t>paid</t>
        </is>
      </c>
      <c r="BF115" t="inlineStr">
        <is>
          <t>Q1-W13</t>
        </is>
      </c>
      <c r="BG115" t="inlineStr">
        <is>
          <t>Reschedule</t>
        </is>
      </c>
      <c r="BH115" t="inlineStr">
        <is>
          <t>Reagen</t>
        </is>
      </c>
      <c r="BI115" t="inlineStr">
        <is>
          <t>Repair / Maintenance</t>
        </is>
      </c>
      <c r="BJ115" s="4">
        <v>46144.75084490741</v>
      </c>
      <c r="BK115" s="4">
        <v>44644.72037037037</v>
      </c>
      <c r="BL115" t="inlineStr">
        <is>
          <t>1296.0</t>
        </is>
      </c>
      <c r="BM115" t="inlineStr">
        <is>
          <t>1200.0</t>
        </is>
      </c>
      <c r="BN115" t="inlineStr">
        <is>
          <t>PA Visit - Job Card</t>
        </is>
      </c>
      <c r="BO115" s="4">
        <v>46129.38689814815</v>
      </c>
      <c r="BP115">
        <v>169226</v>
      </c>
      <c r="BQ115">
        <v>89967</v>
      </c>
      <c r="BR115" t="inlineStr">
        <is>
          <t>Online</t>
        </is>
      </c>
      <c r="BS115"/>
      <c r="BT115">
        <v>89967</v>
      </c>
      <c r="BU115"/>
      <c r="BV115">
        <v>2734138</v>
      </c>
      <c r="BW115" t="inlineStr">
        <is>
          <t>Follow Up : Budget Concern</t>
        </is>
      </c>
      <c r="BX115"/>
      <c r="BY115"/>
      <c r="BZ115" s="4"/>
      <c r="CA115">
        <v>10</v>
      </c>
      <c r="CB115">
        <v>8</v>
      </c>
      <c r="CC115" s="4">
        <v>46129.390335648146</v>
      </c>
      <c r="CD115" t="inlineStr">
        <is>
          <t>20</t>
        </is>
      </c>
      <c r="CE115" t="inlineStr">
        <is>
          <t>0</t>
        </is>
      </c>
      <c r="CF115" t="inlineStr">
        <is>
          <t>Q2-W04</t>
        </is>
      </c>
      <c r="CG115" t="inlineStr">
        <is>
          <t>Q1-W13</t>
        </is>
      </c>
      <c r="CH115" t="inlineStr">
        <is>
          <t>Q1-W13</t>
        </is>
      </c>
      <c r="CI115"/>
      <c r="CJ115" t="inlineStr">
        <is>
          <t>Paid</t>
        </is>
      </c>
      <c r="CK115" t="inlineStr">
        <is>
          <t>Not Eligible</t>
        </is>
      </c>
      <c r="CL115"/>
      <c r="CM115"/>
    </row>
    <row r="116" ht="25.5" customHeight="1">
      <c r="A116" t="inlineStr">
        <is>
          <t>170136</t>
        </is>
      </c>
      <c r="B116" s="2"/>
      <c r="C116"/>
      <c r="D116" s="3">
        <v>46140.56494212963</v>
      </c>
      <c r="E116" t="inlineStr">
        <is>
          <t>Q2-W04</t>
        </is>
      </c>
      <c r="F116" t="inlineStr">
        <is>
          <t>Luqman</t>
        </is>
      </c>
      <c r="G116" t="inlineStr">
        <is>
          <t>Customer</t>
        </is>
      </c>
      <c r="H116" s="2" t="str">
        <f>=HYPERLINK("https://upbox.ajobthing.my/customer/170136", "https://upbox.ajobthing.my/customer/170136")</f>
        <v>https://upbox.ajobthing.my/customer/170136</v>
      </c>
      <c r="I116" t="inlineStr">
        <is>
          <t>PIXL Solutions Pte Ltd</t>
        </is>
      </c>
      <c r="J116" t="inlineStr">
        <is>
          <t>Dolphin</t>
        </is>
      </c>
      <c r="K116" t="inlineStr">
        <is>
          <t>Luqman</t>
        </is>
      </c>
      <c r="L116" s="4"/>
      <c r="M116" s="4">
        <v>46140.56501157407</v>
      </c>
      <c r="N116"/>
      <c r="O116">
        <v>3888</v>
      </c>
      <c r="P116" s="4"/>
      <c r="Q116" s="4">
        <v>45609.425416666665</v>
      </c>
      <c r="R116"/>
      <c r="S116">
        <v>2916</v>
      </c>
      <c r="T116" s="4">
        <v>45607</v>
      </c>
      <c r="U116" s="4"/>
      <c r="V116"/>
      <c r="W116">
        <v>2916</v>
      </c>
      <c r="X116"/>
      <c r="Y116" t="inlineStr">
        <is>
          <t>Pending Appointment</t>
        </is>
      </c>
      <c r="Z116" t="inlineStr">
        <is>
          <t>Hiring Later</t>
        </is>
      </c>
      <c r="AA116">
        <v>1</v>
      </c>
      <c r="AB116" t="inlineStr">
        <is>
          <t>No Appointment Made</t>
        </is>
      </c>
      <c r="AC116"/>
      <c r="AD116" t="inlineStr">
        <is>
          <t xml:space="preserve">1. Communication </t>
        </is>
      </c>
      <c r="AE116"/>
      <c r="AF116">
        <v>3600</v>
      </c>
      <c r="AG116" s="4"/>
      <c r="AH116" s="4"/>
      <c r="AI116">
        <v>3600</v>
      </c>
      <c r="AJ116"/>
      <c r="AK116" t="inlineStr">
        <is>
          <t>Yes, I have</t>
        </is>
      </c>
      <c r="AL116">
        <v>3</v>
      </c>
      <c r="AM116" t="inlineStr">
        <is>
          <t>No, I don't need at all</t>
        </is>
      </c>
      <c r="AN116"/>
      <c r="AO116" t="inlineStr">
        <is>
          <t>No, I don't need at all</t>
        </is>
      </c>
      <c r="AP116" t="inlineStr">
        <is>
          <t>Once a year (25%)</t>
        </is>
      </c>
      <c r="AQ116">
        <v>3</v>
      </c>
      <c r="AR116" t="inlineStr">
        <is>
          <t>Jobstreet, Free Job Portal</t>
        </is>
      </c>
      <c r="AS116" t="inlineStr">
        <is>
          <t>- Headcount: 1
- Hiring Job Details: 1 Communication
- Hiring Urgency: Hiring Later
- Number of outlets: Not specified
- Have recruiter team: Yes
- Number of recruiter in company: 3
- Have ATS system: No, I don't need at all
- Have career website: No, I don't need at all
- Current hiring budget: RM3,600
- Whole year budget: RM3,600.00
- Whole year number of vacancies: 3
- Hiring frequency: Once a year (25%)
- External job portal: Jobstreet, Free Job Portal</t>
        </is>
      </c>
      <c r="AT116">
        <v>95</v>
      </c>
      <c r="AU116" t="inlineStr">
        <is>
          <t>0.95</t>
        </is>
      </c>
      <c r="AV116" t="inlineStr">
        <is>
          <t>15</t>
        </is>
      </c>
      <c r="AW116" t="inlineStr">
        <is>
          <t>0</t>
        </is>
      </c>
      <c r="AX116" t="inlineStr">
        <is>
          <t>Not Qualified</t>
        </is>
      </c>
      <c r="AY116" s="4"/>
      <c r="AZ116"/>
      <c r="BA116"/>
      <c r="BB116"/>
      <c r="BC116" t="inlineStr">
        <is>
          <t>- Headcount: 1
- Hiring Job Details: 1 Communication
- Hiring Urgency: Hiring Later
- Number of outlets: Not specified
- Have recruiter team: Yes
- Number of recruiter in company: 3
- Have ATS system: No, I don't need at all
- Have career website: No, I don't need at all
- Current hiring budget: RM3,600
- Whole year budget: RM3,600.00
- Whole year number of vacancies: 3
- Hiring frequency: Once a year (25%)
- External job portal: Jobstreet, Free Job Portal</t>
        </is>
      </c>
      <c r="BD116" s="4">
        <v>46140.58369212963</v>
      </c>
      <c r="BE116" t="inlineStr">
        <is>
          <t>paid</t>
        </is>
      </c>
      <c r="BF116"/>
      <c r="BG116" t="inlineStr">
        <is>
          <t>Reschedule</t>
        </is>
      </c>
      <c r="BH116" t="inlineStr">
        <is>
          <t>Edward Hoo</t>
        </is>
      </c>
      <c r="BI116" t="inlineStr">
        <is>
          <t>IT / Software</t>
        </is>
      </c>
      <c r="BJ116" s="4">
        <v>46144.75140046296</v>
      </c>
      <c r="BK116" s="4">
        <v>45152.63940972222</v>
      </c>
      <c r="BL116" t="inlineStr">
        <is>
          <t>0.0</t>
        </is>
      </c>
      <c r="BM116" t="inlineStr">
        <is>
          <t>0.0</t>
        </is>
      </c>
      <c r="BN116" t="inlineStr">
        <is>
          <t>User Visit(Logged In)</t>
        </is>
      </c>
      <c r="BO116" s="4">
        <v>45971.375081018516</v>
      </c>
      <c r="BP116">
        <v>169235</v>
      </c>
      <c r="BQ116">
        <v>97484</v>
      </c>
      <c r="BR116" t="inlineStr">
        <is>
          <t>Proforma</t>
        </is>
      </c>
      <c r="BS116" t="inlineStr">
        <is>
          <t>Yearly Standard Plan</t>
        </is>
      </c>
      <c r="BT116">
        <v>74589</v>
      </c>
      <c r="BU116"/>
      <c r="BV116">
        <v>2732664</v>
      </c>
      <c r="BW116" t="inlineStr">
        <is>
          <t>Customer Inquiry</t>
        </is>
      </c>
      <c r="BX116"/>
      <c r="BY116"/>
      <c r="BZ116" s="4"/>
      <c r="CA116"/>
      <c r="CB116"/>
      <c r="CC116" s="4"/>
      <c r="CD116" t="inlineStr">
        <is>
          <t>20</t>
        </is>
      </c>
      <c r="CE116" t="inlineStr">
        <is>
          <t>0</t>
        </is>
      </c>
      <c r="CF116" t="inlineStr">
        <is>
          <t>Q2-W04</t>
        </is>
      </c>
      <c r="CG116"/>
      <c r="CH116"/>
      <c r="CI116"/>
      <c r="CJ116" t="inlineStr">
        <is>
          <t>Paid</t>
        </is>
      </c>
      <c r="CK116" t="inlineStr">
        <is>
          <t>Not Eligible</t>
        </is>
      </c>
      <c r="CL116"/>
      <c r="CM116"/>
    </row>
    <row r="117" ht="25.5" customHeight="1">
      <c r="A117" t="inlineStr">
        <is>
          <t>203735</t>
        </is>
      </c>
      <c r="B117" s="2"/>
      <c r="C117"/>
      <c r="D117" s="3">
        <v>46140.567708333336</v>
      </c>
      <c r="E117" t="inlineStr">
        <is>
          <t>Q2-W04</t>
        </is>
      </c>
      <c r="F117" t="inlineStr">
        <is>
          <t>Alan KY</t>
        </is>
      </c>
      <c r="G117" t="inlineStr">
        <is>
          <t>Customer</t>
        </is>
      </c>
      <c r="H117" s="2" t="str">
        <f>=HYPERLINK("https://upbox.ajobthing.my/customer/203735", "https://upbox.ajobthing.my/customer/203735")</f>
        <v>https://upbox.ajobthing.my/customer/203735</v>
      </c>
      <c r="I117" t="inlineStr">
        <is>
          <t>Alpha District Sdn Bhd</t>
        </is>
      </c>
      <c r="J117" t="inlineStr">
        <is>
          <t>Dolphin</t>
        </is>
      </c>
      <c r="K117" t="inlineStr">
        <is>
          <t>Alan KY</t>
        </is>
      </c>
      <c r="L117" s="4"/>
      <c r="M117" s="4">
        <v>46140.17534722222</v>
      </c>
      <c r="N117"/>
      <c r="O117"/>
      <c r="P117" s="4"/>
      <c r="Q117" s="4">
        <v>46142.69341435185</v>
      </c>
      <c r="R117"/>
      <c r="S117">
        <v>4644</v>
      </c>
      <c r="T117" s="4">
        <v>46142.69341435185</v>
      </c>
      <c r="U117" s="4"/>
      <c r="V117"/>
      <c r="W117">
        <v>4644</v>
      </c>
      <c r="X117"/>
      <c r="Y117" t="inlineStr">
        <is>
          <t>Pending Appointment</t>
        </is>
      </c>
      <c r="Z117" t="inlineStr">
        <is>
          <t>Continuous Hiring</t>
        </is>
      </c>
      <c r="AA117">
        <v>10</v>
      </c>
      <c r="AB117" t="inlineStr">
        <is>
          <t>No Appointment Made</t>
        </is>
      </c>
      <c r="AC117"/>
      <c r="AD117" t="inlineStr">
        <is>
          <t xml:space="preserve">10 agent , in KL </t>
        </is>
      </c>
      <c r="AE117"/>
      <c r="AF117"/>
      <c r="AG117" s="4"/>
      <c r="AH117" s="4"/>
      <c r="AI117"/>
      <c r="AJ117">
        <v>1</v>
      </c>
      <c r="AK117" t="inlineStr">
        <is>
          <t>Yes, I have</t>
        </is>
      </c>
      <c r="AL117">
        <v>1</v>
      </c>
      <c r="AM117" t="inlineStr">
        <is>
          <t>No, I don't need at all</t>
        </is>
      </c>
      <c r="AN117"/>
      <c r="AO117" t="inlineStr">
        <is>
          <t>No, I don't need at all</t>
        </is>
      </c>
      <c r="AP117" t="inlineStr">
        <is>
          <t>Every month (100%)</t>
        </is>
      </c>
      <c r="AQ117"/>
      <c r="AR117" t="inlineStr">
        <is>
          <t>Jobstreet</t>
        </is>
      </c>
      <c r="AS117" t="inlineStr">
        <is>
          <t>- Headcount: 10
- Hiring Job Details: 10 agent, in KL
- Hiring Urgency: Continuous Hiring
- Number of outlets: 1
- Have recruiter team: Yes
- Number of recruiter in company: 1
- Have ATS system: No, I don't need at all
- Have career website: No, I don't need at all
- Current hiring budget: Not specified
- Whole year budget: Not specified
- Whole year number of vacancies: Not specified
- Hiring frequency: Every month (100%)
- External job portal: Jobstreet</t>
        </is>
      </c>
      <c r="AT117">
        <v>95</v>
      </c>
      <c r="AU117" t="inlineStr">
        <is>
          <t>0.95</t>
        </is>
      </c>
      <c r="AV117" t="inlineStr">
        <is>
          <t>10</t>
        </is>
      </c>
      <c r="AW117" t="inlineStr">
        <is>
          <t>0</t>
        </is>
      </c>
      <c r="AX117" t="inlineStr">
        <is>
          <t>Not Qualified</t>
        </is>
      </c>
      <c r="AY117" s="4"/>
      <c r="AZ117"/>
      <c r="BA117"/>
      <c r="BB117"/>
      <c r="BC117" t="inlineStr">
        <is>
          <t>Payment done - help assign package</t>
        </is>
      </c>
      <c r="BD117" s="4">
        <v>46142.6940625</v>
      </c>
      <c r="BE117" t="inlineStr">
        <is>
          <t>paid</t>
        </is>
      </c>
      <c r="BF117" t="inlineStr">
        <is>
          <t>Q2-W04</t>
        </is>
      </c>
      <c r="BG117" t="inlineStr">
        <is>
          <t>Reschedule</t>
        </is>
      </c>
      <c r="BH117" t="inlineStr">
        <is>
          <t>Reagen</t>
        </is>
      </c>
      <c r="BI117"/>
      <c r="BJ117" s="4">
        <v>46144.75438657407</v>
      </c>
      <c r="BK117" s="4">
        <v>46140.50865740741</v>
      </c>
      <c r="BL117" t="inlineStr">
        <is>
          <t>4644.0</t>
        </is>
      </c>
      <c r="BM117" t="inlineStr">
        <is>
          <t>0.0</t>
        </is>
      </c>
      <c r="BN117"/>
      <c r="BO117" s="4"/>
      <c r="BP117">
        <v>169221</v>
      </c>
      <c r="BQ117">
        <v>7732</v>
      </c>
      <c r="BR117" t="inlineStr">
        <is>
          <t>Manual (Paid)</t>
        </is>
      </c>
      <c r="BS117" t="inlineStr">
        <is>
          <t>Job Slot Startup
- Startup Package for 1 Job Slot
- 1 Job Slot will be published on Maukerja, Ricebowl, and partner platforms.
- 1 Job Slot will be published for 12 months
- Reusable listing for 12 months
- Free 6 Intern / Manager / Part-time / Volunteer / Freelance / Singapore Job
- Free Standard Company Page for 12 months
- Package valid for 12 months
RM300 discount applied, payment by today</t>
        </is>
      </c>
      <c r="BT117">
        <v>7732</v>
      </c>
      <c r="BU117"/>
      <c r="BV117">
        <v>2738217</v>
      </c>
      <c r="BW117" t="inlineStr">
        <is>
          <t>Follow Up : Win - Customer Paid</t>
        </is>
      </c>
      <c r="BX117">
        <v>1</v>
      </c>
      <c r="BY117">
        <v>1</v>
      </c>
      <c r="BZ117" s="4"/>
      <c r="CA117"/>
      <c r="CB117"/>
      <c r="CC117" s="4"/>
      <c r="CD117" t="inlineStr">
        <is>
          <t>15</t>
        </is>
      </c>
      <c r="CE117" t="inlineStr">
        <is>
          <t>0</t>
        </is>
      </c>
      <c r="CF117" t="inlineStr">
        <is>
          <t>Q2-W04</t>
        </is>
      </c>
      <c r="CG117" t="inlineStr">
        <is>
          <t>Q2-W04</t>
        </is>
      </c>
      <c r="CH117" t="inlineStr">
        <is>
          <t>Q2-W04</t>
        </is>
      </c>
      <c r="CI117"/>
      <c r="CJ117" t="inlineStr">
        <is>
          <t>Paid</t>
        </is>
      </c>
      <c r="CK117" t="inlineStr">
        <is>
          <t>Eligible</t>
        </is>
      </c>
      <c r="CL117"/>
      <c r="CM117"/>
    </row>
    <row r="118" ht="25.5" customHeight="1">
      <c r="A118" t="inlineStr">
        <is>
          <t>195483</t>
        </is>
      </c>
      <c r="B118" s="2"/>
      <c r="C118"/>
      <c r="D118" s="3">
        <v>46140.57015046296</v>
      </c>
      <c r="E118" t="inlineStr">
        <is>
          <t>Q2-W04</t>
        </is>
      </c>
      <c r="F118" t="inlineStr">
        <is>
          <t>Ratha</t>
        </is>
      </c>
      <c r="G118" t="inlineStr">
        <is>
          <t>Customer</t>
        </is>
      </c>
      <c r="H118" s="2" t="str">
        <f>=HYPERLINK("https://upbox.ajobthing.my/customer/195483", "https://upbox.ajobthing.my/customer/195483")</f>
        <v>https://upbox.ajobthing.my/customer/195483</v>
      </c>
      <c r="I118" t="inlineStr">
        <is>
          <t>Ups Protection Sdn Bhd</t>
        </is>
      </c>
      <c r="J118" t="inlineStr">
        <is>
          <t>Dolphin</t>
        </is>
      </c>
      <c r="K118" t="inlineStr">
        <is>
          <t>Ratha</t>
        </is>
      </c>
      <c r="L118" s="4"/>
      <c r="M118" s="4">
        <v>46140.570439814815</v>
      </c>
      <c r="N118"/>
      <c r="O118">
        <v>3672</v>
      </c>
      <c r="P118" s="4"/>
      <c r="Q118" s="4"/>
      <c r="R118"/>
      <c r="S118"/>
      <c r="T118" s="4"/>
      <c r="U118" s="4"/>
      <c r="V118"/>
      <c r="W118"/>
      <c r="X118"/>
      <c r="Y118" t="inlineStr">
        <is>
          <t>Pending Appointment</t>
        </is>
      </c>
      <c r="Z118" t="inlineStr">
        <is>
          <t>Hiring Now</t>
        </is>
      </c>
      <c r="AA118">
        <v>1</v>
      </c>
      <c r="AB118" t="inlineStr">
        <is>
          <t>No Appointment Made</t>
        </is>
      </c>
      <c r="AC118"/>
      <c r="AD118" t="inlineStr">
        <is>
          <t>Site Safety Supervisor
1
Sarawak</t>
        </is>
      </c>
      <c r="AE118"/>
      <c r="AF118"/>
      <c r="AG118" s="4"/>
      <c r="AH118" s="4"/>
      <c r="AI118">
        <v>0</v>
      </c>
      <c r="AJ118">
        <v>1</v>
      </c>
      <c r="AK118" t="inlineStr">
        <is>
          <t>Yes, I have</t>
        </is>
      </c>
      <c r="AL118">
        <v>2</v>
      </c>
      <c r="AM118" t="inlineStr">
        <is>
          <t>No, I don't need at all</t>
        </is>
      </c>
      <c r="AN118"/>
      <c r="AO118" t="inlineStr">
        <is>
          <t>No, I don't need at all</t>
        </is>
      </c>
      <c r="AP118" t="inlineStr">
        <is>
          <t>Once per quarter (75%)</t>
        </is>
      </c>
      <c r="AQ118">
        <v>0</v>
      </c>
      <c r="AR118" t="inlineStr">
        <is>
          <t>Jobstreet, Free Job Portal</t>
        </is>
      </c>
      <c r="AS118" t="inlineStr">
        <is>
          <t>- Headcount: 1
- Hiring Job Details: 1 Site Safety Supervisor (Sarawak)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118">
        <v>110</v>
      </c>
      <c r="AU118" t="inlineStr">
        <is>
          <t>1.10</t>
        </is>
      </c>
      <c r="AV118" t="inlineStr">
        <is>
          <t>5</t>
        </is>
      </c>
      <c r="AW118" t="inlineStr">
        <is>
          <t>0</t>
        </is>
      </c>
      <c r="AX118" t="inlineStr">
        <is>
          <t>Not Qualified</t>
        </is>
      </c>
      <c r="AY118" s="4"/>
      <c r="AZ118"/>
      <c r="BA118"/>
      <c r="BB118"/>
      <c r="BC118" t="inlineStr">
        <is>
          <t>- Headcount: 1
- Hiring Job Details: 1 Site Safety Supervisor (Sarawak)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BD118" s="4">
        <v>46140.58369212963</v>
      </c>
      <c r="BE118"/>
      <c r="BF118"/>
      <c r="BG118" t="inlineStr">
        <is>
          <t>Reschedule</t>
        </is>
      </c>
      <c r="BH118" t="inlineStr">
        <is>
          <t>Fauziah Maharan</t>
        </is>
      </c>
      <c r="BI118" t="inlineStr">
        <is>
          <t>Engineering / Technical Consulting</t>
        </is>
      </c>
      <c r="BJ118" s="4">
        <v>46144.7527662037</v>
      </c>
      <c r="BK118" s="4">
        <v>45896.64141203704</v>
      </c>
      <c r="BL118" t="inlineStr">
        <is>
          <t>0.0</t>
        </is>
      </c>
      <c r="BM118" t="inlineStr">
        <is>
          <t>600.0</t>
        </is>
      </c>
      <c r="BN118" t="inlineStr">
        <is>
          <t>View Company Page</t>
        </is>
      </c>
      <c r="BO118" s="4">
        <v>45897.65855324074</v>
      </c>
      <c r="BP118">
        <v>169238</v>
      </c>
      <c r="BQ118"/>
      <c r="BR118"/>
      <c r="BS118"/>
      <c r="BT118"/>
      <c r="BU118"/>
      <c r="BV118">
        <v>2732669</v>
      </c>
      <c r="BW118" t="inlineStr">
        <is>
          <t>Customer Inquiry</t>
        </is>
      </c>
      <c r="BX118"/>
      <c r="BY118"/>
      <c r="BZ118" s="4"/>
      <c r="CA118"/>
      <c r="CB118"/>
      <c r="CC118" s="4"/>
      <c r="CD118" t="inlineStr">
        <is>
          <t>5</t>
        </is>
      </c>
      <c r="CE118" t="inlineStr">
        <is>
          <t>0</t>
        </is>
      </c>
      <c r="CF118" t="inlineStr">
        <is>
          <t>Q2-W04</t>
        </is>
      </c>
      <c r="CG118"/>
      <c r="CH118"/>
      <c r="CI118"/>
      <c r="CJ118" t="inlineStr">
        <is>
          <t>No Paid</t>
        </is>
      </c>
      <c r="CK118" t="inlineStr">
        <is>
          <t>Not Eligible</t>
        </is>
      </c>
      <c r="CL118"/>
      <c r="CM118"/>
    </row>
    <row r="119" ht="25.5" customHeight="1">
      <c r="A119" t="inlineStr">
        <is>
          <t>203739</t>
        </is>
      </c>
      <c r="B119" s="2"/>
      <c r="C119"/>
      <c r="D119" s="3">
        <v>46140.57938657407</v>
      </c>
      <c r="E119" t="inlineStr">
        <is>
          <t>Q2-W04</t>
        </is>
      </c>
      <c r="F119" t="inlineStr">
        <is>
          <t>Derek Lim</t>
        </is>
      </c>
      <c r="G119" t="inlineStr">
        <is>
          <t>Customer</t>
        </is>
      </c>
      <c r="H119" s="2" t="str">
        <f>=HYPERLINK("https://upbox.ajobthing.my/customer/203739", "https://upbox.ajobthing.my/customer/203739")</f>
        <v>https://upbox.ajobthing.my/customer/203739</v>
      </c>
      <c r="I119" t="inlineStr">
        <is>
          <t>t &amp; t Pacific Sdn Bhd</t>
        </is>
      </c>
      <c r="J119" t="inlineStr">
        <is>
          <t>Dolphin</t>
        </is>
      </c>
      <c r="K119" t="inlineStr">
        <is>
          <t>Derek Lim</t>
        </is>
      </c>
      <c r="L119" s="4"/>
      <c r="M119" s="4">
        <v>46140.57957175926</v>
      </c>
      <c r="N119"/>
      <c r="O119">
        <v>6048</v>
      </c>
      <c r="P119" s="4"/>
      <c r="Q119" s="4">
        <v>46141.6381712963</v>
      </c>
      <c r="R119"/>
      <c r="S119">
        <v>0</v>
      </c>
      <c r="T119" s="4">
        <v>46141.62652777778</v>
      </c>
      <c r="U119" s="4"/>
      <c r="V119"/>
      <c r="W119">
        <v>3888</v>
      </c>
      <c r="X119"/>
      <c r="Y119" t="inlineStr">
        <is>
          <t>Pending Appointment</t>
        </is>
      </c>
      <c r="Z119" t="inlineStr">
        <is>
          <t>Hiring Now</t>
        </is>
      </c>
      <c r="AA119">
        <v>1</v>
      </c>
      <c r="AB119" t="inlineStr">
        <is>
          <t>No Appointment Made</t>
        </is>
      </c>
      <c r="AC119"/>
      <c r="AD119" t="inlineStr">
        <is>
          <t>technician - 1</t>
        </is>
      </c>
      <c r="AE119"/>
      <c r="AF119">
        <v>0</v>
      </c>
      <c r="AG119" s="4"/>
      <c r="AH119" s="4"/>
      <c r="AI119">
        <v>0</v>
      </c>
      <c r="AJ119">
        <v>2</v>
      </c>
      <c r="AK119" t="inlineStr">
        <is>
          <t>No, I don't need at all</t>
        </is>
      </c>
      <c r="AL119">
        <v>0</v>
      </c>
      <c r="AM119" t="inlineStr">
        <is>
          <t>No, I don't need at all</t>
        </is>
      </c>
      <c r="AN119"/>
      <c r="AO119" t="inlineStr">
        <is>
          <t>No, I don't need at all</t>
        </is>
      </c>
      <c r="AP119" t="inlineStr">
        <is>
          <t>Once a year (25%)</t>
        </is>
      </c>
      <c r="AQ119">
        <v>2</v>
      </c>
      <c r="AR119" t="inlineStr">
        <is>
          <t>Hiredly</t>
        </is>
      </c>
      <c r="AS119" t="inlineStr">
        <is>
          <t>- Headcount: 1
- Hiring Job Details: 1 technician
- Hiring Urgency: Hiring Now
- Number of outlets: 2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Hiredly</t>
        </is>
      </c>
      <c r="AT119">
        <v>105</v>
      </c>
      <c r="AU119" t="inlineStr">
        <is>
          <t>1.05</t>
        </is>
      </c>
      <c r="AV119" t="inlineStr">
        <is>
          <t>15</t>
        </is>
      </c>
      <c r="AW119" t="inlineStr">
        <is>
          <t>0</t>
        </is>
      </c>
      <c r="AX119" t="inlineStr">
        <is>
          <t>Not Qualified</t>
        </is>
      </c>
      <c r="AY119" s="4"/>
      <c r="AZ119"/>
      <c r="BA119"/>
      <c r="BB119"/>
      <c r="BC119" t="inlineStr">
        <is>
          <t>GO THROUGH WITH CLIENT ON THE PLATFORM HOW TO POST JOB</t>
        </is>
      </c>
      <c r="BD119" s="4">
        <v>46141.641689814816</v>
      </c>
      <c r="BE119" t="inlineStr">
        <is>
          <t>paid</t>
        </is>
      </c>
      <c r="BF119" t="inlineStr">
        <is>
          <t>Q2-W04</t>
        </is>
      </c>
      <c r="BG119" t="inlineStr">
        <is>
          <t>Reschedule</t>
        </is>
      </c>
      <c r="BH119" t="inlineStr">
        <is>
          <t>Edward Hoo</t>
        </is>
      </c>
      <c r="BI119" t="inlineStr">
        <is>
          <t>Construction / Building</t>
        </is>
      </c>
      <c r="BJ119" s="4">
        <v>46144.75438657407</v>
      </c>
      <c r="BK119" s="4">
        <v>46140.56283564815</v>
      </c>
      <c r="BL119" t="inlineStr">
        <is>
          <t>3888.0</t>
        </is>
      </c>
      <c r="BM119" t="inlineStr">
        <is>
          <t>900.0</t>
        </is>
      </c>
      <c r="BN119" t="inlineStr">
        <is>
          <t>PA Visit - Job Card</t>
        </is>
      </c>
      <c r="BO119" s="4">
        <v>46142.352476851855</v>
      </c>
      <c r="BP119">
        <v>169239</v>
      </c>
      <c r="BQ119">
        <v>124082</v>
      </c>
      <c r="BR119" t="inlineStr">
        <is>
          <t>Proforma</t>
        </is>
      </c>
      <c r="BS119" t="inlineStr">
        <is>
          <t>Free Part-Time Job</t>
        </is>
      </c>
      <c r="BT119">
        <v>95105</v>
      </c>
      <c r="BU119"/>
      <c r="BV119">
        <v>2735611</v>
      </c>
      <c r="BW119" t="inlineStr">
        <is>
          <t>Service / Technical : Help To Post Job</t>
        </is>
      </c>
      <c r="BX119">
        <v>8</v>
      </c>
      <c r="BY119">
        <v>7</v>
      </c>
      <c r="BZ119" s="4">
        <v>46141.68990740741</v>
      </c>
      <c r="CA119">
        <v>60</v>
      </c>
      <c r="CB119">
        <v>54</v>
      </c>
      <c r="CC119" s="4">
        <v>46142.37222222222</v>
      </c>
      <c r="CD119" t="inlineStr">
        <is>
          <t>20</t>
        </is>
      </c>
      <c r="CE119" t="inlineStr">
        <is>
          <t>0</t>
        </is>
      </c>
      <c r="CF119" t="inlineStr">
        <is>
          <t>Q2-W04</t>
        </is>
      </c>
      <c r="CG119" t="inlineStr">
        <is>
          <t>Q2-W04</t>
        </is>
      </c>
      <c r="CH119" t="inlineStr">
        <is>
          <t>Q2-W04</t>
        </is>
      </c>
      <c r="CI119"/>
      <c r="CJ119" t="inlineStr">
        <is>
          <t>Paid</t>
        </is>
      </c>
      <c r="CK119" t="inlineStr">
        <is>
          <t>Not Eligible</t>
        </is>
      </c>
      <c r="CL119"/>
      <c r="CM119"/>
    </row>
    <row r="120" ht="25.5" customHeight="1">
      <c r="A120" t="inlineStr">
        <is>
          <t>4329161</t>
        </is>
      </c>
      <c r="B120" s="2"/>
      <c r="C120"/>
      <c r="D120" s="3">
        <v>46140.59142361111</v>
      </c>
      <c r="E120" t="inlineStr">
        <is>
          <t>Q2-W04</t>
        </is>
      </c>
      <c r="F120" t="inlineStr">
        <is>
          <t>Jess</t>
        </is>
      </c>
      <c r="G120" t="inlineStr">
        <is>
          <t>Lead</t>
        </is>
      </c>
      <c r="H120" s="2" t="str">
        <f>=HYPERLINK("https://upbox.ajobthing.my/leads/4329161", "https://upbox.ajobthing.my/leads/4329161")</f>
        <v>https://upbox.ajobthing.my/leads/4329161</v>
      </c>
      <c r="I120" t="inlineStr">
        <is>
          <t>Smart Talent Junior</t>
        </is>
      </c>
      <c r="J120" t="inlineStr">
        <is>
          <t>Dolphin</t>
        </is>
      </c>
      <c r="K120" t="inlineStr">
        <is>
          <t>Jess Lim</t>
        </is>
      </c>
      <c r="L120" s="4"/>
      <c r="M120" s="4">
        <v>46140.59306712963</v>
      </c>
      <c r="N120"/>
      <c r="O120">
        <v>6048</v>
      </c>
      <c r="P120" s="4"/>
      <c r="Q120" s="4"/>
      <c r="R120"/>
      <c r="S120"/>
      <c r="T120" s="4"/>
      <c r="U120" s="4"/>
      <c r="V120"/>
      <c r="W120"/>
      <c r="X120"/>
      <c r="Y120" t="inlineStr">
        <is>
          <t>Pending Appointment</t>
        </is>
      </c>
      <c r="Z120" t="inlineStr">
        <is>
          <t>Hiring Now</t>
        </is>
      </c>
      <c r="AA120">
        <v>2</v>
      </c>
      <c r="AB120" t="inlineStr">
        <is>
          <t>No Appointment Made</t>
        </is>
      </c>
      <c r="AC120"/>
      <c r="AD120" t="inlineStr">
        <is>
          <t>teacher supervisor 5-6</t>
        </is>
      </c>
      <c r="AE120"/>
      <c r="AF120">
        <v>3600</v>
      </c>
      <c r="AG120" s="4"/>
      <c r="AH120" s="4"/>
      <c r="AI120"/>
      <c r="AJ120">
        <v>11</v>
      </c>
      <c r="AK120" t="inlineStr">
        <is>
          <t>No, I don't need at all</t>
        </is>
      </c>
      <c r="AL120">
        <v>2</v>
      </c>
      <c r="AM120" t="inlineStr">
        <is>
          <t>No, I don't need at all</t>
        </is>
      </c>
      <c r="AN120"/>
      <c r="AO120" t="inlineStr">
        <is>
          <t>No, I don't need at all</t>
        </is>
      </c>
      <c r="AP120" t="inlineStr">
        <is>
          <t>Once a year (25%)</t>
        </is>
      </c>
      <c r="AQ120"/>
      <c r="AR120" t="inlineStr">
        <is>
          <t>Jobstreet</t>
        </is>
      </c>
      <c r="AS120" t="inlineStr">
        <is>
          <t>- Headcount: 2
- Hiring Job Details: teacher supervisor 5-6
- Hiring Urgency: Hiring Now
- Number of outlets: 11
- Have recruiter team: No, I don't need at all
- Number of recruiter in company: 2
- Have ATS system: No, I don't need at all
- Have career website: No, I don't need at all
- Current hiring budget: RM3,600.00
- Whole year budget: 
- Whole year number of vacancies: 
- Hiring frequency: Once a year (25%)
- External job portal: Jobstreet</t>
        </is>
      </c>
      <c r="AT120">
        <v>95</v>
      </c>
      <c r="AU120" t="inlineStr">
        <is>
          <t>0.95</t>
        </is>
      </c>
      <c r="AV120" t="inlineStr">
        <is>
          <t>15</t>
        </is>
      </c>
      <c r="AW120" t="inlineStr">
        <is>
          <t>0</t>
        </is>
      </c>
      <c r="AX120" t="inlineStr">
        <is>
          <t>Not Qualified</t>
        </is>
      </c>
      <c r="AY120" s="4"/>
      <c r="AZ120"/>
      <c r="BA120"/>
      <c r="BB120"/>
      <c r="BC120"/>
      <c r="BD120" s="4"/>
      <c r="BE120"/>
      <c r="BF120"/>
      <c r="BG120" t="inlineStr">
        <is>
          <t>Reschedule</t>
        </is>
      </c>
      <c r="BH120" t="inlineStr">
        <is>
          <t>Fauziah Maharan</t>
        </is>
      </c>
      <c r="BI120"/>
      <c r="BJ120" s="4">
        <v>46144.75592592593</v>
      </c>
      <c r="BK120" s="4">
        <v>46140.5156712963</v>
      </c>
      <c r="BL120" t="inlineStr">
        <is>
          <t>0.0</t>
        </is>
      </c>
      <c r="BM120" t="inlineStr">
        <is>
          <t>4950.0</t>
        </is>
      </c>
      <c r="BN120"/>
      <c r="BO120" s="4"/>
      <c r="BP120">
        <v>169247</v>
      </c>
      <c r="BQ120"/>
      <c r="BR120"/>
      <c r="BS120"/>
      <c r="BT120"/>
      <c r="BU120"/>
      <c r="BV120"/>
      <c r="BW120"/>
      <c r="BX120"/>
      <c r="BY120"/>
      <c r="BZ120" s="4"/>
      <c r="CA120"/>
      <c r="CB120"/>
      <c r="CC120" s="4"/>
      <c r="CD120" t="inlineStr">
        <is>
          <t>20</t>
        </is>
      </c>
      <c r="CE120" t="inlineStr">
        <is>
          <t>0</t>
        </is>
      </c>
      <c r="CF120" t="inlineStr">
        <is>
          <t>Q2-W04</t>
        </is>
      </c>
      <c r="CG120"/>
      <c r="CH120"/>
      <c r="CI120"/>
      <c r="CJ120" t="inlineStr">
        <is>
          <t>No Paid</t>
        </is>
      </c>
      <c r="CK120" t="inlineStr">
        <is>
          <t>Not Eligible</t>
        </is>
      </c>
      <c r="CL120"/>
      <c r="CM120"/>
    </row>
    <row r="121" ht="25.5" customHeight="1">
      <c r="A121" t="inlineStr">
        <is>
          <t>203740</t>
        </is>
      </c>
      <c r="B121" s="2"/>
      <c r="C121"/>
      <c r="D121" s="3">
        <v>46140.59762731481</v>
      </c>
      <c r="E121" t="inlineStr">
        <is>
          <t>Q2-W04</t>
        </is>
      </c>
      <c r="F121" t="inlineStr">
        <is>
          <t>Ken Yi</t>
        </is>
      </c>
      <c r="G121" t="inlineStr">
        <is>
          <t>Customer</t>
        </is>
      </c>
      <c r="H121" s="2" t="str">
        <f>=HYPERLINK("https://upbox.ajobthing.my/customer/203740", "https://upbox.ajobthing.my/customer/203740")</f>
        <v>https://upbox.ajobthing.my/customer/203740</v>
      </c>
      <c r="I121" t="inlineStr">
        <is>
          <t>Stone De Art Marble &amp; Granite Sdn Bhd</t>
        </is>
      </c>
      <c r="J121" t="inlineStr">
        <is>
          <t>Dolphin</t>
        </is>
      </c>
      <c r="K121" t="inlineStr">
        <is>
          <t>Kenyi</t>
        </is>
      </c>
      <c r="L121" s="4"/>
      <c r="M121" s="4">
        <v>46140.59923611111</v>
      </c>
      <c r="N121"/>
      <c r="O121">
        <v>3672</v>
      </c>
      <c r="P121" s="4"/>
      <c r="Q121" s="4">
        <v>46140.70042824074</v>
      </c>
      <c r="R121"/>
      <c r="S121">
        <v>3672</v>
      </c>
      <c r="T121" s="4">
        <v>46140.70042824074</v>
      </c>
      <c r="U121" s="4"/>
      <c r="V121"/>
      <c r="W121">
        <v>3672</v>
      </c>
      <c r="X121"/>
      <c r="Y121" t="inlineStr">
        <is>
          <t>Pending Appointment</t>
        </is>
      </c>
      <c r="Z121" t="inlineStr">
        <is>
          <t>Hiring Now</t>
        </is>
      </c>
      <c r="AA121">
        <v>1</v>
      </c>
      <c r="AB121" t="inlineStr">
        <is>
          <t>No Appointment Made</t>
        </is>
      </c>
      <c r="AC121"/>
      <c r="AD121" t="inlineStr">
        <is>
          <t>Content creator 1</t>
        </is>
      </c>
      <c r="AE121"/>
      <c r="AF121">
        <v>0</v>
      </c>
      <c r="AG121" s="4"/>
      <c r="AH121" s="4"/>
      <c r="AI121">
        <v>0</v>
      </c>
      <c r="AJ121">
        <v>1</v>
      </c>
      <c r="AK121" t="inlineStr">
        <is>
          <t>No, I don't need at all</t>
        </is>
      </c>
      <c r="AL121">
        <v>1</v>
      </c>
      <c r="AM121" t="inlineStr">
        <is>
          <t>No, I don't need at all</t>
        </is>
      </c>
      <c r="AN121"/>
      <c r="AO121" t="inlineStr">
        <is>
          <t>No, I don't need at all</t>
        </is>
      </c>
      <c r="AP121" t="inlineStr">
        <is>
          <t>Every month (100%)</t>
        </is>
      </c>
      <c r="AQ121">
        <v>1</v>
      </c>
      <c r="AR121" t="inlineStr">
        <is>
          <t>Did not use any job portal</t>
        </is>
      </c>
      <c r="AS121" t="inlineStr">
        <is>
          <t>- Headcount: 1
- Hiring Job Details: 1 content creator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121">
        <v>110</v>
      </c>
      <c r="AU121" t="inlineStr">
        <is>
          <t>1.10</t>
        </is>
      </c>
      <c r="AV121" t="inlineStr">
        <is>
          <t>15</t>
        </is>
      </c>
      <c r="AW121" t="inlineStr">
        <is>
          <t>0</t>
        </is>
      </c>
      <c r="AX121" t="inlineStr">
        <is>
          <t>Not Qualified</t>
        </is>
      </c>
      <c r="AY121" s="4"/>
      <c r="AZ121"/>
      <c r="BA121"/>
      <c r="BB121"/>
      <c r="BC121" t="inlineStr">
        <is>
          <t>Provide support on the hiring and see anything we could assist, yesterday paid and help posted</t>
        </is>
      </c>
      <c r="BD121" s="4">
        <v>46141.514814814815</v>
      </c>
      <c r="BE121" t="inlineStr">
        <is>
          <t>paid</t>
        </is>
      </c>
      <c r="BF121" t="inlineStr">
        <is>
          <t>Q2-W04</t>
        </is>
      </c>
      <c r="BG121" t="inlineStr">
        <is>
          <t>Reschedule</t>
        </is>
      </c>
      <c r="BH121" t="inlineStr">
        <is>
          <t>Fauziah Maharan</t>
        </is>
      </c>
      <c r="BI121" t="inlineStr">
        <is>
          <t>Manufacturing / Production</t>
        </is>
      </c>
      <c r="BJ121" s="4">
        <v>46144.75438657407</v>
      </c>
      <c r="BK121" s="4">
        <v>46140.56875</v>
      </c>
      <c r="BL121" t="inlineStr">
        <is>
          <t>3672.0</t>
        </is>
      </c>
      <c r="BM121" t="inlineStr">
        <is>
          <t>1200.0</t>
        </is>
      </c>
      <c r="BN121" t="inlineStr">
        <is>
          <t>View Company Page</t>
        </is>
      </c>
      <c r="BO121" s="4">
        <v>46144.38520833333</v>
      </c>
      <c r="BP121">
        <v>169250</v>
      </c>
      <c r="BQ121">
        <v>7735</v>
      </c>
      <c r="BR121" t="inlineStr">
        <is>
          <t>Manual (Paid)</t>
        </is>
      </c>
      <c r="BS121"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121">
        <v>7735</v>
      </c>
      <c r="BU121"/>
      <c r="BV121">
        <v>2734957</v>
      </c>
      <c r="BW121" t="inlineStr">
        <is>
          <t>Service / Technical : Job Outcome Enquiry</t>
        </is>
      </c>
      <c r="BX121">
        <v>6</v>
      </c>
      <c r="BY121">
        <v>5</v>
      </c>
      <c r="BZ121" s="4">
        <v>46140.71283564815</v>
      </c>
      <c r="CA121">
        <v>60</v>
      </c>
      <c r="CB121">
        <v>60</v>
      </c>
      <c r="CC121" s="4"/>
      <c r="CD121" t="inlineStr">
        <is>
          <t>20</t>
        </is>
      </c>
      <c r="CE121" t="inlineStr">
        <is>
          <t>0</t>
        </is>
      </c>
      <c r="CF121" t="inlineStr">
        <is>
          <t>Q2-W04</t>
        </is>
      </c>
      <c r="CG121" t="inlineStr">
        <is>
          <t>Q2-W04</t>
        </is>
      </c>
      <c r="CH121" t="inlineStr">
        <is>
          <t>Q2-W04</t>
        </is>
      </c>
      <c r="CI121"/>
      <c r="CJ121" t="inlineStr">
        <is>
          <t>Paid</t>
        </is>
      </c>
      <c r="CK121" t="inlineStr">
        <is>
          <t>Not Eligible</t>
        </is>
      </c>
      <c r="CL121"/>
      <c r="CM121"/>
    </row>
    <row r="122" ht="25.5" customHeight="1">
      <c r="A122" t="inlineStr">
        <is>
          <t>187096</t>
        </is>
      </c>
      <c r="B122" s="2"/>
      <c r="C122"/>
      <c r="D122" s="3">
        <v>46140.605150462965</v>
      </c>
      <c r="E122" t="inlineStr">
        <is>
          <t>Q2-W04</t>
        </is>
      </c>
      <c r="F122" t="inlineStr">
        <is>
          <t>Eugene</t>
        </is>
      </c>
      <c r="G122" t="inlineStr">
        <is>
          <t>Customer</t>
        </is>
      </c>
      <c r="H122" s="2" t="str">
        <f>=HYPERLINK("https://upbox.ajobthing.my/customer/187096", "https://upbox.ajobthing.my/customer/187096")</f>
        <v>https://upbox.ajobthing.my/customer/187096</v>
      </c>
      <c r="I122" t="inlineStr">
        <is>
          <t>Gold Mountain Birdnest &amp; Products Sdn.bhd.</t>
        </is>
      </c>
      <c r="J122" t="inlineStr">
        <is>
          <t>Dolphin</t>
        </is>
      </c>
      <c r="K122" t="inlineStr">
        <is>
          <t>Eugene</t>
        </is>
      </c>
      <c r="L122" s="4"/>
      <c r="M122" s="4">
        <v>46140.60380787037</v>
      </c>
      <c r="N122"/>
      <c r="O122">
        <v>3888</v>
      </c>
      <c r="P122" s="4"/>
      <c r="Q122" s="4"/>
      <c r="R122"/>
      <c r="S122"/>
      <c r="T122" s="4"/>
      <c r="U122" s="4"/>
      <c r="V122"/>
      <c r="W122"/>
      <c r="X122"/>
      <c r="Y122" t="inlineStr">
        <is>
          <t>Pending Appointment</t>
        </is>
      </c>
      <c r="Z122" t="inlineStr">
        <is>
          <t>Hiring Now</t>
        </is>
      </c>
      <c r="AA122">
        <v>2</v>
      </c>
      <c r="AB122" t="inlineStr">
        <is>
          <t>No Appointment Made</t>
        </is>
      </c>
      <c r="AC122"/>
      <c r="AD122" t="inlineStr">
        <is>
          <t>2 positions, based in KL</t>
        </is>
      </c>
      <c r="AE122"/>
      <c r="AF122">
        <v>3000</v>
      </c>
      <c r="AG122" s="4"/>
      <c r="AH122" s="4"/>
      <c r="AI122">
        <v>3000</v>
      </c>
      <c r="AJ122">
        <v>1</v>
      </c>
      <c r="AK122" t="inlineStr">
        <is>
          <t>No, I don't need at all</t>
        </is>
      </c>
      <c r="AL122">
        <v>1</v>
      </c>
      <c r="AM122" t="inlineStr">
        <is>
          <t>No, I don't need at all</t>
        </is>
      </c>
      <c r="AN122"/>
      <c r="AO122" t="inlineStr">
        <is>
          <t>No, I don't need at all</t>
        </is>
      </c>
      <c r="AP122" t="inlineStr">
        <is>
          <t>Once a year (25%)</t>
        </is>
      </c>
      <c r="AQ122">
        <v>2</v>
      </c>
      <c r="AR122" t="inlineStr">
        <is>
          <t>Did not use any job portal</t>
        </is>
      </c>
      <c r="AS122"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Did not use any job portal</t>
        </is>
      </c>
      <c r="AT122">
        <v>95</v>
      </c>
      <c r="AU122" t="inlineStr">
        <is>
          <t>0.95</t>
        </is>
      </c>
      <c r="AV122" t="inlineStr">
        <is>
          <t>15</t>
        </is>
      </c>
      <c r="AW122" t="inlineStr">
        <is>
          <t>0</t>
        </is>
      </c>
      <c r="AX122" t="inlineStr">
        <is>
          <t>Not Qualified</t>
        </is>
      </c>
      <c r="AY122" s="4"/>
      <c r="AZ122"/>
      <c r="BA122"/>
      <c r="BB122"/>
      <c r="BC122"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Did not use any job portal</t>
        </is>
      </c>
      <c r="BD122" s="4">
        <v>46140.625081018516</v>
      </c>
      <c r="BE122"/>
      <c r="BF122"/>
      <c r="BG122" t="inlineStr">
        <is>
          <t>Reschedule</t>
        </is>
      </c>
      <c r="BH122" t="inlineStr">
        <is>
          <t>Edward Hoo</t>
        </is>
      </c>
      <c r="BI122" t="inlineStr">
        <is>
          <t>Manufacturing / Production</t>
        </is>
      </c>
      <c r="BJ122" s="4">
        <v>46144.75215277778</v>
      </c>
      <c r="BK122" s="4">
        <v>45681.59386574074</v>
      </c>
      <c r="BL122" t="inlineStr">
        <is>
          <t>0.0</t>
        </is>
      </c>
      <c r="BM122" t="inlineStr">
        <is>
          <t>0.0</t>
        </is>
      </c>
      <c r="BN122" t="inlineStr">
        <is>
          <t>View Create Job Page</t>
        </is>
      </c>
      <c r="BO122" s="4">
        <v>45681.59622685185</v>
      </c>
      <c r="BP122">
        <v>169255</v>
      </c>
      <c r="BQ122"/>
      <c r="BR122"/>
      <c r="BS122"/>
      <c r="BT122"/>
      <c r="BU122"/>
      <c r="BV122">
        <v>2732926</v>
      </c>
      <c r="BW122" t="inlineStr">
        <is>
          <t>Customer Inquiry</t>
        </is>
      </c>
      <c r="BX122"/>
      <c r="BY122"/>
      <c r="BZ122" s="4"/>
      <c r="CA122"/>
      <c r="CB122"/>
      <c r="CC122" s="4"/>
      <c r="CD122" t="inlineStr">
        <is>
          <t>20</t>
        </is>
      </c>
      <c r="CE122" t="inlineStr">
        <is>
          <t>0</t>
        </is>
      </c>
      <c r="CF122" t="inlineStr">
        <is>
          <t>Q2-W04</t>
        </is>
      </c>
      <c r="CG122"/>
      <c r="CH122"/>
      <c r="CI122"/>
      <c r="CJ122" t="inlineStr">
        <is>
          <t>No Paid</t>
        </is>
      </c>
      <c r="CK122" t="inlineStr">
        <is>
          <t>Not Eligible</t>
        </is>
      </c>
      <c r="CL122"/>
      <c r="CM122"/>
    </row>
    <row r="123" ht="25.5" customHeight="1">
      <c r="A123" t="inlineStr">
        <is>
          <t>177173</t>
        </is>
      </c>
      <c r="B123" s="2"/>
      <c r="C123"/>
      <c r="D123" s="3">
        <v>46140.61640046296</v>
      </c>
      <c r="E123" t="inlineStr">
        <is>
          <t>Q2-W04</t>
        </is>
      </c>
      <c r="F123" t="inlineStr">
        <is>
          <t>Luqman</t>
        </is>
      </c>
      <c r="G123" t="inlineStr">
        <is>
          <t>Customer</t>
        </is>
      </c>
      <c r="H123" s="2" t="str">
        <f>=HYPERLINK("https://upbox.ajobthing.my/customer/177173", "https://upbox.ajobthing.my/customer/177173")</f>
        <v>https://upbox.ajobthing.my/customer/177173</v>
      </c>
      <c r="I123" t="inlineStr">
        <is>
          <t>Edu Paper And Stationery Sdn. Bhd.</t>
        </is>
      </c>
      <c r="J123" t="inlineStr">
        <is>
          <t>Dolphin</t>
        </is>
      </c>
      <c r="K123" t="inlineStr">
        <is>
          <t>Luqman</t>
        </is>
      </c>
      <c r="L123" s="4"/>
      <c r="M123" s="4">
        <v>46140.616481481484</v>
      </c>
      <c r="N123"/>
      <c r="O123">
        <v>3888</v>
      </c>
      <c r="P123" s="4"/>
      <c r="Q123" s="4">
        <v>45422.57388888889</v>
      </c>
      <c r="R123"/>
      <c r="S123">
        <v>1944</v>
      </c>
      <c r="T123" s="4">
        <v>45422.57388888889</v>
      </c>
      <c r="U123" s="4"/>
      <c r="V123"/>
      <c r="W123">
        <v>1944</v>
      </c>
      <c r="X123"/>
      <c r="Y123" t="inlineStr">
        <is>
          <t>Pending Appointment</t>
        </is>
      </c>
      <c r="Z123" t="inlineStr">
        <is>
          <t>Hiring Now</t>
        </is>
      </c>
      <c r="AA123">
        <v>4</v>
      </c>
      <c r="AB123" t="inlineStr">
        <is>
          <t>No Appointment Made</t>
        </is>
      </c>
      <c r="AC123"/>
      <c r="AD123" t="inlineStr">
        <is>
          <t>1. Sales Admin
2. Sales coordinator 
3. Quality Assurance 
4. Manufacturing 
</t>
        </is>
      </c>
      <c r="AE123"/>
      <c r="AF123">
        <v>3600</v>
      </c>
      <c r="AG123" s="4"/>
      <c r="AH123" s="4"/>
      <c r="AI123">
        <v>3600</v>
      </c>
      <c r="AJ123"/>
      <c r="AK123" t="inlineStr">
        <is>
          <t>Yes, I have</t>
        </is>
      </c>
      <c r="AL123">
        <v>2</v>
      </c>
      <c r="AM123" t="inlineStr">
        <is>
          <t>No, I don't need at all</t>
        </is>
      </c>
      <c r="AN123"/>
      <c r="AO123" t="inlineStr">
        <is>
          <t>No, but I want in future</t>
        </is>
      </c>
      <c r="AP123" t="inlineStr">
        <is>
          <t>Once a year (25%)</t>
        </is>
      </c>
      <c r="AQ123">
        <v>5</v>
      </c>
      <c r="AR123" t="inlineStr">
        <is>
          <t>Free Job Portal</t>
        </is>
      </c>
      <c r="AS123" t="inlineStr">
        <is>
          <t>- Headcount: 4
- Hiring Job Details: 1. Sales Admin\n2. Sales coordinator\n3. Quality Assurance\n4. Manufacturing
- Hiring Urgency: Hiring Now
- Number of outlets: Not provided
- Have recruiter team: Yes
- Number of recruiter in company: 2
- Have ATS system: No, I don't need at all
- Have career website: No, but I want in future
- Current hiring budget: RM3,600
- Whole year budget: RM3,600.00
- Whole year number of vacancies: 5
- Hiring frequency: Once a year (25%)
- External job portal: Free Job Portal</t>
        </is>
      </c>
      <c r="AT123">
        <v>75</v>
      </c>
      <c r="AU123" t="inlineStr">
        <is>
          <t>0.75</t>
        </is>
      </c>
      <c r="AV123" t="inlineStr">
        <is>
          <t>15</t>
        </is>
      </c>
      <c r="AW123" t="inlineStr">
        <is>
          <t>0</t>
        </is>
      </c>
      <c r="AX123" t="inlineStr">
        <is>
          <t>Not Qualified</t>
        </is>
      </c>
      <c r="AY123" s="4"/>
      <c r="AZ123"/>
      <c r="BA123"/>
      <c r="BB123"/>
      <c r="BC123" t="inlineStr">
        <is>
          <t>Business concern on Ala carte plus prices and Yearly package benefits. Clarify on the value and validity. Follow up 4/6/2026</t>
        </is>
      </c>
      <c r="BD123" s="4">
        <v>46142.67616898148</v>
      </c>
      <c r="BE123" t="inlineStr">
        <is>
          <t>paid</t>
        </is>
      </c>
      <c r="BF123"/>
      <c r="BG123" t="inlineStr">
        <is>
          <t>Reschedule</t>
        </is>
      </c>
      <c r="BH123" t="inlineStr">
        <is>
          <t>Edward Hoo</t>
        </is>
      </c>
      <c r="BI123"/>
      <c r="BJ123" s="4">
        <v>46144.75167824074</v>
      </c>
      <c r="BK123" s="4">
        <v>45390.463530092595</v>
      </c>
      <c r="BL123" t="inlineStr">
        <is>
          <t>0.0</t>
        </is>
      </c>
      <c r="BM123" t="inlineStr">
        <is>
          <t>0.0</t>
        </is>
      </c>
      <c r="BN123" t="inlineStr">
        <is>
          <t>View Company Page</t>
        </is>
      </c>
      <c r="BO123" s="4">
        <v>45488.67475694444</v>
      </c>
      <c r="BP123">
        <v>169262</v>
      </c>
      <c r="BQ123">
        <v>68968</v>
      </c>
      <c r="BR123" t="inlineStr">
        <is>
          <t>Online</t>
        </is>
      </c>
      <c r="BS123"/>
      <c r="BT123">
        <v>68968</v>
      </c>
      <c r="BU123"/>
      <c r="BV123">
        <v>2738131</v>
      </c>
      <c r="BW123" t="inlineStr">
        <is>
          <t>Follow Up : Decision Pending</t>
        </is>
      </c>
      <c r="BX123"/>
      <c r="BY123"/>
      <c r="BZ123" s="4"/>
      <c r="CA123"/>
      <c r="CB123"/>
      <c r="CC123" s="4"/>
      <c r="CD123" t="inlineStr">
        <is>
          <t>20</t>
        </is>
      </c>
      <c r="CE123" t="inlineStr">
        <is>
          <t>0</t>
        </is>
      </c>
      <c r="CF123" t="inlineStr">
        <is>
          <t>Q2-W04</t>
        </is>
      </c>
      <c r="CG123"/>
      <c r="CH123"/>
      <c r="CI123"/>
      <c r="CJ123" t="inlineStr">
        <is>
          <t>Paid</t>
        </is>
      </c>
      <c r="CK123" t="inlineStr">
        <is>
          <t>Not Eligible</t>
        </is>
      </c>
      <c r="CL123"/>
      <c r="CM123"/>
    </row>
    <row r="124" ht="25.5" customHeight="1">
      <c r="A124" t="inlineStr">
        <is>
          <t>177479</t>
        </is>
      </c>
      <c r="B124" s="2"/>
      <c r="C124"/>
      <c r="D124" s="3">
        <v>46140.62128472222</v>
      </c>
      <c r="E124" t="inlineStr">
        <is>
          <t>Q2-W04</t>
        </is>
      </c>
      <c r="F124" t="inlineStr">
        <is>
          <t>Carmen</t>
        </is>
      </c>
      <c r="G124" t="inlineStr">
        <is>
          <t>Customer</t>
        </is>
      </c>
      <c r="H124" s="2" t="str">
        <f>=HYPERLINK("https://upbox.ajobthing.my/customer/177479", "https://upbox.ajobthing.my/customer/177479")</f>
        <v>https://upbox.ajobthing.my/customer/177479</v>
      </c>
      <c r="I124" t="inlineStr">
        <is>
          <t>Agromas Supplies (M) Sdn Bhd</t>
        </is>
      </c>
      <c r="J124" t="inlineStr">
        <is>
          <t>Dolphin</t>
        </is>
      </c>
      <c r="K124" t="inlineStr">
        <is>
          <t>Carmen</t>
        </is>
      </c>
      <c r="L124" s="4"/>
      <c r="M124" s="4">
        <v>46140.618414351855</v>
      </c>
      <c r="N124"/>
      <c r="O124">
        <v>5412.96</v>
      </c>
      <c r="P124" s="4"/>
      <c r="Q124" s="4">
        <v>45768.421168981484</v>
      </c>
      <c r="R124"/>
      <c r="S124">
        <v>2916</v>
      </c>
      <c r="T124" s="4">
        <v>45768.421168981484</v>
      </c>
      <c r="U124" s="4"/>
      <c r="V124"/>
      <c r="W124">
        <v>2916</v>
      </c>
      <c r="X124"/>
      <c r="Y124" t="inlineStr">
        <is>
          <t>Pending Appointment</t>
        </is>
      </c>
      <c r="Z124" t="inlineStr">
        <is>
          <t>Continuous Hiring</t>
        </is>
      </c>
      <c r="AA124">
        <v>5</v>
      </c>
      <c r="AB124" t="inlineStr">
        <is>
          <t>No Appointment Made</t>
        </is>
      </c>
      <c r="AC124"/>
      <c r="AD124" t="inlineStr">
        <is>
          <t>5 positions</t>
        </is>
      </c>
      <c r="AE124"/>
      <c r="AF124">
        <v>3000</v>
      </c>
      <c r="AG124" s="4"/>
      <c r="AH124" s="4"/>
      <c r="AI124"/>
      <c r="AJ124"/>
      <c r="AK124"/>
      <c r="AL124"/>
      <c r="AM124"/>
      <c r="AN124"/>
      <c r="AO124"/>
      <c r="AP124" t="inlineStr">
        <is>
          <t>Once per quarter (75%)</t>
        </is>
      </c>
      <c r="AQ124"/>
      <c r="AR124"/>
      <c r="AS124" t="inlineStr">
        <is>
          <t>- Headcount: 5
- Hiring Job Details: 5 positions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per quarter (75%)
- External job portal: Not available</t>
        </is>
      </c>
      <c r="AT124">
        <v>35</v>
      </c>
      <c r="AU124" t="inlineStr">
        <is>
          <t>0.35</t>
        </is>
      </c>
      <c r="AV124" t="inlineStr">
        <is>
          <t>20</t>
        </is>
      </c>
      <c r="AW124" t="inlineStr">
        <is>
          <t>0</t>
        </is>
      </c>
      <c r="AX124" t="inlineStr">
        <is>
          <t>Not Qualified</t>
        </is>
      </c>
      <c r="AY124" s="4"/>
      <c r="AZ124"/>
      <c r="BA124"/>
      <c r="BB124"/>
      <c r="BC124" t="inlineStr">
        <is>
          <t>- Headcount: 5
- Hiring Job Details: 5 positions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per quarter (75%)
- External job portal: Not available</t>
        </is>
      </c>
      <c r="BD124" s="4">
        <v>46140.625081018516</v>
      </c>
      <c r="BE124" t="inlineStr">
        <is>
          <t>paid</t>
        </is>
      </c>
      <c r="BF124"/>
      <c r="BG124" t="inlineStr">
        <is>
          <t>Reschedule</t>
        </is>
      </c>
      <c r="BH124" t="inlineStr">
        <is>
          <t>Reagen</t>
        </is>
      </c>
      <c r="BI124" t="inlineStr">
        <is>
          <t>Agriculture / Poultry / Fisheries</t>
        </is>
      </c>
      <c r="BJ124" s="4">
        <v>46144.75167824074</v>
      </c>
      <c r="BK124" s="4">
        <v>45400.713483796295</v>
      </c>
      <c r="BL124" t="inlineStr">
        <is>
          <t>0.0</t>
        </is>
      </c>
      <c r="BM124" t="inlineStr">
        <is>
          <t>0.0</t>
        </is>
      </c>
      <c r="BN124" t="inlineStr">
        <is>
          <t>User Visit(Logged In)</t>
        </is>
      </c>
      <c r="BO124" s="4">
        <v>46079.623819444445</v>
      </c>
      <c r="BP124">
        <v>169263</v>
      </c>
      <c r="BQ124">
        <v>78614</v>
      </c>
      <c r="BR124" t="inlineStr">
        <is>
          <t>Online</t>
        </is>
      </c>
      <c r="BS124"/>
      <c r="BT124">
        <v>78614</v>
      </c>
      <c r="BU124"/>
      <c r="BV124">
        <v>2732933</v>
      </c>
      <c r="BW124" t="inlineStr">
        <is>
          <t>Customer Inquiry</t>
        </is>
      </c>
      <c r="BX124"/>
      <c r="BY124"/>
      <c r="BZ124" s="4"/>
      <c r="CA124"/>
      <c r="CB124"/>
      <c r="CC124" s="4"/>
      <c r="CD124" t="inlineStr">
        <is>
          <t>30</t>
        </is>
      </c>
      <c r="CE124" t="inlineStr">
        <is>
          <t>0</t>
        </is>
      </c>
      <c r="CF124" t="inlineStr">
        <is>
          <t>Q2-W04</t>
        </is>
      </c>
      <c r="CG124"/>
      <c r="CH124"/>
      <c r="CI124"/>
      <c r="CJ124" t="inlineStr">
        <is>
          <t>Paid</t>
        </is>
      </c>
      <c r="CK124" t="inlineStr">
        <is>
          <t>Not Eligible</t>
        </is>
      </c>
      <c r="CL124"/>
      <c r="CM124"/>
    </row>
    <row r="125" ht="25.5" customHeight="1">
      <c r="A125" t="inlineStr">
        <is>
          <t>125103</t>
        </is>
      </c>
      <c r="B125" s="2"/>
      <c r="C125"/>
      <c r="D125" s="3">
        <v>46140.621354166666</v>
      </c>
      <c r="E125" t="inlineStr">
        <is>
          <t>Q2-W04</t>
        </is>
      </c>
      <c r="F125" t="inlineStr">
        <is>
          <t>Keegan</t>
        </is>
      </c>
      <c r="G125" t="inlineStr">
        <is>
          <t>Customer</t>
        </is>
      </c>
      <c r="H125" s="2" t="str">
        <f>=HYPERLINK("https://upbox.ajobthing.my/customer/125103", "https://upbox.ajobthing.my/customer/125103")</f>
        <v>https://upbox.ajobthing.my/customer/125103</v>
      </c>
      <c r="I125" t="inlineStr">
        <is>
          <t>AZ Dreamworks Enterprise</t>
        </is>
      </c>
      <c r="J125" t="inlineStr">
        <is>
          <t>Dolphin</t>
        </is>
      </c>
      <c r="K125" t="inlineStr">
        <is>
          <t>Keegan</t>
        </is>
      </c>
      <c r="L125" s="4"/>
      <c r="M125" s="4">
        <v>46141.50300925926</v>
      </c>
      <c r="N125"/>
      <c r="O125">
        <v>3576.96</v>
      </c>
      <c r="P125" s="4"/>
      <c r="Q125" s="4">
        <v>46142.476435185185</v>
      </c>
      <c r="R125"/>
      <c r="S125">
        <v>3576.96</v>
      </c>
      <c r="T125" s="4">
        <v>44582.58796296296</v>
      </c>
      <c r="U125" s="4"/>
      <c r="V125"/>
      <c r="W125">
        <v>1749</v>
      </c>
      <c r="X125"/>
      <c r="Y125" t="inlineStr">
        <is>
          <t>Pending Appointment</t>
        </is>
      </c>
      <c r="Z125" t="inlineStr">
        <is>
          <t>Hiring Now</t>
        </is>
      </c>
      <c r="AA125">
        <v>2</v>
      </c>
      <c r="AB125" t="inlineStr">
        <is>
          <t>No Appointment Made</t>
        </is>
      </c>
      <c r="AC125"/>
      <c r="AD125" t="inlineStr">
        <is>
          <t xml:space="preserve">1. Admin 
2. Marketing </t>
        </is>
      </c>
      <c r="AE125"/>
      <c r="AF125"/>
      <c r="AG125" s="4"/>
      <c r="AH125" s="4"/>
      <c r="AI125"/>
      <c r="AJ125">
        <v>1</v>
      </c>
      <c r="AK125" t="inlineStr">
        <is>
          <t>No, I don't need at all</t>
        </is>
      </c>
      <c r="AL125">
        <v>0</v>
      </c>
      <c r="AM125" t="inlineStr">
        <is>
          <t>No, I don't need at all</t>
        </is>
      </c>
      <c r="AN125"/>
      <c r="AO125" t="inlineStr">
        <is>
          <t>No, I don't need at all</t>
        </is>
      </c>
      <c r="AP125" t="inlineStr">
        <is>
          <t>Once per quarter (75%)</t>
        </is>
      </c>
      <c r="AQ125"/>
      <c r="AR125" t="inlineStr">
        <is>
          <t>Did not use any job portal</t>
        </is>
      </c>
      <c r="AS125" t="inlineStr">
        <is>
          <t>- Headcount: 2
- Hiring Job Details: 1. Admin\n2.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25">
        <v>85</v>
      </c>
      <c r="AU125" t="inlineStr">
        <is>
          <t>0.85</t>
        </is>
      </c>
      <c r="AV125" t="inlineStr">
        <is>
          <t>5</t>
        </is>
      </c>
      <c r="AW125" t="inlineStr">
        <is>
          <t>0</t>
        </is>
      </c>
      <c r="AX125" t="inlineStr">
        <is>
          <t>Not Qualified</t>
        </is>
      </c>
      <c r="AY125" s="4"/>
      <c r="AZ125"/>
      <c r="BA125"/>
      <c r="BB125"/>
      <c r="BC125" t="inlineStr">
        <is>
          <t>Invoice sent as per request</t>
        </is>
      </c>
      <c r="BD125" s="4">
        <v>46142.478483796294</v>
      </c>
      <c r="BE125" t="inlineStr">
        <is>
          <t>pending</t>
        </is>
      </c>
      <c r="BF125"/>
      <c r="BG125" t="inlineStr">
        <is>
          <t>Reschedule</t>
        </is>
      </c>
      <c r="BH125" t="inlineStr">
        <is>
          <t>Edward Hoo</t>
        </is>
      </c>
      <c r="BI125" t="inlineStr">
        <is>
          <t>Insurance</t>
        </is>
      </c>
      <c r="BJ125" s="4">
        <v>46144.75033564815</v>
      </c>
      <c r="BK125" s="4">
        <v>43872.55415509259</v>
      </c>
      <c r="BL125" t="inlineStr">
        <is>
          <t>0.0</t>
        </is>
      </c>
      <c r="BM125" t="inlineStr">
        <is>
          <t>0.0</t>
        </is>
      </c>
      <c r="BN125" t="inlineStr">
        <is>
          <t>View Notifications</t>
        </is>
      </c>
      <c r="BO125" s="4">
        <v>46142.50221064815</v>
      </c>
      <c r="BP125">
        <v>169466</v>
      </c>
      <c r="BQ125">
        <v>7760</v>
      </c>
      <c r="BR125" t="inlineStr">
        <is>
          <t>Manual</t>
        </is>
      </c>
      <c r="BS125"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125">
        <v>39969</v>
      </c>
      <c r="BU125"/>
      <c r="BV125">
        <v>2737135</v>
      </c>
      <c r="BW125" t="inlineStr">
        <is>
          <t>Follow Up : Invoice Sent 75%</t>
        </is>
      </c>
      <c r="BX125"/>
      <c r="BY125"/>
      <c r="BZ125" s="4"/>
      <c r="CA125"/>
      <c r="CB125"/>
      <c r="CC125" s="4"/>
      <c r="CD125" t="inlineStr">
        <is>
          <t>5</t>
        </is>
      </c>
      <c r="CE125" t="inlineStr">
        <is>
          <t>0</t>
        </is>
      </c>
      <c r="CF125" t="inlineStr">
        <is>
          <t>Q2-W04</t>
        </is>
      </c>
      <c r="CG125" t="inlineStr">
        <is>
          <t>Q2-W04</t>
        </is>
      </c>
      <c r="CH125"/>
      <c r="CI125"/>
      <c r="CJ125" t="inlineStr">
        <is>
          <t>Paid</t>
        </is>
      </c>
      <c r="CK125" t="inlineStr">
        <is>
          <t>Not Eligible</t>
        </is>
      </c>
      <c r="CL125"/>
      <c r="CM125"/>
    </row>
    <row r="126" ht="25.5" customHeight="1">
      <c r="A126" t="inlineStr">
        <is>
          <t>198944</t>
        </is>
      </c>
      <c r="B126" s="2"/>
      <c r="C126"/>
      <c r="D126" s="3">
        <v>46140.62300925926</v>
      </c>
      <c r="E126" t="inlineStr">
        <is>
          <t>Q2-W04</t>
        </is>
      </c>
      <c r="F126" t="inlineStr">
        <is>
          <t>Chia Yee</t>
        </is>
      </c>
      <c r="G126" t="inlineStr">
        <is>
          <t>Customer</t>
        </is>
      </c>
      <c r="H126" s="2" t="str">
        <f>=HYPERLINK("https://upbox.ajobthing.my/customer/198944", "https://upbox.ajobthing.my/customer/198944")</f>
        <v>https://upbox.ajobthing.my/customer/198944</v>
      </c>
      <c r="I126" t="inlineStr">
        <is>
          <t>MYG advisory Sdn Bhd</t>
        </is>
      </c>
      <c r="J126" t="inlineStr">
        <is>
          <t>Dolphin</t>
        </is>
      </c>
      <c r="K126" t="inlineStr">
        <is>
          <t>Chia Yee</t>
        </is>
      </c>
      <c r="L126" s="4"/>
      <c r="M126" s="4">
        <v>46140.62329861111</v>
      </c>
      <c r="N126"/>
      <c r="O126">
        <v>3888</v>
      </c>
      <c r="P126" s="4"/>
      <c r="Q126" s="4">
        <v>46031.593993055554</v>
      </c>
      <c r="R126"/>
      <c r="S126">
        <v>324</v>
      </c>
      <c r="T126" s="4">
        <v>46031.593993055554</v>
      </c>
      <c r="U126" s="4"/>
      <c r="V126"/>
      <c r="W126">
        <v>324</v>
      </c>
      <c r="X126"/>
      <c r="Y126" t="inlineStr">
        <is>
          <t>Pending Appointment</t>
        </is>
      </c>
      <c r="Z126" t="inlineStr">
        <is>
          <t>Hiring Now</t>
        </is>
      </c>
      <c r="AA126">
        <v>1</v>
      </c>
      <c r="AB126" t="inlineStr">
        <is>
          <t>No Appointment Made</t>
        </is>
      </c>
      <c r="AC126"/>
      <c r="AD126" t="inlineStr">
        <is>
          <t>1 telesales</t>
        </is>
      </c>
      <c r="AE126"/>
      <c r="AF126">
        <v>0</v>
      </c>
      <c r="AG126" s="4"/>
      <c r="AH126" s="4"/>
      <c r="AI126">
        <v>0</v>
      </c>
      <c r="AJ126">
        <v>1</v>
      </c>
      <c r="AK126" t="inlineStr">
        <is>
          <t>No, I don't need at all</t>
        </is>
      </c>
      <c r="AL126">
        <v>1</v>
      </c>
      <c r="AM126" t="inlineStr">
        <is>
          <t>No, I don't need at all</t>
        </is>
      </c>
      <c r="AN126"/>
      <c r="AO126" t="inlineStr">
        <is>
          <t>Yes, I have</t>
        </is>
      </c>
      <c r="AP126" t="inlineStr">
        <is>
          <t>Once a year (25%)</t>
        </is>
      </c>
      <c r="AQ126">
        <v>1</v>
      </c>
      <c r="AR126" t="inlineStr">
        <is>
          <t>Did not use any job portal</t>
        </is>
      </c>
      <c r="AS126" t="inlineStr">
        <is>
          <t>- Headcount: 1
- Hiring Job Details: 1 telesales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126">
        <v>115</v>
      </c>
      <c r="AU126" t="inlineStr">
        <is>
          <t>1.15</t>
        </is>
      </c>
      <c r="AV126" t="inlineStr">
        <is>
          <t>15</t>
        </is>
      </c>
      <c r="AW126" t="inlineStr">
        <is>
          <t>0</t>
        </is>
      </c>
      <c r="AX126" t="inlineStr">
        <is>
          <t>Not Qualified</t>
        </is>
      </c>
      <c r="AY126" s="4"/>
      <c r="AZ126"/>
      <c r="BA126"/>
      <c r="BB126"/>
      <c r="BC126" t="inlineStr">
        <is>
          <t>Called Vanessa, not go through yet</t>
        </is>
      </c>
      <c r="BD126" s="4">
        <v>46141.39560185185</v>
      </c>
      <c r="BE126" t="inlineStr">
        <is>
          <t>paid</t>
        </is>
      </c>
      <c r="BF126" t="inlineStr">
        <is>
          <t>Q1-W02</t>
        </is>
      </c>
      <c r="BG126" t="inlineStr">
        <is>
          <t>Reschedule</t>
        </is>
      </c>
      <c r="BH126" t="inlineStr">
        <is>
          <t>Reagen</t>
        </is>
      </c>
      <c r="BI126" t="inlineStr">
        <is>
          <t>Banking / Finance</t>
        </is>
      </c>
      <c r="BJ126" s="4">
        <v>46144.75320601852</v>
      </c>
      <c r="BK126" s="4">
        <v>45993.63064814815</v>
      </c>
      <c r="BL126" t="inlineStr">
        <is>
          <t>1188.0</t>
        </is>
      </c>
      <c r="BM126" t="inlineStr">
        <is>
          <t>0.0</t>
        </is>
      </c>
      <c r="BN126" t="inlineStr">
        <is>
          <t>View Jobmanager Page</t>
        </is>
      </c>
      <c r="BO126" s="4">
        <v>46079.594722222224</v>
      </c>
      <c r="BP126">
        <v>169266</v>
      </c>
      <c r="BQ126">
        <v>85490</v>
      </c>
      <c r="BR126" t="inlineStr">
        <is>
          <t>Online</t>
        </is>
      </c>
      <c r="BS126"/>
      <c r="BT126">
        <v>85490</v>
      </c>
      <c r="BU126"/>
      <c r="BV126">
        <v>2734098</v>
      </c>
      <c r="BW126" t="inlineStr">
        <is>
          <t>Follow Up : Decision Pending</t>
        </is>
      </c>
      <c r="BX126"/>
      <c r="BY126"/>
      <c r="BZ126" s="4"/>
      <c r="CA126"/>
      <c r="CB126"/>
      <c r="CC126" s="4"/>
      <c r="CD126" t="inlineStr">
        <is>
          <t>20</t>
        </is>
      </c>
      <c r="CE126" t="inlineStr">
        <is>
          <t>0</t>
        </is>
      </c>
      <c r="CF126" t="inlineStr">
        <is>
          <t>Q2-W04</t>
        </is>
      </c>
      <c r="CG126" t="inlineStr">
        <is>
          <t>Q1-W02</t>
        </is>
      </c>
      <c r="CH126" t="inlineStr">
        <is>
          <t>Q1-W02</t>
        </is>
      </c>
      <c r="CI126"/>
      <c r="CJ126" t="inlineStr">
        <is>
          <t>Paid</t>
        </is>
      </c>
      <c r="CK126" t="inlineStr">
        <is>
          <t>Not Eligible</t>
        </is>
      </c>
      <c r="CL126"/>
      <c r="CM126"/>
    </row>
    <row r="127" ht="25.5" customHeight="1">
      <c r="A127" t="inlineStr">
        <is>
          <t>195671</t>
        </is>
      </c>
      <c r="B127" s="2"/>
      <c r="C127"/>
      <c r="D127" s="3">
        <v>46140.62548611111</v>
      </c>
      <c r="E127" t="inlineStr">
        <is>
          <t>Q2-W04</t>
        </is>
      </c>
      <c r="F127" t="inlineStr">
        <is>
          <t>Chia Yee</t>
        </is>
      </c>
      <c r="G127" t="inlineStr">
        <is>
          <t>Customer</t>
        </is>
      </c>
      <c r="H127" s="2" t="str">
        <f>=HYPERLINK("https://upbox.ajobthing.my/customer/195671", "https://upbox.ajobthing.my/customer/195671")</f>
        <v>https://upbox.ajobthing.my/customer/195671</v>
      </c>
      <c r="I127" t="inlineStr">
        <is>
          <t>Fermpro Sdn. Bhd.</t>
        </is>
      </c>
      <c r="J127" t="inlineStr">
        <is>
          <t>Dolphin</t>
        </is>
      </c>
      <c r="K127" t="inlineStr">
        <is>
          <t>Chia Yee</t>
        </is>
      </c>
      <c r="L127" s="4"/>
      <c r="M127" s="4">
        <v>46140.62563657408</v>
      </c>
      <c r="N127"/>
      <c r="O127">
        <v>3888</v>
      </c>
      <c r="P127" s="4"/>
      <c r="Q127" s="4">
        <v>45966.738854166666</v>
      </c>
      <c r="R127"/>
      <c r="S127">
        <v>1296</v>
      </c>
      <c r="T127" s="4">
        <v>45966.738854166666</v>
      </c>
      <c r="U127" s="4"/>
      <c r="V127"/>
      <c r="W127">
        <v>1296</v>
      </c>
      <c r="X127"/>
      <c r="Y127" t="inlineStr">
        <is>
          <t>Pending Appointment</t>
        </is>
      </c>
      <c r="Z127" t="inlineStr">
        <is>
          <t>Hiring Now</t>
        </is>
      </c>
      <c r="AA127">
        <v>1</v>
      </c>
      <c r="AB127" t="inlineStr">
        <is>
          <t>No Appointment Made</t>
        </is>
      </c>
      <c r="AC127"/>
      <c r="AD127" t="inlineStr">
        <is>
          <t xml:space="preserve"> 1 sales coordinator executive </t>
        </is>
      </c>
      <c r="AE127"/>
      <c r="AF127">
        <v>0</v>
      </c>
      <c r="AG127" s="4"/>
      <c r="AH127" s="4"/>
      <c r="AI127">
        <v>0</v>
      </c>
      <c r="AJ127">
        <v>1</v>
      </c>
      <c r="AK127" t="inlineStr">
        <is>
          <t>No, I don't need at all</t>
        </is>
      </c>
      <c r="AL127">
        <v>1</v>
      </c>
      <c r="AM127" t="inlineStr">
        <is>
          <t>No, I don't need at all</t>
        </is>
      </c>
      <c r="AN127"/>
      <c r="AO127" t="inlineStr">
        <is>
          <t>No, I don't need at all</t>
        </is>
      </c>
      <c r="AP127" t="inlineStr">
        <is>
          <t>Once a year (25%)</t>
        </is>
      </c>
      <c r="AQ127">
        <v>1</v>
      </c>
      <c r="AR127" t="inlineStr">
        <is>
          <t>Did not use any job portal</t>
        </is>
      </c>
      <c r="AS127" t="inlineStr">
        <is>
          <t>- Headcount: 1
- Hiring Job Details: 1 sales coordinator executive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127">
        <v>115</v>
      </c>
      <c r="AU127" t="inlineStr">
        <is>
          <t>1.15</t>
        </is>
      </c>
      <c r="AV127" t="inlineStr">
        <is>
          <t>15</t>
        </is>
      </c>
      <c r="AW127" t="inlineStr">
        <is>
          <t>0</t>
        </is>
      </c>
      <c r="AX127" t="inlineStr">
        <is>
          <t>Not Qualified</t>
        </is>
      </c>
      <c r="AY127" s="4"/>
      <c r="AZ127"/>
      <c r="BA127"/>
      <c r="BB127"/>
      <c r="BC127" t="inlineStr">
        <is>
          <t>Called Ms. Kon, not really interested on this as no time to search. Normally use jobstreet head hunt or agency</t>
        </is>
      </c>
      <c r="BD127" s="4">
        <v>46141.39445601852</v>
      </c>
      <c r="BE127" t="inlineStr">
        <is>
          <t>paid</t>
        </is>
      </c>
      <c r="BF127"/>
      <c r="BG127" t="inlineStr">
        <is>
          <t>Reschedule</t>
        </is>
      </c>
      <c r="BH127" t="inlineStr">
        <is>
          <t>Reagen</t>
        </is>
      </c>
      <c r="BI127" t="inlineStr">
        <is>
          <t>Manufacturing / Production</t>
        </is>
      </c>
      <c r="BJ127" s="4">
        <v>46144.75278935185</v>
      </c>
      <c r="BK127" s="4">
        <v>45902.65758101852</v>
      </c>
      <c r="BL127" t="inlineStr">
        <is>
          <t>1296.0</t>
        </is>
      </c>
      <c r="BM127" t="inlineStr">
        <is>
          <t>0.0</t>
        </is>
      </c>
      <c r="BN127" t="inlineStr">
        <is>
          <t>PA Visit - Job Card</t>
        </is>
      </c>
      <c r="BO127" s="4">
        <v>45993.61476851852</v>
      </c>
      <c r="BP127">
        <v>169270</v>
      </c>
      <c r="BQ127">
        <v>83945</v>
      </c>
      <c r="BR127" t="inlineStr">
        <is>
          <t>Online</t>
        </is>
      </c>
      <c r="BS127"/>
      <c r="BT127">
        <v>83945</v>
      </c>
      <c r="BU127"/>
      <c r="BV127">
        <v>2734097</v>
      </c>
      <c r="BW127" t="inlineStr">
        <is>
          <t>Follow Up : Budget Concern</t>
        </is>
      </c>
      <c r="BX127"/>
      <c r="BY127"/>
      <c r="BZ127" s="4"/>
      <c r="CA127"/>
      <c r="CB127"/>
      <c r="CC127" s="4"/>
      <c r="CD127" t="inlineStr">
        <is>
          <t>20</t>
        </is>
      </c>
      <c r="CE127" t="inlineStr">
        <is>
          <t>0</t>
        </is>
      </c>
      <c r="CF127" t="inlineStr">
        <is>
          <t>Q2-W04</t>
        </is>
      </c>
      <c r="CG127"/>
      <c r="CH127"/>
      <c r="CI127"/>
      <c r="CJ127" t="inlineStr">
        <is>
          <t>Paid</t>
        </is>
      </c>
      <c r="CK127" t="inlineStr">
        <is>
          <t>Not Eligible</t>
        </is>
      </c>
      <c r="CL127"/>
      <c r="CM127"/>
    </row>
    <row r="128" ht="25.5" customHeight="1">
      <c r="A128" t="inlineStr">
        <is>
          <t>202049</t>
        </is>
      </c>
      <c r="B128" s="2"/>
      <c r="C128"/>
      <c r="D128" s="3">
        <v>46140.628796296296</v>
      </c>
      <c r="E128" t="inlineStr">
        <is>
          <t>Q2-W04</t>
        </is>
      </c>
      <c r="F128" t="inlineStr">
        <is>
          <t>Alan KY</t>
        </is>
      </c>
      <c r="G128" t="inlineStr">
        <is>
          <t>Customer</t>
        </is>
      </c>
      <c r="H128" s="2" t="str">
        <f>=HYPERLINK("https://upbox.ajobthing.my/customer/202049", "https://upbox.ajobthing.my/customer/202049")</f>
        <v>https://upbox.ajobthing.my/customer/202049</v>
      </c>
      <c r="I128" t="inlineStr">
        <is>
          <t>Arest Cafe Sdn Bhd</t>
        </is>
      </c>
      <c r="J128" t="inlineStr">
        <is>
          <t>Dolphin</t>
        </is>
      </c>
      <c r="K128" t="inlineStr">
        <is>
          <t>Alan KY</t>
        </is>
      </c>
      <c r="L128" s="4"/>
      <c r="M128" s="4">
        <v>46140.62451388889</v>
      </c>
      <c r="N128"/>
      <c r="O128">
        <v>10381</v>
      </c>
      <c r="P128" s="4"/>
      <c r="Q128" s="4">
        <v>46106.764861111114</v>
      </c>
      <c r="R128"/>
      <c r="S128">
        <v>3672</v>
      </c>
      <c r="T128" s="4"/>
      <c r="U128" s="4"/>
      <c r="V128"/>
      <c r="W128"/>
      <c r="X128"/>
      <c r="Y128" t="inlineStr">
        <is>
          <t>Pending Appointment</t>
        </is>
      </c>
      <c r="Z128" t="inlineStr">
        <is>
          <t>Continuous Hiring</t>
        </is>
      </c>
      <c r="AA128">
        <v>10</v>
      </c>
      <c r="AB128" t="inlineStr">
        <is>
          <t>No Appointment Made</t>
        </is>
      </c>
      <c r="AC128"/>
      <c r="AD128" t="inlineStr">
        <is>
          <t xml:space="preserve">5 service crew , 1 area manager, 3 cafe supervisor, barista 
based in KL / selangor </t>
        </is>
      </c>
      <c r="AE128"/>
      <c r="AF128"/>
      <c r="AG128" s="4"/>
      <c r="AH128" s="4"/>
      <c r="AI128"/>
      <c r="AJ128">
        <v>10</v>
      </c>
      <c r="AK128" t="inlineStr">
        <is>
          <t>No, but I want in future</t>
        </is>
      </c>
      <c r="AL128"/>
      <c r="AM128" t="inlineStr">
        <is>
          <t>No, I don't need at all</t>
        </is>
      </c>
      <c r="AN128"/>
      <c r="AO128" t="inlineStr">
        <is>
          <t>No, I don't need at all</t>
        </is>
      </c>
      <c r="AP128" t="inlineStr">
        <is>
          <t>Every month (100%)</t>
        </is>
      </c>
      <c r="AQ128"/>
      <c r="AR128" t="inlineStr">
        <is>
          <t>Jobstreet</t>
        </is>
      </c>
      <c r="AS128" t="inlineStr">
        <is>
          <t>- Headcount: 10
- Hiring Job Details: 5 service crew, 1 area manager, 3 cafe supervisor, barista (based in KL/selangor)
- Hiring Urgency: Continuous Hiring
- Number of outlets: 10
- Have recruiter team: No, but want in future
- Number of recruiter in company: Not specified
- Have ATS system: No, don't need at all
- Have career website: No, don't need at all
- Current hiring budget: Not specified
- Whole year budget: Not specified
- Whole year number of vacancies: Not specified
- Hiring frequency: Every month (100%)
- External job portal: Jobstreet</t>
        </is>
      </c>
      <c r="AT128">
        <v>75</v>
      </c>
      <c r="AU128" t="inlineStr">
        <is>
          <t>0.75</t>
        </is>
      </c>
      <c r="AV128" t="inlineStr">
        <is>
          <t>10</t>
        </is>
      </c>
      <c r="AW128" t="inlineStr">
        <is>
          <t>0</t>
        </is>
      </c>
      <c r="AX128" t="inlineStr">
        <is>
          <t>Not Qualified</t>
        </is>
      </c>
      <c r="AY128" s="4"/>
      <c r="AZ128"/>
      <c r="BA128"/>
      <c r="BB128"/>
      <c r="BC128" t="inlineStr">
        <is>
          <t>Pending decision, ask if campaign can be extended. Try to catch their interest first. 
Will let me know by tomorrow</t>
        </is>
      </c>
      <c r="BD128" s="4">
        <v>46141.72837962963</v>
      </c>
      <c r="BE128" t="inlineStr">
        <is>
          <t>pending</t>
        </is>
      </c>
      <c r="BF128"/>
      <c r="BG128" t="inlineStr">
        <is>
          <t>Reschedule</t>
        </is>
      </c>
      <c r="BH128" t="inlineStr">
        <is>
          <t>Reagen</t>
        </is>
      </c>
      <c r="BI128" t="inlineStr">
        <is>
          <t>Food / Beverage</t>
        </is>
      </c>
      <c r="BJ128" s="4">
        <v>46144.75392361111</v>
      </c>
      <c r="BK128" s="4">
        <v>46094.38983796296</v>
      </c>
      <c r="BL128" t="inlineStr">
        <is>
          <t>0.0</t>
        </is>
      </c>
      <c r="BM128" t="inlineStr">
        <is>
          <t>0.0</t>
        </is>
      </c>
      <c r="BN128" t="inlineStr">
        <is>
          <t>View Company Page</t>
        </is>
      </c>
      <c r="BO128" s="4">
        <v>46127.51380787037</v>
      </c>
      <c r="BP128">
        <v>169268</v>
      </c>
      <c r="BQ128">
        <v>118211</v>
      </c>
      <c r="BR128" t="inlineStr">
        <is>
          <t>Proforma</t>
        </is>
      </c>
      <c r="BS128" t="inlineStr">
        <is>
          <t>AI Yearly Standard Plan (Jan 26)</t>
        </is>
      </c>
      <c r="BT128"/>
      <c r="BU128"/>
      <c r="BV128">
        <v>2736213</v>
      </c>
      <c r="BW128" t="inlineStr">
        <is>
          <t>Follow Up : Decision Pending</t>
        </is>
      </c>
      <c r="BX128"/>
      <c r="BY128"/>
      <c r="BZ128" s="4"/>
      <c r="CA128"/>
      <c r="CB128"/>
      <c r="CC128" s="4"/>
      <c r="CD128" t="inlineStr">
        <is>
          <t>15</t>
        </is>
      </c>
      <c r="CE128" t="inlineStr">
        <is>
          <t>0</t>
        </is>
      </c>
      <c r="CF128" t="inlineStr">
        <is>
          <t>Q2-W04</t>
        </is>
      </c>
      <c r="CG128" t="inlineStr">
        <is>
          <t>Q1-W12</t>
        </is>
      </c>
      <c r="CH128"/>
      <c r="CI128"/>
      <c r="CJ128" t="inlineStr">
        <is>
          <t>No Paid</t>
        </is>
      </c>
      <c r="CK128" t="inlineStr">
        <is>
          <t>Eligible</t>
        </is>
      </c>
      <c r="CL128"/>
      <c r="CM128"/>
    </row>
    <row r="129" ht="25.5" customHeight="1">
      <c r="A129" t="inlineStr">
        <is>
          <t>4329244</t>
        </is>
      </c>
      <c r="B129" s="2"/>
      <c r="C129"/>
      <c r="D129" s="3">
        <v>46140.64388888889</v>
      </c>
      <c r="E129" t="inlineStr">
        <is>
          <t>Q2-W04</t>
        </is>
      </c>
      <c r="F129" t="inlineStr">
        <is>
          <t>Josh</t>
        </is>
      </c>
      <c r="G129" t="inlineStr">
        <is>
          <t>Lead</t>
        </is>
      </c>
      <c r="H129" s="2" t="str">
        <f>=HYPERLINK("https://upbox.ajobthing.my/leads/4329244", "https://upbox.ajobthing.my/leads/4329244")</f>
        <v>https://upbox.ajobthing.my/leads/4329244</v>
      </c>
      <c r="I129" t="inlineStr">
        <is>
          <t>Surenity Enterprise</t>
        </is>
      </c>
      <c r="J129" t="inlineStr">
        <is>
          <t>Dolphin</t>
        </is>
      </c>
      <c r="K129" t="inlineStr">
        <is>
          <t>Josh</t>
        </is>
      </c>
      <c r="L129" s="4"/>
      <c r="M129" s="4">
        <v>46140.64474537037</v>
      </c>
      <c r="N129"/>
      <c r="O129">
        <v>3576.96</v>
      </c>
      <c r="P129" s="4"/>
      <c r="Q129" s="4"/>
      <c r="R129"/>
      <c r="S129"/>
      <c r="T129" s="4"/>
      <c r="U129" s="4"/>
      <c r="V129"/>
      <c r="W129"/>
      <c r="X129"/>
      <c r="Y129" t="inlineStr">
        <is>
          <t>Pending Appointment</t>
        </is>
      </c>
      <c r="Z129" t="inlineStr">
        <is>
          <t>Hiring Now</t>
        </is>
      </c>
      <c r="AA129">
        <v>2</v>
      </c>
      <c r="AB129" t="inlineStr">
        <is>
          <t>No Appointment Made</t>
        </is>
      </c>
      <c r="AC129"/>
      <c r="AD129" t="inlineStr">
        <is>
          <t>1 live host, 1 content creator</t>
        </is>
      </c>
      <c r="AE129"/>
      <c r="AF129">
        <v>3000</v>
      </c>
      <c r="AG129" s="4"/>
      <c r="AH129" s="4"/>
      <c r="AI129"/>
      <c r="AJ129"/>
      <c r="AK129" t="inlineStr">
        <is>
          <t>Yes, I have</t>
        </is>
      </c>
      <c r="AL129"/>
      <c r="AM129"/>
      <c r="AN129"/>
      <c r="AO129"/>
      <c r="AP129" t="inlineStr">
        <is>
          <t>Once a year (25%)</t>
        </is>
      </c>
      <c r="AQ129"/>
      <c r="AR129"/>
      <c r="AS129" t="inlineStr">
        <is>
          <t>- Headcount: 2
- Hiring Job Details: 1 live host, 1 content creator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129">
        <v>90</v>
      </c>
      <c r="AU129" t="inlineStr">
        <is>
          <t>0.90</t>
        </is>
      </c>
      <c r="AV129" t="inlineStr">
        <is>
          <t>15</t>
        </is>
      </c>
      <c r="AW129" t="inlineStr">
        <is>
          <t>0</t>
        </is>
      </c>
      <c r="AX129" t="inlineStr">
        <is>
          <t>Not Qualified</t>
        </is>
      </c>
      <c r="AY129" s="4"/>
      <c r="AZ129"/>
      <c r="BA129"/>
      <c r="BB129"/>
      <c r="BC129"/>
      <c r="BD129" s="4"/>
      <c r="BE129"/>
      <c r="BF129"/>
      <c r="BG129" t="inlineStr">
        <is>
          <t>Reschedule</t>
        </is>
      </c>
      <c r="BH129" t="inlineStr">
        <is>
          <t>Fauziah Maharan</t>
        </is>
      </c>
      <c r="BI129"/>
      <c r="BJ129" s="4">
        <v>46144.755949074075</v>
      </c>
      <c r="BK129" s="4">
        <v>46140.5919212963</v>
      </c>
      <c r="BL129" t="inlineStr">
        <is>
          <t>324.0</t>
        </is>
      </c>
      <c r="BM129" t="inlineStr">
        <is>
          <t>0.0</t>
        </is>
      </c>
      <c r="BN129"/>
      <c r="BO129" s="4"/>
      <c r="BP129">
        <v>169285</v>
      </c>
      <c r="BQ129"/>
      <c r="BR129"/>
      <c r="BS129"/>
      <c r="BT129"/>
      <c r="BU129"/>
      <c r="BV129"/>
      <c r="BW129"/>
      <c r="BX129"/>
      <c r="BY129"/>
      <c r="BZ129" s="4"/>
      <c r="CA129"/>
      <c r="CB129"/>
      <c r="CC129" s="4"/>
      <c r="CD129" t="inlineStr">
        <is>
          <t>20</t>
        </is>
      </c>
      <c r="CE129" t="inlineStr">
        <is>
          <t>0</t>
        </is>
      </c>
      <c r="CF129" t="inlineStr">
        <is>
          <t>Q2-W04</t>
        </is>
      </c>
      <c r="CG129"/>
      <c r="CH129"/>
      <c r="CI129"/>
      <c r="CJ129" t="inlineStr">
        <is>
          <t>No Paid</t>
        </is>
      </c>
      <c r="CK129" t="inlineStr">
        <is>
          <t>Not Eligible</t>
        </is>
      </c>
      <c r="CL129"/>
      <c r="CM129"/>
    </row>
    <row r="130" ht="25.5" customHeight="1">
      <c r="A130" t="inlineStr">
        <is>
          <t>203727</t>
        </is>
      </c>
      <c r="B130" s="2"/>
      <c r="C130"/>
      <c r="D130" s="3">
        <v>46140.644328703704</v>
      </c>
      <c r="E130" t="inlineStr">
        <is>
          <t>Q2-W04</t>
        </is>
      </c>
      <c r="F130" t="inlineStr">
        <is>
          <t>Carmen</t>
        </is>
      </c>
      <c r="G130" t="inlineStr">
        <is>
          <t>Customer</t>
        </is>
      </c>
      <c r="H130" s="2" t="str">
        <f>=HYPERLINK("https://upbox.ajobthing.my/customer/203727", "https://upbox.ajobthing.my/customer/203727")</f>
        <v>https://upbox.ajobthing.my/customer/203727</v>
      </c>
      <c r="I130" t="inlineStr">
        <is>
          <t>MSX Standard Design &amp; Build Sdn Bhd</t>
        </is>
      </c>
      <c r="J130" t="inlineStr">
        <is>
          <t>Dolphin</t>
        </is>
      </c>
      <c r="K130" t="inlineStr">
        <is>
          <t>Carmen</t>
        </is>
      </c>
      <c r="L130" s="4"/>
      <c r="M130" s="4">
        <v>46140.64465277778</v>
      </c>
      <c r="N130"/>
      <c r="O130">
        <v>3888</v>
      </c>
      <c r="P130" s="4"/>
      <c r="Q130" s="4">
        <v>46142.604097222225</v>
      </c>
      <c r="R130"/>
      <c r="S130">
        <v>1296</v>
      </c>
      <c r="T130" s="4"/>
      <c r="U130" s="4"/>
      <c r="V130"/>
      <c r="W130"/>
      <c r="X130"/>
      <c r="Y130" t="inlineStr">
        <is>
          <t>Pending Appointment</t>
        </is>
      </c>
      <c r="Z130" t="inlineStr">
        <is>
          <t>Continuous Hiring</t>
        </is>
      </c>
      <c r="AA130">
        <v>3</v>
      </c>
      <c r="AB130" t="inlineStr">
        <is>
          <t>No Appointment Made</t>
        </is>
      </c>
      <c r="AC130"/>
      <c r="AD130" t="inlineStr">
        <is>
          <t>1 drafter. 1 admin, 1 sales</t>
        </is>
      </c>
      <c r="AE130"/>
      <c r="AF130">
        <v>3000</v>
      </c>
      <c r="AG130" s="4"/>
      <c r="AH130" s="4"/>
      <c r="AI130"/>
      <c r="AJ130"/>
      <c r="AK130"/>
      <c r="AL130"/>
      <c r="AM130"/>
      <c r="AN130"/>
      <c r="AO130"/>
      <c r="AP130" t="inlineStr">
        <is>
          <t>Once a year (25%)</t>
        </is>
      </c>
      <c r="AQ130"/>
      <c r="AR130"/>
      <c r="AS130" t="inlineStr">
        <is>
          <t>- Headcount: 3
- Hiring Job Details: 1 drafter, 1 admin, 1 sales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30">
        <v>75</v>
      </c>
      <c r="AU130" t="inlineStr">
        <is>
          <t>0.75</t>
        </is>
      </c>
      <c r="AV130" t="inlineStr">
        <is>
          <t>15</t>
        </is>
      </c>
      <c r="AW130" t="inlineStr">
        <is>
          <t>0</t>
        </is>
      </c>
      <c r="AX130" t="inlineStr">
        <is>
          <t>Not Qualified</t>
        </is>
      </c>
      <c r="AY130" s="4"/>
      <c r="AZ130"/>
      <c r="BA130"/>
      <c r="BB130"/>
      <c r="BC130" t="inlineStr">
        <is>
          <t>she ask the bundle vs ala cart</t>
        </is>
      </c>
      <c r="BD130" s="4">
        <v>46142.66103009259</v>
      </c>
      <c r="BE130" t="inlineStr">
        <is>
          <t>pending</t>
        </is>
      </c>
      <c r="BF130"/>
      <c r="BG130" t="inlineStr">
        <is>
          <t>Reschedule</t>
        </is>
      </c>
      <c r="BH130" t="inlineStr">
        <is>
          <t>Reagen</t>
        </is>
      </c>
      <c r="BI130" t="inlineStr">
        <is>
          <t>Architecture / Interior Design</t>
        </is>
      </c>
      <c r="BJ130" s="4">
        <v>46144.75438657407</v>
      </c>
      <c r="BK130" s="4">
        <v>46140.45800925926</v>
      </c>
      <c r="BL130" t="inlineStr">
        <is>
          <t>0.0</t>
        </is>
      </c>
      <c r="BM130" t="inlineStr">
        <is>
          <t>0.0</t>
        </is>
      </c>
      <c r="BN130" t="inlineStr">
        <is>
          <t>View Company Page</t>
        </is>
      </c>
      <c r="BO130" s="4">
        <v>46141.72903935185</v>
      </c>
      <c r="BP130">
        <v>169284</v>
      </c>
      <c r="BQ130">
        <v>124194</v>
      </c>
      <c r="BR130" t="inlineStr">
        <is>
          <t>Proforma</t>
        </is>
      </c>
      <c r="BS130" t="inlineStr">
        <is>
          <t>AI Ala Carte (Jan 26) Plus</t>
        </is>
      </c>
      <c r="BT130"/>
      <c r="BU130"/>
      <c r="BV130">
        <v>2738053</v>
      </c>
      <c r="BW130" t="inlineStr">
        <is>
          <t>Inquire for Hiring Needs : Quotation Sent 50%</t>
        </is>
      </c>
      <c r="BX130"/>
      <c r="BY130"/>
      <c r="BZ130" s="4"/>
      <c r="CA130"/>
      <c r="CB130"/>
      <c r="CC130" s="4"/>
      <c r="CD130" t="inlineStr">
        <is>
          <t>20</t>
        </is>
      </c>
      <c r="CE130" t="inlineStr">
        <is>
          <t>0</t>
        </is>
      </c>
      <c r="CF130" t="inlineStr">
        <is>
          <t>Q2-W04</t>
        </is>
      </c>
      <c r="CG130" t="inlineStr">
        <is>
          <t>Q2-W04</t>
        </is>
      </c>
      <c r="CH130"/>
      <c r="CI130"/>
      <c r="CJ130" t="inlineStr">
        <is>
          <t>No Paid</t>
        </is>
      </c>
      <c r="CK130" t="inlineStr">
        <is>
          <t>Not Eligible</t>
        </is>
      </c>
      <c r="CL130"/>
      <c r="CM130"/>
    </row>
    <row r="131" ht="25.5" customHeight="1">
      <c r="A131" t="inlineStr">
        <is>
          <t>149710</t>
        </is>
      </c>
      <c r="B131" s="2"/>
      <c r="C131"/>
      <c r="D131" s="3">
        <v>46140.646099537036</v>
      </c>
      <c r="E131" t="inlineStr">
        <is>
          <t>Q2-W04</t>
        </is>
      </c>
      <c r="F131" t="inlineStr">
        <is>
          <t>Dickson</t>
        </is>
      </c>
      <c r="G131" t="inlineStr">
        <is>
          <t>Customer</t>
        </is>
      </c>
      <c r="H131" s="2" t="str">
        <f>=HYPERLINK("https://upbox.ajobthing.my/customer/149710", "https://upbox.ajobthing.my/customer/149710")</f>
        <v>https://upbox.ajobthing.my/customer/149710</v>
      </c>
      <c r="I131" t="inlineStr">
        <is>
          <t>Mega Air Travel (M) Sdn Bhd</t>
        </is>
      </c>
      <c r="J131" t="inlineStr">
        <is>
          <t>Dolphin</t>
        </is>
      </c>
      <c r="K131" t="inlineStr">
        <is>
          <t>Dickson</t>
        </is>
      </c>
      <c r="L131" s="4"/>
      <c r="M131" s="4">
        <v>46140.64619212963</v>
      </c>
      <c r="N131"/>
      <c r="O131">
        <v>1296</v>
      </c>
      <c r="P131" s="4"/>
      <c r="Q131" s="4">
        <v>45834.797106481485</v>
      </c>
      <c r="R131"/>
      <c r="S131">
        <v>1080</v>
      </c>
      <c r="T131" s="4">
        <v>45834.797106481485</v>
      </c>
      <c r="U131" s="4"/>
      <c r="V131"/>
      <c r="W131">
        <v>1080</v>
      </c>
      <c r="X131"/>
      <c r="Y131" t="inlineStr">
        <is>
          <t>Pending Appointment</t>
        </is>
      </c>
      <c r="Z131" t="inlineStr">
        <is>
          <t>Hiring Now</t>
        </is>
      </c>
      <c r="AA131">
        <v>1</v>
      </c>
      <c r="AB131" t="inlineStr">
        <is>
          <t>No Appointment Made</t>
        </is>
      </c>
      <c r="AC131"/>
      <c r="AD131" t="inlineStr">
        <is>
          <t>1 admin cum account</t>
        </is>
      </c>
      <c r="AE131"/>
      <c r="AF131"/>
      <c r="AG131" s="4"/>
      <c r="AH131" s="4"/>
      <c r="AI131"/>
      <c r="AJ131">
        <v>1</v>
      </c>
      <c r="AK131" t="inlineStr">
        <is>
          <t>No, I don't need at all</t>
        </is>
      </c>
      <c r="AL131"/>
      <c r="AM131" t="inlineStr">
        <is>
          <t>No, I don't need at all</t>
        </is>
      </c>
      <c r="AN131"/>
      <c r="AO131" t="inlineStr">
        <is>
          <t>No, I don't need at all</t>
        </is>
      </c>
      <c r="AP131" t="inlineStr">
        <is>
          <t>Once per quarter (75%)</t>
        </is>
      </c>
      <c r="AQ131"/>
      <c r="AR131" t="inlineStr">
        <is>
          <t>Free Job Portal</t>
        </is>
      </c>
      <c r="AS131" t="inlineStr">
        <is>
          <t>- Headcount: 1
- Hiring Job Details: 1 admin cum account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131">
        <v>95</v>
      </c>
      <c r="AU131" t="inlineStr">
        <is>
          <t>0.95</t>
        </is>
      </c>
      <c r="AV131" t="inlineStr">
        <is>
          <t>5</t>
        </is>
      </c>
      <c r="AW131" t="inlineStr">
        <is>
          <t>0</t>
        </is>
      </c>
      <c r="AX131" t="inlineStr">
        <is>
          <t>Not Qualified</t>
        </is>
      </c>
      <c r="AY131" s="4"/>
      <c r="AZ131"/>
      <c r="BA131"/>
      <c r="BB131"/>
      <c r="BC131" t="inlineStr">
        <is>
          <t>- Headcount: 1
- Hiring Job Details: 1 admin cum account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BD131" s="4">
        <v>46140.66670138889</v>
      </c>
      <c r="BE131" t="inlineStr">
        <is>
          <t>paid</t>
        </is>
      </c>
      <c r="BF131"/>
      <c r="BG131" t="inlineStr">
        <is>
          <t>Reschedule</t>
        </is>
      </c>
      <c r="BH131" t="inlineStr">
        <is>
          <t>Edward Hoo</t>
        </is>
      </c>
      <c r="BI131" t="inlineStr">
        <is>
          <t>Travel / Tourism</t>
        </is>
      </c>
      <c r="BJ131" s="4">
        <v>46144.75082175926</v>
      </c>
      <c r="BK131" s="4">
        <v>44627.79115740741</v>
      </c>
      <c r="BL131" t="inlineStr">
        <is>
          <t>1080.0</t>
        </is>
      </c>
      <c r="BM131" t="inlineStr">
        <is>
          <t>0.0</t>
        </is>
      </c>
      <c r="BN131" t="inlineStr">
        <is>
          <t>View Candidate Search Page</t>
        </is>
      </c>
      <c r="BO131" s="4">
        <v>46106.62287037037</v>
      </c>
      <c r="BP131">
        <v>169289</v>
      </c>
      <c r="BQ131">
        <v>80404</v>
      </c>
      <c r="BR131" t="inlineStr">
        <is>
          <t>Online</t>
        </is>
      </c>
      <c r="BS131"/>
      <c r="BT131">
        <v>80404</v>
      </c>
      <c r="BU131"/>
      <c r="BV131">
        <v>2733284</v>
      </c>
      <c r="BW131" t="inlineStr">
        <is>
          <t>Customer Inquiry</t>
        </is>
      </c>
      <c r="BX131"/>
      <c r="BY131"/>
      <c r="BZ131" s="4"/>
      <c r="CA131"/>
      <c r="CB131"/>
      <c r="CC131" s="4"/>
      <c r="CD131" t="inlineStr">
        <is>
          <t>5</t>
        </is>
      </c>
      <c r="CE131" t="inlineStr">
        <is>
          <t>0</t>
        </is>
      </c>
      <c r="CF131" t="inlineStr">
        <is>
          <t>Q2-W04</t>
        </is>
      </c>
      <c r="CG131"/>
      <c r="CH131"/>
      <c r="CI131"/>
      <c r="CJ131" t="inlineStr">
        <is>
          <t>Paid</t>
        </is>
      </c>
      <c r="CK131" t="inlineStr">
        <is>
          <t>Not Eligible</t>
        </is>
      </c>
      <c r="CL131"/>
      <c r="CM131"/>
    </row>
    <row r="132" ht="25.5" customHeight="1">
      <c r="A132" t="inlineStr">
        <is>
          <t>13409</t>
        </is>
      </c>
      <c r="B132" s="2"/>
      <c r="C132"/>
      <c r="D132" s="3">
        <v>46140.64824074074</v>
      </c>
      <c r="E132" t="inlineStr">
        <is>
          <t>Q2-W04</t>
        </is>
      </c>
      <c r="F132" t="inlineStr">
        <is>
          <t>Eugene</t>
        </is>
      </c>
      <c r="G132" t="inlineStr">
        <is>
          <t>Customer</t>
        </is>
      </c>
      <c r="H132" s="2" t="str">
        <f>=HYPERLINK("https://upbox.ajobthing.my/customer/13409", "https://upbox.ajobthing.my/customer/13409")</f>
        <v>https://upbox.ajobthing.my/customer/13409</v>
      </c>
      <c r="I132" t="inlineStr">
        <is>
          <t>Prima Wawasan Sdn Bhd</t>
        </is>
      </c>
      <c r="J132" t="inlineStr">
        <is>
          <t>Dolphin</t>
        </is>
      </c>
      <c r="K132" t="inlineStr">
        <is>
          <t>Eugene</t>
        </is>
      </c>
      <c r="L132" s="4"/>
      <c r="M132" s="4">
        <v>46140.650300925925</v>
      </c>
      <c r="N132"/>
      <c r="O132">
        <v>1728</v>
      </c>
      <c r="P132" s="4"/>
      <c r="Q132" s="4"/>
      <c r="R132"/>
      <c r="S132"/>
      <c r="T132" s="4"/>
      <c r="U132" s="4"/>
      <c r="V132"/>
      <c r="W132"/>
      <c r="X132"/>
      <c r="Y132" t="inlineStr">
        <is>
          <t>Pending Appointment</t>
        </is>
      </c>
      <c r="Z132" t="inlineStr">
        <is>
          <t>Hiring Later</t>
        </is>
      </c>
      <c r="AA132">
        <v>2</v>
      </c>
      <c r="AB132" t="inlineStr">
        <is>
          <t>No Appointment Made</t>
        </is>
      </c>
      <c r="AC132"/>
      <c r="AD132" t="inlineStr">
        <is>
          <t>1 cashier, 1 admin, based in Melaka</t>
        </is>
      </c>
      <c r="AE132"/>
      <c r="AF132">
        <v>2000</v>
      </c>
      <c r="AG132" s="4"/>
      <c r="AH132" s="4"/>
      <c r="AI132">
        <v>2000</v>
      </c>
      <c r="AJ132">
        <v>1</v>
      </c>
      <c r="AK132" t="inlineStr">
        <is>
          <t>No, I don't need at all</t>
        </is>
      </c>
      <c r="AL132">
        <v>1</v>
      </c>
      <c r="AM132" t="inlineStr">
        <is>
          <t>No, I don't need at all</t>
        </is>
      </c>
      <c r="AN132"/>
      <c r="AO132" t="inlineStr">
        <is>
          <t>No, I don't need at all</t>
        </is>
      </c>
      <c r="AP132" t="inlineStr">
        <is>
          <t>Twice a year (50%)</t>
        </is>
      </c>
      <c r="AQ132">
        <v>2</v>
      </c>
      <c r="AR132" t="inlineStr">
        <is>
          <t>Jobstreet</t>
        </is>
      </c>
      <c r="AS132" t="inlineStr">
        <is>
          <t>- Headcount: 2
- Hiring Job Details: 1 cashier, 1 admin, based in Melaka
- Hiring Urgency: Hiring Later
- Number of outlets: 1
- Have recruiter team: No, I don't need at all
- Number of recruiter in company: 1
- Have ATS system: No, I don't need at all
- Have career website: No, I don't need at all
- Current hiring budget: RM2,000
- Whole year budget: RM2,000.00
- Whole year number of vacancies: 2
- Hiring frequency: Twice a year (50%)
- External job portal: Jobstreet</t>
        </is>
      </c>
      <c r="AT132">
        <v>110</v>
      </c>
      <c r="AU132" t="inlineStr">
        <is>
          <t>1.10</t>
        </is>
      </c>
      <c r="AV132" t="inlineStr">
        <is>
          <t>15</t>
        </is>
      </c>
      <c r="AW132" t="inlineStr">
        <is>
          <t>0</t>
        </is>
      </c>
      <c r="AX132" t="inlineStr">
        <is>
          <t>Not Qualified</t>
        </is>
      </c>
      <c r="AY132" s="4"/>
      <c r="AZ132"/>
      <c r="BA132"/>
      <c r="BB132"/>
      <c r="BC132" t="inlineStr">
        <is>
          <t>share quote</t>
        </is>
      </c>
      <c r="BD132" s="4">
        <v>46140.6505787037</v>
      </c>
      <c r="BE132"/>
      <c r="BF132"/>
      <c r="BG132" t="inlineStr">
        <is>
          <t>Reschedule</t>
        </is>
      </c>
      <c r="BH132" t="inlineStr">
        <is>
          <t>Edward Hoo</t>
        </is>
      </c>
      <c r="BI132" t="inlineStr">
        <is>
          <t>General / Wholesale Trading</t>
        </is>
      </c>
      <c r="BJ132" s="4">
        <v>46144.75053240741</v>
      </c>
      <c r="BK132" s="4">
        <v>42478.85655092593</v>
      </c>
      <c r="BL132" t="inlineStr">
        <is>
          <t>0.0</t>
        </is>
      </c>
      <c r="BM132" t="inlineStr">
        <is>
          <t>3600.0</t>
        </is>
      </c>
      <c r="BN132" t="inlineStr">
        <is>
          <t>View Company Page</t>
        </is>
      </c>
      <c r="BO132" s="4">
        <v>45246.72408564815</v>
      </c>
      <c r="BP132">
        <v>169293</v>
      </c>
      <c r="BQ132"/>
      <c r="BR132"/>
      <c r="BS132"/>
      <c r="BT132"/>
      <c r="BU132"/>
      <c r="BV132">
        <v>2733136</v>
      </c>
      <c r="BW132" t="inlineStr">
        <is>
          <t>Inquire for Hiring Needs : Quotation Sent 50%</t>
        </is>
      </c>
      <c r="BX132"/>
      <c r="BY132"/>
      <c r="BZ132" s="4"/>
      <c r="CA132"/>
      <c r="CB132"/>
      <c r="CC132" s="4"/>
      <c r="CD132" t="inlineStr">
        <is>
          <t>20</t>
        </is>
      </c>
      <c r="CE132" t="inlineStr">
        <is>
          <t>0</t>
        </is>
      </c>
      <c r="CF132" t="inlineStr">
        <is>
          <t>Q2-W04</t>
        </is>
      </c>
      <c r="CG132"/>
      <c r="CH132"/>
      <c r="CI132"/>
      <c r="CJ132" t="inlineStr">
        <is>
          <t>No Paid</t>
        </is>
      </c>
      <c r="CK132" t="inlineStr">
        <is>
          <t>Not Eligible</t>
        </is>
      </c>
      <c r="CL132"/>
      <c r="CM132"/>
    </row>
    <row r="133" ht="25.5" customHeight="1">
      <c r="A133" t="inlineStr">
        <is>
          <t>132493</t>
        </is>
      </c>
      <c r="B133" s="2"/>
      <c r="C133"/>
      <c r="D133" s="3">
        <v>46140.65305555556</v>
      </c>
      <c r="E133" t="inlineStr">
        <is>
          <t>Q2-W04</t>
        </is>
      </c>
      <c r="F133" t="inlineStr">
        <is>
          <t>Luqman</t>
        </is>
      </c>
      <c r="G133" t="inlineStr">
        <is>
          <t>Customer</t>
        </is>
      </c>
      <c r="H133" s="2" t="str">
        <f>=HYPERLINK("https://upbox.ajobthing.my/customer/132493", "https://upbox.ajobthing.my/customer/132493")</f>
        <v>https://upbox.ajobthing.my/customer/132493</v>
      </c>
      <c r="I133" t="inlineStr">
        <is>
          <t>IBS Management Sdn Bhd</t>
        </is>
      </c>
      <c r="J133" t="inlineStr">
        <is>
          <t>Dolphin</t>
        </is>
      </c>
      <c r="K133" t="inlineStr">
        <is>
          <t>Luqman</t>
        </is>
      </c>
      <c r="L133" s="4"/>
      <c r="M133" s="4">
        <v>46140.653125</v>
      </c>
      <c r="N133"/>
      <c r="O133">
        <v>3888</v>
      </c>
      <c r="P133" s="4"/>
      <c r="Q133" s="4">
        <v>44981.66037037037</v>
      </c>
      <c r="R133"/>
      <c r="S133">
        <v>1908</v>
      </c>
      <c r="T133" s="4">
        <v>44981.66037037037</v>
      </c>
      <c r="U133" s="4"/>
      <c r="V133"/>
      <c r="W133">
        <v>1908</v>
      </c>
      <c r="X133"/>
      <c r="Y133" t="inlineStr">
        <is>
          <t>Pending Appointment</t>
        </is>
      </c>
      <c r="Z133" t="inlineStr">
        <is>
          <t>Hiring Later</t>
        </is>
      </c>
      <c r="AA133">
        <v>1</v>
      </c>
      <c r="AB133" t="inlineStr">
        <is>
          <t>No Appointment Made</t>
        </is>
      </c>
      <c r="AC133"/>
      <c r="AD133" t="inlineStr">
        <is>
          <t xml:space="preserve">1. Admin </t>
        </is>
      </c>
      <c r="AE133"/>
      <c r="AF133">
        <v>3600</v>
      </c>
      <c r="AG133" s="4"/>
      <c r="AH133" s="4"/>
      <c r="AI133">
        <v>3600</v>
      </c>
      <c r="AJ133"/>
      <c r="AK133" t="inlineStr">
        <is>
          <t>No, but I want in future</t>
        </is>
      </c>
      <c r="AL133">
        <v>2</v>
      </c>
      <c r="AM133" t="inlineStr">
        <is>
          <t>No, but I want in future</t>
        </is>
      </c>
      <c r="AN133"/>
      <c r="AO133" t="inlineStr">
        <is>
          <t>No, but I want in future</t>
        </is>
      </c>
      <c r="AP133" t="inlineStr">
        <is>
          <t>Once a year (25%)</t>
        </is>
      </c>
      <c r="AQ133">
        <v>2</v>
      </c>
      <c r="AR133" t="inlineStr">
        <is>
          <t>Jobstreet</t>
        </is>
      </c>
      <c r="AS133" t="inlineStr">
        <is>
          <t>- Headcount: 1
- Hiring Job Details: 1 Admin
- Hiring Urgency: Hiring Later
- Number of outlets: N/A
- Have recruiter team: No, but want in future
- Number of recruiter in company: 2
- Have ATS system: No, but want in future
- Have career website: No, but want in future
- Current hiring budget: RM3,600
- Whole year budget: RM3,600.00
- Whole year number of vacancies: 2
- Hiring frequency: Once a year (25%)
- External job portal: Jobstreet</t>
        </is>
      </c>
      <c r="AT133">
        <v>95</v>
      </c>
      <c r="AU133" t="inlineStr">
        <is>
          <t>0.95</t>
        </is>
      </c>
      <c r="AV133" t="inlineStr">
        <is>
          <t>15</t>
        </is>
      </c>
      <c r="AW133" t="inlineStr">
        <is>
          <t>0</t>
        </is>
      </c>
      <c r="AX133" t="inlineStr">
        <is>
          <t>Not Qualified</t>
        </is>
      </c>
      <c r="AY133" s="4"/>
      <c r="AZ133"/>
      <c r="BA133"/>
      <c r="BB133"/>
      <c r="BC133" t="inlineStr">
        <is>
          <t>- Headcount: 1
- Hiring Job Details: 1 Admin
- Hiring Urgency: Hiring Later
- Number of outlets: N/A
- Have recruiter team: No, but want in future
- Number of recruiter in company: 2
- Have ATS system: No, but want in future
- Have career website: No, but want in future
- Current hiring budget: RM3,600
- Whole year budget: RM3,600.00
- Whole year number of vacancies: 2
- Hiring frequency: Once a year (25%)
- External job portal: Jobstreet</t>
        </is>
      </c>
      <c r="BD133" s="4">
        <v>46140.66670138889</v>
      </c>
      <c r="BE133" t="inlineStr">
        <is>
          <t>paid</t>
        </is>
      </c>
      <c r="BF133"/>
      <c r="BG133" t="inlineStr">
        <is>
          <t>Reschedule</t>
        </is>
      </c>
      <c r="BH133" t="inlineStr">
        <is>
          <t>Edward Hoo</t>
        </is>
      </c>
      <c r="BI133" t="inlineStr">
        <is>
          <t>Banking / Finance</t>
        </is>
      </c>
      <c r="BJ133" s="4">
        <v>46144.75050925926</v>
      </c>
      <c r="BK133" s="4">
        <v>44179.60538194444</v>
      </c>
      <c r="BL133" t="inlineStr">
        <is>
          <t>0.0</t>
        </is>
      </c>
      <c r="BM133" t="inlineStr">
        <is>
          <t>0.0</t>
        </is>
      </c>
      <c r="BN133" t="inlineStr">
        <is>
          <t>View Notifications</t>
        </is>
      </c>
      <c r="BO133" s="4">
        <v>46140.63238425926</v>
      </c>
      <c r="BP133">
        <v>169296</v>
      </c>
      <c r="BQ133">
        <v>55909</v>
      </c>
      <c r="BR133" t="inlineStr">
        <is>
          <t>Online</t>
        </is>
      </c>
      <c r="BS133"/>
      <c r="BT133">
        <v>55909</v>
      </c>
      <c r="BU133"/>
      <c r="BV133">
        <v>2733287</v>
      </c>
      <c r="BW133" t="inlineStr">
        <is>
          <t>Customer Inquiry</t>
        </is>
      </c>
      <c r="BX133"/>
      <c r="BY133"/>
      <c r="BZ133" s="4"/>
      <c r="CA133"/>
      <c r="CB133"/>
      <c r="CC133" s="4"/>
      <c r="CD133" t="inlineStr">
        <is>
          <t>20</t>
        </is>
      </c>
      <c r="CE133" t="inlineStr">
        <is>
          <t>0</t>
        </is>
      </c>
      <c r="CF133" t="inlineStr">
        <is>
          <t>Q2-W04</t>
        </is>
      </c>
      <c r="CG133"/>
      <c r="CH133"/>
      <c r="CI133"/>
      <c r="CJ133" t="inlineStr">
        <is>
          <t>Paid</t>
        </is>
      </c>
      <c r="CK133" t="inlineStr">
        <is>
          <t>Not Eligible</t>
        </is>
      </c>
      <c r="CL133"/>
      <c r="CM133"/>
    </row>
    <row r="134" ht="25.5" customHeight="1">
      <c r="A134" t="inlineStr">
        <is>
          <t>4329091</t>
        </is>
      </c>
      <c r="B134" s="2"/>
      <c r="C134"/>
      <c r="D134" s="3">
        <v>46140.656226851854</v>
      </c>
      <c r="E134" t="inlineStr">
        <is>
          <t>Q2-W04</t>
        </is>
      </c>
      <c r="F134" t="inlineStr">
        <is>
          <t>Alan KY</t>
        </is>
      </c>
      <c r="G134" t="inlineStr">
        <is>
          <t>Lead</t>
        </is>
      </c>
      <c r="H134" s="2" t="str">
        <f>=HYPERLINK("https://upbox.ajobthing.my/leads/4329091", "https://upbox.ajobthing.my/leads/4329091")</f>
        <v>https://upbox.ajobthing.my/leads/4329091</v>
      </c>
      <c r="I134" t="inlineStr">
        <is>
          <t>Briauto Sdn Bhd</t>
        </is>
      </c>
      <c r="J134" t="inlineStr">
        <is>
          <t>Dolphin</t>
        </is>
      </c>
      <c r="K134" t="inlineStr">
        <is>
          <t>Alan KY</t>
        </is>
      </c>
      <c r="L134" s="4"/>
      <c r="M134" s="4">
        <v>46140.615578703706</v>
      </c>
      <c r="N134"/>
      <c r="O134">
        <v>3576.96</v>
      </c>
      <c r="P134" s="4"/>
      <c r="Q134" s="4"/>
      <c r="R134"/>
      <c r="S134"/>
      <c r="T134" s="4"/>
      <c r="U134" s="4"/>
      <c r="V134"/>
      <c r="W134"/>
      <c r="X134"/>
      <c r="Y134" t="inlineStr">
        <is>
          <t>Pending Appointment</t>
        </is>
      </c>
      <c r="Z134" t="inlineStr">
        <is>
          <t>Hiring Now</t>
        </is>
      </c>
      <c r="AA134">
        <v>4</v>
      </c>
      <c r="AB134" t="inlineStr">
        <is>
          <t>No Appointment Made</t>
        </is>
      </c>
      <c r="AC134"/>
      <c r="AD134" t="inlineStr">
        <is>
          <t xml:space="preserve">sales admin 2-4 prefer malay 
runner - 2
based in Klang, selangor </t>
        </is>
      </c>
      <c r="AE134"/>
      <c r="AF134"/>
      <c r="AG134" s="4"/>
      <c r="AH134" s="4"/>
      <c r="AI134"/>
      <c r="AJ134">
        <v>1</v>
      </c>
      <c r="AK134" t="inlineStr">
        <is>
          <t>No, I don't need at all</t>
        </is>
      </c>
      <c r="AL134"/>
      <c r="AM134" t="inlineStr">
        <is>
          <t>No, I don't need at all</t>
        </is>
      </c>
      <c r="AN134"/>
      <c r="AO134" t="inlineStr">
        <is>
          <t>No, I don't need at all</t>
        </is>
      </c>
      <c r="AP134" t="inlineStr">
        <is>
          <t>Once per quarter (75%)</t>
        </is>
      </c>
      <c r="AQ134"/>
      <c r="AR134" t="inlineStr">
        <is>
          <t>Free Job Portal</t>
        </is>
      </c>
      <c r="AS134" t="inlineStr">
        <is>
          <t>- Headcount: 4
- Hiring Job Details: sales admin 2-4 (prefer malay), runner 2 (based in Klang, selangor)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is>
      </c>
      <c r="AT134">
        <v>95</v>
      </c>
      <c r="AU134" t="inlineStr">
        <is>
          <t>0.95</t>
        </is>
      </c>
      <c r="AV134" t="inlineStr">
        <is>
          <t>5</t>
        </is>
      </c>
      <c r="AW134" t="inlineStr">
        <is>
          <t>0</t>
        </is>
      </c>
      <c r="AX134" t="inlineStr">
        <is>
          <t>Not Qualified</t>
        </is>
      </c>
      <c r="AY134" s="4"/>
      <c r="AZ134"/>
      <c r="BA134"/>
      <c r="BB134"/>
      <c r="BC134"/>
      <c r="BD134" s="4"/>
      <c r="BE134"/>
      <c r="BF134"/>
      <c r="BG134" t="inlineStr">
        <is>
          <t>Reschedule</t>
        </is>
      </c>
      <c r="BH134" t="inlineStr">
        <is>
          <t>Reagen</t>
        </is>
      </c>
      <c r="BI134"/>
      <c r="BJ134" s="4">
        <v>46144.75592592593</v>
      </c>
      <c r="BK134" s="4">
        <v>46140.48737268519</v>
      </c>
      <c r="BL134" t="inlineStr">
        <is>
          <t>0.0</t>
        </is>
      </c>
      <c r="BM134" t="inlineStr">
        <is>
          <t>0.0</t>
        </is>
      </c>
      <c r="BN134"/>
      <c r="BO134" s="4"/>
      <c r="BP134">
        <v>169261</v>
      </c>
      <c r="BQ134"/>
      <c r="BR134"/>
      <c r="BS134"/>
      <c r="BT134"/>
      <c r="BU134"/>
      <c r="BV134"/>
      <c r="BW134"/>
      <c r="BX134"/>
      <c r="BY134"/>
      <c r="BZ134" s="4"/>
      <c r="CA134"/>
      <c r="CB134"/>
      <c r="CC134" s="4"/>
      <c r="CD134" t="inlineStr">
        <is>
          <t>5</t>
        </is>
      </c>
      <c r="CE134" t="inlineStr">
        <is>
          <t>0</t>
        </is>
      </c>
      <c r="CF134" t="inlineStr">
        <is>
          <t>Q2-W04</t>
        </is>
      </c>
      <c r="CG134"/>
      <c r="CH134"/>
      <c r="CI134"/>
      <c r="CJ134" t="inlineStr">
        <is>
          <t>No Paid</t>
        </is>
      </c>
      <c r="CK134" t="inlineStr">
        <is>
          <t>Not Eligible</t>
        </is>
      </c>
      <c r="CL134"/>
      <c r="CM134"/>
    </row>
    <row r="135" ht="25.5" customHeight="1">
      <c r="A135" t="inlineStr">
        <is>
          <t>182839</t>
        </is>
      </c>
      <c r="B135" s="2"/>
      <c r="C135"/>
      <c r="D135" s="3">
        <v>46140.65824074074</v>
      </c>
      <c r="E135" t="inlineStr">
        <is>
          <t>Q2-W04</t>
        </is>
      </c>
      <c r="F135" t="inlineStr">
        <is>
          <t>Xin Quan</t>
        </is>
      </c>
      <c r="G135" t="inlineStr">
        <is>
          <t>Customer</t>
        </is>
      </c>
      <c r="H135" s="2" t="str">
        <f>=HYPERLINK("https://upbox.ajobthing.my/customer/182839", "https://upbox.ajobthing.my/customer/182839")</f>
        <v>https://upbox.ajobthing.my/customer/182839</v>
      </c>
      <c r="I135" t="inlineStr">
        <is>
          <t>Ultranet Solution</t>
        </is>
      </c>
      <c r="J135" t="inlineStr">
        <is>
          <t>Dolphin</t>
        </is>
      </c>
      <c r="K135" t="inlineStr">
        <is>
          <t>Xin Quan</t>
        </is>
      </c>
      <c r="L135" s="4"/>
      <c r="M135" s="4">
        <v>46140.656875</v>
      </c>
      <c r="N135"/>
      <c r="O135">
        <v>3888</v>
      </c>
      <c r="P135" s="4"/>
      <c r="Q135" s="4">
        <v>45554.69038194444</v>
      </c>
      <c r="R135"/>
      <c r="S135">
        <v>2916</v>
      </c>
      <c r="T135" s="4">
        <v>45554.69038194444</v>
      </c>
      <c r="U135" s="4"/>
      <c r="V135"/>
      <c r="W135">
        <v>2916</v>
      </c>
      <c r="X135"/>
      <c r="Y135" t="inlineStr">
        <is>
          <t>Pending Appointment</t>
        </is>
      </c>
      <c r="Z135" t="inlineStr">
        <is>
          <t>Hiring Now</t>
        </is>
      </c>
      <c r="AA135">
        <v>1</v>
      </c>
      <c r="AB135" t="inlineStr">
        <is>
          <t>No Appointment Made</t>
        </is>
      </c>
      <c r="AC135"/>
      <c r="AD135" t="inlineStr">
        <is>
          <t>1 Insurance Sales , Base in KL</t>
        </is>
      </c>
      <c r="AE135"/>
      <c r="AF135">
        <v>2000</v>
      </c>
      <c r="AG135" s="4"/>
      <c r="AH135" s="4"/>
      <c r="AI135">
        <v>24000</v>
      </c>
      <c r="AJ135">
        <v>1</v>
      </c>
      <c r="AK135" t="inlineStr">
        <is>
          <t>No, I don't need at all</t>
        </is>
      </c>
      <c r="AL135">
        <v>1</v>
      </c>
      <c r="AM135" t="inlineStr">
        <is>
          <t>No, I don't need at all</t>
        </is>
      </c>
      <c r="AN135"/>
      <c r="AO135" t="inlineStr">
        <is>
          <t>No, I don't need at all</t>
        </is>
      </c>
      <c r="AP135" t="inlineStr">
        <is>
          <t>Once a year (25%)</t>
        </is>
      </c>
      <c r="AQ135">
        <v>6</v>
      </c>
      <c r="AR135"/>
      <c r="AS135" t="inlineStr">
        <is>
          <t>- Headcount: 1
- Hiring Job Details: 1 Insurance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6
- Hiring frequency: Once a year (25%)
- External job portal: None</t>
        </is>
      </c>
      <c r="AT135">
        <v>100</v>
      </c>
      <c r="AU135" t="inlineStr">
        <is>
          <t>1.00</t>
        </is>
      </c>
      <c r="AV135" t="inlineStr">
        <is>
          <t>15</t>
        </is>
      </c>
      <c r="AW135" t="inlineStr">
        <is>
          <t>0</t>
        </is>
      </c>
      <c r="AX135" t="inlineStr">
        <is>
          <t>Not Qualified</t>
        </is>
      </c>
      <c r="AY135" s="4"/>
      <c r="AZ135"/>
      <c r="BA135"/>
      <c r="BB135"/>
      <c r="BC135" t="inlineStr">
        <is>
          <t>FlwUp</t>
        </is>
      </c>
      <c r="BD135" s="4">
        <v>46141.45582175926</v>
      </c>
      <c r="BE135" t="inlineStr">
        <is>
          <t>paid</t>
        </is>
      </c>
      <c r="BF135"/>
      <c r="BG135" t="inlineStr">
        <is>
          <t>Reschedule</t>
        </is>
      </c>
      <c r="BH135" t="inlineStr">
        <is>
          <t>Edward Hoo</t>
        </is>
      </c>
      <c r="BI135" t="inlineStr">
        <is>
          <t>Telecommunication</t>
        </is>
      </c>
      <c r="BJ135" s="4">
        <v>46144.75194444445</v>
      </c>
      <c r="BK135" s="4">
        <v>45553.73841435185</v>
      </c>
      <c r="BL135" t="inlineStr">
        <is>
          <t>0.0</t>
        </is>
      </c>
      <c r="BM135" t="inlineStr">
        <is>
          <t>0.0</t>
        </is>
      </c>
      <c r="BN135" t="inlineStr">
        <is>
          <t>View Jobmanager Page</t>
        </is>
      </c>
      <c r="BO135" s="4">
        <v>45715.89505787037</v>
      </c>
      <c r="BP135">
        <v>169301</v>
      </c>
      <c r="BQ135">
        <v>73132</v>
      </c>
      <c r="BR135" t="inlineStr">
        <is>
          <t>Online</t>
        </is>
      </c>
      <c r="BS135"/>
      <c r="BT135">
        <v>73132</v>
      </c>
      <c r="BU135"/>
      <c r="BV135">
        <v>2734555</v>
      </c>
      <c r="BW135" t="inlineStr">
        <is>
          <t>Follow Up : Decision Pending</t>
        </is>
      </c>
      <c r="BX135"/>
      <c r="BY135"/>
      <c r="BZ135" s="4"/>
      <c r="CA135"/>
      <c r="CB135"/>
      <c r="CC135" s="4"/>
      <c r="CD135" t="inlineStr">
        <is>
          <t>20</t>
        </is>
      </c>
      <c r="CE135" t="inlineStr">
        <is>
          <t>0</t>
        </is>
      </c>
      <c r="CF135" t="inlineStr">
        <is>
          <t>Q2-W04</t>
        </is>
      </c>
      <c r="CG135"/>
      <c r="CH135"/>
      <c r="CI135"/>
      <c r="CJ135" t="inlineStr">
        <is>
          <t>Paid</t>
        </is>
      </c>
      <c r="CK135" t="inlineStr">
        <is>
          <t>Not Eligible</t>
        </is>
      </c>
      <c r="CL135"/>
      <c r="CM135"/>
    </row>
    <row r="136" ht="25.5" customHeight="1">
      <c r="A136" t="inlineStr">
        <is>
          <t>193090</t>
        </is>
      </c>
      <c r="B136" s="2"/>
      <c r="C136"/>
      <c r="D136" s="3">
        <v>46140.6634837963</v>
      </c>
      <c r="E136" t="inlineStr">
        <is>
          <t>Q2-W04</t>
        </is>
      </c>
      <c r="F136" t="inlineStr">
        <is>
          <t>Xin Hui</t>
        </is>
      </c>
      <c r="G136" t="inlineStr">
        <is>
          <t>Customer</t>
        </is>
      </c>
      <c r="H136" s="2" t="str">
        <f>=HYPERLINK("https://upbox.ajobthing.my/customer/193090", "https://upbox.ajobthing.my/customer/193090")</f>
        <v>https://upbox.ajobthing.my/customer/193090</v>
      </c>
      <c r="I136" t="inlineStr">
        <is>
          <t>Uzma Creations (m) Sdn Bhd</t>
        </is>
      </c>
      <c r="J136" t="inlineStr">
        <is>
          <t>Dolphin</t>
        </is>
      </c>
      <c r="K136" t="inlineStr">
        <is>
          <t>Xin Hui</t>
        </is>
      </c>
      <c r="L136" s="4"/>
      <c r="M136" s="4">
        <v>46140.66621527778</v>
      </c>
      <c r="N136"/>
      <c r="O136">
        <v>3888</v>
      </c>
      <c r="P136" s="4"/>
      <c r="Q136" s="4"/>
      <c r="R136"/>
      <c r="S136"/>
      <c r="T136" s="4"/>
      <c r="U136" s="4"/>
      <c r="V136"/>
      <c r="W136"/>
      <c r="X136"/>
      <c r="Y136" t="inlineStr">
        <is>
          <t>Pending Appointment</t>
        </is>
      </c>
      <c r="Z136" t="inlineStr">
        <is>
          <t>Hiring Now</t>
        </is>
      </c>
      <c r="AA136">
        <v>2</v>
      </c>
      <c r="AB136" t="inlineStr">
        <is>
          <t>No Appointment Made</t>
        </is>
      </c>
      <c r="AC136"/>
      <c r="AD136" t="inlineStr">
        <is>
          <t xml:space="preserve">team sales / live host </t>
        </is>
      </c>
      <c r="AE136"/>
      <c r="AF136"/>
      <c r="AG136" s="4"/>
      <c r="AH136" s="4"/>
      <c r="AI136"/>
      <c r="AJ136"/>
      <c r="AK136" t="inlineStr">
        <is>
          <t>No, I don't need at all</t>
        </is>
      </c>
      <c r="AL136"/>
      <c r="AM136" t="inlineStr">
        <is>
          <t>No, I don't need at all</t>
        </is>
      </c>
      <c r="AN136"/>
      <c r="AO136" t="inlineStr">
        <is>
          <t>No, I don't need at all</t>
        </is>
      </c>
      <c r="AP136" t="inlineStr">
        <is>
          <t>Once a year (25%)</t>
        </is>
      </c>
      <c r="AQ136"/>
      <c r="AR136"/>
      <c r="AS136" t="inlineStr">
        <is>
          <t>- Headcount: 2
- Hiring Job Details: team sales / live host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is>
      </c>
      <c r="AT136">
        <v>75</v>
      </c>
      <c r="AU136" t="inlineStr">
        <is>
          <t>0.75</t>
        </is>
      </c>
      <c r="AV136" t="inlineStr">
        <is>
          <t>5</t>
        </is>
      </c>
      <c r="AW136" t="inlineStr">
        <is>
          <t>0</t>
        </is>
      </c>
      <c r="AX136" t="inlineStr">
        <is>
          <t>Not Qualified</t>
        </is>
      </c>
      <c r="AY136" s="4"/>
      <c r="AZ136"/>
      <c r="BA136"/>
      <c r="BB136"/>
      <c r="BC136" t="inlineStr">
        <is>
          <t>PIC: Niswa // position :team sales / live host  - RM1700-2500   // replacement //sales need travel outside office // at least 1-year experience// all language // location ; kelantan //</t>
        </is>
      </c>
      <c r="BD136" s="4">
        <v>46140.66809027778</v>
      </c>
      <c r="BE136"/>
      <c r="BF136"/>
      <c r="BG136" t="inlineStr">
        <is>
          <t>Reschedule</t>
        </is>
      </c>
      <c r="BH136" t="inlineStr">
        <is>
          <t>Yee Hang</t>
        </is>
      </c>
      <c r="BI136" t="inlineStr">
        <is>
          <t>Arts / Design / Fashion</t>
        </is>
      </c>
      <c r="BJ136" s="4">
        <v>46144.75261574074</v>
      </c>
      <c r="BK136" s="4">
        <v>45834.523506944446</v>
      </c>
      <c r="BL136" t="inlineStr">
        <is>
          <t>0.0</t>
        </is>
      </c>
      <c r="BM136" t="inlineStr">
        <is>
          <t>1200.0</t>
        </is>
      </c>
      <c r="BN136" t="inlineStr">
        <is>
          <t>View Jobmanager Page</t>
        </is>
      </c>
      <c r="BO136" s="4">
        <v>45834.53855324074</v>
      </c>
      <c r="BP136">
        <v>169311</v>
      </c>
      <c r="BQ136"/>
      <c r="BR136"/>
      <c r="BS136"/>
      <c r="BT136"/>
      <c r="BU136"/>
      <c r="BV136">
        <v>2733317</v>
      </c>
      <c r="BW136" t="inlineStr">
        <is>
          <t>Inquire for Hiring Needs : Quotation Sent 50%</t>
        </is>
      </c>
      <c r="BX136"/>
      <c r="BY136"/>
      <c r="BZ136" s="4"/>
      <c r="CA136"/>
      <c r="CB136"/>
      <c r="CC136" s="4"/>
      <c r="CD136" t="inlineStr">
        <is>
          <t>5</t>
        </is>
      </c>
      <c r="CE136" t="inlineStr">
        <is>
          <t>0</t>
        </is>
      </c>
      <c r="CF136" t="inlineStr">
        <is>
          <t>Q2-W04</t>
        </is>
      </c>
      <c r="CG136"/>
      <c r="CH136"/>
      <c r="CI136"/>
      <c r="CJ136" t="inlineStr">
        <is>
          <t>No Paid</t>
        </is>
      </c>
      <c r="CK136" t="inlineStr">
        <is>
          <t>Not Eligible</t>
        </is>
      </c>
      <c r="CL136"/>
      <c r="CM136"/>
    </row>
    <row r="137" ht="25.5" customHeight="1">
      <c r="A137" t="inlineStr">
        <is>
          <t>157952</t>
        </is>
      </c>
      <c r="B137" s="2"/>
      <c r="C137"/>
      <c r="D137" s="3">
        <v>46140.67105324074</v>
      </c>
      <c r="E137" t="inlineStr">
        <is>
          <t>Q2-W04</t>
        </is>
      </c>
      <c r="F137" t="inlineStr">
        <is>
          <t>Ken Yi</t>
        </is>
      </c>
      <c r="G137" t="inlineStr">
        <is>
          <t>Customer</t>
        </is>
      </c>
      <c r="H137" s="2" t="str">
        <f>=HYPERLINK("https://upbox.ajobthing.my/customer/157952", "https://upbox.ajobthing.my/customer/157952")</f>
        <v>https://upbox.ajobthing.my/customer/157952</v>
      </c>
      <c r="I137" t="inlineStr">
        <is>
          <t>Tokyo Consulting Firm Sdn. Bhd.</t>
        </is>
      </c>
      <c r="J137" t="inlineStr">
        <is>
          <t>Dolphin</t>
        </is>
      </c>
      <c r="K137" t="inlineStr">
        <is>
          <t>Kenyi</t>
        </is>
      </c>
      <c r="L137" s="4"/>
      <c r="M137" s="4">
        <v>46140.66737268519</v>
      </c>
      <c r="N137"/>
      <c r="O137">
        <v>3576.96</v>
      </c>
      <c r="P137" s="4"/>
      <c r="Q137" s="4">
        <v>46142.63810185185</v>
      </c>
      <c r="R137"/>
      <c r="S137">
        <v>864</v>
      </c>
      <c r="T137" s="4">
        <v>46142.63810185185</v>
      </c>
      <c r="U137" s="4"/>
      <c r="V137"/>
      <c r="W137">
        <v>864</v>
      </c>
      <c r="X137"/>
      <c r="Y137" t="inlineStr">
        <is>
          <t>Pending Appointment</t>
        </is>
      </c>
      <c r="Z137" t="inlineStr">
        <is>
          <t>Hiring Now</t>
        </is>
      </c>
      <c r="AA137">
        <v>1</v>
      </c>
      <c r="AB137" t="inlineStr">
        <is>
          <t>No Appointment Made</t>
        </is>
      </c>
      <c r="AC137"/>
      <c r="AD137" t="inlineStr">
        <is>
          <t>Hiring for one only, marketing</t>
        </is>
      </c>
      <c r="AE137"/>
      <c r="AF137">
        <v>0</v>
      </c>
      <c r="AG137" s="4"/>
      <c r="AH137" s="4"/>
      <c r="AI137">
        <v>1296</v>
      </c>
      <c r="AJ137"/>
      <c r="AK137" t="inlineStr">
        <is>
          <t>Yes, I have</t>
        </is>
      </c>
      <c r="AL137">
        <v>0</v>
      </c>
      <c r="AM137" t="inlineStr">
        <is>
          <t>No, I don't need at all</t>
        </is>
      </c>
      <c r="AN137"/>
      <c r="AO137" t="inlineStr">
        <is>
          <t>No, I don't need at all</t>
        </is>
      </c>
      <c r="AP137" t="inlineStr">
        <is>
          <t>Every month (100%)</t>
        </is>
      </c>
      <c r="AQ137">
        <v>1</v>
      </c>
      <c r="AR137" t="inlineStr">
        <is>
          <t>Did not use any job portal</t>
        </is>
      </c>
      <c r="AS137" t="inlineStr">
        <is>
          <t>- Headcount: 1
- Hiring Job Details: 1 marketing
- Hiring Urgency: Hiring Now
- Number of outlets: Not provided
- Have recruiter team: Yes
- Number of recruiter in company: 0
- Have ATS system: No, I don't need at all
- Have career website: No, I don't need at all
- Current hiring budget: RM0.00
- Whole year budget: RM1,296.00
- Whole year number of vacancies: 1
- Hiring frequency: Every month (100%)
- External job portal: Did not use any job portal</t>
        </is>
      </c>
      <c r="AT137">
        <v>105</v>
      </c>
      <c r="AU137" t="inlineStr">
        <is>
          <t>1.05</t>
        </is>
      </c>
      <c r="AV137" t="inlineStr">
        <is>
          <t>15</t>
        </is>
      </c>
      <c r="AW137" t="inlineStr">
        <is>
          <t>0</t>
        </is>
      </c>
      <c r="AX137" t="inlineStr">
        <is>
          <t>Not Qualified</t>
        </is>
      </c>
      <c r="AY137" s="4"/>
      <c r="AZ137"/>
      <c r="BA137"/>
      <c r="BB137"/>
      <c r="BC137" t="inlineStr">
        <is>
          <t>End up still go with ala carte only, rejected the proposal for the 3500+</t>
        </is>
      </c>
      <c r="BD137" s="4">
        <v>46142.65971064815</v>
      </c>
      <c r="BE137" t="inlineStr">
        <is>
          <t>paid</t>
        </is>
      </c>
      <c r="BF137" t="inlineStr">
        <is>
          <t>Q2-W04</t>
        </is>
      </c>
      <c r="BG137" t="inlineStr">
        <is>
          <t>Reschedule</t>
        </is>
      </c>
      <c r="BH137" t="inlineStr">
        <is>
          <t>Fauziah Maharan</t>
        </is>
      </c>
      <c r="BI137" t="inlineStr">
        <is>
          <t>Business / Mgmt Consulting</t>
        </is>
      </c>
      <c r="BJ137" s="4">
        <v>46144.75104166667</v>
      </c>
      <c r="BK137" s="4">
        <v>44775.55273148148</v>
      </c>
      <c r="BL137" t="inlineStr">
        <is>
          <t>2970.0</t>
        </is>
      </c>
      <c r="BM137" t="inlineStr">
        <is>
          <t>600.0</t>
        </is>
      </c>
      <c r="BN137" t="inlineStr">
        <is>
          <t>View Candidate Search Page</t>
        </is>
      </c>
      <c r="BO137" s="4">
        <v>46142.77800925926</v>
      </c>
      <c r="BP137">
        <v>169313</v>
      </c>
      <c r="BQ137">
        <v>95205</v>
      </c>
      <c r="BR137" t="inlineStr">
        <is>
          <t>Online</t>
        </is>
      </c>
      <c r="BS137"/>
      <c r="BT137">
        <v>95205</v>
      </c>
      <c r="BU137"/>
      <c r="BV137">
        <v>2738029</v>
      </c>
      <c r="BW137" t="inlineStr">
        <is>
          <t>Follow Up : Win - Customer Paid</t>
        </is>
      </c>
      <c r="BX137">
        <v>3</v>
      </c>
      <c r="BY137">
        <v>2</v>
      </c>
      <c r="BZ137" s="4">
        <v>46142.669328703705</v>
      </c>
      <c r="CA137">
        <v>10</v>
      </c>
      <c r="CB137">
        <v>10</v>
      </c>
      <c r="CC137" s="4"/>
      <c r="CD137" t="inlineStr">
        <is>
          <t>20</t>
        </is>
      </c>
      <c r="CE137" t="inlineStr">
        <is>
          <t>0</t>
        </is>
      </c>
      <c r="CF137" t="inlineStr">
        <is>
          <t>Q2-W04</t>
        </is>
      </c>
      <c r="CG137" t="inlineStr">
        <is>
          <t>Q2-W04</t>
        </is>
      </c>
      <c r="CH137" t="inlineStr">
        <is>
          <t>Q2-W04</t>
        </is>
      </c>
      <c r="CI137"/>
      <c r="CJ137" t="inlineStr">
        <is>
          <t>Paid</t>
        </is>
      </c>
      <c r="CK137" t="inlineStr">
        <is>
          <t>Not Eligible</t>
        </is>
      </c>
      <c r="CL137"/>
      <c r="CM137"/>
    </row>
    <row r="138" ht="25.5" customHeight="1">
      <c r="A138" t="inlineStr">
        <is>
          <t>203748</t>
        </is>
      </c>
      <c r="B138" s="2"/>
      <c r="C138"/>
      <c r="D138" s="3">
        <v>46140.67181712963</v>
      </c>
      <c r="E138" t="inlineStr">
        <is>
          <t>Q2-W04</t>
        </is>
      </c>
      <c r="F138" t="inlineStr">
        <is>
          <t>Alan KY</t>
        </is>
      </c>
      <c r="G138" t="inlineStr">
        <is>
          <t>Customer</t>
        </is>
      </c>
      <c r="H138" s="2" t="str">
        <f>=HYPERLINK("https://upbox.ajobthing.my/customer/203748", "https://upbox.ajobthing.my/customer/203748")</f>
        <v>https://upbox.ajobthing.my/customer/203748</v>
      </c>
      <c r="I138" t="inlineStr">
        <is>
          <t>Smartaxe Consulting</t>
        </is>
      </c>
      <c r="J138" t="inlineStr">
        <is>
          <t>Dolphin</t>
        </is>
      </c>
      <c r="K138" t="inlineStr">
        <is>
          <t>Alan KY</t>
        </is>
      </c>
      <c r="L138" s="4"/>
      <c r="M138" s="4">
        <v>46140.67636574074</v>
      </c>
      <c r="N138"/>
      <c r="O138">
        <v>5412.96</v>
      </c>
      <c r="P138" s="4"/>
      <c r="Q138" s="4">
        <v>46141.722407407404</v>
      </c>
      <c r="R138"/>
      <c r="S138">
        <v>3576.96</v>
      </c>
      <c r="T138" s="4"/>
      <c r="U138" s="4"/>
      <c r="V138"/>
      <c r="W138"/>
      <c r="X138"/>
      <c r="Y138" t="inlineStr">
        <is>
          <t>Pending Appointment</t>
        </is>
      </c>
      <c r="Z138" t="inlineStr">
        <is>
          <t>Continuous Hiring</t>
        </is>
      </c>
      <c r="AA138">
        <v>6</v>
      </c>
      <c r="AB138" t="inlineStr">
        <is>
          <t>No Appointment Made</t>
        </is>
      </c>
      <c r="AC138"/>
      <c r="AD138" t="inlineStr">
        <is>
          <t xml:space="preserve">telesales  2, intern -sales 1. outdoor 3 
based in KL </t>
        </is>
      </c>
      <c r="AE138"/>
      <c r="AF138"/>
      <c r="AG138" s="4"/>
      <c r="AH138" s="4"/>
      <c r="AI138"/>
      <c r="AJ138">
        <v>1</v>
      </c>
      <c r="AK138" t="inlineStr">
        <is>
          <t>No, I don't need at all</t>
        </is>
      </c>
      <c r="AL138"/>
      <c r="AM138" t="inlineStr">
        <is>
          <t>No, I don't need at all</t>
        </is>
      </c>
      <c r="AN138"/>
      <c r="AO138" t="inlineStr">
        <is>
          <t>No, I don't need at all</t>
        </is>
      </c>
      <c r="AP138" t="inlineStr">
        <is>
          <t>Every month (100%)</t>
        </is>
      </c>
      <c r="AQ138"/>
      <c r="AR138" t="inlineStr">
        <is>
          <t>Jobstreet</t>
        </is>
      </c>
      <c r="AS138" t="inlineStr">
        <is>
          <t>- Headcount: 6
- Hiring Job Details: telesales 2, intern -sales 1, outdoor 3 (based in KL)
- Hiring Urgency: Continuous Hiring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t>
        </is>
      </c>
      <c r="AT138">
        <v>95</v>
      </c>
      <c r="AU138" t="inlineStr">
        <is>
          <t>0.95</t>
        </is>
      </c>
      <c r="AV138" t="inlineStr">
        <is>
          <t>10</t>
        </is>
      </c>
      <c r="AW138" t="inlineStr">
        <is>
          <t>0</t>
        </is>
      </c>
      <c r="AX138" t="inlineStr">
        <is>
          <t>Not Qualified</t>
        </is>
      </c>
      <c r="AY138" s="4"/>
      <c r="AZ138"/>
      <c r="BA138"/>
      <c r="BB138"/>
      <c r="BC138" t="inlineStr">
        <is>
          <t>Call Eric - proceed with lower package. Share invoice</t>
        </is>
      </c>
      <c r="BD138" s="4">
        <v>46141.724699074075</v>
      </c>
      <c r="BE138" t="inlineStr">
        <is>
          <t>pending</t>
        </is>
      </c>
      <c r="BF138"/>
      <c r="BG138" t="inlineStr">
        <is>
          <t>Reschedule</t>
        </is>
      </c>
      <c r="BH138" t="inlineStr">
        <is>
          <t>Reagen</t>
        </is>
      </c>
      <c r="BI138"/>
      <c r="BJ138" s="4">
        <v>46144.75438657407</v>
      </c>
      <c r="BK138" s="4">
        <v>46140.64672453704</v>
      </c>
      <c r="BL138" t="inlineStr">
        <is>
          <t>0.0</t>
        </is>
      </c>
      <c r="BM138" t="inlineStr">
        <is>
          <t>0.0</t>
        </is>
      </c>
      <c r="BN138" t="inlineStr">
        <is>
          <t xml:space="preserve">Watched AI Job Ad Video - Shop </t>
        </is>
      </c>
      <c r="BO138" s="4">
        <v>46140.65282407407</v>
      </c>
      <c r="BP138">
        <v>169317</v>
      </c>
      <c r="BQ138">
        <v>124107</v>
      </c>
      <c r="BR138" t="inlineStr">
        <is>
          <t>Proforma</t>
        </is>
      </c>
      <c r="BS138" t="inlineStr">
        <is>
          <t>AI Yearly Standard Plan (Jan 26)</t>
        </is>
      </c>
      <c r="BT138"/>
      <c r="BU138"/>
      <c r="BV138">
        <v>2736188</v>
      </c>
      <c r="BW138" t="inlineStr">
        <is>
          <t>Follow Up : Invoice Sent 75%</t>
        </is>
      </c>
      <c r="BX138"/>
      <c r="BY138"/>
      <c r="BZ138" s="4"/>
      <c r="CA138"/>
      <c r="CB138"/>
      <c r="CC138" s="4"/>
      <c r="CD138" t="inlineStr">
        <is>
          <t>15</t>
        </is>
      </c>
      <c r="CE138" t="inlineStr">
        <is>
          <t>0</t>
        </is>
      </c>
      <c r="CF138" t="inlineStr">
        <is>
          <t>Q2-W04</t>
        </is>
      </c>
      <c r="CG138" t="inlineStr">
        <is>
          <t>Q2-W04</t>
        </is>
      </c>
      <c r="CH138"/>
      <c r="CI138"/>
      <c r="CJ138" t="inlineStr">
        <is>
          <t>No Paid</t>
        </is>
      </c>
      <c r="CK138" t="inlineStr">
        <is>
          <t>Not Eligible</t>
        </is>
      </c>
      <c r="CL138"/>
      <c r="CM138"/>
    </row>
    <row r="139" ht="25.5" customHeight="1">
      <c r="A139" t="inlineStr">
        <is>
          <t>141112</t>
        </is>
      </c>
      <c r="B139" s="2"/>
      <c r="C139"/>
      <c r="D139" s="3">
        <v>46140.67423611111</v>
      </c>
      <c r="E139" t="inlineStr">
        <is>
          <t>Q2-W04</t>
        </is>
      </c>
      <c r="F139" t="inlineStr">
        <is>
          <t>Luqman</t>
        </is>
      </c>
      <c r="G139" t="inlineStr">
        <is>
          <t>Customer</t>
        </is>
      </c>
      <c r="H139" s="2" t="str">
        <f>=HYPERLINK("https://upbox.ajobthing.my/customer/141112", "https://upbox.ajobthing.my/customer/141112")</f>
        <v>https://upbox.ajobthing.my/customer/141112</v>
      </c>
      <c r="I139" t="inlineStr">
        <is>
          <t>Dreamyzalina Enterprise</t>
        </is>
      </c>
      <c r="J139" t="inlineStr">
        <is>
          <t>Dolphin</t>
        </is>
      </c>
      <c r="K139" t="inlineStr">
        <is>
          <t>Luqman</t>
        </is>
      </c>
      <c r="L139" s="4"/>
      <c r="M139" s="4">
        <v>46140.67434027778</v>
      </c>
      <c r="N139"/>
      <c r="O139">
        <v>1296</v>
      </c>
      <c r="P139" s="4"/>
      <c r="Q139" s="4">
        <v>45565.68556712963</v>
      </c>
      <c r="R139"/>
      <c r="S139">
        <v>2916</v>
      </c>
      <c r="T139" s="4">
        <v>45565.68556712963</v>
      </c>
      <c r="U139" s="4"/>
      <c r="V139"/>
      <c r="W139">
        <v>2916</v>
      </c>
      <c r="X139"/>
      <c r="Y139" t="inlineStr">
        <is>
          <t>Pending Appointment</t>
        </is>
      </c>
      <c r="Z139" t="inlineStr">
        <is>
          <t>Hiring Later</t>
        </is>
      </c>
      <c r="AA139">
        <v>2</v>
      </c>
      <c r="AB139" t="inlineStr">
        <is>
          <t>No Appointment Made</t>
        </is>
      </c>
      <c r="AC139"/>
      <c r="AD139" t="inlineStr">
        <is>
          <t xml:space="preserve">1. Admin 
2. Talent </t>
        </is>
      </c>
      <c r="AE139"/>
      <c r="AF139">
        <v>1200</v>
      </c>
      <c r="AG139" s="4"/>
      <c r="AH139" s="4"/>
      <c r="AI139">
        <v>1200</v>
      </c>
      <c r="AJ139"/>
      <c r="AK139" t="inlineStr">
        <is>
          <t>Yes, I have</t>
        </is>
      </c>
      <c r="AL139">
        <v>3</v>
      </c>
      <c r="AM139" t="inlineStr">
        <is>
          <t>No, I don't need at all</t>
        </is>
      </c>
      <c r="AN139"/>
      <c r="AO139" t="inlineStr">
        <is>
          <t>No, but I want in future</t>
        </is>
      </c>
      <c r="AP139" t="inlineStr">
        <is>
          <t>Once a year (25%)</t>
        </is>
      </c>
      <c r="AQ139">
        <v>2</v>
      </c>
      <c r="AR139" t="inlineStr">
        <is>
          <t>Free Job Portal, Jobstreet</t>
        </is>
      </c>
      <c r="AS139" t="inlineStr">
        <is>
          <t>- Headcount: 2
- Hiring Job Details: 1. Admin 2. Talent
- Number of outlets: 
- Have recruiter team: Yes
- Number of recruiter in company: 3
- Have ATS system: No, I don't need at all
- Have career website: No, but I want in future
- Current hiring budget: RM1,200
- Whole year budget: RM1,200.00
- Whole year number of vacancies: 2
- Hiring frequency: Once a year (25%)
- External job portal: Free Job Portal,Jobstreet
- Hiring Urgency: Hiring Later</t>
        </is>
      </c>
      <c r="AT139">
        <v>95</v>
      </c>
      <c r="AU139" t="inlineStr">
        <is>
          <t>0.95</t>
        </is>
      </c>
      <c r="AV139" t="inlineStr">
        <is>
          <t>15</t>
        </is>
      </c>
      <c r="AW139" t="inlineStr">
        <is>
          <t>0</t>
        </is>
      </c>
      <c r="AX139" t="inlineStr">
        <is>
          <t>Not Qualified</t>
        </is>
      </c>
      <c r="AY139" s="4"/>
      <c r="AZ139"/>
      <c r="BA139"/>
      <c r="BB139"/>
      <c r="BC139" t="inlineStr">
        <is>
          <t>- Headcount: 2
- Hiring Job Details: 1. Admin 2. Talent
- Number of outlets: 
- Have recruiter team: Yes
- Number of recruiter in company: 3
- Have ATS system: No, I don't need at all
- Have career website: No, but I want in future
- Current hiring budget: RM1,200
- Whole year budget: RM1,200.00
- Whole year number of vacancies: 2
- Hiring frequency: Once a year (25%)
- External job portal: Free Job Portal,Jobstreet
- Hiring Urgency: Hiring Later</t>
        </is>
      </c>
      <c r="BD139" s="4">
        <v>46140.70853009259</v>
      </c>
      <c r="BE139" t="inlineStr">
        <is>
          <t>paid</t>
        </is>
      </c>
      <c r="BF139"/>
      <c r="BG139" t="inlineStr">
        <is>
          <t>Reschedule</t>
        </is>
      </c>
      <c r="BH139" t="inlineStr">
        <is>
          <t>Edward Hoo</t>
        </is>
      </c>
      <c r="BI139" t="inlineStr">
        <is>
          <t>Apparel</t>
        </is>
      </c>
      <c r="BJ139" s="4">
        <v>46144.75067129629</v>
      </c>
      <c r="BK139" s="4">
        <v>44461.84186342593</v>
      </c>
      <c r="BL139" t="inlineStr">
        <is>
          <t>0.0</t>
        </is>
      </c>
      <c r="BM139" t="inlineStr">
        <is>
          <t>300.0</t>
        </is>
      </c>
      <c r="BN139" t="inlineStr">
        <is>
          <t>View Jobmanager Page</t>
        </is>
      </c>
      <c r="BO139" s="4">
        <v>45983.479537037034</v>
      </c>
      <c r="BP139">
        <v>169315</v>
      </c>
      <c r="BQ139">
        <v>73411</v>
      </c>
      <c r="BR139" t="inlineStr">
        <is>
          <t>Online</t>
        </is>
      </c>
      <c r="BS139"/>
      <c r="BT139">
        <v>73411</v>
      </c>
      <c r="BU139"/>
      <c r="BV139">
        <v>2733662</v>
      </c>
      <c r="BW139" t="inlineStr">
        <is>
          <t>Customer Inquiry</t>
        </is>
      </c>
      <c r="BX139"/>
      <c r="BY139"/>
      <c r="BZ139" s="4"/>
      <c r="CA139"/>
      <c r="CB139"/>
      <c r="CC139" s="4"/>
      <c r="CD139" t="inlineStr">
        <is>
          <t>20</t>
        </is>
      </c>
      <c r="CE139" t="inlineStr">
        <is>
          <t>0</t>
        </is>
      </c>
      <c r="CF139" t="inlineStr">
        <is>
          <t>Q2-W04</t>
        </is>
      </c>
      <c r="CG139"/>
      <c r="CH139"/>
      <c r="CI139"/>
      <c r="CJ139" t="inlineStr">
        <is>
          <t>Paid</t>
        </is>
      </c>
      <c r="CK139" t="inlineStr">
        <is>
          <t>Not Eligible</t>
        </is>
      </c>
      <c r="CL139"/>
      <c r="CM139"/>
    </row>
    <row r="140" ht="25.5" customHeight="1">
      <c r="A140" t="inlineStr">
        <is>
          <t>203749</t>
        </is>
      </c>
      <c r="B140" s="2"/>
      <c r="C140"/>
      <c r="D140" s="3">
        <v>46140.67596064815</v>
      </c>
      <c r="E140" t="inlineStr">
        <is>
          <t>Q2-W04</t>
        </is>
      </c>
      <c r="F140" t="inlineStr">
        <is>
          <t>Yuli</t>
        </is>
      </c>
      <c r="G140" t="inlineStr">
        <is>
          <t>Customer</t>
        </is>
      </c>
      <c r="H140" s="2" t="str">
        <f>=HYPERLINK("https://upbox.ajobthing.my/customer/203749", "https://upbox.ajobthing.my/customer/203749")</f>
        <v>https://upbox.ajobthing.my/customer/203749</v>
      </c>
      <c r="I140" t="inlineStr">
        <is>
          <t>Inform Logistics (Malaysia) Sdn Bhd</t>
        </is>
      </c>
      <c r="J140" t="inlineStr">
        <is>
          <t>Dolphin</t>
        </is>
      </c>
      <c r="K140" t="inlineStr">
        <is>
          <t>YuLi</t>
        </is>
      </c>
      <c r="L140" s="4"/>
      <c r="M140" s="4">
        <v>46140.6772337963</v>
      </c>
      <c r="N140"/>
      <c r="O140">
        <v>3888</v>
      </c>
      <c r="P140" s="4"/>
      <c r="Q140" s="4"/>
      <c r="R140"/>
      <c r="S140"/>
      <c r="T140" s="4"/>
      <c r="U140" s="4"/>
      <c r="V140"/>
      <c r="W140"/>
      <c r="X140"/>
      <c r="Y140" t="inlineStr">
        <is>
          <t>Pending Appointment</t>
        </is>
      </c>
      <c r="Z140" t="inlineStr">
        <is>
          <t>Hiring Now</t>
        </is>
      </c>
      <c r="AA140">
        <v>1</v>
      </c>
      <c r="AB140" t="inlineStr">
        <is>
          <t>No Appointment Made</t>
        </is>
      </c>
      <c r="AC140"/>
      <c r="AD140" t="inlineStr">
        <is>
          <t>1 Software Engineer</t>
        </is>
      </c>
      <c r="AE140"/>
      <c r="AF140"/>
      <c r="AG140" s="4"/>
      <c r="AH140" s="4"/>
      <c r="AI140"/>
      <c r="AJ140"/>
      <c r="AK140"/>
      <c r="AL140"/>
      <c r="AM140"/>
      <c r="AN140"/>
      <c r="AO140"/>
      <c r="AP140"/>
      <c r="AQ140"/>
      <c r="AR140" t="inlineStr">
        <is>
          <t>Linkedin (Paid)</t>
        </is>
      </c>
      <c r="AS140" t="inlineStr">
        <is>
          <t>- Headcount: 1
- Hiring Job Details: 1 Software Engineer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Linkedin (Paid)</t>
        </is>
      </c>
      <c r="AT140">
        <v>65</v>
      </c>
      <c r="AU140" t="inlineStr">
        <is>
          <t>0.65</t>
        </is>
      </c>
      <c r="AV140" t="inlineStr">
        <is>
          <t>5</t>
        </is>
      </c>
      <c r="AW140" t="inlineStr">
        <is>
          <t>0</t>
        </is>
      </c>
      <c r="AX140" t="inlineStr">
        <is>
          <t>Not Qualified</t>
        </is>
      </c>
      <c r="AY140" s="4"/>
      <c r="AZ140"/>
      <c r="BA140"/>
      <c r="BB140"/>
      <c r="BC140" t="inlineStr">
        <is>
          <t>- Headcount: 1
- Hiring Job Details: 1 Software Engineer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Linkedin (Paid)</t>
        </is>
      </c>
      <c r="BD140" s="4">
        <v>46140.70853009259</v>
      </c>
      <c r="BE140"/>
      <c r="BF140"/>
      <c r="BG140" t="inlineStr">
        <is>
          <t>Reschedule</t>
        </is>
      </c>
      <c r="BH140" t="inlineStr">
        <is>
          <t>Fauziah Maharan</t>
        </is>
      </c>
      <c r="BI140"/>
      <c r="BJ140" s="4">
        <v>46144.75438657407</v>
      </c>
      <c r="BK140" s="4">
        <v>46140.66804398148</v>
      </c>
      <c r="BL140" t="inlineStr">
        <is>
          <t>0.0</t>
        </is>
      </c>
      <c r="BM140" t="inlineStr">
        <is>
          <t>0.0</t>
        </is>
      </c>
      <c r="BN140"/>
      <c r="BO140" s="4"/>
      <c r="BP140">
        <v>169319</v>
      </c>
      <c r="BQ140"/>
      <c r="BR140"/>
      <c r="BS140"/>
      <c r="BT140"/>
      <c r="BU140"/>
      <c r="BV140">
        <v>2733664</v>
      </c>
      <c r="BW140" t="inlineStr">
        <is>
          <t>Customer Inquiry</t>
        </is>
      </c>
      <c r="BX140"/>
      <c r="BY140"/>
      <c r="BZ140" s="4"/>
      <c r="CA140"/>
      <c r="CB140"/>
      <c r="CC140" s="4"/>
      <c r="CD140" t="inlineStr">
        <is>
          <t>5</t>
        </is>
      </c>
      <c r="CE140" t="inlineStr">
        <is>
          <t>0</t>
        </is>
      </c>
      <c r="CF140" t="inlineStr">
        <is>
          <t>Q2-W04</t>
        </is>
      </c>
      <c r="CG140"/>
      <c r="CH140"/>
      <c r="CI140"/>
      <c r="CJ140" t="inlineStr">
        <is>
          <t>No Paid</t>
        </is>
      </c>
      <c r="CK140" t="inlineStr">
        <is>
          <t>Not Eligible</t>
        </is>
      </c>
      <c r="CL140"/>
      <c r="CM140"/>
    </row>
    <row r="141" ht="25.5" customHeight="1">
      <c r="A141" t="inlineStr">
        <is>
          <t>152508</t>
        </is>
      </c>
      <c r="B141" s="2"/>
      <c r="C141"/>
      <c r="D141" s="3">
        <v>46140.67953703704</v>
      </c>
      <c r="E141" t="inlineStr">
        <is>
          <t>Q2-W04</t>
        </is>
      </c>
      <c r="F141" t="inlineStr">
        <is>
          <t>Derek Lim</t>
        </is>
      </c>
      <c r="G141" t="inlineStr">
        <is>
          <t>Customer</t>
        </is>
      </c>
      <c r="H141" s="2" t="str">
        <f>=HYPERLINK("https://upbox.ajobthing.my/customer/152508", "https://upbox.ajobthing.my/customer/152508")</f>
        <v>https://upbox.ajobthing.my/customer/152508</v>
      </c>
      <c r="I141" t="inlineStr">
        <is>
          <t>Care Canopy</t>
        </is>
      </c>
      <c r="J141" t="inlineStr">
        <is>
          <t>Dolphin</t>
        </is>
      </c>
      <c r="K141" t="inlineStr">
        <is>
          <t>Derek Lim</t>
        </is>
      </c>
      <c r="L141" s="4"/>
      <c r="M141" s="4">
        <v>46140.67967592592</v>
      </c>
      <c r="N141"/>
      <c r="O141">
        <v>3888</v>
      </c>
      <c r="P141" s="4"/>
      <c r="Q141" s="4"/>
      <c r="R141"/>
      <c r="S141"/>
      <c r="T141" s="4"/>
      <c r="U141" s="4"/>
      <c r="V141"/>
      <c r="W141"/>
      <c r="X141"/>
      <c r="Y141" t="inlineStr">
        <is>
          <t>Pending Appointment</t>
        </is>
      </c>
      <c r="Z141" t="inlineStr">
        <is>
          <t>Hiring Now</t>
        </is>
      </c>
      <c r="AA141">
        <v>2</v>
      </c>
      <c r="AB141" t="inlineStr">
        <is>
          <t>No Appointment Made</t>
        </is>
      </c>
      <c r="AC141"/>
      <c r="AD141" t="inlineStr">
        <is>
          <t>Operation - 2</t>
        </is>
      </c>
      <c r="AE141"/>
      <c r="AF141">
        <v>0</v>
      </c>
      <c r="AG141" s="4"/>
      <c r="AH141" s="4"/>
      <c r="AI141">
        <v>0</v>
      </c>
      <c r="AJ141">
        <v>1</v>
      </c>
      <c r="AK141" t="inlineStr">
        <is>
          <t>No, I don't need at all</t>
        </is>
      </c>
      <c r="AL141">
        <v>0</v>
      </c>
      <c r="AM141" t="inlineStr">
        <is>
          <t>No, I don't need at all</t>
        </is>
      </c>
      <c r="AN141"/>
      <c r="AO141" t="inlineStr">
        <is>
          <t>No, I don't need at all</t>
        </is>
      </c>
      <c r="AP141" t="inlineStr">
        <is>
          <t>Once a year (25%)</t>
        </is>
      </c>
      <c r="AQ141">
        <v>2</v>
      </c>
      <c r="AR141" t="inlineStr">
        <is>
          <t>Free Job Portal</t>
        </is>
      </c>
      <c r="AS141" t="inlineStr">
        <is>
          <t>- Headcount: 2
- Hiring Job Details: Operation - 2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AT141">
        <v>105</v>
      </c>
      <c r="AU141" t="inlineStr">
        <is>
          <t>1.05</t>
        </is>
      </c>
      <c r="AV141" t="inlineStr">
        <is>
          <t>15</t>
        </is>
      </c>
      <c r="AW141" t="inlineStr">
        <is>
          <t>0</t>
        </is>
      </c>
      <c r="AX141" t="inlineStr">
        <is>
          <t>Not Qualified</t>
        </is>
      </c>
      <c r="AY141" s="4"/>
      <c r="AZ141"/>
      <c r="BA141"/>
      <c r="BB141"/>
      <c r="BC141" t="inlineStr">
        <is>
          <t>- Headcount: 2
- Hiring Job Details: Operation - 2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BD141" s="4">
        <v>46140.70853009259</v>
      </c>
      <c r="BE141"/>
      <c r="BF141"/>
      <c r="BG141" t="inlineStr">
        <is>
          <t>Reschedule</t>
        </is>
      </c>
      <c r="BH141" t="inlineStr">
        <is>
          <t>Edward Hoo</t>
        </is>
      </c>
      <c r="BI141" t="inlineStr">
        <is>
          <t>Arts / Design / Fashion</t>
        </is>
      </c>
      <c r="BJ141" s="4">
        <v>46144.750914351855</v>
      </c>
      <c r="BK141" s="4">
        <v>44669.22268518519</v>
      </c>
      <c r="BL141" t="inlineStr">
        <is>
          <t>0.0</t>
        </is>
      </c>
      <c r="BM141" t="inlineStr">
        <is>
          <t>0.0</t>
        </is>
      </c>
      <c r="BN141" t="inlineStr">
        <is>
          <t>View Create Job Page</t>
        </is>
      </c>
      <c r="BO141" s="4">
        <v>44669.2266087963</v>
      </c>
      <c r="BP141">
        <v>169320</v>
      </c>
      <c r="BQ141"/>
      <c r="BR141"/>
      <c r="BS141"/>
      <c r="BT141"/>
      <c r="BU141"/>
      <c r="BV141">
        <v>2733665</v>
      </c>
      <c r="BW141" t="inlineStr">
        <is>
          <t>Customer Inquiry</t>
        </is>
      </c>
      <c r="BX141"/>
      <c r="BY141"/>
      <c r="BZ141" s="4"/>
      <c r="CA141"/>
      <c r="CB141"/>
      <c r="CC141" s="4"/>
      <c r="CD141" t="inlineStr">
        <is>
          <t>20</t>
        </is>
      </c>
      <c r="CE141" t="inlineStr">
        <is>
          <t>0</t>
        </is>
      </c>
      <c r="CF141" t="inlineStr">
        <is>
          <t>Q2-W04</t>
        </is>
      </c>
      <c r="CG141"/>
      <c r="CH141"/>
      <c r="CI141"/>
      <c r="CJ141" t="inlineStr">
        <is>
          <t>No Paid</t>
        </is>
      </c>
      <c r="CK141" t="inlineStr">
        <is>
          <t>Not Eligible</t>
        </is>
      </c>
      <c r="CL141"/>
      <c r="CM141"/>
    </row>
    <row r="142" ht="25.5" customHeight="1">
      <c r="A142" t="inlineStr">
        <is>
          <t>4329167</t>
        </is>
      </c>
      <c r="B142" s="2"/>
      <c r="C142"/>
      <c r="D142" s="3">
        <v>46140.68021990741</v>
      </c>
      <c r="E142" t="inlineStr">
        <is>
          <t>Q2-W04</t>
        </is>
      </c>
      <c r="F142" t="inlineStr">
        <is>
          <t>Carmen</t>
        </is>
      </c>
      <c r="G142" t="inlineStr">
        <is>
          <t>Lead</t>
        </is>
      </c>
      <c r="H142" s="2" t="str">
        <f>=HYPERLINK("https://upbox.ajobthing.my/leads/4329167", "https://upbox.ajobthing.my/leads/4329167")</f>
        <v>https://upbox.ajobthing.my/leads/4329167</v>
      </c>
      <c r="I142" t="inlineStr">
        <is>
          <t>SAFIYA SKIN SOLUTION</t>
        </is>
      </c>
      <c r="J142" t="inlineStr">
        <is>
          <t>Dolphin</t>
        </is>
      </c>
      <c r="K142" t="inlineStr">
        <is>
          <t>Carmen</t>
        </is>
      </c>
      <c r="L142" s="4"/>
      <c r="M142" s="4">
        <v>46140.68158564815</v>
      </c>
      <c r="N142"/>
      <c r="O142">
        <v>3576.96</v>
      </c>
      <c r="P142" s="4"/>
      <c r="Q142" s="4"/>
      <c r="R142"/>
      <c r="S142"/>
      <c r="T142" s="4"/>
      <c r="U142" s="4"/>
      <c r="V142"/>
      <c r="W142"/>
      <c r="X142"/>
      <c r="Y142" t="inlineStr">
        <is>
          <t>Pending Appointment</t>
        </is>
      </c>
      <c r="Z142" t="inlineStr">
        <is>
          <t>Hiring Now</t>
        </is>
      </c>
      <c r="AA142">
        <v>3</v>
      </c>
      <c r="AB142" t="inlineStr">
        <is>
          <t>No Appointment Made</t>
        </is>
      </c>
      <c r="AC142"/>
      <c r="AD142" t="inlineStr">
        <is>
          <t>1 admin ; 1 content creator ; 1 beautician</t>
        </is>
      </c>
      <c r="AE142"/>
      <c r="AF142">
        <v>0</v>
      </c>
      <c r="AG142" s="4"/>
      <c r="AH142" s="4"/>
      <c r="AI142"/>
      <c r="AJ142"/>
      <c r="AK142"/>
      <c r="AL142"/>
      <c r="AM142"/>
      <c r="AN142"/>
      <c r="AO142"/>
      <c r="AP142"/>
      <c r="AQ142"/>
      <c r="AR142"/>
      <c r="AS142" t="inlineStr">
        <is>
          <t>- Headcount: 3
- Hiring Job Details: 1 admin ; 1 content creator ; 1 beautician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142">
        <v>65</v>
      </c>
      <c r="AU142" t="inlineStr">
        <is>
          <t>0.65</t>
        </is>
      </c>
      <c r="AV142" t="inlineStr">
        <is>
          <t>15</t>
        </is>
      </c>
      <c r="AW142" t="inlineStr">
        <is>
          <t>0</t>
        </is>
      </c>
      <c r="AX142" t="inlineStr">
        <is>
          <t>Not Qualified</t>
        </is>
      </c>
      <c r="AY142" s="4"/>
      <c r="AZ142"/>
      <c r="BA142"/>
      <c r="BB142"/>
      <c r="BC142"/>
      <c r="BD142" s="4"/>
      <c r="BE142"/>
      <c r="BF142"/>
      <c r="BG142" t="inlineStr">
        <is>
          <t>Reschedule</t>
        </is>
      </c>
      <c r="BH142" t="inlineStr">
        <is>
          <t>Reagen</t>
        </is>
      </c>
      <c r="BI142"/>
      <c r="BJ142" s="4">
        <v>46144.75592592593</v>
      </c>
      <c r="BK142" s="4">
        <v>46140.5234837963</v>
      </c>
      <c r="BL142" t="inlineStr">
        <is>
          <t>0.0</t>
        </is>
      </c>
      <c r="BM142" t="inlineStr">
        <is>
          <t>0.0</t>
        </is>
      </c>
      <c r="BN142"/>
      <c r="BO142" s="4"/>
      <c r="BP142">
        <v>169323</v>
      </c>
      <c r="BQ142"/>
      <c r="BR142"/>
      <c r="BS142"/>
      <c r="BT142"/>
      <c r="BU142"/>
      <c r="BV142"/>
      <c r="BW142"/>
      <c r="BX142"/>
      <c r="BY142"/>
      <c r="BZ142" s="4"/>
      <c r="CA142"/>
      <c r="CB142"/>
      <c r="CC142" s="4"/>
      <c r="CD142" t="inlineStr">
        <is>
          <t>20</t>
        </is>
      </c>
      <c r="CE142" t="inlineStr">
        <is>
          <t>0</t>
        </is>
      </c>
      <c r="CF142" t="inlineStr">
        <is>
          <t>Q2-W04</t>
        </is>
      </c>
      <c r="CG142"/>
      <c r="CH142"/>
      <c r="CI142"/>
      <c r="CJ142" t="inlineStr">
        <is>
          <t>No Paid</t>
        </is>
      </c>
      <c r="CK142" t="inlineStr">
        <is>
          <t>Not Eligible</t>
        </is>
      </c>
      <c r="CL142"/>
      <c r="CM142"/>
    </row>
    <row r="143" ht="25.5" customHeight="1">
      <c r="A143" t="inlineStr">
        <is>
          <t>174244</t>
        </is>
      </c>
      <c r="B143" s="2"/>
      <c r="C143"/>
      <c r="D143" s="3">
        <v>46140.68090277778</v>
      </c>
      <c r="E143" t="inlineStr">
        <is>
          <t>Q2-W04</t>
        </is>
      </c>
      <c r="F143" t="inlineStr">
        <is>
          <t>Xin Hui</t>
        </is>
      </c>
      <c r="G143" t="inlineStr">
        <is>
          <t>Customer</t>
        </is>
      </c>
      <c r="H143" s="2" t="str">
        <f>=HYPERLINK("https://upbox.ajobthing.my/customer/174244", "https://upbox.ajobthing.my/customer/174244")</f>
        <v>https://upbox.ajobthing.my/customer/174244</v>
      </c>
      <c r="I143" t="inlineStr">
        <is>
          <t>Fu Yun Construction Engineering Sdn Bhd</t>
        </is>
      </c>
      <c r="J143" t="inlineStr">
        <is>
          <t>Dolphin</t>
        </is>
      </c>
      <c r="K143" t="inlineStr">
        <is>
          <t>Xin Hui</t>
        </is>
      </c>
      <c r="L143" s="4"/>
      <c r="M143" s="4">
        <v>46141.6084837963</v>
      </c>
      <c r="N143"/>
      <c r="O143">
        <v>5412.96</v>
      </c>
      <c r="P143" s="4"/>
      <c r="Q143" s="4"/>
      <c r="R143"/>
      <c r="S143"/>
      <c r="T143" s="4"/>
      <c r="U143" s="4"/>
      <c r="V143"/>
      <c r="W143"/>
      <c r="X143"/>
      <c r="Y143" t="inlineStr">
        <is>
          <t>Pending Appointment</t>
        </is>
      </c>
      <c r="Z143" t="inlineStr">
        <is>
          <t>Hiring Now</t>
        </is>
      </c>
      <c r="AA143">
        <v>2</v>
      </c>
      <c r="AB143" t="inlineStr">
        <is>
          <t>No Appointment Made</t>
        </is>
      </c>
      <c r="AC143"/>
      <c r="AD143" t="inlineStr">
        <is>
          <t>accountant / tax associates</t>
        </is>
      </c>
      <c r="AE143"/>
      <c r="AF143"/>
      <c r="AG143" s="4"/>
      <c r="AH143" s="4"/>
      <c r="AI143"/>
      <c r="AJ143"/>
      <c r="AK143" t="inlineStr">
        <is>
          <t>No, I don't need at all</t>
        </is>
      </c>
      <c r="AL143"/>
      <c r="AM143" t="inlineStr">
        <is>
          <t>No, I don't need at all</t>
        </is>
      </c>
      <c r="AN143"/>
      <c r="AO143" t="inlineStr">
        <is>
          <t>No, I don't need at all</t>
        </is>
      </c>
      <c r="AP143" t="inlineStr">
        <is>
          <t>Once a year (25%)</t>
        </is>
      </c>
      <c r="AQ143"/>
      <c r="AR143"/>
      <c r="AS143" t="inlineStr">
        <is>
          <t>- Headcount: 2
- Hiring Job Details: accountant / tax associates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43">
        <v>75</v>
      </c>
      <c r="AU143" t="inlineStr">
        <is>
          <t>0.75</t>
        </is>
      </c>
      <c r="AV143" t="inlineStr">
        <is>
          <t>5</t>
        </is>
      </c>
      <c r="AW143" t="inlineStr">
        <is>
          <t>0</t>
        </is>
      </c>
      <c r="AX143" t="inlineStr">
        <is>
          <t>Not Qualified</t>
        </is>
      </c>
      <c r="AY143" s="4"/>
      <c r="AZ143"/>
      <c r="BA143"/>
      <c r="BB143"/>
      <c r="BC143" t="inlineStr">
        <is>
          <t>- Headcount: 10
- Hiring Job Details: Accountant lead, Account manager, Sales manager (10 positions)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BD143" s="4">
        <v>46141.62503472222</v>
      </c>
      <c r="BE143"/>
      <c r="BF143"/>
      <c r="BG143" t="inlineStr">
        <is>
          <t>Reschedule</t>
        </is>
      </c>
      <c r="BH143" t="inlineStr">
        <is>
          <t>Yee Hang</t>
        </is>
      </c>
      <c r="BI143" t="inlineStr">
        <is>
          <t>Accounting / Tax Services</t>
        </is>
      </c>
      <c r="BJ143" s="4">
        <v>46144.751550925925</v>
      </c>
      <c r="BK143" s="4">
        <v>45294.64263888889</v>
      </c>
      <c r="BL143" t="inlineStr">
        <is>
          <t>0.0</t>
        </is>
      </c>
      <c r="BM143" t="inlineStr">
        <is>
          <t>1200.0</t>
        </is>
      </c>
      <c r="BN143" t="inlineStr">
        <is>
          <t>View Account User</t>
        </is>
      </c>
      <c r="BO143" s="4">
        <v>46141.403495370374</v>
      </c>
      <c r="BP143">
        <v>169512</v>
      </c>
      <c r="BQ143"/>
      <c r="BR143"/>
      <c r="BS143"/>
      <c r="BT143"/>
      <c r="BU143"/>
      <c r="BV143">
        <v>2735493</v>
      </c>
      <c r="BW143" t="inlineStr">
        <is>
          <t>Customer Inquiry</t>
        </is>
      </c>
      <c r="BX143"/>
      <c r="BY143"/>
      <c r="BZ143" s="4"/>
      <c r="CA143"/>
      <c r="CB143"/>
      <c r="CC143" s="4"/>
      <c r="CD143" t="inlineStr">
        <is>
          <t>5</t>
        </is>
      </c>
      <c r="CE143" t="inlineStr">
        <is>
          <t>0</t>
        </is>
      </c>
      <c r="CF143" t="inlineStr">
        <is>
          <t>Q2-W04</t>
        </is>
      </c>
      <c r="CG143"/>
      <c r="CH143"/>
      <c r="CI143"/>
      <c r="CJ143" t="inlineStr">
        <is>
          <t>No Paid</t>
        </is>
      </c>
      <c r="CK143" t="inlineStr">
        <is>
          <t>Not Eligible</t>
        </is>
      </c>
      <c r="CL143"/>
      <c r="CM143"/>
    </row>
    <row r="144" ht="25.5" customHeight="1">
      <c r="A144" t="inlineStr">
        <is>
          <t>19959</t>
        </is>
      </c>
      <c r="B144" s="2"/>
      <c r="C144"/>
      <c r="D144" s="3">
        <v>46140.682118055556</v>
      </c>
      <c r="E144" t="inlineStr">
        <is>
          <t>Q2-W04</t>
        </is>
      </c>
      <c r="F144" t="inlineStr">
        <is>
          <t>Ken Yi</t>
        </is>
      </c>
      <c r="G144" t="inlineStr">
        <is>
          <t>Customer</t>
        </is>
      </c>
      <c r="H144" s="2" t="str">
        <f>=HYPERLINK("https://upbox.ajobthing.my/customer/19959", "https://upbox.ajobthing.my/customer/19959")</f>
        <v>https://upbox.ajobthing.my/customer/19959</v>
      </c>
      <c r="I144" t="inlineStr">
        <is>
          <t>Master Materials Contracting Sdn Bhd</t>
        </is>
      </c>
      <c r="J144" t="inlineStr">
        <is>
          <t>Dolphin</t>
        </is>
      </c>
      <c r="K144" t="inlineStr">
        <is>
          <t>Kenyi</t>
        </is>
      </c>
      <c r="L144" s="4"/>
      <c r="M144" s="4">
        <v>46140.680972222224</v>
      </c>
      <c r="N144"/>
      <c r="O144">
        <v>3576.96</v>
      </c>
      <c r="P144" s="4"/>
      <c r="Q144" s="4">
        <v>46086.6696875</v>
      </c>
      <c r="R144"/>
      <c r="S144">
        <v>0</v>
      </c>
      <c r="T144" s="4">
        <v>45979.4353125</v>
      </c>
      <c r="U144" s="4"/>
      <c r="V144"/>
      <c r="W144">
        <v>1728</v>
      </c>
      <c r="X144"/>
      <c r="Y144" t="inlineStr">
        <is>
          <t>Pending Appointment</t>
        </is>
      </c>
      <c r="Z144" t="inlineStr">
        <is>
          <t>Hiring Now</t>
        </is>
      </c>
      <c r="AA144">
        <v>1</v>
      </c>
      <c r="AB144" t="inlineStr">
        <is>
          <t>No Appointment Made</t>
        </is>
      </c>
      <c r="AC144"/>
      <c r="AD144" t="inlineStr">
        <is>
          <t>marketing - Content Creator</t>
        </is>
      </c>
      <c r="AE144"/>
      <c r="AF144">
        <v>0</v>
      </c>
      <c r="AG144" s="4"/>
      <c r="AH144" s="4"/>
      <c r="AI144">
        <v>0</v>
      </c>
      <c r="AJ144">
        <v>1</v>
      </c>
      <c r="AK144" t="inlineStr">
        <is>
          <t>No, I don't need at all</t>
        </is>
      </c>
      <c r="AL144">
        <v>0</v>
      </c>
      <c r="AM144" t="inlineStr">
        <is>
          <t>No, I don't need at all</t>
        </is>
      </c>
      <c r="AN144"/>
      <c r="AO144" t="inlineStr">
        <is>
          <t>No, I don't need at all</t>
        </is>
      </c>
      <c r="AP144" t="inlineStr">
        <is>
          <t>Every month (100%)</t>
        </is>
      </c>
      <c r="AQ144">
        <v>0</v>
      </c>
      <c r="AR144" t="inlineStr">
        <is>
          <t>Did not use any job portal</t>
        </is>
      </c>
      <c r="AS144" t="inlineStr">
        <is>
          <t>- Headcount: 1
- Hiring Job Details: 1 marketing - Content Creator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0
- Hiring frequency: Every month (100%)
- External job portal: Did not use any job portal</t>
        </is>
      </c>
      <c r="AT144">
        <v>105</v>
      </c>
      <c r="AU144" t="inlineStr">
        <is>
          <t>1.05</t>
        </is>
      </c>
      <c r="AV144" t="inlineStr">
        <is>
          <t>15</t>
        </is>
      </c>
      <c r="AW144" t="inlineStr">
        <is>
          <t>0</t>
        </is>
      </c>
      <c r="AX144" t="inlineStr">
        <is>
          <t>Not Qualified</t>
        </is>
      </c>
      <c r="AY144" s="4"/>
      <c r="AZ144"/>
      <c r="BA144"/>
      <c r="BB144"/>
      <c r="BC144" t="inlineStr">
        <is>
          <t>Follow up decision pending on the flash sales promotion</t>
        </is>
      </c>
      <c r="BD144" s="4">
        <v>46141.41197916667</v>
      </c>
      <c r="BE144" t="inlineStr">
        <is>
          <t>paid</t>
        </is>
      </c>
      <c r="BF144"/>
      <c r="BG144" t="inlineStr">
        <is>
          <t>Reschedule</t>
        </is>
      </c>
      <c r="BH144" t="inlineStr">
        <is>
          <t>Fauziah Maharan</t>
        </is>
      </c>
      <c r="BI144" t="inlineStr">
        <is>
          <t>Construction / Building</t>
        </is>
      </c>
      <c r="BJ144" s="4">
        <v>46144.75334490741</v>
      </c>
      <c r="BK144" s="4">
        <v>42478.85664351852</v>
      </c>
      <c r="BL144" t="inlineStr">
        <is>
          <t>2376.0</t>
        </is>
      </c>
      <c r="BM144" t="inlineStr">
        <is>
          <t>0.0</t>
        </is>
      </c>
      <c r="BN144" t="inlineStr">
        <is>
          <t>PA Visit - Job Card</t>
        </is>
      </c>
      <c r="BO144" s="4">
        <v>46139.44332175926</v>
      </c>
      <c r="BP144">
        <v>169321</v>
      </c>
      <c r="BQ144">
        <v>116095</v>
      </c>
      <c r="BR144" t="inlineStr">
        <is>
          <t>Proforma</t>
        </is>
      </c>
      <c r="BS144" t="inlineStr">
        <is>
          <t>A La Carte AI Job Ad Free</t>
        </is>
      </c>
      <c r="BT144">
        <v>6726</v>
      </c>
      <c r="BU144"/>
      <c r="BV144">
        <v>2734227</v>
      </c>
      <c r="BW144" t="inlineStr">
        <is>
          <t>Follow Up : Decision Pending</t>
        </is>
      </c>
      <c r="BX144"/>
      <c r="BY144"/>
      <c r="BZ144" s="4"/>
      <c r="CA144">
        <v>10</v>
      </c>
      <c r="CB144">
        <v>10</v>
      </c>
      <c r="CC144" s="4"/>
      <c r="CD144" t="inlineStr">
        <is>
          <t>20</t>
        </is>
      </c>
      <c r="CE144" t="inlineStr">
        <is>
          <t>0</t>
        </is>
      </c>
      <c r="CF144" t="inlineStr">
        <is>
          <t>Q2-W04</t>
        </is>
      </c>
      <c r="CG144" t="inlineStr">
        <is>
          <t>Q1-W09</t>
        </is>
      </c>
      <c r="CH144"/>
      <c r="CI144"/>
      <c r="CJ144" t="inlineStr">
        <is>
          <t>Paid</t>
        </is>
      </c>
      <c r="CK144" t="inlineStr">
        <is>
          <t>Not Eligible</t>
        </is>
      </c>
      <c r="CL144"/>
      <c r="CM144"/>
    </row>
    <row r="145" ht="25.5" customHeight="1">
      <c r="A145" t="inlineStr">
        <is>
          <t>176803</t>
        </is>
      </c>
      <c r="B145" s="2"/>
      <c r="C145"/>
      <c r="D145" s="3">
        <v>46140.68466435185</v>
      </c>
      <c r="E145" t="inlineStr">
        <is>
          <t>Q2-W04</t>
        </is>
      </c>
      <c r="F145" t="inlineStr">
        <is>
          <t>Eugene</t>
        </is>
      </c>
      <c r="G145" t="inlineStr">
        <is>
          <t>Customer</t>
        </is>
      </c>
      <c r="H145" s="2" t="str">
        <f>=HYPERLINK("https://upbox.ajobthing.my/customer/176803", "https://upbox.ajobthing.my/customer/176803")</f>
        <v>https://upbox.ajobthing.my/customer/176803</v>
      </c>
      <c r="I145" t="inlineStr">
        <is>
          <t>Apgo Sdn. Bhd.</t>
        </is>
      </c>
      <c r="J145" t="inlineStr">
        <is>
          <t>Dolphin</t>
        </is>
      </c>
      <c r="K145" t="inlineStr">
        <is>
          <t>Eugene</t>
        </is>
      </c>
      <c r="L145" s="4"/>
      <c r="M145" s="4">
        <v>46140.68565972222</v>
      </c>
      <c r="N145"/>
      <c r="O145">
        <v>3888</v>
      </c>
      <c r="P145" s="4"/>
      <c r="Q145" s="4">
        <v>45531.42217592592</v>
      </c>
      <c r="R145"/>
      <c r="S145">
        <v>1944</v>
      </c>
      <c r="T145" s="4">
        <v>45531.42217592592</v>
      </c>
      <c r="U145" s="4"/>
      <c r="V145"/>
      <c r="W145">
        <v>1944</v>
      </c>
      <c r="X145"/>
      <c r="Y145" t="inlineStr">
        <is>
          <t>Pending Appointment</t>
        </is>
      </c>
      <c r="Z145" t="inlineStr">
        <is>
          <t>Hiring Now</t>
        </is>
      </c>
      <c r="AA145">
        <v>2</v>
      </c>
      <c r="AB145" t="inlineStr">
        <is>
          <t>No Appointment Made</t>
        </is>
      </c>
      <c r="AC145"/>
      <c r="AD145" t="inlineStr">
        <is>
          <t>1 data analyst, 1 admin, based in KL</t>
        </is>
      </c>
      <c r="AE145"/>
      <c r="AF145">
        <v>3000</v>
      </c>
      <c r="AG145" s="4"/>
      <c r="AH145" s="4"/>
      <c r="AI145">
        <v>3000</v>
      </c>
      <c r="AJ145">
        <v>1</v>
      </c>
      <c r="AK145" t="inlineStr">
        <is>
          <t>No, I don't need at all</t>
        </is>
      </c>
      <c r="AL145">
        <v>1</v>
      </c>
      <c r="AM145" t="inlineStr">
        <is>
          <t>No, I don't need at all</t>
        </is>
      </c>
      <c r="AN145"/>
      <c r="AO145" t="inlineStr">
        <is>
          <t>No, I don't need at all</t>
        </is>
      </c>
      <c r="AP145" t="inlineStr">
        <is>
          <t>Once a year (25%)</t>
        </is>
      </c>
      <c r="AQ145">
        <v>2</v>
      </c>
      <c r="AR145" t="inlineStr">
        <is>
          <t>Free Job Portal</t>
        </is>
      </c>
      <c r="AS145" t="inlineStr">
        <is>
          <t>- Headcount: 2
- Hiring Job Details: 1 data analyst, 1 admin,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AT145">
        <v>110</v>
      </c>
      <c r="AU145" t="inlineStr">
        <is>
          <t>1.10</t>
        </is>
      </c>
      <c r="AV145" t="inlineStr">
        <is>
          <t>15</t>
        </is>
      </c>
      <c r="AW145" t="inlineStr">
        <is>
          <t>0</t>
        </is>
      </c>
      <c r="AX145" t="inlineStr">
        <is>
          <t>Not Qualified</t>
        </is>
      </c>
      <c r="AY145" s="4"/>
      <c r="AZ145"/>
      <c r="BA145"/>
      <c r="BB145"/>
      <c r="BC145" t="inlineStr">
        <is>
          <t>- Headcount: 2
- Hiring Job Details: 1 data analyst, 1 admin,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BD145" s="4">
        <v>46140.70853009259</v>
      </c>
      <c r="BE145" t="inlineStr">
        <is>
          <t>paid</t>
        </is>
      </c>
      <c r="BF145"/>
      <c r="BG145" t="inlineStr">
        <is>
          <t>Reschedule</t>
        </is>
      </c>
      <c r="BH145" t="inlineStr">
        <is>
          <t>Edward Hoo</t>
        </is>
      </c>
      <c r="BI145" t="inlineStr">
        <is>
          <t>General / Wholesale Trading</t>
        </is>
      </c>
      <c r="BJ145" s="4">
        <v>46144.751655092594</v>
      </c>
      <c r="BK145" s="4">
        <v>45377.7115625</v>
      </c>
      <c r="BL145" t="inlineStr">
        <is>
          <t>0.0</t>
        </is>
      </c>
      <c r="BM145" t="inlineStr">
        <is>
          <t>600.0</t>
        </is>
      </c>
      <c r="BN145" t="inlineStr">
        <is>
          <t>PA Visit - Applicant Manager</t>
        </is>
      </c>
      <c r="BO145" s="4">
        <v>45763.846608796295</v>
      </c>
      <c r="BP145">
        <v>169325</v>
      </c>
      <c r="BQ145">
        <v>72456</v>
      </c>
      <c r="BR145" t="inlineStr">
        <is>
          <t>Online</t>
        </is>
      </c>
      <c r="BS145"/>
      <c r="BT145">
        <v>72456</v>
      </c>
      <c r="BU145"/>
      <c r="BV145">
        <v>2733669</v>
      </c>
      <c r="BW145" t="inlineStr">
        <is>
          <t>Customer Inquiry</t>
        </is>
      </c>
      <c r="BX145"/>
      <c r="BY145"/>
      <c r="BZ145" s="4"/>
      <c r="CA145"/>
      <c r="CB145"/>
      <c r="CC145" s="4"/>
      <c r="CD145" t="inlineStr">
        <is>
          <t>20</t>
        </is>
      </c>
      <c r="CE145" t="inlineStr">
        <is>
          <t>0</t>
        </is>
      </c>
      <c r="CF145" t="inlineStr">
        <is>
          <t>Q2-W04</t>
        </is>
      </c>
      <c r="CG145"/>
      <c r="CH145"/>
      <c r="CI145"/>
      <c r="CJ145" t="inlineStr">
        <is>
          <t>Paid</t>
        </is>
      </c>
      <c r="CK145" t="inlineStr">
        <is>
          <t>Not Eligible</t>
        </is>
      </c>
      <c r="CL145"/>
      <c r="CM145"/>
    </row>
    <row r="146" ht="25.5" customHeight="1">
      <c r="A146" t="inlineStr">
        <is>
          <t>6469</t>
        </is>
      </c>
      <c r="B146" s="2"/>
      <c r="C146"/>
      <c r="D146" s="3">
        <v>46140.69415509259</v>
      </c>
      <c r="E146" t="inlineStr">
        <is>
          <t>Q2-W04</t>
        </is>
      </c>
      <c r="F146" t="inlineStr">
        <is>
          <t>Xin Hui</t>
        </is>
      </c>
      <c r="G146" t="inlineStr">
        <is>
          <t>Customer</t>
        </is>
      </c>
      <c r="H146" s="2" t="str">
        <f>=HYPERLINK("https://upbox.ajobthing.my/customer/6469", "https://upbox.ajobthing.my/customer/6469")</f>
        <v>https://upbox.ajobthing.my/customer/6469</v>
      </c>
      <c r="I146" t="inlineStr">
        <is>
          <t>Passiontree Marketing Sdn Bhd</t>
        </is>
      </c>
      <c r="J146" t="inlineStr">
        <is>
          <t>Dolphin</t>
        </is>
      </c>
      <c r="K146" t="inlineStr">
        <is>
          <t>Xin Hui</t>
        </is>
      </c>
      <c r="L146" s="4"/>
      <c r="M146" s="4">
        <v>46140.69515046296</v>
      </c>
      <c r="N146"/>
      <c r="O146">
        <v>3888</v>
      </c>
      <c r="P146" s="4"/>
      <c r="Q146" s="4">
        <v>46001.4444212963</v>
      </c>
      <c r="R146"/>
      <c r="S146">
        <v>0</v>
      </c>
      <c r="T146" s="4">
        <v>45506.698796296296</v>
      </c>
      <c r="U146" s="4"/>
      <c r="V146"/>
      <c r="W146">
        <v>1944</v>
      </c>
      <c r="X146"/>
      <c r="Y146" t="inlineStr">
        <is>
          <t>Pending Appointment</t>
        </is>
      </c>
      <c r="Z146" t="inlineStr">
        <is>
          <t>Hiring Now</t>
        </is>
      </c>
      <c r="AA146">
        <v>3</v>
      </c>
      <c r="AB146" t="inlineStr">
        <is>
          <t>No Appointment Made</t>
        </is>
      </c>
      <c r="AC146"/>
      <c r="AD146" t="inlineStr">
        <is>
          <t xml:space="preserve">finance / marketing / warehouse assistant </t>
        </is>
      </c>
      <c r="AE146"/>
      <c r="AF146"/>
      <c r="AG146" s="4"/>
      <c r="AH146" s="4"/>
      <c r="AI146"/>
      <c r="AJ146"/>
      <c r="AK146" t="inlineStr">
        <is>
          <t>No, I don't need at all</t>
        </is>
      </c>
      <c r="AL146"/>
      <c r="AM146" t="inlineStr">
        <is>
          <t>No, I don't need at all</t>
        </is>
      </c>
      <c r="AN146"/>
      <c r="AO146"/>
      <c r="AP146" t="inlineStr">
        <is>
          <t>Once a year (25%)</t>
        </is>
      </c>
      <c r="AQ146"/>
      <c r="AR146" t="inlineStr">
        <is>
          <t>Indeed (Paid)</t>
        </is>
      </c>
      <c r="AS146" t="inlineStr">
        <is>
          <t>- Headcount: 3
- Hiring Job Details: finance, marketing, warehouse assistant
- Hiring Urgency: Hiring Now
- Number of outlets: Not provided
- Have recruiter team: No, I don't need at all
- Number of recruiter in company: Not provided
- Have ATS system: No, I don't need at all
- Have career website: Not provided
- Current hiring budget: Not provided
- Whole year budget: Not provided
- Whole year number of vacancies: Not provided
- Hiring frequency: Once a year (25%)
- External job portal: Indeed (Paid)</t>
        </is>
      </c>
      <c r="AT146">
        <v>75</v>
      </c>
      <c r="AU146" t="inlineStr">
        <is>
          <t>0.75</t>
        </is>
      </c>
      <c r="AV146" t="inlineStr">
        <is>
          <t>5</t>
        </is>
      </c>
      <c r="AW146" t="inlineStr">
        <is>
          <t>0</t>
        </is>
      </c>
      <c r="AX146" t="inlineStr">
        <is>
          <t>Not Qualified</t>
        </is>
      </c>
      <c r="AY146" s="4"/>
      <c r="AZ146"/>
      <c r="BA146"/>
      <c r="BB146"/>
      <c r="BC146" t="inlineStr">
        <is>
          <t>- Headcount: 3
- Hiring Job Details: finance, marketing, warehouse assistant
- Hiring Urgency: Hiring Now
- Number of outlets: Not provided
- Have recruiter team: No, I don't need at all
- Number of recruiter in company: Not provided
- Have ATS system: No, I don't need at all
- Have career website: Not provided
- Current hiring budget: Not provided
- Whole year budget: Not provided
- Whole year number of vacancies: Not provided
- Hiring frequency: Once a year (25%)
- External job portal: Indeed (Paid)</t>
        </is>
      </c>
      <c r="BD146" s="4">
        <v>46140.70853009259</v>
      </c>
      <c r="BE146" t="inlineStr">
        <is>
          <t>paid</t>
        </is>
      </c>
      <c r="BF146"/>
      <c r="BG146" t="inlineStr">
        <is>
          <t>Reschedule</t>
        </is>
      </c>
      <c r="BH146" t="inlineStr">
        <is>
          <t>Yee Hang</t>
        </is>
      </c>
      <c r="BI146" t="inlineStr">
        <is>
          <t>Apparel</t>
        </is>
      </c>
      <c r="BJ146" s="4">
        <v>46144.75612268518</v>
      </c>
      <c r="BK146" s="4">
        <v>42427.75679398148</v>
      </c>
      <c r="BL146" t="inlineStr">
        <is>
          <t>0.0</t>
        </is>
      </c>
      <c r="BM146" t="inlineStr">
        <is>
          <t>600.0</t>
        </is>
      </c>
      <c r="BN146" t="inlineStr">
        <is>
          <t>View Company Page</t>
        </is>
      </c>
      <c r="BO146" s="4">
        <v>46051.64196759259</v>
      </c>
      <c r="BP146">
        <v>169334</v>
      </c>
      <c r="BQ146">
        <v>112836</v>
      </c>
      <c r="BR146" t="inlineStr">
        <is>
          <t>Proforma</t>
        </is>
      </c>
      <c r="BS146" t="inlineStr">
        <is>
          <t>A La Carte AI Job Ad Free</t>
        </is>
      </c>
      <c r="BT146">
        <v>71693</v>
      </c>
      <c r="BU146"/>
      <c r="BV146">
        <v>2733675</v>
      </c>
      <c r="BW146" t="inlineStr">
        <is>
          <t>Customer Inquiry</t>
        </is>
      </c>
      <c r="BX146"/>
      <c r="BY146"/>
      <c r="BZ146" s="4"/>
      <c r="CA146"/>
      <c r="CB146"/>
      <c r="CC146" s="4"/>
      <c r="CD146" t="inlineStr">
        <is>
          <t>5</t>
        </is>
      </c>
      <c r="CE146" t="inlineStr">
        <is>
          <t>0</t>
        </is>
      </c>
      <c r="CF146" t="inlineStr">
        <is>
          <t>Q2-W04</t>
        </is>
      </c>
      <c r="CG146"/>
      <c r="CH146"/>
      <c r="CI146"/>
      <c r="CJ146" t="inlineStr">
        <is>
          <t>Paid</t>
        </is>
      </c>
      <c r="CK146" t="inlineStr">
        <is>
          <t>Not Eligible</t>
        </is>
      </c>
      <c r="CL146"/>
      <c r="CM146"/>
    </row>
    <row r="147" ht="25.5" customHeight="1">
      <c r="A147" t="inlineStr">
        <is>
          <t>189160</t>
        </is>
      </c>
      <c r="B147" s="2"/>
      <c r="C147"/>
      <c r="D147" s="3">
        <v>46140.69797453703</v>
      </c>
      <c r="E147" t="inlineStr">
        <is>
          <t>Q2-W04</t>
        </is>
      </c>
      <c r="F147" t="inlineStr">
        <is>
          <t>Carmen</t>
        </is>
      </c>
      <c r="G147" t="inlineStr">
        <is>
          <t>Customer</t>
        </is>
      </c>
      <c r="H147" s="2" t="str">
        <f>=HYPERLINK("https://upbox.ajobthing.my/customer/189160", "https://upbox.ajobthing.my/customer/189160")</f>
        <v>https://upbox.ajobthing.my/customer/189160</v>
      </c>
      <c r="I147" t="inlineStr">
        <is>
          <t>Sand Dunes Sdn Bhd</t>
        </is>
      </c>
      <c r="J147" t="inlineStr">
        <is>
          <t>Dolphin</t>
        </is>
      </c>
      <c r="K147" t="inlineStr">
        <is>
          <t>Carmen</t>
        </is>
      </c>
      <c r="L147" s="4"/>
      <c r="M147" s="4">
        <v>46140.69548611111</v>
      </c>
      <c r="N147"/>
      <c r="O147">
        <v>3576.96</v>
      </c>
      <c r="P147" s="4"/>
      <c r="Q147" s="4">
        <v>45755.46942129629</v>
      </c>
      <c r="R147"/>
      <c r="S147">
        <v>2916</v>
      </c>
      <c r="T147" s="4">
        <v>45755.46942129629</v>
      </c>
      <c r="U147" s="4"/>
      <c r="V147"/>
      <c r="W147">
        <v>2916</v>
      </c>
      <c r="X147"/>
      <c r="Y147" t="inlineStr">
        <is>
          <t>Pending Appointment</t>
        </is>
      </c>
      <c r="Z147" t="inlineStr">
        <is>
          <t>Continuous Hiring</t>
        </is>
      </c>
      <c r="AA147">
        <v>1</v>
      </c>
      <c r="AB147" t="inlineStr">
        <is>
          <t>No Appointment Made</t>
        </is>
      </c>
      <c r="AC147"/>
      <c r="AD147" t="inlineStr">
        <is>
          <t>1 admin</t>
        </is>
      </c>
      <c r="AE147"/>
      <c r="AF147">
        <v>3000</v>
      </c>
      <c r="AG147" s="4"/>
      <c r="AH147" s="4"/>
      <c r="AI147"/>
      <c r="AJ147"/>
      <c r="AK147"/>
      <c r="AL147"/>
      <c r="AM147"/>
      <c r="AN147"/>
      <c r="AO147"/>
      <c r="AP147"/>
      <c r="AQ147"/>
      <c r="AR147"/>
      <c r="AS147" t="inlineStr">
        <is>
          <t>- Headcount: 1
- Hiring Job Details: 1 admin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Not available
- External job portal: Not available</t>
        </is>
      </c>
      <c r="AT147">
        <v>65</v>
      </c>
      <c r="AU147" t="inlineStr">
        <is>
          <t>0.65</t>
        </is>
      </c>
      <c r="AV147" t="inlineStr">
        <is>
          <t>15</t>
        </is>
      </c>
      <c r="AW147" t="inlineStr">
        <is>
          <t>0</t>
        </is>
      </c>
      <c r="AX147" t="inlineStr">
        <is>
          <t>Not Qualified</t>
        </is>
      </c>
      <c r="AY147" s="4"/>
      <c r="AZ147"/>
      <c r="BA147"/>
      <c r="BB147"/>
      <c r="BC147" t="inlineStr">
        <is>
          <t>- Headcount: 1
- Hiring Job Details: 1 admin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Not available
- External job portal: Not available</t>
        </is>
      </c>
      <c r="BD147" s="4">
        <v>46140.70853009259</v>
      </c>
      <c r="BE147" t="inlineStr">
        <is>
          <t>paid</t>
        </is>
      </c>
      <c r="BF147"/>
      <c r="BG147" t="inlineStr">
        <is>
          <t>Reschedule</t>
        </is>
      </c>
      <c r="BH147" t="inlineStr">
        <is>
          <t>Reagen</t>
        </is>
      </c>
      <c r="BI147"/>
      <c r="BJ147" s="4">
        <v>46144.75230324074</v>
      </c>
      <c r="BK147" s="4">
        <v>45737.62616898148</v>
      </c>
      <c r="BL147" t="inlineStr">
        <is>
          <t>0.0</t>
        </is>
      </c>
      <c r="BM147" t="inlineStr">
        <is>
          <t>0.0</t>
        </is>
      </c>
      <c r="BN147" t="inlineStr">
        <is>
          <t>View Company Page</t>
        </is>
      </c>
      <c r="BO147" s="4">
        <v>46112.61804398148</v>
      </c>
      <c r="BP147">
        <v>169336</v>
      </c>
      <c r="BQ147">
        <v>78241</v>
      </c>
      <c r="BR147" t="inlineStr">
        <is>
          <t>Online</t>
        </is>
      </c>
      <c r="BS147"/>
      <c r="BT147">
        <v>78241</v>
      </c>
      <c r="BU147"/>
      <c r="BV147">
        <v>2733680</v>
      </c>
      <c r="BW147" t="inlineStr">
        <is>
          <t>Customer Inquiry</t>
        </is>
      </c>
      <c r="BX147"/>
      <c r="BY147"/>
      <c r="BZ147" s="4"/>
      <c r="CA147"/>
      <c r="CB147"/>
      <c r="CC147" s="4"/>
      <c r="CD147" t="inlineStr">
        <is>
          <t>20</t>
        </is>
      </c>
      <c r="CE147" t="inlineStr">
        <is>
          <t>0</t>
        </is>
      </c>
      <c r="CF147" t="inlineStr">
        <is>
          <t>Q2-W04</t>
        </is>
      </c>
      <c r="CG147"/>
      <c r="CH147"/>
      <c r="CI147"/>
      <c r="CJ147" t="inlineStr">
        <is>
          <t>Paid</t>
        </is>
      </c>
      <c r="CK147" t="inlineStr">
        <is>
          <t>Not Eligible</t>
        </is>
      </c>
      <c r="CL147"/>
      <c r="CM147"/>
    </row>
    <row r="148" ht="25.5" customHeight="1">
      <c r="A148" t="inlineStr">
        <is>
          <t>161082</t>
        </is>
      </c>
      <c r="B148" s="2"/>
      <c r="C148"/>
      <c r="D148" s="3">
        <v>46140.70028935185</v>
      </c>
      <c r="E148" t="inlineStr">
        <is>
          <t>Q2-W04</t>
        </is>
      </c>
      <c r="F148" t="inlineStr">
        <is>
          <t>Xin Quan</t>
        </is>
      </c>
      <c r="G148" t="inlineStr">
        <is>
          <t>Customer</t>
        </is>
      </c>
      <c r="H148" s="2" t="str">
        <f>=HYPERLINK("https://upbox.ajobthing.my/customer/161082", "https://upbox.ajobthing.my/customer/161082")</f>
        <v>https://upbox.ajobthing.my/customer/161082</v>
      </c>
      <c r="I148" t="inlineStr">
        <is>
          <t>Amal Wibawa Education Sdn Bhd</t>
        </is>
      </c>
      <c r="J148" t="inlineStr">
        <is>
          <t>Dolphin</t>
        </is>
      </c>
      <c r="K148" t="inlineStr">
        <is>
          <t>Xin Quan</t>
        </is>
      </c>
      <c r="L148" s="4"/>
      <c r="M148" s="4">
        <v>46140.70039351852</v>
      </c>
      <c r="N148"/>
      <c r="O148">
        <v>3888</v>
      </c>
      <c r="P148" s="4"/>
      <c r="Q148" s="4">
        <v>45443.63439814815</v>
      </c>
      <c r="R148"/>
      <c r="S148">
        <v>2646</v>
      </c>
      <c r="T148" s="4">
        <v>45443.63439814815</v>
      </c>
      <c r="U148" s="4"/>
      <c r="V148"/>
      <c r="W148">
        <v>2646</v>
      </c>
      <c r="X148"/>
      <c r="Y148" t="inlineStr">
        <is>
          <t>Pending Appointment</t>
        </is>
      </c>
      <c r="Z148" t="inlineStr">
        <is>
          <t>Hiring Now</t>
        </is>
      </c>
      <c r="AA148">
        <v>1</v>
      </c>
      <c r="AB148" t="inlineStr">
        <is>
          <t>No Appointment Made</t>
        </is>
      </c>
      <c r="AC148"/>
      <c r="AD148" t="inlineStr">
        <is>
          <t>2 Education , Base in PERAK</t>
        </is>
      </c>
      <c r="AE148"/>
      <c r="AF148">
        <v>2000</v>
      </c>
      <c r="AG148" s="4"/>
      <c r="AH148" s="4"/>
      <c r="AI148">
        <v>24000</v>
      </c>
      <c r="AJ148">
        <v>1</v>
      </c>
      <c r="AK148" t="inlineStr">
        <is>
          <t>No, I don't need at all</t>
        </is>
      </c>
      <c r="AL148">
        <v>1</v>
      </c>
      <c r="AM148" t="inlineStr">
        <is>
          <t>No, I don't need at all</t>
        </is>
      </c>
      <c r="AN148"/>
      <c r="AO148" t="inlineStr">
        <is>
          <t>No, I don't need at all</t>
        </is>
      </c>
      <c r="AP148" t="inlineStr">
        <is>
          <t>Once a year (25%)</t>
        </is>
      </c>
      <c r="AQ148">
        <v>2</v>
      </c>
      <c r="AR148"/>
      <c r="AS148" t="inlineStr">
        <is>
          <t>- Headcount: 1
- Hiring Job Details: 2 Education, Base in PERAK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2
- Hiring frequency: Once a year (25%)
- External job portal: None</t>
        </is>
      </c>
      <c r="AT148">
        <v>75</v>
      </c>
      <c r="AU148" t="inlineStr">
        <is>
          <t>0.75</t>
        </is>
      </c>
      <c r="AV148" t="inlineStr">
        <is>
          <t>15</t>
        </is>
      </c>
      <c r="AW148" t="inlineStr">
        <is>
          <t>0</t>
        </is>
      </c>
      <c r="AX148" t="inlineStr">
        <is>
          <t>Not Qualified</t>
        </is>
      </c>
      <c r="AY148" s="4"/>
      <c r="AZ148"/>
      <c r="BA148"/>
      <c r="BB148"/>
      <c r="BC148" t="inlineStr">
        <is>
          <t>Call NA</t>
        </is>
      </c>
      <c r="BD148" s="4">
        <v>46142.44542824074</v>
      </c>
      <c r="BE148" t="inlineStr">
        <is>
          <t>paid</t>
        </is>
      </c>
      <c r="BF148"/>
      <c r="BG148" t="inlineStr">
        <is>
          <t>Reschedule</t>
        </is>
      </c>
      <c r="BH148" t="inlineStr">
        <is>
          <t>Edward Hoo</t>
        </is>
      </c>
      <c r="BI148" t="inlineStr">
        <is>
          <t>Education / Training</t>
        </is>
      </c>
      <c r="BJ148" s="4">
        <v>46144.751122685186</v>
      </c>
      <c r="BK148" s="4">
        <v>44851.42909722222</v>
      </c>
      <c r="BL148" t="inlineStr">
        <is>
          <t>0.0</t>
        </is>
      </c>
      <c r="BM148" t="inlineStr">
        <is>
          <t>600.0</t>
        </is>
      </c>
      <c r="BN148" t="inlineStr">
        <is>
          <t>PA Visit - Applicant Manager</t>
        </is>
      </c>
      <c r="BO148" s="4">
        <v>45896.94181712963</v>
      </c>
      <c r="BP148">
        <v>169340</v>
      </c>
      <c r="BQ148">
        <v>69694</v>
      </c>
      <c r="BR148" t="inlineStr">
        <is>
          <t>Online</t>
        </is>
      </c>
      <c r="BS148"/>
      <c r="BT148">
        <v>69694</v>
      </c>
      <c r="BU148"/>
      <c r="BV148">
        <v>2736830</v>
      </c>
      <c r="BW148" t="inlineStr">
        <is>
          <t>Follow Up : Decision Pending</t>
        </is>
      </c>
      <c r="BX148"/>
      <c r="BY148"/>
      <c r="BZ148" s="4"/>
      <c r="CA148"/>
      <c r="CB148"/>
      <c r="CC148" s="4"/>
      <c r="CD148" t="inlineStr">
        <is>
          <t>20</t>
        </is>
      </c>
      <c r="CE148" t="inlineStr">
        <is>
          <t>0</t>
        </is>
      </c>
      <c r="CF148" t="inlineStr">
        <is>
          <t>Q2-W04</t>
        </is>
      </c>
      <c r="CG148"/>
      <c r="CH148"/>
      <c r="CI148"/>
      <c r="CJ148" t="inlineStr">
        <is>
          <t>Paid</t>
        </is>
      </c>
      <c r="CK148" t="inlineStr">
        <is>
          <t>Not Eligible</t>
        </is>
      </c>
      <c r="CL148"/>
      <c r="CM148"/>
    </row>
    <row r="149" ht="25.5" customHeight="1">
      <c r="A149" t="inlineStr">
        <is>
          <t>188798</t>
        </is>
      </c>
      <c r="B149" s="2"/>
      <c r="C149"/>
      <c r="D149" s="3">
        <v>46140.704780092594</v>
      </c>
      <c r="E149" t="inlineStr">
        <is>
          <t>Q2-W04</t>
        </is>
      </c>
      <c r="F149" t="inlineStr">
        <is>
          <t>Jeff Lee</t>
        </is>
      </c>
      <c r="G149" t="inlineStr">
        <is>
          <t>Customer</t>
        </is>
      </c>
      <c r="H149" s="2" t="str">
        <f>=HYPERLINK("https://upbox.ajobthing.my/customer/188798", "https://upbox.ajobthing.my/customer/188798")</f>
        <v>https://upbox.ajobthing.my/customer/188798</v>
      </c>
      <c r="I149" t="inlineStr">
        <is>
          <t>Mitutoyo(m)</t>
        </is>
      </c>
      <c r="J149" t="inlineStr">
        <is>
          <t>Dolphin</t>
        </is>
      </c>
      <c r="K149" t="inlineStr">
        <is>
          <t>Jeff Lee</t>
        </is>
      </c>
      <c r="L149" s="4"/>
      <c r="M149" s="4">
        <v>46140.703726851854</v>
      </c>
      <c r="N149"/>
      <c r="O149">
        <v>3888</v>
      </c>
      <c r="P149" s="4"/>
      <c r="Q149" s="4"/>
      <c r="R149"/>
      <c r="S149"/>
      <c r="T149" s="4"/>
      <c r="U149" s="4"/>
      <c r="V149"/>
      <c r="W149"/>
      <c r="X149"/>
      <c r="Y149" t="inlineStr">
        <is>
          <t>Pending Appointment</t>
        </is>
      </c>
      <c r="Z149" t="inlineStr">
        <is>
          <t>Hiring Now</t>
        </is>
      </c>
      <c r="AA149">
        <v>2</v>
      </c>
      <c r="AB149" t="inlineStr">
        <is>
          <t>No Appointment Made</t>
        </is>
      </c>
      <c r="AC149"/>
      <c r="AD149" t="inlineStr">
        <is>
          <t xml:space="preserve">1 accountant, 1 logistic </t>
        </is>
      </c>
      <c r="AE149"/>
      <c r="AF149">
        <v>0</v>
      </c>
      <c r="AG149" s="4"/>
      <c r="AH149" s="4"/>
      <c r="AI149">
        <v>0</v>
      </c>
      <c r="AJ149">
        <v>0</v>
      </c>
      <c r="AK149" t="inlineStr">
        <is>
          <t>No, I don't need at all</t>
        </is>
      </c>
      <c r="AL149">
        <v>0</v>
      </c>
      <c r="AM149" t="inlineStr">
        <is>
          <t>No, I don't need at all</t>
        </is>
      </c>
      <c r="AN149"/>
      <c r="AO149" t="inlineStr">
        <is>
          <t>No, I don't need at all</t>
        </is>
      </c>
      <c r="AP149" t="inlineStr">
        <is>
          <t>Once a year (25%)</t>
        </is>
      </c>
      <c r="AQ149">
        <v>2</v>
      </c>
      <c r="AR149" t="inlineStr">
        <is>
          <t>Did not use any job portal</t>
        </is>
      </c>
      <c r="AS149" t="inlineStr">
        <is>
          <t>- Headcount: 2
- Hiring Job Details: 1 accountant, 1 logistic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49">
        <v>110</v>
      </c>
      <c r="AU149" t="inlineStr">
        <is>
          <t>1.10</t>
        </is>
      </c>
      <c r="AV149" t="inlineStr">
        <is>
          <t>15</t>
        </is>
      </c>
      <c r="AW149" t="inlineStr">
        <is>
          <t>0</t>
        </is>
      </c>
      <c r="AX149" t="inlineStr">
        <is>
          <t>Not Qualified</t>
        </is>
      </c>
      <c r="AY149" s="4"/>
      <c r="AZ149"/>
      <c r="BA149"/>
      <c r="BB149"/>
      <c r="BC149" t="inlineStr">
        <is>
          <t>- Headcount: 2
- Hiring Job Details: 1 accountant, 1 logistic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BD149" s="4">
        <v>46140.70854166667</v>
      </c>
      <c r="BE149"/>
      <c r="BF149"/>
      <c r="BG149" t="inlineStr">
        <is>
          <t>Reschedule</t>
        </is>
      </c>
      <c r="BH149" t="inlineStr">
        <is>
          <t>Yee Hang</t>
        </is>
      </c>
      <c r="BI149"/>
      <c r="BJ149" s="4">
        <v>46144.752280092594</v>
      </c>
      <c r="BK149" s="4">
        <v>45728.68834490741</v>
      </c>
      <c r="BL149" t="inlineStr">
        <is>
          <t>0.0</t>
        </is>
      </c>
      <c r="BM149" t="inlineStr">
        <is>
          <t>600.0</t>
        </is>
      </c>
      <c r="BN149" t="inlineStr">
        <is>
          <t>User Visit(Logged In)</t>
        </is>
      </c>
      <c r="BO149" s="4">
        <v>45728.688425925924</v>
      </c>
      <c r="BP149">
        <v>169344</v>
      </c>
      <c r="BQ149"/>
      <c r="BR149"/>
      <c r="BS149"/>
      <c r="BT149"/>
      <c r="BU149"/>
      <c r="BV149">
        <v>2733682</v>
      </c>
      <c r="BW149" t="inlineStr">
        <is>
          <t>Customer Inquiry</t>
        </is>
      </c>
      <c r="BX149"/>
      <c r="BY149"/>
      <c r="BZ149" s="4"/>
      <c r="CA149"/>
      <c r="CB149"/>
      <c r="CC149" s="4"/>
      <c r="CD149" t="inlineStr">
        <is>
          <t>20</t>
        </is>
      </c>
      <c r="CE149" t="inlineStr">
        <is>
          <t>0</t>
        </is>
      </c>
      <c r="CF149" t="inlineStr">
        <is>
          <t>Q2-W04</t>
        </is>
      </c>
      <c r="CG149"/>
      <c r="CH149"/>
      <c r="CI149"/>
      <c r="CJ149" t="inlineStr">
        <is>
          <t>No Paid</t>
        </is>
      </c>
      <c r="CK149" t="inlineStr">
        <is>
          <t>Not Eligible</t>
        </is>
      </c>
      <c r="CL149"/>
      <c r="CM149"/>
    </row>
    <row r="150" ht="25.5" customHeight="1">
      <c r="A150" t="inlineStr">
        <is>
          <t>10075</t>
        </is>
      </c>
      <c r="B150" s="2"/>
      <c r="C150"/>
      <c r="D150" s="3">
        <v>46140.711689814816</v>
      </c>
      <c r="E150" t="inlineStr">
        <is>
          <t>Q2-W04</t>
        </is>
      </c>
      <c r="F150" t="inlineStr">
        <is>
          <t>Xin Hui</t>
        </is>
      </c>
      <c r="G150" t="inlineStr">
        <is>
          <t>Customer</t>
        </is>
      </c>
      <c r="H150" s="2" t="str">
        <f>=HYPERLINK("https://upbox.ajobthing.my/customer/10075", "https://upbox.ajobthing.my/customer/10075")</f>
        <v>https://upbox.ajobthing.my/customer/10075</v>
      </c>
      <c r="I150" t="inlineStr">
        <is>
          <t>W2G Wealth Advisory (BM Branch)</t>
        </is>
      </c>
      <c r="J150" t="inlineStr">
        <is>
          <t>Dolphin</t>
        </is>
      </c>
      <c r="K150" t="inlineStr">
        <is>
          <t>Xin Hui</t>
        </is>
      </c>
      <c r="L150" s="4"/>
      <c r="M150" s="4">
        <v>46140.71192129629</v>
      </c>
      <c r="N150"/>
      <c r="O150">
        <v>3888</v>
      </c>
      <c r="P150" s="4"/>
      <c r="Q150" s="4">
        <v>44229.094872685186</v>
      </c>
      <c r="R150"/>
      <c r="S150">
        <v>1060</v>
      </c>
      <c r="T150" s="4">
        <v>44228.00001157408</v>
      </c>
      <c r="U150" s="4"/>
      <c r="V150"/>
      <c r="W150">
        <v>1060</v>
      </c>
      <c r="X150"/>
      <c r="Y150" t="inlineStr">
        <is>
          <t>Pending Appointment</t>
        </is>
      </c>
      <c r="Z150" t="inlineStr">
        <is>
          <t>Hiring Now</t>
        </is>
      </c>
      <c r="AA150">
        <v>5</v>
      </c>
      <c r="AB150" t="inlineStr">
        <is>
          <t>No Appointment Made</t>
        </is>
      </c>
      <c r="AC150"/>
      <c r="AD150" t="inlineStr">
        <is>
          <t>internship + wealth planner 5-10HC</t>
        </is>
      </c>
      <c r="AE150"/>
      <c r="AF150"/>
      <c r="AG150" s="4"/>
      <c r="AH150" s="4"/>
      <c r="AI150"/>
      <c r="AJ150"/>
      <c r="AK150" t="inlineStr">
        <is>
          <t>No, I don't need at all</t>
        </is>
      </c>
      <c r="AL150"/>
      <c r="AM150" t="inlineStr">
        <is>
          <t>No, I don't need at all</t>
        </is>
      </c>
      <c r="AN150"/>
      <c r="AO150" t="inlineStr">
        <is>
          <t>No, I don't need at all</t>
        </is>
      </c>
      <c r="AP150" t="inlineStr">
        <is>
          <t>Once a year (25%)</t>
        </is>
      </c>
      <c r="AQ150"/>
      <c r="AR150" t="inlineStr">
        <is>
          <t>Jobstreet</t>
        </is>
      </c>
      <c r="AS150" t="inlineStr">
        <is>
          <t>- Headcount: 5
- Hiring Job Details: internship + wealth planner 5-10HC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AT150">
        <v>75</v>
      </c>
      <c r="AU150" t="inlineStr">
        <is>
          <t>0.75</t>
        </is>
      </c>
      <c r="AV150" t="inlineStr">
        <is>
          <t>10</t>
        </is>
      </c>
      <c r="AW150" t="inlineStr">
        <is>
          <t>0</t>
        </is>
      </c>
      <c r="AX150" t="inlineStr">
        <is>
          <t>Not Qualified</t>
        </is>
      </c>
      <c r="AY150" s="4"/>
      <c r="AZ150"/>
      <c r="BA150"/>
      <c r="BB150"/>
      <c r="BC150" t="inlineStr">
        <is>
          <t>- Headcount: 5
- Hiring Job Details: internship + wealth planner 5-10HC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BD150" s="4">
        <v>46140.750231481485</v>
      </c>
      <c r="BE150" t="inlineStr">
        <is>
          <t>paid</t>
        </is>
      </c>
      <c r="BF150"/>
      <c r="BG150" t="inlineStr">
        <is>
          <t>Reschedule</t>
        </is>
      </c>
      <c r="BH150" t="inlineStr">
        <is>
          <t>Yee Hang</t>
        </is>
      </c>
      <c r="BI150" t="inlineStr">
        <is>
          <t>Insurance</t>
        </is>
      </c>
      <c r="BJ150" s="4">
        <v>46144.750127314815</v>
      </c>
      <c r="BK150" s="4">
        <v>42478.85649305556</v>
      </c>
      <c r="BL150" t="inlineStr">
        <is>
          <t>0.0</t>
        </is>
      </c>
      <c r="BM150" t="inlineStr">
        <is>
          <t>0.0</t>
        </is>
      </c>
      <c r="BN150" t="inlineStr">
        <is>
          <t>View Jobmanager Page</t>
        </is>
      </c>
      <c r="BO150" s="4">
        <v>44766.805289351854</v>
      </c>
      <c r="BP150">
        <v>169351</v>
      </c>
      <c r="BQ150">
        <v>40795</v>
      </c>
      <c r="BR150" t="inlineStr">
        <is>
          <t>Proforma</t>
        </is>
      </c>
      <c r="BS150" t="inlineStr">
        <is>
          <t>A la carte</t>
        </is>
      </c>
      <c r="BT150">
        <v>30005</v>
      </c>
      <c r="BU150"/>
      <c r="BV150">
        <v>2733940</v>
      </c>
      <c r="BW150" t="inlineStr">
        <is>
          <t>Customer Inquiry</t>
        </is>
      </c>
      <c r="BX150"/>
      <c r="BY150"/>
      <c r="BZ150" s="4"/>
      <c r="CA150"/>
      <c r="CB150"/>
      <c r="CC150" s="4"/>
      <c r="CD150" t="inlineStr">
        <is>
          <t>15</t>
        </is>
      </c>
      <c r="CE150" t="inlineStr">
        <is>
          <t>0</t>
        </is>
      </c>
      <c r="CF150" t="inlineStr">
        <is>
          <t>Q2-W04</t>
        </is>
      </c>
      <c r="CG150"/>
      <c r="CH150"/>
      <c r="CI150"/>
      <c r="CJ150" t="inlineStr">
        <is>
          <t>Paid</t>
        </is>
      </c>
      <c r="CK150" t="inlineStr">
        <is>
          <t>Not Eligible</t>
        </is>
      </c>
      <c r="CL150"/>
      <c r="CM150"/>
    </row>
    <row r="151" ht="25.5" customHeight="1">
      <c r="A151" t="inlineStr">
        <is>
          <t>201781</t>
        </is>
      </c>
      <c r="B151" s="2"/>
      <c r="C151"/>
      <c r="D151" s="3">
        <v>46140.71368055556</v>
      </c>
      <c r="E151" t="inlineStr">
        <is>
          <t>Q2-W04</t>
        </is>
      </c>
      <c r="F151" t="inlineStr">
        <is>
          <t>Janice Yap</t>
        </is>
      </c>
      <c r="G151" t="inlineStr">
        <is>
          <t>Customer</t>
        </is>
      </c>
      <c r="H151" s="2" t="str">
        <f>=HYPERLINK("https://upbox.ajobthing.my/customer/201781", "https://upbox.ajobthing.my/customer/201781")</f>
        <v>https://upbox.ajobthing.my/customer/201781</v>
      </c>
      <c r="I151" t="inlineStr">
        <is>
          <t>Eastroc Beverage (M) Sdn Bhd</t>
        </is>
      </c>
      <c r="J151" t="inlineStr">
        <is>
          <t>Dolphin</t>
        </is>
      </c>
      <c r="K151" t="inlineStr">
        <is>
          <t>Janice</t>
        </is>
      </c>
      <c r="L151" s="4"/>
      <c r="M151" s="4">
        <v>46141.4005787037</v>
      </c>
      <c r="N151"/>
      <c r="O151">
        <v>3888</v>
      </c>
      <c r="P151" s="4"/>
      <c r="Q151" s="4">
        <v>46122.65715277778</v>
      </c>
      <c r="R151"/>
      <c r="S151">
        <v>0</v>
      </c>
      <c r="T151" s="4"/>
      <c r="U151" s="4"/>
      <c r="V151"/>
      <c r="W151"/>
      <c r="X151"/>
      <c r="Y151" t="inlineStr">
        <is>
          <t>Pending Appointment</t>
        </is>
      </c>
      <c r="Z151" t="inlineStr">
        <is>
          <t>Hiring Now</t>
        </is>
      </c>
      <c r="AA151">
        <v>10</v>
      </c>
      <c r="AB151" t="inlineStr">
        <is>
          <t>No Appointment Made</t>
        </is>
      </c>
      <c r="AC151"/>
      <c r="AD151" t="inlineStr">
        <is>
          <t>10 outdoor sales</t>
        </is>
      </c>
      <c r="AE151"/>
      <c r="AF151">
        <v>0</v>
      </c>
      <c r="AG151" s="4"/>
      <c r="AH151" s="4"/>
      <c r="AI151">
        <v>0</v>
      </c>
      <c r="AJ151"/>
      <c r="AK151" t="inlineStr">
        <is>
          <t>No, I don't need at all</t>
        </is>
      </c>
      <c r="AL151">
        <v>0</v>
      </c>
      <c r="AM151" t="inlineStr">
        <is>
          <t>No, I don't need at all</t>
        </is>
      </c>
      <c r="AN151"/>
      <c r="AO151" t="inlineStr">
        <is>
          <t>No, I don't need at all</t>
        </is>
      </c>
      <c r="AP151" t="inlineStr">
        <is>
          <t>Once a year (25%)</t>
        </is>
      </c>
      <c r="AQ151">
        <v>10</v>
      </c>
      <c r="AR151" t="inlineStr">
        <is>
          <t>Jobstreet, Hiredly, Indeed (Paid), Free Job Portal</t>
        </is>
      </c>
      <c r="AS151" t="inlineStr">
        <is>
          <t>- Headcount: 10
- Hiring Job Details: 10 outdoor sales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10
- Hiring frequency: Once a year (25%)
- External job portal: Jobstreet,Hiredly,Indeed (Paid),Free Job Portal</t>
        </is>
      </c>
      <c r="AT151">
        <v>115</v>
      </c>
      <c r="AU151" t="inlineStr">
        <is>
          <t>1.15</t>
        </is>
      </c>
      <c r="AV151" t="inlineStr">
        <is>
          <t>20</t>
        </is>
      </c>
      <c r="AW151" t="inlineStr">
        <is>
          <t>0</t>
        </is>
      </c>
      <c r="AX151" t="inlineStr">
        <is>
          <t>Not Qualified</t>
        </is>
      </c>
      <c r="AY151" s="4"/>
      <c r="AZ151"/>
      <c r="BA151"/>
      <c r="BB151"/>
      <c r="BC151" t="inlineStr">
        <is>
          <t>PIC in meeting // pending</t>
        </is>
      </c>
      <c r="BD151" s="4">
        <v>46142.696805555555</v>
      </c>
      <c r="BE151" t="inlineStr">
        <is>
          <t>paid</t>
        </is>
      </c>
      <c r="BF151"/>
      <c r="BG151" t="inlineStr">
        <is>
          <t>Reschedule</t>
        </is>
      </c>
      <c r="BH151" t="inlineStr">
        <is>
          <t>Yee Hang</t>
        </is>
      </c>
      <c r="BI151" t="inlineStr">
        <is>
          <t>Food / Beverage</t>
        </is>
      </c>
      <c r="BJ151" s="4">
        <v>46144.753854166665</v>
      </c>
      <c r="BK151" s="4">
        <v>46087.38616898148</v>
      </c>
      <c r="BL151" t="inlineStr">
        <is>
          <t>0.0</t>
        </is>
      </c>
      <c r="BM151" t="inlineStr">
        <is>
          <t>1950.0</t>
        </is>
      </c>
      <c r="BN151" t="inlineStr">
        <is>
          <t>PA Visit - Email</t>
        </is>
      </c>
      <c r="BO151" s="4">
        <v>46142.38065972222</v>
      </c>
      <c r="BP151">
        <v>169393</v>
      </c>
      <c r="BQ151">
        <v>121753</v>
      </c>
      <c r="BR151" t="inlineStr">
        <is>
          <t>Proforma</t>
        </is>
      </c>
      <c r="BS151" t="inlineStr">
        <is>
          <t>Free Part-Time Job</t>
        </is>
      </c>
      <c r="BT151"/>
      <c r="BU151"/>
      <c r="BV151">
        <v>2738229</v>
      </c>
      <c r="BW151" t="inlineStr">
        <is>
          <t>Follow Up : Decision Pending</t>
        </is>
      </c>
      <c r="BX151"/>
      <c r="BY151"/>
      <c r="BZ151" s="4"/>
      <c r="CA151">
        <v>13</v>
      </c>
      <c r="CB151">
        <v>13</v>
      </c>
      <c r="CC151" s="4"/>
      <c r="CD151" t="inlineStr">
        <is>
          <t>30</t>
        </is>
      </c>
      <c r="CE151" t="inlineStr">
        <is>
          <t>0</t>
        </is>
      </c>
      <c r="CF151" t="inlineStr">
        <is>
          <t>Q2-W04</t>
        </is>
      </c>
      <c r="CG151" t="inlineStr">
        <is>
          <t>Q2-W02</t>
        </is>
      </c>
      <c r="CH151"/>
      <c r="CI151"/>
      <c r="CJ151" t="inlineStr">
        <is>
          <t>No Paid</t>
        </is>
      </c>
      <c r="CK151" t="inlineStr">
        <is>
          <t>Eligible</t>
        </is>
      </c>
      <c r="CL151"/>
      <c r="CM151"/>
    </row>
    <row r="152" ht="25.5" customHeight="1">
      <c r="A152" t="inlineStr">
        <is>
          <t>173337</t>
        </is>
      </c>
      <c r="B152" s="2"/>
      <c r="C152"/>
      <c r="D152" s="3">
        <v>46140.72625</v>
      </c>
      <c r="E152" t="inlineStr">
        <is>
          <t>Q2-W04</t>
        </is>
      </c>
      <c r="F152" t="inlineStr">
        <is>
          <t>Carmen</t>
        </is>
      </c>
      <c r="G152" t="inlineStr">
        <is>
          <t>Customer</t>
        </is>
      </c>
      <c r="H152" s="2" t="str">
        <f>=HYPERLINK("https://upbox.ajobthing.my/customer/173337", "https://upbox.ajobthing.my/customer/173337")</f>
        <v>https://upbox.ajobthing.my/customer/173337</v>
      </c>
      <c r="I152" t="inlineStr">
        <is>
          <t>Tannet Malaysia Sdn Bhd</t>
        </is>
      </c>
      <c r="J152" t="inlineStr">
        <is>
          <t>Dolphin</t>
        </is>
      </c>
      <c r="K152" t="inlineStr">
        <is>
          <t>Carmen</t>
        </is>
      </c>
      <c r="L152" s="4"/>
      <c r="M152" s="4">
        <v>46140.72295138889</v>
      </c>
      <c r="N152"/>
      <c r="O152">
        <v>5412.96</v>
      </c>
      <c r="P152" s="4"/>
      <c r="Q152" s="4">
        <v>45776.71108796296</v>
      </c>
      <c r="R152"/>
      <c r="S152">
        <v>2916</v>
      </c>
      <c r="T152" s="4">
        <v>45776.71108796296</v>
      </c>
      <c r="U152" s="4"/>
      <c r="V152"/>
      <c r="W152">
        <v>2916</v>
      </c>
      <c r="X152"/>
      <c r="Y152" t="inlineStr">
        <is>
          <t>Pending Appointment</t>
        </is>
      </c>
      <c r="Z152" t="inlineStr">
        <is>
          <t>Continuous Hiring</t>
        </is>
      </c>
      <c r="AA152">
        <v>1</v>
      </c>
      <c r="AB152" t="inlineStr">
        <is>
          <t>No Appointment Made</t>
        </is>
      </c>
      <c r="AC152"/>
      <c r="AD152" t="inlineStr">
        <is>
          <t>1 account</t>
        </is>
      </c>
      <c r="AE152"/>
      <c r="AF152">
        <v>3000</v>
      </c>
      <c r="AG152" s="4"/>
      <c r="AH152" s="4"/>
      <c r="AI152"/>
      <c r="AJ152"/>
      <c r="AK152"/>
      <c r="AL152"/>
      <c r="AM152"/>
      <c r="AN152"/>
      <c r="AO152"/>
      <c r="AP152" t="inlineStr">
        <is>
          <t>Once a year (25%)</t>
        </is>
      </c>
      <c r="AQ152"/>
      <c r="AR152"/>
      <c r="AS152" t="inlineStr">
        <is>
          <t>- Headcount: 1
- Hiring Job Details: 1 account
- Hiring Urgency: Continuous Hiring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152">
        <v>65</v>
      </c>
      <c r="AU152" t="inlineStr">
        <is>
          <t>0.65</t>
        </is>
      </c>
      <c r="AV152" t="inlineStr">
        <is>
          <t>15</t>
        </is>
      </c>
      <c r="AW152" t="inlineStr">
        <is>
          <t>0</t>
        </is>
      </c>
      <c r="AX152" t="inlineStr">
        <is>
          <t>Not Qualified</t>
        </is>
      </c>
      <c r="AY152" s="4"/>
      <c r="AZ152"/>
      <c r="BA152"/>
      <c r="BB152"/>
      <c r="BC152" t="inlineStr">
        <is>
          <t>- Headcount: 1
- Hiring Job Details: 1 account
- Hiring Urgency: Continuous Hiring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BD152" s="4">
        <v>46140.750231481485</v>
      </c>
      <c r="BE152" t="inlineStr">
        <is>
          <t>paid</t>
        </is>
      </c>
      <c r="BF152"/>
      <c r="BG152" t="inlineStr">
        <is>
          <t>Reschedule</t>
        </is>
      </c>
      <c r="BH152" t="inlineStr">
        <is>
          <t>Reagen</t>
        </is>
      </c>
      <c r="BI152" t="inlineStr">
        <is>
          <t>Accounting / Tax Services</t>
        </is>
      </c>
      <c r="BJ152" s="4">
        <v>46144.75150462963</v>
      </c>
      <c r="BK152" s="4">
        <v>45259.40430555555</v>
      </c>
      <c r="BL152" t="inlineStr">
        <is>
          <t>2916.0</t>
        </is>
      </c>
      <c r="BM152" t="inlineStr">
        <is>
          <t>0.0</t>
        </is>
      </c>
      <c r="BN152" t="inlineStr">
        <is>
          <t>View Company Page</t>
        </is>
      </c>
      <c r="BO152" s="4">
        <v>46140.72516203704</v>
      </c>
      <c r="BP152">
        <v>169366</v>
      </c>
      <c r="BQ152">
        <v>78875</v>
      </c>
      <c r="BR152" t="inlineStr">
        <is>
          <t>Online</t>
        </is>
      </c>
      <c r="BS152"/>
      <c r="BT152">
        <v>78875</v>
      </c>
      <c r="BU152"/>
      <c r="BV152">
        <v>2733948</v>
      </c>
      <c r="BW152" t="inlineStr">
        <is>
          <t>Customer Inquiry</t>
        </is>
      </c>
      <c r="BX152"/>
      <c r="BY152"/>
      <c r="BZ152" s="4"/>
      <c r="CA152"/>
      <c r="CB152"/>
      <c r="CC152" s="4"/>
      <c r="CD152" t="inlineStr">
        <is>
          <t>20</t>
        </is>
      </c>
      <c r="CE152" t="inlineStr">
        <is>
          <t>0</t>
        </is>
      </c>
      <c r="CF152" t="inlineStr">
        <is>
          <t>Q2-W04</t>
        </is>
      </c>
      <c r="CG152"/>
      <c r="CH152"/>
      <c r="CI152"/>
      <c r="CJ152" t="inlineStr">
        <is>
          <t>Paid</t>
        </is>
      </c>
      <c r="CK152" t="inlineStr">
        <is>
          <t>Not Eligible</t>
        </is>
      </c>
      <c r="CL152"/>
      <c r="CM152"/>
    </row>
    <row r="153" ht="25.5" customHeight="1">
      <c r="A153" t="inlineStr">
        <is>
          <t>179359</t>
        </is>
      </c>
      <c r="B153" s="2"/>
      <c r="C153"/>
      <c r="D153" s="3">
        <v>46140.75457175926</v>
      </c>
      <c r="E153" t="inlineStr">
        <is>
          <t>Q2-W04</t>
        </is>
      </c>
      <c r="F153" t="inlineStr">
        <is>
          <t>Angel  Low</t>
        </is>
      </c>
      <c r="G153" t="inlineStr">
        <is>
          <t>Customer</t>
        </is>
      </c>
      <c r="H153" s="2" t="str">
        <f>=HYPERLINK("https://upbox.ajobthing.my/customer/179359", "https://upbox.ajobthing.my/customer/179359")</f>
        <v>https://upbox.ajobthing.my/customer/179359</v>
      </c>
      <c r="I153" t="inlineStr">
        <is>
          <t>Nova Wealth Management</t>
        </is>
      </c>
      <c r="J153" t="inlineStr">
        <is>
          <t>Dolphin</t>
        </is>
      </c>
      <c r="K153" t="inlineStr">
        <is>
          <t>Angel Low</t>
        </is>
      </c>
      <c r="L153" s="4"/>
      <c r="M153" s="4">
        <v>46140.75555555556</v>
      </c>
      <c r="N153"/>
      <c r="O153">
        <v>3576.96</v>
      </c>
      <c r="P153" s="4"/>
      <c r="Q153" s="4">
        <v>45926.64346064815</v>
      </c>
      <c r="R153"/>
      <c r="S153">
        <v>0</v>
      </c>
      <c r="T153" s="4">
        <v>45782.63197916667</v>
      </c>
      <c r="U153" s="4"/>
      <c r="V153"/>
      <c r="W153">
        <v>2916</v>
      </c>
      <c r="X153"/>
      <c r="Y153" t="inlineStr">
        <is>
          <t>Pending Appointment</t>
        </is>
      </c>
      <c r="Z153"/>
      <c r="AA153">
        <v>1</v>
      </c>
      <c r="AB153" t="inlineStr">
        <is>
          <t>No Appointment Made</t>
        </is>
      </c>
      <c r="AC153"/>
      <c r="AD153" t="inlineStr">
        <is>
          <t xml:space="preserve">1 sales </t>
        </is>
      </c>
      <c r="AE153"/>
      <c r="AF153"/>
      <c r="AG153" s="4"/>
      <c r="AH153" s="4"/>
      <c r="AI153"/>
      <c r="AJ153"/>
      <c r="AK153"/>
      <c r="AL153"/>
      <c r="AM153"/>
      <c r="AN153"/>
      <c r="AO153"/>
      <c r="AP153"/>
      <c r="AQ153"/>
      <c r="AR153"/>
      <c r="AS153" t="inlineStr">
        <is>
          <t>- Headcount: 1
- Hiring Job Details: 1 sales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53">
        <v>60</v>
      </c>
      <c r="AU153" t="inlineStr">
        <is>
          <t>0.60</t>
        </is>
      </c>
      <c r="AV153" t="inlineStr">
        <is>
          <t>5</t>
        </is>
      </c>
      <c r="AW153" t="inlineStr">
        <is>
          <t>0</t>
        </is>
      </c>
      <c r="AX153" t="inlineStr">
        <is>
          <t>Not Qualified</t>
        </is>
      </c>
      <c r="AY153" s="4"/>
      <c r="AZ153"/>
      <c r="BA153"/>
      <c r="BB153"/>
      <c r="BC153" t="inlineStr">
        <is>
          <t>- Headcount: 2
- Hiring Job Details: 2 sales mandarin speaker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Not provided
- External job portal: Not provided</t>
        </is>
      </c>
      <c r="BD153" s="4">
        <v>46141.45837962963</v>
      </c>
      <c r="BE153" t="inlineStr">
        <is>
          <t>paid</t>
        </is>
      </c>
      <c r="BF153"/>
      <c r="BG153" t="inlineStr">
        <is>
          <t>Reschedule</t>
        </is>
      </c>
      <c r="BH153" t="inlineStr">
        <is>
          <t>Fauziah Maharan</t>
        </is>
      </c>
      <c r="BI153" t="inlineStr">
        <is>
          <t>Banking / Finance</t>
        </is>
      </c>
      <c r="BJ153" s="4">
        <v>46144.75178240741</v>
      </c>
      <c r="BK153" s="4">
        <v>45455.59903935185</v>
      </c>
      <c r="BL153" t="inlineStr">
        <is>
          <t>2916.0</t>
        </is>
      </c>
      <c r="BM153" t="inlineStr">
        <is>
          <t>0.0</t>
        </is>
      </c>
      <c r="BN153" t="inlineStr">
        <is>
          <t>View Company Page</t>
        </is>
      </c>
      <c r="BO153" s="4">
        <v>46141.75716435185</v>
      </c>
      <c r="BP153">
        <v>169373</v>
      </c>
      <c r="BQ153">
        <v>109920</v>
      </c>
      <c r="BR153" t="inlineStr">
        <is>
          <t>Proforma</t>
        </is>
      </c>
      <c r="BS153" t="inlineStr">
        <is>
          <t>A La Carte AI Job Ad Free</t>
        </is>
      </c>
      <c r="BT153">
        <v>78998</v>
      </c>
      <c r="BU153"/>
      <c r="BV153">
        <v>2734574</v>
      </c>
      <c r="BW153" t="inlineStr">
        <is>
          <t>Customer Inquiry</t>
        </is>
      </c>
      <c r="BX153">
        <v>6</v>
      </c>
      <c r="BY153">
        <v>0</v>
      </c>
      <c r="BZ153" s="4">
        <v>46139.61744212963</v>
      </c>
      <c r="CA153">
        <v>120</v>
      </c>
      <c r="CB153">
        <v>10</v>
      </c>
      <c r="CC153" s="4">
        <v>46100.50667824074</v>
      </c>
      <c r="CD153" t="inlineStr">
        <is>
          <t>5</t>
        </is>
      </c>
      <c r="CE153" t="inlineStr">
        <is>
          <t>0</t>
        </is>
      </c>
      <c r="CF153" t="inlineStr">
        <is>
          <t>Q2-W04</t>
        </is>
      </c>
      <c r="CG153"/>
      <c r="CH153"/>
      <c r="CI153"/>
      <c r="CJ153" t="inlineStr">
        <is>
          <t>Paid</t>
        </is>
      </c>
      <c r="CK153" t="inlineStr">
        <is>
          <t>Not Eligible</t>
        </is>
      </c>
      <c r="CL153"/>
      <c r="CM153"/>
    </row>
    <row r="154" ht="25.5" customHeight="1">
      <c r="A154" t="inlineStr">
        <is>
          <t>194286</t>
        </is>
      </c>
      <c r="B154" s="2"/>
      <c r="C154"/>
      <c r="D154" s="3">
        <v>46140.77427083333</v>
      </c>
      <c r="E154" t="inlineStr">
        <is>
          <t>Q2-W04</t>
        </is>
      </c>
      <c r="F154" t="inlineStr">
        <is>
          <t>Chia Yee</t>
        </is>
      </c>
      <c r="G154" t="inlineStr">
        <is>
          <t>Customer</t>
        </is>
      </c>
      <c r="H154" s="2" t="str">
        <f>=HYPERLINK("https://upbox.ajobthing.my/customer/194286", "https://upbox.ajobthing.my/customer/194286")</f>
        <v>https://upbox.ajobthing.my/customer/194286</v>
      </c>
      <c r="I154" t="inlineStr">
        <is>
          <t>Global Max Print Sdn Bhd</t>
        </is>
      </c>
      <c r="J154" t="inlineStr">
        <is>
          <t>Dolphin</t>
        </is>
      </c>
      <c r="K154" t="inlineStr">
        <is>
          <t>Chia Yee</t>
        </is>
      </c>
      <c r="L154" s="4"/>
      <c r="M154" s="4">
        <v>46140.774351851855</v>
      </c>
      <c r="N154"/>
      <c r="O154">
        <v>4968</v>
      </c>
      <c r="P154" s="4"/>
      <c r="Q154" s="4">
        <v>45867.392800925925</v>
      </c>
      <c r="R154"/>
      <c r="S154">
        <v>864</v>
      </c>
      <c r="T154" s="4">
        <v>45867.392800925925</v>
      </c>
      <c r="U154" s="4"/>
      <c r="V154"/>
      <c r="W154">
        <v>864</v>
      </c>
      <c r="X154"/>
      <c r="Y154" t="inlineStr">
        <is>
          <t>Pending Appointment</t>
        </is>
      </c>
      <c r="Z154" t="inlineStr">
        <is>
          <t>Hiring Later</t>
        </is>
      </c>
      <c r="AA154">
        <v>1</v>
      </c>
      <c r="AB154" t="inlineStr">
        <is>
          <t>No Appointment Made</t>
        </is>
      </c>
      <c r="AC154"/>
      <c r="AD154" t="inlineStr">
        <is>
          <t>office</t>
        </is>
      </c>
      <c r="AE154"/>
      <c r="AF154">
        <v>0</v>
      </c>
      <c r="AG154" s="4"/>
      <c r="AH154" s="4"/>
      <c r="AI154">
        <v>0</v>
      </c>
      <c r="AJ154">
        <v>1</v>
      </c>
      <c r="AK154" t="inlineStr">
        <is>
          <t>No, I don't need at all</t>
        </is>
      </c>
      <c r="AL154">
        <v>1</v>
      </c>
      <c r="AM154" t="inlineStr">
        <is>
          <t>No, I don't need at all</t>
        </is>
      </c>
      <c r="AN154"/>
      <c r="AO154" t="inlineStr">
        <is>
          <t>No, I don't need at all</t>
        </is>
      </c>
      <c r="AP154" t="inlineStr">
        <is>
          <t>Once a year (25%)</t>
        </is>
      </c>
      <c r="AQ154">
        <v>1</v>
      </c>
      <c r="AR154" t="inlineStr">
        <is>
          <t>Did not use any job portal</t>
        </is>
      </c>
      <c r="AS154" t="inlineStr">
        <is>
          <t>- Headcount: 1
- Hiring Job Details: office
- Hiring Urgency: Hiring Later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154">
        <v>90</v>
      </c>
      <c r="AU154" t="inlineStr">
        <is>
          <t>0.90</t>
        </is>
      </c>
      <c r="AV154" t="inlineStr">
        <is>
          <t>15</t>
        </is>
      </c>
      <c r="AW154" t="inlineStr">
        <is>
          <t>0</t>
        </is>
      </c>
      <c r="AX154" t="inlineStr">
        <is>
          <t>Not Qualified</t>
        </is>
      </c>
      <c r="AY154" s="4"/>
      <c r="AZ154"/>
      <c r="BA154"/>
      <c r="BB154"/>
      <c r="BC154" t="inlineStr">
        <is>
          <t>-</t>
        </is>
      </c>
      <c r="BD154" s="4">
        <v>46142.3928125</v>
      </c>
      <c r="BE154" t="inlineStr">
        <is>
          <t>paid</t>
        </is>
      </c>
      <c r="BF154"/>
      <c r="BG154" t="inlineStr">
        <is>
          <t>Reschedule</t>
        </is>
      </c>
      <c r="BH154" t="inlineStr">
        <is>
          <t>Reagen</t>
        </is>
      </c>
      <c r="BI154" t="inlineStr">
        <is>
          <t>Printing / Publishing</t>
        </is>
      </c>
      <c r="BJ154" s="4">
        <v>46144.75269675926</v>
      </c>
      <c r="BK154" s="4">
        <v>45866.498032407406</v>
      </c>
      <c r="BL154" t="inlineStr">
        <is>
          <t>864.0</t>
        </is>
      </c>
      <c r="BM154" t="inlineStr">
        <is>
          <t>0.0</t>
        </is>
      </c>
      <c r="BN154" t="inlineStr">
        <is>
          <t>View Jobmanager Page</t>
        </is>
      </c>
      <c r="BO154" s="4">
        <v>45911.556597222225</v>
      </c>
      <c r="BP154">
        <v>169378</v>
      </c>
      <c r="BQ154">
        <v>81107</v>
      </c>
      <c r="BR154" t="inlineStr">
        <is>
          <t>Online</t>
        </is>
      </c>
      <c r="BS154"/>
      <c r="BT154">
        <v>81107</v>
      </c>
      <c r="BU154"/>
      <c r="BV154">
        <v>2736465</v>
      </c>
      <c r="BW154" t="inlineStr">
        <is>
          <t>No Answer : Voicemail - WA sent to customer</t>
        </is>
      </c>
      <c r="BX154"/>
      <c r="BY154"/>
      <c r="BZ154" s="4"/>
      <c r="CA154"/>
      <c r="CB154"/>
      <c r="CC154" s="4"/>
      <c r="CD154" t="inlineStr">
        <is>
          <t>20</t>
        </is>
      </c>
      <c r="CE154" t="inlineStr">
        <is>
          <t>0</t>
        </is>
      </c>
      <c r="CF154" t="inlineStr">
        <is>
          <t>Q2-W04</t>
        </is>
      </c>
      <c r="CG154"/>
      <c r="CH154"/>
      <c r="CI154"/>
      <c r="CJ154" t="inlineStr">
        <is>
          <t>Paid</t>
        </is>
      </c>
      <c r="CK154" t="inlineStr">
        <is>
          <t>Not Eligible</t>
        </is>
      </c>
      <c r="CL154"/>
      <c r="CM154"/>
    </row>
    <row r="155" ht="25.5" customHeight="1">
      <c r="A155" t="inlineStr">
        <is>
          <t>193437</t>
        </is>
      </c>
      <c r="B155" s="2"/>
      <c r="C155"/>
      <c r="D155" s="3">
        <v>46140.790914351855</v>
      </c>
      <c r="E155" t="inlineStr">
        <is>
          <t>Q2-W04</t>
        </is>
      </c>
      <c r="F155" t="inlineStr">
        <is>
          <t>Chia Yee</t>
        </is>
      </c>
      <c r="G155" t="inlineStr">
        <is>
          <t>Customer</t>
        </is>
      </c>
      <c r="H155" s="2" t="str">
        <f>=HYPERLINK("https://upbox.ajobthing.my/customer/193437", "https://upbox.ajobthing.my/customer/193437")</f>
        <v>https://upbox.ajobthing.my/customer/193437</v>
      </c>
      <c r="I155" t="inlineStr">
        <is>
          <t>Dentist3 Sdn Bhd</t>
        </is>
      </c>
      <c r="J155" t="inlineStr">
        <is>
          <t>Dolphin</t>
        </is>
      </c>
      <c r="K155" t="inlineStr">
        <is>
          <t>Chia Yee</t>
        </is>
      </c>
      <c r="L155" s="4"/>
      <c r="M155" s="4">
        <v>46140.79099537037</v>
      </c>
      <c r="N155"/>
      <c r="O155">
        <v>3888</v>
      </c>
      <c r="P155" s="4"/>
      <c r="Q155" s="4"/>
      <c r="R155"/>
      <c r="S155"/>
      <c r="T155" s="4"/>
      <c r="U155" s="4"/>
      <c r="V155"/>
      <c r="W155"/>
      <c r="X155"/>
      <c r="Y155" t="inlineStr">
        <is>
          <t>Pending Appointment</t>
        </is>
      </c>
      <c r="Z155" t="inlineStr">
        <is>
          <t>Hiring Later</t>
        </is>
      </c>
      <c r="AA155">
        <v>0</v>
      </c>
      <c r="AB155" t="inlineStr">
        <is>
          <t>No Appointment Made</t>
        </is>
      </c>
      <c r="AC155"/>
      <c r="AD155" t="inlineStr">
        <is>
          <t>-</t>
        </is>
      </c>
      <c r="AE155"/>
      <c r="AF155">
        <v>0</v>
      </c>
      <c r="AG155" s="4"/>
      <c r="AH155" s="4"/>
      <c r="AI155">
        <v>0</v>
      </c>
      <c r="AJ155">
        <v>1</v>
      </c>
      <c r="AK155" t="inlineStr">
        <is>
          <t>No, I don't need at all</t>
        </is>
      </c>
      <c r="AL155">
        <v>1</v>
      </c>
      <c r="AM155" t="inlineStr">
        <is>
          <t>No, I don't need at all</t>
        </is>
      </c>
      <c r="AN155"/>
      <c r="AO155" t="inlineStr">
        <is>
          <t>Yes, I have</t>
        </is>
      </c>
      <c r="AP155" t="inlineStr">
        <is>
          <t>Once a year (25%)</t>
        </is>
      </c>
      <c r="AQ155">
        <v>1</v>
      </c>
      <c r="AR155" t="inlineStr">
        <is>
          <t>Did not use any job portal</t>
        </is>
      </c>
      <c r="AS155" t="inlineStr">
        <is>
          <t>- Headcount: 0
- Hiring Job Details: -
- Hiring Urgency: Hiring Later
- Number of outlets: 1
- Have recruiter team: No, I don't need at all
- Number of recruiter in company: 1
- Have ATS system: No, I don't need at all
- Have career website: Yes
- Current hiring budget: RM0
- Whole year budget: RM0.00
- Whole year number of vacancies: 1
- Hiring frequency: Once a year (25%)
- External job portal: Did not use any job portal</t>
        </is>
      </c>
      <c r="AT155">
        <v>65</v>
      </c>
      <c r="AU155" t="inlineStr">
        <is>
          <t>0.65</t>
        </is>
      </c>
      <c r="AV155" t="inlineStr">
        <is>
          <t>15</t>
        </is>
      </c>
      <c r="AW155" t="inlineStr">
        <is>
          <t>0</t>
        </is>
      </c>
      <c r="AX155" t="inlineStr">
        <is>
          <t>Not Qualified</t>
        </is>
      </c>
      <c r="AY155" s="4"/>
      <c r="AZ155"/>
      <c r="BA155"/>
      <c r="BB155"/>
      <c r="BC155" t="inlineStr">
        <is>
          <t>-</t>
        </is>
      </c>
      <c r="BD155" s="4">
        <v>46142.41917824074</v>
      </c>
      <c r="BE155"/>
      <c r="BF155"/>
      <c r="BG155" t="inlineStr">
        <is>
          <t>Reschedule</t>
        </is>
      </c>
      <c r="BH155" t="inlineStr">
        <is>
          <t>Reagen</t>
        </is>
      </c>
      <c r="BI155"/>
      <c r="BJ155" s="4">
        <v>46144.75261574074</v>
      </c>
      <c r="BK155" s="4">
        <v>45844.49114583333</v>
      </c>
      <c r="BL155" t="inlineStr">
        <is>
          <t>0.0</t>
        </is>
      </c>
      <c r="BM155" t="inlineStr">
        <is>
          <t>0.0</t>
        </is>
      </c>
      <c r="BN155" t="inlineStr">
        <is>
          <t>View Create Job Page</t>
        </is>
      </c>
      <c r="BO155" s="4">
        <v>45844.49864583334</v>
      </c>
      <c r="BP155">
        <v>169380</v>
      </c>
      <c r="BQ155"/>
      <c r="BR155"/>
      <c r="BS155"/>
      <c r="BT155"/>
      <c r="BU155"/>
      <c r="BV155">
        <v>2736644</v>
      </c>
      <c r="BW155" t="inlineStr">
        <is>
          <t>No Answer : Voicemail - WA sent to customer</t>
        </is>
      </c>
      <c r="BX155"/>
      <c r="BY155"/>
      <c r="BZ155" s="4"/>
      <c r="CA155"/>
      <c r="CB155"/>
      <c r="CC155" s="4"/>
      <c r="CD155" t="inlineStr">
        <is>
          <t>20</t>
        </is>
      </c>
      <c r="CE155" t="inlineStr">
        <is>
          <t>0</t>
        </is>
      </c>
      <c r="CF155" t="inlineStr">
        <is>
          <t>Q2-W04</t>
        </is>
      </c>
      <c r="CG155"/>
      <c r="CH155"/>
      <c r="CI155"/>
      <c r="CJ155" t="inlineStr">
        <is>
          <t>No Paid</t>
        </is>
      </c>
      <c r="CK155" t="inlineStr">
        <is>
          <t>Not Eligible</t>
        </is>
      </c>
      <c r="CL155"/>
      <c r="CM155"/>
    </row>
    <row r="156" ht="25.5" customHeight="1">
      <c r="A156" t="inlineStr">
        <is>
          <t>159422</t>
        </is>
      </c>
      <c r="B156" s="2"/>
      <c r="C156"/>
      <c r="D156" s="3">
        <v>46140.875706018516</v>
      </c>
      <c r="E156" t="inlineStr">
        <is>
          <t>Q2-W04</t>
        </is>
      </c>
      <c r="F156" t="inlineStr">
        <is>
          <t>Angel  Low</t>
        </is>
      </c>
      <c r="G156" t="inlineStr">
        <is>
          <t>Customer</t>
        </is>
      </c>
      <c r="H156" s="2" t="str">
        <f>=HYPERLINK("https://upbox.ajobthing.my/customer/159422", "https://upbox.ajobthing.my/customer/159422")</f>
        <v>https://upbox.ajobthing.my/customer/159422</v>
      </c>
      <c r="I156" t="inlineStr">
        <is>
          <t>One2deal</t>
        </is>
      </c>
      <c r="J156" t="inlineStr">
        <is>
          <t>Dolphin</t>
        </is>
      </c>
      <c r="K156" t="inlineStr">
        <is>
          <t>Angel Low</t>
        </is>
      </c>
      <c r="L156" s="4"/>
      <c r="M156" s="4">
        <v>46140.87931712963</v>
      </c>
      <c r="N156"/>
      <c r="O156">
        <v>3576.96</v>
      </c>
      <c r="P156" s="4"/>
      <c r="Q156" s="4">
        <v>46141.616435185184</v>
      </c>
      <c r="R156"/>
      <c r="S156">
        <v>864</v>
      </c>
      <c r="T156" s="4">
        <v>46141.616435185184</v>
      </c>
      <c r="U156" s="4"/>
      <c r="V156"/>
      <c r="W156">
        <v>864</v>
      </c>
      <c r="X156"/>
      <c r="Y156" t="inlineStr">
        <is>
          <t>Pending Appointment</t>
        </is>
      </c>
      <c r="Z156"/>
      <c r="AA156">
        <v>1</v>
      </c>
      <c r="AB156" t="inlineStr">
        <is>
          <t>No Appointment Made</t>
        </is>
      </c>
      <c r="AC156"/>
      <c r="AD156" t="inlineStr">
        <is>
          <t xml:space="preserve">1 hr cum admin mandarin speaker </t>
        </is>
      </c>
      <c r="AE156"/>
      <c r="AF156"/>
      <c r="AG156" s="4"/>
      <c r="AH156" s="4"/>
      <c r="AI156"/>
      <c r="AJ156"/>
      <c r="AK156"/>
      <c r="AL156"/>
      <c r="AM156"/>
      <c r="AN156"/>
      <c r="AO156"/>
      <c r="AP156"/>
      <c r="AQ156"/>
      <c r="AR156"/>
      <c r="AS156" t="inlineStr">
        <is>
          <t>- Headcount: 1
- Hiring Job Details: 1 hr cum admin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56">
        <v>65</v>
      </c>
      <c r="AU156" t="inlineStr">
        <is>
          <t>0.65</t>
        </is>
      </c>
      <c r="AV156" t="inlineStr">
        <is>
          <t>5</t>
        </is>
      </c>
      <c r="AW156" t="inlineStr">
        <is>
          <t>0</t>
        </is>
      </c>
      <c r="AX156" t="inlineStr">
        <is>
          <t>Not Qualified</t>
        </is>
      </c>
      <c r="AY156" s="4"/>
      <c r="AZ156"/>
      <c r="BA156"/>
      <c r="BB156"/>
      <c r="BC156" t="inlineStr">
        <is>
          <t>try alacart posting first</t>
        </is>
      </c>
      <c r="BD156" s="4">
        <v>46141.638657407406</v>
      </c>
      <c r="BE156" t="inlineStr">
        <is>
          <t>paid</t>
        </is>
      </c>
      <c r="BF156" t="inlineStr">
        <is>
          <t>Q2-W04</t>
        </is>
      </c>
      <c r="BG156" t="inlineStr">
        <is>
          <t>Reschedule</t>
        </is>
      </c>
      <c r="BH156" t="inlineStr">
        <is>
          <t>Fauziah Maharan</t>
        </is>
      </c>
      <c r="BI156" t="inlineStr">
        <is>
          <t>Retail / Merchandise</t>
        </is>
      </c>
      <c r="BJ156" s="4">
        <v>46144.751064814816</v>
      </c>
      <c r="BK156" s="4">
        <v>44810.44306712963</v>
      </c>
      <c r="BL156" t="inlineStr">
        <is>
          <t>0.0</t>
        </is>
      </c>
      <c r="BM156" t="inlineStr">
        <is>
          <t>0.0</t>
        </is>
      </c>
      <c r="BN156" t="inlineStr">
        <is>
          <t>User Visit(Logged In)</t>
        </is>
      </c>
      <c r="BO156" s="4">
        <v>46143.55107638889</v>
      </c>
      <c r="BP156">
        <v>169383</v>
      </c>
      <c r="BQ156">
        <v>95103</v>
      </c>
      <c r="BR156" t="inlineStr">
        <is>
          <t>Online</t>
        </is>
      </c>
      <c r="BS156"/>
      <c r="BT156">
        <v>95103</v>
      </c>
      <c r="BU156"/>
      <c r="BV156">
        <v>2735590</v>
      </c>
      <c r="BW156" t="inlineStr">
        <is>
          <t>Follow Up : Win - Customer Paid</t>
        </is>
      </c>
      <c r="BX156">
        <v>1</v>
      </c>
      <c r="BY156">
        <v>0</v>
      </c>
      <c r="BZ156" s="4">
        <v>46141.616435185184</v>
      </c>
      <c r="CA156">
        <v>10</v>
      </c>
      <c r="CB156">
        <v>10</v>
      </c>
      <c r="CC156" s="4"/>
      <c r="CD156" t="inlineStr">
        <is>
          <t>5</t>
        </is>
      </c>
      <c r="CE156" t="inlineStr">
        <is>
          <t>0</t>
        </is>
      </c>
      <c r="CF156" t="inlineStr">
        <is>
          <t>Q2-W04</t>
        </is>
      </c>
      <c r="CG156" t="inlineStr">
        <is>
          <t>Q2-W04</t>
        </is>
      </c>
      <c r="CH156" t="inlineStr">
        <is>
          <t>Q2-W04</t>
        </is>
      </c>
      <c r="CI156"/>
      <c r="CJ156" t="inlineStr">
        <is>
          <t>Paid</t>
        </is>
      </c>
      <c r="CK156" t="inlineStr">
        <is>
          <t>Not Eligible</t>
        </is>
      </c>
      <c r="CL156"/>
      <c r="CM156"/>
    </row>
    <row r="157" ht="25.5" customHeight="1">
      <c r="A157" t="inlineStr">
        <is>
          <t>174244</t>
        </is>
      </c>
      <c r="B157" s="2"/>
      <c r="C157"/>
      <c r="D157" s="3">
        <v>46141.39592592593</v>
      </c>
      <c r="E157" t="inlineStr">
        <is>
          <t>Q2-W04</t>
        </is>
      </c>
      <c r="F157" t="inlineStr">
        <is>
          <t>Xin Hui</t>
        </is>
      </c>
      <c r="G157" t="inlineStr">
        <is>
          <t>Customer</t>
        </is>
      </c>
      <c r="H157" s="2" t="str">
        <f>=HYPERLINK("https://upbox.ajobthing.my/customer/174244", "https://upbox.ajobthing.my/customer/174244")</f>
        <v>https://upbox.ajobthing.my/customer/174244</v>
      </c>
      <c r="I157" t="inlineStr">
        <is>
          <t>Dahua Management Consulting (M) Sdn. Bhd.</t>
        </is>
      </c>
      <c r="J157" t="inlineStr">
        <is>
          <t>Dolphin</t>
        </is>
      </c>
      <c r="K157" t="inlineStr">
        <is>
          <t>Xin Hui</t>
        </is>
      </c>
      <c r="L157" s="4"/>
      <c r="M157" s="4">
        <v>46141.6084837963</v>
      </c>
      <c r="N157"/>
      <c r="O157">
        <v>5412.96</v>
      </c>
      <c r="P157" s="4"/>
      <c r="Q157" s="4"/>
      <c r="R157"/>
      <c r="S157"/>
      <c r="T157" s="4"/>
      <c r="U157" s="4"/>
      <c r="V157"/>
      <c r="W157"/>
      <c r="X157" t="inlineStr">
        <is>
          <t>Yee Hang</t>
        </is>
      </c>
      <c r="Y157" t="inlineStr">
        <is>
          <t>Done Appointment</t>
        </is>
      </c>
      <c r="Z157" t="inlineStr">
        <is>
          <t>Hiring Now</t>
        </is>
      </c>
      <c r="AA157">
        <v>2</v>
      </c>
      <c r="AB157" t="inlineStr">
        <is>
          <t>Appointment Made</t>
        </is>
      </c>
      <c r="AC157" t="inlineStr">
        <is>
          <t>SME (&lt;50 employees)</t>
        </is>
      </c>
      <c r="AD157" t="inlineStr">
        <is>
          <t>accountant / tax associates</t>
        </is>
      </c>
      <c r="AE157" t="inlineStr">
        <is>
          <t>HR Director / Senior HR Lead</t>
        </is>
      </c>
      <c r="AF157"/>
      <c r="AG157" s="4">
        <v>46141.583333333336</v>
      </c>
      <c r="AH157" s="4">
        <v>46141.604166666664</v>
      </c>
      <c r="AI157"/>
      <c r="AJ157"/>
      <c r="AK157" t="inlineStr">
        <is>
          <t>No, I don't need at all</t>
        </is>
      </c>
      <c r="AL157"/>
      <c r="AM157" t="inlineStr">
        <is>
          <t>No, I don't need at all</t>
        </is>
      </c>
      <c r="AN157"/>
      <c r="AO157" t="inlineStr">
        <is>
          <t>Yes, I have</t>
        </is>
      </c>
      <c r="AP157" t="inlineStr">
        <is>
          <t>Once a year (25%)</t>
        </is>
      </c>
      <c r="AQ157"/>
      <c r="AR157"/>
      <c r="AS157" t="inlineStr">
        <is>
          <t>- Headcount: 2
- Hiring Job Details: accountant / tax associates
- Hiring Urgency: Hiring Now
- Number of outlets: Not provided
- Have recruiter team: No, I don't need at all
- Number of recruiter in company: Not provided
- Have ATS system: No, I don't need at all
- Have career website: Yes
- Current hiring budget: Not provided
- Whole year budget: Not provided
- Whole year number of vacancies: Not provided
- Hiring frequency: Once a year (25%)
- External job portal: Not provided</t>
        </is>
      </c>
      <c r="AT157">
        <v>85</v>
      </c>
      <c r="AU157" t="inlineStr">
        <is>
          <t>0.85</t>
        </is>
      </c>
      <c r="AV157" t="inlineStr">
        <is>
          <t>25</t>
        </is>
      </c>
      <c r="AW157" t="inlineStr">
        <is>
          <t>0</t>
        </is>
      </c>
      <c r="AX157" t="inlineStr">
        <is>
          <t>Not Qualified</t>
        </is>
      </c>
      <c r="AY157" s="4">
        <v>46141.679918981485</v>
      </c>
      <c r="AZ157" t="inlineStr">
        <is>
          <t>Base Assistant</t>
        </is>
      </c>
      <c r="BA157"/>
      <c r="BB157"/>
      <c r="BC157" t="inlineStr">
        <is>
          <t>- Headcount: 10
- Hiring Job Details: Accountant lead, Account manager, Sales manager (10 positions)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BD157" s="4">
        <v>46141.62503472222</v>
      </c>
      <c r="BE157"/>
      <c r="BF157"/>
      <c r="BG157" t="inlineStr">
        <is>
          <t>Reschedule</t>
        </is>
      </c>
      <c r="BH157" t="inlineStr">
        <is>
          <t>Yee Hang</t>
        </is>
      </c>
      <c r="BI157" t="inlineStr">
        <is>
          <t>Accounting / Tax Services</t>
        </is>
      </c>
      <c r="BJ157" s="4">
        <v>46144.751550925925</v>
      </c>
      <c r="BK157" s="4">
        <v>45294.64263888889</v>
      </c>
      <c r="BL157" t="inlineStr">
        <is>
          <t>0.0</t>
        </is>
      </c>
      <c r="BM157" t="inlineStr">
        <is>
          <t>1200.0</t>
        </is>
      </c>
      <c r="BN157" t="inlineStr">
        <is>
          <t>View Account User</t>
        </is>
      </c>
      <c r="BO157" s="4">
        <v>46141.403495370374</v>
      </c>
      <c r="BP157">
        <v>169512</v>
      </c>
      <c r="BQ157"/>
      <c r="BR157"/>
      <c r="BS157"/>
      <c r="BT157"/>
      <c r="BU157"/>
      <c r="BV157">
        <v>2735493</v>
      </c>
      <c r="BW157" t="inlineStr">
        <is>
          <t>Customer Inquiry</t>
        </is>
      </c>
      <c r="BX157"/>
      <c r="BY157"/>
      <c r="BZ157" s="4"/>
      <c r="CA157"/>
      <c r="CB157"/>
      <c r="CC157" s="4"/>
      <c r="CD157" t="inlineStr">
        <is>
          <t>30</t>
        </is>
      </c>
      <c r="CE157" t="inlineStr">
        <is>
          <t>0</t>
        </is>
      </c>
      <c r="CF157" t="inlineStr">
        <is>
          <t>Q2-W04</t>
        </is>
      </c>
      <c r="CG157"/>
      <c r="CH157"/>
      <c r="CI157" t="inlineStr">
        <is>
          <t>Q2-W04</t>
        </is>
      </c>
      <c r="CJ157" t="inlineStr">
        <is>
          <t>No Paid</t>
        </is>
      </c>
      <c r="CK157" t="inlineStr">
        <is>
          <t>Not Eligible</t>
        </is>
      </c>
      <c r="CL157"/>
      <c r="CM157" t="inlineStr">
        <is>
          <t>Q2-W04</t>
        </is>
      </c>
    </row>
    <row r="158" ht="25.5" customHeight="1">
      <c r="A158" t="inlineStr">
        <is>
          <t>191343</t>
        </is>
      </c>
      <c r="B158" s="2"/>
      <c r="C158"/>
      <c r="D158" s="3">
        <v>46141.41253472222</v>
      </c>
      <c r="E158" t="inlineStr">
        <is>
          <t>Q2-W04</t>
        </is>
      </c>
      <c r="F158" t="inlineStr">
        <is>
          <t>Xin Hui</t>
        </is>
      </c>
      <c r="G158" t="inlineStr">
        <is>
          <t>Customer</t>
        </is>
      </c>
      <c r="H158" s="2" t="str">
        <f>=HYPERLINK("https://upbox.ajobthing.my/customer/191343", "https://upbox.ajobthing.my/customer/191343")</f>
        <v>https://upbox.ajobthing.my/customer/191343</v>
      </c>
      <c r="I158" t="inlineStr">
        <is>
          <t>Green Excel Manufacturing Sdn Bhd</t>
        </is>
      </c>
      <c r="J158" t="inlineStr">
        <is>
          <t>Dolphin</t>
        </is>
      </c>
      <c r="K158" t="inlineStr">
        <is>
          <t>Xin Hui</t>
        </is>
      </c>
      <c r="L158" s="4"/>
      <c r="M158" s="4">
        <v>46141.413136574076</v>
      </c>
      <c r="N158"/>
      <c r="O158">
        <v>3888</v>
      </c>
      <c r="P158" s="4"/>
      <c r="Q158" s="4"/>
      <c r="R158"/>
      <c r="S158"/>
      <c r="T158" s="4"/>
      <c r="U158" s="4"/>
      <c r="V158"/>
      <c r="W158"/>
      <c r="X158"/>
      <c r="Y158" t="inlineStr">
        <is>
          <t>Pending Appointment</t>
        </is>
      </c>
      <c r="Z158" t="inlineStr">
        <is>
          <t>Hiring Now</t>
        </is>
      </c>
      <c r="AA158">
        <v>1</v>
      </c>
      <c r="AB158" t="inlineStr">
        <is>
          <t>No Appointment Made</t>
        </is>
      </c>
      <c r="AC158"/>
      <c r="AD158" t="inlineStr">
        <is>
          <t xml:space="preserve">logistic warehouse executive </t>
        </is>
      </c>
      <c r="AE158"/>
      <c r="AF158"/>
      <c r="AG158" s="4"/>
      <c r="AH158" s="4"/>
      <c r="AI158"/>
      <c r="AJ158"/>
      <c r="AK158" t="inlineStr">
        <is>
          <t>No, I don't need at all</t>
        </is>
      </c>
      <c r="AL158"/>
      <c r="AM158" t="inlineStr">
        <is>
          <t>No, I don't need at all</t>
        </is>
      </c>
      <c r="AN158"/>
      <c r="AO158" t="inlineStr">
        <is>
          <t>No, I don't need at all</t>
        </is>
      </c>
      <c r="AP158" t="inlineStr">
        <is>
          <t>Once a year (25%)</t>
        </is>
      </c>
      <c r="AQ158"/>
      <c r="AR158" t="inlineStr">
        <is>
          <t>Free Job Portal</t>
        </is>
      </c>
      <c r="AS158" t="inlineStr">
        <is>
          <t>- Headcount: 1
- Hiring Job Details: logistic warehouse executive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is>
      </c>
      <c r="AT158">
        <v>75</v>
      </c>
      <c r="AU158" t="inlineStr">
        <is>
          <t>0.75</t>
        </is>
      </c>
      <c r="AV158" t="inlineStr">
        <is>
          <t>5</t>
        </is>
      </c>
      <c r="AW158" t="inlineStr">
        <is>
          <t>0</t>
        </is>
      </c>
      <c r="AX158" t="inlineStr">
        <is>
          <t>Not Qualified</t>
        </is>
      </c>
      <c r="AY158" s="4"/>
      <c r="AZ158"/>
      <c r="BA158"/>
      <c r="BB158"/>
      <c r="BC158" t="inlineStr">
        <is>
          <t>- Headcount: 1
- Hiring Job Details: logistic warehouse executive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is>
      </c>
      <c r="BD158" s="4">
        <v>46141.41667824074</v>
      </c>
      <c r="BE158"/>
      <c r="BF158"/>
      <c r="BG158" t="inlineStr">
        <is>
          <t>Reschedule</t>
        </is>
      </c>
      <c r="BH158" t="inlineStr">
        <is>
          <t>Yee Hang</t>
        </is>
      </c>
      <c r="BI158"/>
      <c r="BJ158" s="4">
        <v>46144.75239583333</v>
      </c>
      <c r="BK158" s="4">
        <v>45793.42496527778</v>
      </c>
      <c r="BL158" t="inlineStr">
        <is>
          <t>0.0</t>
        </is>
      </c>
      <c r="BM158" t="inlineStr">
        <is>
          <t>1800.0</t>
        </is>
      </c>
      <c r="BN158" t="inlineStr">
        <is>
          <t>View Company Page</t>
        </is>
      </c>
      <c r="BO158" s="4">
        <v>45793.439421296294</v>
      </c>
      <c r="BP158">
        <v>169396</v>
      </c>
      <c r="BQ158"/>
      <c r="BR158"/>
      <c r="BS158"/>
      <c r="BT158"/>
      <c r="BU158"/>
      <c r="BV158">
        <v>2734267</v>
      </c>
      <c r="BW158" t="inlineStr">
        <is>
          <t>Customer Inquiry</t>
        </is>
      </c>
      <c r="BX158"/>
      <c r="BY158"/>
      <c r="BZ158" s="4"/>
      <c r="CA158"/>
      <c r="CB158"/>
      <c r="CC158" s="4"/>
      <c r="CD158" t="inlineStr">
        <is>
          <t>5</t>
        </is>
      </c>
      <c r="CE158" t="inlineStr">
        <is>
          <t>0</t>
        </is>
      </c>
      <c r="CF158" t="inlineStr">
        <is>
          <t>Q2-W04</t>
        </is>
      </c>
      <c r="CG158"/>
      <c r="CH158"/>
      <c r="CI158"/>
      <c r="CJ158" t="inlineStr">
        <is>
          <t>No Paid</t>
        </is>
      </c>
      <c r="CK158" t="inlineStr">
        <is>
          <t>Not Eligible</t>
        </is>
      </c>
      <c r="CL158"/>
      <c r="CM158"/>
    </row>
    <row r="159" ht="25.5" customHeight="1">
      <c r="A159" t="inlineStr">
        <is>
          <t>160871</t>
        </is>
      </c>
      <c r="B159" s="2"/>
      <c r="C159"/>
      <c r="D159" s="3">
        <v>46141.41769675926</v>
      </c>
      <c r="E159" t="inlineStr">
        <is>
          <t>Q2-W04</t>
        </is>
      </c>
      <c r="F159" t="inlineStr">
        <is>
          <t>Keegan</t>
        </is>
      </c>
      <c r="G159" t="inlineStr">
        <is>
          <t>Customer</t>
        </is>
      </c>
      <c r="H159" s="2" t="str">
        <f>=HYPERLINK("https://upbox.ajobthing.my/customer/160871", "https://upbox.ajobthing.my/customer/160871")</f>
        <v>https://upbox.ajobthing.my/customer/160871</v>
      </c>
      <c r="I159" t="inlineStr">
        <is>
          <t>Veteran Timur Sdn Bhd</t>
        </is>
      </c>
      <c r="J159" t="inlineStr">
        <is>
          <t>Dolphin</t>
        </is>
      </c>
      <c r="K159" t="inlineStr">
        <is>
          <t>Keegan</t>
        </is>
      </c>
      <c r="L159" s="4"/>
      <c r="M159" s="4">
        <v>46141.41923611111</v>
      </c>
      <c r="N159"/>
      <c r="O159">
        <v>3576.96</v>
      </c>
      <c r="P159" s="4"/>
      <c r="Q159" s="4"/>
      <c r="R159"/>
      <c r="S159"/>
      <c r="T159" s="4"/>
      <c r="U159" s="4"/>
      <c r="V159"/>
      <c r="W159"/>
      <c r="X159"/>
      <c r="Y159" t="inlineStr">
        <is>
          <t>Pending Appointment</t>
        </is>
      </c>
      <c r="Z159" t="inlineStr">
        <is>
          <t>Hiring Now</t>
        </is>
      </c>
      <c r="AA159">
        <v>1</v>
      </c>
      <c r="AB159" t="inlineStr">
        <is>
          <t>No Appointment Made</t>
        </is>
      </c>
      <c r="AC159"/>
      <c r="AD159" t="inlineStr">
        <is>
          <t xml:space="preserve">1. Driver </t>
        </is>
      </c>
      <c r="AE159"/>
      <c r="AF159"/>
      <c r="AG159" s="4"/>
      <c r="AH159" s="4"/>
      <c r="AI159"/>
      <c r="AJ159">
        <v>1</v>
      </c>
      <c r="AK159" t="inlineStr">
        <is>
          <t>No, I don't need at all</t>
        </is>
      </c>
      <c r="AL159">
        <v>0</v>
      </c>
      <c r="AM159" t="inlineStr">
        <is>
          <t>No, I don't need at all</t>
        </is>
      </c>
      <c r="AN159"/>
      <c r="AO159" t="inlineStr">
        <is>
          <t>No, I don't need at all</t>
        </is>
      </c>
      <c r="AP159" t="inlineStr">
        <is>
          <t>Once per quarter (75%)</t>
        </is>
      </c>
      <c r="AQ159"/>
      <c r="AR159" t="inlineStr">
        <is>
          <t>Did not use any job portal</t>
        </is>
      </c>
      <c r="AS159" t="inlineStr">
        <is>
          <t>- Headcount: 1
- Hiring Job Details: 1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59">
        <v>100</v>
      </c>
      <c r="AU159" t="inlineStr">
        <is>
          <t>1.00</t>
        </is>
      </c>
      <c r="AV159" t="inlineStr">
        <is>
          <t>5</t>
        </is>
      </c>
      <c r="AW159" t="inlineStr">
        <is>
          <t>0</t>
        </is>
      </c>
      <c r="AX159" t="inlineStr">
        <is>
          <t>Not Qualified</t>
        </is>
      </c>
      <c r="AY159" s="4"/>
      <c r="AZ159"/>
      <c r="BA159"/>
      <c r="BB159"/>
      <c r="BC159" t="inlineStr">
        <is>
          <t>- Headcount: 1
- Hiring Job Details: 1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59" s="4">
        <v>46141.45837962963</v>
      </c>
      <c r="BE159"/>
      <c r="BF159"/>
      <c r="BG159" t="inlineStr">
        <is>
          <t>Reschedule</t>
        </is>
      </c>
      <c r="BH159" t="inlineStr">
        <is>
          <t>Edward Hoo</t>
        </is>
      </c>
      <c r="BI159"/>
      <c r="BJ159" s="4">
        <v>46144.75109953704</v>
      </c>
      <c r="BK159" s="4">
        <v>44845.69484953704</v>
      </c>
      <c r="BL159" t="inlineStr">
        <is>
          <t>0.0</t>
        </is>
      </c>
      <c r="BM159" t="inlineStr">
        <is>
          <t>0.0</t>
        </is>
      </c>
      <c r="BN159" t="inlineStr">
        <is>
          <t>View Company Page</t>
        </is>
      </c>
      <c r="BO159" s="4">
        <v>44845.6958912037</v>
      </c>
      <c r="BP159">
        <v>169403</v>
      </c>
      <c r="BQ159"/>
      <c r="BR159"/>
      <c r="BS159"/>
      <c r="BT159"/>
      <c r="BU159"/>
      <c r="BV159">
        <v>2734562</v>
      </c>
      <c r="BW159" t="inlineStr">
        <is>
          <t>Customer Inquiry</t>
        </is>
      </c>
      <c r="BX159"/>
      <c r="BY159"/>
      <c r="BZ159" s="4"/>
      <c r="CA159"/>
      <c r="CB159"/>
      <c r="CC159" s="4"/>
      <c r="CD159" t="inlineStr">
        <is>
          <t>5</t>
        </is>
      </c>
      <c r="CE159" t="inlineStr">
        <is>
          <t>0</t>
        </is>
      </c>
      <c r="CF159" t="inlineStr">
        <is>
          <t>Q2-W04</t>
        </is>
      </c>
      <c r="CG159"/>
      <c r="CH159"/>
      <c r="CI159"/>
      <c r="CJ159" t="inlineStr">
        <is>
          <t>No Paid</t>
        </is>
      </c>
      <c r="CK159" t="inlineStr">
        <is>
          <t>Not Eligible</t>
        </is>
      </c>
      <c r="CL159"/>
      <c r="CM159"/>
    </row>
    <row r="160" ht="25.5" customHeight="1">
      <c r="A160" t="inlineStr">
        <is>
          <t>189041</t>
        </is>
      </c>
      <c r="B160" s="2"/>
      <c r="C160"/>
      <c r="D160" s="3">
        <v>46141.420219907406</v>
      </c>
      <c r="E160" t="inlineStr">
        <is>
          <t>Q2-W04</t>
        </is>
      </c>
      <c r="F160" t="inlineStr">
        <is>
          <t>Lucas</t>
        </is>
      </c>
      <c r="G160" t="inlineStr">
        <is>
          <t>Customer</t>
        </is>
      </c>
      <c r="H160" s="2" t="str">
        <f>=HYPERLINK("https://upbox.ajobthing.my/customer/189041", "https://upbox.ajobthing.my/customer/189041")</f>
        <v>https://upbox.ajobthing.my/customer/189041</v>
      </c>
      <c r="I160" t="inlineStr">
        <is>
          <t>Catbyz Enterprise</t>
        </is>
      </c>
      <c r="J160" t="inlineStr">
        <is>
          <t>Dolphin</t>
        </is>
      </c>
      <c r="K160" t="inlineStr">
        <is>
          <t>Lucas</t>
        </is>
      </c>
      <c r="L160" s="4"/>
      <c r="M160" s="4">
        <v>46141.41768518519</v>
      </c>
      <c r="N160"/>
      <c r="O160">
        <v>3576.96</v>
      </c>
      <c r="P160" s="4"/>
      <c r="Q160" s="4">
        <v>46141.68891203704</v>
      </c>
      <c r="R160"/>
      <c r="S160">
        <v>864</v>
      </c>
      <c r="T160" s="4">
        <v>45736.578738425924</v>
      </c>
      <c r="U160" s="4"/>
      <c r="V160"/>
      <c r="W160">
        <v>1080</v>
      </c>
      <c r="X160"/>
      <c r="Y160" t="inlineStr">
        <is>
          <t>Pending Appointment</t>
        </is>
      </c>
      <c r="Z160" t="inlineStr">
        <is>
          <t>Hiring Now</t>
        </is>
      </c>
      <c r="AA160">
        <v>1</v>
      </c>
      <c r="AB160" t="inlineStr">
        <is>
          <t>No Appointment Made</t>
        </is>
      </c>
      <c r="AC160"/>
      <c r="AD160" t="inlineStr">
        <is>
          <t>1 cat groomer cum shop assistant</t>
        </is>
      </c>
      <c r="AE160"/>
      <c r="AF160">
        <v>0</v>
      </c>
      <c r="AG160" s="4"/>
      <c r="AH160" s="4"/>
      <c r="AI160">
        <v>0</v>
      </c>
      <c r="AJ160">
        <v>0</v>
      </c>
      <c r="AK160" t="inlineStr">
        <is>
          <t>No, I don't need at all</t>
        </is>
      </c>
      <c r="AL160">
        <v>0</v>
      </c>
      <c r="AM160" t="inlineStr">
        <is>
          <t>No, I don't need at all</t>
        </is>
      </c>
      <c r="AN160"/>
      <c r="AO160" t="inlineStr">
        <is>
          <t>No, I don't need at all</t>
        </is>
      </c>
      <c r="AP160" t="inlineStr">
        <is>
          <t>Once a year (25%)</t>
        </is>
      </c>
      <c r="AQ160">
        <v>1</v>
      </c>
      <c r="AR160" t="inlineStr">
        <is>
          <t>Did not use any job portal</t>
        </is>
      </c>
      <c r="AS160" t="inlineStr">
        <is>
          <t>- Headcount: 1
- Hiring Job Details: 1 cat groomer cum shop assistant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60">
        <v>105</v>
      </c>
      <c r="AU160" t="inlineStr">
        <is>
          <t>1.05</t>
        </is>
      </c>
      <c r="AV160" t="inlineStr">
        <is>
          <t>15</t>
        </is>
      </c>
      <c r="AW160" t="inlineStr">
        <is>
          <t>0</t>
        </is>
      </c>
      <c r="AX160" t="inlineStr">
        <is>
          <t>Not Qualified</t>
        </is>
      </c>
      <c r="AY160" s="4"/>
      <c r="AZ160"/>
      <c r="BA160"/>
      <c r="BB160"/>
      <c r="BC160" t="inlineStr">
        <is>
          <t>invoice send 864</t>
        </is>
      </c>
      <c r="BD160" s="4">
        <v>46141.68991898148</v>
      </c>
      <c r="BE160" t="inlineStr">
        <is>
          <t>pending</t>
        </is>
      </c>
      <c r="BF160"/>
      <c r="BG160" t="inlineStr">
        <is>
          <t>Reschedule</t>
        </is>
      </c>
      <c r="BH160" t="inlineStr">
        <is>
          <t>Yee Hang</t>
        </is>
      </c>
      <c r="BI160" t="inlineStr">
        <is>
          <t>Hotel / Hospitality</t>
        </is>
      </c>
      <c r="BJ160" s="4">
        <v>46144.752280092594</v>
      </c>
      <c r="BK160" s="4">
        <v>45735.597708333335</v>
      </c>
      <c r="BL160" t="inlineStr">
        <is>
          <t>0.0</t>
        </is>
      </c>
      <c r="BM160" t="inlineStr">
        <is>
          <t>0.0</t>
        </is>
      </c>
      <c r="BN160" t="inlineStr">
        <is>
          <t>User Visit(Logged In)</t>
        </is>
      </c>
      <c r="BO160" s="4">
        <v>45775.62364583334</v>
      </c>
      <c r="BP160">
        <v>169402</v>
      </c>
      <c r="BQ160">
        <v>124097</v>
      </c>
      <c r="BR160" t="inlineStr">
        <is>
          <t>Proforma</t>
        </is>
      </c>
      <c r="BS160" t="inlineStr">
        <is>
          <t>AI Ala Carte (Jan 26)</t>
        </is>
      </c>
      <c r="BT160">
        <v>77805</v>
      </c>
      <c r="BU160"/>
      <c r="BV160">
        <v>2735926</v>
      </c>
      <c r="BW160" t="inlineStr">
        <is>
          <t>Follow Up : Invoice Sent 75%</t>
        </is>
      </c>
      <c r="BX160"/>
      <c r="BY160"/>
      <c r="BZ160" s="4"/>
      <c r="CA160"/>
      <c r="CB160"/>
      <c r="CC160" s="4"/>
      <c r="CD160" t="inlineStr">
        <is>
          <t>20</t>
        </is>
      </c>
      <c r="CE160" t="inlineStr">
        <is>
          <t>0</t>
        </is>
      </c>
      <c r="CF160" t="inlineStr">
        <is>
          <t>Q2-W04</t>
        </is>
      </c>
      <c r="CG160" t="inlineStr">
        <is>
          <t>Q2-W04</t>
        </is>
      </c>
      <c r="CH160"/>
      <c r="CI160"/>
      <c r="CJ160" t="inlineStr">
        <is>
          <t>Paid</t>
        </is>
      </c>
      <c r="CK160" t="inlineStr">
        <is>
          <t>Not Eligible</t>
        </is>
      </c>
      <c r="CL160"/>
      <c r="CM160"/>
    </row>
    <row r="161" ht="25.5" customHeight="1">
      <c r="A161" t="inlineStr">
        <is>
          <t>4330719</t>
        </is>
      </c>
      <c r="B161" s="2"/>
      <c r="C161"/>
      <c r="D161" s="3">
        <v>46141.42337962963</v>
      </c>
      <c r="E161" t="inlineStr">
        <is>
          <t>Q2-W04</t>
        </is>
      </c>
      <c r="F161" t="inlineStr">
        <is>
          <t>Luqman</t>
        </is>
      </c>
      <c r="G161" t="inlineStr">
        <is>
          <t>Lead</t>
        </is>
      </c>
      <c r="H161" s="2" t="str">
        <f>=HYPERLINK("https://upbox.ajobthing.my/leads/4330719", "https://upbox.ajobthing.my/leads/4330719")</f>
        <v>https://upbox.ajobthing.my/leads/4330719</v>
      </c>
      <c r="I161" t="inlineStr">
        <is>
          <t>Tong Kong E&amp;E Sdn Bhd</t>
        </is>
      </c>
      <c r="J161" t="inlineStr">
        <is>
          <t>Dolphin</t>
        </is>
      </c>
      <c r="K161" t="inlineStr">
        <is>
          <t>Luqman</t>
        </is>
      </c>
      <c r="L161" s="4"/>
      <c r="M161" s="4">
        <v>46141.4237037037</v>
      </c>
      <c r="N161"/>
      <c r="O161">
        <v>1296</v>
      </c>
      <c r="P161" s="4"/>
      <c r="Q161" s="4"/>
      <c r="R161"/>
      <c r="S161"/>
      <c r="T161" s="4"/>
      <c r="U161" s="4"/>
      <c r="V161"/>
      <c r="W161"/>
      <c r="X161"/>
      <c r="Y161" t="inlineStr">
        <is>
          <t>Pending Appointment</t>
        </is>
      </c>
      <c r="Z161" t="inlineStr">
        <is>
          <t>Hiring Now</t>
        </is>
      </c>
      <c r="AA161">
        <v>2</v>
      </c>
      <c r="AB161" t="inlineStr">
        <is>
          <t>No Appointment Made</t>
        </is>
      </c>
      <c r="AC161"/>
      <c r="AD161" t="inlineStr">
        <is>
          <t>1. Retail 
2. Warehouse</t>
        </is>
      </c>
      <c r="AE161"/>
      <c r="AF161">
        <v>1200</v>
      </c>
      <c r="AG161" s="4"/>
      <c r="AH161" s="4"/>
      <c r="AI161">
        <v>1200</v>
      </c>
      <c r="AJ161"/>
      <c r="AK161" t="inlineStr">
        <is>
          <t>No, I don't need at all</t>
        </is>
      </c>
      <c r="AL161">
        <v>2</v>
      </c>
      <c r="AM161" t="inlineStr">
        <is>
          <t>No, I don't need at all</t>
        </is>
      </c>
      <c r="AN161"/>
      <c r="AO161" t="inlineStr">
        <is>
          <t>No, I don't need at all</t>
        </is>
      </c>
      <c r="AP161" t="inlineStr">
        <is>
          <t>Once a year (25%)</t>
        </is>
      </c>
      <c r="AQ161">
        <v>2</v>
      </c>
      <c r="AR161" t="inlineStr">
        <is>
          <t>Free Job Portal</t>
        </is>
      </c>
      <c r="AS161" t="inlineStr">
        <is>
          <t>- Headcount: 2
- Hiring Job Details: 1. Retail 2. Warehouse
- Hiring Urgency: Hiring Now
- Number of outlets: 
- Have recruiter team: No, I don't need at all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is>
      </c>
      <c r="AT161">
        <v>75</v>
      </c>
      <c r="AU161" t="inlineStr">
        <is>
          <t>0.75</t>
        </is>
      </c>
      <c r="AV161" t="inlineStr">
        <is>
          <t>15</t>
        </is>
      </c>
      <c r="AW161" t="inlineStr">
        <is>
          <t>0</t>
        </is>
      </c>
      <c r="AX161" t="inlineStr">
        <is>
          <t>Not Qualified</t>
        </is>
      </c>
      <c r="AY161" s="4"/>
      <c r="AZ161"/>
      <c r="BA161"/>
      <c r="BB161"/>
      <c r="BC161"/>
      <c r="BD161" s="4"/>
      <c r="BE161"/>
      <c r="BF161"/>
      <c r="BG161" t="inlineStr">
        <is>
          <t>Reschedule</t>
        </is>
      </c>
      <c r="BH161" t="inlineStr">
        <is>
          <t>Edward Hoo</t>
        </is>
      </c>
      <c r="BI161"/>
      <c r="BJ161" s="4">
        <v>46144.755949074075</v>
      </c>
      <c r="BK161" s="4">
        <v>46141.40144675926</v>
      </c>
      <c r="BL161" t="inlineStr">
        <is>
          <t>1296.0</t>
        </is>
      </c>
      <c r="BM161" t="inlineStr">
        <is>
          <t>0.0</t>
        </is>
      </c>
      <c r="BN161"/>
      <c r="BO161" s="4"/>
      <c r="BP161">
        <v>169407</v>
      </c>
      <c r="BQ161"/>
      <c r="BR161"/>
      <c r="BS161"/>
      <c r="BT161"/>
      <c r="BU161"/>
      <c r="BV161"/>
      <c r="BW161"/>
      <c r="BX161"/>
      <c r="BY161"/>
      <c r="BZ161" s="4"/>
      <c r="CA161"/>
      <c r="CB161"/>
      <c r="CC161" s="4"/>
      <c r="CD161" t="inlineStr">
        <is>
          <t>20</t>
        </is>
      </c>
      <c r="CE161" t="inlineStr">
        <is>
          <t>0</t>
        </is>
      </c>
      <c r="CF161" t="inlineStr">
        <is>
          <t>Q2-W04</t>
        </is>
      </c>
      <c r="CG161"/>
      <c r="CH161"/>
      <c r="CI161"/>
      <c r="CJ161" t="inlineStr">
        <is>
          <t>No Paid</t>
        </is>
      </c>
      <c r="CK161" t="inlineStr">
        <is>
          <t>Not Eligible</t>
        </is>
      </c>
      <c r="CL161"/>
      <c r="CM161"/>
    </row>
    <row r="162" ht="25.5" customHeight="1">
      <c r="A162" t="inlineStr">
        <is>
          <t>203767</t>
        </is>
      </c>
      <c r="B162" s="2"/>
      <c r="C162"/>
      <c r="D162" s="3">
        <v>46141.42689814815</v>
      </c>
      <c r="E162" t="inlineStr">
        <is>
          <t>Q2-W04</t>
        </is>
      </c>
      <c r="F162" t="inlineStr">
        <is>
          <t>Carmen</t>
        </is>
      </c>
      <c r="G162" t="inlineStr">
        <is>
          <t>Customer</t>
        </is>
      </c>
      <c r="H162" s="2" t="str">
        <f>=HYPERLINK("https://upbox.ajobthing.my/customer/203767", "https://upbox.ajobthing.my/customer/203767")</f>
        <v>https://upbox.ajobthing.my/customer/203767</v>
      </c>
      <c r="I162" t="inlineStr">
        <is>
          <t>Landhance Sdn. Bhd.</t>
        </is>
      </c>
      <c r="J162" t="inlineStr">
        <is>
          <t>Dolphin</t>
        </is>
      </c>
      <c r="K162" t="inlineStr">
        <is>
          <t>Carmen</t>
        </is>
      </c>
      <c r="L162" s="4"/>
      <c r="M162" s="4">
        <v>46141.427037037036</v>
      </c>
      <c r="N162"/>
      <c r="O162">
        <v>1296</v>
      </c>
      <c r="P162" s="4"/>
      <c r="Q162" s="4">
        <v>46141.50011574074</v>
      </c>
      <c r="R162"/>
      <c r="S162">
        <v>1296</v>
      </c>
      <c r="T162" s="4">
        <v>46141.50011574074</v>
      </c>
      <c r="U162" s="4"/>
      <c r="V162"/>
      <c r="W162">
        <v>1296</v>
      </c>
      <c r="X162"/>
      <c r="Y162" t="inlineStr">
        <is>
          <t>Pending Appointment</t>
        </is>
      </c>
      <c r="Z162" t="inlineStr">
        <is>
          <t>Hiring Now</t>
        </is>
      </c>
      <c r="AA162">
        <v>1</v>
      </c>
      <c r="AB162" t="inlineStr">
        <is>
          <t>No Appointment Made</t>
        </is>
      </c>
      <c r="AC162"/>
      <c r="AD162" t="inlineStr">
        <is>
          <t>1 admin</t>
        </is>
      </c>
      <c r="AE162"/>
      <c r="AF162">
        <v>100</v>
      </c>
      <c r="AG162" s="4"/>
      <c r="AH162" s="4"/>
      <c r="AI162"/>
      <c r="AJ162"/>
      <c r="AK162"/>
      <c r="AL162"/>
      <c r="AM162"/>
      <c r="AN162"/>
      <c r="AO162"/>
      <c r="AP162"/>
      <c r="AQ162"/>
      <c r="AR162"/>
      <c r="AS162" t="inlineStr">
        <is>
          <t>- Headcount: 1
- Hiring Job Details: 1 admin
- Hiring Urgency: Hiring Now
- Number of outlets: Not provided
- Have recruiter team: Not provided
- Number of recruiter in company: Not provided
- Have ATS system: Not provided
- Have career website: Not provided
- Current hiring budget: RM100.00
- Whole year budget: Not provided
- Whole year number of vacancies: Not provided
- Hiring frequency: Not provided
- External job portal: Not provided</t>
        </is>
      </c>
      <c r="AT162">
        <v>65</v>
      </c>
      <c r="AU162" t="inlineStr">
        <is>
          <t>0.65</t>
        </is>
      </c>
      <c r="AV162" t="inlineStr">
        <is>
          <t>15</t>
        </is>
      </c>
      <c r="AW162" t="inlineStr">
        <is>
          <t>0</t>
        </is>
      </c>
      <c r="AX162" t="inlineStr">
        <is>
          <t>Not Qualified</t>
        </is>
      </c>
      <c r="AY162" s="4"/>
      <c r="AZ162"/>
      <c r="BA162"/>
      <c r="BB162"/>
      <c r="BC162" t="inlineStr">
        <is>
          <t>payment pending</t>
        </is>
      </c>
      <c r="BD162" s="4">
        <v>46141.46696759259</v>
      </c>
      <c r="BE162" t="inlineStr">
        <is>
          <t>paid</t>
        </is>
      </c>
      <c r="BF162" t="inlineStr">
        <is>
          <t>Q2-W04</t>
        </is>
      </c>
      <c r="BG162" t="inlineStr">
        <is>
          <t>Reschedule</t>
        </is>
      </c>
      <c r="BH162" t="inlineStr">
        <is>
          <t>Reagen</t>
        </is>
      </c>
      <c r="BI162"/>
      <c r="BJ162" s="4">
        <v>46144.75438657407</v>
      </c>
      <c r="BK162" s="4">
        <v>46141.40375</v>
      </c>
      <c r="BL162" t="inlineStr">
        <is>
          <t>1296.0</t>
        </is>
      </c>
      <c r="BM162" t="inlineStr">
        <is>
          <t>0.0</t>
        </is>
      </c>
      <c r="BN162" t="inlineStr">
        <is>
          <t>View Jobmanager Page</t>
        </is>
      </c>
      <c r="BO162" s="4">
        <v>46143.924942129626</v>
      </c>
      <c r="BP162">
        <v>169412</v>
      </c>
      <c r="BQ162">
        <v>95080</v>
      </c>
      <c r="BR162" t="inlineStr">
        <is>
          <t>Online</t>
        </is>
      </c>
      <c r="BS162"/>
      <c r="BT162">
        <v>95080</v>
      </c>
      <c r="BU162"/>
      <c r="BV162">
        <v>2734665</v>
      </c>
      <c r="BW162" t="inlineStr">
        <is>
          <t>Follow Up : Payment Pending</t>
        </is>
      </c>
      <c r="BX162">
        <v>4</v>
      </c>
      <c r="BY162">
        <v>3</v>
      </c>
      <c r="BZ162" s="4">
        <v>46141.50766203704</v>
      </c>
      <c r="CA162">
        <v>10</v>
      </c>
      <c r="CB162">
        <v>10</v>
      </c>
      <c r="CC162" s="4"/>
      <c r="CD162" t="inlineStr">
        <is>
          <t>20</t>
        </is>
      </c>
      <c r="CE162" t="inlineStr">
        <is>
          <t>0</t>
        </is>
      </c>
      <c r="CF162" t="inlineStr">
        <is>
          <t>Q2-W04</t>
        </is>
      </c>
      <c r="CG162" t="inlineStr">
        <is>
          <t>Q2-W04</t>
        </is>
      </c>
      <c r="CH162" t="inlineStr">
        <is>
          <t>Q2-W04</t>
        </is>
      </c>
      <c r="CI162"/>
      <c r="CJ162" t="inlineStr">
        <is>
          <t>Paid</t>
        </is>
      </c>
      <c r="CK162" t="inlineStr">
        <is>
          <t>Not Eligible</t>
        </is>
      </c>
      <c r="CL162"/>
      <c r="CM162"/>
    </row>
    <row r="163" ht="25.5" customHeight="1">
      <c r="A163" t="inlineStr">
        <is>
          <t>4329758</t>
        </is>
      </c>
      <c r="B163" s="2"/>
      <c r="C163"/>
      <c r="D163" s="3">
        <v>46141.428819444445</v>
      </c>
      <c r="E163" t="inlineStr">
        <is>
          <t>Q2-W04</t>
        </is>
      </c>
      <c r="F163" t="inlineStr">
        <is>
          <t>Jess</t>
        </is>
      </c>
      <c r="G163" t="inlineStr">
        <is>
          <t>Lead</t>
        </is>
      </c>
      <c r="H163" s="2" t="str">
        <f>=HYPERLINK("https://upbox.ajobthing.my/leads/4329758", "https://upbox.ajobthing.my/leads/4329758")</f>
        <v>https://upbox.ajobthing.my/leads/4329758</v>
      </c>
      <c r="I163" t="inlineStr">
        <is>
          <t>KIM LIAN KEE KEPONG SDN BHD</t>
        </is>
      </c>
      <c r="J163" t="inlineStr">
        <is>
          <t>Dolphin</t>
        </is>
      </c>
      <c r="K163" t="inlineStr">
        <is>
          <t>Jess Lim</t>
        </is>
      </c>
      <c r="L163" s="4"/>
      <c r="M163" s="4">
        <v>46141.42925925926</v>
      </c>
      <c r="N163"/>
      <c r="O163">
        <v>3888</v>
      </c>
      <c r="P163" s="4"/>
      <c r="Q163" s="4"/>
      <c r="R163"/>
      <c r="S163"/>
      <c r="T163" s="4"/>
      <c r="U163" s="4"/>
      <c r="V163"/>
      <c r="W163"/>
      <c r="X163"/>
      <c r="Y163" t="inlineStr">
        <is>
          <t>Pending Appointment</t>
        </is>
      </c>
      <c r="Z163" t="inlineStr">
        <is>
          <t>Hiring Now</t>
        </is>
      </c>
      <c r="AA163">
        <v>1</v>
      </c>
      <c r="AB163" t="inlineStr">
        <is>
          <t>No Appointment Made</t>
        </is>
      </c>
      <c r="AC163"/>
      <c r="AD163" t="inlineStr">
        <is>
          <t>chef 1</t>
        </is>
      </c>
      <c r="AE163"/>
      <c r="AF163">
        <v>400</v>
      </c>
      <c r="AG163" s="4"/>
      <c r="AH163" s="4"/>
      <c r="AI163"/>
      <c r="AJ163">
        <v>1</v>
      </c>
      <c r="AK163" t="inlineStr">
        <is>
          <t>Yes, I have</t>
        </is>
      </c>
      <c r="AL163">
        <v>1</v>
      </c>
      <c r="AM163" t="inlineStr">
        <is>
          <t>No, I don't need at all</t>
        </is>
      </c>
      <c r="AN163"/>
      <c r="AO163" t="inlineStr">
        <is>
          <t>No, I don't need at all</t>
        </is>
      </c>
      <c r="AP163" t="inlineStr">
        <is>
          <t>Once a year (25%)</t>
        </is>
      </c>
      <c r="AQ163"/>
      <c r="AR163" t="inlineStr">
        <is>
          <t>Free Job Portal</t>
        </is>
      </c>
      <c r="AS163" t="inlineStr">
        <is>
          <t>- Headcount: 1
- Hiring Job Details: 1 chef
- Hiring Urgency: Hiring Now
- Number of outlets: 1
- Have recruiter team: Yes
- Number of recruiter in company: 1
- Have ATS system: No, I don't need at all
- Have career website: No, I don't need at all
- Current hiring budget: RM400.00
- Whole year budget: Not specified
- Whole year number of vacancies: Not specified
- Hiring frequency: Once a year (25%)
- External job portal: Free Job Portal</t>
        </is>
      </c>
      <c r="AT163">
        <v>100</v>
      </c>
      <c r="AU163" t="inlineStr">
        <is>
          <t>1.00</t>
        </is>
      </c>
      <c r="AV163" t="inlineStr">
        <is>
          <t>15</t>
        </is>
      </c>
      <c r="AW163" t="inlineStr">
        <is>
          <t>0</t>
        </is>
      </c>
      <c r="AX163" t="inlineStr">
        <is>
          <t>Not Qualified</t>
        </is>
      </c>
      <c r="AY163" s="4"/>
      <c r="AZ163"/>
      <c r="BA163"/>
      <c r="BB163"/>
      <c r="BC163"/>
      <c r="BD163" s="4"/>
      <c r="BE163"/>
      <c r="BF163"/>
      <c r="BG163" t="inlineStr">
        <is>
          <t>Reschedule</t>
        </is>
      </c>
      <c r="BH163" t="inlineStr">
        <is>
          <t>Fauziah Maharan</t>
        </is>
      </c>
      <c r="BI163"/>
      <c r="BJ163" s="4">
        <v>46144.755949074075</v>
      </c>
      <c r="BK163" s="4">
        <v>46140.96802083333</v>
      </c>
      <c r="BL163" t="inlineStr">
        <is>
          <t>0.0</t>
        </is>
      </c>
      <c r="BM163" t="inlineStr">
        <is>
          <t>0.0</t>
        </is>
      </c>
      <c r="BN163"/>
      <c r="BO163" s="4"/>
      <c r="BP163">
        <v>169414</v>
      </c>
      <c r="BQ163"/>
      <c r="BR163"/>
      <c r="BS163"/>
      <c r="BT163"/>
      <c r="BU163"/>
      <c r="BV163"/>
      <c r="BW163"/>
      <c r="BX163"/>
      <c r="BY163"/>
      <c r="BZ163" s="4"/>
      <c r="CA163"/>
      <c r="CB163"/>
      <c r="CC163" s="4"/>
      <c r="CD163" t="inlineStr">
        <is>
          <t>20</t>
        </is>
      </c>
      <c r="CE163" t="inlineStr">
        <is>
          <t>0</t>
        </is>
      </c>
      <c r="CF163" t="inlineStr">
        <is>
          <t>Q2-W04</t>
        </is>
      </c>
      <c r="CG163"/>
      <c r="CH163"/>
      <c r="CI163"/>
      <c r="CJ163" t="inlineStr">
        <is>
          <t>No Paid</t>
        </is>
      </c>
      <c r="CK163" t="inlineStr">
        <is>
          <t>Not Eligible</t>
        </is>
      </c>
      <c r="CL163"/>
      <c r="CM163"/>
    </row>
    <row r="164" ht="25.5" customHeight="1">
      <c r="A164" t="inlineStr">
        <is>
          <t>179359</t>
        </is>
      </c>
      <c r="B164" s="2"/>
      <c r="C164"/>
      <c r="D164" s="3">
        <v>46141.437430555554</v>
      </c>
      <c r="E164" t="inlineStr">
        <is>
          <t>Q2-W04</t>
        </is>
      </c>
      <c r="F164" t="inlineStr">
        <is>
          <t>Angel  Low</t>
        </is>
      </c>
      <c r="G164" t="inlineStr">
        <is>
          <t>Customer</t>
        </is>
      </c>
      <c r="H164" s="2" t="str">
        <f>=HYPERLINK("https://upbox.ajobthing.my/customer/179359", "https://upbox.ajobthing.my/customer/179359")</f>
        <v>https://upbox.ajobthing.my/customer/179359</v>
      </c>
      <c r="I164" t="inlineStr">
        <is>
          <t>Nova Wealth Management</t>
        </is>
      </c>
      <c r="J164" t="inlineStr">
        <is>
          <t>Dolphin</t>
        </is>
      </c>
      <c r="K164" t="inlineStr">
        <is>
          <t>Angel Low</t>
        </is>
      </c>
      <c r="L164" s="4"/>
      <c r="M164" s="4">
        <v>46140.75555555556</v>
      </c>
      <c r="N164"/>
      <c r="O164">
        <v>3576.96</v>
      </c>
      <c r="P164" s="4"/>
      <c r="Q164" s="4">
        <v>45926.64346064815</v>
      </c>
      <c r="R164"/>
      <c r="S164">
        <v>0</v>
      </c>
      <c r="T164" s="4">
        <v>45782.63197916667</v>
      </c>
      <c r="U164" s="4"/>
      <c r="V164"/>
      <c r="W164">
        <v>2916</v>
      </c>
      <c r="X164" t="inlineStr">
        <is>
          <t>Fauziah Maharan</t>
        </is>
      </c>
      <c r="Y164" t="inlineStr">
        <is>
          <t>Pending Appointment</t>
        </is>
      </c>
      <c r="Z164" t="inlineStr">
        <is>
          <t>Hiring Now</t>
        </is>
      </c>
      <c r="AA164">
        <v>2</v>
      </c>
      <c r="AB164" t="inlineStr">
        <is>
          <t>Appointment Made</t>
        </is>
      </c>
      <c r="AC164" t="inlineStr">
        <is>
          <t>SME (&lt;50 employees)</t>
        </is>
      </c>
      <c r="AD164" t="inlineStr">
        <is>
          <t xml:space="preserve">2 sales mandarin speaker </t>
        </is>
      </c>
      <c r="AE164" t="inlineStr">
        <is>
          <t>HR Director / Senior HR Lead</t>
        </is>
      </c>
      <c r="AF164">
        <v>3000</v>
      </c>
      <c r="AG164" s="4">
        <v>46140.708333333336</v>
      </c>
      <c r="AH164" s="4">
        <v>46140.75</v>
      </c>
      <c r="AI164"/>
      <c r="AJ164"/>
      <c r="AK164"/>
      <c r="AL164"/>
      <c r="AM164"/>
      <c r="AN164"/>
      <c r="AO164"/>
      <c r="AP164"/>
      <c r="AQ164"/>
      <c r="AR164"/>
      <c r="AS164" t="inlineStr">
        <is>
          <t>- Headcount: 2
- Hiring Job Details: 2 sales mandarin speaker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Not provided
- External job portal: Not provided</t>
        </is>
      </c>
      <c r="AT164">
        <v>75</v>
      </c>
      <c r="AU164" t="inlineStr">
        <is>
          <t>0.75</t>
        </is>
      </c>
      <c r="AV164" t="inlineStr">
        <is>
          <t>35</t>
        </is>
      </c>
      <c r="AW164" t="inlineStr">
        <is>
          <t>0</t>
        </is>
      </c>
      <c r="AX164" t="inlineStr">
        <is>
          <t>Not Qualified</t>
        </is>
      </c>
      <c r="AY164" s="4"/>
      <c r="AZ164"/>
      <c r="BA164"/>
      <c r="BB164"/>
      <c r="BC164" t="inlineStr">
        <is>
          <t>- Headcount: 2
- Hiring Job Details: 2 sales mandarin speaker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Not provided
- External job portal: Not provided</t>
        </is>
      </c>
      <c r="BD164" s="4">
        <v>46141.45837962963</v>
      </c>
      <c r="BE164" t="inlineStr">
        <is>
          <t>paid</t>
        </is>
      </c>
      <c r="BF164"/>
      <c r="BG164" t="inlineStr">
        <is>
          <t>Reschedule</t>
        </is>
      </c>
      <c r="BH164" t="inlineStr">
        <is>
          <t>Fauziah Maharan</t>
        </is>
      </c>
      <c r="BI164" t="inlineStr">
        <is>
          <t>Banking / Finance</t>
        </is>
      </c>
      <c r="BJ164" s="4">
        <v>46144.75178240741</v>
      </c>
      <c r="BK164" s="4">
        <v>45455.59903935185</v>
      </c>
      <c r="BL164" t="inlineStr">
        <is>
          <t>2916.0</t>
        </is>
      </c>
      <c r="BM164" t="inlineStr">
        <is>
          <t>0.0</t>
        </is>
      </c>
      <c r="BN164" t="inlineStr">
        <is>
          <t>View Company Page</t>
        </is>
      </c>
      <c r="BO164" s="4">
        <v>46141.75716435185</v>
      </c>
      <c r="BP164">
        <v>169373</v>
      </c>
      <c r="BQ164">
        <v>109920</v>
      </c>
      <c r="BR164" t="inlineStr">
        <is>
          <t>Proforma</t>
        </is>
      </c>
      <c r="BS164" t="inlineStr">
        <is>
          <t>A La Carte AI Job Ad Free</t>
        </is>
      </c>
      <c r="BT164">
        <v>78998</v>
      </c>
      <c r="BU164"/>
      <c r="BV164">
        <v>2734574</v>
      </c>
      <c r="BW164" t="inlineStr">
        <is>
          <t>Customer Inquiry</t>
        </is>
      </c>
      <c r="BX164">
        <v>6</v>
      </c>
      <c r="BY164">
        <v>0</v>
      </c>
      <c r="BZ164" s="4">
        <v>46139.61744212963</v>
      </c>
      <c r="CA164">
        <v>120</v>
      </c>
      <c r="CB164">
        <v>10</v>
      </c>
      <c r="CC164" s="4">
        <v>46100.50667824074</v>
      </c>
      <c r="CD164" t="inlineStr">
        <is>
          <t>45</t>
        </is>
      </c>
      <c r="CE164" t="inlineStr">
        <is>
          <t>0</t>
        </is>
      </c>
      <c r="CF164" t="inlineStr">
        <is>
          <t>Q2-W04</t>
        </is>
      </c>
      <c r="CG164"/>
      <c r="CH164"/>
      <c r="CI164"/>
      <c r="CJ164" t="inlineStr">
        <is>
          <t>Paid</t>
        </is>
      </c>
      <c r="CK164" t="inlineStr">
        <is>
          <t>Not Eligible</t>
        </is>
      </c>
      <c r="CL164"/>
      <c r="CM164"/>
    </row>
    <row r="165" ht="25.5" customHeight="1">
      <c r="A165" t="inlineStr">
        <is>
          <t>198035</t>
        </is>
      </c>
      <c r="B165" s="2"/>
      <c r="C165"/>
      <c r="D165" s="3">
        <v>46141.44180555556</v>
      </c>
      <c r="E165" t="inlineStr">
        <is>
          <t>Q2-W04</t>
        </is>
      </c>
      <c r="F165" t="inlineStr">
        <is>
          <t>Ken Yi</t>
        </is>
      </c>
      <c r="G165" t="inlineStr">
        <is>
          <t>Customer</t>
        </is>
      </c>
      <c r="H165" s="2" t="str">
        <f>=HYPERLINK("https://upbox.ajobthing.my/customer/198035", "https://upbox.ajobthing.my/customer/198035")</f>
        <v>https://upbox.ajobthing.my/customer/198035</v>
      </c>
      <c r="I165" t="inlineStr">
        <is>
          <t>SMH International Marketing Development Sdn. Bhd.</t>
        </is>
      </c>
      <c r="J165" t="inlineStr">
        <is>
          <t>Dolphin</t>
        </is>
      </c>
      <c r="K165" t="inlineStr">
        <is>
          <t>Kenyi</t>
        </is>
      </c>
      <c r="L165" s="4"/>
      <c r="M165" s="4">
        <v>46141.46537037037</v>
      </c>
      <c r="N165"/>
      <c r="O165">
        <v>3576.96</v>
      </c>
      <c r="P165" s="4"/>
      <c r="Q165" s="4">
        <v>46099.43962962963</v>
      </c>
      <c r="R165"/>
      <c r="S165">
        <v>1296</v>
      </c>
      <c r="T165" s="4">
        <v>46099.43962962963</v>
      </c>
      <c r="U165" s="4"/>
      <c r="V165"/>
      <c r="W165">
        <v>1296</v>
      </c>
      <c r="X165"/>
      <c r="Y165" t="inlineStr">
        <is>
          <t>Pending Appointment</t>
        </is>
      </c>
      <c r="Z165" t="inlineStr">
        <is>
          <t>Hiring Now</t>
        </is>
      </c>
      <c r="AA165">
        <v>0</v>
      </c>
      <c r="AB165" t="inlineStr">
        <is>
          <t>No Appointment Made</t>
        </is>
      </c>
      <c r="AC165"/>
      <c r="AD165" t="inlineStr">
        <is>
          <t>Renewal flash sales</t>
        </is>
      </c>
      <c r="AE165"/>
      <c r="AF165">
        <v>0</v>
      </c>
      <c r="AG165" s="4"/>
      <c r="AH165" s="4"/>
      <c r="AI165">
        <v>0</v>
      </c>
      <c r="AJ165">
        <v>1</v>
      </c>
      <c r="AK165" t="inlineStr">
        <is>
          <t>Yes, I have</t>
        </is>
      </c>
      <c r="AL165">
        <v>1</v>
      </c>
      <c r="AM165" t="inlineStr">
        <is>
          <t>No, I don't need at all</t>
        </is>
      </c>
      <c r="AN165"/>
      <c r="AO165" t="inlineStr">
        <is>
          <t>No, I don't need at all</t>
        </is>
      </c>
      <c r="AP165" t="inlineStr">
        <is>
          <t>Every month (100%)</t>
        </is>
      </c>
      <c r="AQ165">
        <v>1</v>
      </c>
      <c r="AR165" t="inlineStr">
        <is>
          <t>Did not use any job portal</t>
        </is>
      </c>
      <c r="AS165" t="inlineStr">
        <is>
          <t>- Headcount: 0
- Hiring Job Details: Renewal flash sales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165">
        <v>110</v>
      </c>
      <c r="AU165" t="inlineStr">
        <is>
          <t>1.10</t>
        </is>
      </c>
      <c r="AV165" t="inlineStr">
        <is>
          <t>15</t>
        </is>
      </c>
      <c r="AW165" t="inlineStr">
        <is>
          <t>0</t>
        </is>
      </c>
      <c r="AX165" t="inlineStr">
        <is>
          <t>Not Qualified</t>
        </is>
      </c>
      <c r="AY165" s="4"/>
      <c r="AZ165"/>
      <c r="BA165"/>
      <c r="BB165"/>
      <c r="BC165" t="inlineStr">
        <is>
          <t>- Headcount: 0
- Hiring Job Details: Renewal flash sales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BD165" s="4">
        <v>46141.45837962963</v>
      </c>
      <c r="BE165" t="inlineStr">
        <is>
          <t>paid</t>
        </is>
      </c>
      <c r="BF165" t="inlineStr">
        <is>
          <t>Q1-W11</t>
        </is>
      </c>
      <c r="BG165" t="inlineStr">
        <is>
          <t>Reschedule</t>
        </is>
      </c>
      <c r="BH165" t="inlineStr">
        <is>
          <t>Fauziah Maharan</t>
        </is>
      </c>
      <c r="BI165" t="inlineStr">
        <is>
          <t>Exhibitions / Event Mgmt</t>
        </is>
      </c>
      <c r="BJ165" s="4">
        <v>46144.75292824074</v>
      </c>
      <c r="BK165" s="4">
        <v>45968.5837962963</v>
      </c>
      <c r="BL165" t="inlineStr">
        <is>
          <t>1944.0</t>
        </is>
      </c>
      <c r="BM165" t="inlineStr">
        <is>
          <t>0.0</t>
        </is>
      </c>
      <c r="BN165" t="inlineStr">
        <is>
          <t>View Company Page</t>
        </is>
      </c>
      <c r="BO165" s="4">
        <v>46142.6459837963</v>
      </c>
      <c r="BP165">
        <v>169439</v>
      </c>
      <c r="BQ165">
        <v>88983</v>
      </c>
      <c r="BR165" t="inlineStr">
        <is>
          <t>Online</t>
        </is>
      </c>
      <c r="BS165"/>
      <c r="BT165">
        <v>88983</v>
      </c>
      <c r="BU165"/>
      <c r="BV165">
        <v>2734576</v>
      </c>
      <c r="BW165" t="inlineStr">
        <is>
          <t>Customer Inquiry</t>
        </is>
      </c>
      <c r="BX165"/>
      <c r="BY165"/>
      <c r="BZ165" s="4"/>
      <c r="CA165"/>
      <c r="CB165"/>
      <c r="CC165" s="4"/>
      <c r="CD165" t="inlineStr">
        <is>
          <t>20</t>
        </is>
      </c>
      <c r="CE165" t="inlineStr">
        <is>
          <t>0</t>
        </is>
      </c>
      <c r="CF165" t="inlineStr">
        <is>
          <t>Q2-W04</t>
        </is>
      </c>
      <c r="CG165" t="inlineStr">
        <is>
          <t>Q1-W11</t>
        </is>
      </c>
      <c r="CH165" t="inlineStr">
        <is>
          <t>Q1-W11</t>
        </is>
      </c>
      <c r="CI165"/>
      <c r="CJ165" t="inlineStr">
        <is>
          <t>Paid</t>
        </is>
      </c>
      <c r="CK165" t="inlineStr">
        <is>
          <t>Not Eligible</t>
        </is>
      </c>
      <c r="CL165"/>
      <c r="CM165"/>
    </row>
    <row r="166" ht="25.5" customHeight="1">
      <c r="A166" t="inlineStr">
        <is>
          <t>184824</t>
        </is>
      </c>
      <c r="B166" s="2"/>
      <c r="C166"/>
      <c r="D166" s="3">
        <v>46141.45853009259</v>
      </c>
      <c r="E166" t="inlineStr">
        <is>
          <t>Q2-W04</t>
        </is>
      </c>
      <c r="F166" t="inlineStr">
        <is>
          <t>Xin Hui</t>
        </is>
      </c>
      <c r="G166" t="inlineStr">
        <is>
          <t>Customer</t>
        </is>
      </c>
      <c r="H166" s="2" t="str">
        <f>=HYPERLINK("https://upbox.ajobthing.my/customer/184824", "https://upbox.ajobthing.my/customer/184824")</f>
        <v>https://upbox.ajobthing.my/customer/184824</v>
      </c>
      <c r="I166" t="inlineStr">
        <is>
          <t>Flame Force Trading</t>
        </is>
      </c>
      <c r="J166" t="inlineStr">
        <is>
          <t>Dolphin</t>
        </is>
      </c>
      <c r="K166" t="inlineStr">
        <is>
          <t>Xin Hui</t>
        </is>
      </c>
      <c r="L166" s="4"/>
      <c r="M166" s="4">
        <v>46141.46113425926</v>
      </c>
      <c r="N166"/>
      <c r="O166">
        <v>3888</v>
      </c>
      <c r="P166" s="4"/>
      <c r="Q166" s="4"/>
      <c r="R166"/>
      <c r="S166"/>
      <c r="T166" s="4"/>
      <c r="U166" s="4"/>
      <c r="V166"/>
      <c r="W166"/>
      <c r="X166"/>
      <c r="Y166" t="inlineStr">
        <is>
          <t>Pending Appointment</t>
        </is>
      </c>
      <c r="Z166" t="inlineStr">
        <is>
          <t>Hiring Now</t>
        </is>
      </c>
      <c r="AA166">
        <v>2</v>
      </c>
      <c r="AB166" t="inlineStr">
        <is>
          <t>No Appointment Made</t>
        </is>
      </c>
      <c r="AC166"/>
      <c r="AD166" t="inlineStr">
        <is>
          <t xml:space="preserve">lorry driver / store assistant </t>
        </is>
      </c>
      <c r="AE166"/>
      <c r="AF166"/>
      <c r="AG166" s="4"/>
      <c r="AH166" s="4"/>
      <c r="AI166"/>
      <c r="AJ166"/>
      <c r="AK166" t="inlineStr">
        <is>
          <t>No, I don't need at all</t>
        </is>
      </c>
      <c r="AL166"/>
      <c r="AM166" t="inlineStr">
        <is>
          <t>No, I don't need at all</t>
        </is>
      </c>
      <c r="AN166"/>
      <c r="AO166" t="inlineStr">
        <is>
          <t>No, I don't need at all</t>
        </is>
      </c>
      <c r="AP166" t="inlineStr">
        <is>
          <t>Once a year (25%)</t>
        </is>
      </c>
      <c r="AQ166"/>
      <c r="AR166" t="inlineStr">
        <is>
          <t>Free Job Portal</t>
        </is>
      </c>
      <c r="AS166" t="inlineStr">
        <is>
          <t>- Headcount: 2
- Hiring Job Details: lorry driver / store assistant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Free Job Portal</t>
        </is>
      </c>
      <c r="AT166">
        <v>75</v>
      </c>
      <c r="AU166" t="inlineStr">
        <is>
          <t>0.75</t>
        </is>
      </c>
      <c r="AV166" t="inlineStr">
        <is>
          <t>5</t>
        </is>
      </c>
      <c r="AW166" t="inlineStr">
        <is>
          <t>0</t>
        </is>
      </c>
      <c r="AX166" t="inlineStr">
        <is>
          <t>Not Qualified</t>
        </is>
      </c>
      <c r="AY166" s="4"/>
      <c r="AZ166"/>
      <c r="BA166"/>
      <c r="BB166"/>
      <c r="BC166" t="inlineStr">
        <is>
          <t>- Headcount: 2
- Hiring Job Details: lorry driver / store assistant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Free Job Portal</t>
        </is>
      </c>
      <c r="BD166" s="4">
        <v>46141.500023148146</v>
      </c>
      <c r="BE166"/>
      <c r="BF166"/>
      <c r="BG166" t="inlineStr">
        <is>
          <t>Reschedule</t>
        </is>
      </c>
      <c r="BH166" t="inlineStr">
        <is>
          <t>Yee Hang</t>
        </is>
      </c>
      <c r="BI166" t="inlineStr">
        <is>
          <t>Other industries</t>
        </is>
      </c>
      <c r="BJ166" s="4">
        <v>46144.75201388889</v>
      </c>
      <c r="BK166" s="4">
        <v>45610.485439814816</v>
      </c>
      <c r="BL166" t="inlineStr">
        <is>
          <t>0.0</t>
        </is>
      </c>
      <c r="BM166" t="inlineStr">
        <is>
          <t>1200.0</t>
        </is>
      </c>
      <c r="BN166" t="inlineStr">
        <is>
          <t>View Create Job Page</t>
        </is>
      </c>
      <c r="BO166" s="4">
        <v>45611.62321759259</v>
      </c>
      <c r="BP166">
        <v>169429</v>
      </c>
      <c r="BQ166"/>
      <c r="BR166"/>
      <c r="BS166"/>
      <c r="BT166"/>
      <c r="BU166"/>
      <c r="BV166">
        <v>2734859</v>
      </c>
      <c r="BW166" t="inlineStr">
        <is>
          <t>Customer Inquiry</t>
        </is>
      </c>
      <c r="BX166"/>
      <c r="BY166"/>
      <c r="BZ166" s="4"/>
      <c r="CA166"/>
      <c r="CB166"/>
      <c r="CC166" s="4"/>
      <c r="CD166" t="inlineStr">
        <is>
          <t>5</t>
        </is>
      </c>
      <c r="CE166" t="inlineStr">
        <is>
          <t>0</t>
        </is>
      </c>
      <c r="CF166" t="inlineStr">
        <is>
          <t>Q2-W04</t>
        </is>
      </c>
      <c r="CG166"/>
      <c r="CH166"/>
      <c r="CI166"/>
      <c r="CJ166" t="inlineStr">
        <is>
          <t>No Paid</t>
        </is>
      </c>
      <c r="CK166" t="inlineStr">
        <is>
          <t>Not Eligible</t>
        </is>
      </c>
      <c r="CL166"/>
      <c r="CM166"/>
    </row>
    <row r="167" ht="25.5" customHeight="1">
      <c r="A167" t="inlineStr">
        <is>
          <t>203778</t>
        </is>
      </c>
      <c r="B167" s="2"/>
      <c r="C167"/>
      <c r="D167" s="3">
        <v>46141.46241898148</v>
      </c>
      <c r="E167" t="inlineStr">
        <is>
          <t>Q2-W04</t>
        </is>
      </c>
      <c r="F167" t="inlineStr">
        <is>
          <t>Derek Lim</t>
        </is>
      </c>
      <c r="G167" t="inlineStr">
        <is>
          <t>Customer</t>
        </is>
      </c>
      <c r="H167" s="2" t="str">
        <f>=HYPERLINK("https://upbox.ajobthing.my/customer/203778", "https://upbox.ajobthing.my/customer/203778")</f>
        <v>https://upbox.ajobthing.my/customer/203778</v>
      </c>
      <c r="I167" t="inlineStr">
        <is>
          <t>Triballiance Group Sdn. Bhd.</t>
        </is>
      </c>
      <c r="J167" t="inlineStr">
        <is>
          <t>Dolphin</t>
        </is>
      </c>
      <c r="K167" t="inlineStr">
        <is>
          <t>Derek Lim</t>
        </is>
      </c>
      <c r="L167" s="4"/>
      <c r="M167" s="4">
        <v>46141.46252314815</v>
      </c>
      <c r="N167"/>
      <c r="O167">
        <v>6048</v>
      </c>
      <c r="P167" s="4"/>
      <c r="Q167" s="4"/>
      <c r="R167"/>
      <c r="S167"/>
      <c r="T167" s="4"/>
      <c r="U167" s="4"/>
      <c r="V167"/>
      <c r="W167"/>
      <c r="X167"/>
      <c r="Y167" t="inlineStr">
        <is>
          <t>Pending Appointment</t>
        </is>
      </c>
      <c r="Z167" t="inlineStr">
        <is>
          <t>Hiring Now</t>
        </is>
      </c>
      <c r="AA167">
        <v>1</v>
      </c>
      <c r="AB167" t="inlineStr">
        <is>
          <t>No Appointment Made</t>
        </is>
      </c>
      <c r="AC167"/>
      <c r="AD167" t="inlineStr">
        <is>
          <t>Admin cum operator - 1</t>
        </is>
      </c>
      <c r="AE167"/>
      <c r="AF167">
        <v>0</v>
      </c>
      <c r="AG167" s="4"/>
      <c r="AH167" s="4"/>
      <c r="AI167">
        <v>0</v>
      </c>
      <c r="AJ167">
        <v>2</v>
      </c>
      <c r="AK167" t="inlineStr">
        <is>
          <t>No, I don't need at all</t>
        </is>
      </c>
      <c r="AL167">
        <v>0</v>
      </c>
      <c r="AM167" t="inlineStr">
        <is>
          <t>No, I don't need at all</t>
        </is>
      </c>
      <c r="AN167"/>
      <c r="AO167" t="inlineStr">
        <is>
          <t>No, I don't need at all</t>
        </is>
      </c>
      <c r="AP167" t="inlineStr">
        <is>
          <t>Once a year (25%)</t>
        </is>
      </c>
      <c r="AQ167">
        <v>2</v>
      </c>
      <c r="AR167" t="inlineStr">
        <is>
          <t>Jobstreet</t>
        </is>
      </c>
      <c r="AS167" t="inlineStr">
        <is>
          <t>- Headcount: 1
- Hiring Job Details: 1 admin cum operator
- Hiring Urgency: Hiring Now
- Number of outlets: 2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is>
      </c>
      <c r="AT167">
        <v>110</v>
      </c>
      <c r="AU167" t="inlineStr">
        <is>
          <t>1.10</t>
        </is>
      </c>
      <c r="AV167" t="inlineStr">
        <is>
          <t>15</t>
        </is>
      </c>
      <c r="AW167" t="inlineStr">
        <is>
          <t>0</t>
        </is>
      </c>
      <c r="AX167" t="inlineStr">
        <is>
          <t>Not Qualified</t>
        </is>
      </c>
      <c r="AY167" s="4"/>
      <c r="AZ167"/>
      <c r="BA167"/>
      <c r="BB167"/>
      <c r="BC167" t="inlineStr">
        <is>
          <t>- Headcount: 1
- Hiring Job Details: 1 admin cum operator
- Hiring Urgency: Hiring Now
- Number of outlets: 2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is>
      </c>
      <c r="BD167" s="4">
        <v>46141.500023148146</v>
      </c>
      <c r="BE167"/>
      <c r="BF167"/>
      <c r="BG167" t="inlineStr">
        <is>
          <t>Reschedule</t>
        </is>
      </c>
      <c r="BH167" t="inlineStr">
        <is>
          <t>Edward Hoo</t>
        </is>
      </c>
      <c r="BI167"/>
      <c r="BJ167" s="4">
        <v>46144.75438657407</v>
      </c>
      <c r="BK167" s="4">
        <v>46141.45185185185</v>
      </c>
      <c r="BL167" t="inlineStr">
        <is>
          <t>0.0</t>
        </is>
      </c>
      <c r="BM167" t="inlineStr">
        <is>
          <t>0.0</t>
        </is>
      </c>
      <c r="BN167" t="inlineStr">
        <is>
          <t>View Company Page</t>
        </is>
      </c>
      <c r="BO167" s="4">
        <v>46141.47059027778</v>
      </c>
      <c r="BP167">
        <v>169430</v>
      </c>
      <c r="BQ167"/>
      <c r="BR167"/>
      <c r="BS167"/>
      <c r="BT167"/>
      <c r="BU167"/>
      <c r="BV167">
        <v>2734861</v>
      </c>
      <c r="BW167" t="inlineStr">
        <is>
          <t>Customer Inquiry</t>
        </is>
      </c>
      <c r="BX167"/>
      <c r="BY167"/>
      <c r="BZ167" s="4"/>
      <c r="CA167"/>
      <c r="CB167"/>
      <c r="CC167" s="4"/>
      <c r="CD167" t="inlineStr">
        <is>
          <t>20</t>
        </is>
      </c>
      <c r="CE167" t="inlineStr">
        <is>
          <t>0</t>
        </is>
      </c>
      <c r="CF167" t="inlineStr">
        <is>
          <t>Q2-W04</t>
        </is>
      </c>
      <c r="CG167"/>
      <c r="CH167"/>
      <c r="CI167"/>
      <c r="CJ167" t="inlineStr">
        <is>
          <t>No Paid</t>
        </is>
      </c>
      <c r="CK167" t="inlineStr">
        <is>
          <t>Not Eligible</t>
        </is>
      </c>
      <c r="CL167"/>
      <c r="CM167"/>
    </row>
    <row r="168" ht="25.5" customHeight="1">
      <c r="A168" t="inlineStr">
        <is>
          <t>188744</t>
        </is>
      </c>
      <c r="B168" s="2"/>
      <c r="C168"/>
      <c r="D168" s="3">
        <v>46141.46527777778</v>
      </c>
      <c r="E168" t="inlineStr">
        <is>
          <t>Q2-W04</t>
        </is>
      </c>
      <c r="F168" t="inlineStr">
        <is>
          <t>Jeff Lee</t>
        </is>
      </c>
      <c r="G168" t="inlineStr">
        <is>
          <t>Customer</t>
        </is>
      </c>
      <c r="H168" s="2" t="str">
        <f>=HYPERLINK("https://upbox.ajobthing.my/customer/188744", "https://upbox.ajobthing.my/customer/188744")</f>
        <v>https://upbox.ajobthing.my/customer/188744</v>
      </c>
      <c r="I168" t="inlineStr">
        <is>
          <t>Medidata Sdn. Bhd.</t>
        </is>
      </c>
      <c r="J168" t="inlineStr">
        <is>
          <t>Dolphin</t>
        </is>
      </c>
      <c r="K168" t="inlineStr">
        <is>
          <t>Jeff Lee</t>
        </is>
      </c>
      <c r="L168" s="4"/>
      <c r="M168" s="4">
        <v>46141.464537037034</v>
      </c>
      <c r="N168"/>
      <c r="O168">
        <v>3888</v>
      </c>
      <c r="P168" s="4"/>
      <c r="Q168" s="4"/>
      <c r="R168"/>
      <c r="S168"/>
      <c r="T168" s="4"/>
      <c r="U168" s="4"/>
      <c r="V168"/>
      <c r="W168"/>
      <c r="X168"/>
      <c r="Y168" t="inlineStr">
        <is>
          <t>Pending Appointment</t>
        </is>
      </c>
      <c r="Z168" t="inlineStr">
        <is>
          <t>Hiring Later</t>
        </is>
      </c>
      <c r="AA168">
        <v>2</v>
      </c>
      <c r="AB168" t="inlineStr">
        <is>
          <t>No Appointment Made</t>
        </is>
      </c>
      <c r="AC168"/>
      <c r="AD168" t="inlineStr">
        <is>
          <t xml:space="preserve"> 1 operator, 1 sales person</t>
        </is>
      </c>
      <c r="AE168"/>
      <c r="AF168">
        <v>0</v>
      </c>
      <c r="AG168" s="4"/>
      <c r="AH168" s="4"/>
      <c r="AI168">
        <v>0</v>
      </c>
      <c r="AJ168">
        <v>0</v>
      </c>
      <c r="AK168" t="inlineStr">
        <is>
          <t>No, I don't need at all</t>
        </is>
      </c>
      <c r="AL168">
        <v>0</v>
      </c>
      <c r="AM168" t="inlineStr">
        <is>
          <t>No, I don't need at all</t>
        </is>
      </c>
      <c r="AN168"/>
      <c r="AO168" t="inlineStr">
        <is>
          <t>No, I don't need at all</t>
        </is>
      </c>
      <c r="AP168" t="inlineStr">
        <is>
          <t>Once a year (25%)</t>
        </is>
      </c>
      <c r="AQ168">
        <v>2</v>
      </c>
      <c r="AR168" t="inlineStr">
        <is>
          <t>Did not use any job portal</t>
        </is>
      </c>
      <c r="AS168" t="inlineStr">
        <is>
          <t>- Headcount: 2
- Hiring Job Details: 1 operator, 1 sales person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68">
        <v>85</v>
      </c>
      <c r="AU168" t="inlineStr">
        <is>
          <t>0.85</t>
        </is>
      </c>
      <c r="AV168" t="inlineStr">
        <is>
          <t>15</t>
        </is>
      </c>
      <c r="AW168" t="inlineStr">
        <is>
          <t>0</t>
        </is>
      </c>
      <c r="AX168" t="inlineStr">
        <is>
          <t>Not Qualified</t>
        </is>
      </c>
      <c r="AY168" s="4"/>
      <c r="AZ168"/>
      <c r="BA168"/>
      <c r="BB168"/>
      <c r="BC168" t="inlineStr">
        <is>
          <t>- Headcount: 2
- Hiring Job Details: 1 operator, 1 sales person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BD168" s="4">
        <v>46141.500023148146</v>
      </c>
      <c r="BE168"/>
      <c r="BF168"/>
      <c r="BG168" t="inlineStr">
        <is>
          <t>Reschedule</t>
        </is>
      </c>
      <c r="BH168" t="inlineStr">
        <is>
          <t>Yee Hang</t>
        </is>
      </c>
      <c r="BI168"/>
      <c r="BJ168" s="4">
        <v>46144.752280092594</v>
      </c>
      <c r="BK168" s="4">
        <v>45728.38085648148</v>
      </c>
      <c r="BL168" t="inlineStr">
        <is>
          <t>0.0</t>
        </is>
      </c>
      <c r="BM168" t="inlineStr">
        <is>
          <t>600.0</t>
        </is>
      </c>
      <c r="BN168" t="inlineStr">
        <is>
          <t>View Jobmanager Page</t>
        </is>
      </c>
      <c r="BO168" s="4">
        <v>45728.40571759259</v>
      </c>
      <c r="BP168">
        <v>169435</v>
      </c>
      <c r="BQ168"/>
      <c r="BR168"/>
      <c r="BS168"/>
      <c r="BT168"/>
      <c r="BU168"/>
      <c r="BV168">
        <v>2734865</v>
      </c>
      <c r="BW168" t="inlineStr">
        <is>
          <t>Customer Inquiry</t>
        </is>
      </c>
      <c r="BX168"/>
      <c r="BY168"/>
      <c r="BZ168" s="4"/>
      <c r="CA168"/>
      <c r="CB168"/>
      <c r="CC168" s="4"/>
      <c r="CD168" t="inlineStr">
        <is>
          <t>20</t>
        </is>
      </c>
      <c r="CE168" t="inlineStr">
        <is>
          <t>0</t>
        </is>
      </c>
      <c r="CF168" t="inlineStr">
        <is>
          <t>Q2-W04</t>
        </is>
      </c>
      <c r="CG168"/>
      <c r="CH168"/>
      <c r="CI168"/>
      <c r="CJ168" t="inlineStr">
        <is>
          <t>No Paid</t>
        </is>
      </c>
      <c r="CK168" t="inlineStr">
        <is>
          <t>Not Eligible</t>
        </is>
      </c>
      <c r="CL168"/>
      <c r="CM168"/>
    </row>
    <row r="169" ht="25.5" customHeight="1">
      <c r="A169" t="inlineStr">
        <is>
          <t>169042</t>
        </is>
      </c>
      <c r="B169" s="2"/>
      <c r="C169"/>
      <c r="D169" s="3">
        <v>46141.4653125</v>
      </c>
      <c r="E169" t="inlineStr">
        <is>
          <t>Q2-W04</t>
        </is>
      </c>
      <c r="F169" t="inlineStr">
        <is>
          <t>Evan</t>
        </is>
      </c>
      <c r="G169" t="inlineStr">
        <is>
          <t>Customer</t>
        </is>
      </c>
      <c r="H169" s="2" t="str">
        <f>=HYPERLINK("https://upbox.ajobthing.my/customer/169042", "https://upbox.ajobthing.my/customer/169042")</f>
        <v>https://upbox.ajobthing.my/customer/169042</v>
      </c>
      <c r="I169" t="inlineStr">
        <is>
          <t>Fuchs Lubricants Malaysia Sdn Bhd</t>
        </is>
      </c>
      <c r="J169" t="inlineStr">
        <is>
          <t>Dolphin</t>
        </is>
      </c>
      <c r="K169" t="inlineStr">
        <is>
          <t>Evan</t>
        </is>
      </c>
      <c r="L169" s="4"/>
      <c r="M169" s="4">
        <v>46141.46467592593</v>
      </c>
      <c r="N169"/>
      <c r="O169">
        <v>3888</v>
      </c>
      <c r="P169" s="4"/>
      <c r="Q169" s="4">
        <v>45128.7346412037</v>
      </c>
      <c r="R169"/>
      <c r="S169">
        <v>1696</v>
      </c>
      <c r="T169" s="4">
        <v>45128.7346412037</v>
      </c>
      <c r="U169" s="4"/>
      <c r="V169"/>
      <c r="W169">
        <v>1696</v>
      </c>
      <c r="X169"/>
      <c r="Y169" t="inlineStr">
        <is>
          <t>Pending Appointment</t>
        </is>
      </c>
      <c r="Z169" t="inlineStr">
        <is>
          <t>Hiring Now</t>
        </is>
      </c>
      <c r="AA169">
        <v>1</v>
      </c>
      <c r="AB169" t="inlineStr">
        <is>
          <t>No Appointment Made</t>
        </is>
      </c>
      <c r="AC169"/>
      <c r="AD169" t="inlineStr">
        <is>
          <t>1 admin, all base in PJ</t>
        </is>
      </c>
      <c r="AE169"/>
      <c r="AF169">
        <v>1</v>
      </c>
      <c r="AG169" s="4"/>
      <c r="AH169" s="4"/>
      <c r="AI169">
        <v>1</v>
      </c>
      <c r="AJ169">
        <v>1</v>
      </c>
      <c r="AK169" t="inlineStr">
        <is>
          <t>No, I don't need at all</t>
        </is>
      </c>
      <c r="AL169">
        <v>0</v>
      </c>
      <c r="AM169" t="inlineStr">
        <is>
          <t>No, I don't need at all</t>
        </is>
      </c>
      <c r="AN169"/>
      <c r="AO169" t="inlineStr">
        <is>
          <t>No, I don't need at all</t>
        </is>
      </c>
      <c r="AP169" t="inlineStr">
        <is>
          <t>Once a year (25%)</t>
        </is>
      </c>
      <c r="AQ169">
        <v>1</v>
      </c>
      <c r="AR169" t="inlineStr">
        <is>
          <t>Jobstreet</t>
        </is>
      </c>
      <c r="AS169" t="inlineStr">
        <is>
          <t>- Headcount: 1
- Hiring Job Details: 1 admin,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AT169">
        <v>115</v>
      </c>
      <c r="AU169" t="inlineStr">
        <is>
          <t>1.15</t>
        </is>
      </c>
      <c r="AV169" t="inlineStr">
        <is>
          <t>15</t>
        </is>
      </c>
      <c r="AW169" t="inlineStr">
        <is>
          <t>0</t>
        </is>
      </c>
      <c r="AX169" t="inlineStr">
        <is>
          <t>Not Qualified</t>
        </is>
      </c>
      <c r="AY169" s="4"/>
      <c r="AZ169"/>
      <c r="BA169"/>
      <c r="BB169"/>
      <c r="BC169" t="inlineStr">
        <is>
          <t>- Headcount: 1
- Hiring Job Details: 1 admin,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BD169" s="4">
        <v>46141.500023148146</v>
      </c>
      <c r="BE169" t="inlineStr">
        <is>
          <t>paid</t>
        </is>
      </c>
      <c r="BF169"/>
      <c r="BG169" t="inlineStr">
        <is>
          <t>Reschedule</t>
        </is>
      </c>
      <c r="BH169" t="inlineStr">
        <is>
          <t>Edward Hoo</t>
        </is>
      </c>
      <c r="BI169"/>
      <c r="BJ169" s="4">
        <v>46144.75136574074</v>
      </c>
      <c r="BK169" s="4">
        <v>45117.681342592594</v>
      </c>
      <c r="BL169" t="inlineStr">
        <is>
          <t>0.0</t>
        </is>
      </c>
      <c r="BM169" t="inlineStr">
        <is>
          <t>0.0</t>
        </is>
      </c>
      <c r="BN169" t="inlineStr">
        <is>
          <t>View Jobmanager Page</t>
        </is>
      </c>
      <c r="BO169" s="4">
        <v>45279.507106481484</v>
      </c>
      <c r="BP169">
        <v>169436</v>
      </c>
      <c r="BQ169">
        <v>60694</v>
      </c>
      <c r="BR169" t="inlineStr">
        <is>
          <t>Online</t>
        </is>
      </c>
      <c r="BS169"/>
      <c r="BT169">
        <v>60694</v>
      </c>
      <c r="BU169"/>
      <c r="BV169">
        <v>2734866</v>
      </c>
      <c r="BW169" t="inlineStr">
        <is>
          <t>Customer Inquiry</t>
        </is>
      </c>
      <c r="BX169"/>
      <c r="BY169"/>
      <c r="BZ169" s="4"/>
      <c r="CA169"/>
      <c r="CB169"/>
      <c r="CC169" s="4"/>
      <c r="CD169" t="inlineStr">
        <is>
          <t>20</t>
        </is>
      </c>
      <c r="CE169" t="inlineStr">
        <is>
          <t>0</t>
        </is>
      </c>
      <c r="CF169" t="inlineStr">
        <is>
          <t>Q2-W04</t>
        </is>
      </c>
      <c r="CG169"/>
      <c r="CH169"/>
      <c r="CI169"/>
      <c r="CJ169" t="inlineStr">
        <is>
          <t>Paid</t>
        </is>
      </c>
      <c r="CK169" t="inlineStr">
        <is>
          <t>Not Eligible</t>
        </is>
      </c>
      <c r="CL169"/>
      <c r="CM169"/>
    </row>
    <row r="170" ht="25.5" customHeight="1">
      <c r="A170" t="inlineStr">
        <is>
          <t>160894</t>
        </is>
      </c>
      <c r="B170" s="2"/>
      <c r="C170"/>
      <c r="D170" s="3">
        <v>46141.46673611111</v>
      </c>
      <c r="E170" t="inlineStr">
        <is>
          <t>Q2-W04</t>
        </is>
      </c>
      <c r="F170" t="inlineStr">
        <is>
          <t>Xin Quan</t>
        </is>
      </c>
      <c r="G170" t="inlineStr">
        <is>
          <t>Customer</t>
        </is>
      </c>
      <c r="H170" s="2" t="str">
        <f>=HYPERLINK("https://upbox.ajobthing.my/customer/160894", "https://upbox.ajobthing.my/customer/160894")</f>
        <v>https://upbox.ajobthing.my/customer/160894</v>
      </c>
      <c r="I170" t="inlineStr">
        <is>
          <t>Chuanplus Industries Sdn. Bhd.</t>
        </is>
      </c>
      <c r="J170" t="inlineStr">
        <is>
          <t>Dolphin</t>
        </is>
      </c>
      <c r="K170" t="inlineStr">
        <is>
          <t>Xin Quan</t>
        </is>
      </c>
      <c r="L170" s="4"/>
      <c r="M170" s="4">
        <v>46141.466886574075</v>
      </c>
      <c r="N170"/>
      <c r="O170">
        <v>3888</v>
      </c>
      <c r="P170" s="4"/>
      <c r="Q170" s="4">
        <v>44847.628796296296</v>
      </c>
      <c r="R170"/>
      <c r="S170">
        <v>848</v>
      </c>
      <c r="T170" s="4">
        <v>44847.628796296296</v>
      </c>
      <c r="U170" s="4"/>
      <c r="V170"/>
      <c r="W170">
        <v>848</v>
      </c>
      <c r="X170"/>
      <c r="Y170" t="inlineStr">
        <is>
          <t>Pending Appointment</t>
        </is>
      </c>
      <c r="Z170" t="inlineStr">
        <is>
          <t>Hiring Now</t>
        </is>
      </c>
      <c r="AA170">
        <v>1</v>
      </c>
      <c r="AB170" t="inlineStr">
        <is>
          <t>No Appointment Made</t>
        </is>
      </c>
      <c r="AC170"/>
      <c r="AD170" t="inlineStr">
        <is>
          <t>1 Admin , Base in KL</t>
        </is>
      </c>
      <c r="AE170"/>
      <c r="AF170">
        <v>2000</v>
      </c>
      <c r="AG170" s="4"/>
      <c r="AH170" s="4"/>
      <c r="AI170">
        <v>24000</v>
      </c>
      <c r="AJ170">
        <v>1</v>
      </c>
      <c r="AK170" t="inlineStr">
        <is>
          <t>No, I don't need at all</t>
        </is>
      </c>
      <c r="AL170">
        <v>1</v>
      </c>
      <c r="AM170" t="inlineStr">
        <is>
          <t>No, I don't need at all</t>
        </is>
      </c>
      <c r="AN170"/>
      <c r="AO170" t="inlineStr">
        <is>
          <t>No, I don't need at all</t>
        </is>
      </c>
      <c r="AP170" t="inlineStr">
        <is>
          <t>Once a year (25%)</t>
        </is>
      </c>
      <c r="AQ170">
        <v>6</v>
      </c>
      <c r="AR170"/>
      <c r="AS170" t="inlineStr">
        <is>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6
- Hiring frequency: Once a year (25%)
- External job portal: None</t>
        </is>
      </c>
      <c r="AT170">
        <v>105</v>
      </c>
      <c r="AU170" t="inlineStr">
        <is>
          <t>1.05</t>
        </is>
      </c>
      <c r="AV170" t="inlineStr">
        <is>
          <t>15</t>
        </is>
      </c>
      <c r="AW170" t="inlineStr">
        <is>
          <t>0</t>
        </is>
      </c>
      <c r="AX170" t="inlineStr">
        <is>
          <t>Not Qualified</t>
        </is>
      </c>
      <c r="AY170" s="4"/>
      <c r="AZ170"/>
      <c r="BA170"/>
      <c r="BB170"/>
      <c r="BC170" t="inlineStr">
        <is>
          <t>NH</t>
        </is>
      </c>
      <c r="BD170" s="4">
        <v>46142.591898148145</v>
      </c>
      <c r="BE170" t="inlineStr">
        <is>
          <t>paid</t>
        </is>
      </c>
      <c r="BF170"/>
      <c r="BG170" t="inlineStr">
        <is>
          <t>Reschedule</t>
        </is>
      </c>
      <c r="BH170" t="inlineStr">
        <is>
          <t>Edward Hoo</t>
        </is>
      </c>
      <c r="BI170" t="inlineStr">
        <is>
          <t>Manufacturing / Production</t>
        </is>
      </c>
      <c r="BJ170" s="4">
        <v>46144.75109953704</v>
      </c>
      <c r="BK170" s="4">
        <v>44846.435590277775</v>
      </c>
      <c r="BL170" t="inlineStr">
        <is>
          <t>0.0</t>
        </is>
      </c>
      <c r="BM170" t="inlineStr">
        <is>
          <t>0.0</t>
        </is>
      </c>
      <c r="BN170" t="inlineStr">
        <is>
          <t>View Candidate Search Page</t>
        </is>
      </c>
      <c r="BO170" s="4">
        <v>45884.7253125</v>
      </c>
      <c r="BP170">
        <v>169440</v>
      </c>
      <c r="BQ170">
        <v>51514</v>
      </c>
      <c r="BR170" t="inlineStr">
        <is>
          <t>Online</t>
        </is>
      </c>
      <c r="BS170"/>
      <c r="BT170">
        <v>51514</v>
      </c>
      <c r="BU170"/>
      <c r="BV170">
        <v>2737649</v>
      </c>
      <c r="BW170" t="inlineStr">
        <is>
          <t>Inquire for Hiring Needs : No Hiring</t>
        </is>
      </c>
      <c r="BX170"/>
      <c r="BY170"/>
      <c r="BZ170" s="4"/>
      <c r="CA170"/>
      <c r="CB170"/>
      <c r="CC170" s="4"/>
      <c r="CD170" t="inlineStr">
        <is>
          <t>20</t>
        </is>
      </c>
      <c r="CE170" t="inlineStr">
        <is>
          <t>0</t>
        </is>
      </c>
      <c r="CF170" t="inlineStr">
        <is>
          <t>Q2-W04</t>
        </is>
      </c>
      <c r="CG170"/>
      <c r="CH170"/>
      <c r="CI170"/>
      <c r="CJ170" t="inlineStr">
        <is>
          <t>Paid</t>
        </is>
      </c>
      <c r="CK170" t="inlineStr">
        <is>
          <t>Not Eligible</t>
        </is>
      </c>
      <c r="CL170"/>
      <c r="CM170"/>
    </row>
    <row r="171" ht="25.5" customHeight="1">
      <c r="A171" t="inlineStr">
        <is>
          <t>196222</t>
        </is>
      </c>
      <c r="B171" s="2"/>
      <c r="C171"/>
      <c r="D171" s="3">
        <v>46141.4734375</v>
      </c>
      <c r="E171" t="inlineStr">
        <is>
          <t>Q2-W04</t>
        </is>
      </c>
      <c r="F171" t="inlineStr">
        <is>
          <t>Chia Yee</t>
        </is>
      </c>
      <c r="G171" t="inlineStr">
        <is>
          <t>Customer</t>
        </is>
      </c>
      <c r="H171" s="2" t="str">
        <f>=HYPERLINK("https://upbox.ajobthing.my/customer/196222", "https://upbox.ajobthing.my/customer/196222")</f>
        <v>https://upbox.ajobthing.my/customer/196222</v>
      </c>
      <c r="I171" t="inlineStr">
        <is>
          <t>NZ World Tours &amp; Travels Sdn Bhd</t>
        </is>
      </c>
      <c r="J171" t="inlineStr">
        <is>
          <t>Dolphin</t>
        </is>
      </c>
      <c r="K171" t="inlineStr">
        <is>
          <t>Chia Yee</t>
        </is>
      </c>
      <c r="L171" s="4"/>
      <c r="M171" s="4">
        <v>46141.47431712963</v>
      </c>
      <c r="N171"/>
      <c r="O171">
        <v>5412.96</v>
      </c>
      <c r="P171" s="4"/>
      <c r="Q171" s="4">
        <v>46142.45525462963</v>
      </c>
      <c r="R171"/>
      <c r="S171">
        <v>3576.96</v>
      </c>
      <c r="T171" s="4">
        <v>46034.77685185185</v>
      </c>
      <c r="U171" s="4"/>
      <c r="V171"/>
      <c r="W171">
        <v>864</v>
      </c>
      <c r="X171"/>
      <c r="Y171" t="inlineStr">
        <is>
          <t>Pending Appointment</t>
        </is>
      </c>
      <c r="Z171" t="inlineStr">
        <is>
          <t>Hiring Now</t>
        </is>
      </c>
      <c r="AA171">
        <v>7</v>
      </c>
      <c r="AB171" t="inlineStr">
        <is>
          <t>No Appointment Made</t>
        </is>
      </c>
      <c r="AC171"/>
      <c r="AD171" t="inlineStr">
        <is>
          <t xml:space="preserve">3-4 Business development executive, 1 HR Executive, 1 Sales coordinator, 1 Account assistant. </t>
        </is>
      </c>
      <c r="AE171"/>
      <c r="AF171">
        <v>0</v>
      </c>
      <c r="AG171" s="4"/>
      <c r="AH171" s="4"/>
      <c r="AI171">
        <v>0</v>
      </c>
      <c r="AJ171">
        <v>1</v>
      </c>
      <c r="AK171" t="inlineStr">
        <is>
          <t>No, I don't need at all</t>
        </is>
      </c>
      <c r="AL171">
        <v>1</v>
      </c>
      <c r="AM171" t="inlineStr">
        <is>
          <t>No, I don't need at all</t>
        </is>
      </c>
      <c r="AN171"/>
      <c r="AO171" t="inlineStr">
        <is>
          <t>Yes, I have</t>
        </is>
      </c>
      <c r="AP171" t="inlineStr">
        <is>
          <t>Once a year (25%)</t>
        </is>
      </c>
      <c r="AQ171">
        <v>5</v>
      </c>
      <c r="AR171" t="inlineStr">
        <is>
          <t>Did not use any job portal</t>
        </is>
      </c>
      <c r="AS171" t="inlineStr">
        <is>
          <t>- Headcount: 7
- Hiring Job Details: 3-4 Business development executive, 1 HR Executive, 1 Sales coordinator, 1 Account assistant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5
- Hiring frequency: Once a year (25%)
- External job portal: Did not use any job portal</t>
        </is>
      </c>
      <c r="AT171">
        <v>95</v>
      </c>
      <c r="AU171" t="inlineStr">
        <is>
          <t>0.95</t>
        </is>
      </c>
      <c r="AV171" t="inlineStr">
        <is>
          <t>20</t>
        </is>
      </c>
      <c r="AW171" t="inlineStr">
        <is>
          <t>0</t>
        </is>
      </c>
      <c r="AX171" t="inlineStr">
        <is>
          <t>Not Qualified</t>
        </is>
      </c>
      <c r="AY171" s="4"/>
      <c r="AZ171"/>
      <c r="BA171"/>
      <c r="BB171"/>
      <c r="BC171" t="inlineStr">
        <is>
          <t>Called, will make payment soon. Go got standard. Sent invoice</t>
        </is>
      </c>
      <c r="BD171" s="4">
        <v>46142.45761574074</v>
      </c>
      <c r="BE171" t="inlineStr">
        <is>
          <t>pending</t>
        </is>
      </c>
      <c r="BF171" t="inlineStr">
        <is>
          <t>Q1-W02</t>
        </is>
      </c>
      <c r="BG171" t="inlineStr">
        <is>
          <t>Reschedule</t>
        </is>
      </c>
      <c r="BH171" t="inlineStr">
        <is>
          <t>Reagen</t>
        </is>
      </c>
      <c r="BI171" t="inlineStr">
        <is>
          <t>Travel / Tourism</t>
        </is>
      </c>
      <c r="BJ171" s="4">
        <v>46144.7528125</v>
      </c>
      <c r="BK171" s="4">
        <v>45917.95915509259</v>
      </c>
      <c r="BL171" t="inlineStr">
        <is>
          <t>3240.0</t>
        </is>
      </c>
      <c r="BM171" t="inlineStr">
        <is>
          <t>600.0</t>
        </is>
      </c>
      <c r="BN171" t="inlineStr">
        <is>
          <t>View Company Page</t>
        </is>
      </c>
      <c r="BO171" s="4">
        <v>46141.481770833336</v>
      </c>
      <c r="BP171">
        <v>169443</v>
      </c>
      <c r="BQ171">
        <v>124157</v>
      </c>
      <c r="BR171" t="inlineStr">
        <is>
          <t>Proforma</t>
        </is>
      </c>
      <c r="BS171" t="inlineStr">
        <is>
          <t>AI Yearly Standard Plan (Jan 26)</t>
        </is>
      </c>
      <c r="BT171">
        <v>85536</v>
      </c>
      <c r="BU171"/>
      <c r="BV171">
        <v>2736925</v>
      </c>
      <c r="BW171" t="inlineStr">
        <is>
          <t>Follow Up : Invoice Sent 75%</t>
        </is>
      </c>
      <c r="BX171"/>
      <c r="BY171"/>
      <c r="BZ171" s="4"/>
      <c r="CA171"/>
      <c r="CB171"/>
      <c r="CC171" s="4"/>
      <c r="CD171" t="inlineStr">
        <is>
          <t>30</t>
        </is>
      </c>
      <c r="CE171" t="inlineStr">
        <is>
          <t>0</t>
        </is>
      </c>
      <c r="CF171" t="inlineStr">
        <is>
          <t>Q2-W04</t>
        </is>
      </c>
      <c r="CG171" t="inlineStr">
        <is>
          <t>Q2-W04</t>
        </is>
      </c>
      <c r="CH171" t="inlineStr">
        <is>
          <t>Q1-W02</t>
        </is>
      </c>
      <c r="CI171"/>
      <c r="CJ171" t="inlineStr">
        <is>
          <t>Paid</t>
        </is>
      </c>
      <c r="CK171" t="inlineStr">
        <is>
          <t>Not Eligible</t>
        </is>
      </c>
      <c r="CL171"/>
      <c r="CM171"/>
    </row>
    <row r="172" ht="25.5" customHeight="1">
      <c r="A172" t="inlineStr">
        <is>
          <t>184628</t>
        </is>
      </c>
      <c r="B172" s="2"/>
      <c r="C172"/>
      <c r="D172" s="3">
        <v>46141.47447916667</v>
      </c>
      <c r="E172" t="inlineStr">
        <is>
          <t>Q2-W04</t>
        </is>
      </c>
      <c r="F172" t="inlineStr">
        <is>
          <t>Xin Hui</t>
        </is>
      </c>
      <c r="G172" t="inlineStr">
        <is>
          <t>Customer</t>
        </is>
      </c>
      <c r="H172" s="2" t="str">
        <f>=HYPERLINK("https://upbox.ajobthing.my/customer/184628", "https://upbox.ajobthing.my/customer/184628")</f>
        <v>https://upbox.ajobthing.my/customer/184628</v>
      </c>
      <c r="I172" t="inlineStr">
        <is>
          <t>LKH &amp; Co</t>
        </is>
      </c>
      <c r="J172" t="inlineStr">
        <is>
          <t>Dolphin</t>
        </is>
      </c>
      <c r="K172" t="inlineStr">
        <is>
          <t>Xin Hui</t>
        </is>
      </c>
      <c r="L172" s="4"/>
      <c r="M172" s="4">
        <v>46141.488020833334</v>
      </c>
      <c r="N172"/>
      <c r="O172">
        <v>3888</v>
      </c>
      <c r="P172" s="4"/>
      <c r="Q172" s="4"/>
      <c r="R172"/>
      <c r="S172"/>
      <c r="T172" s="4"/>
      <c r="U172" s="4"/>
      <c r="V172"/>
      <c r="W172"/>
      <c r="X172"/>
      <c r="Y172" t="inlineStr">
        <is>
          <t>Pending Appointment</t>
        </is>
      </c>
      <c r="Z172" t="inlineStr">
        <is>
          <t>Hiring Now</t>
        </is>
      </c>
      <c r="AA172">
        <v>1</v>
      </c>
      <c r="AB172" t="inlineStr">
        <is>
          <t>No Appointment Made</t>
        </is>
      </c>
      <c r="AC172"/>
      <c r="AD172" t="inlineStr">
        <is>
          <t xml:space="preserve">audit </t>
        </is>
      </c>
      <c r="AE172"/>
      <c r="AF172"/>
      <c r="AG172" s="4"/>
      <c r="AH172" s="4"/>
      <c r="AI172"/>
      <c r="AJ172"/>
      <c r="AK172" t="inlineStr">
        <is>
          <t>No, I don't need at all</t>
        </is>
      </c>
      <c r="AL172"/>
      <c r="AM172" t="inlineStr">
        <is>
          <t>No, I don't need at all</t>
        </is>
      </c>
      <c r="AN172"/>
      <c r="AO172" t="inlineStr">
        <is>
          <t>No, I don't need at all</t>
        </is>
      </c>
      <c r="AP172" t="inlineStr">
        <is>
          <t>Once a year (25%)</t>
        </is>
      </c>
      <c r="AQ172"/>
      <c r="AR172" t="inlineStr">
        <is>
          <t>Jobstreet</t>
        </is>
      </c>
      <c r="AS172" t="inlineStr">
        <is>
          <t>- Headcount: 1
- Hiring Job Details: audit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AT172">
        <v>75</v>
      </c>
      <c r="AU172" t="inlineStr">
        <is>
          <t>0.75</t>
        </is>
      </c>
      <c r="AV172" t="inlineStr">
        <is>
          <t>5</t>
        </is>
      </c>
      <c r="AW172" t="inlineStr">
        <is>
          <t>0</t>
        </is>
      </c>
      <c r="AX172" t="inlineStr">
        <is>
          <t>Not Qualified</t>
        </is>
      </c>
      <c r="AY172" s="4"/>
      <c r="AZ172"/>
      <c r="BA172"/>
      <c r="BB172"/>
      <c r="BC172" t="inlineStr">
        <is>
          <t>- Headcount: 1
- Hiring Job Details: audit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BD172" s="4">
        <v>46141.50003472222</v>
      </c>
      <c r="BE172"/>
      <c r="BF172"/>
      <c r="BG172" t="inlineStr">
        <is>
          <t>Reschedule</t>
        </is>
      </c>
      <c r="BH172" t="inlineStr">
        <is>
          <t>Yee Hang</t>
        </is>
      </c>
      <c r="BI172" t="inlineStr">
        <is>
          <t>Accounting / Tax Services</t>
        </is>
      </c>
      <c r="BJ172" s="4">
        <v>46144.75201388889</v>
      </c>
      <c r="BK172" s="4">
        <v>45604.72056712963</v>
      </c>
      <c r="BL172" t="inlineStr">
        <is>
          <t>0.0</t>
        </is>
      </c>
      <c r="BM172" t="inlineStr">
        <is>
          <t>1800.0</t>
        </is>
      </c>
      <c r="BN172" t="inlineStr">
        <is>
          <t>View IJA Shop Page</t>
        </is>
      </c>
      <c r="BO172" s="4">
        <v>45621.72494212963</v>
      </c>
      <c r="BP172">
        <v>169453</v>
      </c>
      <c r="BQ172"/>
      <c r="BR172"/>
      <c r="BS172"/>
      <c r="BT172"/>
      <c r="BU172"/>
      <c r="BV172">
        <v>2734869</v>
      </c>
      <c r="BW172" t="inlineStr">
        <is>
          <t>Customer Inquiry</t>
        </is>
      </c>
      <c r="BX172"/>
      <c r="BY172"/>
      <c r="BZ172" s="4"/>
      <c r="CA172"/>
      <c r="CB172"/>
      <c r="CC172" s="4"/>
      <c r="CD172" t="inlineStr">
        <is>
          <t>5</t>
        </is>
      </c>
      <c r="CE172" t="inlineStr">
        <is>
          <t>0</t>
        </is>
      </c>
      <c r="CF172" t="inlineStr">
        <is>
          <t>Q2-W04</t>
        </is>
      </c>
      <c r="CG172"/>
      <c r="CH172"/>
      <c r="CI172"/>
      <c r="CJ172" t="inlineStr">
        <is>
          <t>No Paid</t>
        </is>
      </c>
      <c r="CK172" t="inlineStr">
        <is>
          <t>Not Eligible</t>
        </is>
      </c>
      <c r="CL172"/>
      <c r="CM172"/>
    </row>
    <row r="173" ht="25.5" customHeight="1">
      <c r="A173" t="inlineStr">
        <is>
          <t>200056</t>
        </is>
      </c>
      <c r="B173" s="2"/>
      <c r="C173"/>
      <c r="D173" s="3">
        <v>46141.48509259259</v>
      </c>
      <c r="E173" t="inlineStr">
        <is>
          <t>Q2-W04</t>
        </is>
      </c>
      <c r="F173" t="inlineStr">
        <is>
          <t>Ken Yi</t>
        </is>
      </c>
      <c r="G173" t="inlineStr">
        <is>
          <t>Customer</t>
        </is>
      </c>
      <c r="H173" s="2" t="str">
        <f>=HYPERLINK("https://upbox.ajobthing.my/customer/200056", "https://upbox.ajobthing.my/customer/200056")</f>
        <v>https://upbox.ajobthing.my/customer/200056</v>
      </c>
      <c r="I173" t="inlineStr">
        <is>
          <t>NR Asset Management Sdn Bhd</t>
        </is>
      </c>
      <c r="J173" t="inlineStr">
        <is>
          <t>Dolphin</t>
        </is>
      </c>
      <c r="K173" t="inlineStr">
        <is>
          <t>Kenyi</t>
        </is>
      </c>
      <c r="L173" s="4"/>
      <c r="M173" s="4">
        <v>46141.48646990741</v>
      </c>
      <c r="N173"/>
      <c r="O173">
        <v>5412.96</v>
      </c>
      <c r="P173" s="4"/>
      <c r="Q173" s="4"/>
      <c r="R173"/>
      <c r="S173"/>
      <c r="T173" s="4"/>
      <c r="U173" s="4"/>
      <c r="V173"/>
      <c r="W173"/>
      <c r="X173"/>
      <c r="Y173" t="inlineStr">
        <is>
          <t>Pending Appointment</t>
        </is>
      </c>
      <c r="Z173" t="inlineStr">
        <is>
          <t>Hiring Now</t>
        </is>
      </c>
      <c r="AA173">
        <v>1</v>
      </c>
      <c r="AB173" t="inlineStr">
        <is>
          <t>No Appointment Made</t>
        </is>
      </c>
      <c r="AC173"/>
      <c r="AD173" t="inlineStr">
        <is>
          <t>Reshare the flash sales promotion, wanna hire admin 1</t>
        </is>
      </c>
      <c r="AE173"/>
      <c r="AF173">
        <v>0</v>
      </c>
      <c r="AG173" s="4"/>
      <c r="AH173" s="4"/>
      <c r="AI173">
        <v>0</v>
      </c>
      <c r="AJ173">
        <v>1</v>
      </c>
      <c r="AK173" t="inlineStr">
        <is>
          <t>Yes, I have</t>
        </is>
      </c>
      <c r="AL173">
        <v>1</v>
      </c>
      <c r="AM173" t="inlineStr">
        <is>
          <t>No, I don't need at all</t>
        </is>
      </c>
      <c r="AN173"/>
      <c r="AO173" t="inlineStr">
        <is>
          <t>No, I don't need at all</t>
        </is>
      </c>
      <c r="AP173" t="inlineStr">
        <is>
          <t>Every month (100%)</t>
        </is>
      </c>
      <c r="AQ173">
        <v>1</v>
      </c>
      <c r="AR173" t="inlineStr">
        <is>
          <t>Did not use any job portal</t>
        </is>
      </c>
      <c r="AS173" t="inlineStr">
        <is>
          <t>- Headcount: 1
- Hiring Job Details: Reshare flash sales promotion, hire 1 admin
- Hiring Urgency: Hiring Now
- Number of outlets: 1
- Have recruiter team: Yes
- Number of recruiter in company: 1
- Have ATS system: No, don't need at all
- Have career website: No, don't need at all
- Current hiring budget: RM0.00
- Whole year budget: RM0.00
- Whole year number of vacancies: 1
- Hiring frequency: Every month (100%)
- External job portal: Did not use any</t>
        </is>
      </c>
      <c r="AT173">
        <v>115</v>
      </c>
      <c r="AU173" t="inlineStr">
        <is>
          <t>1.15</t>
        </is>
      </c>
      <c r="AV173" t="inlineStr">
        <is>
          <t>15</t>
        </is>
      </c>
      <c r="AW173" t="inlineStr">
        <is>
          <t>0</t>
        </is>
      </c>
      <c r="AX173" t="inlineStr">
        <is>
          <t>Not Qualified</t>
        </is>
      </c>
      <c r="AY173" s="4"/>
      <c r="AZ173"/>
      <c r="BA173"/>
      <c r="BB173"/>
      <c r="BC173" t="inlineStr">
        <is>
          <t>- Headcount: 1
- Hiring Job Details: Reshare flash sales promotion, hire 1 admin
- Hiring Urgency: Hiring Now
- Number of outlets: 1
- Have recruiter team: Yes
- Number of recruiter in company: 1
- Have ATS system: No, don't need at all
- Have career website: No, don't need at all
- Current hiring budget: RM0.00
- Whole year budget: RM0.00
- Whole year number of vacancies: 1
- Hiring frequency: Every month (100%)
- External job portal: Did not use any</t>
        </is>
      </c>
      <c r="BD173" s="4">
        <v>46141.50003472222</v>
      </c>
      <c r="BE173"/>
      <c r="BF173"/>
      <c r="BG173" t="inlineStr">
        <is>
          <t>Reschedule</t>
        </is>
      </c>
      <c r="BH173" t="inlineStr">
        <is>
          <t>Fauziah Maharan</t>
        </is>
      </c>
      <c r="BI173"/>
      <c r="BJ173" s="4">
        <v>46144.75344907407</v>
      </c>
      <c r="BK173" s="4">
        <v>46029.63982638889</v>
      </c>
      <c r="BL173" t="inlineStr">
        <is>
          <t>0.0</t>
        </is>
      </c>
      <c r="BM173" t="inlineStr">
        <is>
          <t>0.0</t>
        </is>
      </c>
      <c r="BN173" t="inlineStr">
        <is>
          <t>View Company Page</t>
        </is>
      </c>
      <c r="BO173" s="4">
        <v>46029.64565972222</v>
      </c>
      <c r="BP173">
        <v>169451</v>
      </c>
      <c r="BQ173"/>
      <c r="BR173"/>
      <c r="BS173"/>
      <c r="BT173"/>
      <c r="BU173"/>
      <c r="BV173">
        <v>2734872</v>
      </c>
      <c r="BW173" t="inlineStr">
        <is>
          <t>Customer Inquiry</t>
        </is>
      </c>
      <c r="BX173"/>
      <c r="BY173"/>
      <c r="BZ173" s="4"/>
      <c r="CA173"/>
      <c r="CB173"/>
      <c r="CC173" s="4"/>
      <c r="CD173" t="inlineStr">
        <is>
          <t>20</t>
        </is>
      </c>
      <c r="CE173" t="inlineStr">
        <is>
          <t>0</t>
        </is>
      </c>
      <c r="CF173" t="inlineStr">
        <is>
          <t>Q2-W04</t>
        </is>
      </c>
      <c r="CG173"/>
      <c r="CH173"/>
      <c r="CI173"/>
      <c r="CJ173" t="inlineStr">
        <is>
          <t>No Paid</t>
        </is>
      </c>
      <c r="CK173" t="inlineStr">
        <is>
          <t>Not Eligible</t>
        </is>
      </c>
      <c r="CL173"/>
      <c r="CM173"/>
    </row>
    <row r="174" ht="25.5" customHeight="1">
      <c r="A174" t="inlineStr">
        <is>
          <t>33013</t>
        </is>
      </c>
      <c r="B174" s="2"/>
      <c r="C174"/>
      <c r="D174" s="3">
        <v>46141.487175925926</v>
      </c>
      <c r="E174" t="inlineStr">
        <is>
          <t>Q2-W04</t>
        </is>
      </c>
      <c r="F174" t="inlineStr">
        <is>
          <t>Evan</t>
        </is>
      </c>
      <c r="G174" t="inlineStr">
        <is>
          <t>Customer</t>
        </is>
      </c>
      <c r="H174" s="2" t="str">
        <f>=HYPERLINK("https://upbox.ajobthing.my/customer/33013", "https://upbox.ajobthing.my/customer/33013")</f>
        <v>https://upbox.ajobthing.my/customer/33013</v>
      </c>
      <c r="I174" t="inlineStr">
        <is>
          <t xml:space="preserve"> DSCVRY Sdn Bhd</t>
        </is>
      </c>
      <c r="J174" t="inlineStr">
        <is>
          <t>Dolphin</t>
        </is>
      </c>
      <c r="K174" t="inlineStr">
        <is>
          <t>Evan</t>
        </is>
      </c>
      <c r="L174" s="4"/>
      <c r="M174" s="4">
        <v>46141.48605324074</v>
      </c>
      <c r="N174"/>
      <c r="O174">
        <v>3576.96</v>
      </c>
      <c r="P174" s="4"/>
      <c r="Q174" s="4">
        <v>46065.585324074076</v>
      </c>
      <c r="R174"/>
      <c r="S174">
        <v>1296</v>
      </c>
      <c r="T174" s="4">
        <v>46065.585324074076</v>
      </c>
      <c r="U174" s="4"/>
      <c r="V174"/>
      <c r="W174">
        <v>1296</v>
      </c>
      <c r="X174"/>
      <c r="Y174" t="inlineStr">
        <is>
          <t>Pending Appointment</t>
        </is>
      </c>
      <c r="Z174" t="inlineStr">
        <is>
          <t>Hiring Now</t>
        </is>
      </c>
      <c r="AA174">
        <v>1</v>
      </c>
      <c r="AB174" t="inlineStr">
        <is>
          <t>No Appointment Made</t>
        </is>
      </c>
      <c r="AC174"/>
      <c r="AD174" t="inlineStr">
        <is>
          <t>1 admin, all base in KL</t>
        </is>
      </c>
      <c r="AE174"/>
      <c r="AF174">
        <v>1</v>
      </c>
      <c r="AG174" s="4"/>
      <c r="AH174" s="4"/>
      <c r="AI174">
        <v>1</v>
      </c>
      <c r="AJ174">
        <v>1</v>
      </c>
      <c r="AK174" t="inlineStr">
        <is>
          <t>No, I don't need at all</t>
        </is>
      </c>
      <c r="AL174">
        <v>0</v>
      </c>
      <c r="AM174" t="inlineStr">
        <is>
          <t>No, I don't need at all</t>
        </is>
      </c>
      <c r="AN174"/>
      <c r="AO174" t="inlineStr">
        <is>
          <t>No, I don't need at all</t>
        </is>
      </c>
      <c r="AP174" t="inlineStr">
        <is>
          <t>Once a year (25%)</t>
        </is>
      </c>
      <c r="AQ174">
        <v>1</v>
      </c>
      <c r="AR174" t="inlineStr">
        <is>
          <t>Did not use any job portal</t>
        </is>
      </c>
      <c r="AS174"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74">
        <v>115</v>
      </c>
      <c r="AU174" t="inlineStr">
        <is>
          <t>1.15</t>
        </is>
      </c>
      <c r="AV174" t="inlineStr">
        <is>
          <t>15</t>
        </is>
      </c>
      <c r="AW174" t="inlineStr">
        <is>
          <t>0</t>
        </is>
      </c>
      <c r="AX174" t="inlineStr">
        <is>
          <t>Not Qualified</t>
        </is>
      </c>
      <c r="AY174" s="4"/>
      <c r="AZ174"/>
      <c r="BA174"/>
      <c r="BB174"/>
      <c r="BC174"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174" s="4">
        <v>46141.50003472222</v>
      </c>
      <c r="BE174" t="inlineStr">
        <is>
          <t>paid</t>
        </is>
      </c>
      <c r="BF174" t="inlineStr">
        <is>
          <t>Q1-W06</t>
        </is>
      </c>
      <c r="BG174" t="inlineStr">
        <is>
          <t>Reschedule</t>
        </is>
      </c>
      <c r="BH174" t="inlineStr">
        <is>
          <t>Edward Hoo</t>
        </is>
      </c>
      <c r="BI174" t="inlineStr">
        <is>
          <t>Healthcare / Medical</t>
        </is>
      </c>
      <c r="BJ174" s="4">
        <v>46144.75457175926</v>
      </c>
      <c r="BK174" s="4">
        <v>42757.640173611115</v>
      </c>
      <c r="BL174" t="inlineStr">
        <is>
          <t>3024.0</t>
        </is>
      </c>
      <c r="BM174" t="inlineStr">
        <is>
          <t>0.0</t>
        </is>
      </c>
      <c r="BN174" t="inlineStr">
        <is>
          <t>View Company Page</t>
        </is>
      </c>
      <c r="BO174" s="4">
        <v>46134.82309027778</v>
      </c>
      <c r="BP174">
        <v>169449</v>
      </c>
      <c r="BQ174">
        <v>86576</v>
      </c>
      <c r="BR174" t="inlineStr">
        <is>
          <t>Online</t>
        </is>
      </c>
      <c r="BS174"/>
      <c r="BT174">
        <v>86576</v>
      </c>
      <c r="BU174"/>
      <c r="BV174">
        <v>2734874</v>
      </c>
      <c r="BW174" t="inlineStr">
        <is>
          <t>Customer Inquiry</t>
        </is>
      </c>
      <c r="BX174"/>
      <c r="BY174"/>
      <c r="BZ174" s="4"/>
      <c r="CA174"/>
      <c r="CB174"/>
      <c r="CC174" s="4"/>
      <c r="CD174" t="inlineStr">
        <is>
          <t>20</t>
        </is>
      </c>
      <c r="CE174" t="inlineStr">
        <is>
          <t>0</t>
        </is>
      </c>
      <c r="CF174" t="inlineStr">
        <is>
          <t>Q2-W04</t>
        </is>
      </c>
      <c r="CG174" t="inlineStr">
        <is>
          <t>Q1-W06</t>
        </is>
      </c>
      <c r="CH174" t="inlineStr">
        <is>
          <t>Q1-W06</t>
        </is>
      </c>
      <c r="CI174"/>
      <c r="CJ174" t="inlineStr">
        <is>
          <t>Paid</t>
        </is>
      </c>
      <c r="CK174" t="inlineStr">
        <is>
          <t>Not Eligible</t>
        </is>
      </c>
      <c r="CL174"/>
      <c r="CM174"/>
    </row>
    <row r="175" ht="25.5" customHeight="1">
      <c r="A175" t="inlineStr">
        <is>
          <t>4331150</t>
        </is>
      </c>
      <c r="B175" s="2"/>
      <c r="C175"/>
      <c r="D175" s="3">
        <v>46141.489594907405</v>
      </c>
      <c r="E175" t="inlineStr">
        <is>
          <t>Q2-W04</t>
        </is>
      </c>
      <c r="F175" t="inlineStr">
        <is>
          <t>Jess</t>
        </is>
      </c>
      <c r="G175" t="inlineStr">
        <is>
          <t>Lead</t>
        </is>
      </c>
      <c r="H175" s="2" t="str">
        <f>=HYPERLINK("https://upbox.ajobthing.my/leads/4331150", "https://upbox.ajobthing.my/leads/4331150")</f>
        <v>https://upbox.ajobthing.my/leads/4331150</v>
      </c>
      <c r="I175" t="inlineStr">
        <is>
          <t>CIMC LOGISTICS SERVICES(MALAYSIA)SDN BHD</t>
        </is>
      </c>
      <c r="J175" t="inlineStr">
        <is>
          <t>Dolphin</t>
        </is>
      </c>
      <c r="K175" t="inlineStr">
        <is>
          <t>Jess Lim</t>
        </is>
      </c>
      <c r="L175" s="4"/>
      <c r="M175" s="4">
        <v>46141.49078703704</v>
      </c>
      <c r="N175"/>
      <c r="O175">
        <v>6048</v>
      </c>
      <c r="P175" s="4"/>
      <c r="Q175" s="4"/>
      <c r="R175"/>
      <c r="S175"/>
      <c r="T175" s="4"/>
      <c r="U175" s="4"/>
      <c r="V175"/>
      <c r="W175"/>
      <c r="X175"/>
      <c r="Y175" t="inlineStr">
        <is>
          <t>Pending Appointment</t>
        </is>
      </c>
      <c r="Z175" t="inlineStr">
        <is>
          <t>Hiring Now</t>
        </is>
      </c>
      <c r="AA175">
        <v>2</v>
      </c>
      <c r="AB175" t="inlineStr">
        <is>
          <t>No Appointment Made</t>
        </is>
      </c>
      <c r="AC175"/>
      <c r="AD175" t="inlineStr">
        <is>
          <t>
account operation
1 , 1
mandarin</t>
        </is>
      </c>
      <c r="AE175"/>
      <c r="AF175">
        <v>3600</v>
      </c>
      <c r="AG175" s="4"/>
      <c r="AH175" s="4"/>
      <c r="AI175"/>
      <c r="AJ175">
        <v>1</v>
      </c>
      <c r="AK175" t="inlineStr">
        <is>
          <t>No, I don't need at all</t>
        </is>
      </c>
      <c r="AL175">
        <v>1</v>
      </c>
      <c r="AM175" t="inlineStr">
        <is>
          <t>No, I don't need at all</t>
        </is>
      </c>
      <c r="AN175"/>
      <c r="AO175" t="inlineStr">
        <is>
          <t>No, I don't need at all</t>
        </is>
      </c>
      <c r="AP175" t="inlineStr">
        <is>
          <t>Once a year (25%)</t>
        </is>
      </c>
      <c r="AQ175"/>
      <c r="AR175" t="inlineStr">
        <is>
          <t>Jobstreet</t>
        </is>
      </c>
      <c r="AS175" t="inlineStr">
        <is>
          <t>- Headcount: 2
- Hiring Job Details: account operation, 1, 1, mandarin
- Hiring Urgency: Hiring Now
- Number of outlets: 1
- Have recruiter team: No, I don't need at all
- Number of recruiter in company: 1
- Have ATS system: No, I don't need at all
- Have career website: No, I don't need at all
- Current hiring budget: RM3,600
- Whole year budget: 
- Whole year number of vacancies: 
- Hiring frequency: Once a year (25%)
- External job portal: Jobstreet</t>
        </is>
      </c>
      <c r="AT175">
        <v>95</v>
      </c>
      <c r="AU175" t="inlineStr">
        <is>
          <t>0.95</t>
        </is>
      </c>
      <c r="AV175" t="inlineStr">
        <is>
          <t>15</t>
        </is>
      </c>
      <c r="AW175" t="inlineStr">
        <is>
          <t>0</t>
        </is>
      </c>
      <c r="AX175" t="inlineStr">
        <is>
          <t>Not Qualified</t>
        </is>
      </c>
      <c r="AY175" s="4"/>
      <c r="AZ175"/>
      <c r="BA175"/>
      <c r="BB175"/>
      <c r="BC175"/>
      <c r="BD175" s="4"/>
      <c r="BE175"/>
      <c r="BF175"/>
      <c r="BG175" t="inlineStr">
        <is>
          <t>Reschedule</t>
        </is>
      </c>
      <c r="BH175" t="inlineStr">
        <is>
          <t>Fauziah Maharan</t>
        </is>
      </c>
      <c r="BI175"/>
      <c r="BJ175" s="4">
        <v>46144.755949074075</v>
      </c>
      <c r="BK175" s="4">
        <v>46141.46633101852</v>
      </c>
      <c r="BL175" t="inlineStr">
        <is>
          <t>0.0</t>
        </is>
      </c>
      <c r="BM175" t="inlineStr">
        <is>
          <t>0.0</t>
        </is>
      </c>
      <c r="BN175"/>
      <c r="BO175" s="4"/>
      <c r="BP175">
        <v>169455</v>
      </c>
      <c r="BQ175"/>
      <c r="BR175"/>
      <c r="BS175"/>
      <c r="BT175"/>
      <c r="BU175"/>
      <c r="BV175"/>
      <c r="BW175"/>
      <c r="BX175"/>
      <c r="BY175"/>
      <c r="BZ175" s="4"/>
      <c r="CA175"/>
      <c r="CB175"/>
      <c r="CC175" s="4"/>
      <c r="CD175" t="inlineStr">
        <is>
          <t>20</t>
        </is>
      </c>
      <c r="CE175" t="inlineStr">
        <is>
          <t>0</t>
        </is>
      </c>
      <c r="CF175" t="inlineStr">
        <is>
          <t>Q2-W04</t>
        </is>
      </c>
      <c r="CG175"/>
      <c r="CH175"/>
      <c r="CI175"/>
      <c r="CJ175" t="inlineStr">
        <is>
          <t>No Paid</t>
        </is>
      </c>
      <c r="CK175" t="inlineStr">
        <is>
          <t>Not Eligible</t>
        </is>
      </c>
      <c r="CL175"/>
      <c r="CM175"/>
    </row>
    <row r="176" ht="25.5" customHeight="1">
      <c r="A176" t="inlineStr">
        <is>
          <t>203780</t>
        </is>
      </c>
      <c r="B176" s="2"/>
      <c r="C176"/>
      <c r="D176" s="3">
        <v>46141.49084490741</v>
      </c>
      <c r="E176" t="inlineStr">
        <is>
          <t>Q2-W04</t>
        </is>
      </c>
      <c r="F176" t="inlineStr">
        <is>
          <t>Clover</t>
        </is>
      </c>
      <c r="G176" t="inlineStr">
        <is>
          <t>Customer</t>
        </is>
      </c>
      <c r="H176" s="2" t="str">
        <f>=HYPERLINK("https://upbox.ajobthing.my/customer/203780", "https://upbox.ajobthing.my/customer/203780")</f>
        <v>https://upbox.ajobthing.my/customer/203780</v>
      </c>
      <c r="I176" t="inlineStr">
        <is>
          <t>PTS GOLDKIST INDUSTRIES SDN BHD</t>
        </is>
      </c>
      <c r="J176" t="inlineStr">
        <is>
          <t>Dolphin</t>
        </is>
      </c>
      <c r="K176" t="inlineStr">
        <is>
          <t>Clover</t>
        </is>
      </c>
      <c r="L176" s="4"/>
      <c r="M176" s="4">
        <v>46141.49046296296</v>
      </c>
      <c r="N176"/>
      <c r="O176">
        <v>3888</v>
      </c>
      <c r="P176" s="4"/>
      <c r="Q176" s="4"/>
      <c r="R176"/>
      <c r="S176"/>
      <c r="T176" s="4"/>
      <c r="U176" s="4"/>
      <c r="V176"/>
      <c r="W176"/>
      <c r="X176"/>
      <c r="Y176" t="inlineStr">
        <is>
          <t>Pending Appointment</t>
        </is>
      </c>
      <c r="Z176" t="inlineStr">
        <is>
          <t>Hiring Later</t>
        </is>
      </c>
      <c r="AA176">
        <v>2</v>
      </c>
      <c r="AB176" t="inlineStr">
        <is>
          <t>No Appointment Made</t>
        </is>
      </c>
      <c r="AC176"/>
      <c r="AD176" t="inlineStr">
        <is>
          <t>Survey only, maybe start hiring on jun/july, production team x1-2, manufacturing animal feeds, kuatan, suggest stand</t>
        </is>
      </c>
      <c r="AE176"/>
      <c r="AF176">
        <v>3000</v>
      </c>
      <c r="AG176" s="4"/>
      <c r="AH176" s="4"/>
      <c r="AI176">
        <v>3000</v>
      </c>
      <c r="AJ176">
        <v>1</v>
      </c>
      <c r="AK176" t="inlineStr">
        <is>
          <t>No, but I want in future</t>
        </is>
      </c>
      <c r="AL176">
        <v>1</v>
      </c>
      <c r="AM176" t="inlineStr">
        <is>
          <t>No, but I want in future</t>
        </is>
      </c>
      <c r="AN176"/>
      <c r="AO176" t="inlineStr">
        <is>
          <t>No, but I want in future</t>
        </is>
      </c>
      <c r="AP176" t="inlineStr">
        <is>
          <t>Twice a year (50%)</t>
        </is>
      </c>
      <c r="AQ176">
        <v>2</v>
      </c>
      <c r="AR176" t="inlineStr">
        <is>
          <t>Did not use any job portal</t>
        </is>
      </c>
      <c r="AS176" t="inlineStr">
        <is>
          <t>- Headcount: 2
- Hiring Job Details: Survey only, maybe start hiring on jun/july, production team x1-2, manufacturing animal feeds, kuatan,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176">
        <v>85</v>
      </c>
      <c r="AU176" t="inlineStr">
        <is>
          <t>0.85</t>
        </is>
      </c>
      <c r="AV176" t="inlineStr">
        <is>
          <t>15</t>
        </is>
      </c>
      <c r="AW176" t="inlineStr">
        <is>
          <t>0</t>
        </is>
      </c>
      <c r="AX176" t="inlineStr">
        <is>
          <t>Not Qualified</t>
        </is>
      </c>
      <c r="AY176" s="4"/>
      <c r="AZ176"/>
      <c r="BA176"/>
      <c r="BB176"/>
      <c r="BC176" t="inlineStr">
        <is>
          <t>- Headcount: 2
- Hiring Job Details: Survey only, maybe start hiring on jun/july, production team x1-2, manufacturing animal feeds, kuatan,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BD176" s="4">
        <v>46141.50003472222</v>
      </c>
      <c r="BE176"/>
      <c r="BF176"/>
      <c r="BG176" t="inlineStr">
        <is>
          <t>Reschedule</t>
        </is>
      </c>
      <c r="BH176" t="inlineStr">
        <is>
          <t>Reagen</t>
        </is>
      </c>
      <c r="BI176"/>
      <c r="BJ176" s="4">
        <v>46144.75438657407</v>
      </c>
      <c r="BK176" s="4">
        <v>46141.48652777778</v>
      </c>
      <c r="BL176" t="inlineStr">
        <is>
          <t>0.0</t>
        </is>
      </c>
      <c r="BM176" t="inlineStr">
        <is>
          <t>0.0</t>
        </is>
      </c>
      <c r="BN176"/>
      <c r="BO176" s="4"/>
      <c r="BP176">
        <v>169454</v>
      </c>
      <c r="BQ176"/>
      <c r="BR176"/>
      <c r="BS176"/>
      <c r="BT176"/>
      <c r="BU176"/>
      <c r="BV176">
        <v>2734878</v>
      </c>
      <c r="BW176" t="inlineStr">
        <is>
          <t>Customer Inquiry</t>
        </is>
      </c>
      <c r="BX176"/>
      <c r="BY176"/>
      <c r="BZ176" s="4"/>
      <c r="CA176"/>
      <c r="CB176"/>
      <c r="CC176" s="4"/>
      <c r="CD176" t="inlineStr">
        <is>
          <t>20</t>
        </is>
      </c>
      <c r="CE176" t="inlineStr">
        <is>
          <t>0</t>
        </is>
      </c>
      <c r="CF176" t="inlineStr">
        <is>
          <t>Q2-W04</t>
        </is>
      </c>
      <c r="CG176"/>
      <c r="CH176"/>
      <c r="CI176"/>
      <c r="CJ176" t="inlineStr">
        <is>
          <t>No Paid</t>
        </is>
      </c>
      <c r="CK176" t="inlineStr">
        <is>
          <t>Not Eligible</t>
        </is>
      </c>
      <c r="CL176"/>
      <c r="CM176"/>
    </row>
    <row r="177" ht="25.5" customHeight="1">
      <c r="A177" t="inlineStr">
        <is>
          <t>203779</t>
        </is>
      </c>
      <c r="B177" s="2"/>
      <c r="C177"/>
      <c r="D177" s="3">
        <v>46141.49980324074</v>
      </c>
      <c r="E177" t="inlineStr">
        <is>
          <t>Q2-W04</t>
        </is>
      </c>
      <c r="F177" t="inlineStr">
        <is>
          <t>Eugene</t>
        </is>
      </c>
      <c r="G177" t="inlineStr">
        <is>
          <t>Customer</t>
        </is>
      </c>
      <c r="H177" s="2" t="str">
        <f>=HYPERLINK("https://upbox.ajobthing.my/customer/203779", "https://upbox.ajobthing.my/customer/203779")</f>
        <v>https://upbox.ajobthing.my/customer/203779</v>
      </c>
      <c r="I177" t="inlineStr">
        <is>
          <t>Optimus Auto Trading Pte.ltd</t>
        </is>
      </c>
      <c r="J177" t="inlineStr">
        <is>
          <t>Dolphin</t>
        </is>
      </c>
      <c r="K177" t="inlineStr">
        <is>
          <t>Eugene</t>
        </is>
      </c>
      <c r="L177" s="4"/>
      <c r="M177" s="4">
        <v>46141.49988425926</v>
      </c>
      <c r="N177"/>
      <c r="O177">
        <v>3888</v>
      </c>
      <c r="P177" s="4"/>
      <c r="Q177" s="4"/>
      <c r="R177"/>
      <c r="S177"/>
      <c r="T177" s="4"/>
      <c r="U177" s="4"/>
      <c r="V177"/>
      <c r="W177"/>
      <c r="X177"/>
      <c r="Y177" t="inlineStr">
        <is>
          <t>Pending Appointment</t>
        </is>
      </c>
      <c r="Z177" t="inlineStr">
        <is>
          <t>Hiring Now</t>
        </is>
      </c>
      <c r="AA177">
        <v>1</v>
      </c>
      <c r="AB177" t="inlineStr">
        <is>
          <t>No Appointment Made</t>
        </is>
      </c>
      <c r="AC177"/>
      <c r="AD177" t="inlineStr">
        <is>
          <t>1 mechanic, based in Malaysia</t>
        </is>
      </c>
      <c r="AE177"/>
      <c r="AF177">
        <v>1200</v>
      </c>
      <c r="AG177" s="4"/>
      <c r="AH177" s="4"/>
      <c r="AI177">
        <v>1200</v>
      </c>
      <c r="AJ177">
        <v>1</v>
      </c>
      <c r="AK177" t="inlineStr">
        <is>
          <t>No, I don't need at all</t>
        </is>
      </c>
      <c r="AL177">
        <v>1</v>
      </c>
      <c r="AM177" t="inlineStr">
        <is>
          <t>No, I don't need at all</t>
        </is>
      </c>
      <c r="AN177"/>
      <c r="AO177" t="inlineStr">
        <is>
          <t>No, I don't need at all</t>
        </is>
      </c>
      <c r="AP177" t="inlineStr">
        <is>
          <t>Once a year (25%)</t>
        </is>
      </c>
      <c r="AQ177">
        <v>1</v>
      </c>
      <c r="AR177" t="inlineStr">
        <is>
          <t>Did not use any job portal</t>
        </is>
      </c>
      <c r="AS177" t="inlineStr">
        <is>
          <t>- Headcount: 1
- Hiring Job Details: 1 mechanic, based in Malaysia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t>
        </is>
      </c>
      <c r="AT177">
        <v>110</v>
      </c>
      <c r="AU177" t="inlineStr">
        <is>
          <t>1.10</t>
        </is>
      </c>
      <c r="AV177" t="inlineStr">
        <is>
          <t>15</t>
        </is>
      </c>
      <c r="AW177" t="inlineStr">
        <is>
          <t>0</t>
        </is>
      </c>
      <c r="AX177" t="inlineStr">
        <is>
          <t>Not Qualified</t>
        </is>
      </c>
      <c r="AY177" s="4"/>
      <c r="AZ177"/>
      <c r="BA177"/>
      <c r="BB177"/>
      <c r="BC177" t="inlineStr">
        <is>
          <t>proof</t>
        </is>
      </c>
      <c r="BD177" s="4">
        <v>46141.503587962965</v>
      </c>
      <c r="BE177"/>
      <c r="BF177"/>
      <c r="BG177" t="inlineStr">
        <is>
          <t>Reschedule</t>
        </is>
      </c>
      <c r="BH177" t="inlineStr">
        <is>
          <t>Edward Hoo</t>
        </is>
      </c>
      <c r="BI177"/>
      <c r="BJ177" s="4">
        <v>46144.75438657407</v>
      </c>
      <c r="BK177" s="4">
        <v>46141.45688657407</v>
      </c>
      <c r="BL177" t="inlineStr">
        <is>
          <t>0.0</t>
        </is>
      </c>
      <c r="BM177" t="inlineStr">
        <is>
          <t>0.0</t>
        </is>
      </c>
      <c r="BN177" t="inlineStr">
        <is>
          <t>View Company Page</t>
        </is>
      </c>
      <c r="BO177" s="4">
        <v>46141.64616898148</v>
      </c>
      <c r="BP177">
        <v>169461</v>
      </c>
      <c r="BQ177"/>
      <c r="BR177"/>
      <c r="BS177"/>
      <c r="BT177"/>
      <c r="BU177"/>
      <c r="BV177">
        <v>2734913</v>
      </c>
      <c r="BW177" t="inlineStr">
        <is>
          <t>Customer Inquiry</t>
        </is>
      </c>
      <c r="BX177"/>
      <c r="BY177"/>
      <c r="BZ177" s="4"/>
      <c r="CA177"/>
      <c r="CB177"/>
      <c r="CC177" s="4"/>
      <c r="CD177" t="inlineStr">
        <is>
          <t>20</t>
        </is>
      </c>
      <c r="CE177" t="inlineStr">
        <is>
          <t>0</t>
        </is>
      </c>
      <c r="CF177" t="inlineStr">
        <is>
          <t>Q2-W04</t>
        </is>
      </c>
      <c r="CG177"/>
      <c r="CH177"/>
      <c r="CI177"/>
      <c r="CJ177" t="inlineStr">
        <is>
          <t>No Paid</t>
        </is>
      </c>
      <c r="CK177" t="inlineStr">
        <is>
          <t>Not Eligible</t>
        </is>
      </c>
      <c r="CL177"/>
      <c r="CM177"/>
    </row>
    <row r="178" ht="25.5" customHeight="1">
      <c r="A178" t="inlineStr">
        <is>
          <t>183552</t>
        </is>
      </c>
      <c r="B178" s="2"/>
      <c r="C178"/>
      <c r="D178" s="3">
        <v>46141.50172453704</v>
      </c>
      <c r="E178" t="inlineStr">
        <is>
          <t>Q2-W04</t>
        </is>
      </c>
      <c r="F178" t="inlineStr">
        <is>
          <t>Jess</t>
        </is>
      </c>
      <c r="G178" t="inlineStr">
        <is>
          <t>Customer</t>
        </is>
      </c>
      <c r="H178" s="2" t="str">
        <f>=HYPERLINK("https://upbox.ajobthing.my/customer/183552", "https://upbox.ajobthing.my/customer/183552")</f>
        <v>https://upbox.ajobthing.my/customer/183552</v>
      </c>
      <c r="I178" t="inlineStr">
        <is>
          <t>PJL Konsult Sdn Bhd</t>
        </is>
      </c>
      <c r="J178" t="inlineStr">
        <is>
          <t>Dolphin</t>
        </is>
      </c>
      <c r="K178" t="inlineStr">
        <is>
          <t>Jess Lim</t>
        </is>
      </c>
      <c r="L178" s="4"/>
      <c r="M178" s="4">
        <v>46141.50225694444</v>
      </c>
      <c r="N178"/>
      <c r="O178">
        <v>1296</v>
      </c>
      <c r="P178" s="4"/>
      <c r="Q178" s="4">
        <v>46140.87614583333</v>
      </c>
      <c r="R178"/>
      <c r="S178">
        <v>0</v>
      </c>
      <c r="T178" s="4">
        <v>45573</v>
      </c>
      <c r="U178" s="4"/>
      <c r="V178"/>
      <c r="W178">
        <v>972</v>
      </c>
      <c r="X178"/>
      <c r="Y178" t="inlineStr">
        <is>
          <t>Pending Appointment</t>
        </is>
      </c>
      <c r="Z178" t="inlineStr">
        <is>
          <t>Hiring Now</t>
        </is>
      </c>
      <c r="AA178">
        <v>1</v>
      </c>
      <c r="AB178" t="inlineStr">
        <is>
          <t>No Appointment Made</t>
        </is>
      </c>
      <c r="AC178"/>
      <c r="AD178" t="inlineStr">
        <is>
          <t>engineering 1</t>
        </is>
      </c>
      <c r="AE178"/>
      <c r="AF178">
        <v>1200</v>
      </c>
      <c r="AG178" s="4"/>
      <c r="AH178" s="4"/>
      <c r="AI178"/>
      <c r="AJ178">
        <v>1</v>
      </c>
      <c r="AK178" t="inlineStr">
        <is>
          <t>No, I don't need at all</t>
        </is>
      </c>
      <c r="AL178">
        <v>1</v>
      </c>
      <c r="AM178" t="inlineStr">
        <is>
          <t>No, I don't need at all</t>
        </is>
      </c>
      <c r="AN178"/>
      <c r="AO178" t="inlineStr">
        <is>
          <t>No, I don't need at all</t>
        </is>
      </c>
      <c r="AP178" t="inlineStr">
        <is>
          <t>Once a year (25%)</t>
        </is>
      </c>
      <c r="AQ178"/>
      <c r="AR178" t="inlineStr">
        <is>
          <t>Jobstreet</t>
        </is>
      </c>
      <c r="AS178" t="inlineStr">
        <is>
          <t>- Headcount: 1
- Hiring Job Details: engineering 1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178">
        <v>95</v>
      </c>
      <c r="AU178" t="inlineStr">
        <is>
          <t>0.95</t>
        </is>
      </c>
      <c r="AV178" t="inlineStr">
        <is>
          <t>15</t>
        </is>
      </c>
      <c r="AW178" t="inlineStr">
        <is>
          <t>0</t>
        </is>
      </c>
      <c r="AX178" t="inlineStr">
        <is>
          <t>Not Qualified</t>
        </is>
      </c>
      <c r="AY178" s="4"/>
      <c r="AZ178"/>
      <c r="BA178"/>
      <c r="BB178"/>
      <c r="BC178" t="inlineStr">
        <is>
          <t>- Headcount: 1
- Hiring Job Details: engineering 1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BD178" s="4">
        <v>46141.54168981482</v>
      </c>
      <c r="BE178" t="inlineStr">
        <is>
          <t>paid</t>
        </is>
      </c>
      <c r="BF178"/>
      <c r="BG178" t="inlineStr">
        <is>
          <t>Reschedule</t>
        </is>
      </c>
      <c r="BH178" t="inlineStr">
        <is>
          <t>Fauziah Maharan</t>
        </is>
      </c>
      <c r="BI178"/>
      <c r="BJ178" s="4">
        <v>46144.751967592594</v>
      </c>
      <c r="BK178" s="4">
        <v>45573.47578703704</v>
      </c>
      <c r="BL178" t="inlineStr">
        <is>
          <t>0.0</t>
        </is>
      </c>
      <c r="BM178" t="inlineStr">
        <is>
          <t>0.0</t>
        </is>
      </c>
      <c r="BN178" t="inlineStr">
        <is>
          <t>View Jobmanager Page</t>
        </is>
      </c>
      <c r="BO178" s="4">
        <v>45799.49653935185</v>
      </c>
      <c r="BP178">
        <v>169463</v>
      </c>
      <c r="BQ178">
        <v>123982</v>
      </c>
      <c r="BR178" t="inlineStr">
        <is>
          <t>Proforma</t>
        </is>
      </c>
      <c r="BS178" t="inlineStr">
        <is>
          <t>Free Part-Time Job</t>
        </is>
      </c>
      <c r="BT178">
        <v>73661</v>
      </c>
      <c r="BU178"/>
      <c r="BV178">
        <v>2734999</v>
      </c>
      <c r="BW178" t="inlineStr">
        <is>
          <t>Customer Inquiry</t>
        </is>
      </c>
      <c r="BX178">
        <v>2</v>
      </c>
      <c r="BY178">
        <v>2</v>
      </c>
      <c r="BZ178" s="4"/>
      <c r="CA178"/>
      <c r="CB178"/>
      <c r="CC178" s="4"/>
      <c r="CD178" t="inlineStr">
        <is>
          <t>20</t>
        </is>
      </c>
      <c r="CE178" t="inlineStr">
        <is>
          <t>0</t>
        </is>
      </c>
      <c r="CF178" t="inlineStr">
        <is>
          <t>Q2-W04</t>
        </is>
      </c>
      <c r="CG178" t="inlineStr">
        <is>
          <t>Q2-W04</t>
        </is>
      </c>
      <c r="CH178"/>
      <c r="CI178"/>
      <c r="CJ178" t="inlineStr">
        <is>
          <t>Paid</t>
        </is>
      </c>
      <c r="CK178" t="inlineStr">
        <is>
          <t>Not Eligible</t>
        </is>
      </c>
      <c r="CL178"/>
      <c r="CM178"/>
    </row>
    <row r="179" ht="25.5" customHeight="1">
      <c r="A179" t="inlineStr">
        <is>
          <t>160592</t>
        </is>
      </c>
      <c r="B179" s="2"/>
      <c r="C179"/>
      <c r="D179" s="3">
        <v>46141.50796296296</v>
      </c>
      <c r="E179" t="inlineStr">
        <is>
          <t>Q2-W04</t>
        </is>
      </c>
      <c r="F179" t="inlineStr">
        <is>
          <t>Ken Yi</t>
        </is>
      </c>
      <c r="G179" t="inlineStr">
        <is>
          <t>Customer</t>
        </is>
      </c>
      <c r="H179" s="2" t="str">
        <f>=HYPERLINK("https://upbox.ajobthing.my/customer/160592", "https://upbox.ajobthing.my/customer/160592")</f>
        <v>https://upbox.ajobthing.my/customer/160592</v>
      </c>
      <c r="I179" t="inlineStr">
        <is>
          <t>Zeus Solution Engineering Sdn Bhd</t>
        </is>
      </c>
      <c r="J179" t="inlineStr">
        <is>
          <t>Dolphin</t>
        </is>
      </c>
      <c r="K179" t="inlineStr">
        <is>
          <t>Kenyi</t>
        </is>
      </c>
      <c r="L179" s="4"/>
      <c r="M179" s="4">
        <v>46141.510833333334</v>
      </c>
      <c r="N179"/>
      <c r="O179">
        <v>5412.96</v>
      </c>
      <c r="P179" s="4"/>
      <c r="Q179" s="4"/>
      <c r="R179"/>
      <c r="S179"/>
      <c r="T179" s="4"/>
      <c r="U179" s="4"/>
      <c r="V179"/>
      <c r="W179"/>
      <c r="X179"/>
      <c r="Y179" t="inlineStr">
        <is>
          <t>Pending Appointment</t>
        </is>
      </c>
      <c r="Z179" t="inlineStr">
        <is>
          <t>Hiring Now</t>
        </is>
      </c>
      <c r="AA179">
        <v>1</v>
      </c>
      <c r="AB179" t="inlineStr">
        <is>
          <t>No Appointment Made</t>
        </is>
      </c>
      <c r="AC179"/>
      <c r="AD179" t="inlineStr">
        <is>
          <t xml:space="preserve">share flash sales promotion </t>
        </is>
      </c>
      <c r="AE179"/>
      <c r="AF179">
        <v>0</v>
      </c>
      <c r="AG179" s="4"/>
      <c r="AH179" s="4"/>
      <c r="AI179">
        <v>0</v>
      </c>
      <c r="AJ179">
        <v>1</v>
      </c>
      <c r="AK179" t="inlineStr">
        <is>
          <t>Yes, I have</t>
        </is>
      </c>
      <c r="AL179">
        <v>0</v>
      </c>
      <c r="AM179" t="inlineStr">
        <is>
          <t>No, I don't need at all</t>
        </is>
      </c>
      <c r="AN179"/>
      <c r="AO179" t="inlineStr">
        <is>
          <t>No, I don't need at all</t>
        </is>
      </c>
      <c r="AP179" t="inlineStr">
        <is>
          <t>Every month (100%)</t>
        </is>
      </c>
      <c r="AQ179">
        <v>1</v>
      </c>
      <c r="AR179" t="inlineStr">
        <is>
          <t>Jobstreet</t>
        </is>
      </c>
      <c r="AS179" t="inlineStr">
        <is>
          <t>- Headcount: 1
- Hiring Job Details: share flash sales promotion
- Hiring Urgency: Hiring Now
- Number of outlets: 1
- Have recruiter team: Yes
- Number of recruiter in company: 0
- Have ATS system: No, I don't need at all
- Have career website: No, I don't need at all
- Current hiring budget: RM0
- Whole year budget: RM0.00
- Whole year number of vacancies: 1
- Hiring frequency: Every month (100%)
- External job portal: Jobstreet</t>
        </is>
      </c>
      <c r="AT179">
        <v>105</v>
      </c>
      <c r="AU179" t="inlineStr">
        <is>
          <t>1.05</t>
        </is>
      </c>
      <c r="AV179" t="inlineStr">
        <is>
          <t>15</t>
        </is>
      </c>
      <c r="AW179" t="inlineStr">
        <is>
          <t>0</t>
        </is>
      </c>
      <c r="AX179" t="inlineStr">
        <is>
          <t>Not Qualified</t>
        </is>
      </c>
      <c r="AY179" s="4"/>
      <c r="AZ179"/>
      <c r="BA179"/>
      <c r="BB179"/>
      <c r="BC179" t="inlineStr">
        <is>
          <t>- Headcount: 1
- Hiring Job Details: share flash sales promotion
- Hiring Urgency: Hiring Now
- Number of outlets: 1
- Have recruiter team: Yes
- Number of recruiter in company: 0
- Have ATS system: No, I don't need at all
- Have career website: No, I don't need at all
- Current hiring budget: RM0
- Whole year budget: RM0.00
- Whole year number of vacancies: 1
- Hiring frequency: Every month (100%)
- External job portal: Jobstreet</t>
        </is>
      </c>
      <c r="BD179" s="4">
        <v>46141.54168981482</v>
      </c>
      <c r="BE179"/>
      <c r="BF179"/>
      <c r="BG179" t="inlineStr">
        <is>
          <t>Reschedule</t>
        </is>
      </c>
      <c r="BH179" t="inlineStr">
        <is>
          <t>Fauziah Maharan</t>
        </is>
      </c>
      <c r="BI179" t="inlineStr">
        <is>
          <t>Manufacturing / Production</t>
        </is>
      </c>
      <c r="BJ179" s="4">
        <v>46144.75109953704</v>
      </c>
      <c r="BK179" s="4">
        <v>44838.585173611114</v>
      </c>
      <c r="BL179" t="inlineStr">
        <is>
          <t>0.0</t>
        </is>
      </c>
      <c r="BM179" t="inlineStr">
        <is>
          <t>1800.0</t>
        </is>
      </c>
      <c r="BN179" t="inlineStr">
        <is>
          <t>View Company Page</t>
        </is>
      </c>
      <c r="BO179" s="4">
        <v>44840.68798611111</v>
      </c>
      <c r="BP179">
        <v>169472</v>
      </c>
      <c r="BQ179"/>
      <c r="BR179"/>
      <c r="BS179"/>
      <c r="BT179"/>
      <c r="BU179"/>
      <c r="BV179">
        <v>2735001</v>
      </c>
      <c r="BW179" t="inlineStr">
        <is>
          <t>Customer Inquiry</t>
        </is>
      </c>
      <c r="BX179"/>
      <c r="BY179"/>
      <c r="BZ179" s="4"/>
      <c r="CA179"/>
      <c r="CB179"/>
      <c r="CC179" s="4"/>
      <c r="CD179" t="inlineStr">
        <is>
          <t>20</t>
        </is>
      </c>
      <c r="CE179" t="inlineStr">
        <is>
          <t>0</t>
        </is>
      </c>
      <c r="CF179" t="inlineStr">
        <is>
          <t>Q2-W04</t>
        </is>
      </c>
      <c r="CG179"/>
      <c r="CH179"/>
      <c r="CI179"/>
      <c r="CJ179" t="inlineStr">
        <is>
          <t>No Paid</t>
        </is>
      </c>
      <c r="CK179" t="inlineStr">
        <is>
          <t>Not Eligible</t>
        </is>
      </c>
      <c r="CL179"/>
      <c r="CM179"/>
    </row>
    <row r="180" ht="25.5" customHeight="1">
      <c r="A180" t="inlineStr">
        <is>
          <t>122736</t>
        </is>
      </c>
      <c r="B180" s="2"/>
      <c r="C180"/>
      <c r="D180" s="3">
        <v>46141.508043981485</v>
      </c>
      <c r="E180" t="inlineStr">
        <is>
          <t>Q2-W04</t>
        </is>
      </c>
      <c r="F180" t="inlineStr">
        <is>
          <t>Angel  Low</t>
        </is>
      </c>
      <c r="G180" t="inlineStr">
        <is>
          <t>Customer</t>
        </is>
      </c>
      <c r="H180" s="2" t="str">
        <f>=HYPERLINK("https://upbox.ajobthing.my/customer/122736", "https://upbox.ajobthing.my/customer/122736")</f>
        <v>https://upbox.ajobthing.my/customer/122736</v>
      </c>
      <c r="I180" t="inlineStr">
        <is>
          <t>Katag Sdn Bhd</t>
        </is>
      </c>
      <c r="J180" t="inlineStr">
        <is>
          <t>Dolphin</t>
        </is>
      </c>
      <c r="K180" t="inlineStr">
        <is>
          <t>Angel Low</t>
        </is>
      </c>
      <c r="L180" s="4"/>
      <c r="M180" s="4">
        <v>46141.509571759256</v>
      </c>
      <c r="N180"/>
      <c r="O180">
        <v>3576.96</v>
      </c>
      <c r="P180" s="4"/>
      <c r="Q180" s="4">
        <v>46092.46046296296</v>
      </c>
      <c r="R180"/>
      <c r="S180">
        <v>0</v>
      </c>
      <c r="T180" s="4">
        <v>44704.495844907404</v>
      </c>
      <c r="U180" s="4"/>
      <c r="V180"/>
      <c r="W180">
        <v>636</v>
      </c>
      <c r="X180"/>
      <c r="Y180" t="inlineStr">
        <is>
          <t>Pending Appointment</t>
        </is>
      </c>
      <c r="Z180"/>
      <c r="AA180">
        <v>1</v>
      </c>
      <c r="AB180" t="inlineStr">
        <is>
          <t>No Appointment Made</t>
        </is>
      </c>
      <c r="AC180"/>
      <c r="AD180" t="inlineStr">
        <is>
          <t xml:space="preserve">1 technician mandarin speaker. jln kuching kl </t>
        </is>
      </c>
      <c r="AE180"/>
      <c r="AF180"/>
      <c r="AG180" s="4"/>
      <c r="AH180" s="4"/>
      <c r="AI180"/>
      <c r="AJ180"/>
      <c r="AK180"/>
      <c r="AL180"/>
      <c r="AM180"/>
      <c r="AN180"/>
      <c r="AO180"/>
      <c r="AP180"/>
      <c r="AQ180"/>
      <c r="AR180"/>
      <c r="AS180" t="inlineStr">
        <is>
          <t>- Headcount: 1
- Hiring Job Details: 1 technician mandarin speaker, jln kuching kl
- Hiring Urgency: Not specified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is>
      </c>
      <c r="AT180">
        <v>70</v>
      </c>
      <c r="AU180" t="inlineStr">
        <is>
          <t>0.70</t>
        </is>
      </c>
      <c r="AV180" t="inlineStr">
        <is>
          <t>5</t>
        </is>
      </c>
      <c r="AW180" t="inlineStr">
        <is>
          <t>0</t>
        </is>
      </c>
      <c r="AX180" t="inlineStr">
        <is>
          <t>Not Qualified</t>
        </is>
      </c>
      <c r="AY180" s="4"/>
      <c r="AZ180"/>
      <c r="BA180"/>
      <c r="BB180"/>
      <c r="BC180" t="inlineStr">
        <is>
          <t>- Headcount: 1
- Hiring Job Details: 1 technician mandarin speaker, jln kuching kl
- Hiring Urgency: Not specified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is>
      </c>
      <c r="BD180" s="4">
        <v>46141.54168981482</v>
      </c>
      <c r="BE180" t="inlineStr">
        <is>
          <t>paid</t>
        </is>
      </c>
      <c r="BF180"/>
      <c r="BG180" t="inlineStr">
        <is>
          <t>Reschedule</t>
        </is>
      </c>
      <c r="BH180" t="inlineStr">
        <is>
          <t>Fauziah Maharan</t>
        </is>
      </c>
      <c r="BI180" t="inlineStr">
        <is>
          <t>Electrical / Electronics</t>
        </is>
      </c>
      <c r="BJ180" s="4">
        <v>46144.750289351854</v>
      </c>
      <c r="BK180" s="4">
        <v>43761.739895833336</v>
      </c>
      <c r="BL180" t="inlineStr">
        <is>
          <t>0.0</t>
        </is>
      </c>
      <c r="BM180" t="inlineStr">
        <is>
          <t>1200.0</t>
        </is>
      </c>
      <c r="BN180" t="inlineStr">
        <is>
          <t>View Company Page</t>
        </is>
      </c>
      <c r="BO180" s="4">
        <v>44707.59607638889</v>
      </c>
      <c r="BP180">
        <v>169470</v>
      </c>
      <c r="BQ180">
        <v>116706</v>
      </c>
      <c r="BR180" t="inlineStr">
        <is>
          <t>Proforma</t>
        </is>
      </c>
      <c r="BS180" t="inlineStr">
        <is>
          <t>Free Internship Job</t>
        </is>
      </c>
      <c r="BT180">
        <v>45223</v>
      </c>
      <c r="BU180"/>
      <c r="BV180">
        <v>2735002</v>
      </c>
      <c r="BW180" t="inlineStr">
        <is>
          <t>Customer Inquiry</t>
        </is>
      </c>
      <c r="BX180"/>
      <c r="BY180"/>
      <c r="BZ180" s="4"/>
      <c r="CA180"/>
      <c r="CB180"/>
      <c r="CC180" s="4"/>
      <c r="CD180" t="inlineStr">
        <is>
          <t>5</t>
        </is>
      </c>
      <c r="CE180" t="inlineStr">
        <is>
          <t>0</t>
        </is>
      </c>
      <c r="CF180" t="inlineStr">
        <is>
          <t>Q2-W04</t>
        </is>
      </c>
      <c r="CG180" t="inlineStr">
        <is>
          <t>Q1-W10</t>
        </is>
      </c>
      <c r="CH180"/>
      <c r="CI180"/>
      <c r="CJ180" t="inlineStr">
        <is>
          <t>Paid</t>
        </is>
      </c>
      <c r="CK180" t="inlineStr">
        <is>
          <t>Not Eligible</t>
        </is>
      </c>
      <c r="CL180"/>
      <c r="CM180"/>
    </row>
    <row r="181" ht="25.5" customHeight="1">
      <c r="A181" t="inlineStr">
        <is>
          <t>203764</t>
        </is>
      </c>
      <c r="B181" s="2"/>
      <c r="C181"/>
      <c r="D181" s="3">
        <v>46141.515856481485</v>
      </c>
      <c r="E181" t="inlineStr">
        <is>
          <t>Q2-W04</t>
        </is>
      </c>
      <c r="F181" t="inlineStr">
        <is>
          <t>Jess</t>
        </is>
      </c>
      <c r="G181" t="inlineStr">
        <is>
          <t>Customer</t>
        </is>
      </c>
      <c r="H181" s="2" t="str">
        <f>=HYPERLINK("https://upbox.ajobthing.my/customer/203764", "https://upbox.ajobthing.my/customer/203764")</f>
        <v>https://upbox.ajobthing.my/customer/203764</v>
      </c>
      <c r="I181" t="inlineStr">
        <is>
          <t>Tanjung Boulevard Sdn Bhd</t>
        </is>
      </c>
      <c r="J181" t="inlineStr">
        <is>
          <t>Dolphin</t>
        </is>
      </c>
      <c r="K181" t="inlineStr">
        <is>
          <t>Jess Lim</t>
        </is>
      </c>
      <c r="L181" s="4"/>
      <c r="M181" s="4">
        <v>46141.51619212963</v>
      </c>
      <c r="N181"/>
      <c r="O181">
        <v>5412.96</v>
      </c>
      <c r="P181" s="4"/>
      <c r="Q181" s="4"/>
      <c r="R181"/>
      <c r="S181"/>
      <c r="T181" s="4"/>
      <c r="U181" s="4"/>
      <c r="V181"/>
      <c r="W181"/>
      <c r="X181"/>
      <c r="Y181" t="inlineStr">
        <is>
          <t>Pending Appointment</t>
        </is>
      </c>
      <c r="Z181" t="inlineStr">
        <is>
          <t>Hiring Now</t>
        </is>
      </c>
      <c r="AA181">
        <v>1</v>
      </c>
      <c r="AB181" t="inlineStr">
        <is>
          <t>No Appointment Made</t>
        </is>
      </c>
      <c r="AC181"/>
      <c r="AD181" t="inlineStr">
        <is>
          <t>procurement</t>
        </is>
      </c>
      <c r="AE181"/>
      <c r="AF181">
        <v>3600</v>
      </c>
      <c r="AG181" s="4"/>
      <c r="AH181" s="4"/>
      <c r="AI181"/>
      <c r="AJ181">
        <v>1</v>
      </c>
      <c r="AK181" t="inlineStr">
        <is>
          <t>No, I don't need at all</t>
        </is>
      </c>
      <c r="AL181">
        <v>1</v>
      </c>
      <c r="AM181" t="inlineStr">
        <is>
          <t>No, I don't need at all</t>
        </is>
      </c>
      <c r="AN181"/>
      <c r="AO181" t="inlineStr">
        <is>
          <t>No, I don't need at all</t>
        </is>
      </c>
      <c r="AP181" t="inlineStr">
        <is>
          <t>Once a year (25%)</t>
        </is>
      </c>
      <c r="AQ181"/>
      <c r="AR181" t="inlineStr">
        <is>
          <t>Jobstreet</t>
        </is>
      </c>
      <c r="AS181" t="inlineStr">
        <is>
          <t>- Headcount: 1
- Hiring Job Details: procurement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is>
      </c>
      <c r="AT181">
        <v>85</v>
      </c>
      <c r="AU181" t="inlineStr">
        <is>
          <t>0.85</t>
        </is>
      </c>
      <c r="AV181" t="inlineStr">
        <is>
          <t>15</t>
        </is>
      </c>
      <c r="AW181" t="inlineStr">
        <is>
          <t>0</t>
        </is>
      </c>
      <c r="AX181" t="inlineStr">
        <is>
          <t>Not Qualified</t>
        </is>
      </c>
      <c r="AY181" s="4"/>
      <c r="AZ181"/>
      <c r="BA181"/>
      <c r="BB181"/>
      <c r="BC181" t="inlineStr">
        <is>
          <t>- Headcount: 1
- Hiring Job Details: procurement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is>
      </c>
      <c r="BD181" s="4">
        <v>46141.54168981482</v>
      </c>
      <c r="BE181"/>
      <c r="BF181"/>
      <c r="BG181" t="inlineStr">
        <is>
          <t>Reschedule</t>
        </is>
      </c>
      <c r="BH181" t="inlineStr">
        <is>
          <t>Fauziah Maharan</t>
        </is>
      </c>
      <c r="BI181"/>
      <c r="BJ181" s="4">
        <v>46144.75438657407</v>
      </c>
      <c r="BK181" s="4">
        <v>46141.39288194444</v>
      </c>
      <c r="BL181" t="inlineStr">
        <is>
          <t>0.0</t>
        </is>
      </c>
      <c r="BM181" t="inlineStr">
        <is>
          <t>1800.0</t>
        </is>
      </c>
      <c r="BN181" t="inlineStr">
        <is>
          <t>View Create Job Page V4</t>
        </is>
      </c>
      <c r="BO181" s="4">
        <v>46141.39775462963</v>
      </c>
      <c r="BP181">
        <v>169475</v>
      </c>
      <c r="BQ181"/>
      <c r="BR181"/>
      <c r="BS181"/>
      <c r="BT181"/>
      <c r="BU181"/>
      <c r="BV181">
        <v>2735004</v>
      </c>
      <c r="BW181" t="inlineStr">
        <is>
          <t>Customer Inquiry</t>
        </is>
      </c>
      <c r="BX181"/>
      <c r="BY181"/>
      <c r="BZ181" s="4"/>
      <c r="CA181"/>
      <c r="CB181"/>
      <c r="CC181" s="4"/>
      <c r="CD181" t="inlineStr">
        <is>
          <t>20</t>
        </is>
      </c>
      <c r="CE181" t="inlineStr">
        <is>
          <t>0</t>
        </is>
      </c>
      <c r="CF181" t="inlineStr">
        <is>
          <t>Q2-W04</t>
        </is>
      </c>
      <c r="CG181"/>
      <c r="CH181"/>
      <c r="CI181"/>
      <c r="CJ181" t="inlineStr">
        <is>
          <t>No Paid</t>
        </is>
      </c>
      <c r="CK181" t="inlineStr">
        <is>
          <t>Not Eligible</t>
        </is>
      </c>
      <c r="CL181"/>
      <c r="CM181"/>
    </row>
    <row r="182" ht="25.5" customHeight="1">
      <c r="A182" t="inlineStr">
        <is>
          <t>183649</t>
        </is>
      </c>
      <c r="B182" s="2"/>
      <c r="C182"/>
      <c r="D182" s="3">
        <v>46141.55049768519</v>
      </c>
      <c r="E182" t="inlineStr">
        <is>
          <t>Q2-W04</t>
        </is>
      </c>
      <c r="F182" t="inlineStr">
        <is>
          <t>Xin Hui</t>
        </is>
      </c>
      <c r="G182" t="inlineStr">
        <is>
          <t>Customer</t>
        </is>
      </c>
      <c r="H182" s="2" t="str">
        <f>=HYPERLINK("https://upbox.ajobthing.my/customer/183649", "https://upbox.ajobthing.my/customer/183649")</f>
        <v>https://upbox.ajobthing.my/customer/183649</v>
      </c>
      <c r="I182" t="inlineStr">
        <is>
          <t>Astar Management Services Sdn Bhd</t>
        </is>
      </c>
      <c r="J182" t="inlineStr">
        <is>
          <t>Dolphin</t>
        </is>
      </c>
      <c r="K182" t="inlineStr">
        <is>
          <t>Xin Hui</t>
        </is>
      </c>
      <c r="L182" s="4"/>
      <c r="M182" s="4">
        <v>46141.50744212963</v>
      </c>
      <c r="N182"/>
      <c r="O182">
        <v>3888</v>
      </c>
      <c r="P182" s="4"/>
      <c r="Q182" s="4"/>
      <c r="R182"/>
      <c r="S182"/>
      <c r="T182" s="4"/>
      <c r="U182" s="4"/>
      <c r="V182"/>
      <c r="W182"/>
      <c r="X182"/>
      <c r="Y182" t="inlineStr">
        <is>
          <t>Pending Appointment</t>
        </is>
      </c>
      <c r="Z182" t="inlineStr">
        <is>
          <t>Hiring Later</t>
        </is>
      </c>
      <c r="AA182">
        <v>1</v>
      </c>
      <c r="AB182" t="inlineStr">
        <is>
          <t>No Appointment Made</t>
        </is>
      </c>
      <c r="AC182"/>
      <c r="AD182" t="inlineStr">
        <is>
          <t>sales</t>
        </is>
      </c>
      <c r="AE182"/>
      <c r="AF182"/>
      <c r="AG182" s="4"/>
      <c r="AH182" s="4"/>
      <c r="AI182"/>
      <c r="AJ182"/>
      <c r="AK182" t="inlineStr">
        <is>
          <t>No, I don't need at all</t>
        </is>
      </c>
      <c r="AL182"/>
      <c r="AM182" t="inlineStr">
        <is>
          <t>No, I don't need at all</t>
        </is>
      </c>
      <c r="AN182"/>
      <c r="AO182" t="inlineStr">
        <is>
          <t>No, I don't need at all</t>
        </is>
      </c>
      <c r="AP182" t="inlineStr">
        <is>
          <t>Once a year (25%)</t>
        </is>
      </c>
      <c r="AQ182"/>
      <c r="AR182"/>
      <c r="AS182" t="inlineStr">
        <is>
          <t>- Headcount: 1
- Hiring Job Details: sales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82">
        <v>75</v>
      </c>
      <c r="AU182" t="inlineStr">
        <is>
          <t>0.75</t>
        </is>
      </c>
      <c r="AV182" t="inlineStr">
        <is>
          <t>5</t>
        </is>
      </c>
      <c r="AW182" t="inlineStr">
        <is>
          <t>0</t>
        </is>
      </c>
      <c r="AX182" t="inlineStr">
        <is>
          <t>Not Qualified</t>
        </is>
      </c>
      <c r="AY182" s="4"/>
      <c r="AZ182"/>
      <c r="BA182"/>
      <c r="BB182"/>
      <c r="BC182" t="inlineStr">
        <is>
          <t>- Headcount: 1
- Hiring Job Details: sales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BD182" s="4">
        <v>46141.58335648148</v>
      </c>
      <c r="BE182"/>
      <c r="BF182"/>
      <c r="BG182" t="inlineStr">
        <is>
          <t>Reschedule</t>
        </is>
      </c>
      <c r="BH182" t="inlineStr">
        <is>
          <t>Yee Hang</t>
        </is>
      </c>
      <c r="BI182" t="inlineStr">
        <is>
          <t>HR Mgmt / Consulting</t>
        </is>
      </c>
      <c r="BJ182" s="4">
        <v>46144.751967592594</v>
      </c>
      <c r="BK182" s="4">
        <v>45575.5258912037</v>
      </c>
      <c r="BL182" t="inlineStr">
        <is>
          <t>0.0</t>
        </is>
      </c>
      <c r="BM182" t="inlineStr">
        <is>
          <t>1800.0</t>
        </is>
      </c>
      <c r="BN182" t="inlineStr">
        <is>
          <t>View Create Job Page</t>
        </is>
      </c>
      <c r="BO182" s="4">
        <v>45737.65597222222</v>
      </c>
      <c r="BP182">
        <v>169468</v>
      </c>
      <c r="BQ182"/>
      <c r="BR182"/>
      <c r="BS182"/>
      <c r="BT182"/>
      <c r="BU182"/>
      <c r="BV182">
        <v>2735155</v>
      </c>
      <c r="BW182" t="inlineStr">
        <is>
          <t>Customer Inquiry</t>
        </is>
      </c>
      <c r="BX182"/>
      <c r="BY182"/>
      <c r="BZ182" s="4"/>
      <c r="CA182"/>
      <c r="CB182"/>
      <c r="CC182" s="4"/>
      <c r="CD182" t="inlineStr">
        <is>
          <t>5</t>
        </is>
      </c>
      <c r="CE182" t="inlineStr">
        <is>
          <t>0</t>
        </is>
      </c>
      <c r="CF182" t="inlineStr">
        <is>
          <t>Q2-W04</t>
        </is>
      </c>
      <c r="CG182"/>
      <c r="CH182"/>
      <c r="CI182"/>
      <c r="CJ182" t="inlineStr">
        <is>
          <t>No Paid</t>
        </is>
      </c>
      <c r="CK182" t="inlineStr">
        <is>
          <t>Not Eligible</t>
        </is>
      </c>
      <c r="CL182"/>
      <c r="CM182"/>
    </row>
    <row r="183" ht="25.5" customHeight="1">
      <c r="A183" t="inlineStr">
        <is>
          <t>196011</t>
        </is>
      </c>
      <c r="B183" s="2"/>
      <c r="C183"/>
      <c r="D183" s="3">
        <v>46141.57641203704</v>
      </c>
      <c r="E183" t="inlineStr">
        <is>
          <t>Q2-W04</t>
        </is>
      </c>
      <c r="F183" t="inlineStr">
        <is>
          <t>Jess</t>
        </is>
      </c>
      <c r="G183" t="inlineStr">
        <is>
          <t>Customer</t>
        </is>
      </c>
      <c r="H183" s="2" t="str">
        <f>=HYPERLINK("https://upbox.ajobthing.my/customer/196011", "https://upbox.ajobthing.my/customer/196011")</f>
        <v>https://upbox.ajobthing.my/customer/196011</v>
      </c>
      <c r="I183" t="inlineStr">
        <is>
          <t>Rems Tax Services Sdn. Bhd.</t>
        </is>
      </c>
      <c r="J183" t="inlineStr">
        <is>
          <t>Dolphin</t>
        </is>
      </c>
      <c r="K183" t="inlineStr">
        <is>
          <t>Jess Lim</t>
        </is>
      </c>
      <c r="L183" s="4"/>
      <c r="M183" s="4">
        <v>46141.57664351852</v>
      </c>
      <c r="N183"/>
      <c r="O183">
        <v>3576.96</v>
      </c>
      <c r="P183" s="4"/>
      <c r="Q183" s="4">
        <v>46140.93162037037</v>
      </c>
      <c r="R183"/>
      <c r="S183">
        <v>0</v>
      </c>
      <c r="T183" s="4"/>
      <c r="U183" s="4"/>
      <c r="V183"/>
      <c r="W183"/>
      <c r="X183"/>
      <c r="Y183" t="inlineStr">
        <is>
          <t>Pending Appointment</t>
        </is>
      </c>
      <c r="Z183" t="inlineStr">
        <is>
          <t>Hiring Now</t>
        </is>
      </c>
      <c r="AA183">
        <v>1</v>
      </c>
      <c r="AB183" t="inlineStr">
        <is>
          <t>No Appointment Made</t>
        </is>
      </c>
      <c r="AC183"/>
      <c r="AD183" t="inlineStr">
        <is>
          <t>account 1</t>
        </is>
      </c>
      <c r="AE183"/>
      <c r="AF183">
        <v>1200</v>
      </c>
      <c r="AG183" s="4"/>
      <c r="AH183" s="4"/>
      <c r="AI183"/>
      <c r="AJ183">
        <v>1</v>
      </c>
      <c r="AK183" t="inlineStr">
        <is>
          <t>No, I don't need at all</t>
        </is>
      </c>
      <c r="AL183">
        <v>1</v>
      </c>
      <c r="AM183" t="inlineStr">
        <is>
          <t>No, I don't need at all</t>
        </is>
      </c>
      <c r="AN183"/>
      <c r="AO183" t="inlineStr">
        <is>
          <t>No, I don't need at all</t>
        </is>
      </c>
      <c r="AP183" t="inlineStr">
        <is>
          <t>Once a year (25%)</t>
        </is>
      </c>
      <c r="AQ183"/>
      <c r="AR183" t="inlineStr">
        <is>
          <t>Jobstreet</t>
        </is>
      </c>
      <c r="AS183" t="inlineStr">
        <is>
          <t>- Headcount: 1
- Hiring Job Details: account 1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183">
        <v>85</v>
      </c>
      <c r="AU183" t="inlineStr">
        <is>
          <t>0.85</t>
        </is>
      </c>
      <c r="AV183" t="inlineStr">
        <is>
          <t>15</t>
        </is>
      </c>
      <c r="AW183" t="inlineStr">
        <is>
          <t>0</t>
        </is>
      </c>
      <c r="AX183" t="inlineStr">
        <is>
          <t>Not Qualified</t>
        </is>
      </c>
      <c r="AY183" s="4"/>
      <c r="AZ183"/>
      <c r="BA183"/>
      <c r="BB183"/>
      <c r="BC183" t="inlineStr">
        <is>
          <t>- Headcount: 1
- Hiring Job Details: account 1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BD183" s="4">
        <v>46141.58335648148</v>
      </c>
      <c r="BE183" t="inlineStr">
        <is>
          <t>paid</t>
        </is>
      </c>
      <c r="BF183"/>
      <c r="BG183" t="inlineStr">
        <is>
          <t>Reschedule</t>
        </is>
      </c>
      <c r="BH183" t="inlineStr">
        <is>
          <t>Fauziah Maharan</t>
        </is>
      </c>
      <c r="BI183" t="inlineStr">
        <is>
          <t>Accounting / Tax Services</t>
        </is>
      </c>
      <c r="BJ183" s="4">
        <v>46144.75278935185</v>
      </c>
      <c r="BK183" s="4">
        <v>45911.44122685185</v>
      </c>
      <c r="BL183" t="inlineStr">
        <is>
          <t>0.0</t>
        </is>
      </c>
      <c r="BM183" t="inlineStr">
        <is>
          <t>0.0</t>
        </is>
      </c>
      <c r="BN183" t="inlineStr">
        <is>
          <t>View Company Page</t>
        </is>
      </c>
      <c r="BO183" s="4">
        <v>46144.43157407407</v>
      </c>
      <c r="BP183">
        <v>169484</v>
      </c>
      <c r="BQ183">
        <v>123989</v>
      </c>
      <c r="BR183" t="inlineStr">
        <is>
          <t>Proforma</t>
        </is>
      </c>
      <c r="BS183" t="inlineStr">
        <is>
          <t>Free Internship Job</t>
        </is>
      </c>
      <c r="BT183"/>
      <c r="BU183"/>
      <c r="BV183">
        <v>2735159</v>
      </c>
      <c r="BW183" t="inlineStr">
        <is>
          <t>Customer Inquiry</t>
        </is>
      </c>
      <c r="BX183">
        <v>1</v>
      </c>
      <c r="BY183">
        <v>0</v>
      </c>
      <c r="BZ183" s="4">
        <v>46144.41961805556</v>
      </c>
      <c r="CA183"/>
      <c r="CB183"/>
      <c r="CC183" s="4"/>
      <c r="CD183" t="inlineStr">
        <is>
          <t>20</t>
        </is>
      </c>
      <c r="CE183" t="inlineStr">
        <is>
          <t>0</t>
        </is>
      </c>
      <c r="CF183" t="inlineStr">
        <is>
          <t>Q2-W04</t>
        </is>
      </c>
      <c r="CG183" t="inlineStr">
        <is>
          <t>Q2-W04</t>
        </is>
      </c>
      <c r="CH183"/>
      <c r="CI183"/>
      <c r="CJ183" t="inlineStr">
        <is>
          <t>No Paid</t>
        </is>
      </c>
      <c r="CK183" t="inlineStr">
        <is>
          <t>Not Eligible</t>
        </is>
      </c>
      <c r="CL183"/>
      <c r="CM183"/>
    </row>
    <row r="184" ht="25.5" customHeight="1">
      <c r="A184" t="inlineStr">
        <is>
          <t>191866</t>
        </is>
      </c>
      <c r="B184" s="2"/>
      <c r="C184"/>
      <c r="D184" s="3">
        <v>46141.579513888886</v>
      </c>
      <c r="E184" t="inlineStr">
        <is>
          <t>Q2-W04</t>
        </is>
      </c>
      <c r="F184" t="inlineStr">
        <is>
          <t>Carmen</t>
        </is>
      </c>
      <c r="G184" t="inlineStr">
        <is>
          <t>Customer</t>
        </is>
      </c>
      <c r="H184" s="2" t="str">
        <f>=HYPERLINK("https://upbox.ajobthing.my/customer/191866", "https://upbox.ajobthing.my/customer/191866")</f>
        <v>https://upbox.ajobthing.my/customer/191866</v>
      </c>
      <c r="I184" t="inlineStr">
        <is>
          <t>CNS Dynamics Sdn Bhd</t>
        </is>
      </c>
      <c r="J184" t="inlineStr">
        <is>
          <t>Dolphin</t>
        </is>
      </c>
      <c r="K184" t="inlineStr">
        <is>
          <t>Carmen</t>
        </is>
      </c>
      <c r="L184" s="4"/>
      <c r="M184" s="4">
        <v>46141.578668981485</v>
      </c>
      <c r="N184"/>
      <c r="O184">
        <v>3576.96</v>
      </c>
      <c r="P184" s="4"/>
      <c r="Q184" s="4">
        <v>46021.60600694444</v>
      </c>
      <c r="R184"/>
      <c r="S184">
        <v>1944</v>
      </c>
      <c r="T184" s="4">
        <v>46021.60600694444</v>
      </c>
      <c r="U184" s="4"/>
      <c r="V184"/>
      <c r="W184">
        <v>1944</v>
      </c>
      <c r="X184"/>
      <c r="Y184" t="inlineStr">
        <is>
          <t>Pending Appointment</t>
        </is>
      </c>
      <c r="Z184" t="inlineStr">
        <is>
          <t>Hiring Now</t>
        </is>
      </c>
      <c r="AA184">
        <v>2</v>
      </c>
      <c r="AB184" t="inlineStr">
        <is>
          <t>No Appointment Made</t>
        </is>
      </c>
      <c r="AC184"/>
      <c r="AD184" t="inlineStr">
        <is>
          <t>1 site engineer ; 1 project manager</t>
        </is>
      </c>
      <c r="AE184"/>
      <c r="AF184">
        <v>300</v>
      </c>
      <c r="AG184" s="4"/>
      <c r="AH184" s="4"/>
      <c r="AI184"/>
      <c r="AJ184"/>
      <c r="AK184"/>
      <c r="AL184"/>
      <c r="AM184"/>
      <c r="AN184"/>
      <c r="AO184"/>
      <c r="AP184"/>
      <c r="AQ184"/>
      <c r="AR184"/>
      <c r="AS184" t="inlineStr">
        <is>
          <t>- Headcount: 2
- Hiring Job Details: 1 site engineer ; 1 project manager
- Hiring Urgency: Hiring Now
- Number of outlets: Not available
- Have recruiter team: Not available
- Number of recruiter in company: Not available
- Have ATS system: Not available
- Have career website: Not available
- Current hiring budget: RM300.00
- Whole year budget: Not available
- Whole year number of vacancies: Not available
- Hiring frequency: Not available
- External job portal: Not available</t>
        </is>
      </c>
      <c r="AT184">
        <v>65</v>
      </c>
      <c r="AU184" t="inlineStr">
        <is>
          <t>0.65</t>
        </is>
      </c>
      <c r="AV184" t="inlineStr">
        <is>
          <t>15</t>
        </is>
      </c>
      <c r="AW184" t="inlineStr">
        <is>
          <t>0</t>
        </is>
      </c>
      <c r="AX184" t="inlineStr">
        <is>
          <t>Not Qualified</t>
        </is>
      </c>
      <c r="AY184" s="4"/>
      <c r="AZ184"/>
      <c r="BA184"/>
      <c r="BB184"/>
      <c r="BC184" t="inlineStr">
        <is>
          <t>- Headcount: 2
- Hiring Job Details: 1 site engineer ; 1 project manager
- Hiring Urgency: Hiring Now
- Number of outlets: Not available
- Have recruiter team: Not available
- Number of recruiter in company: Not available
- Have ATS system: Not available
- Have career website: Not available
- Current hiring budget: RM300.00
- Whole year budget: Not available
- Whole year number of vacancies: Not available
- Hiring frequency: Not available
- External job portal: Not available</t>
        </is>
      </c>
      <c r="BD184" s="4">
        <v>46141.58335648148</v>
      </c>
      <c r="BE184" t="inlineStr">
        <is>
          <t>paid</t>
        </is>
      </c>
      <c r="BF184"/>
      <c r="BG184" t="inlineStr">
        <is>
          <t>Reschedule</t>
        </is>
      </c>
      <c r="BH184" t="inlineStr">
        <is>
          <t>Reagen</t>
        </is>
      </c>
      <c r="BI184"/>
      <c r="BJ184" s="4">
        <v>46144.7524537037</v>
      </c>
      <c r="BK184" s="4">
        <v>45804.74606481481</v>
      </c>
      <c r="BL184" t="inlineStr">
        <is>
          <t>3024.0</t>
        </is>
      </c>
      <c r="BM184" t="inlineStr">
        <is>
          <t>0.0</t>
        </is>
      </c>
      <c r="BN184" t="inlineStr">
        <is>
          <t>View Jobmanager Page</t>
        </is>
      </c>
      <c r="BO184" s="4">
        <v>46094.568090277775</v>
      </c>
      <c r="BP184">
        <v>169488</v>
      </c>
      <c r="BQ184">
        <v>6983</v>
      </c>
      <c r="BR184" t="inlineStr">
        <is>
          <t>Manual (Paid)</t>
        </is>
      </c>
      <c r="BS184" t="inlineStr">
        <is>
          <t>A La Carte AI Job Ad Plus
- JobAI by AJobThing
- A La Carte AI Job Ad Plus
- A la carte for 1 AI Job Ad
- 1 AI Job Ad will be published on Maukerja, Ricebowl and our partner platforms
- 1 AI Job Ad will be published for 45 days
- 1 Booster Plus (8 times bump up)
- 5 Free Candidate Profiles
- 5 Free Unlock Profiles
- Package valid for 1 month
- AI Capability
- AI Instant Match for 30 profiles
- AI Daily Talent Recommendation for 2 profiles daily
- AI "Open to Work" Detector for 2 profiles
- AI Smart Filter
- AI Post Job Assistant
- AI Pre-Call Notifier
- Ajobthing CARE
- Christmas PWP: Second Al Job Ad Plus at 50% Discount
- Promo valid until 30 Dec 2025</t>
        </is>
      </c>
      <c r="BT184">
        <v>6983</v>
      </c>
      <c r="BU184"/>
      <c r="BV184">
        <v>2735161</v>
      </c>
      <c r="BW184" t="inlineStr">
        <is>
          <t>Customer Inquiry</t>
        </is>
      </c>
      <c r="BX184"/>
      <c r="BY184"/>
      <c r="BZ184" s="4"/>
      <c r="CA184"/>
      <c r="CB184"/>
      <c r="CC184" s="4"/>
      <c r="CD184" t="inlineStr">
        <is>
          <t>20</t>
        </is>
      </c>
      <c r="CE184" t="inlineStr">
        <is>
          <t>0</t>
        </is>
      </c>
      <c r="CF184" t="inlineStr">
        <is>
          <t>Q2-W04</t>
        </is>
      </c>
      <c r="CG184"/>
      <c r="CH184"/>
      <c r="CI184"/>
      <c r="CJ184" t="inlineStr">
        <is>
          <t>Paid</t>
        </is>
      </c>
      <c r="CK184" t="inlineStr">
        <is>
          <t>Not Eligible</t>
        </is>
      </c>
      <c r="CL184"/>
      <c r="CM184"/>
    </row>
    <row r="185" ht="25.5" customHeight="1">
      <c r="A185" t="inlineStr">
        <is>
          <t>176287</t>
        </is>
      </c>
      <c r="B185" s="2"/>
      <c r="C185"/>
      <c r="D185" s="3">
        <v>46141.58194444444</v>
      </c>
      <c r="E185" t="inlineStr">
        <is>
          <t>Q2-W04</t>
        </is>
      </c>
      <c r="F185" t="inlineStr">
        <is>
          <t>Jeff Lee</t>
        </is>
      </c>
      <c r="G185" t="inlineStr">
        <is>
          <t>Customer</t>
        </is>
      </c>
      <c r="H185" s="2" t="str">
        <f>=HYPERLINK("https://upbox.ajobthing.my/customer/176287", "https://upbox.ajobthing.my/customer/176287")</f>
        <v>https://upbox.ajobthing.my/customer/176287</v>
      </c>
      <c r="I185" t="inlineStr">
        <is>
          <t>Plantex Products Sdn Bhd</t>
        </is>
      </c>
      <c r="J185" t="inlineStr">
        <is>
          <t>Dolphin</t>
        </is>
      </c>
      <c r="K185" t="inlineStr">
        <is>
          <t>Jeff Lee</t>
        </is>
      </c>
      <c r="L185" s="4"/>
      <c r="M185" s="4">
        <v>46141.57969907407</v>
      </c>
      <c r="N185"/>
      <c r="O185">
        <v>6048</v>
      </c>
      <c r="P185" s="4"/>
      <c r="Q185" s="4">
        <v>45399.58131944444</v>
      </c>
      <c r="R185"/>
      <c r="S185">
        <v>0</v>
      </c>
      <c r="T185" s="4">
        <v>45364.00001157408</v>
      </c>
      <c r="U185" s="4"/>
      <c r="V185"/>
      <c r="W185">
        <v>2916</v>
      </c>
      <c r="X185"/>
      <c r="Y185" t="inlineStr">
        <is>
          <t>Pending Appointment</t>
        </is>
      </c>
      <c r="Z185" t="inlineStr">
        <is>
          <t>Hiring Now</t>
        </is>
      </c>
      <c r="AA185">
        <v>3</v>
      </c>
      <c r="AB185" t="inlineStr">
        <is>
          <t>No Appointment Made</t>
        </is>
      </c>
      <c r="AC185"/>
      <c r="AD185" t="inlineStr">
        <is>
          <t xml:space="preserve">1 sales, 1 admin, 1 account assistant </t>
        </is>
      </c>
      <c r="AE185"/>
      <c r="AF185">
        <v>0</v>
      </c>
      <c r="AG185" s="4"/>
      <c r="AH185" s="4"/>
      <c r="AI185">
        <v>0</v>
      </c>
      <c r="AJ185">
        <v>0</v>
      </c>
      <c r="AK185" t="inlineStr">
        <is>
          <t>No, I don't need at all</t>
        </is>
      </c>
      <c r="AL185">
        <v>0</v>
      </c>
      <c r="AM185" t="inlineStr">
        <is>
          <t>No, I don't need at all</t>
        </is>
      </c>
      <c r="AN185"/>
      <c r="AO185" t="inlineStr">
        <is>
          <t>No, I don't need at all</t>
        </is>
      </c>
      <c r="AP185" t="inlineStr">
        <is>
          <t>Twice a year (50%)</t>
        </is>
      </c>
      <c r="AQ185">
        <v>3</v>
      </c>
      <c r="AR185" t="inlineStr">
        <is>
          <t>Free Job Portal</t>
        </is>
      </c>
      <c r="AS185" t="inlineStr">
        <is>
          <t>- Headcount: 3
- Hiring Job Details: 1 sales, 1 admin, 1 account assistant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Twice a year (50%)
- External job portal: Free Job Portal</t>
        </is>
      </c>
      <c r="AT185">
        <v>110</v>
      </c>
      <c r="AU185" t="inlineStr">
        <is>
          <t>1.10</t>
        </is>
      </c>
      <c r="AV185" t="inlineStr">
        <is>
          <t>15</t>
        </is>
      </c>
      <c r="AW185" t="inlineStr">
        <is>
          <t>0</t>
        </is>
      </c>
      <c r="AX185" t="inlineStr">
        <is>
          <t>Not Qualified</t>
        </is>
      </c>
      <c r="AY185" s="4"/>
      <c r="AZ185"/>
      <c r="BA185"/>
      <c r="BB185"/>
      <c r="BC185" t="inlineStr">
        <is>
          <t>- Headcount: 3
- Hiring Job Details: 1 sales, 1 admin, 1 account assistant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Twice a year (50%)
- External job portal: Free Job Portal</t>
        </is>
      </c>
      <c r="BD185" s="4">
        <v>46141.58335648148</v>
      </c>
      <c r="BE185" t="inlineStr">
        <is>
          <t>paid</t>
        </is>
      </c>
      <c r="BF185"/>
      <c r="BG185" t="inlineStr">
        <is>
          <t>Reschedule</t>
        </is>
      </c>
      <c r="BH185" t="inlineStr">
        <is>
          <t>Yee Hang</t>
        </is>
      </c>
      <c r="BI185" t="inlineStr">
        <is>
          <t>General / Wholesale Trading</t>
        </is>
      </c>
      <c r="BJ185" s="4">
        <v>46144.75163194445</v>
      </c>
      <c r="BK185" s="4">
        <v>45363.42627314815</v>
      </c>
      <c r="BL185" t="inlineStr">
        <is>
          <t>0.0</t>
        </is>
      </c>
      <c r="BM185" t="inlineStr">
        <is>
          <t>0.0</t>
        </is>
      </c>
      <c r="BN185" t="inlineStr">
        <is>
          <t>View Jobmanager Page</t>
        </is>
      </c>
      <c r="BO185" s="4">
        <v>46044.534895833334</v>
      </c>
      <c r="BP185">
        <v>169489</v>
      </c>
      <c r="BQ185">
        <v>88581</v>
      </c>
      <c r="BR185" t="inlineStr">
        <is>
          <t>Proforma</t>
        </is>
      </c>
      <c r="BS185" t="inlineStr">
        <is>
          <t>SLG 10</t>
        </is>
      </c>
      <c r="BT185">
        <v>66860</v>
      </c>
      <c r="BU185"/>
      <c r="BV185">
        <v>2735162</v>
      </c>
      <c r="BW185" t="inlineStr">
        <is>
          <t>Customer Inquiry</t>
        </is>
      </c>
      <c r="BX185"/>
      <c r="BY185"/>
      <c r="BZ185" s="4"/>
      <c r="CA185"/>
      <c r="CB185"/>
      <c r="CC185" s="4"/>
      <c r="CD185" t="inlineStr">
        <is>
          <t>20</t>
        </is>
      </c>
      <c r="CE185" t="inlineStr">
        <is>
          <t>0</t>
        </is>
      </c>
      <c r="CF185" t="inlineStr">
        <is>
          <t>Q2-W04</t>
        </is>
      </c>
      <c r="CG185"/>
      <c r="CH185"/>
      <c r="CI185"/>
      <c r="CJ185" t="inlineStr">
        <is>
          <t>Paid</t>
        </is>
      </c>
      <c r="CK185" t="inlineStr">
        <is>
          <t>Not Eligible</t>
        </is>
      </c>
      <c r="CL185"/>
      <c r="CM185"/>
    </row>
    <row r="186" ht="25.5" customHeight="1">
      <c r="A186" t="inlineStr">
        <is>
          <t>30137</t>
        </is>
      </c>
      <c r="B186" s="2"/>
      <c r="C186"/>
      <c r="D186" s="3">
        <v>46141.588692129626</v>
      </c>
      <c r="E186" t="inlineStr">
        <is>
          <t>Q2-W04</t>
        </is>
      </c>
      <c r="F186" t="inlineStr">
        <is>
          <t>Jia Hui</t>
        </is>
      </c>
      <c r="G186" t="inlineStr">
        <is>
          <t>Customer</t>
        </is>
      </c>
      <c r="H186" s="2" t="str">
        <f>=HYPERLINK("https://upbox.ajobthing.my/customer/30137", "https://upbox.ajobthing.my/customer/30137")</f>
        <v>https://upbox.ajobthing.my/customer/30137</v>
      </c>
      <c r="I186" t="inlineStr">
        <is>
          <t>Ban Lee Guan Trading Sdn Bhd</t>
        </is>
      </c>
      <c r="J186" t="inlineStr">
        <is>
          <t>Dolphin</t>
        </is>
      </c>
      <c r="K186" t="inlineStr">
        <is>
          <t>Jia Hui</t>
        </is>
      </c>
      <c r="L186" s="4"/>
      <c r="M186" s="4">
        <v>46141.58886574074</v>
      </c>
      <c r="N186"/>
      <c r="O186">
        <v>6048</v>
      </c>
      <c r="P186" s="4"/>
      <c r="Q186" s="4">
        <v>43811.77912037037</v>
      </c>
      <c r="R186"/>
      <c r="S186">
        <v>12.72</v>
      </c>
      <c r="T186" s="4">
        <v>43811.77912037037</v>
      </c>
      <c r="U186" s="4"/>
      <c r="V186"/>
      <c r="W186">
        <v>12.72</v>
      </c>
      <c r="X186"/>
      <c r="Y186" t="inlineStr">
        <is>
          <t>Pending Appointment</t>
        </is>
      </c>
      <c r="Z186" t="inlineStr">
        <is>
          <t>Hiring Now</t>
        </is>
      </c>
      <c r="AA186">
        <v>2</v>
      </c>
      <c r="AB186" t="inlineStr">
        <is>
          <t>No Appointment Made</t>
        </is>
      </c>
      <c r="AC186"/>
      <c r="AD186" t="inlineStr">
        <is>
          <t>1 admin, 1 account</t>
        </is>
      </c>
      <c r="AE186"/>
      <c r="AF186">
        <v>500</v>
      </c>
      <c r="AG186" s="4"/>
      <c r="AH186" s="4"/>
      <c r="AI186"/>
      <c r="AJ186"/>
      <c r="AK186"/>
      <c r="AL186"/>
      <c r="AM186"/>
      <c r="AN186"/>
      <c r="AO186"/>
      <c r="AP186" t="inlineStr">
        <is>
          <t>Once a year (25%)</t>
        </is>
      </c>
      <c r="AQ186"/>
      <c r="AR186"/>
      <c r="AS186" t="inlineStr">
        <is>
          <t>- Headcount: 2
- Hiring Job Details: 1 admin, 1 account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86">
        <v>75</v>
      </c>
      <c r="AU186" t="inlineStr">
        <is>
          <t>0.75</t>
        </is>
      </c>
      <c r="AV186" t="inlineStr">
        <is>
          <t>15</t>
        </is>
      </c>
      <c r="AW186" t="inlineStr">
        <is>
          <t>0</t>
        </is>
      </c>
      <c r="AX186" t="inlineStr">
        <is>
          <t>Not Qualified</t>
        </is>
      </c>
      <c r="AY186" s="4"/>
      <c r="AZ186"/>
      <c r="BA186"/>
      <c r="BB186"/>
      <c r="BC186" t="inlineStr">
        <is>
          <t>- Headcount: 2
- Hiring Job Details: 1 admin, 1 account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BD186" s="4">
        <v>46141.62503472222</v>
      </c>
      <c r="BE186" t="inlineStr">
        <is>
          <t>paid</t>
        </is>
      </c>
      <c r="BF186"/>
      <c r="BG186" t="inlineStr">
        <is>
          <t>Reschedule</t>
        </is>
      </c>
      <c r="BH186" t="inlineStr">
        <is>
          <t>Reagen</t>
        </is>
      </c>
      <c r="BI186"/>
      <c r="BJ186" s="4">
        <v>46144.75454861111</v>
      </c>
      <c r="BK186" s="4">
        <v>42661.72309027778</v>
      </c>
      <c r="BL186" t="inlineStr">
        <is>
          <t>0.0</t>
        </is>
      </c>
      <c r="BM186" t="inlineStr">
        <is>
          <t>0.0</t>
        </is>
      </c>
      <c r="BN186" t="inlineStr">
        <is>
          <t>View Job Applicants Page</t>
        </is>
      </c>
      <c r="BO186" s="4">
        <v>44328.21732638889</v>
      </c>
      <c r="BP186">
        <v>169492</v>
      </c>
      <c r="BQ186">
        <v>22228</v>
      </c>
      <c r="BR186" t="inlineStr">
        <is>
          <t>Online</t>
        </is>
      </c>
      <c r="BS186"/>
      <c r="BT186">
        <v>22228</v>
      </c>
      <c r="BU186"/>
      <c r="BV186">
        <v>2735474</v>
      </c>
      <c r="BW186" t="inlineStr">
        <is>
          <t>Customer Inquiry</t>
        </is>
      </c>
      <c r="BX186"/>
      <c r="BY186"/>
      <c r="BZ186" s="4"/>
      <c r="CA186"/>
      <c r="CB186"/>
      <c r="CC186" s="4"/>
      <c r="CD186" t="inlineStr">
        <is>
          <t>20</t>
        </is>
      </c>
      <c r="CE186" t="inlineStr">
        <is>
          <t>0</t>
        </is>
      </c>
      <c r="CF186" t="inlineStr">
        <is>
          <t>Q2-W04</t>
        </is>
      </c>
      <c r="CG186"/>
      <c r="CH186"/>
      <c r="CI186"/>
      <c r="CJ186" t="inlineStr">
        <is>
          <t>Paid</t>
        </is>
      </c>
      <c r="CK186" t="inlineStr">
        <is>
          <t>Not Eligible</t>
        </is>
      </c>
      <c r="CL186"/>
      <c r="CM186"/>
    </row>
    <row r="187" ht="25.5" customHeight="1">
      <c r="A187" t="inlineStr">
        <is>
          <t>167756</t>
        </is>
      </c>
      <c r="B187" s="2"/>
      <c r="C187"/>
      <c r="D187" s="3">
        <v>46141.58917824074</v>
      </c>
      <c r="E187" t="inlineStr">
        <is>
          <t>Q2-W04</t>
        </is>
      </c>
      <c r="F187" t="inlineStr">
        <is>
          <t>Alan KY</t>
        </is>
      </c>
      <c r="G187" t="inlineStr">
        <is>
          <t>Customer</t>
        </is>
      </c>
      <c r="H187" s="2" t="str">
        <f>=HYPERLINK("https://upbox.ajobthing.my/customer/167756", "https://upbox.ajobthing.my/customer/167756")</f>
        <v>https://upbox.ajobthing.my/customer/167756</v>
      </c>
      <c r="I187" t="inlineStr">
        <is>
          <t>We Glory Trading</t>
        </is>
      </c>
      <c r="J187" t="inlineStr">
        <is>
          <t>Dolphin</t>
        </is>
      </c>
      <c r="K187" t="inlineStr">
        <is>
          <t>Alan KY</t>
        </is>
      </c>
      <c r="L187" s="4"/>
      <c r="M187" s="4">
        <v>46141.5903587963</v>
      </c>
      <c r="N187"/>
      <c r="O187">
        <v>4656.96</v>
      </c>
      <c r="P187" s="4"/>
      <c r="Q187" s="4">
        <v>46142.64502314815</v>
      </c>
      <c r="R187"/>
      <c r="S187">
        <v>4656.96</v>
      </c>
      <c r="T187" s="4">
        <v>46142.64502314815</v>
      </c>
      <c r="U187" s="4"/>
      <c r="V187"/>
      <c r="W187">
        <v>4656.96</v>
      </c>
      <c r="X187"/>
      <c r="Y187" t="inlineStr">
        <is>
          <t>Pending Appointment</t>
        </is>
      </c>
      <c r="Z187" t="inlineStr">
        <is>
          <t>Continuous Hiring</t>
        </is>
      </c>
      <c r="AA187">
        <v>8</v>
      </c>
      <c r="AB187" t="inlineStr">
        <is>
          <t>No Appointment Made</t>
        </is>
      </c>
      <c r="AC187"/>
      <c r="AD187" t="inlineStr">
        <is>
          <t xml:space="preserve">8 telesales - based in KL </t>
        </is>
      </c>
      <c r="AE187"/>
      <c r="AF187"/>
      <c r="AG187" s="4"/>
      <c r="AH187" s="4"/>
      <c r="AI187"/>
      <c r="AJ187">
        <v>1</v>
      </c>
      <c r="AK187" t="inlineStr">
        <is>
          <t>No, I don't need at all</t>
        </is>
      </c>
      <c r="AL187"/>
      <c r="AM187" t="inlineStr">
        <is>
          <t>No, I don't need at all</t>
        </is>
      </c>
      <c r="AN187"/>
      <c r="AO187" t="inlineStr">
        <is>
          <t>No, I don't need at all</t>
        </is>
      </c>
      <c r="AP187" t="inlineStr">
        <is>
          <t>Every month (100%)</t>
        </is>
      </c>
      <c r="AQ187"/>
      <c r="AR187" t="inlineStr">
        <is>
          <t>Jobstreet</t>
        </is>
      </c>
      <c r="AS187" t="inlineStr">
        <is>
          <t>- Headcount: 8
- Hiring Job Details: 8 telesales - based in KL
- Hiring Urgency: Continuous Hiring
- Number of outlets: 1
- Have recruiter team: No, I don't need at all
- Number of recruiter in company: None
- Have ATS system: No, I don't need at all
- Have career website: No, I don't need at all
- Current hiring budget: None
- Whole year budget: None
- Whole year number of vacancies: None
- Hiring frequency: Every month (100%)
- External job portal: Jobstreet</t>
        </is>
      </c>
      <c r="AT187">
        <v>95</v>
      </c>
      <c r="AU187" t="inlineStr">
        <is>
          <t>0.95</t>
        </is>
      </c>
      <c r="AV187" t="inlineStr">
        <is>
          <t>10</t>
        </is>
      </c>
      <c r="AW187" t="inlineStr">
        <is>
          <t>0</t>
        </is>
      </c>
      <c r="AX187" t="inlineStr">
        <is>
          <t>Not Qualified</t>
        </is>
      </c>
      <c r="AY187" s="4"/>
      <c r="AZ187"/>
      <c r="BA187"/>
      <c r="BB187"/>
      <c r="BC187" t="inlineStr">
        <is>
          <t>Guide and follow up on payment &amp; verification</t>
        </is>
      </c>
      <c r="BD187" s="4">
        <v>46142.46208333333</v>
      </c>
      <c r="BE187" t="inlineStr">
        <is>
          <t>paid</t>
        </is>
      </c>
      <c r="BF187" t="inlineStr">
        <is>
          <t>Q2-W04</t>
        </is>
      </c>
      <c r="BG187" t="inlineStr">
        <is>
          <t>Reschedule</t>
        </is>
      </c>
      <c r="BH187" t="inlineStr">
        <is>
          <t>Reagen</t>
        </is>
      </c>
      <c r="BI187"/>
      <c r="BJ187" s="4">
        <v>46144.75131944445</v>
      </c>
      <c r="BK187" s="4">
        <v>45084.41611111111</v>
      </c>
      <c r="BL187" t="inlineStr">
        <is>
          <t>4656.96</t>
        </is>
      </c>
      <c r="BM187" t="inlineStr">
        <is>
          <t>0.0</t>
        </is>
      </c>
      <c r="BN187" t="inlineStr">
        <is>
          <t>User Visit(Logged In)</t>
        </is>
      </c>
      <c r="BO187" s="4">
        <v>46142.75387731481</v>
      </c>
      <c r="BP187">
        <v>169494</v>
      </c>
      <c r="BQ187">
        <v>95209</v>
      </c>
      <c r="BR187" t="inlineStr">
        <is>
          <t>Online</t>
        </is>
      </c>
      <c r="BS187"/>
      <c r="BT187">
        <v>95209</v>
      </c>
      <c r="BU187"/>
      <c r="BV187">
        <v>2737003</v>
      </c>
      <c r="BW187" t="inlineStr">
        <is>
          <t>Follow Up : Payment Pending</t>
        </is>
      </c>
      <c r="BX187">
        <v>1</v>
      </c>
      <c r="BY187">
        <v>1</v>
      </c>
      <c r="BZ187" s="4"/>
      <c r="CA187"/>
      <c r="CB187"/>
      <c r="CC187" s="4"/>
      <c r="CD187" t="inlineStr">
        <is>
          <t>15</t>
        </is>
      </c>
      <c r="CE187" t="inlineStr">
        <is>
          <t>0</t>
        </is>
      </c>
      <c r="CF187" t="inlineStr">
        <is>
          <t>Q2-W04</t>
        </is>
      </c>
      <c r="CG187" t="inlineStr">
        <is>
          <t>Q2-W04</t>
        </is>
      </c>
      <c r="CH187" t="inlineStr">
        <is>
          <t>Q2-W04</t>
        </is>
      </c>
      <c r="CI187"/>
      <c r="CJ187" t="inlineStr">
        <is>
          <t>Paid</t>
        </is>
      </c>
      <c r="CK187" t="inlineStr">
        <is>
          <t>Eligible</t>
        </is>
      </c>
      <c r="CL187"/>
      <c r="CM187"/>
    </row>
    <row r="188" ht="25.5" customHeight="1">
      <c r="A188" t="inlineStr">
        <is>
          <t>196447</t>
        </is>
      </c>
      <c r="B188" s="2"/>
      <c r="C188"/>
      <c r="D188" s="3">
        <v>46141.5909375</v>
      </c>
      <c r="E188" t="inlineStr">
        <is>
          <t>Q2-W04</t>
        </is>
      </c>
      <c r="F188" t="inlineStr">
        <is>
          <t>Ken Yi</t>
        </is>
      </c>
      <c r="G188" t="inlineStr">
        <is>
          <t>Customer</t>
        </is>
      </c>
      <c r="H188" s="2" t="str">
        <f>=HYPERLINK("https://upbox.ajobthing.my/customer/196447", "https://upbox.ajobthing.my/customer/196447")</f>
        <v>https://upbox.ajobthing.my/customer/196447</v>
      </c>
      <c r="I188" t="inlineStr">
        <is>
          <t>Work Finder Enterprise</t>
        </is>
      </c>
      <c r="J188" t="inlineStr">
        <is>
          <t>Dolphin</t>
        </is>
      </c>
      <c r="K188" t="inlineStr">
        <is>
          <t>Kenyi</t>
        </is>
      </c>
      <c r="L188" s="4"/>
      <c r="M188" s="4">
        <v>46141.59799768519</v>
      </c>
      <c r="N188"/>
      <c r="O188">
        <v>3576.96</v>
      </c>
      <c r="P188" s="4"/>
      <c r="Q188" s="4">
        <v>45946.425787037035</v>
      </c>
      <c r="R188"/>
      <c r="S188">
        <v>3564</v>
      </c>
      <c r="T188" s="4">
        <v>45946.425787037035</v>
      </c>
      <c r="U188" s="4"/>
      <c r="V188"/>
      <c r="W188">
        <v>3564</v>
      </c>
      <c r="X188"/>
      <c r="Y188" t="inlineStr">
        <is>
          <t>Pending Appointment</t>
        </is>
      </c>
      <c r="Z188" t="inlineStr">
        <is>
          <t>Hiring Now</t>
        </is>
      </c>
      <c r="AA188">
        <v>1</v>
      </c>
      <c r="AB188" t="inlineStr">
        <is>
          <t>No Appointment Made</t>
        </is>
      </c>
      <c r="AC188"/>
      <c r="AD188" t="inlineStr">
        <is>
          <t>1</t>
        </is>
      </c>
      <c r="AE188"/>
      <c r="AF188">
        <v>3672</v>
      </c>
      <c r="AG188" s="4"/>
      <c r="AH188" s="4"/>
      <c r="AI188">
        <v>0</v>
      </c>
      <c r="AJ188">
        <v>1</v>
      </c>
      <c r="AK188" t="inlineStr">
        <is>
          <t>Yes, I have</t>
        </is>
      </c>
      <c r="AL188">
        <v>0</v>
      </c>
      <c r="AM188" t="inlineStr">
        <is>
          <t>No, I don't need at all</t>
        </is>
      </c>
      <c r="AN188"/>
      <c r="AO188" t="inlineStr">
        <is>
          <t>No, I don't need at all</t>
        </is>
      </c>
      <c r="AP188" t="inlineStr">
        <is>
          <t>Every month (100%)</t>
        </is>
      </c>
      <c r="AQ188">
        <v>1</v>
      </c>
      <c r="AR188" t="inlineStr">
        <is>
          <t>Did not use any job portal</t>
        </is>
      </c>
      <c r="AS188" t="inlineStr">
        <is>
          <t>- Headcount: 1
- Hiring Job Details: 1
- Hiring Urgency: Hiring Now
- Number of outlets: 1
- Have recruiter team: Yes, I have
- Number of recruiter in company: 0
- Have ATS system: No, I don't need at all
- Have career website: No, I don't need at all
- Current hiring budget: RM3,672
- Whole year budget: RM0.00
- Whole year number of vacancies: 1
- Hiring frequency: Every month (100%)
- External job portal: Did not use any job portal</t>
        </is>
      </c>
      <c r="AT188">
        <v>85</v>
      </c>
      <c r="AU188" t="inlineStr">
        <is>
          <t>0.85</t>
        </is>
      </c>
      <c r="AV188" t="inlineStr">
        <is>
          <t>15</t>
        </is>
      </c>
      <c r="AW188" t="inlineStr">
        <is>
          <t>0</t>
        </is>
      </c>
      <c r="AX188" t="inlineStr">
        <is>
          <t>Not Qualified</t>
        </is>
      </c>
      <c r="AY188" s="4"/>
      <c r="AZ188"/>
      <c r="BA188"/>
      <c r="BB188"/>
      <c r="BC188" t="inlineStr">
        <is>
          <t>- Headcount: 1
- Hiring Job Details: 1
- Hiring Urgency: Hiring Now
- Number of outlets: 1
- Have recruiter team: Yes, I have
- Number of recruiter in company: 0
- Have ATS system: No, I don't need at all
- Have career website: No, I don't need at all
- Current hiring budget: RM3,672
- Whole year budget: RM0.00
- Whole year number of vacancies: 1
- Hiring frequency: Every month (100%)
- External job portal: Did not use any job portal</t>
        </is>
      </c>
      <c r="BD188" s="4">
        <v>46141.62503472222</v>
      </c>
      <c r="BE188" t="inlineStr">
        <is>
          <t>paid</t>
        </is>
      </c>
      <c r="BF188"/>
      <c r="BG188" t="inlineStr">
        <is>
          <t>Reschedule</t>
        </is>
      </c>
      <c r="BH188" t="inlineStr">
        <is>
          <t>Fauziah Maharan</t>
        </is>
      </c>
      <c r="BI188" t="inlineStr">
        <is>
          <t>Other industries</t>
        </is>
      </c>
      <c r="BJ188" s="4">
        <v>46144.75283564815</v>
      </c>
      <c r="BK188" s="4">
        <v>45923.728125</v>
      </c>
      <c r="BL188" t="inlineStr">
        <is>
          <t>3564.0</t>
        </is>
      </c>
      <c r="BM188" t="inlineStr">
        <is>
          <t>1200.0</t>
        </is>
      </c>
      <c r="BN188" t="inlineStr">
        <is>
          <t>View Company Page</t>
        </is>
      </c>
      <c r="BO188" s="4">
        <v>46141.57846064815</v>
      </c>
      <c r="BP188">
        <v>169501</v>
      </c>
      <c r="BQ188">
        <v>6554</v>
      </c>
      <c r="BR188" t="inlineStr">
        <is>
          <t>Manual (Paid)</t>
        </is>
      </c>
      <c r="BS188" t="inlineStr">
        <is>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Package valid for 1 year
- AI Capability for each AI Job Ad
- AI Instant Match for 30 profiles
- AI Daily Talent Recommendation for 2 profiles daily
- AI "Open to Work" Detector for 2 profiles
- AI Smart Filter
- AI Post Job Assistant
- AI Pre-Call Notifier
- Ajobthing CARE</t>
        </is>
      </c>
      <c r="BT188">
        <v>6554</v>
      </c>
      <c r="BU188"/>
      <c r="BV188">
        <v>2735477</v>
      </c>
      <c r="BW188" t="inlineStr">
        <is>
          <t>Customer Inquiry</t>
        </is>
      </c>
      <c r="BX188">
        <v>6</v>
      </c>
      <c r="BY188">
        <v>0</v>
      </c>
      <c r="BZ188" s="4">
        <v>46117.88837962963</v>
      </c>
      <c r="CA188">
        <v>60</v>
      </c>
      <c r="CB188">
        <v>57</v>
      </c>
      <c r="CC188" s="4">
        <v>45950.677511574075</v>
      </c>
      <c r="CD188" t="inlineStr">
        <is>
          <t>20</t>
        </is>
      </c>
      <c r="CE188" t="inlineStr">
        <is>
          <t>0</t>
        </is>
      </c>
      <c r="CF188" t="inlineStr">
        <is>
          <t>Q2-W04</t>
        </is>
      </c>
      <c r="CG188"/>
      <c r="CH188"/>
      <c r="CI188"/>
      <c r="CJ188" t="inlineStr">
        <is>
          <t>Paid</t>
        </is>
      </c>
      <c r="CK188" t="inlineStr">
        <is>
          <t>Not Eligible</t>
        </is>
      </c>
      <c r="CL188"/>
      <c r="CM188"/>
    </row>
    <row r="189" ht="25.5" customHeight="1">
      <c r="A189" t="inlineStr">
        <is>
          <t>194319</t>
        </is>
      </c>
      <c r="B189" s="2"/>
      <c r="C189"/>
      <c r="D189" s="3">
        <v>46141.59725694444</v>
      </c>
      <c r="E189" t="inlineStr">
        <is>
          <t>Q2-W04</t>
        </is>
      </c>
      <c r="F189" t="inlineStr">
        <is>
          <t>Chia Yee</t>
        </is>
      </c>
      <c r="G189" t="inlineStr">
        <is>
          <t>Customer</t>
        </is>
      </c>
      <c r="H189" s="2" t="str">
        <f>=HYPERLINK("https://upbox.ajobthing.my/customer/194319", "https://upbox.ajobthing.my/customer/194319")</f>
        <v>https://upbox.ajobthing.my/customer/194319</v>
      </c>
      <c r="I189" t="inlineStr">
        <is>
          <t>Enable Consulting Sdn Bhd</t>
        </is>
      </c>
      <c r="J189" t="inlineStr">
        <is>
          <t>Dolphin</t>
        </is>
      </c>
      <c r="K189" t="inlineStr">
        <is>
          <t>Chia Yee</t>
        </is>
      </c>
      <c r="L189" s="4"/>
      <c r="M189" s="4">
        <v>46141.59710648148</v>
      </c>
      <c r="N189"/>
      <c r="O189">
        <v>5412.96</v>
      </c>
      <c r="P189" s="4"/>
      <c r="Q189" s="4"/>
      <c r="R189"/>
      <c r="S189"/>
      <c r="T189" s="4"/>
      <c r="U189" s="4"/>
      <c r="V189"/>
      <c r="W189"/>
      <c r="X189"/>
      <c r="Y189" t="inlineStr">
        <is>
          <t>Pending Appointment</t>
        </is>
      </c>
      <c r="Z189" t="inlineStr">
        <is>
          <t>Hiring Now</t>
        </is>
      </c>
      <c r="AA189">
        <v>2</v>
      </c>
      <c r="AB189" t="inlineStr">
        <is>
          <t>No Appointment Made</t>
        </is>
      </c>
      <c r="AC189"/>
      <c r="AD189" t="inlineStr">
        <is>
          <t>1 Training Sales Specialist, 1 Manager</t>
        </is>
      </c>
      <c r="AE189"/>
      <c r="AF189">
        <v>0</v>
      </c>
      <c r="AG189" s="4"/>
      <c r="AH189" s="4"/>
      <c r="AI189">
        <v>0</v>
      </c>
      <c r="AJ189">
        <v>1</v>
      </c>
      <c r="AK189" t="inlineStr">
        <is>
          <t>No, I don't need at all</t>
        </is>
      </c>
      <c r="AL189">
        <v>1</v>
      </c>
      <c r="AM189" t="inlineStr">
        <is>
          <t>No, I don't need at all</t>
        </is>
      </c>
      <c r="AN189"/>
      <c r="AO189" t="inlineStr">
        <is>
          <t>No, I don't need at all</t>
        </is>
      </c>
      <c r="AP189" t="inlineStr">
        <is>
          <t>Once a year (25%)</t>
        </is>
      </c>
      <c r="AQ189">
        <v>2</v>
      </c>
      <c r="AR189" t="inlineStr">
        <is>
          <t>Did not use any job portal</t>
        </is>
      </c>
      <c r="AS189" t="inlineStr">
        <is>
          <t>- Headcount: 2
- Hiring Job Details: 1 Training Sales Specialist, 1 Manager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189">
        <v>105</v>
      </c>
      <c r="AU189" t="inlineStr">
        <is>
          <t>1.05</t>
        </is>
      </c>
      <c r="AV189" t="inlineStr">
        <is>
          <t>15</t>
        </is>
      </c>
      <c r="AW189" t="inlineStr">
        <is>
          <t>0</t>
        </is>
      </c>
      <c r="AX189" t="inlineStr">
        <is>
          <t>Not Qualified</t>
        </is>
      </c>
      <c r="AY189" s="4"/>
      <c r="AZ189"/>
      <c r="BA189"/>
      <c r="BB189"/>
      <c r="BC189" t="inlineStr">
        <is>
          <t>WA</t>
        </is>
      </c>
      <c r="BD189" s="4">
        <v>46142.472650462965</v>
      </c>
      <c r="BE189"/>
      <c r="BF189"/>
      <c r="BG189" t="inlineStr">
        <is>
          <t>Reschedule</t>
        </is>
      </c>
      <c r="BH189" t="inlineStr">
        <is>
          <t>Reagen</t>
        </is>
      </c>
      <c r="BI189"/>
      <c r="BJ189" s="4">
        <v>46144.75269675926</v>
      </c>
      <c r="BK189" s="4">
        <v>45866.76123842593</v>
      </c>
      <c r="BL189" t="inlineStr">
        <is>
          <t>0.0</t>
        </is>
      </c>
      <c r="BM189" t="inlineStr">
        <is>
          <t>1200.0</t>
        </is>
      </c>
      <c r="BN189" t="inlineStr">
        <is>
          <t>View Company Page</t>
        </is>
      </c>
      <c r="BO189" s="4">
        <v>45889.46365740741</v>
      </c>
      <c r="BP189">
        <v>169500</v>
      </c>
      <c r="BQ189"/>
      <c r="BR189"/>
      <c r="BS189"/>
      <c r="BT189"/>
      <c r="BU189"/>
      <c r="BV189">
        <v>2737116</v>
      </c>
      <c r="BW189" t="inlineStr">
        <is>
          <t>No Answer : Voicemail - WA sent to customer</t>
        </is>
      </c>
      <c r="BX189"/>
      <c r="BY189"/>
      <c r="BZ189" s="4"/>
      <c r="CA189"/>
      <c r="CB189"/>
      <c r="CC189" s="4"/>
      <c r="CD189" t="inlineStr">
        <is>
          <t>20</t>
        </is>
      </c>
      <c r="CE189" t="inlineStr">
        <is>
          <t>0</t>
        </is>
      </c>
      <c r="CF189" t="inlineStr">
        <is>
          <t>Q2-W04</t>
        </is>
      </c>
      <c r="CG189"/>
      <c r="CH189"/>
      <c r="CI189"/>
      <c r="CJ189" t="inlineStr">
        <is>
          <t>No Paid</t>
        </is>
      </c>
      <c r="CK189" t="inlineStr">
        <is>
          <t>Not Eligible</t>
        </is>
      </c>
      <c r="CL189"/>
      <c r="CM189"/>
    </row>
    <row r="190" ht="25.5" customHeight="1">
      <c r="A190" t="inlineStr">
        <is>
          <t>203791</t>
        </is>
      </c>
      <c r="B190" s="2"/>
      <c r="C190"/>
      <c r="D190" s="3">
        <v>46141.59763888889</v>
      </c>
      <c r="E190" t="inlineStr">
        <is>
          <t>Q2-W04</t>
        </is>
      </c>
      <c r="F190" t="inlineStr">
        <is>
          <t>Keegan</t>
        </is>
      </c>
      <c r="G190" t="inlineStr">
        <is>
          <t>Customer</t>
        </is>
      </c>
      <c r="H190" s="2" t="str">
        <f>=HYPERLINK("https://upbox.ajobthing.my/customer/203791", "https://upbox.ajobthing.my/customer/203791")</f>
        <v>https://upbox.ajobthing.my/customer/203791</v>
      </c>
      <c r="I190" t="inlineStr">
        <is>
          <t xml:space="preserve">Avernir Dynamics Sdn Bhd </t>
        </is>
      </c>
      <c r="J190" t="inlineStr">
        <is>
          <t>Dolphin</t>
        </is>
      </c>
      <c r="K190" t="inlineStr">
        <is>
          <t>Keegan</t>
        </is>
      </c>
      <c r="L190" s="4"/>
      <c r="M190" s="4">
        <v>46141.59814814815</v>
      </c>
      <c r="N190"/>
      <c r="O190">
        <v>3576.96</v>
      </c>
      <c r="P190" s="4"/>
      <c r="Q190" s="4"/>
      <c r="R190"/>
      <c r="S190"/>
      <c r="T190" s="4"/>
      <c r="U190" s="4"/>
      <c r="V190"/>
      <c r="W190"/>
      <c r="X190"/>
      <c r="Y190" t="inlineStr">
        <is>
          <t>Pending Appointment</t>
        </is>
      </c>
      <c r="Z190" t="inlineStr">
        <is>
          <t>Hiring Now</t>
        </is>
      </c>
      <c r="AA190">
        <v>1</v>
      </c>
      <c r="AB190" t="inlineStr">
        <is>
          <t>No Appointment Made</t>
        </is>
      </c>
      <c r="AC190"/>
      <c r="AD190" t="inlineStr">
        <is>
          <t xml:space="preserve">1. Admin </t>
        </is>
      </c>
      <c r="AE190"/>
      <c r="AF190"/>
      <c r="AG190" s="4"/>
      <c r="AH190" s="4"/>
      <c r="AI190"/>
      <c r="AJ190">
        <v>1</v>
      </c>
      <c r="AK190" t="inlineStr">
        <is>
          <t>No, I don't need at all</t>
        </is>
      </c>
      <c r="AL190">
        <v>0</v>
      </c>
      <c r="AM190" t="inlineStr">
        <is>
          <t>No, I don't need at all</t>
        </is>
      </c>
      <c r="AN190"/>
      <c r="AO190" t="inlineStr">
        <is>
          <t>No, I don't need at all</t>
        </is>
      </c>
      <c r="AP190" t="inlineStr">
        <is>
          <t>Once per quarter (75%)</t>
        </is>
      </c>
      <c r="AQ190"/>
      <c r="AR190" t="inlineStr">
        <is>
          <t>Did not use any job portal</t>
        </is>
      </c>
      <c r="AS190"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90">
        <v>95</v>
      </c>
      <c r="AU190" t="inlineStr">
        <is>
          <t>0.95</t>
        </is>
      </c>
      <c r="AV190" t="inlineStr">
        <is>
          <t>5</t>
        </is>
      </c>
      <c r="AW190" t="inlineStr">
        <is>
          <t>0</t>
        </is>
      </c>
      <c r="AX190" t="inlineStr">
        <is>
          <t>Not Qualified</t>
        </is>
      </c>
      <c r="AY190" s="4"/>
      <c r="AZ190"/>
      <c r="BA190"/>
      <c r="BB190"/>
      <c r="BC190"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90" s="4">
        <v>46141.62503472222</v>
      </c>
      <c r="BE190"/>
      <c r="BF190"/>
      <c r="BG190" t="inlineStr">
        <is>
          <t>Reschedule</t>
        </is>
      </c>
      <c r="BH190" t="inlineStr">
        <is>
          <t>Edward Hoo</t>
        </is>
      </c>
      <c r="BI190"/>
      <c r="BJ190" s="4">
        <v>46144.75438657407</v>
      </c>
      <c r="BK190" s="4">
        <v>46141.583136574074</v>
      </c>
      <c r="BL190" t="inlineStr">
        <is>
          <t>0.0</t>
        </is>
      </c>
      <c r="BM190" t="inlineStr">
        <is>
          <t>0.0</t>
        </is>
      </c>
      <c r="BN190" t="inlineStr">
        <is>
          <t>View Company Page</t>
        </is>
      </c>
      <c r="BO190" s="4">
        <v>46142.661875</v>
      </c>
      <c r="BP190">
        <v>169502</v>
      </c>
      <c r="BQ190"/>
      <c r="BR190"/>
      <c r="BS190"/>
      <c r="BT190"/>
      <c r="BU190"/>
      <c r="BV190">
        <v>2735484</v>
      </c>
      <c r="BW190" t="inlineStr">
        <is>
          <t>Customer Inquiry</t>
        </is>
      </c>
      <c r="BX190"/>
      <c r="BY190"/>
      <c r="BZ190" s="4"/>
      <c r="CA190"/>
      <c r="CB190"/>
      <c r="CC190" s="4"/>
      <c r="CD190" t="inlineStr">
        <is>
          <t>5</t>
        </is>
      </c>
      <c r="CE190" t="inlineStr">
        <is>
          <t>0</t>
        </is>
      </c>
      <c r="CF190" t="inlineStr">
        <is>
          <t>Q2-W04</t>
        </is>
      </c>
      <c r="CG190"/>
      <c r="CH190"/>
      <c r="CI190"/>
      <c r="CJ190" t="inlineStr">
        <is>
          <t>No Paid</t>
        </is>
      </c>
      <c r="CK190" t="inlineStr">
        <is>
          <t>Not Eligible</t>
        </is>
      </c>
      <c r="CL190"/>
      <c r="CM190"/>
    </row>
    <row r="191" ht="25.5" customHeight="1">
      <c r="A191" t="inlineStr">
        <is>
          <t>175508</t>
        </is>
      </c>
      <c r="B191" s="2"/>
      <c r="C191"/>
      <c r="D191" s="3">
        <v>46141.603125</v>
      </c>
      <c r="E191" t="inlineStr">
        <is>
          <t>Q2-W04</t>
        </is>
      </c>
      <c r="F191" t="inlineStr">
        <is>
          <t>Ken Yi</t>
        </is>
      </c>
      <c r="G191" t="inlineStr">
        <is>
          <t>Customer</t>
        </is>
      </c>
      <c r="H191" s="2" t="str">
        <f>=HYPERLINK("https://upbox.ajobthing.my/customer/175508", "https://upbox.ajobthing.my/customer/175508")</f>
        <v>https://upbox.ajobthing.my/customer/175508</v>
      </c>
      <c r="I191" t="inlineStr">
        <is>
          <t>Glow Estates Sdn Bhd</t>
        </is>
      </c>
      <c r="J191" t="inlineStr">
        <is>
          <t>Dolphin</t>
        </is>
      </c>
      <c r="K191" t="inlineStr">
        <is>
          <t>Kenyi</t>
        </is>
      </c>
      <c r="L191" s="4"/>
      <c r="M191" s="4">
        <v>46141.60362268519</v>
      </c>
      <c r="N191"/>
      <c r="O191">
        <v>3576.96</v>
      </c>
      <c r="P191" s="4"/>
      <c r="Q191" s="4">
        <v>45344.71335648148</v>
      </c>
      <c r="R191"/>
      <c r="S191">
        <v>2862</v>
      </c>
      <c r="T191" s="4">
        <v>45343.00001157408</v>
      </c>
      <c r="U191" s="4"/>
      <c r="V191"/>
      <c r="W191">
        <v>2862</v>
      </c>
      <c r="X191"/>
      <c r="Y191" t="inlineStr">
        <is>
          <t>Pending Appointment</t>
        </is>
      </c>
      <c r="Z191" t="inlineStr">
        <is>
          <t>Hiring Now</t>
        </is>
      </c>
      <c r="AA191">
        <v>2</v>
      </c>
      <c r="AB191" t="inlineStr">
        <is>
          <t>No Appointment Made</t>
        </is>
      </c>
      <c r="AC191"/>
      <c r="AD191" t="inlineStr">
        <is>
          <t>Reshare promotion, real estate agent</t>
        </is>
      </c>
      <c r="AE191"/>
      <c r="AF191">
        <v>1</v>
      </c>
      <c r="AG191" s="4"/>
      <c r="AH191" s="4"/>
      <c r="AI191">
        <v>0</v>
      </c>
      <c r="AJ191">
        <v>1</v>
      </c>
      <c r="AK191" t="inlineStr">
        <is>
          <t>Yes, I have</t>
        </is>
      </c>
      <c r="AL191">
        <v>1</v>
      </c>
      <c r="AM191" t="inlineStr">
        <is>
          <t>No, I don't need at all</t>
        </is>
      </c>
      <c r="AN191"/>
      <c r="AO191" t="inlineStr">
        <is>
          <t>No, I don't need at all</t>
        </is>
      </c>
      <c r="AP191" t="inlineStr">
        <is>
          <t>Every month (100%)</t>
        </is>
      </c>
      <c r="AQ191">
        <v>1</v>
      </c>
      <c r="AR191" t="inlineStr">
        <is>
          <t>Did not use any job portal</t>
        </is>
      </c>
      <c r="AS191" t="inlineStr">
        <is>
          <t>- Headcount: 2
- Hiring Job Details: Reshare promotion, real estate agent
- Hiring Urgency: Hiring Now
- Number of outlets: 1
- Have recruiter team: Yes
- Number of recruiter in company: 1
- Have ATS system: No, I don't need at all
- Have career website: No, I don't need at all
- Current hiring budget: RM1.00
- Whole year budget: RM0.00
- Whole year number of vacancies: 1
- Hiring frequency: Every month (100%)
- External job portal: Did not use any job portal</t>
        </is>
      </c>
      <c r="AT191">
        <v>110</v>
      </c>
      <c r="AU191" t="inlineStr">
        <is>
          <t>1.10</t>
        </is>
      </c>
      <c r="AV191" t="inlineStr">
        <is>
          <t>15</t>
        </is>
      </c>
      <c r="AW191" t="inlineStr">
        <is>
          <t>0</t>
        </is>
      </c>
      <c r="AX191" t="inlineStr">
        <is>
          <t>Not Qualified</t>
        </is>
      </c>
      <c r="AY191" s="4"/>
      <c r="AZ191"/>
      <c r="BA191"/>
      <c r="BB191"/>
      <c r="BC191" t="inlineStr">
        <is>
          <t>- Headcount: 2
- Hiring Job Details: Reshare promotion, real estate agent
- Hiring Urgency: Hiring Now
- Number of outlets: 1
- Have recruiter team: Yes
- Number of recruiter in company: 1
- Have ATS system: No, I don't need at all
- Have career website: No, I don't need at all
- Current hiring budget: RM1.00
- Whole year budget: RM0.00
- Whole year number of vacancies: 1
- Hiring frequency: Every month (100%)
- External job portal: Did not use any job portal</t>
        </is>
      </c>
      <c r="BD191" s="4">
        <v>46141.62503472222</v>
      </c>
      <c r="BE191" t="inlineStr">
        <is>
          <t>paid</t>
        </is>
      </c>
      <c r="BF191"/>
      <c r="BG191" t="inlineStr">
        <is>
          <t>Reschedule</t>
        </is>
      </c>
      <c r="BH191" t="inlineStr">
        <is>
          <t>Fauziah Maharan</t>
        </is>
      </c>
      <c r="BI191" t="inlineStr">
        <is>
          <t>Property / Real Estate</t>
        </is>
      </c>
      <c r="BJ191" s="4">
        <v>46144.751608796294</v>
      </c>
      <c r="BK191" s="4">
        <v>45341.75362268519</v>
      </c>
      <c r="BL191" t="inlineStr">
        <is>
          <t>0.0</t>
        </is>
      </c>
      <c r="BM191" t="inlineStr">
        <is>
          <t>0.0</t>
        </is>
      </c>
      <c r="BN191" t="inlineStr">
        <is>
          <t>View Candidate Search Page</t>
        </is>
      </c>
      <c r="BO191" s="4">
        <v>46029.01253472222</v>
      </c>
      <c r="BP191">
        <v>169504</v>
      </c>
      <c r="BQ191">
        <v>86047</v>
      </c>
      <c r="BR191" t="inlineStr">
        <is>
          <t>Proforma</t>
        </is>
      </c>
      <c r="BS191" t="inlineStr">
        <is>
          <t>Yearly Standard Plan</t>
        </is>
      </c>
      <c r="BT191">
        <v>66151</v>
      </c>
      <c r="BU191"/>
      <c r="BV191">
        <v>2735486</v>
      </c>
      <c r="BW191" t="inlineStr">
        <is>
          <t>Customer Inquiry</t>
        </is>
      </c>
      <c r="BX191"/>
      <c r="BY191"/>
      <c r="BZ191" s="4"/>
      <c r="CA191"/>
      <c r="CB191"/>
      <c r="CC191" s="4"/>
      <c r="CD191" t="inlineStr">
        <is>
          <t>20</t>
        </is>
      </c>
      <c r="CE191" t="inlineStr">
        <is>
          <t>0</t>
        </is>
      </c>
      <c r="CF191" t="inlineStr">
        <is>
          <t>Q2-W04</t>
        </is>
      </c>
      <c r="CG191"/>
      <c r="CH191"/>
      <c r="CI191"/>
      <c r="CJ191" t="inlineStr">
        <is>
          <t>Paid</t>
        </is>
      </c>
      <c r="CK191" t="inlineStr">
        <is>
          <t>Not Eligible</t>
        </is>
      </c>
      <c r="CL191"/>
      <c r="CM191"/>
    </row>
    <row r="192" ht="25.5" customHeight="1">
      <c r="A192" t="inlineStr">
        <is>
          <t>46212</t>
        </is>
      </c>
      <c r="B192" s="2"/>
      <c r="C192"/>
      <c r="D192" s="3">
        <v>46141.609664351854</v>
      </c>
      <c r="E192" t="inlineStr">
        <is>
          <t>Q2-W04</t>
        </is>
      </c>
      <c r="F192" t="inlineStr">
        <is>
          <t>Lucas</t>
        </is>
      </c>
      <c r="G192" t="inlineStr">
        <is>
          <t>Customer</t>
        </is>
      </c>
      <c r="H192" s="2" t="str">
        <f>=HYPERLINK("https://upbox.ajobthing.my/customer/46212", "https://upbox.ajobthing.my/customer/46212")</f>
        <v>https://upbox.ajobthing.my/customer/46212</v>
      </c>
      <c r="I192" t="inlineStr">
        <is>
          <t>WSE Co</t>
        </is>
      </c>
      <c r="J192" t="inlineStr">
        <is>
          <t>Dolphin</t>
        </is>
      </c>
      <c r="K192" t="inlineStr">
        <is>
          <t>Lucas</t>
        </is>
      </c>
      <c r="L192" s="4"/>
      <c r="M192" s="4">
        <v>46141.60518518519</v>
      </c>
      <c r="N192"/>
      <c r="O192">
        <v>3576.96</v>
      </c>
      <c r="P192" s="4"/>
      <c r="Q192" s="4">
        <v>46142.81696759259</v>
      </c>
      <c r="R192"/>
      <c r="S192">
        <v>0</v>
      </c>
      <c r="T192" s="4">
        <v>44876.42381944445</v>
      </c>
      <c r="U192" s="4"/>
      <c r="V192"/>
      <c r="W192">
        <v>848</v>
      </c>
      <c r="X192"/>
      <c r="Y192" t="inlineStr">
        <is>
          <t>Pending Appointment</t>
        </is>
      </c>
      <c r="Z192" t="inlineStr">
        <is>
          <t>Hiring Now</t>
        </is>
      </c>
      <c r="AA192">
        <v>1</v>
      </c>
      <c r="AB192" t="inlineStr">
        <is>
          <t>No Appointment Made</t>
        </is>
      </c>
      <c r="AC192"/>
      <c r="AD192" t="inlineStr">
        <is>
          <t xml:space="preserve">1 account executive </t>
        </is>
      </c>
      <c r="AE192"/>
      <c r="AF192">
        <v>0</v>
      </c>
      <c r="AG192" s="4"/>
      <c r="AH192" s="4"/>
      <c r="AI192">
        <v>0</v>
      </c>
      <c r="AJ192">
        <v>0</v>
      </c>
      <c r="AK192" t="inlineStr">
        <is>
          <t>No, I don't need at all</t>
        </is>
      </c>
      <c r="AL192">
        <v>0</v>
      </c>
      <c r="AM192" t="inlineStr">
        <is>
          <t>No, I don't need at all</t>
        </is>
      </c>
      <c r="AN192"/>
      <c r="AO192" t="inlineStr">
        <is>
          <t>No, I don't need at all</t>
        </is>
      </c>
      <c r="AP192" t="inlineStr">
        <is>
          <t>Once a year (25%)</t>
        </is>
      </c>
      <c r="AQ192">
        <v>1</v>
      </c>
      <c r="AR192" t="inlineStr">
        <is>
          <t>Did not use any job portal</t>
        </is>
      </c>
      <c r="AS192" t="inlineStr">
        <is>
          <t>- Headcount: 1
- Hiring Job Details: 1 account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92">
        <v>110</v>
      </c>
      <c r="AU192" t="inlineStr">
        <is>
          <t>1.10</t>
        </is>
      </c>
      <c r="AV192" t="inlineStr">
        <is>
          <t>15</t>
        </is>
      </c>
      <c r="AW192" t="inlineStr">
        <is>
          <t>0</t>
        </is>
      </c>
      <c r="AX192" t="inlineStr">
        <is>
          <t>Not Qualified</t>
        </is>
      </c>
      <c r="AY192" s="4"/>
      <c r="AZ192"/>
      <c r="BA192"/>
      <c r="BB192"/>
      <c r="BC192" t="inlineStr">
        <is>
          <t>- Headcount: 1
- Hiring Job Details: 1 account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192" s="4">
        <v>46141.62503472222</v>
      </c>
      <c r="BE192" t="inlineStr">
        <is>
          <t>paid</t>
        </is>
      </c>
      <c r="BF192"/>
      <c r="BG192" t="inlineStr">
        <is>
          <t>Reschedule</t>
        </is>
      </c>
      <c r="BH192" t="inlineStr">
        <is>
          <t>Yee Hang</t>
        </is>
      </c>
      <c r="BI192" t="inlineStr">
        <is>
          <t>Accounting / Tax Services</t>
        </is>
      </c>
      <c r="BJ192" s="4">
        <v>46144.756006944444</v>
      </c>
      <c r="BK192" s="4">
        <v>43151.47363425926</v>
      </c>
      <c r="BL192" t="inlineStr">
        <is>
          <t>0.0</t>
        </is>
      </c>
      <c r="BM192" t="inlineStr">
        <is>
          <t>1200.0</t>
        </is>
      </c>
      <c r="BN192" t="inlineStr">
        <is>
          <t>PA Visit - Job Card</t>
        </is>
      </c>
      <c r="BO192" s="4">
        <v>46142.83028935185</v>
      </c>
      <c r="BP192">
        <v>169508</v>
      </c>
      <c r="BQ192">
        <v>124228</v>
      </c>
      <c r="BR192" t="inlineStr">
        <is>
          <t>Proforma</t>
        </is>
      </c>
      <c r="BS192" t="inlineStr">
        <is>
          <t>Free Freelance Job</t>
        </is>
      </c>
      <c r="BT192">
        <v>52540</v>
      </c>
      <c r="BU192"/>
      <c r="BV192">
        <v>2735488</v>
      </c>
      <c r="BW192" t="inlineStr">
        <is>
          <t>Customer Inquiry</t>
        </is>
      </c>
      <c r="BX192">
        <v>2</v>
      </c>
      <c r="BY192">
        <v>1</v>
      </c>
      <c r="BZ192" s="4">
        <v>46142.82974537037</v>
      </c>
      <c r="CA192"/>
      <c r="CB192"/>
      <c r="CC192" s="4"/>
      <c r="CD192" t="inlineStr">
        <is>
          <t>20</t>
        </is>
      </c>
      <c r="CE192" t="inlineStr">
        <is>
          <t>0</t>
        </is>
      </c>
      <c r="CF192" t="inlineStr">
        <is>
          <t>Q2-W04</t>
        </is>
      </c>
      <c r="CG192" t="inlineStr">
        <is>
          <t>Q2-W04</t>
        </is>
      </c>
      <c r="CH192"/>
      <c r="CI192"/>
      <c r="CJ192" t="inlineStr">
        <is>
          <t>Paid</t>
        </is>
      </c>
      <c r="CK192" t="inlineStr">
        <is>
          <t>Not Eligible</t>
        </is>
      </c>
      <c r="CL192"/>
      <c r="CM192"/>
    </row>
    <row r="193" ht="25.5" customHeight="1">
      <c r="A193" t="inlineStr">
        <is>
          <t>174244</t>
        </is>
      </c>
      <c r="B193" s="2"/>
      <c r="C193"/>
      <c r="D193" s="3">
        <v>46141.61413194444</v>
      </c>
      <c r="E193" t="inlineStr">
        <is>
          <t>Q2-W04</t>
        </is>
      </c>
      <c r="F193" t="inlineStr">
        <is>
          <t>Xin Hui</t>
        </is>
      </c>
      <c r="G193" t="inlineStr">
        <is>
          <t>Customer</t>
        </is>
      </c>
      <c r="H193" s="2" t="str">
        <f>=HYPERLINK("https://upbox.ajobthing.my/customer/174244", "https://upbox.ajobthing.my/customer/174244")</f>
        <v>https://upbox.ajobthing.my/customer/174244</v>
      </c>
      <c r="I193" t="inlineStr">
        <is>
          <t>Dahua Management Consulting (M) Sdn. Bhd.</t>
        </is>
      </c>
      <c r="J193" t="inlineStr">
        <is>
          <t>Dolphin</t>
        </is>
      </c>
      <c r="K193" t="inlineStr">
        <is>
          <t>Xin Hui</t>
        </is>
      </c>
      <c r="L193" s="4"/>
      <c r="M193" s="4">
        <v>46141.6084837963</v>
      </c>
      <c r="N193"/>
      <c r="O193">
        <v>5412.96</v>
      </c>
      <c r="P193" s="4"/>
      <c r="Q193" s="4"/>
      <c r="R193"/>
      <c r="S193"/>
      <c r="T193" s="4"/>
      <c r="U193" s="4"/>
      <c r="V193"/>
      <c r="W193"/>
      <c r="X193" t="inlineStr">
        <is>
          <t>Yee Hang</t>
        </is>
      </c>
      <c r="Y193" t="inlineStr">
        <is>
          <t>Pending Appointment</t>
        </is>
      </c>
      <c r="Z193" t="inlineStr">
        <is>
          <t>Hiring Now</t>
        </is>
      </c>
      <c r="AA193">
        <v>10</v>
      </c>
      <c r="AB193" t="inlineStr">
        <is>
          <t>Appointment Made</t>
        </is>
      </c>
      <c r="AC193" t="inlineStr">
        <is>
          <t>SME (&lt;50 employees)</t>
        </is>
      </c>
      <c r="AD193" t="inlineStr">
        <is>
          <t xml:space="preserve">Accountant lead, Account manager, Sales manager. 10 position </t>
        </is>
      </c>
      <c r="AE193" t="inlineStr">
        <is>
          <t>HR Director / Senior HR Lead</t>
        </is>
      </c>
      <c r="AF193"/>
      <c r="AG193" s="4">
        <v>46141.583333333336</v>
      </c>
      <c r="AH193" s="4">
        <v>46141.604166666664</v>
      </c>
      <c r="AI193"/>
      <c r="AJ193"/>
      <c r="AK193" t="inlineStr">
        <is>
          <t>No, I don't need at all</t>
        </is>
      </c>
      <c r="AL193"/>
      <c r="AM193" t="inlineStr">
        <is>
          <t>No, I don't need at all</t>
        </is>
      </c>
      <c r="AN193"/>
      <c r="AO193" t="inlineStr">
        <is>
          <t>No, I don't need at all</t>
        </is>
      </c>
      <c r="AP193" t="inlineStr">
        <is>
          <t>Once a year (25%)</t>
        </is>
      </c>
      <c r="AQ193"/>
      <c r="AR193" t="inlineStr">
        <is>
          <t>Jobstreet</t>
        </is>
      </c>
      <c r="AS193" t="inlineStr">
        <is>
          <t>- Headcount: 10
- Hiring Job Details: Accountant lead, Account manager, Sales manager (10 positions)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AT193">
        <v>85</v>
      </c>
      <c r="AU193" t="inlineStr">
        <is>
          <t>0.85</t>
        </is>
      </c>
      <c r="AV193" t="inlineStr">
        <is>
          <t>30</t>
        </is>
      </c>
      <c r="AW193" t="inlineStr">
        <is>
          <t>0</t>
        </is>
      </c>
      <c r="AX193" t="inlineStr">
        <is>
          <t>Not Qualified</t>
        </is>
      </c>
      <c r="AY193" s="4"/>
      <c r="AZ193"/>
      <c r="BA193"/>
      <c r="BB193"/>
      <c r="BC193" t="inlineStr">
        <is>
          <t>- Headcount: 10
- Hiring Job Details: Accountant lead, Account manager, Sales manager (10 positions)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BD193" s="4">
        <v>46141.62503472222</v>
      </c>
      <c r="BE193"/>
      <c r="BF193"/>
      <c r="BG193" t="inlineStr">
        <is>
          <t>Reschedule</t>
        </is>
      </c>
      <c r="BH193" t="inlineStr">
        <is>
          <t>Yee Hang</t>
        </is>
      </c>
      <c r="BI193" t="inlineStr">
        <is>
          <t>Accounting / Tax Services</t>
        </is>
      </c>
      <c r="BJ193" s="4">
        <v>46144.751550925925</v>
      </c>
      <c r="BK193" s="4">
        <v>45294.64263888889</v>
      </c>
      <c r="BL193" t="inlineStr">
        <is>
          <t>0.0</t>
        </is>
      </c>
      <c r="BM193" t="inlineStr">
        <is>
          <t>1200.0</t>
        </is>
      </c>
      <c r="BN193" t="inlineStr">
        <is>
          <t>View Account User</t>
        </is>
      </c>
      <c r="BO193" s="4">
        <v>46141.403495370374</v>
      </c>
      <c r="BP193">
        <v>169512</v>
      </c>
      <c r="BQ193"/>
      <c r="BR193"/>
      <c r="BS193"/>
      <c r="BT193"/>
      <c r="BU193"/>
      <c r="BV193">
        <v>2735493</v>
      </c>
      <c r="BW193" t="inlineStr">
        <is>
          <t>Customer Inquiry</t>
        </is>
      </c>
      <c r="BX193"/>
      <c r="BY193"/>
      <c r="BZ193" s="4"/>
      <c r="CA193"/>
      <c r="CB193"/>
      <c r="CC193" s="4"/>
      <c r="CD193" t="inlineStr">
        <is>
          <t>40</t>
        </is>
      </c>
      <c r="CE193" t="inlineStr">
        <is>
          <t>0</t>
        </is>
      </c>
      <c r="CF193" t="inlineStr">
        <is>
          <t>Q2-W04</t>
        </is>
      </c>
      <c r="CG193"/>
      <c r="CH193"/>
      <c r="CI193"/>
      <c r="CJ193" t="inlineStr">
        <is>
          <t>No Paid</t>
        </is>
      </c>
      <c r="CK193" t="inlineStr">
        <is>
          <t>Eligible</t>
        </is>
      </c>
      <c r="CL193"/>
      <c r="CM193"/>
    </row>
    <row r="194" ht="25.5" customHeight="1">
      <c r="A194" t="inlineStr">
        <is>
          <t>171795</t>
        </is>
      </c>
      <c r="B194" s="2"/>
      <c r="C194"/>
      <c r="D194" s="3">
        <v>46141.62464120371</v>
      </c>
      <c r="E194" t="inlineStr">
        <is>
          <t>Q2-W04</t>
        </is>
      </c>
      <c r="F194" t="inlineStr">
        <is>
          <t>Eugene</t>
        </is>
      </c>
      <c r="G194" t="inlineStr">
        <is>
          <t>Customer</t>
        </is>
      </c>
      <c r="H194" s="2" t="str">
        <f>=HYPERLINK("https://upbox.ajobthing.my/customer/171795", "https://upbox.ajobthing.my/customer/171795")</f>
        <v>https://upbox.ajobthing.my/customer/171795</v>
      </c>
      <c r="I194" t="inlineStr">
        <is>
          <t>Zues Event Sdn Bhd</t>
        </is>
      </c>
      <c r="J194" t="inlineStr">
        <is>
          <t>Dolphin</t>
        </is>
      </c>
      <c r="K194" t="inlineStr">
        <is>
          <t>Eugene</t>
        </is>
      </c>
      <c r="L194" s="4"/>
      <c r="M194" s="4">
        <v>46142.44733796296</v>
      </c>
      <c r="N194"/>
      <c r="O194">
        <v>3576.96</v>
      </c>
      <c r="P194" s="4"/>
      <c r="Q194" s="4">
        <v>46142.61471064815</v>
      </c>
      <c r="R194"/>
      <c r="S194">
        <v>3576.96</v>
      </c>
      <c r="T194" s="4">
        <v>46142.61471064815</v>
      </c>
      <c r="U194" s="4"/>
      <c r="V194"/>
      <c r="W194">
        <v>3576.96</v>
      </c>
      <c r="X194"/>
      <c r="Y194" t="inlineStr">
        <is>
          <t>Pending Appointment</t>
        </is>
      </c>
      <c r="Z194" t="inlineStr">
        <is>
          <t>Hiring Now</t>
        </is>
      </c>
      <c r="AA194">
        <v>4</v>
      </c>
      <c r="AB194" t="inlineStr">
        <is>
          <t>No Appointment Made</t>
        </is>
      </c>
      <c r="AC194"/>
      <c r="AD194" t="inlineStr">
        <is>
          <t>2 graphic designer, 2 event coordinator, based in KL</t>
        </is>
      </c>
      <c r="AE194"/>
      <c r="AF194">
        <v>3000</v>
      </c>
      <c r="AG194" s="4"/>
      <c r="AH194" s="4"/>
      <c r="AI194">
        <v>3000</v>
      </c>
      <c r="AJ194">
        <v>1</v>
      </c>
      <c r="AK194" t="inlineStr">
        <is>
          <t>No, I don't need at all</t>
        </is>
      </c>
      <c r="AL194">
        <v>2</v>
      </c>
      <c r="AM194" t="inlineStr">
        <is>
          <t>No, I don't need at all</t>
        </is>
      </c>
      <c r="AN194"/>
      <c r="AO194" t="inlineStr">
        <is>
          <t>No, I don't need at all</t>
        </is>
      </c>
      <c r="AP194" t="inlineStr">
        <is>
          <t>Once per quarter (75%)</t>
        </is>
      </c>
      <c r="AQ194">
        <v>4</v>
      </c>
      <c r="AR194" t="inlineStr">
        <is>
          <t>Free Job Portal</t>
        </is>
      </c>
      <c r="AS194" t="inlineStr">
        <is>
          <t>- Headcount: 4
- Hiring Job Details: 2 graphic designer, 2 event coordinator (based in KL)
- Hiring Urgency: Hiring Now
- Number of outlets: 1
- Have recruiter team: No, I don't need at all
- Number of recruiter in company: 2
- Have ATS system: No, I don't need at all
- Have career website: No, I don't need at all
- Current hiring budget: RM3,000
- Whole year budget: RM3,000.00
- Whole year number of vacancies: 4
- Hiring frequency: Once per quarter (75%)
- External job portal: Free Job Portal</t>
        </is>
      </c>
      <c r="AT194">
        <v>115</v>
      </c>
      <c r="AU194" t="inlineStr">
        <is>
          <t>1.15</t>
        </is>
      </c>
      <c r="AV194" t="inlineStr">
        <is>
          <t>15</t>
        </is>
      </c>
      <c r="AW194" t="inlineStr">
        <is>
          <t>0</t>
        </is>
      </c>
      <c r="AX194" t="inlineStr">
        <is>
          <t>Not Qualified</t>
        </is>
      </c>
      <c r="AY194" s="4"/>
      <c r="AZ194"/>
      <c r="BA194"/>
      <c r="BB194"/>
      <c r="BC194" t="inlineStr">
        <is>
          <t>proof</t>
        </is>
      </c>
      <c r="BD194" s="4">
        <v>46141.62741898148</v>
      </c>
      <c r="BE194" t="inlineStr">
        <is>
          <t>paid</t>
        </is>
      </c>
      <c r="BF194" t="inlineStr">
        <is>
          <t>Q2-W04</t>
        </is>
      </c>
      <c r="BG194" t="inlineStr">
        <is>
          <t>Reschedule</t>
        </is>
      </c>
      <c r="BH194" t="inlineStr">
        <is>
          <t>Edward Hoo</t>
        </is>
      </c>
      <c r="BI194" t="inlineStr">
        <is>
          <t>Exhibitions / Event Mgmt</t>
        </is>
      </c>
      <c r="BJ194" s="4">
        <v>46144.75144675926</v>
      </c>
      <c r="BK194" s="4">
        <v>45208.64215277778</v>
      </c>
      <c r="BL194" t="inlineStr">
        <is>
          <t>0.0</t>
        </is>
      </c>
      <c r="BM194" t="inlineStr">
        <is>
          <t>0.0</t>
        </is>
      </c>
      <c r="BN194" t="inlineStr">
        <is>
          <t>View Company Page</t>
        </is>
      </c>
      <c r="BO194" s="4">
        <v>46143.541909722226</v>
      </c>
      <c r="BP194">
        <v>169630</v>
      </c>
      <c r="BQ194">
        <v>7759</v>
      </c>
      <c r="BR194" t="inlineStr">
        <is>
          <t>Manual (Paid)</t>
        </is>
      </c>
      <c r="BS194"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**Extra 2 months validity. 14 months validity in total
**Extra 10 Candidate Profiles Unlock</t>
        </is>
      </c>
      <c r="BT194">
        <v>7759</v>
      </c>
      <c r="BU194"/>
      <c r="BV194">
        <v>2735522</v>
      </c>
      <c r="BW194" t="inlineStr">
        <is>
          <t>Customer Inquiry</t>
        </is>
      </c>
      <c r="BX194">
        <v>6</v>
      </c>
      <c r="BY194">
        <v>5</v>
      </c>
      <c r="BZ194" s="4">
        <v>46143.539814814816</v>
      </c>
      <c r="CA194">
        <v>60</v>
      </c>
      <c r="CB194">
        <v>60</v>
      </c>
      <c r="CC194" s="4"/>
      <c r="CD194" t="inlineStr">
        <is>
          <t>20</t>
        </is>
      </c>
      <c r="CE194" t="inlineStr">
        <is>
          <t>0</t>
        </is>
      </c>
      <c r="CF194" t="inlineStr">
        <is>
          <t>Q2-W04</t>
        </is>
      </c>
      <c r="CG194" t="inlineStr">
        <is>
          <t>Q2-W04</t>
        </is>
      </c>
      <c r="CH194" t="inlineStr">
        <is>
          <t>Q2-W04</t>
        </is>
      </c>
      <c r="CI194"/>
      <c r="CJ194" t="inlineStr">
        <is>
          <t>Paid</t>
        </is>
      </c>
      <c r="CK194" t="inlineStr">
        <is>
          <t>Not Eligible</t>
        </is>
      </c>
      <c r="CL194"/>
      <c r="CM194"/>
    </row>
    <row r="195" ht="25.5" customHeight="1">
      <c r="A195" t="inlineStr">
        <is>
          <t>180101</t>
        </is>
      </c>
      <c r="B195" s="2"/>
      <c r="C195"/>
      <c r="D195" s="3">
        <v>46141.62987268518</v>
      </c>
      <c r="E195" t="inlineStr">
        <is>
          <t>Q2-W04</t>
        </is>
      </c>
      <c r="F195" t="inlineStr">
        <is>
          <t>Dickson</t>
        </is>
      </c>
      <c r="G195" t="inlineStr">
        <is>
          <t>Customer</t>
        </is>
      </c>
      <c r="H195" s="2" t="str">
        <f>=HYPERLINK("https://upbox.ajobthing.my/customer/180101", "https://upbox.ajobthing.my/customer/180101")</f>
        <v>https://upbox.ajobthing.my/customer/180101</v>
      </c>
      <c r="I195" t="inlineStr">
        <is>
          <t>Waterworld Mineral Water Sdn Bhd</t>
        </is>
      </c>
      <c r="J195" t="inlineStr">
        <is>
          <t>Dolphin</t>
        </is>
      </c>
      <c r="K195" t="inlineStr">
        <is>
          <t>Dickson</t>
        </is>
      </c>
      <c r="L195" s="4"/>
      <c r="M195" s="4">
        <v>46141.63</v>
      </c>
      <c r="N195"/>
      <c r="O195">
        <v>3888</v>
      </c>
      <c r="P195" s="4"/>
      <c r="Q195" s="4"/>
      <c r="R195"/>
      <c r="S195"/>
      <c r="T195" s="4"/>
      <c r="U195" s="4"/>
      <c r="V195"/>
      <c r="W195"/>
      <c r="X195"/>
      <c r="Y195" t="inlineStr">
        <is>
          <t>Pending Appointment</t>
        </is>
      </c>
      <c r="Z195" t="inlineStr">
        <is>
          <t>Hiring Now</t>
        </is>
      </c>
      <c r="AA195">
        <v>1</v>
      </c>
      <c r="AB195" t="inlineStr">
        <is>
          <t>No Appointment Made</t>
        </is>
      </c>
      <c r="AC195"/>
      <c r="AD195" t="inlineStr">
        <is>
          <t>1 manufacturing operator</t>
        </is>
      </c>
      <c r="AE195"/>
      <c r="AF195"/>
      <c r="AG195" s="4"/>
      <c r="AH195" s="4"/>
      <c r="AI195"/>
      <c r="AJ195">
        <v>1</v>
      </c>
      <c r="AK195" t="inlineStr">
        <is>
          <t>No, I don't need at all</t>
        </is>
      </c>
      <c r="AL195"/>
      <c r="AM195" t="inlineStr">
        <is>
          <t>No, I don't need at all</t>
        </is>
      </c>
      <c r="AN195"/>
      <c r="AO195" t="inlineStr">
        <is>
          <t>No, I don't need at all</t>
        </is>
      </c>
      <c r="AP195" t="inlineStr">
        <is>
          <t>Once per quarter (75%)</t>
        </is>
      </c>
      <c r="AQ195"/>
      <c r="AR195" t="inlineStr">
        <is>
          <t>Jobstreet, Free Job Portal</t>
        </is>
      </c>
      <c r="AS195" t="inlineStr">
        <is>
          <t>- Headcount: 1
- Hiring Job Details: 1 manufacturing operator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 Free Job Portal</t>
        </is>
      </c>
      <c r="AT195">
        <v>100</v>
      </c>
      <c r="AU195" t="inlineStr">
        <is>
          <t>1.00</t>
        </is>
      </c>
      <c r="AV195" t="inlineStr">
        <is>
          <t>5</t>
        </is>
      </c>
      <c r="AW195" t="inlineStr">
        <is>
          <t>0</t>
        </is>
      </c>
      <c r="AX195" t="inlineStr">
        <is>
          <t>Not Qualified</t>
        </is>
      </c>
      <c r="AY195" s="4"/>
      <c r="AZ195"/>
      <c r="BA195"/>
      <c r="BB195"/>
      <c r="BC195" t="inlineStr">
        <is>
          <t>- Headcount: 1
- Hiring Job Details: 1 manufacturing operator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 Free Job Portal</t>
        </is>
      </c>
      <c r="BD195" s="4">
        <v>46141.66670138889</v>
      </c>
      <c r="BE195"/>
      <c r="BF195"/>
      <c r="BG195" t="inlineStr">
        <is>
          <t>Reschedule</t>
        </is>
      </c>
      <c r="BH195" t="inlineStr">
        <is>
          <t>Edward Hoo</t>
        </is>
      </c>
      <c r="BI195" t="inlineStr">
        <is>
          <t>Manufacturing / Production</t>
        </is>
      </c>
      <c r="BJ195" s="4">
        <v>46144.75181712963</v>
      </c>
      <c r="BK195" s="4">
        <v>45475.779699074075</v>
      </c>
      <c r="BL195" t="inlineStr">
        <is>
          <t>0.0</t>
        </is>
      </c>
      <c r="BM195" t="inlineStr">
        <is>
          <t>3000.0</t>
        </is>
      </c>
      <c r="BN195" t="inlineStr">
        <is>
          <t>View Create Job Page</t>
        </is>
      </c>
      <c r="BO195" s="4">
        <v>45475.78778935185</v>
      </c>
      <c r="BP195">
        <v>169529</v>
      </c>
      <c r="BQ195"/>
      <c r="BR195"/>
      <c r="BS195"/>
      <c r="BT195"/>
      <c r="BU195"/>
      <c r="BV195">
        <v>2735774</v>
      </c>
      <c r="BW195" t="inlineStr">
        <is>
          <t>Customer Inquiry</t>
        </is>
      </c>
      <c r="BX195"/>
      <c r="BY195"/>
      <c r="BZ195" s="4"/>
      <c r="CA195"/>
      <c r="CB195"/>
      <c r="CC195" s="4"/>
      <c r="CD195" t="inlineStr">
        <is>
          <t>5</t>
        </is>
      </c>
      <c r="CE195" t="inlineStr">
        <is>
          <t>0</t>
        </is>
      </c>
      <c r="CF195" t="inlineStr">
        <is>
          <t>Q2-W04</t>
        </is>
      </c>
      <c r="CG195"/>
      <c r="CH195"/>
      <c r="CI195"/>
      <c r="CJ195" t="inlineStr">
        <is>
          <t>No Paid</t>
        </is>
      </c>
      <c r="CK195" t="inlineStr">
        <is>
          <t>Not Eligible</t>
        </is>
      </c>
      <c r="CL195"/>
      <c r="CM195"/>
    </row>
    <row r="196" ht="25.5" customHeight="1">
      <c r="A196" t="inlineStr">
        <is>
          <t>4331797</t>
        </is>
      </c>
      <c r="B196" s="2"/>
      <c r="C196"/>
      <c r="D196" s="3">
        <v>46141.635659722226</v>
      </c>
      <c r="E196" t="inlineStr">
        <is>
          <t>Q2-W04</t>
        </is>
      </c>
      <c r="F196" t="inlineStr">
        <is>
          <t>Jess</t>
        </is>
      </c>
      <c r="G196" t="inlineStr">
        <is>
          <t>Lead</t>
        </is>
      </c>
      <c r="H196" s="2" t="str">
        <f>=HYPERLINK("https://upbox.ajobthing.my/leads/4331797", "https://upbox.ajobthing.my/leads/4331797")</f>
        <v>https://upbox.ajobthing.my/leads/4331797</v>
      </c>
      <c r="I196" t="inlineStr">
        <is>
          <t>SA MACHINERY &amp; EQUIPMENTS SDN BHD</t>
        </is>
      </c>
      <c r="J196" t="inlineStr">
        <is>
          <t>Dolphin</t>
        </is>
      </c>
      <c r="K196" t="inlineStr">
        <is>
          <t>Jess Lim</t>
        </is>
      </c>
      <c r="L196" s="4"/>
      <c r="M196" s="4">
        <v>46141.637141203704</v>
      </c>
      <c r="N196"/>
      <c r="O196">
        <v>5412.96</v>
      </c>
      <c r="P196" s="4"/>
      <c r="Q196" s="4"/>
      <c r="R196"/>
      <c r="S196"/>
      <c r="T196" s="4"/>
      <c r="U196" s="4"/>
      <c r="V196"/>
      <c r="W196"/>
      <c r="X196"/>
      <c r="Y196" t="inlineStr">
        <is>
          <t>Pending Appointment</t>
        </is>
      </c>
      <c r="Z196" t="inlineStr">
        <is>
          <t>Hiring Now</t>
        </is>
      </c>
      <c r="AA196">
        <v>3</v>
      </c>
      <c r="AB196" t="inlineStr">
        <is>
          <t>No Appointment Made</t>
        </is>
      </c>
      <c r="AC196"/>
      <c r="AD196" t="inlineStr">
        <is>
          <t xml:space="preserve">admin exec, assistant , general clerk </t>
        </is>
      </c>
      <c r="AE196"/>
      <c r="AF196">
        <v>3600</v>
      </c>
      <c r="AG196" s="4"/>
      <c r="AH196" s="4"/>
      <c r="AI196"/>
      <c r="AJ196">
        <v>2</v>
      </c>
      <c r="AK196" t="inlineStr">
        <is>
          <t>No, I don't need at all</t>
        </is>
      </c>
      <c r="AL196">
        <v>2</v>
      </c>
      <c r="AM196" t="inlineStr">
        <is>
          <t>No, I don't need at all</t>
        </is>
      </c>
      <c r="AN196"/>
      <c r="AO196" t="inlineStr">
        <is>
          <t>No, I don't need at all</t>
        </is>
      </c>
      <c r="AP196" t="inlineStr">
        <is>
          <t>Once a year (25%)</t>
        </is>
      </c>
      <c r="AQ196"/>
      <c r="AR196" t="inlineStr">
        <is>
          <t>Jobstreet</t>
        </is>
      </c>
      <c r="AS196" t="inlineStr">
        <is>
          <t>- Headcount: 3
- Hiring Job Details: admin exec, assistant, general clerk
- Hiring Urgency: Hiring Now
- Number of outlets: 2
- Have recruiter team: No, I don't need at all
- Number of recruiter in company: 2
- Have ATS system: No, I don't need at all
- Have career website: No, I don't need at all
- Current hiring budget: RM3,600.00
- Whole year budget: N/A
- Whole year number of vacancies: N/A
- Hiring frequency: Once a year (25%)
- External job portal: Jobstreet</t>
        </is>
      </c>
      <c r="AT196">
        <v>75</v>
      </c>
      <c r="AU196" t="inlineStr">
        <is>
          <t>0.75</t>
        </is>
      </c>
      <c r="AV196" t="inlineStr">
        <is>
          <t>15</t>
        </is>
      </c>
      <c r="AW196" t="inlineStr">
        <is>
          <t>0</t>
        </is>
      </c>
      <c r="AX196" t="inlineStr">
        <is>
          <t>Not Qualified</t>
        </is>
      </c>
      <c r="AY196" s="4"/>
      <c r="AZ196"/>
      <c r="BA196"/>
      <c r="BB196"/>
      <c r="BC196"/>
      <c r="BD196" s="4"/>
      <c r="BE196"/>
      <c r="BF196"/>
      <c r="BG196" t="inlineStr">
        <is>
          <t>Reschedule</t>
        </is>
      </c>
      <c r="BH196" t="inlineStr">
        <is>
          <t>Fauziah Maharan</t>
        </is>
      </c>
      <c r="BI196"/>
      <c r="BJ196" s="4">
        <v>46144.755949074075</v>
      </c>
      <c r="BK196" s="4">
        <v>46141.59953703704</v>
      </c>
      <c r="BL196" t="inlineStr">
        <is>
          <t>0.0</t>
        </is>
      </c>
      <c r="BM196" t="inlineStr">
        <is>
          <t>0.0</t>
        </is>
      </c>
      <c r="BN196"/>
      <c r="BO196" s="4"/>
      <c r="BP196">
        <v>169533</v>
      </c>
      <c r="BQ196"/>
      <c r="BR196"/>
      <c r="BS196"/>
      <c r="BT196"/>
      <c r="BU196"/>
      <c r="BV196"/>
      <c r="BW196"/>
      <c r="BX196"/>
      <c r="BY196"/>
      <c r="BZ196" s="4"/>
      <c r="CA196"/>
      <c r="CB196"/>
      <c r="CC196" s="4"/>
      <c r="CD196" t="inlineStr">
        <is>
          <t>20</t>
        </is>
      </c>
      <c r="CE196" t="inlineStr">
        <is>
          <t>0</t>
        </is>
      </c>
      <c r="CF196" t="inlineStr">
        <is>
          <t>Q2-W04</t>
        </is>
      </c>
      <c r="CG196"/>
      <c r="CH196"/>
      <c r="CI196"/>
      <c r="CJ196" t="inlineStr">
        <is>
          <t>No Paid</t>
        </is>
      </c>
      <c r="CK196" t="inlineStr">
        <is>
          <t>Not Eligible</t>
        </is>
      </c>
      <c r="CL196"/>
      <c r="CM196"/>
    </row>
    <row r="197" ht="25.5" customHeight="1">
      <c r="A197" t="inlineStr">
        <is>
          <t>165807</t>
        </is>
      </c>
      <c r="B197" s="2"/>
      <c r="C197"/>
      <c r="D197" s="3">
        <v>46141.64443287037</v>
      </c>
      <c r="E197" t="inlineStr">
        <is>
          <t>Q2-W04</t>
        </is>
      </c>
      <c r="F197" t="inlineStr">
        <is>
          <t>Ken Yi</t>
        </is>
      </c>
      <c r="G197" t="inlineStr">
        <is>
          <t>Customer</t>
        </is>
      </c>
      <c r="H197" s="2" t="str">
        <f>=HYPERLINK("https://upbox.ajobthing.my/customer/165807", "https://upbox.ajobthing.my/customer/165807")</f>
        <v>https://upbox.ajobthing.my/customer/165807</v>
      </c>
      <c r="I197" t="inlineStr">
        <is>
          <t>IT OneZone Solutions Sdn Bhd</t>
        </is>
      </c>
      <c r="J197" t="inlineStr">
        <is>
          <t>Dolphin</t>
        </is>
      </c>
      <c r="K197" t="inlineStr">
        <is>
          <t>Kenyi</t>
        </is>
      </c>
      <c r="L197" s="4"/>
      <c r="M197" s="4">
        <v>46141.63091435185</v>
      </c>
      <c r="N197"/>
      <c r="O197">
        <v>3576.96</v>
      </c>
      <c r="P197" s="4"/>
      <c r="Q197" s="4">
        <v>45708.73248842593</v>
      </c>
      <c r="R197"/>
      <c r="S197">
        <v>1512</v>
      </c>
      <c r="T197" s="4">
        <v>45708.73248842593</v>
      </c>
      <c r="U197" s="4"/>
      <c r="V197"/>
      <c r="W197">
        <v>1512</v>
      </c>
      <c r="X197"/>
      <c r="Y197" t="inlineStr">
        <is>
          <t>Pending Appointment</t>
        </is>
      </c>
      <c r="Z197" t="inlineStr">
        <is>
          <t>Hiring Now</t>
        </is>
      </c>
      <c r="AA197">
        <v>0</v>
      </c>
      <c r="AB197" t="inlineStr">
        <is>
          <t>No Appointment Made</t>
        </is>
      </c>
      <c r="AC197"/>
      <c r="AD197" t="inlineStr">
        <is>
          <t>Labor Day Renewal Package offered for client</t>
        </is>
      </c>
      <c r="AE197"/>
      <c r="AF197">
        <v>0</v>
      </c>
      <c r="AG197" s="4"/>
      <c r="AH197" s="4"/>
      <c r="AI197">
        <v>0</v>
      </c>
      <c r="AJ197">
        <v>1</v>
      </c>
      <c r="AK197" t="inlineStr">
        <is>
          <t>Yes, I have</t>
        </is>
      </c>
      <c r="AL197">
        <v>1</v>
      </c>
      <c r="AM197" t="inlineStr">
        <is>
          <t>No, I don't need at all</t>
        </is>
      </c>
      <c r="AN197"/>
      <c r="AO197" t="inlineStr">
        <is>
          <t>No, I don't need at all</t>
        </is>
      </c>
      <c r="AP197" t="inlineStr">
        <is>
          <t>Every month (100%)</t>
        </is>
      </c>
      <c r="AQ197">
        <v>1</v>
      </c>
      <c r="AR197" t="inlineStr">
        <is>
          <t>Jobstreet</t>
        </is>
      </c>
      <c r="AS197" t="inlineStr">
        <is>
          <t>- Headcount: 0
- Hiring Job Details: Labor Day Renewal Package offered for client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Jobstreet</t>
        </is>
      </c>
      <c r="AT197">
        <v>75</v>
      </c>
      <c r="AU197" t="inlineStr">
        <is>
          <t>0.75</t>
        </is>
      </c>
      <c r="AV197" t="inlineStr">
        <is>
          <t>15</t>
        </is>
      </c>
      <c r="AW197" t="inlineStr">
        <is>
          <t>0</t>
        </is>
      </c>
      <c r="AX197" t="inlineStr">
        <is>
          <t>Not Qualified</t>
        </is>
      </c>
      <c r="AY197" s="4"/>
      <c r="AZ197"/>
      <c r="BA197"/>
      <c r="BB197"/>
      <c r="BC197" t="inlineStr">
        <is>
          <t>- Headcount: 0
- Hiring Job Details: Labor Day Renewal Package offered for client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Jobstreet</t>
        </is>
      </c>
      <c r="BD197" s="4">
        <v>46141.66670138889</v>
      </c>
      <c r="BE197" t="inlineStr">
        <is>
          <t>paid</t>
        </is>
      </c>
      <c r="BF197"/>
      <c r="BG197" t="inlineStr">
        <is>
          <t>Reschedule</t>
        </is>
      </c>
      <c r="BH197" t="inlineStr">
        <is>
          <t>Fauziah Maharan</t>
        </is>
      </c>
      <c r="BI197" t="inlineStr">
        <is>
          <t>IT / Hardware</t>
        </is>
      </c>
      <c r="BJ197" s="4">
        <v>46144.75127314815</v>
      </c>
      <c r="BK197" s="4">
        <v>45014.491631944446</v>
      </c>
      <c r="BL197" t="inlineStr">
        <is>
          <t>0.0</t>
        </is>
      </c>
      <c r="BM197" t="inlineStr">
        <is>
          <t>150.0</t>
        </is>
      </c>
      <c r="BN197" t="inlineStr">
        <is>
          <t>View Jobmanager Page</t>
        </is>
      </c>
      <c r="BO197" s="4">
        <v>46097.62724537037</v>
      </c>
      <c r="BP197">
        <v>169531</v>
      </c>
      <c r="BQ197">
        <v>76974</v>
      </c>
      <c r="BR197" t="inlineStr">
        <is>
          <t>Online</t>
        </is>
      </c>
      <c r="BS197"/>
      <c r="BT197">
        <v>76974</v>
      </c>
      <c r="BU197"/>
      <c r="BV197">
        <v>2735779</v>
      </c>
      <c r="BW197" t="inlineStr">
        <is>
          <t>Customer Inquiry</t>
        </is>
      </c>
      <c r="BX197"/>
      <c r="BY197"/>
      <c r="BZ197" s="4"/>
      <c r="CA197"/>
      <c r="CB197"/>
      <c r="CC197" s="4"/>
      <c r="CD197" t="inlineStr">
        <is>
          <t>20</t>
        </is>
      </c>
      <c r="CE197" t="inlineStr">
        <is>
          <t>0</t>
        </is>
      </c>
      <c r="CF197" t="inlineStr">
        <is>
          <t>Q2-W04</t>
        </is>
      </c>
      <c r="CG197"/>
      <c r="CH197"/>
      <c r="CI197"/>
      <c r="CJ197" t="inlineStr">
        <is>
          <t>Paid</t>
        </is>
      </c>
      <c r="CK197" t="inlineStr">
        <is>
          <t>Not Eligible</t>
        </is>
      </c>
      <c r="CL197"/>
      <c r="CM197"/>
    </row>
    <row r="198" ht="25.5" customHeight="1">
      <c r="A198" t="inlineStr">
        <is>
          <t>203798</t>
        </is>
      </c>
      <c r="B198" s="2"/>
      <c r="C198"/>
      <c r="D198" s="3">
        <v>46141.6531712963</v>
      </c>
      <c r="E198" t="inlineStr">
        <is>
          <t>Q2-W04</t>
        </is>
      </c>
      <c r="F198" t="inlineStr">
        <is>
          <t>Clover</t>
        </is>
      </c>
      <c r="G198" t="inlineStr">
        <is>
          <t>Customer</t>
        </is>
      </c>
      <c r="H198" s="2" t="str">
        <f>=HYPERLINK("https://upbox.ajobthing.my/customer/203798", "https://upbox.ajobthing.my/customer/203798")</f>
        <v>https://upbox.ajobthing.my/customer/203798</v>
      </c>
      <c r="I198" t="inlineStr">
        <is>
          <t>ARJ FOOD KITCHEN</t>
        </is>
      </c>
      <c r="J198" t="inlineStr">
        <is>
          <t>Dolphin</t>
        </is>
      </c>
      <c r="K198" t="inlineStr">
        <is>
          <t>Clover</t>
        </is>
      </c>
      <c r="L198" s="4"/>
      <c r="M198" s="4">
        <v>46141.653402777774</v>
      </c>
      <c r="N198"/>
      <c r="O198">
        <v>3888</v>
      </c>
      <c r="P198" s="4"/>
      <c r="Q198" s="4"/>
      <c r="R198"/>
      <c r="S198"/>
      <c r="T198" s="4"/>
      <c r="U198" s="4"/>
      <c r="V198"/>
      <c r="W198"/>
      <c r="X198"/>
      <c r="Y198" t="inlineStr">
        <is>
          <t>Pending Appointment</t>
        </is>
      </c>
      <c r="Z198" t="inlineStr">
        <is>
          <t>Hiring Now</t>
        </is>
      </c>
      <c r="AA198">
        <v>1</v>
      </c>
      <c r="AB198" t="inlineStr">
        <is>
          <t>No Appointment Made</t>
        </is>
      </c>
      <c r="AC198"/>
      <c r="AD198" t="inlineStr">
        <is>
          <t>Want to hire cashier x1, all races, future not sure,  f&amp;b KL, future not sure, suggest stand</t>
        </is>
      </c>
      <c r="AE198"/>
      <c r="AF198">
        <v>3000</v>
      </c>
      <c r="AG198" s="4"/>
      <c r="AH198" s="4"/>
      <c r="AI198">
        <v>3000</v>
      </c>
      <c r="AJ198">
        <v>1</v>
      </c>
      <c r="AK198" t="inlineStr">
        <is>
          <t>No, but I want in future</t>
        </is>
      </c>
      <c r="AL198">
        <v>1</v>
      </c>
      <c r="AM198" t="inlineStr">
        <is>
          <t>No, but I want in future</t>
        </is>
      </c>
      <c r="AN198"/>
      <c r="AO198" t="inlineStr">
        <is>
          <t>No, but I want in future</t>
        </is>
      </c>
      <c r="AP198" t="inlineStr">
        <is>
          <t>Twice a year (50%)</t>
        </is>
      </c>
      <c r="AQ198">
        <v>2</v>
      </c>
      <c r="AR198" t="inlineStr">
        <is>
          <t>Hiredly</t>
        </is>
      </c>
      <c r="AS198" t="inlineStr">
        <is>
          <t>- Headcount: 1
- Hiring Job Details: 1 cashier (all races, f&amp;b KL, suggest stand, future details not sure)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Hiredly</t>
        </is>
      </c>
      <c r="AT198">
        <v>110</v>
      </c>
      <c r="AU198" t="inlineStr">
        <is>
          <t>1.10</t>
        </is>
      </c>
      <c r="AV198" t="inlineStr">
        <is>
          <t>15</t>
        </is>
      </c>
      <c r="AW198" t="inlineStr">
        <is>
          <t>0</t>
        </is>
      </c>
      <c r="AX198" t="inlineStr">
        <is>
          <t>Not Qualified</t>
        </is>
      </c>
      <c r="AY198" s="4"/>
      <c r="AZ198"/>
      <c r="BA198"/>
      <c r="BB198"/>
      <c r="BC198" t="inlineStr">
        <is>
          <t>- Headcount: 1
- Hiring Job Details: 1 cashier (all races, f&amp;b KL, suggest stand, future details not sure)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Hiredly</t>
        </is>
      </c>
      <c r="BD198" s="4">
        <v>46141.66670138889</v>
      </c>
      <c r="BE198"/>
      <c r="BF198"/>
      <c r="BG198" t="inlineStr">
        <is>
          <t>Reschedule</t>
        </is>
      </c>
      <c r="BH198" t="inlineStr">
        <is>
          <t>Reagen</t>
        </is>
      </c>
      <c r="BI198"/>
      <c r="BJ198" s="4">
        <v>46144.75438657407</v>
      </c>
      <c r="BK198" s="4">
        <v>46141.61445601852</v>
      </c>
      <c r="BL198" t="inlineStr">
        <is>
          <t>0.0</t>
        </is>
      </c>
      <c r="BM198" t="inlineStr">
        <is>
          <t>0.0</t>
        </is>
      </c>
      <c r="BN198"/>
      <c r="BO198" s="4"/>
      <c r="BP198">
        <v>169538</v>
      </c>
      <c r="BQ198"/>
      <c r="BR198"/>
      <c r="BS198"/>
      <c r="BT198"/>
      <c r="BU198"/>
      <c r="BV198">
        <v>2735781</v>
      </c>
      <c r="BW198" t="inlineStr">
        <is>
          <t>Customer Inquiry</t>
        </is>
      </c>
      <c r="BX198"/>
      <c r="BY198"/>
      <c r="BZ198" s="4"/>
      <c r="CA198"/>
      <c r="CB198"/>
      <c r="CC198" s="4"/>
      <c r="CD198" t="inlineStr">
        <is>
          <t>20</t>
        </is>
      </c>
      <c r="CE198" t="inlineStr">
        <is>
          <t>0</t>
        </is>
      </c>
      <c r="CF198" t="inlineStr">
        <is>
          <t>Q2-W04</t>
        </is>
      </c>
      <c r="CG198"/>
      <c r="CH198"/>
      <c r="CI198"/>
      <c r="CJ198" t="inlineStr">
        <is>
          <t>No Paid</t>
        </is>
      </c>
      <c r="CK198" t="inlineStr">
        <is>
          <t>Not Eligible</t>
        </is>
      </c>
      <c r="CL198"/>
      <c r="CM198"/>
    </row>
    <row r="199" ht="25.5" customHeight="1">
      <c r="A199" t="inlineStr">
        <is>
          <t>193071</t>
        </is>
      </c>
      <c r="B199" s="2"/>
      <c r="C199"/>
      <c r="D199" s="3">
        <v>46141.660266203704</v>
      </c>
      <c r="E199" t="inlineStr">
        <is>
          <t>Q2-W04</t>
        </is>
      </c>
      <c r="F199" t="inlineStr">
        <is>
          <t>Keegan</t>
        </is>
      </c>
      <c r="G199" t="inlineStr">
        <is>
          <t>Customer</t>
        </is>
      </c>
      <c r="H199" s="2" t="str">
        <f>=HYPERLINK("https://upbox.ajobthing.my/customer/193071", "https://upbox.ajobthing.my/customer/193071")</f>
        <v>https://upbox.ajobthing.my/customer/193071</v>
      </c>
      <c r="I199" t="inlineStr">
        <is>
          <t>Leevet Clinic Sdn Bhd</t>
        </is>
      </c>
      <c r="J199" t="inlineStr">
        <is>
          <t>Dolphin</t>
        </is>
      </c>
      <c r="K199" t="inlineStr">
        <is>
          <t>Keegan</t>
        </is>
      </c>
      <c r="L199" s="4"/>
      <c r="M199" s="4">
        <v>46141.661261574074</v>
      </c>
      <c r="N199"/>
      <c r="O199">
        <v>3672</v>
      </c>
      <c r="P199" s="4"/>
      <c r="Q199" s="4">
        <v>45854.621030092596</v>
      </c>
      <c r="R199"/>
      <c r="S199">
        <v>3888</v>
      </c>
      <c r="T199" s="4">
        <v>45854.621030092596</v>
      </c>
      <c r="U199" s="4"/>
      <c r="V199"/>
      <c r="W199">
        <v>3888</v>
      </c>
      <c r="X199"/>
      <c r="Y199" t="inlineStr">
        <is>
          <t>Pending Appointment</t>
        </is>
      </c>
      <c r="Z199" t="inlineStr">
        <is>
          <t>Hiring Now</t>
        </is>
      </c>
      <c r="AA199">
        <v>1</v>
      </c>
      <c r="AB199" t="inlineStr">
        <is>
          <t>No Appointment Made</t>
        </is>
      </c>
      <c r="AC199"/>
      <c r="AD199" t="inlineStr">
        <is>
          <t xml:space="preserve">1. Admin </t>
        </is>
      </c>
      <c r="AE199"/>
      <c r="AF199"/>
      <c r="AG199" s="4"/>
      <c r="AH199" s="4"/>
      <c r="AI199"/>
      <c r="AJ199">
        <v>1</v>
      </c>
      <c r="AK199" t="inlineStr">
        <is>
          <t>No, I don't need at all</t>
        </is>
      </c>
      <c r="AL199">
        <v>0</v>
      </c>
      <c r="AM199" t="inlineStr">
        <is>
          <t>No, I don't need at all</t>
        </is>
      </c>
      <c r="AN199"/>
      <c r="AO199" t="inlineStr">
        <is>
          <t>No, I don't need at all</t>
        </is>
      </c>
      <c r="AP199" t="inlineStr">
        <is>
          <t>Once per quarter (75%)</t>
        </is>
      </c>
      <c r="AQ199"/>
      <c r="AR199" t="inlineStr">
        <is>
          <t>Did not use any job portal</t>
        </is>
      </c>
      <c r="AS199"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99">
        <v>100</v>
      </c>
      <c r="AU199" t="inlineStr">
        <is>
          <t>1.00</t>
        </is>
      </c>
      <c r="AV199" t="inlineStr">
        <is>
          <t>5</t>
        </is>
      </c>
      <c r="AW199" t="inlineStr">
        <is>
          <t>0</t>
        </is>
      </c>
      <c r="AX199" t="inlineStr">
        <is>
          <t>Not Qualified</t>
        </is>
      </c>
      <c r="AY199" s="4"/>
      <c r="AZ199"/>
      <c r="BA199"/>
      <c r="BB199"/>
      <c r="BC199"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99" s="4">
        <v>46141.66670138889</v>
      </c>
      <c r="BE199" t="inlineStr">
        <is>
          <t>paid</t>
        </is>
      </c>
      <c r="BF199"/>
      <c r="BG199" t="inlineStr">
        <is>
          <t>Reschedule</t>
        </is>
      </c>
      <c r="BH199" t="inlineStr">
        <is>
          <t>Edward Hoo</t>
        </is>
      </c>
      <c r="BI199" t="inlineStr">
        <is>
          <t>Healthcare / Medical</t>
        </is>
      </c>
      <c r="BJ199" s="4">
        <v>46144.75261574074</v>
      </c>
      <c r="BK199" s="4">
        <v>45833.81951388889</v>
      </c>
      <c r="BL199" t="inlineStr">
        <is>
          <t>3888.0</t>
        </is>
      </c>
      <c r="BM199" t="inlineStr">
        <is>
          <t>0.0</t>
        </is>
      </c>
      <c r="BN199" t="inlineStr">
        <is>
          <t>User Login</t>
        </is>
      </c>
      <c r="BO199" s="4">
        <v>46140.44887731481</v>
      </c>
      <c r="BP199">
        <v>169543</v>
      </c>
      <c r="BQ199">
        <v>80799</v>
      </c>
      <c r="BR199" t="inlineStr">
        <is>
          <t>Online</t>
        </is>
      </c>
      <c r="BS199"/>
      <c r="BT199">
        <v>80799</v>
      </c>
      <c r="BU199"/>
      <c r="BV199">
        <v>2735786</v>
      </c>
      <c r="BW199" t="inlineStr">
        <is>
          <t>Customer Inquiry</t>
        </is>
      </c>
      <c r="BX199">
        <v>6</v>
      </c>
      <c r="BY199">
        <v>0</v>
      </c>
      <c r="BZ199" s="4">
        <v>46139.67627314815</v>
      </c>
      <c r="CA199">
        <v>60</v>
      </c>
      <c r="CB199">
        <v>56</v>
      </c>
      <c r="CC199" s="4">
        <v>45967.43912037037</v>
      </c>
      <c r="CD199" t="inlineStr">
        <is>
          <t>5</t>
        </is>
      </c>
      <c r="CE199" t="inlineStr">
        <is>
          <t>0</t>
        </is>
      </c>
      <c r="CF199" t="inlineStr">
        <is>
          <t>Q2-W04</t>
        </is>
      </c>
      <c r="CG199"/>
      <c r="CH199"/>
      <c r="CI199"/>
      <c r="CJ199" t="inlineStr">
        <is>
          <t>Paid</t>
        </is>
      </c>
      <c r="CK199" t="inlineStr">
        <is>
          <t>Not Eligible</t>
        </is>
      </c>
      <c r="CL199"/>
      <c r="CM199"/>
    </row>
    <row r="200" ht="25.5" customHeight="1">
      <c r="A200" t="inlineStr">
        <is>
          <t>193071</t>
        </is>
      </c>
      <c r="B200" s="2"/>
      <c r="C200"/>
      <c r="D200" s="3">
        <v>46141.661157407405</v>
      </c>
      <c r="E200" t="inlineStr">
        <is>
          <t>Q2-W04</t>
        </is>
      </c>
      <c r="F200" t="inlineStr">
        <is>
          <t>Keegan</t>
        </is>
      </c>
      <c r="G200" t="inlineStr">
        <is>
          <t>Customer</t>
        </is>
      </c>
      <c r="H200" s="2" t="str">
        <f>=HYPERLINK("https://upbox.ajobthing.my/customer/193071", "https://upbox.ajobthing.my/customer/193071")</f>
        <v>https://upbox.ajobthing.my/customer/193071</v>
      </c>
      <c r="I200" t="inlineStr">
        <is>
          <t>Leevet Clinic Sdn Bhd</t>
        </is>
      </c>
      <c r="J200" t="inlineStr">
        <is>
          <t>Dolphin</t>
        </is>
      </c>
      <c r="K200" t="inlineStr">
        <is>
          <t>Keegan</t>
        </is>
      </c>
      <c r="L200" s="4"/>
      <c r="M200" s="4">
        <v>46141.661261574074</v>
      </c>
      <c r="N200"/>
      <c r="O200">
        <v>3672</v>
      </c>
      <c r="P200" s="4"/>
      <c r="Q200" s="4">
        <v>45854.621030092596</v>
      </c>
      <c r="R200"/>
      <c r="S200">
        <v>3888</v>
      </c>
      <c r="T200" s="4">
        <v>45854.621030092596</v>
      </c>
      <c r="U200" s="4"/>
      <c r="V200"/>
      <c r="W200">
        <v>3888</v>
      </c>
      <c r="X200"/>
      <c r="Y200" t="inlineStr">
        <is>
          <t>Pending Appointment</t>
        </is>
      </c>
      <c r="Z200" t="inlineStr">
        <is>
          <t>Hiring Now</t>
        </is>
      </c>
      <c r="AA200">
        <v>1</v>
      </c>
      <c r="AB200" t="inlineStr">
        <is>
          <t>No Appointment Made</t>
        </is>
      </c>
      <c r="AC200"/>
      <c r="AD200" t="inlineStr">
        <is>
          <t xml:space="preserve">1. Admin  </t>
        </is>
      </c>
      <c r="AE200"/>
      <c r="AF200"/>
      <c r="AG200" s="4"/>
      <c r="AH200" s="4"/>
      <c r="AI200"/>
      <c r="AJ200">
        <v>1</v>
      </c>
      <c r="AK200" t="inlineStr">
        <is>
          <t>No, I don't need at all</t>
        </is>
      </c>
      <c r="AL200">
        <v>0</v>
      </c>
      <c r="AM200" t="inlineStr">
        <is>
          <t>No, I don't need at all</t>
        </is>
      </c>
      <c r="AN200"/>
      <c r="AO200" t="inlineStr">
        <is>
          <t>No, I don't need at all</t>
        </is>
      </c>
      <c r="AP200" t="inlineStr">
        <is>
          <t>Once per quarter (75%)</t>
        </is>
      </c>
      <c r="AQ200"/>
      <c r="AR200" t="inlineStr">
        <is>
          <t>Did not use any job portal</t>
        </is>
      </c>
      <c r="AS200"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00">
        <v>100</v>
      </c>
      <c r="AU200" t="inlineStr">
        <is>
          <t>1.00</t>
        </is>
      </c>
      <c r="AV200" t="inlineStr">
        <is>
          <t>5</t>
        </is>
      </c>
      <c r="AW200" t="inlineStr">
        <is>
          <t>0</t>
        </is>
      </c>
      <c r="AX200" t="inlineStr">
        <is>
          <t>Not Qualified</t>
        </is>
      </c>
      <c r="AY200" s="4"/>
      <c r="AZ200"/>
      <c r="BA200"/>
      <c r="BB200"/>
      <c r="BC200"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00" s="4">
        <v>46141.66670138889</v>
      </c>
      <c r="BE200" t="inlineStr">
        <is>
          <t>paid</t>
        </is>
      </c>
      <c r="BF200"/>
      <c r="BG200" t="inlineStr">
        <is>
          <t>Reschedule</t>
        </is>
      </c>
      <c r="BH200" t="inlineStr">
        <is>
          <t>Edward Hoo</t>
        </is>
      </c>
      <c r="BI200" t="inlineStr">
        <is>
          <t>Healthcare / Medical</t>
        </is>
      </c>
      <c r="BJ200" s="4">
        <v>46144.75261574074</v>
      </c>
      <c r="BK200" s="4">
        <v>45833.81951388889</v>
      </c>
      <c r="BL200" t="inlineStr">
        <is>
          <t>3888.0</t>
        </is>
      </c>
      <c r="BM200" t="inlineStr">
        <is>
          <t>0.0</t>
        </is>
      </c>
      <c r="BN200" t="inlineStr">
        <is>
          <t>User Login</t>
        </is>
      </c>
      <c r="BO200" s="4">
        <v>46140.44887731481</v>
      </c>
      <c r="BP200">
        <v>169543</v>
      </c>
      <c r="BQ200">
        <v>80799</v>
      </c>
      <c r="BR200" t="inlineStr">
        <is>
          <t>Online</t>
        </is>
      </c>
      <c r="BS200"/>
      <c r="BT200">
        <v>80799</v>
      </c>
      <c r="BU200"/>
      <c r="BV200">
        <v>2735786</v>
      </c>
      <c r="BW200" t="inlineStr">
        <is>
          <t>Customer Inquiry</t>
        </is>
      </c>
      <c r="BX200">
        <v>6</v>
      </c>
      <c r="BY200">
        <v>0</v>
      </c>
      <c r="BZ200" s="4">
        <v>46139.67627314815</v>
      </c>
      <c r="CA200">
        <v>60</v>
      </c>
      <c r="CB200">
        <v>56</v>
      </c>
      <c r="CC200" s="4">
        <v>45967.43912037037</v>
      </c>
      <c r="CD200" t="inlineStr">
        <is>
          <t>5</t>
        </is>
      </c>
      <c r="CE200" t="inlineStr">
        <is>
          <t>0</t>
        </is>
      </c>
      <c r="CF200" t="inlineStr">
        <is>
          <t>Q2-W04</t>
        </is>
      </c>
      <c r="CG200"/>
      <c r="CH200"/>
      <c r="CI200"/>
      <c r="CJ200" t="inlineStr">
        <is>
          <t>Paid</t>
        </is>
      </c>
      <c r="CK200" t="inlineStr">
        <is>
          <t>Not Eligible</t>
        </is>
      </c>
      <c r="CL200"/>
      <c r="CM200"/>
    </row>
    <row r="201" ht="25.5" customHeight="1">
      <c r="A201" t="inlineStr">
        <is>
          <t>199409</t>
        </is>
      </c>
      <c r="B201" s="2"/>
      <c r="C201"/>
      <c r="D201" s="3">
        <v>46141.66295138889</v>
      </c>
      <c r="E201" t="inlineStr">
        <is>
          <t>Q2-W04</t>
        </is>
      </c>
      <c r="F201" t="inlineStr">
        <is>
          <t>Angel  Low</t>
        </is>
      </c>
      <c r="G201" t="inlineStr">
        <is>
          <t>Customer</t>
        </is>
      </c>
      <c r="H201" s="2" t="str">
        <f>=HYPERLINK("https://upbox.ajobthing.my/customer/199409", "https://upbox.ajobthing.my/customer/199409")</f>
        <v>https://upbox.ajobthing.my/customer/199409</v>
      </c>
      <c r="I201" t="inlineStr">
        <is>
          <t>CK MAC GLOBAL SDN BHD</t>
        </is>
      </c>
      <c r="J201" t="inlineStr">
        <is>
          <t>Dolphin</t>
        </is>
      </c>
      <c r="K201" t="inlineStr">
        <is>
          <t>Angel Low</t>
        </is>
      </c>
      <c r="L201" s="4"/>
      <c r="M201" s="4">
        <v>46141.6637962963</v>
      </c>
      <c r="N201"/>
      <c r="O201">
        <v>3576.96</v>
      </c>
      <c r="P201" s="4"/>
      <c r="Q201" s="4"/>
      <c r="R201"/>
      <c r="S201"/>
      <c r="T201" s="4"/>
      <c r="U201" s="4"/>
      <c r="V201"/>
      <c r="W201"/>
      <c r="X201"/>
      <c r="Y201" t="inlineStr">
        <is>
          <t>Pending Appointment</t>
        </is>
      </c>
      <c r="Z201"/>
      <c r="AA201">
        <v>2</v>
      </c>
      <c r="AB201" t="inlineStr">
        <is>
          <t>No Appointment Made</t>
        </is>
      </c>
      <c r="AC201"/>
      <c r="AD201" t="inlineStr">
        <is>
          <t xml:space="preserve">1 account penang 1 sales melaka mandarin speaker </t>
        </is>
      </c>
      <c r="AE201"/>
      <c r="AF201"/>
      <c r="AG201" s="4"/>
      <c r="AH201" s="4"/>
      <c r="AI201"/>
      <c r="AJ201"/>
      <c r="AK201"/>
      <c r="AL201"/>
      <c r="AM201"/>
      <c r="AN201"/>
      <c r="AO201"/>
      <c r="AP201"/>
      <c r="AQ201"/>
      <c r="AR201"/>
      <c r="AS201" t="inlineStr">
        <is>
          <t>- Headcount: 2
- Hiring Job Details: 1 account (Penang), 1 sales (Melaka,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01">
        <v>30</v>
      </c>
      <c r="AU201" t="inlineStr">
        <is>
          <t>0.30</t>
        </is>
      </c>
      <c r="AV201" t="inlineStr">
        <is>
          <t>5</t>
        </is>
      </c>
      <c r="AW201" t="inlineStr">
        <is>
          <t>0</t>
        </is>
      </c>
      <c r="AX201" t="inlineStr">
        <is>
          <t>Not Qualified</t>
        </is>
      </c>
      <c r="AY201" s="4"/>
      <c r="AZ201"/>
      <c r="BA201"/>
      <c r="BB201"/>
      <c r="BC201" t="inlineStr">
        <is>
          <t>quo sent</t>
        </is>
      </c>
      <c r="BD201" s="4">
        <v>46141.67023148148</v>
      </c>
      <c r="BE201"/>
      <c r="BF201"/>
      <c r="BG201" t="inlineStr">
        <is>
          <t>Reschedule</t>
        </is>
      </c>
      <c r="BH201" t="inlineStr">
        <is>
          <t>Fauziah Maharan</t>
        </is>
      </c>
      <c r="BI201"/>
      <c r="BJ201" s="4">
        <v>46144.75329861111</v>
      </c>
      <c r="BK201" s="4">
        <v>46006.65561342592</v>
      </c>
      <c r="BL201" t="inlineStr">
        <is>
          <t>0.0</t>
        </is>
      </c>
      <c r="BM201" t="inlineStr">
        <is>
          <t>0.0</t>
        </is>
      </c>
      <c r="BN201" t="inlineStr">
        <is>
          <t>View Create Job Page V4</t>
        </is>
      </c>
      <c r="BO201" s="4">
        <v>46006.66228009259</v>
      </c>
      <c r="BP201">
        <v>169544</v>
      </c>
      <c r="BQ201"/>
      <c r="BR201"/>
      <c r="BS201"/>
      <c r="BT201"/>
      <c r="BU201"/>
      <c r="BV201">
        <v>2735821</v>
      </c>
      <c r="BW201" t="inlineStr">
        <is>
          <t>Customer Inquiry</t>
        </is>
      </c>
      <c r="BX201"/>
      <c r="BY201"/>
      <c r="BZ201" s="4"/>
      <c r="CA201"/>
      <c r="CB201"/>
      <c r="CC201" s="4"/>
      <c r="CD201" t="inlineStr">
        <is>
          <t>5</t>
        </is>
      </c>
      <c r="CE201" t="inlineStr">
        <is>
          <t>0</t>
        </is>
      </c>
      <c r="CF201" t="inlineStr">
        <is>
          <t>Q2-W04</t>
        </is>
      </c>
      <c r="CG201"/>
      <c r="CH201"/>
      <c r="CI201"/>
      <c r="CJ201" t="inlineStr">
        <is>
          <t>No Paid</t>
        </is>
      </c>
      <c r="CK201" t="inlineStr">
        <is>
          <t>Not Eligible</t>
        </is>
      </c>
      <c r="CL201"/>
      <c r="CM201"/>
    </row>
    <row r="202" ht="25.5" customHeight="1">
      <c r="A202" t="inlineStr">
        <is>
          <t>4312379</t>
        </is>
      </c>
      <c r="B202" s="2"/>
      <c r="C202"/>
      <c r="D202" s="3">
        <v>46141.668217592596</v>
      </c>
      <c r="E202" t="inlineStr">
        <is>
          <t>Q2-W04</t>
        </is>
      </c>
      <c r="F202" t="inlineStr">
        <is>
          <t>Evan</t>
        </is>
      </c>
      <c r="G202" t="inlineStr">
        <is>
          <t>Lead</t>
        </is>
      </c>
      <c r="H202" s="2" t="str">
        <f>=HYPERLINK("https://upbox.ajobthing.my/leads/4312379", "https://upbox.ajobthing.my/leads/4312379")</f>
        <v>https://upbox.ajobthing.my/leads/4312379</v>
      </c>
      <c r="I202" t="inlineStr">
        <is>
          <t>Almix Asia Sdn Bhd</t>
        </is>
      </c>
      <c r="J202" t="inlineStr">
        <is>
          <t>Dolphin</t>
        </is>
      </c>
      <c r="K202" t="inlineStr">
        <is>
          <t>Evan</t>
        </is>
      </c>
      <c r="L202" s="4"/>
      <c r="M202" s="4">
        <v>46141.66664351852</v>
      </c>
      <c r="N202"/>
      <c r="O202">
        <v>3576.96</v>
      </c>
      <c r="P202" s="4"/>
      <c r="Q202" s="4"/>
      <c r="R202"/>
      <c r="S202"/>
      <c r="T202" s="4"/>
      <c r="U202" s="4"/>
      <c r="V202"/>
      <c r="W202"/>
      <c r="X202"/>
      <c r="Y202" t="inlineStr">
        <is>
          <t>Pending Appointment</t>
        </is>
      </c>
      <c r="Z202" t="inlineStr">
        <is>
          <t>Hiring Now</t>
        </is>
      </c>
      <c r="AA202">
        <v>1</v>
      </c>
      <c r="AB202" t="inlineStr">
        <is>
          <t>No Appointment Made</t>
        </is>
      </c>
      <c r="AC202"/>
      <c r="AD202" t="inlineStr">
        <is>
          <t>1 storekeeper, all base in rawang</t>
        </is>
      </c>
      <c r="AE202"/>
      <c r="AF202">
        <v>1</v>
      </c>
      <c r="AG202" s="4"/>
      <c r="AH202" s="4"/>
      <c r="AI202">
        <v>1</v>
      </c>
      <c r="AJ202">
        <v>2</v>
      </c>
      <c r="AK202" t="inlineStr">
        <is>
          <t>No, I don't need at all</t>
        </is>
      </c>
      <c r="AL202">
        <v>1</v>
      </c>
      <c r="AM202" t="inlineStr">
        <is>
          <t>No, I don't need at all</t>
        </is>
      </c>
      <c r="AN202"/>
      <c r="AO202" t="inlineStr">
        <is>
          <t>No, I don't need at all</t>
        </is>
      </c>
      <c r="AP202" t="inlineStr">
        <is>
          <t>Once a year (25%)</t>
        </is>
      </c>
      <c r="AQ202">
        <v>1</v>
      </c>
      <c r="AR202" t="inlineStr">
        <is>
          <t>Jobstreet</t>
        </is>
      </c>
      <c r="AS202" t="inlineStr">
        <is>
          <t>- Headcount: Not specified
- Hiring Job Details: 1 storekeeper, all based in Rawang
- Hiring Urgency: Hiring Now
- Number of outlets: 2
- Have recruiter team: No, I don't need at all
- Number of recruiter in company: 1
- Have ATS system: No, I don't need at all
- Have career website: No, I don't need at all
- Current hiring budget: RM1.00
- Whole year budget: RM1.00
- Whole year number of vacancies: 1
- Hiring frequency: Once a year (25%)
- External job portal: Jobstreet</t>
        </is>
      </c>
      <c r="AT202">
        <v>115</v>
      </c>
      <c r="AU202" t="inlineStr">
        <is>
          <t>1.15</t>
        </is>
      </c>
      <c r="AV202" t="inlineStr">
        <is>
          <t>15</t>
        </is>
      </c>
      <c r="AW202" t="inlineStr">
        <is>
          <t>0</t>
        </is>
      </c>
      <c r="AX202" t="inlineStr">
        <is>
          <t>Not Qualified</t>
        </is>
      </c>
      <c r="AY202" s="4"/>
      <c r="AZ202"/>
      <c r="BA202"/>
      <c r="BB202"/>
      <c r="BC202"/>
      <c r="BD202" s="4"/>
      <c r="BE202"/>
      <c r="BF202"/>
      <c r="BG202" t="inlineStr">
        <is>
          <t>Reschedule</t>
        </is>
      </c>
      <c r="BH202" t="inlineStr">
        <is>
          <t>Edward Hoo</t>
        </is>
      </c>
      <c r="BI202"/>
      <c r="BJ202" s="4">
        <v>46144.75587962963</v>
      </c>
      <c r="BK202" s="4">
        <v>46134.39649305555</v>
      </c>
      <c r="BL202" t="inlineStr">
        <is>
          <t>0.0</t>
        </is>
      </c>
      <c r="BM202" t="inlineStr">
        <is>
          <t>1200.0</t>
        </is>
      </c>
      <c r="BN202"/>
      <c r="BO202" s="4"/>
      <c r="BP202">
        <v>169545</v>
      </c>
      <c r="BQ202"/>
      <c r="BR202"/>
      <c r="BS202"/>
      <c r="BT202"/>
      <c r="BU202"/>
      <c r="BV202"/>
      <c r="BW202"/>
      <c r="BX202"/>
      <c r="BY202"/>
      <c r="BZ202" s="4"/>
      <c r="CA202"/>
      <c r="CB202"/>
      <c r="CC202" s="4"/>
      <c r="CD202" t="inlineStr">
        <is>
          <t>20</t>
        </is>
      </c>
      <c r="CE202" t="inlineStr">
        <is>
          <t>0</t>
        </is>
      </c>
      <c r="CF202" t="inlineStr">
        <is>
          <t>Q2-W04</t>
        </is>
      </c>
      <c r="CG202"/>
      <c r="CH202"/>
      <c r="CI202"/>
      <c r="CJ202" t="inlineStr">
        <is>
          <t>No Paid</t>
        </is>
      </c>
      <c r="CK202" t="inlineStr">
        <is>
          <t>Not Eligible</t>
        </is>
      </c>
      <c r="CL202"/>
      <c r="CM202"/>
    </row>
    <row r="203" ht="25.5" customHeight="1">
      <c r="A203" t="inlineStr">
        <is>
          <t>4332126</t>
        </is>
      </c>
      <c r="B203" s="2"/>
      <c r="C203"/>
      <c r="D203" s="3">
        <v>46141.6846875</v>
      </c>
      <c r="E203" t="inlineStr">
        <is>
          <t>Q2-W04</t>
        </is>
      </c>
      <c r="F203" t="inlineStr">
        <is>
          <t>Lucas</t>
        </is>
      </c>
      <c r="G203" t="inlineStr">
        <is>
          <t>Lead</t>
        </is>
      </c>
      <c r="H203" s="2" t="str">
        <f>=HYPERLINK("https://upbox.ajobthing.my/leads/4332126", "https://upbox.ajobthing.my/leads/4332126")</f>
        <v>https://upbox.ajobthing.my/leads/4332126</v>
      </c>
      <c r="I203" t="inlineStr">
        <is>
          <t>Systematic Office Equipment</t>
        </is>
      </c>
      <c r="J203" t="inlineStr">
        <is>
          <t>Dolphin</t>
        </is>
      </c>
      <c r="K203" t="inlineStr">
        <is>
          <t>Lucas</t>
        </is>
      </c>
      <c r="L203" s="4"/>
      <c r="M203" s="4">
        <v>46141.68346064815</v>
      </c>
      <c r="N203"/>
      <c r="O203">
        <v>3576.96</v>
      </c>
      <c r="P203" s="4"/>
      <c r="Q203" s="4"/>
      <c r="R203"/>
      <c r="S203"/>
      <c r="T203" s="4"/>
      <c r="U203" s="4"/>
      <c r="V203"/>
      <c r="W203"/>
      <c r="X203"/>
      <c r="Y203" t="inlineStr">
        <is>
          <t>Pending Appointment</t>
        </is>
      </c>
      <c r="Z203" t="inlineStr">
        <is>
          <t>Hiring Now</t>
        </is>
      </c>
      <c r="AA203">
        <v>1</v>
      </c>
      <c r="AB203" t="inlineStr">
        <is>
          <t>No Appointment Made</t>
        </is>
      </c>
      <c r="AC203"/>
      <c r="AD203" t="inlineStr">
        <is>
          <t>1 lorry driver</t>
        </is>
      </c>
      <c r="AE203"/>
      <c r="AF203">
        <v>0</v>
      </c>
      <c r="AG203" s="4"/>
      <c r="AH203" s="4"/>
      <c r="AI203">
        <v>0</v>
      </c>
      <c r="AJ203">
        <v>0</v>
      </c>
      <c r="AK203" t="inlineStr">
        <is>
          <t>No, I don't need at all</t>
        </is>
      </c>
      <c r="AL203">
        <v>0</v>
      </c>
      <c r="AM203" t="inlineStr">
        <is>
          <t>No, I don't need at all</t>
        </is>
      </c>
      <c r="AN203"/>
      <c r="AO203" t="inlineStr">
        <is>
          <t>No, I don't need at all</t>
        </is>
      </c>
      <c r="AP203" t="inlineStr">
        <is>
          <t>Once a year (25%)</t>
        </is>
      </c>
      <c r="AQ203">
        <v>1</v>
      </c>
      <c r="AR203" t="inlineStr">
        <is>
          <t>Did not use any job portal</t>
        </is>
      </c>
      <c r="AS203" t="inlineStr">
        <is>
          <t>- Headcount: 1
- Hiring Job Details: 1 lorry driver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03">
        <v>105</v>
      </c>
      <c r="AU203" t="inlineStr">
        <is>
          <t>1.05</t>
        </is>
      </c>
      <c r="AV203" t="inlineStr">
        <is>
          <t>15</t>
        </is>
      </c>
      <c r="AW203" t="inlineStr">
        <is>
          <t>0</t>
        </is>
      </c>
      <c r="AX203" t="inlineStr">
        <is>
          <t>Not Qualified</t>
        </is>
      </c>
      <c r="AY203" s="4"/>
      <c r="AZ203"/>
      <c r="BA203"/>
      <c r="BB203"/>
      <c r="BC203"/>
      <c r="BD203" s="4"/>
      <c r="BE203"/>
      <c r="BF203"/>
      <c r="BG203" t="inlineStr">
        <is>
          <t>Reschedule</t>
        </is>
      </c>
      <c r="BH203" t="inlineStr">
        <is>
          <t>Yee Hang</t>
        </is>
      </c>
      <c r="BI203"/>
      <c r="BJ203" s="4">
        <v>46144.755949074075</v>
      </c>
      <c r="BK203" s="4">
        <v>46141.67009259259</v>
      </c>
      <c r="BL203" t="inlineStr">
        <is>
          <t>0.0</t>
        </is>
      </c>
      <c r="BM203" t="inlineStr">
        <is>
          <t>0.0</t>
        </is>
      </c>
      <c r="BN203"/>
      <c r="BO203" s="4"/>
      <c r="BP203">
        <v>169555</v>
      </c>
      <c r="BQ203"/>
      <c r="BR203"/>
      <c r="BS203"/>
      <c r="BT203"/>
      <c r="BU203"/>
      <c r="BV203"/>
      <c r="BW203"/>
      <c r="BX203"/>
      <c r="BY203"/>
      <c r="BZ203" s="4"/>
      <c r="CA203"/>
      <c r="CB203"/>
      <c r="CC203" s="4"/>
      <c r="CD203" t="inlineStr">
        <is>
          <t>20</t>
        </is>
      </c>
      <c r="CE203" t="inlineStr">
        <is>
          <t>0</t>
        </is>
      </c>
      <c r="CF203" t="inlineStr">
        <is>
          <t>Q2-W04</t>
        </is>
      </c>
      <c r="CG203"/>
      <c r="CH203"/>
      <c r="CI203"/>
      <c r="CJ203" t="inlineStr">
        <is>
          <t>No Paid</t>
        </is>
      </c>
      <c r="CK203" t="inlineStr">
        <is>
          <t>Not Eligible</t>
        </is>
      </c>
      <c r="CL203"/>
      <c r="CM203"/>
    </row>
    <row r="204" ht="25.5" customHeight="1">
      <c r="A204" t="inlineStr">
        <is>
          <t>179050</t>
        </is>
      </c>
      <c r="B204" s="2"/>
      <c r="C204"/>
      <c r="D204" s="3">
        <v>46141.686527777776</v>
      </c>
      <c r="E204" t="inlineStr">
        <is>
          <t>Q2-W04</t>
        </is>
      </c>
      <c r="F204" t="inlineStr">
        <is>
          <t>Luqman</t>
        </is>
      </c>
      <c r="G204" t="inlineStr">
        <is>
          <t>Customer</t>
        </is>
      </c>
      <c r="H204" s="2" t="str">
        <f>=HYPERLINK("https://upbox.ajobthing.my/customer/179050", "https://upbox.ajobthing.my/customer/179050")</f>
        <v>https://upbox.ajobthing.my/customer/179050</v>
      </c>
      <c r="I204" t="inlineStr">
        <is>
          <t>Cays Scientific Enterprise</t>
        </is>
      </c>
      <c r="J204" t="inlineStr">
        <is>
          <t>Dolphin</t>
        </is>
      </c>
      <c r="K204" t="inlineStr">
        <is>
          <t>Luqman</t>
        </is>
      </c>
      <c r="L204" s="4"/>
      <c r="M204" s="4">
        <v>46141.6866087963</v>
      </c>
      <c r="N204"/>
      <c r="O204">
        <v>1296</v>
      </c>
      <c r="P204" s="4"/>
      <c r="Q204" s="4">
        <v>45572</v>
      </c>
      <c r="R204"/>
      <c r="S204">
        <v>1944</v>
      </c>
      <c r="T204" s="4">
        <v>45572</v>
      </c>
      <c r="U204" s="4"/>
      <c r="V204"/>
      <c r="W204">
        <v>1944</v>
      </c>
      <c r="X204"/>
      <c r="Y204" t="inlineStr">
        <is>
          <t>Pending Appointment</t>
        </is>
      </c>
      <c r="Z204" t="inlineStr">
        <is>
          <t>Hiring Now</t>
        </is>
      </c>
      <c r="AA204">
        <v>1</v>
      </c>
      <c r="AB204" t="inlineStr">
        <is>
          <t>No Appointment Made</t>
        </is>
      </c>
      <c r="AC204"/>
      <c r="AD204" t="inlineStr">
        <is>
          <t xml:space="preserve">1. Senior Sales Executive </t>
        </is>
      </c>
      <c r="AE204"/>
      <c r="AF204">
        <v>1200</v>
      </c>
      <c r="AG204" s="4"/>
      <c r="AH204" s="4"/>
      <c r="AI204">
        <v>1200</v>
      </c>
      <c r="AJ204"/>
      <c r="AK204" t="inlineStr">
        <is>
          <t>Yes, I have</t>
        </is>
      </c>
      <c r="AL204">
        <v>2</v>
      </c>
      <c r="AM204" t="inlineStr">
        <is>
          <t>No, I don't need at all</t>
        </is>
      </c>
      <c r="AN204"/>
      <c r="AO204" t="inlineStr">
        <is>
          <t>Yes, I have</t>
        </is>
      </c>
      <c r="AP204" t="inlineStr">
        <is>
          <t>Once a year (25%)</t>
        </is>
      </c>
      <c r="AQ204">
        <v>1</v>
      </c>
      <c r="AR204" t="inlineStr">
        <is>
          <t>Jobstreet, Hiredly</t>
        </is>
      </c>
      <c r="AS204" t="inlineStr">
        <is>
          <t>- Headcount: 1
- Hiring Job Details: 1 Senior Sales Executive
- Hiring Urgency: Hiring Now
- Number of outlets: Not specified
- Have recruiter team: Yes
- Number of recruiter in company: 2
- Have ATS system: No, I don't need at all
- Have career website: Yes
- Current hiring budget: RM1,200
- Whole year budget: RM1,200.00
- Whole year number of vacancies: 1
- Hiring frequency: Once a year (25%)
- External job portal: Jobstreet, Hiredly</t>
        </is>
      </c>
      <c r="AT204">
        <v>110</v>
      </c>
      <c r="AU204" t="inlineStr">
        <is>
          <t>1.10</t>
        </is>
      </c>
      <c r="AV204" t="inlineStr">
        <is>
          <t>15</t>
        </is>
      </c>
      <c r="AW204" t="inlineStr">
        <is>
          <t>0</t>
        </is>
      </c>
      <c r="AX204" t="inlineStr">
        <is>
          <t>Not Qualified</t>
        </is>
      </c>
      <c r="AY204" s="4"/>
      <c r="AZ204"/>
      <c r="BA204"/>
      <c r="BB204"/>
      <c r="BC204" t="inlineStr">
        <is>
          <t>- Headcount: 1
- Hiring Job Details: 1 Senior Sales Executive
- Hiring Urgency: Hiring Now
- Number of outlets: Not specified
- Have recruiter team: Yes
- Number of recruiter in company: 2
- Have ATS system: No, I don't need at all
- Have career website: Yes
- Current hiring budget: RM1,200
- Whole year budget: RM1,200.00
- Whole year number of vacancies: 1
- Hiring frequency: Once a year (25%)
- External job portal: Jobstreet, Hiredly</t>
        </is>
      </c>
      <c r="BD204" s="4">
        <v>46141.70837962963</v>
      </c>
      <c r="BE204" t="inlineStr">
        <is>
          <t>paid</t>
        </is>
      </c>
      <c r="BF204"/>
      <c r="BG204" t="inlineStr">
        <is>
          <t>Reschedule</t>
        </is>
      </c>
      <c r="BH204" t="inlineStr">
        <is>
          <t>Edward Hoo</t>
        </is>
      </c>
      <c r="BI204" t="inlineStr">
        <is>
          <t>Other industries</t>
        </is>
      </c>
      <c r="BJ204" s="4">
        <v>46144.751759259256</v>
      </c>
      <c r="BK204" s="4">
        <v>45445.676087962966</v>
      </c>
      <c r="BL204" t="inlineStr">
        <is>
          <t>0.0</t>
        </is>
      </c>
      <c r="BM204" t="inlineStr">
        <is>
          <t>0.0</t>
        </is>
      </c>
      <c r="BN204" t="inlineStr">
        <is>
          <t>View Candidate Search Page</t>
        </is>
      </c>
      <c r="BO204" s="4">
        <v>45987.44372685185</v>
      </c>
      <c r="BP204">
        <v>169557</v>
      </c>
      <c r="BQ204">
        <v>73634</v>
      </c>
      <c r="BR204" t="inlineStr">
        <is>
          <t>Online</t>
        </is>
      </c>
      <c r="BS204"/>
      <c r="BT204">
        <v>73634</v>
      </c>
      <c r="BU204"/>
      <c r="BV204">
        <v>2736066</v>
      </c>
      <c r="BW204" t="inlineStr">
        <is>
          <t>Customer Inquiry</t>
        </is>
      </c>
      <c r="BX204"/>
      <c r="BY204"/>
      <c r="BZ204" s="4"/>
      <c r="CA204"/>
      <c r="CB204"/>
      <c r="CC204" s="4"/>
      <c r="CD204" t="inlineStr">
        <is>
          <t>20</t>
        </is>
      </c>
      <c r="CE204" t="inlineStr">
        <is>
          <t>0</t>
        </is>
      </c>
      <c r="CF204" t="inlineStr">
        <is>
          <t>Q2-W04</t>
        </is>
      </c>
      <c r="CG204"/>
      <c r="CH204"/>
      <c r="CI204"/>
      <c r="CJ204" t="inlineStr">
        <is>
          <t>Paid</t>
        </is>
      </c>
      <c r="CK204" t="inlineStr">
        <is>
          <t>Not Eligible</t>
        </is>
      </c>
      <c r="CL204"/>
      <c r="CM204"/>
    </row>
    <row r="205" ht="25.5" customHeight="1">
      <c r="A205" t="inlineStr">
        <is>
          <t>176407</t>
        </is>
      </c>
      <c r="B205" s="2"/>
      <c r="C205"/>
      <c r="D205" s="3">
        <v>46141.68850694445</v>
      </c>
      <c r="E205" t="inlineStr">
        <is>
          <t>Q2-W04</t>
        </is>
      </c>
      <c r="F205" t="inlineStr">
        <is>
          <t>Ken Yi</t>
        </is>
      </c>
      <c r="G205" t="inlineStr">
        <is>
          <t>Customer</t>
        </is>
      </c>
      <c r="H205" s="2" t="str">
        <f>=HYPERLINK("https://upbox.ajobthing.my/customer/176407", "https://upbox.ajobthing.my/customer/176407")</f>
        <v>https://upbox.ajobthing.my/customer/176407</v>
      </c>
      <c r="I205" t="inlineStr">
        <is>
          <t>Kuretake Marketing Sdn Bhd</t>
        </is>
      </c>
      <c r="J205" t="inlineStr">
        <is>
          <t>Dolphin</t>
        </is>
      </c>
      <c r="K205" t="inlineStr">
        <is>
          <t>Kenyi</t>
        </is>
      </c>
      <c r="L205" s="4"/>
      <c r="M205" s="4">
        <v>46141.69298611111</v>
      </c>
      <c r="N205"/>
      <c r="O205">
        <v>9732.96</v>
      </c>
      <c r="P205" s="4"/>
      <c r="Q205" s="4">
        <v>45986.58760416666</v>
      </c>
      <c r="R205"/>
      <c r="S205">
        <v>0</v>
      </c>
      <c r="T205" s="4">
        <v>45762.552037037036</v>
      </c>
      <c r="U205" s="4"/>
      <c r="V205"/>
      <c r="W205">
        <v>2916</v>
      </c>
      <c r="X205"/>
      <c r="Y205" t="inlineStr">
        <is>
          <t>Pending Appointment</t>
        </is>
      </c>
      <c r="Z205" t="inlineStr">
        <is>
          <t>Hiring Now</t>
        </is>
      </c>
      <c r="AA205">
        <v>1</v>
      </c>
      <c r="AB205" t="inlineStr">
        <is>
          <t>No Appointment Made</t>
        </is>
      </c>
      <c r="AC205"/>
      <c r="AD205" t="inlineStr">
        <is>
          <t>Re-share the promotion for job ad 365</t>
        </is>
      </c>
      <c r="AE205"/>
      <c r="AF205">
        <v>0</v>
      </c>
      <c r="AG205" s="4"/>
      <c r="AH205" s="4"/>
      <c r="AI205">
        <v>0</v>
      </c>
      <c r="AJ205">
        <v>2</v>
      </c>
      <c r="AK205" t="inlineStr">
        <is>
          <t>No, I don't need at all</t>
        </is>
      </c>
      <c r="AL205">
        <v>0</v>
      </c>
      <c r="AM205" t="inlineStr">
        <is>
          <t>No, I don't need at all</t>
        </is>
      </c>
      <c r="AN205"/>
      <c r="AO205" t="inlineStr">
        <is>
          <t>No, I don't need at all</t>
        </is>
      </c>
      <c r="AP205" t="inlineStr">
        <is>
          <t>Every month (100%)</t>
        </is>
      </c>
      <c r="AQ205">
        <v>5</v>
      </c>
      <c r="AR205" t="inlineStr">
        <is>
          <t>Jobstreet</t>
        </is>
      </c>
      <c r="AS205" t="inlineStr">
        <is>
          <t>- Headcount: 1
- Hiring Job Details: Re-share the promotion for job ad 365
- Hiring Urgency: Hiring Now
- Number of outlets: 2
- Have recruiter team: No, I don't need at all
- Number of recruiter in company: 0
- Have ATS system: No, I don't need at all
- Have career website: No, I don't need at all
- Current hiring budget: RM0
- Whole year budget: RM0.00
- Whole year number of vacancies: 5
- Hiring frequency: Every month (100%)
- External job portal: Jobstreet</t>
        </is>
      </c>
      <c r="AT205">
        <v>75</v>
      </c>
      <c r="AU205" t="inlineStr">
        <is>
          <t>0.75</t>
        </is>
      </c>
      <c r="AV205" t="inlineStr">
        <is>
          <t>15</t>
        </is>
      </c>
      <c r="AW205" t="inlineStr">
        <is>
          <t>0</t>
        </is>
      </c>
      <c r="AX205" t="inlineStr">
        <is>
          <t>Not Qualified</t>
        </is>
      </c>
      <c r="AY205" s="4"/>
      <c r="AZ205"/>
      <c r="BA205"/>
      <c r="BB205"/>
      <c r="BC205" t="inlineStr">
        <is>
          <t>- Headcount: 1
- Hiring Job Details: Re-share the promotion for job ad 365
- Hiring Urgency: Hiring Now
- Number of outlets: 2
- Have recruiter team: No, I don't need at all
- Number of recruiter in company: 0
- Have ATS system: No, I don't need at all
- Have career website: No, I don't need at all
- Current hiring budget: RM0
- Whole year budget: RM0.00
- Whole year number of vacancies: 5
- Hiring frequency: Every month (100%)
- External job portal: Jobstreet</t>
        </is>
      </c>
      <c r="BD205" s="4">
        <v>46141.70837962963</v>
      </c>
      <c r="BE205" t="inlineStr">
        <is>
          <t>paid</t>
        </is>
      </c>
      <c r="BF205"/>
      <c r="BG205" t="inlineStr">
        <is>
          <t>Reschedule</t>
        </is>
      </c>
      <c r="BH205" t="inlineStr">
        <is>
          <t>Fauziah Maharan</t>
        </is>
      </c>
      <c r="BI205" t="inlineStr">
        <is>
          <t>Retail / Merchandise</t>
        </is>
      </c>
      <c r="BJ205" s="4">
        <v>46144.751655092594</v>
      </c>
      <c r="BK205" s="4">
        <v>45365.652766203704</v>
      </c>
      <c r="BL205" t="inlineStr">
        <is>
          <t>0.0</t>
        </is>
      </c>
      <c r="BM205" t="inlineStr">
        <is>
          <t>2400.0</t>
        </is>
      </c>
      <c r="BN205" t="inlineStr">
        <is>
          <t>View Company Page</t>
        </is>
      </c>
      <c r="BO205" s="4">
        <v>46142.758877314816</v>
      </c>
      <c r="BP205">
        <v>169561</v>
      </c>
      <c r="BQ205">
        <v>112319</v>
      </c>
      <c r="BR205" t="inlineStr">
        <is>
          <t>Proforma</t>
        </is>
      </c>
      <c r="BS205" t="inlineStr">
        <is>
          <t>A La Carte AI Job Ad Free</t>
        </is>
      </c>
      <c r="BT205">
        <v>78476</v>
      </c>
      <c r="BU205"/>
      <c r="BV205">
        <v>2736069</v>
      </c>
      <c r="BW205" t="inlineStr">
        <is>
          <t>Customer Inquiry</t>
        </is>
      </c>
      <c r="BX205"/>
      <c r="BY205"/>
      <c r="BZ205" s="4"/>
      <c r="CA205"/>
      <c r="CB205"/>
      <c r="CC205" s="4"/>
      <c r="CD205" t="inlineStr">
        <is>
          <t>20</t>
        </is>
      </c>
      <c r="CE205" t="inlineStr">
        <is>
          <t>0</t>
        </is>
      </c>
      <c r="CF205" t="inlineStr">
        <is>
          <t>Q2-W04</t>
        </is>
      </c>
      <c r="CG205"/>
      <c r="CH205"/>
      <c r="CI205"/>
      <c r="CJ205" t="inlineStr">
        <is>
          <t>Paid</t>
        </is>
      </c>
      <c r="CK205" t="inlineStr">
        <is>
          <t>Not Eligible</t>
        </is>
      </c>
      <c r="CL205"/>
      <c r="CM205"/>
    </row>
    <row r="206" ht="25.5" customHeight="1">
      <c r="A206" t="inlineStr">
        <is>
          <t>25113</t>
        </is>
      </c>
      <c r="B206" s="2"/>
      <c r="C206"/>
      <c r="D206" s="3">
        <v>46141.697696759256</v>
      </c>
      <c r="E206" t="inlineStr">
        <is>
          <t>Q2-W04</t>
        </is>
      </c>
      <c r="F206" t="inlineStr">
        <is>
          <t>Carmen</t>
        </is>
      </c>
      <c r="G206" t="inlineStr">
        <is>
          <t>Customer</t>
        </is>
      </c>
      <c r="H206" s="2" t="str">
        <f>=HYPERLINK("https://upbox.ajobthing.my/customer/25113", "https://upbox.ajobthing.my/customer/25113")</f>
        <v>https://upbox.ajobthing.my/customer/25113</v>
      </c>
      <c r="I206" t="inlineStr">
        <is>
          <t>Servconnect Technology Plt</t>
        </is>
      </c>
      <c r="J206" t="inlineStr">
        <is>
          <t>Dolphin</t>
        </is>
      </c>
      <c r="K206" t="inlineStr">
        <is>
          <t>Carmen</t>
        </is>
      </c>
      <c r="L206" s="4"/>
      <c r="M206" s="4">
        <v>46141.69844907407</v>
      </c>
      <c r="N206"/>
      <c r="O206">
        <v>3576.96</v>
      </c>
      <c r="P206" s="4"/>
      <c r="Q206" s="4">
        <v>45861.59724537037</v>
      </c>
      <c r="R206"/>
      <c r="S206">
        <v>1296</v>
      </c>
      <c r="T206" s="4">
        <v>45861.59724537037</v>
      </c>
      <c r="U206" s="4"/>
      <c r="V206"/>
      <c r="W206">
        <v>1296</v>
      </c>
      <c r="X206"/>
      <c r="Y206" t="inlineStr">
        <is>
          <t>Pending Appointment</t>
        </is>
      </c>
      <c r="Z206" t="inlineStr">
        <is>
          <t>Hiring Now</t>
        </is>
      </c>
      <c r="AA206">
        <v>5</v>
      </c>
      <c r="AB206" t="inlineStr">
        <is>
          <t>No Appointment Made</t>
        </is>
      </c>
      <c r="AC206"/>
      <c r="AD206" t="inlineStr">
        <is>
          <t>3 IT Support ; 1 Business development ; 1 AI engineer</t>
        </is>
      </c>
      <c r="AE206"/>
      <c r="AF206">
        <v>0</v>
      </c>
      <c r="AG206" s="4"/>
      <c r="AH206" s="4"/>
      <c r="AI206"/>
      <c r="AJ206"/>
      <c r="AK206"/>
      <c r="AL206"/>
      <c r="AM206"/>
      <c r="AN206"/>
      <c r="AO206"/>
      <c r="AP206"/>
      <c r="AQ206"/>
      <c r="AR206"/>
      <c r="AS206" t="inlineStr">
        <is>
          <t>- Headcount: 5
- Hiring Job Details: 3 IT Support, 1 Business development, 1 AI engineer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206">
        <v>65</v>
      </c>
      <c r="AU206" t="inlineStr">
        <is>
          <t>0.65</t>
        </is>
      </c>
      <c r="AV206" t="inlineStr">
        <is>
          <t>20</t>
        </is>
      </c>
      <c r="AW206" t="inlineStr">
        <is>
          <t>0</t>
        </is>
      </c>
      <c r="AX206" t="inlineStr">
        <is>
          <t>Not Qualified</t>
        </is>
      </c>
      <c r="AY206" s="4"/>
      <c r="AZ206"/>
      <c r="BA206"/>
      <c r="BB206"/>
      <c r="BC206" t="inlineStr">
        <is>
          <t>pending decision</t>
        </is>
      </c>
      <c r="BD206" s="4">
        <v>46142.714108796295</v>
      </c>
      <c r="BE206" t="inlineStr">
        <is>
          <t>paid</t>
        </is>
      </c>
      <c r="BF206"/>
      <c r="BG206" t="inlineStr">
        <is>
          <t>Reschedule</t>
        </is>
      </c>
      <c r="BH206" t="inlineStr">
        <is>
          <t>Reagen</t>
        </is>
      </c>
      <c r="BI206" t="inlineStr">
        <is>
          <t>IT / Hardware</t>
        </is>
      </c>
      <c r="BJ206" s="4">
        <v>46144.75446759259</v>
      </c>
      <c r="BK206" s="4">
        <v>42542.70041666667</v>
      </c>
      <c r="BL206" t="inlineStr">
        <is>
          <t>1296.0</t>
        </is>
      </c>
      <c r="BM206" t="inlineStr">
        <is>
          <t>0.0</t>
        </is>
      </c>
      <c r="BN206" t="inlineStr">
        <is>
          <t>User Visit(Logged In)</t>
        </is>
      </c>
      <c r="BO206" s="4">
        <v>46093.694375</v>
      </c>
      <c r="BP206">
        <v>169567</v>
      </c>
      <c r="BQ206">
        <v>6140</v>
      </c>
      <c r="BR206" t="inlineStr">
        <is>
          <t>Manual (Paid)</t>
        </is>
      </c>
      <c r="BS206" t="inlineStr">
        <is>
          <t>Ala Carte Double
- Ala Carte Double
- 2 Job Ad will be published on Maukerja, Ricebowl, and our partner platforms
- 2 Job Ad will be published for 45 days
- Package valid for 1 month</t>
        </is>
      </c>
      <c r="BT206">
        <v>6140</v>
      </c>
      <c r="BU206"/>
      <c r="BV206">
        <v>2738319</v>
      </c>
      <c r="BW206" t="inlineStr">
        <is>
          <t>Follow Up : Decision Pending</t>
        </is>
      </c>
      <c r="BX206"/>
      <c r="BY206"/>
      <c r="BZ206" s="4"/>
      <c r="CA206"/>
      <c r="CB206"/>
      <c r="CC206" s="4"/>
      <c r="CD206" t="inlineStr">
        <is>
          <t>30</t>
        </is>
      </c>
      <c r="CE206" t="inlineStr">
        <is>
          <t>0</t>
        </is>
      </c>
      <c r="CF206" t="inlineStr">
        <is>
          <t>Q2-W04</t>
        </is>
      </c>
      <c r="CG206"/>
      <c r="CH206"/>
      <c r="CI206"/>
      <c r="CJ206" t="inlineStr">
        <is>
          <t>Paid</t>
        </is>
      </c>
      <c r="CK206" t="inlineStr">
        <is>
          <t>Not Eligible</t>
        </is>
      </c>
      <c r="CL206"/>
      <c r="CM206"/>
    </row>
    <row r="207" ht="25.5" customHeight="1">
      <c r="A207" t="inlineStr">
        <is>
          <t>46193</t>
        </is>
      </c>
      <c r="B207" s="2"/>
      <c r="C207"/>
      <c r="D207" s="3">
        <v>46141.719143518516</v>
      </c>
      <c r="E207" t="inlineStr">
        <is>
          <t>Q2-W04</t>
        </is>
      </c>
      <c r="F207" t="inlineStr">
        <is>
          <t>Jia Hui</t>
        </is>
      </c>
      <c r="G207" t="inlineStr">
        <is>
          <t>Customer</t>
        </is>
      </c>
      <c r="H207" s="2" t="str">
        <f>=HYPERLINK("https://upbox.ajobthing.my/customer/46193", "https://upbox.ajobthing.my/customer/46193")</f>
        <v>https://upbox.ajobthing.my/customer/46193</v>
      </c>
      <c r="I207" t="inlineStr">
        <is>
          <t>WFR Medical Supplies Sdn Bhd</t>
        </is>
      </c>
      <c r="J207" t="inlineStr">
        <is>
          <t>Dolphin</t>
        </is>
      </c>
      <c r="K207" t="inlineStr">
        <is>
          <t>Jia Hui</t>
        </is>
      </c>
      <c r="L207" s="4"/>
      <c r="M207" s="4">
        <v>46141.719363425924</v>
      </c>
      <c r="N207"/>
      <c r="O207">
        <v>6048</v>
      </c>
      <c r="P207" s="4"/>
      <c r="Q207" s="4">
        <v>44951.600902777776</v>
      </c>
      <c r="R207"/>
      <c r="S207">
        <v>1166</v>
      </c>
      <c r="T207" s="4">
        <v>44951.600902777776</v>
      </c>
      <c r="U207" s="4"/>
      <c r="V207"/>
      <c r="W207">
        <v>1166</v>
      </c>
      <c r="X207"/>
      <c r="Y207" t="inlineStr">
        <is>
          <t>Pending Appointment</t>
        </is>
      </c>
      <c r="Z207" t="inlineStr">
        <is>
          <t>Hiring Now</t>
        </is>
      </c>
      <c r="AA207">
        <v>7</v>
      </c>
      <c r="AB207" t="inlineStr">
        <is>
          <t>No Appointment Made</t>
        </is>
      </c>
      <c r="AC207"/>
      <c r="AD207" t="inlineStr">
        <is>
          <t>1 internal sales manager, 5 marketing exec for diff states, 1 e-commerce</t>
        </is>
      </c>
      <c r="AE207"/>
      <c r="AF207">
        <v>500</v>
      </c>
      <c r="AG207" s="4"/>
      <c r="AH207" s="4"/>
      <c r="AI207"/>
      <c r="AJ207"/>
      <c r="AK207" t="inlineStr">
        <is>
          <t>Yes, I have</t>
        </is>
      </c>
      <c r="AL207"/>
      <c r="AM207"/>
      <c r="AN207"/>
      <c r="AO207"/>
      <c r="AP207" t="inlineStr">
        <is>
          <t>Once a year (25%)</t>
        </is>
      </c>
      <c r="AQ207"/>
      <c r="AR207"/>
      <c r="AS207" t="inlineStr">
        <is>
          <t>- Headcount: 7
- Hiring Job Details: 1 internal sales manager, 5 marketing exec for diff states, 1 e-commerce
- Hiring Urgency: Hiring Now
- Number of outlets: N/A
- Have recruiter team: Yes
- Number of recruiter in company: N/A
- Have ATS system: N/A
- Have career website: N/A
- Current hiring budget: RM500.00
- Whole year budget: N/A
- Whole year number of vacancies: N/A
- Hiring frequency: Once a year (25%)
- External job portal: N/A</t>
        </is>
      </c>
      <c r="AT207">
        <v>75</v>
      </c>
      <c r="AU207" t="inlineStr">
        <is>
          <t>0.75</t>
        </is>
      </c>
      <c r="AV207" t="inlineStr">
        <is>
          <t>20</t>
        </is>
      </c>
      <c r="AW207" t="inlineStr">
        <is>
          <t>0</t>
        </is>
      </c>
      <c r="AX207" t="inlineStr">
        <is>
          <t>Not Qualified</t>
        </is>
      </c>
      <c r="AY207" s="4"/>
      <c r="AZ207"/>
      <c r="BA207"/>
      <c r="BB207"/>
      <c r="BC207" t="inlineStr">
        <is>
          <t>- Headcount: 7
- Hiring Job Details: 1 internal sales manager, 5 marketing exec for diff states, 1 e-commerce
- Hiring Urgency: Hiring Now
- Number of outlets: N/A
- Have recruiter team: Yes
- Number of recruiter in company: N/A
- Have ATS system: N/A
- Have career website: N/A
- Current hiring budget: RM500.00
- Whole year budget: N/A
- Whole year number of vacancies: N/A
- Hiring frequency: Once a year (25%)
- External job portal: N/A</t>
        </is>
      </c>
      <c r="BD207" s="4">
        <v>46141.75015046296</v>
      </c>
      <c r="BE207" t="inlineStr">
        <is>
          <t>paid</t>
        </is>
      </c>
      <c r="BF207"/>
      <c r="BG207" t="inlineStr">
        <is>
          <t>Reschedule</t>
        </is>
      </c>
      <c r="BH207" t="inlineStr">
        <is>
          <t>Reagen</t>
        </is>
      </c>
      <c r="BI207" t="inlineStr">
        <is>
          <t>Healthcare / Medical</t>
        </is>
      </c>
      <c r="BJ207" s="4">
        <v>46144.756006944444</v>
      </c>
      <c r="BK207" s="4">
        <v>43150.5078125</v>
      </c>
      <c r="BL207" t="inlineStr">
        <is>
          <t>0.0</t>
        </is>
      </c>
      <c r="BM207" t="inlineStr">
        <is>
          <t>600.0</t>
        </is>
      </c>
      <c r="BN207" t="inlineStr">
        <is>
          <t>View Jobmanager Page</t>
        </is>
      </c>
      <c r="BO207" s="4">
        <v>44963.49898148148</v>
      </c>
      <c r="BP207">
        <v>169579</v>
      </c>
      <c r="BQ207">
        <v>54728</v>
      </c>
      <c r="BR207" t="inlineStr">
        <is>
          <t>Online</t>
        </is>
      </c>
      <c r="BS207"/>
      <c r="BT207">
        <v>54728</v>
      </c>
      <c r="BU207"/>
      <c r="BV207">
        <v>2736321</v>
      </c>
      <c r="BW207" t="inlineStr">
        <is>
          <t>Customer Inquiry</t>
        </is>
      </c>
      <c r="BX207"/>
      <c r="BY207"/>
      <c r="BZ207" s="4"/>
      <c r="CA207"/>
      <c r="CB207"/>
      <c r="CC207" s="4"/>
      <c r="CD207" t="inlineStr">
        <is>
          <t>30</t>
        </is>
      </c>
      <c r="CE207" t="inlineStr">
        <is>
          <t>0</t>
        </is>
      </c>
      <c r="CF207" t="inlineStr">
        <is>
          <t>Q2-W04</t>
        </is>
      </c>
      <c r="CG207"/>
      <c r="CH207"/>
      <c r="CI207"/>
      <c r="CJ207" t="inlineStr">
        <is>
          <t>Paid</t>
        </is>
      </c>
      <c r="CK207" t="inlineStr">
        <is>
          <t>Not Eligible</t>
        </is>
      </c>
      <c r="CL207"/>
      <c r="CM207"/>
    </row>
    <row r="208" ht="25.5" customHeight="1">
      <c r="A208" t="inlineStr">
        <is>
          <t>203804</t>
        </is>
      </c>
      <c r="B208" s="2"/>
      <c r="C208"/>
      <c r="D208" s="3">
        <v>46141.721724537034</v>
      </c>
      <c r="E208" t="inlineStr">
        <is>
          <t>Q2-W04</t>
        </is>
      </c>
      <c r="F208" t="inlineStr">
        <is>
          <t>Fariz</t>
        </is>
      </c>
      <c r="G208" t="inlineStr">
        <is>
          <t>Customer</t>
        </is>
      </c>
      <c r="H208" s="2" t="str">
        <f>=HYPERLINK("https://upbox.ajobthing.my/customer/203804", "https://upbox.ajobthing.my/customer/203804")</f>
        <v>https://upbox.ajobthing.my/customer/203804</v>
      </c>
      <c r="I208" t="inlineStr">
        <is>
          <t>Electron Physiotheraphy and Rehabilitation</t>
        </is>
      </c>
      <c r="J208" t="inlineStr">
        <is>
          <t>Dolphin</t>
        </is>
      </c>
      <c r="K208" t="inlineStr">
        <is>
          <t>Fariz</t>
        </is>
      </c>
      <c r="L208" s="4"/>
      <c r="M208" s="4">
        <v>46141.721979166665</v>
      </c>
      <c r="N208"/>
      <c r="O208">
        <v>3888</v>
      </c>
      <c r="P208" s="4"/>
      <c r="Q208" s="4"/>
      <c r="R208"/>
      <c r="S208"/>
      <c r="T208" s="4"/>
      <c r="U208" s="4"/>
      <c r="V208"/>
      <c r="W208"/>
      <c r="X208"/>
      <c r="Y208" t="inlineStr">
        <is>
          <t>Pending Appointment</t>
        </is>
      </c>
      <c r="Z208" t="inlineStr">
        <is>
          <t>Hiring Now</t>
        </is>
      </c>
      <c r="AA208">
        <v>3</v>
      </c>
      <c r="AB208" t="inlineStr">
        <is>
          <t>No Appointment Made</t>
        </is>
      </c>
      <c r="AC208"/>
      <c r="AD208" t="inlineStr">
        <is>
          <t>3 physiotherapist</t>
        </is>
      </c>
      <c r="AE208"/>
      <c r="AF208">
        <v>3600</v>
      </c>
      <c r="AG208" s="4"/>
      <c r="AH208" s="4"/>
      <c r="AI208">
        <v>3600</v>
      </c>
      <c r="AJ208"/>
      <c r="AK208" t="inlineStr">
        <is>
          <t>No, I don't need at all</t>
        </is>
      </c>
      <c r="AL208">
        <v>1</v>
      </c>
      <c r="AM208" t="inlineStr">
        <is>
          <t>No, I don't need at all</t>
        </is>
      </c>
      <c r="AN208"/>
      <c r="AO208" t="inlineStr">
        <is>
          <t>No, I don't need at all</t>
        </is>
      </c>
      <c r="AP208" t="inlineStr">
        <is>
          <t>Once a year (25%)</t>
        </is>
      </c>
      <c r="AQ208">
        <v>3</v>
      </c>
      <c r="AR208" t="inlineStr">
        <is>
          <t>Indeed (Paid), Free Job Portal</t>
        </is>
      </c>
      <c r="AS208" t="inlineStr">
        <is>
          <t>- Headcount: 3
- Hiring Job Details: 3 physiotherapist
- Hiring Urgency: Hiring Now
- Number of outlets: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Indeed (Paid),Free Job Portal</t>
        </is>
      </c>
      <c r="AT208">
        <v>115</v>
      </c>
      <c r="AU208" t="inlineStr">
        <is>
          <t>1.15</t>
        </is>
      </c>
      <c r="AV208" t="inlineStr">
        <is>
          <t>15</t>
        </is>
      </c>
      <c r="AW208" t="inlineStr">
        <is>
          <t>0</t>
        </is>
      </c>
      <c r="AX208" t="inlineStr">
        <is>
          <t>Not Qualified</t>
        </is>
      </c>
      <c r="AY208" s="4"/>
      <c r="AZ208"/>
      <c r="BA208"/>
      <c r="BB208"/>
      <c r="BC208" t="inlineStr">
        <is>
          <t>follow up - na</t>
        </is>
      </c>
      <c r="BD208" s="4">
        <v>46142.63012731481</v>
      </c>
      <c r="BE208"/>
      <c r="BF208"/>
      <c r="BG208" t="inlineStr">
        <is>
          <t>Reschedule</t>
        </is>
      </c>
      <c r="BH208" t="inlineStr">
        <is>
          <t>Edward Hoo</t>
        </is>
      </c>
      <c r="BI208"/>
      <c r="BJ208" s="4">
        <v>46144.75438657407</v>
      </c>
      <c r="BK208" s="4">
        <v>46141.71824074074</v>
      </c>
      <c r="BL208" t="inlineStr">
        <is>
          <t>0.0</t>
        </is>
      </c>
      <c r="BM208" t="inlineStr">
        <is>
          <t>0.0</t>
        </is>
      </c>
      <c r="BN208"/>
      <c r="BO208" s="4"/>
      <c r="BP208">
        <v>169580</v>
      </c>
      <c r="BQ208"/>
      <c r="BR208"/>
      <c r="BS208"/>
      <c r="BT208"/>
      <c r="BU208"/>
      <c r="BV208">
        <v>2737894</v>
      </c>
      <c r="BW208" t="inlineStr">
        <is>
          <t>No Answer : Voicemail - WA sent to customer</t>
        </is>
      </c>
      <c r="BX208"/>
      <c r="BY208"/>
      <c r="BZ208" s="4"/>
      <c r="CA208"/>
      <c r="CB208"/>
      <c r="CC208" s="4"/>
      <c r="CD208" t="inlineStr">
        <is>
          <t>20</t>
        </is>
      </c>
      <c r="CE208" t="inlineStr">
        <is>
          <t>0</t>
        </is>
      </c>
      <c r="CF208" t="inlineStr">
        <is>
          <t>Q2-W04</t>
        </is>
      </c>
      <c r="CG208"/>
      <c r="CH208"/>
      <c r="CI208"/>
      <c r="CJ208" t="inlineStr">
        <is>
          <t>No Paid</t>
        </is>
      </c>
      <c r="CK208" t="inlineStr">
        <is>
          <t>Not Eligible</t>
        </is>
      </c>
      <c r="CL208"/>
      <c r="CM208"/>
    </row>
    <row r="209" ht="25.5" customHeight="1">
      <c r="A209" t="inlineStr">
        <is>
          <t>197576</t>
        </is>
      </c>
      <c r="B209" s="2"/>
      <c r="C209"/>
      <c r="D209" s="3">
        <v>46141.723078703704</v>
      </c>
      <c r="E209" t="inlineStr">
        <is>
          <t>Q2-W04</t>
        </is>
      </c>
      <c r="F209" t="inlineStr">
        <is>
          <t>Eugene</t>
        </is>
      </c>
      <c r="G209" t="inlineStr">
        <is>
          <t>Customer</t>
        </is>
      </c>
      <c r="H209" s="2" t="str">
        <f>=HYPERLINK("https://upbox.ajobthing.my/customer/197576", "https://upbox.ajobthing.my/customer/197576")</f>
        <v>https://upbox.ajobthing.my/customer/197576</v>
      </c>
      <c r="I209" t="inlineStr">
        <is>
          <t>Accutax Consultancy Services Sdn. Bhd.</t>
        </is>
      </c>
      <c r="J209" t="inlineStr">
        <is>
          <t>Dolphin</t>
        </is>
      </c>
      <c r="K209" t="inlineStr">
        <is>
          <t>Eugene</t>
        </is>
      </c>
      <c r="L209" s="4"/>
      <c r="M209" s="4">
        <v>46141.723495370374</v>
      </c>
      <c r="N209"/>
      <c r="O209">
        <v>3888</v>
      </c>
      <c r="P209" s="4"/>
      <c r="Q209" s="4">
        <v>46141.41769675926</v>
      </c>
      <c r="R209"/>
      <c r="S209">
        <v>0</v>
      </c>
      <c r="T209" s="4">
        <v>46081.71325231482</v>
      </c>
      <c r="U209" s="4"/>
      <c r="V209"/>
      <c r="W209">
        <v>324</v>
      </c>
      <c r="X209"/>
      <c r="Y209" t="inlineStr">
        <is>
          <t>Pending Appointment</t>
        </is>
      </c>
      <c r="Z209" t="inlineStr">
        <is>
          <t>Hiring Now</t>
        </is>
      </c>
      <c r="AA209">
        <v>2</v>
      </c>
      <c r="AB209" t="inlineStr">
        <is>
          <t>No Appointment Made</t>
        </is>
      </c>
      <c r="AC209"/>
      <c r="AD209" t="inlineStr">
        <is>
          <t>2 audit, based in KL</t>
        </is>
      </c>
      <c r="AE209"/>
      <c r="AF209">
        <v>1200</v>
      </c>
      <c r="AG209" s="4"/>
      <c r="AH209" s="4"/>
      <c r="AI209">
        <v>3000</v>
      </c>
      <c r="AJ209">
        <v>1</v>
      </c>
      <c r="AK209" t="inlineStr">
        <is>
          <t>No, I don't need at all</t>
        </is>
      </c>
      <c r="AL209">
        <v>1</v>
      </c>
      <c r="AM209" t="inlineStr">
        <is>
          <t>No, I don't need at all</t>
        </is>
      </c>
      <c r="AN209"/>
      <c r="AO209" t="inlineStr">
        <is>
          <t>No, I don't need at all</t>
        </is>
      </c>
      <c r="AP209" t="inlineStr">
        <is>
          <t>Twice a year (50%)</t>
        </is>
      </c>
      <c r="AQ209">
        <v>2</v>
      </c>
      <c r="AR209" t="inlineStr">
        <is>
          <t>Free Job Portal</t>
        </is>
      </c>
      <c r="AS209" t="inlineStr">
        <is>
          <t>- Headcount: 2
- Hiring Job Details: 2 audit,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2
- Hiring frequency: Twice a year (50%)
- External job portal: Free Job Portal</t>
        </is>
      </c>
      <c r="AT209">
        <v>115</v>
      </c>
      <c r="AU209" t="inlineStr">
        <is>
          <t>1.15</t>
        </is>
      </c>
      <c r="AV209" t="inlineStr">
        <is>
          <t>15</t>
        </is>
      </c>
      <c r="AW209" t="inlineStr">
        <is>
          <t>0</t>
        </is>
      </c>
      <c r="AX209" t="inlineStr">
        <is>
          <t>Not Qualified</t>
        </is>
      </c>
      <c r="AY209" s="4"/>
      <c r="AZ209"/>
      <c r="BA209"/>
      <c r="BB209"/>
      <c r="BC209" t="inlineStr">
        <is>
          <t>- Headcount: 2
- Hiring Job Details: 2 audit,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2
- Hiring frequency: Twice a year (50%)
- External job portal: Free Job Portal</t>
        </is>
      </c>
      <c r="BD209" s="4">
        <v>46141.75015046296</v>
      </c>
      <c r="BE209" t="inlineStr">
        <is>
          <t>paid</t>
        </is>
      </c>
      <c r="BF209" t="inlineStr">
        <is>
          <t>Q1-W09</t>
        </is>
      </c>
      <c r="BG209" t="inlineStr">
        <is>
          <t>Reschedule</t>
        </is>
      </c>
      <c r="BH209" t="inlineStr">
        <is>
          <t>Edward Hoo</t>
        </is>
      </c>
      <c r="BI209" t="inlineStr">
        <is>
          <t>Accounting / Tax Services</t>
        </is>
      </c>
      <c r="BJ209" s="4">
        <v>46144.752905092595</v>
      </c>
      <c r="BK209" s="4">
        <v>45954.71337962963</v>
      </c>
      <c r="BL209" t="inlineStr">
        <is>
          <t>1620.0</t>
        </is>
      </c>
      <c r="BM209" t="inlineStr">
        <is>
          <t>0.0</t>
        </is>
      </c>
      <c r="BN209" t="inlineStr">
        <is>
          <t>View Company Page</t>
        </is>
      </c>
      <c r="BO209" s="4">
        <v>46128.57336805556</v>
      </c>
      <c r="BP209">
        <v>169581</v>
      </c>
      <c r="BQ209">
        <v>124020</v>
      </c>
      <c r="BR209" t="inlineStr">
        <is>
          <t>Proforma</t>
        </is>
      </c>
      <c r="BS209" t="inlineStr">
        <is>
          <t>Free Part-Time Job</t>
        </is>
      </c>
      <c r="BT209">
        <v>87242</v>
      </c>
      <c r="BU209"/>
      <c r="BV209">
        <v>2736324</v>
      </c>
      <c r="BW209" t="inlineStr">
        <is>
          <t>Customer Inquiry</t>
        </is>
      </c>
      <c r="BX209">
        <v>2</v>
      </c>
      <c r="BY209">
        <v>2</v>
      </c>
      <c r="BZ209" s="4"/>
      <c r="CA209"/>
      <c r="CB209"/>
      <c r="CC209" s="4"/>
      <c r="CD209" t="inlineStr">
        <is>
          <t>20</t>
        </is>
      </c>
      <c r="CE209" t="inlineStr">
        <is>
          <t>0</t>
        </is>
      </c>
      <c r="CF209" t="inlineStr">
        <is>
          <t>Q2-W04</t>
        </is>
      </c>
      <c r="CG209" t="inlineStr">
        <is>
          <t>Q2-W04</t>
        </is>
      </c>
      <c r="CH209" t="inlineStr">
        <is>
          <t>Q1-W09</t>
        </is>
      </c>
      <c r="CI209"/>
      <c r="CJ209" t="inlineStr">
        <is>
          <t>Paid</t>
        </is>
      </c>
      <c r="CK209" t="inlineStr">
        <is>
          <t>Not Eligible</t>
        </is>
      </c>
      <c r="CL209"/>
      <c r="CM209"/>
    </row>
    <row r="210" ht="25.5" customHeight="1">
      <c r="A210" t="inlineStr">
        <is>
          <t>203109</t>
        </is>
      </c>
      <c r="B210" s="2"/>
      <c r="C210"/>
      <c r="D210" s="3">
        <v>46141.72880787037</v>
      </c>
      <c r="E210" t="inlineStr">
        <is>
          <t>Q2-W04</t>
        </is>
      </c>
      <c r="F210" t="inlineStr">
        <is>
          <t>Jess</t>
        </is>
      </c>
      <c r="G210" t="inlineStr">
        <is>
          <t>Customer</t>
        </is>
      </c>
      <c r="H210" s="2" t="str">
        <f>=HYPERLINK("https://upbox.ajobthing.my/customer/203109", "https://upbox.ajobthing.my/customer/203109")</f>
        <v>https://upbox.ajobthing.my/customer/203109</v>
      </c>
      <c r="I210" t="inlineStr">
        <is>
          <t>Archi Teahouse Sdn Bhd</t>
        </is>
      </c>
      <c r="J210" t="inlineStr">
        <is>
          <t>Dolphin</t>
        </is>
      </c>
      <c r="K210" t="inlineStr">
        <is>
          <t>Jess Lim</t>
        </is>
      </c>
      <c r="L210" s="4"/>
      <c r="M210" s="4">
        <v>46142.419953703706</v>
      </c>
      <c r="N210"/>
      <c r="O210">
        <v>2160</v>
      </c>
      <c r="P210" s="4"/>
      <c r="Q210" s="4">
        <v>46142.71787037037</v>
      </c>
      <c r="R210"/>
      <c r="S210">
        <v>2160</v>
      </c>
      <c r="T210" s="4">
        <v>46142.71787037037</v>
      </c>
      <c r="U210" s="4"/>
      <c r="V210"/>
      <c r="W210">
        <v>2160</v>
      </c>
      <c r="X210"/>
      <c r="Y210" t="inlineStr">
        <is>
          <t>Pending Appointment</t>
        </is>
      </c>
      <c r="Z210" t="inlineStr">
        <is>
          <t>Hiring Now</t>
        </is>
      </c>
      <c r="AA210">
        <v>1</v>
      </c>
      <c r="AB210" t="inlineStr">
        <is>
          <t>No Appointment Made</t>
        </is>
      </c>
      <c r="AC210"/>
      <c r="AD210" t="inlineStr">
        <is>
          <t>chef commm</t>
        </is>
      </c>
      <c r="AE210"/>
      <c r="AF210">
        <v>1700</v>
      </c>
      <c r="AG210" s="4"/>
      <c r="AH210" s="4"/>
      <c r="AI210"/>
      <c r="AJ210"/>
      <c r="AK210" t="inlineStr">
        <is>
          <t>No, I don't need at all</t>
        </is>
      </c>
      <c r="AL210">
        <v>1</v>
      </c>
      <c r="AM210" t="inlineStr">
        <is>
          <t>No, I don't need at all</t>
        </is>
      </c>
      <c r="AN210"/>
      <c r="AO210" t="inlineStr">
        <is>
          <t>No, I don't need at all</t>
        </is>
      </c>
      <c r="AP210" t="inlineStr">
        <is>
          <t>Once a year (25%)</t>
        </is>
      </c>
      <c r="AQ210"/>
      <c r="AR210" t="inlineStr">
        <is>
          <t>Jobstreet</t>
        </is>
      </c>
      <c r="AS210" t="inlineStr">
        <is>
          <t>- Headcount: 1
- Hiring Job Details: chef commm
- Hiring Urgency: Hiring Now
- Number of outlets: N/A
- Have recruiter team: No, I don't need at all
- Number of recruiter in company: 1
- Have ATS system: No, I don't need at all
- Have career website: No, I don't need at all
- Current hiring budget: RM1,700.00
- Whole year budget: N/A
- Whole year number of vacancies: N/A
- Hiring frequency: Once a year (25%)
- External job portal: Jobstreet</t>
        </is>
      </c>
      <c r="AT210">
        <v>85</v>
      </c>
      <c r="AU210" t="inlineStr">
        <is>
          <t>0.85</t>
        </is>
      </c>
      <c r="AV210" t="inlineStr">
        <is>
          <t>15</t>
        </is>
      </c>
      <c r="AW210" t="inlineStr">
        <is>
          <t>0</t>
        </is>
      </c>
      <c r="AX210" t="inlineStr">
        <is>
          <t>Not Qualified</t>
        </is>
      </c>
      <c r="AY210" s="4"/>
      <c r="AZ210"/>
      <c r="BA210"/>
      <c r="BB210"/>
      <c r="BC210" t="inlineStr">
        <is>
          <t>unlocked 3 job ads. paid for 6 job ads.</t>
        </is>
      </c>
      <c r="BD210" s="4">
        <v>46142.784212962964</v>
      </c>
      <c r="BE210" t="inlineStr">
        <is>
          <t>paid</t>
        </is>
      </c>
      <c r="BF210" t="inlineStr">
        <is>
          <t>Q2-W04</t>
        </is>
      </c>
      <c r="BG210" t="inlineStr">
        <is>
          <t>Reschedule</t>
        </is>
      </c>
      <c r="BH210" t="inlineStr">
        <is>
          <t>Fauziah Maharan</t>
        </is>
      </c>
      <c r="BI210" t="inlineStr">
        <is>
          <t>Food / Beverage</t>
        </is>
      </c>
      <c r="BJ210" s="4">
        <v>46144.754212962966</v>
      </c>
      <c r="BK210" s="4">
        <v>46122.74365740741</v>
      </c>
      <c r="BL210" t="inlineStr">
        <is>
          <t>3888.0</t>
        </is>
      </c>
      <c r="BM210" t="inlineStr">
        <is>
          <t>0.0</t>
        </is>
      </c>
      <c r="BN210" t="inlineStr">
        <is>
          <t>View Company Page</t>
        </is>
      </c>
      <c r="BO210" s="4">
        <v>46143.04960648148</v>
      </c>
      <c r="BP210">
        <v>169609</v>
      </c>
      <c r="BQ210">
        <v>7767</v>
      </c>
      <c r="BR210" t="inlineStr">
        <is>
          <t>Manual (Paid)</t>
        </is>
      </c>
      <c r="BS210" t="inlineStr">
        <is>
          <t>-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10">
        <v>7767</v>
      </c>
      <c r="BU210"/>
      <c r="BV210">
        <v>2738547</v>
      </c>
      <c r="BW210" t="inlineStr">
        <is>
          <t>Customer Inquiry</t>
        </is>
      </c>
      <c r="BX210">
        <v>3</v>
      </c>
      <c r="BY210">
        <v>3</v>
      </c>
      <c r="BZ210" s="4"/>
      <c r="CA210">
        <v>60</v>
      </c>
      <c r="CB210">
        <v>60</v>
      </c>
      <c r="CC210" s="4"/>
      <c r="CD210" t="inlineStr">
        <is>
          <t>20</t>
        </is>
      </c>
      <c r="CE210" t="inlineStr">
        <is>
          <t>0</t>
        </is>
      </c>
      <c r="CF210" t="inlineStr">
        <is>
          <t>Q2-W04</t>
        </is>
      </c>
      <c r="CG210" t="inlineStr">
        <is>
          <t>Q2-W04</t>
        </is>
      </c>
      <c r="CH210" t="inlineStr">
        <is>
          <t>Q2-W04</t>
        </is>
      </c>
      <c r="CI210"/>
      <c r="CJ210" t="inlineStr">
        <is>
          <t>Paid</t>
        </is>
      </c>
      <c r="CK210" t="inlineStr">
        <is>
          <t>Not Eligible</t>
        </is>
      </c>
      <c r="CL210"/>
      <c r="CM210"/>
    </row>
    <row r="211" ht="25.5" customHeight="1">
      <c r="A211" t="inlineStr">
        <is>
          <t>4332033</t>
        </is>
      </c>
      <c r="B211" s="2"/>
      <c r="C211"/>
      <c r="D211" s="3">
        <v>46141.7290625</v>
      </c>
      <c r="E211" t="inlineStr">
        <is>
          <t>Q2-W04</t>
        </is>
      </c>
      <c r="F211" t="inlineStr">
        <is>
          <t>Angel  Low</t>
        </is>
      </c>
      <c r="G211" t="inlineStr">
        <is>
          <t>Lead</t>
        </is>
      </c>
      <c r="H211" s="2" t="str">
        <f>=HYPERLINK("https://upbox.ajobthing.my/leads/4332033", "https://upbox.ajobthing.my/leads/4332033")</f>
        <v>https://upbox.ajobthing.my/leads/4332033</v>
      </c>
      <c r="I211" t="inlineStr">
        <is>
          <t>Aik Bee Group</t>
        </is>
      </c>
      <c r="J211" t="inlineStr">
        <is>
          <t>Dolphin</t>
        </is>
      </c>
      <c r="K211" t="inlineStr">
        <is>
          <t>Angel Low</t>
        </is>
      </c>
      <c r="L211" s="4"/>
      <c r="M211" s="4">
        <v>46141.73506944445</v>
      </c>
      <c r="N211"/>
      <c r="O211">
        <v>5412.96</v>
      </c>
      <c r="P211" s="4"/>
      <c r="Q211" s="4"/>
      <c r="R211"/>
      <c r="S211"/>
      <c r="T211" s="4"/>
      <c r="U211" s="4"/>
      <c r="V211"/>
      <c r="W211"/>
      <c r="X211"/>
      <c r="Y211" t="inlineStr">
        <is>
          <t>Pending Appointment</t>
        </is>
      </c>
      <c r="Z211"/>
      <c r="AA211">
        <v>3</v>
      </c>
      <c r="AB211" t="inlineStr">
        <is>
          <t>No Appointment Made</t>
        </is>
      </c>
      <c r="AC211"/>
      <c r="AD211" t="inlineStr">
        <is>
          <t xml:space="preserve">1 admin, 1 acc mandarin urgent , 1 cs. klang lama </t>
        </is>
      </c>
      <c r="AE211"/>
      <c r="AF211"/>
      <c r="AG211" s="4"/>
      <c r="AH211" s="4"/>
      <c r="AI211"/>
      <c r="AJ211"/>
      <c r="AK211"/>
      <c r="AL211"/>
      <c r="AM211"/>
      <c r="AN211"/>
      <c r="AO211"/>
      <c r="AP211"/>
      <c r="AQ211"/>
      <c r="AR211"/>
      <c r="AS211" t="inlineStr">
        <is>
          <t>- Headcount: 3
- Hiring Job Details: 1 admin, 1 acc mandarin urgent, 1 cs. klang lama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11">
        <v>25</v>
      </c>
      <c r="AU211" t="inlineStr">
        <is>
          <t>0.25</t>
        </is>
      </c>
      <c r="AV211" t="inlineStr">
        <is>
          <t>5</t>
        </is>
      </c>
      <c r="AW211" t="inlineStr">
        <is>
          <t>0</t>
        </is>
      </c>
      <c r="AX211" t="inlineStr">
        <is>
          <t>Not Qualified</t>
        </is>
      </c>
      <c r="AY211" s="4"/>
      <c r="AZ211"/>
      <c r="BA211"/>
      <c r="BB211"/>
      <c r="BC211"/>
      <c r="BD211" s="4"/>
      <c r="BE211"/>
      <c r="BF211"/>
      <c r="BG211" t="inlineStr">
        <is>
          <t>Reschedule</t>
        </is>
      </c>
      <c r="BH211" t="inlineStr">
        <is>
          <t>Fauziah Maharan</t>
        </is>
      </c>
      <c r="BI211"/>
      <c r="BJ211" s="4">
        <v>46144.755949074075</v>
      </c>
      <c r="BK211" s="4">
        <v>46141.649618055555</v>
      </c>
      <c r="BL211" t="inlineStr">
        <is>
          <t>0.0</t>
        </is>
      </c>
      <c r="BM211" t="inlineStr">
        <is>
          <t>4200.0</t>
        </is>
      </c>
      <c r="BN211"/>
      <c r="BO211" s="4"/>
      <c r="BP211">
        <v>169585</v>
      </c>
      <c r="BQ211"/>
      <c r="BR211"/>
      <c r="BS211"/>
      <c r="BT211"/>
      <c r="BU211"/>
      <c r="BV211"/>
      <c r="BW211"/>
      <c r="BX211"/>
      <c r="BY211"/>
      <c r="BZ211" s="4"/>
      <c r="CA211"/>
      <c r="CB211"/>
      <c r="CC211" s="4"/>
      <c r="CD211" t="inlineStr">
        <is>
          <t>5</t>
        </is>
      </c>
      <c r="CE211" t="inlineStr">
        <is>
          <t>0</t>
        </is>
      </c>
      <c r="CF211" t="inlineStr">
        <is>
          <t>Q2-W04</t>
        </is>
      </c>
      <c r="CG211"/>
      <c r="CH211"/>
      <c r="CI211"/>
      <c r="CJ211" t="inlineStr">
        <is>
          <t>No Paid</t>
        </is>
      </c>
      <c r="CK211" t="inlineStr">
        <is>
          <t>Not Eligible</t>
        </is>
      </c>
      <c r="CL211"/>
      <c r="CM211"/>
    </row>
    <row r="212" ht="25.5" customHeight="1">
      <c r="A212" t="inlineStr">
        <is>
          <t>41697</t>
        </is>
      </c>
      <c r="B212" s="2"/>
      <c r="C212"/>
      <c r="D212" s="3">
        <v>46141.73501157408</v>
      </c>
      <c r="E212" t="inlineStr">
        <is>
          <t>Q2-W04</t>
        </is>
      </c>
      <c r="F212" t="inlineStr">
        <is>
          <t>Jia Hui</t>
        </is>
      </c>
      <c r="G212" t="inlineStr">
        <is>
          <t>Customer</t>
        </is>
      </c>
      <c r="H212" s="2" t="str">
        <f>=HYPERLINK("https://upbox.ajobthing.my/customer/41697", "https://upbox.ajobthing.my/customer/41697")</f>
        <v>https://upbox.ajobthing.my/customer/41697</v>
      </c>
      <c r="I212" t="inlineStr">
        <is>
          <t>SS Events &amp; Marketing Sdn Bhd</t>
        </is>
      </c>
      <c r="J212" t="inlineStr">
        <is>
          <t>Dolphin</t>
        </is>
      </c>
      <c r="K212" t="inlineStr">
        <is>
          <t>Jia Hui</t>
        </is>
      </c>
      <c r="L212" s="4"/>
      <c r="M212" s="4">
        <v>46141.73510416667</v>
      </c>
      <c r="N212"/>
      <c r="O212">
        <v>1296</v>
      </c>
      <c r="P212" s="4"/>
      <c r="Q212" s="4">
        <v>45891.51615740741</v>
      </c>
      <c r="R212"/>
      <c r="S212">
        <v>1296</v>
      </c>
      <c r="T212" s="4">
        <v>45891.51615740741</v>
      </c>
      <c r="U212" s="4"/>
      <c r="V212"/>
      <c r="W212">
        <v>1296</v>
      </c>
      <c r="X212"/>
      <c r="Y212" t="inlineStr">
        <is>
          <t>Pending Appointment</t>
        </is>
      </c>
      <c r="Z212" t="inlineStr">
        <is>
          <t>Hiring Now</t>
        </is>
      </c>
      <c r="AA212">
        <v>1</v>
      </c>
      <c r="AB212" t="inlineStr">
        <is>
          <t>No Appointment Made</t>
        </is>
      </c>
      <c r="AC212"/>
      <c r="AD212" t="inlineStr">
        <is>
          <t>1 admin</t>
        </is>
      </c>
      <c r="AE212"/>
      <c r="AF212">
        <v>500</v>
      </c>
      <c r="AG212" s="4"/>
      <c r="AH212" s="4"/>
      <c r="AI212"/>
      <c r="AJ212"/>
      <c r="AK212" t="inlineStr">
        <is>
          <t>Yes, I have</t>
        </is>
      </c>
      <c r="AL212"/>
      <c r="AM212"/>
      <c r="AN212"/>
      <c r="AO212"/>
      <c r="AP212" t="inlineStr">
        <is>
          <t>Once a year (25%)</t>
        </is>
      </c>
      <c r="AQ212"/>
      <c r="AR212"/>
      <c r="AS212" t="inlineStr">
        <is>
          <t>- Headcount: 1
- Hiring Job Details: 1 admin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12">
        <v>75</v>
      </c>
      <c r="AU212" t="inlineStr">
        <is>
          <t>0.75</t>
        </is>
      </c>
      <c r="AV212" t="inlineStr">
        <is>
          <t>15</t>
        </is>
      </c>
      <c r="AW212" t="inlineStr">
        <is>
          <t>0</t>
        </is>
      </c>
      <c r="AX212" t="inlineStr">
        <is>
          <t>Not Qualified</t>
        </is>
      </c>
      <c r="AY212" s="4"/>
      <c r="AZ212"/>
      <c r="BA212"/>
      <c r="BB212"/>
      <c r="BC212" t="inlineStr">
        <is>
          <t>- Headcount: 1
- Hiring Job Details: 1 admin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BD212" s="4">
        <v>46141.75015046296</v>
      </c>
      <c r="BE212" t="inlineStr">
        <is>
          <t>paid</t>
        </is>
      </c>
      <c r="BF212"/>
      <c r="BG212" t="inlineStr">
        <is>
          <t>Reschedule</t>
        </is>
      </c>
      <c r="BH212" t="inlineStr">
        <is>
          <t>Reagen</t>
        </is>
      </c>
      <c r="BI212" t="inlineStr">
        <is>
          <t>Exhibitions / Event Mgmt</t>
        </is>
      </c>
      <c r="BJ212" s="4">
        <v>46144.75555555556</v>
      </c>
      <c r="BK212" s="4">
        <v>42992.5921875</v>
      </c>
      <c r="BL212" t="inlineStr">
        <is>
          <t>1296.0</t>
        </is>
      </c>
      <c r="BM212" t="inlineStr">
        <is>
          <t>0.0</t>
        </is>
      </c>
      <c r="BN212" t="inlineStr">
        <is>
          <t>PA Visit - Applicant Manager</t>
        </is>
      </c>
      <c r="BO212" s="4">
        <v>45903.39989583333</v>
      </c>
      <c r="BP212">
        <v>169586</v>
      </c>
      <c r="BQ212">
        <v>81768</v>
      </c>
      <c r="BR212" t="inlineStr">
        <is>
          <t>Online</t>
        </is>
      </c>
      <c r="BS212"/>
      <c r="BT212">
        <v>81768</v>
      </c>
      <c r="BU212"/>
      <c r="BV212">
        <v>2736327</v>
      </c>
      <c r="BW212" t="inlineStr">
        <is>
          <t>Customer Inquiry</t>
        </is>
      </c>
      <c r="BX212"/>
      <c r="BY212"/>
      <c r="BZ212" s="4"/>
      <c r="CA212"/>
      <c r="CB212"/>
      <c r="CC212" s="4"/>
      <c r="CD212" t="inlineStr">
        <is>
          <t>20</t>
        </is>
      </c>
      <c r="CE212" t="inlineStr">
        <is>
          <t>0</t>
        </is>
      </c>
      <c r="CF212" t="inlineStr">
        <is>
          <t>Q2-W04</t>
        </is>
      </c>
      <c r="CG212"/>
      <c r="CH212"/>
      <c r="CI212"/>
      <c r="CJ212" t="inlineStr">
        <is>
          <t>Paid</t>
        </is>
      </c>
      <c r="CK212" t="inlineStr">
        <is>
          <t>Not Eligible</t>
        </is>
      </c>
      <c r="CL212"/>
      <c r="CM212"/>
    </row>
    <row r="213" ht="25.5" customHeight="1">
      <c r="A213" t="inlineStr">
        <is>
          <t>200116</t>
        </is>
      </c>
      <c r="B213" s="2"/>
      <c r="C213"/>
      <c r="D213" s="3">
        <v>46141.739386574074</v>
      </c>
      <c r="E213" t="inlineStr">
        <is>
          <t>Q2-W04</t>
        </is>
      </c>
      <c r="F213" t="inlineStr">
        <is>
          <t>Clover</t>
        </is>
      </c>
      <c r="G213" t="inlineStr">
        <is>
          <t>Customer</t>
        </is>
      </c>
      <c r="H213" s="2" t="str">
        <f>=HYPERLINK("https://upbox.ajobthing.my/customer/200116", "https://upbox.ajobthing.my/customer/200116")</f>
        <v>https://upbox.ajobthing.my/customer/200116</v>
      </c>
      <c r="I213" t="inlineStr">
        <is>
          <t>Eventech Solutions Sdn Bhd</t>
        </is>
      </c>
      <c r="J213" t="inlineStr">
        <is>
          <t>Dolphin</t>
        </is>
      </c>
      <c r="K213" t="inlineStr">
        <is>
          <t>Clover</t>
        </is>
      </c>
      <c r="L213" s="4"/>
      <c r="M213" s="4">
        <v>46141.73962962963</v>
      </c>
      <c r="N213"/>
      <c r="O213">
        <v>3888</v>
      </c>
      <c r="P213" s="4"/>
      <c r="Q213" s="4"/>
      <c r="R213"/>
      <c r="S213"/>
      <c r="T213" s="4"/>
      <c r="U213" s="4"/>
      <c r="V213"/>
      <c r="W213"/>
      <c r="X213"/>
      <c r="Y213" t="inlineStr">
        <is>
          <t>Pending Appointment</t>
        </is>
      </c>
      <c r="Z213" t="inlineStr">
        <is>
          <t>Hiring Later</t>
        </is>
      </c>
      <c r="AA213">
        <v>1.5</v>
      </c>
      <c r="AB213" t="inlineStr">
        <is>
          <t>No Appointment Made</t>
        </is>
      </c>
      <c r="AC213"/>
      <c r="AD213" t="inlineStr">
        <is>
          <t>Maybe start hiring later, hire graphic designer x1-2, event management, PJ, suggest stand dis 288</t>
        </is>
      </c>
      <c r="AE213"/>
      <c r="AF213">
        <v>3000</v>
      </c>
      <c r="AG213" s="4"/>
      <c r="AH213" s="4"/>
      <c r="AI213">
        <v>3000</v>
      </c>
      <c r="AJ213">
        <v>1</v>
      </c>
      <c r="AK213" t="inlineStr">
        <is>
          <t>No, but I want in future</t>
        </is>
      </c>
      <c r="AL213">
        <v>1</v>
      </c>
      <c r="AM213" t="inlineStr">
        <is>
          <t>No, but I want in future</t>
        </is>
      </c>
      <c r="AN213"/>
      <c r="AO213" t="inlineStr">
        <is>
          <t>No, but I want in future</t>
        </is>
      </c>
      <c r="AP213" t="inlineStr">
        <is>
          <t>Twice a year (50%)</t>
        </is>
      </c>
      <c r="AQ213">
        <v>2</v>
      </c>
      <c r="AR213" t="inlineStr">
        <is>
          <t>Did not use any job portal</t>
        </is>
      </c>
      <c r="AS213" t="inlineStr">
        <is>
          <t>- Headcount: 2
- Hiring Job Details: Maybe start hiring later, hire graphic designer x1-2, event management, PJ, suggest stand dis 288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213">
        <v>95</v>
      </c>
      <c r="AU213" t="inlineStr">
        <is>
          <t>0.95</t>
        </is>
      </c>
      <c r="AV213" t="inlineStr">
        <is>
          <t>15</t>
        </is>
      </c>
      <c r="AW213" t="inlineStr">
        <is>
          <t>0</t>
        </is>
      </c>
      <c r="AX213" t="inlineStr">
        <is>
          <t>Not Qualified</t>
        </is>
      </c>
      <c r="AY213" s="4"/>
      <c r="AZ213"/>
      <c r="BA213"/>
      <c r="BB213"/>
      <c r="BC213" t="inlineStr">
        <is>
          <t>- Headcount: 2
- Hiring Job Details: Maybe start hiring later, hire graphic designer x1-2, event management, PJ, suggest stand dis 288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BD213" s="4">
        <v>46141.75015046296</v>
      </c>
      <c r="BE213"/>
      <c r="BF213"/>
      <c r="BG213" t="inlineStr">
        <is>
          <t>Reschedule</t>
        </is>
      </c>
      <c r="BH213" t="inlineStr">
        <is>
          <t>Reagen</t>
        </is>
      </c>
      <c r="BI213"/>
      <c r="BJ213" s="4">
        <v>46144.75347222222</v>
      </c>
      <c r="BK213" s="4">
        <v>46031.47295138889</v>
      </c>
      <c r="BL213" t="inlineStr">
        <is>
          <t>0.0</t>
        </is>
      </c>
      <c r="BM213" t="inlineStr">
        <is>
          <t>1800.0</t>
        </is>
      </c>
      <c r="BN213"/>
      <c r="BO213" s="4"/>
      <c r="BP213">
        <v>169588</v>
      </c>
      <c r="BQ213"/>
      <c r="BR213"/>
      <c r="BS213"/>
      <c r="BT213"/>
      <c r="BU213"/>
      <c r="BV213">
        <v>2736329</v>
      </c>
      <c r="BW213" t="inlineStr">
        <is>
          <t>Customer Inquiry</t>
        </is>
      </c>
      <c r="BX213"/>
      <c r="BY213"/>
      <c r="BZ213" s="4"/>
      <c r="CA213"/>
      <c r="CB213"/>
      <c r="CC213" s="4"/>
      <c r="CD213" t="inlineStr">
        <is>
          <t>20</t>
        </is>
      </c>
      <c r="CE213" t="inlineStr">
        <is>
          <t>0</t>
        </is>
      </c>
      <c r="CF213" t="inlineStr">
        <is>
          <t>Q2-W04</t>
        </is>
      </c>
      <c r="CG213"/>
      <c r="CH213"/>
      <c r="CI213"/>
      <c r="CJ213" t="inlineStr">
        <is>
          <t>No Paid</t>
        </is>
      </c>
      <c r="CK213" t="inlineStr">
        <is>
          <t>Not Eligible</t>
        </is>
      </c>
      <c r="CL213"/>
      <c r="CM213"/>
    </row>
    <row r="214" ht="25.5" customHeight="1">
      <c r="A214" t="inlineStr">
        <is>
          <t>40311</t>
        </is>
      </c>
      <c r="B214" s="2"/>
      <c r="C214"/>
      <c r="D214" s="3">
        <v>46141.74028935185</v>
      </c>
      <c r="E214" t="inlineStr">
        <is>
          <t>Q2-W04</t>
        </is>
      </c>
      <c r="F214" t="inlineStr">
        <is>
          <t>Jia Hui</t>
        </is>
      </c>
      <c r="G214" t="inlineStr">
        <is>
          <t>Customer</t>
        </is>
      </c>
      <c r="H214" s="2" t="str">
        <f>=HYPERLINK("https://upbox.ajobthing.my/customer/40311", "https://upbox.ajobthing.my/customer/40311")</f>
        <v>https://upbox.ajobthing.my/customer/40311</v>
      </c>
      <c r="I214" t="inlineStr">
        <is>
          <t>Will9 Consultancy, A Member Of Stallion Advisory Group</t>
        </is>
      </c>
      <c r="J214" t="inlineStr">
        <is>
          <t>Dolphin</t>
        </is>
      </c>
      <c r="K214" t="inlineStr">
        <is>
          <t>Jia Hui</t>
        </is>
      </c>
      <c r="L214" s="4"/>
      <c r="M214" s="4">
        <v>46141.74054398148</v>
      </c>
      <c r="N214"/>
      <c r="O214">
        <v>3888</v>
      </c>
      <c r="P214" s="4"/>
      <c r="Q214" s="4">
        <v>45512.471817129626</v>
      </c>
      <c r="R214"/>
      <c r="S214">
        <v>324</v>
      </c>
      <c r="T214" s="4">
        <v>45512.471817129626</v>
      </c>
      <c r="U214" s="4"/>
      <c r="V214"/>
      <c r="W214">
        <v>324</v>
      </c>
      <c r="X214"/>
      <c r="Y214" t="inlineStr">
        <is>
          <t>Pending Appointment</t>
        </is>
      </c>
      <c r="Z214" t="inlineStr">
        <is>
          <t>Hiring Now</t>
        </is>
      </c>
      <c r="AA214">
        <v>1</v>
      </c>
      <c r="AB214" t="inlineStr">
        <is>
          <t>No Appointment Made</t>
        </is>
      </c>
      <c r="AC214"/>
      <c r="AD214" t="inlineStr">
        <is>
          <t>insurance agent</t>
        </is>
      </c>
      <c r="AE214"/>
      <c r="AF214">
        <v>500</v>
      </c>
      <c r="AG214" s="4"/>
      <c r="AH214" s="4"/>
      <c r="AI214"/>
      <c r="AJ214"/>
      <c r="AK214" t="inlineStr">
        <is>
          <t>No, but I want in future</t>
        </is>
      </c>
      <c r="AL214"/>
      <c r="AM214"/>
      <c r="AN214"/>
      <c r="AO214"/>
      <c r="AP214" t="inlineStr">
        <is>
          <t>Once a year (25%)</t>
        </is>
      </c>
      <c r="AQ214"/>
      <c r="AR214"/>
      <c r="AS214" t="inlineStr">
        <is>
          <t>- Headcount: 1
- Hiring Job Details: insurance agent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214">
        <v>65</v>
      </c>
      <c r="AU214" t="inlineStr">
        <is>
          <t>0.65</t>
        </is>
      </c>
      <c r="AV214" t="inlineStr">
        <is>
          <t>15</t>
        </is>
      </c>
      <c r="AW214" t="inlineStr">
        <is>
          <t>0</t>
        </is>
      </c>
      <c r="AX214" t="inlineStr">
        <is>
          <t>Not Qualified</t>
        </is>
      </c>
      <c r="AY214" s="4"/>
      <c r="AZ214"/>
      <c r="BA214"/>
      <c r="BB214"/>
      <c r="BC214" t="inlineStr">
        <is>
          <t>- Headcount: 1
- Hiring Job Details: insurance agent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BD214" s="4">
        <v>46141.75015046296</v>
      </c>
      <c r="BE214" t="inlineStr">
        <is>
          <t>paid</t>
        </is>
      </c>
      <c r="BF214"/>
      <c r="BG214" t="inlineStr">
        <is>
          <t>Reschedule</t>
        </is>
      </c>
      <c r="BH214" t="inlineStr">
        <is>
          <t>Reagen</t>
        </is>
      </c>
      <c r="BI214" t="inlineStr">
        <is>
          <t>Insurance</t>
        </is>
      </c>
      <c r="BJ214" s="4">
        <v>46144.75523148148</v>
      </c>
      <c r="BK214" s="4">
        <v>42949.77662037037</v>
      </c>
      <c r="BL214" t="inlineStr">
        <is>
          <t>0.0</t>
        </is>
      </c>
      <c r="BM214" t="inlineStr">
        <is>
          <t>0.0</t>
        </is>
      </c>
      <c r="BN214" t="inlineStr">
        <is>
          <t>View Jobmanager Page</t>
        </is>
      </c>
      <c r="BO214" s="4">
        <v>45733.55615740741</v>
      </c>
      <c r="BP214">
        <v>169589</v>
      </c>
      <c r="BQ214">
        <v>71855</v>
      </c>
      <c r="BR214" t="inlineStr">
        <is>
          <t>Online</t>
        </is>
      </c>
      <c r="BS214"/>
      <c r="BT214">
        <v>71855</v>
      </c>
      <c r="BU214"/>
      <c r="BV214">
        <v>2736330</v>
      </c>
      <c r="BW214" t="inlineStr">
        <is>
          <t>Customer Inquiry</t>
        </is>
      </c>
      <c r="BX214"/>
      <c r="BY214"/>
      <c r="BZ214" s="4"/>
      <c r="CA214"/>
      <c r="CB214"/>
      <c r="CC214" s="4"/>
      <c r="CD214" t="inlineStr">
        <is>
          <t>20</t>
        </is>
      </c>
      <c r="CE214" t="inlineStr">
        <is>
          <t>0</t>
        </is>
      </c>
      <c r="CF214" t="inlineStr">
        <is>
          <t>Q2-W04</t>
        </is>
      </c>
      <c r="CG214"/>
      <c r="CH214"/>
      <c r="CI214"/>
      <c r="CJ214" t="inlineStr">
        <is>
          <t>Paid</t>
        </is>
      </c>
      <c r="CK214" t="inlineStr">
        <is>
          <t>Not Eligible</t>
        </is>
      </c>
      <c r="CL214"/>
      <c r="CM214"/>
    </row>
    <row r="215" ht="25.5" customHeight="1">
      <c r="A215" t="inlineStr">
        <is>
          <t>187029</t>
        </is>
      </c>
      <c r="B215" s="2"/>
      <c r="C215"/>
      <c r="D215" s="3">
        <v>46141.74849537037</v>
      </c>
      <c r="E215" t="inlineStr">
        <is>
          <t>Q2-W04</t>
        </is>
      </c>
      <c r="F215" t="inlineStr">
        <is>
          <t>Jess</t>
        </is>
      </c>
      <c r="G215" t="inlineStr">
        <is>
          <t>Customer</t>
        </is>
      </c>
      <c r="H215" s="2" t="str">
        <f>=HYPERLINK("https://upbox.ajobthing.my/customer/187029", "https://upbox.ajobthing.my/customer/187029")</f>
        <v>https://upbox.ajobthing.my/customer/187029</v>
      </c>
      <c r="I215" t="inlineStr">
        <is>
          <t>Safety Plastics Sdn Bhd</t>
        </is>
      </c>
      <c r="J215" t="inlineStr">
        <is>
          <t>Dolphin</t>
        </is>
      </c>
      <c r="K215" t="inlineStr">
        <is>
          <t>Jess Lim</t>
        </is>
      </c>
      <c r="L215" s="4"/>
      <c r="M215" s="4">
        <v>46141.47109953704</v>
      </c>
      <c r="N215"/>
      <c r="O215">
        <v>3576.96</v>
      </c>
      <c r="P215" s="4"/>
      <c r="Q215" s="4">
        <v>46142.66978009259</v>
      </c>
      <c r="R215"/>
      <c r="S215">
        <v>1728</v>
      </c>
      <c r="T215" s="4">
        <v>46142.66978009259</v>
      </c>
      <c r="U215" s="4"/>
      <c r="V215"/>
      <c r="W215">
        <v>1728</v>
      </c>
      <c r="X215"/>
      <c r="Y215" t="inlineStr">
        <is>
          <t>Pending Appointment</t>
        </is>
      </c>
      <c r="Z215" t="inlineStr">
        <is>
          <t>Hiring Now</t>
        </is>
      </c>
      <c r="AA215">
        <v>1</v>
      </c>
      <c r="AB215" t="inlineStr">
        <is>
          <t>No Appointment Made</t>
        </is>
      </c>
      <c r="AC215"/>
      <c r="AD215" t="inlineStr">
        <is>
          <t>technician maintainence</t>
        </is>
      </c>
      <c r="AE215"/>
      <c r="AF215">
        <v>1700</v>
      </c>
      <c r="AG215" s="4"/>
      <c r="AH215" s="4"/>
      <c r="AI215"/>
      <c r="AJ215">
        <v>1</v>
      </c>
      <c r="AK215" t="inlineStr">
        <is>
          <t>No, I don't need at all</t>
        </is>
      </c>
      <c r="AL215">
        <v>1</v>
      </c>
      <c r="AM215" t="inlineStr">
        <is>
          <t>No, I don't need at all</t>
        </is>
      </c>
      <c r="AN215"/>
      <c r="AO215" t="inlineStr">
        <is>
          <t>No, I don't need at all</t>
        </is>
      </c>
      <c r="AP215" t="inlineStr">
        <is>
          <t>Once a year (25%)</t>
        </is>
      </c>
      <c r="AQ215"/>
      <c r="AR215" t="inlineStr">
        <is>
          <t>Jobstreet</t>
        </is>
      </c>
      <c r="AS215" t="inlineStr">
        <is>
          <t>- Headcount: 1
- Hiring Job Details: technician maintainence
- Hiring Urgency: Hiring Now
- Number of outlets: 1
- Have recruiter team: No, I don't need at all
- Number of recruiter in company: 1
- Have ATS system: No, I don't need at all
- Have career website: No, I don't need at all
- Current hiring budget: RM1,700.00
- Whole year budget: 
- Whole year number of vacancies: 
- Hiring frequency: Once a year (25%)
- External job portal: Jobstreet</t>
        </is>
      </c>
      <c r="AT215">
        <v>100</v>
      </c>
      <c r="AU215" t="inlineStr">
        <is>
          <t>1.00</t>
        </is>
      </c>
      <c r="AV215" t="inlineStr">
        <is>
          <t>15</t>
        </is>
      </c>
      <c r="AW215" t="inlineStr">
        <is>
          <t>0</t>
        </is>
      </c>
      <c r="AX215" t="inlineStr">
        <is>
          <t>Not Qualified</t>
        </is>
      </c>
      <c r="AY215" s="4"/>
      <c r="AZ215"/>
      <c r="BA215"/>
      <c r="BB215"/>
      <c r="BC215" t="inlineStr">
        <is>
          <t>send invoie</t>
        </is>
      </c>
      <c r="BD215" s="4">
        <v>46142.61009259259</v>
      </c>
      <c r="BE215" t="inlineStr">
        <is>
          <t>paid</t>
        </is>
      </c>
      <c r="BF215" t="inlineStr">
        <is>
          <t>Q2-W04</t>
        </is>
      </c>
      <c r="BG215" t="inlineStr">
        <is>
          <t>Reschedule</t>
        </is>
      </c>
      <c r="BH215" t="inlineStr">
        <is>
          <t>Fauziah Maharan</t>
        </is>
      </c>
      <c r="BI215" t="inlineStr">
        <is>
          <t>Manufacturing / Production</t>
        </is>
      </c>
      <c r="BJ215" s="4">
        <v>46144.75215277778</v>
      </c>
      <c r="BK215" s="4">
        <v>45679.637025462966</v>
      </c>
      <c r="BL215" t="inlineStr">
        <is>
          <t>1728.0</t>
        </is>
      </c>
      <c r="BM215" t="inlineStr">
        <is>
          <t>0.0</t>
        </is>
      </c>
      <c r="BN215" t="inlineStr">
        <is>
          <t>View Company Page</t>
        </is>
      </c>
      <c r="BO215" s="4">
        <v>46142.615949074076</v>
      </c>
      <c r="BP215">
        <v>169441</v>
      </c>
      <c r="BQ215">
        <v>7764</v>
      </c>
      <c r="BR215" t="inlineStr">
        <is>
          <t>Manual (Paid)</t>
        </is>
      </c>
      <c r="BS215" t="inlineStr">
        <is>
          <t>AI Ala Carte
- A la carte for 2 AI Job Ad
- 2 AI Job Ad will be published on Maukerja, Ricebowl and our partner platforms
- 2 AI Job Ad will be published for 45 days
- 20 Free Candidates Profiles Unlock
- 6 Free Job Ad for any type of Intern / High Pay / Part-time / Volunteer / Freelance /
Singapore Job
- Package valid for 2 month
- AI Capability
- AI Instant Match for 30 profiles
- AI Daily Talent Recommendation for 2 profiles daily for 45 days
- AI "Open to Work" Detector for 2 profiles for 10 days
- AI Smart Filter
- AI Post Job Assistant
- Ajobthing CARE</t>
        </is>
      </c>
      <c r="BT215">
        <v>7764</v>
      </c>
      <c r="BU215"/>
      <c r="BV215">
        <v>2737745</v>
      </c>
      <c r="BW215" t="inlineStr">
        <is>
          <t>Inquire for Hiring Needs : Invoice Sent 75%</t>
        </is>
      </c>
      <c r="BX215">
        <v>2</v>
      </c>
      <c r="BY215">
        <v>2</v>
      </c>
      <c r="BZ215" s="4"/>
      <c r="CA215"/>
      <c r="CB215"/>
      <c r="CC215" s="4"/>
      <c r="CD215" t="inlineStr">
        <is>
          <t>20</t>
        </is>
      </c>
      <c r="CE215" t="inlineStr">
        <is>
          <t>0</t>
        </is>
      </c>
      <c r="CF215" t="inlineStr">
        <is>
          <t>Q2-W04</t>
        </is>
      </c>
      <c r="CG215" t="inlineStr">
        <is>
          <t>Q2-W04</t>
        </is>
      </c>
      <c r="CH215" t="inlineStr">
        <is>
          <t>Q2-W04</t>
        </is>
      </c>
      <c r="CI215"/>
      <c r="CJ215" t="inlineStr">
        <is>
          <t>Paid</t>
        </is>
      </c>
      <c r="CK215" t="inlineStr">
        <is>
          <t>Not Eligible</t>
        </is>
      </c>
      <c r="CL215"/>
      <c r="CM215"/>
    </row>
    <row r="216" ht="25.5" customHeight="1">
      <c r="A216" t="inlineStr">
        <is>
          <t>183424</t>
        </is>
      </c>
      <c r="B216" s="2"/>
      <c r="C216"/>
      <c r="D216" s="3">
        <v>46141.75456018518</v>
      </c>
      <c r="E216" t="inlineStr">
        <is>
          <t>Q2-W04</t>
        </is>
      </c>
      <c r="F216" t="inlineStr">
        <is>
          <t>Dickson</t>
        </is>
      </c>
      <c r="G216" t="inlineStr">
        <is>
          <t>Customer</t>
        </is>
      </c>
      <c r="H216" s="2" t="str">
        <f>=HYPERLINK("https://upbox.ajobthing.my/customer/183424", "https://upbox.ajobthing.my/customer/183424")</f>
        <v>https://upbox.ajobthing.my/customer/183424</v>
      </c>
      <c r="I216" t="inlineStr">
        <is>
          <t>Gokleen Trading &amp; Services Sdn BHd</t>
        </is>
      </c>
      <c r="J216" t="inlineStr">
        <is>
          <t>Dolphin</t>
        </is>
      </c>
      <c r="K216" t="inlineStr">
        <is>
          <t>Dickson</t>
        </is>
      </c>
      <c r="L216" s="4"/>
      <c r="M216" s="4">
        <v>46141.75466435185</v>
      </c>
      <c r="N216"/>
      <c r="O216">
        <v>1296</v>
      </c>
      <c r="P216" s="4"/>
      <c r="Q216" s="4"/>
      <c r="R216"/>
      <c r="S216"/>
      <c r="T216" s="4"/>
      <c r="U216" s="4"/>
      <c r="V216"/>
      <c r="W216"/>
      <c r="X216"/>
      <c r="Y216" t="inlineStr">
        <is>
          <t>Pending Appointment</t>
        </is>
      </c>
      <c r="Z216" t="inlineStr">
        <is>
          <t>Hiring Later</t>
        </is>
      </c>
      <c r="AA216">
        <v>1</v>
      </c>
      <c r="AB216" t="inlineStr">
        <is>
          <t>No Appointment Made</t>
        </is>
      </c>
      <c r="AC216"/>
      <c r="AD216" t="inlineStr">
        <is>
          <t>1 internship</t>
        </is>
      </c>
      <c r="AE216"/>
      <c r="AF216"/>
      <c r="AG216" s="4"/>
      <c r="AH216" s="4"/>
      <c r="AI216"/>
      <c r="AJ216">
        <v>1</v>
      </c>
      <c r="AK216" t="inlineStr">
        <is>
          <t>No, I don't need at all</t>
        </is>
      </c>
      <c r="AL216"/>
      <c r="AM216" t="inlineStr">
        <is>
          <t>No, I don't need at all</t>
        </is>
      </c>
      <c r="AN216"/>
      <c r="AO216" t="inlineStr">
        <is>
          <t>No, I don't need at all</t>
        </is>
      </c>
      <c r="AP216" t="inlineStr">
        <is>
          <t>Once per quarter (75%)</t>
        </is>
      </c>
      <c r="AQ216"/>
      <c r="AR216"/>
      <c r="AS216" t="inlineStr">
        <is>
          <t>- Headcount: 1
- Hiring Job Details: 1 internship
- Hiring Urgency: Hiring Later
- Number of outlets: 1
- Have recruiter team: No, I don't need at all
- Number of recruiter in company: 
- Have ATS system: No, I don't need at all
- Have career website: No, I don't need at all
- Current hiring budget: 
- Whole year budget: 
- Whole year number of vacancies: 
- Hiring frequency: Once per quarter (75%)
- External job portal:</t>
        </is>
      </c>
      <c r="AT216">
        <v>75</v>
      </c>
      <c r="AU216" t="inlineStr">
        <is>
          <t>0.75</t>
        </is>
      </c>
      <c r="AV216" t="inlineStr">
        <is>
          <t>5</t>
        </is>
      </c>
      <c r="AW216" t="inlineStr">
        <is>
          <t>0</t>
        </is>
      </c>
      <c r="AX216" t="inlineStr">
        <is>
          <t>Not Qualified</t>
        </is>
      </c>
      <c r="AY216" s="4"/>
      <c r="AZ216"/>
      <c r="BA216"/>
      <c r="BB216"/>
      <c r="BC216" t="inlineStr">
        <is>
          <t>- Headcount: 1
- Hiring Job Details: 1 internship
- Hiring Urgency: Hiring Later
- Number of outlets: 1
- Have recruiter team: No, I don't need at all
- Number of recruiter in company: 
- Have ATS system: No, I don't need at all
- Have career website: No, I don't need at all
- Current hiring budget: 
- Whole year budget: 
- Whole year number of vacancies: 
- Hiring frequency: Once per quarter (75%)
- External job portal:</t>
        </is>
      </c>
      <c r="BD216" s="4">
        <v>46141.79170138889</v>
      </c>
      <c r="BE216"/>
      <c r="BF216"/>
      <c r="BG216" t="inlineStr">
        <is>
          <t>Reschedule</t>
        </is>
      </c>
      <c r="BH216" t="inlineStr">
        <is>
          <t>Edward Hoo</t>
        </is>
      </c>
      <c r="BI216"/>
      <c r="BJ216" s="4">
        <v>46144.751967592594</v>
      </c>
      <c r="BK216" s="4">
        <v>45569.5640162037</v>
      </c>
      <c r="BL216" t="inlineStr">
        <is>
          <t>0.0</t>
        </is>
      </c>
      <c r="BM216" t="inlineStr">
        <is>
          <t>3600.0</t>
        </is>
      </c>
      <c r="BN216" t="inlineStr">
        <is>
          <t>User Register</t>
        </is>
      </c>
      <c r="BO216" s="4">
        <v>45569.5640162037</v>
      </c>
      <c r="BP216">
        <v>169592</v>
      </c>
      <c r="BQ216"/>
      <c r="BR216"/>
      <c r="BS216"/>
      <c r="BT216"/>
      <c r="BU216"/>
      <c r="BV216">
        <v>2736401</v>
      </c>
      <c r="BW216" t="inlineStr">
        <is>
          <t>Customer Inquiry</t>
        </is>
      </c>
      <c r="BX216"/>
      <c r="BY216"/>
      <c r="BZ216" s="4"/>
      <c r="CA216"/>
      <c r="CB216"/>
      <c r="CC216" s="4"/>
      <c r="CD216" t="inlineStr">
        <is>
          <t>5</t>
        </is>
      </c>
      <c r="CE216" t="inlineStr">
        <is>
          <t>0</t>
        </is>
      </c>
      <c r="CF216" t="inlineStr">
        <is>
          <t>Q2-W04</t>
        </is>
      </c>
      <c r="CG216"/>
      <c r="CH216"/>
      <c r="CI216"/>
      <c r="CJ216" t="inlineStr">
        <is>
          <t>No Paid</t>
        </is>
      </c>
      <c r="CK216" t="inlineStr">
        <is>
          <t>Not Eligible</t>
        </is>
      </c>
      <c r="CL216"/>
      <c r="CM216"/>
    </row>
    <row r="217" ht="25.5" customHeight="1">
      <c r="A217" t="inlineStr">
        <is>
          <t>175035</t>
        </is>
      </c>
      <c r="B217" s="2"/>
      <c r="C217"/>
      <c r="D217" s="3">
        <v>46141.78530092593</v>
      </c>
      <c r="E217" t="inlineStr">
        <is>
          <t>Q2-W04</t>
        </is>
      </c>
      <c r="F217" t="inlineStr">
        <is>
          <t>Jess</t>
        </is>
      </c>
      <c r="G217" t="inlineStr">
        <is>
          <t>Customer</t>
        </is>
      </c>
      <c r="H217" s="2" t="str">
        <f>=HYPERLINK("https://upbox.ajobthing.my/customer/175035", "https://upbox.ajobthing.my/customer/175035")</f>
        <v>https://upbox.ajobthing.my/customer/175035</v>
      </c>
      <c r="I217" t="inlineStr">
        <is>
          <t>San Food Sdn Bhd</t>
        </is>
      </c>
      <c r="J217" t="inlineStr">
        <is>
          <t>Dolphin</t>
        </is>
      </c>
      <c r="K217" t="inlineStr">
        <is>
          <t>Jess Lim</t>
        </is>
      </c>
      <c r="L217" s="4"/>
      <c r="M217" s="4">
        <v>46141.786087962966</v>
      </c>
      <c r="N217"/>
      <c r="O217">
        <v>5412.96</v>
      </c>
      <c r="P217" s="4"/>
      <c r="Q217" s="4">
        <v>45993.39383101852</v>
      </c>
      <c r="R217"/>
      <c r="S217">
        <v>0</v>
      </c>
      <c r="T217" s="4">
        <v>45751.622037037036</v>
      </c>
      <c r="U217" s="4"/>
      <c r="V217"/>
      <c r="W217">
        <v>2916</v>
      </c>
      <c r="X217"/>
      <c r="Y217" t="inlineStr">
        <is>
          <t>Pending Appointment</t>
        </is>
      </c>
      <c r="Z217" t="inlineStr">
        <is>
          <t>Hiring Now</t>
        </is>
      </c>
      <c r="AA217">
        <v>3</v>
      </c>
      <c r="AB217" t="inlineStr">
        <is>
          <t>No Appointment Made</t>
        </is>
      </c>
      <c r="AC217"/>
      <c r="AD217" t="inlineStr">
        <is>
          <t>kitchen crew 3</t>
        </is>
      </c>
      <c r="AE217"/>
      <c r="AF217">
        <v>2900</v>
      </c>
      <c r="AG217" s="4"/>
      <c r="AH217" s="4"/>
      <c r="AI217"/>
      <c r="AJ217">
        <v>1</v>
      </c>
      <c r="AK217" t="inlineStr">
        <is>
          <t>No, I don't need at all</t>
        </is>
      </c>
      <c r="AL217">
        <v>1</v>
      </c>
      <c r="AM217" t="inlineStr">
        <is>
          <t>No, I don't need at all</t>
        </is>
      </c>
      <c r="AN217"/>
      <c r="AO217" t="inlineStr">
        <is>
          <t>No, I don't need at all</t>
        </is>
      </c>
      <c r="AP217" t="inlineStr">
        <is>
          <t>Once a year (25%)</t>
        </is>
      </c>
      <c r="AQ217"/>
      <c r="AR217" t="inlineStr">
        <is>
          <t>Jobstreet</t>
        </is>
      </c>
      <c r="AS217" t="inlineStr">
        <is>
          <t>- Headcount: 3
- Hiring Job Details: kitchen crew 3
- Hiring Urgency: Hiring Now
- Number of outlets: 1
- Have recruiter team: No, I don't need at all
- Number of recruiter in company: 1
- Have ATS system: No, I don't need at all
- Have career website: No, I don't need at all
- Current hiring budget: RM2,900.00
- Whole year budget: 
- Whole year number of vacancies: 
- Hiring frequency: Once a year (25%)
- External job portal: Jobstreet</t>
        </is>
      </c>
      <c r="AT217">
        <v>100</v>
      </c>
      <c r="AU217" t="inlineStr">
        <is>
          <t>1.00</t>
        </is>
      </c>
      <c r="AV217" t="inlineStr">
        <is>
          <t>15</t>
        </is>
      </c>
      <c r="AW217" t="inlineStr">
        <is>
          <t>0</t>
        </is>
      </c>
      <c r="AX217" t="inlineStr">
        <is>
          <t>Not Qualified</t>
        </is>
      </c>
      <c r="AY217" s="4"/>
      <c r="AZ217"/>
      <c r="BA217"/>
      <c r="BB217"/>
      <c r="BC217" t="inlineStr">
        <is>
          <t>- Headcount: 3
- Hiring Job Details: kitchen crew 3
- Hiring Urgency: Hiring Now
- Number of outlets: 1
- Have recruiter team: No, I don't need at all
- Number of recruiter in company: 1
- Have ATS system: No, I don't need at all
- Have career website: No, I don't need at all
- Current hiring budget: RM2,900.00
- Whole year budget: 
- Whole year number of vacancies: 
- Hiring frequency: Once a year (25%)
- External job portal: Jobstreet</t>
        </is>
      </c>
      <c r="BD217" s="4">
        <v>46141.79170138889</v>
      </c>
      <c r="BE217" t="inlineStr">
        <is>
          <t>paid</t>
        </is>
      </c>
      <c r="BF217"/>
      <c r="BG217" t="inlineStr">
        <is>
          <t>Reschedule</t>
        </is>
      </c>
      <c r="BH217" t="inlineStr">
        <is>
          <t>Fauziah Maharan</t>
        </is>
      </c>
      <c r="BI217" t="inlineStr">
        <is>
          <t>Food / Beverage</t>
        </is>
      </c>
      <c r="BJ217" s="4">
        <v>46144.75158564815</v>
      </c>
      <c r="BK217" s="4">
        <v>45320.73292824074</v>
      </c>
      <c r="BL217" t="inlineStr">
        <is>
          <t>0.0</t>
        </is>
      </c>
      <c r="BM217" t="inlineStr">
        <is>
          <t>0.0</t>
        </is>
      </c>
      <c r="BN217" t="inlineStr">
        <is>
          <t>View Company Page</t>
        </is>
      </c>
      <c r="BO217" s="4">
        <v>46143.56883101852</v>
      </c>
      <c r="BP217">
        <v>169594</v>
      </c>
      <c r="BQ217">
        <v>112506</v>
      </c>
      <c r="BR217" t="inlineStr">
        <is>
          <t>Proforma</t>
        </is>
      </c>
      <c r="BS217" t="inlineStr">
        <is>
          <t>A La Carte AI Job Ad Free</t>
        </is>
      </c>
      <c r="BT217">
        <v>78154</v>
      </c>
      <c r="BU217"/>
      <c r="BV217">
        <v>2736402</v>
      </c>
      <c r="BW217" t="inlineStr">
        <is>
          <t>Customer Inquiry</t>
        </is>
      </c>
      <c r="BX217"/>
      <c r="BY217"/>
      <c r="BZ217" s="4"/>
      <c r="CA217"/>
      <c r="CB217"/>
      <c r="CC217" s="4"/>
      <c r="CD217" t="inlineStr">
        <is>
          <t>20</t>
        </is>
      </c>
      <c r="CE217" t="inlineStr">
        <is>
          <t>0</t>
        </is>
      </c>
      <c r="CF217" t="inlineStr">
        <is>
          <t>Q2-W04</t>
        </is>
      </c>
      <c r="CG217"/>
      <c r="CH217"/>
      <c r="CI217"/>
      <c r="CJ217" t="inlineStr">
        <is>
          <t>Paid</t>
        </is>
      </c>
      <c r="CK217" t="inlineStr">
        <is>
          <t>Not Eligible</t>
        </is>
      </c>
      <c r="CL217"/>
      <c r="CM217"/>
    </row>
    <row r="218" ht="25.5" customHeight="1">
      <c r="A218" t="inlineStr">
        <is>
          <t>191883</t>
        </is>
      </c>
      <c r="B218" s="2"/>
      <c r="C218"/>
      <c r="D218" s="3">
        <v>46142.38943287037</v>
      </c>
      <c r="E218" t="inlineStr">
        <is>
          <t>Q2-W04</t>
        </is>
      </c>
      <c r="F218" t="inlineStr">
        <is>
          <t>Ratha</t>
        </is>
      </c>
      <c r="G218" t="inlineStr">
        <is>
          <t>Customer</t>
        </is>
      </c>
      <c r="H218" s="2" t="str">
        <f>=HYPERLINK("https://upbox.ajobthing.my/customer/191883", "https://upbox.ajobthing.my/customer/191883")</f>
        <v>https://upbox.ajobthing.my/customer/191883</v>
      </c>
      <c r="I218" t="inlineStr">
        <is>
          <t>KarKarriers Sdn&amp;nbsp;Bhd</t>
        </is>
      </c>
      <c r="J218" t="inlineStr">
        <is>
          <t>Dolphin</t>
        </is>
      </c>
      <c r="K218" t="inlineStr">
        <is>
          <t>Ratha</t>
        </is>
      </c>
      <c r="L218" s="4"/>
      <c r="M218" s="4">
        <v>46142.44063657407</v>
      </c>
      <c r="N218"/>
      <c r="O218">
        <v>864</v>
      </c>
      <c r="P218" s="4"/>
      <c r="Q218" s="4">
        <v>45807.41071759259</v>
      </c>
      <c r="R218"/>
      <c r="S218">
        <v>1080</v>
      </c>
      <c r="T218" s="4">
        <v>45807.41071759259</v>
      </c>
      <c r="U218" s="4"/>
      <c r="V218"/>
      <c r="W218">
        <v>1080</v>
      </c>
      <c r="X218"/>
      <c r="Y218" t="inlineStr">
        <is>
          <t>Pending Appointment</t>
        </is>
      </c>
      <c r="Z218" t="inlineStr">
        <is>
          <t>Hiring Now</t>
        </is>
      </c>
      <c r="AA218">
        <v>1</v>
      </c>
      <c r="AB218" t="inlineStr">
        <is>
          <t>No Appointment Made</t>
        </is>
      </c>
      <c r="AC218"/>
      <c r="AD218" t="inlineStr">
        <is>
          <t>Account 1
Location : Subang</t>
        </is>
      </c>
      <c r="AE218"/>
      <c r="AF218"/>
      <c r="AG218" s="4"/>
      <c r="AH218" s="4"/>
      <c r="AI218">
        <v>0</v>
      </c>
      <c r="AJ218">
        <v>1</v>
      </c>
      <c r="AK218" t="inlineStr">
        <is>
          <t>Yes, I have</t>
        </is>
      </c>
      <c r="AL218">
        <v>2</v>
      </c>
      <c r="AM218" t="inlineStr">
        <is>
          <t>No, I don't need at all</t>
        </is>
      </c>
      <c r="AN218"/>
      <c r="AO218" t="inlineStr">
        <is>
          <t>No, I don't need at all</t>
        </is>
      </c>
      <c r="AP218" t="inlineStr">
        <is>
          <t>Twice a year (50%)</t>
        </is>
      </c>
      <c r="AQ218">
        <v>0</v>
      </c>
      <c r="AR218" t="inlineStr">
        <is>
          <t>Did not use any job portal</t>
        </is>
      </c>
      <c r="AS218" t="inlineStr">
        <is>
          <t>- Headcount: 1
- Hiring Job Details: Account 1, Location: Subang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is>
      </c>
      <c r="AT218">
        <v>95</v>
      </c>
      <c r="AU218" t="inlineStr">
        <is>
          <t>0.95</t>
        </is>
      </c>
      <c r="AV218" t="inlineStr">
        <is>
          <t>5</t>
        </is>
      </c>
      <c r="AW218" t="inlineStr">
        <is>
          <t>0</t>
        </is>
      </c>
      <c r="AX218" t="inlineStr">
        <is>
          <t>Not Qualified</t>
        </is>
      </c>
      <c r="AY218" s="4"/>
      <c r="AZ218"/>
      <c r="BA218"/>
      <c r="BB218"/>
      <c r="BC218" t="inlineStr">
        <is>
          <t>asked to explain - concerning about the price thus asked to share 1 job ad</t>
        </is>
      </c>
      <c r="BD218" s="4">
        <v>46142.440046296295</v>
      </c>
      <c r="BE218" t="inlineStr">
        <is>
          <t>paid</t>
        </is>
      </c>
      <c r="BF218"/>
      <c r="BG218" t="inlineStr">
        <is>
          <t>Reschedule</t>
        </is>
      </c>
      <c r="BH218" t="inlineStr">
        <is>
          <t>Fauziah Maharan</t>
        </is>
      </c>
      <c r="BI218" t="inlineStr">
        <is>
          <t>Transportation / Logistics</t>
        </is>
      </c>
      <c r="BJ218" s="4">
        <v>46144.7524537037</v>
      </c>
      <c r="BK218" s="4">
        <v>45805.37414351852</v>
      </c>
      <c r="BL218" t="inlineStr">
        <is>
          <t>1080.0</t>
        </is>
      </c>
      <c r="BM218" t="inlineStr">
        <is>
          <t>0.0</t>
        </is>
      </c>
      <c r="BN218" t="inlineStr">
        <is>
          <t>View Company Page</t>
        </is>
      </c>
      <c r="BO218" s="4">
        <v>46141.65408564815</v>
      </c>
      <c r="BP218">
        <v>169620</v>
      </c>
      <c r="BQ218">
        <v>5863</v>
      </c>
      <c r="BR218" t="inlineStr">
        <is>
          <t>Manual (Paid)</t>
        </is>
      </c>
      <c r="BS218" t="inlineStr">
        <is>
          <t>Ala Carte Single
- Ala Carte Single with Booster Plus
- 1 Job Ad will be published on Maukerja, Ricebowl, and our partner platforms
- 1 Booster Plus (8 times bump up)
- 1 Job Ad will be published for 45 days
- Package valid for 1 month</t>
        </is>
      </c>
      <c r="BT218">
        <v>5863</v>
      </c>
      <c r="BU218"/>
      <c r="BV218">
        <v>2736794</v>
      </c>
      <c r="BW218" t="inlineStr">
        <is>
          <t>Follow Up : Decision Pending</t>
        </is>
      </c>
      <c r="BX218"/>
      <c r="BY218"/>
      <c r="BZ218" s="4"/>
      <c r="CA218"/>
      <c r="CB218"/>
      <c r="CC218" s="4"/>
      <c r="CD218" t="inlineStr">
        <is>
          <t>5</t>
        </is>
      </c>
      <c r="CE218" t="inlineStr">
        <is>
          <t>0</t>
        </is>
      </c>
      <c r="CF218" t="inlineStr">
        <is>
          <t>Q2-W04</t>
        </is>
      </c>
      <c r="CG218"/>
      <c r="CH218"/>
      <c r="CI218"/>
      <c r="CJ218" t="inlineStr">
        <is>
          <t>Paid</t>
        </is>
      </c>
      <c r="CK218" t="inlineStr">
        <is>
          <t>Not Eligible</t>
        </is>
      </c>
      <c r="CL218"/>
      <c r="CM218"/>
    </row>
    <row r="219" ht="25.5" customHeight="1">
      <c r="A219" t="inlineStr">
        <is>
          <t>195105</t>
        </is>
      </c>
      <c r="B219" s="2"/>
      <c r="C219"/>
      <c r="D219" s="3">
        <v>46142.43025462963</v>
      </c>
      <c r="E219" t="inlineStr">
        <is>
          <t>Q2-W04</t>
        </is>
      </c>
      <c r="F219" t="inlineStr">
        <is>
          <t>Carmen</t>
        </is>
      </c>
      <c r="G219" t="inlineStr">
        <is>
          <t>Customer</t>
        </is>
      </c>
      <c r="H219" s="2" t="str">
        <f>=HYPERLINK("https://upbox.ajobthing.my/customer/195105", "https://upbox.ajobthing.my/customer/195105")</f>
        <v>https://upbox.ajobthing.my/customer/195105</v>
      </c>
      <c r="I219" t="inlineStr">
        <is>
          <t>Sinetek Engineering Sdn. Bhd.</t>
        </is>
      </c>
      <c r="J219" t="inlineStr">
        <is>
          <t>Dolphin</t>
        </is>
      </c>
      <c r="K219" t="inlineStr">
        <is>
          <t>Carmen</t>
        </is>
      </c>
      <c r="L219" s="4"/>
      <c r="M219" s="4">
        <v>46142.43053240741</v>
      </c>
      <c r="N219"/>
      <c r="O219">
        <v>1296</v>
      </c>
      <c r="P219" s="4"/>
      <c r="Q219" s="4">
        <v>46142.625243055554</v>
      </c>
      <c r="R219"/>
      <c r="S219">
        <v>1296</v>
      </c>
      <c r="T219" s="4"/>
      <c r="U219" s="4"/>
      <c r="V219"/>
      <c r="W219"/>
      <c r="X219"/>
      <c r="Y219" t="inlineStr">
        <is>
          <t>Pending Appointment</t>
        </is>
      </c>
      <c r="Z219" t="inlineStr">
        <is>
          <t>Hiring Now</t>
        </is>
      </c>
      <c r="AA219">
        <v>2</v>
      </c>
      <c r="AB219" t="inlineStr">
        <is>
          <t>No Appointment Made</t>
        </is>
      </c>
      <c r="AC219"/>
      <c r="AD219" t="inlineStr">
        <is>
          <t>account assistant x1 ; electrical / mechanical internship</t>
        </is>
      </c>
      <c r="AE219"/>
      <c r="AF219">
        <v>0</v>
      </c>
      <c r="AG219" s="4"/>
      <c r="AH219" s="4"/>
      <c r="AI219"/>
      <c r="AJ219"/>
      <c r="AK219"/>
      <c r="AL219"/>
      <c r="AM219"/>
      <c r="AN219"/>
      <c r="AO219"/>
      <c r="AP219"/>
      <c r="AQ219"/>
      <c r="AR219"/>
      <c r="AS219" t="inlineStr">
        <is>
          <t>- Headcount: 2
- Hiring Job Details: 1 account assistant; 1 electrical/mechanical internship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219">
        <v>65</v>
      </c>
      <c r="AU219" t="inlineStr">
        <is>
          <t>0.65</t>
        </is>
      </c>
      <c r="AV219" t="inlineStr">
        <is>
          <t>15</t>
        </is>
      </c>
      <c r="AW219" t="inlineStr">
        <is>
          <t>0</t>
        </is>
      </c>
      <c r="AX219" t="inlineStr">
        <is>
          <t>Not Qualified</t>
        </is>
      </c>
      <c r="AY219" s="4"/>
      <c r="AZ219"/>
      <c r="BA219"/>
      <c r="BB219"/>
      <c r="BC219" t="inlineStr">
        <is>
          <t>ivsent</t>
        </is>
      </c>
      <c r="BD219" s="4">
        <v>46142.62599537037</v>
      </c>
      <c r="BE219" t="inlineStr">
        <is>
          <t>pending</t>
        </is>
      </c>
      <c r="BF219"/>
      <c r="BG219" t="inlineStr">
        <is>
          <t>Reschedule</t>
        </is>
      </c>
      <c r="BH219" t="inlineStr">
        <is>
          <t>Reagen</t>
        </is>
      </c>
      <c r="BI219"/>
      <c r="BJ219" s="4">
        <v>46144.75274305556</v>
      </c>
      <c r="BK219" s="4">
        <v>45887.845717592594</v>
      </c>
      <c r="BL219" t="inlineStr">
        <is>
          <t>0.0</t>
        </is>
      </c>
      <c r="BM219" t="inlineStr">
        <is>
          <t>1200.0</t>
        </is>
      </c>
      <c r="BN219" t="inlineStr">
        <is>
          <t>View Create Job Page</t>
        </is>
      </c>
      <c r="BO219" s="4">
        <v>45887.84625</v>
      </c>
      <c r="BP219">
        <v>169611</v>
      </c>
      <c r="BQ219">
        <v>124196</v>
      </c>
      <c r="BR219" t="inlineStr">
        <is>
          <t>Proforma</t>
        </is>
      </c>
      <c r="BS219" t="inlineStr">
        <is>
          <t>AI Ala Carte (Jan 26) Plus</t>
        </is>
      </c>
      <c r="BT219"/>
      <c r="BU219"/>
      <c r="BV219">
        <v>2737871</v>
      </c>
      <c r="BW219" t="inlineStr">
        <is>
          <t>Follow Up : Invoice Sent 75%</t>
        </is>
      </c>
      <c r="BX219"/>
      <c r="BY219"/>
      <c r="BZ219" s="4"/>
      <c r="CA219"/>
      <c r="CB219"/>
      <c r="CC219" s="4"/>
      <c r="CD219" t="inlineStr">
        <is>
          <t>20</t>
        </is>
      </c>
      <c r="CE219" t="inlineStr">
        <is>
          <t>0</t>
        </is>
      </c>
      <c r="CF219" t="inlineStr">
        <is>
          <t>Q2-W04</t>
        </is>
      </c>
      <c r="CG219" t="inlineStr">
        <is>
          <t>Q2-W04</t>
        </is>
      </c>
      <c r="CH219"/>
      <c r="CI219"/>
      <c r="CJ219" t="inlineStr">
        <is>
          <t>No Paid</t>
        </is>
      </c>
      <c r="CK219" t="inlineStr">
        <is>
          <t>Not Eligible</t>
        </is>
      </c>
      <c r="CL219"/>
      <c r="CM219"/>
    </row>
    <row r="220" ht="25.5" customHeight="1">
      <c r="A220" t="inlineStr">
        <is>
          <t>4333466</t>
        </is>
      </c>
      <c r="B220" s="2"/>
      <c r="C220"/>
      <c r="D220" s="3">
        <v>46142.43346064815</v>
      </c>
      <c r="E220" t="inlineStr">
        <is>
          <t>Q2-W04</t>
        </is>
      </c>
      <c r="F220" t="inlineStr">
        <is>
          <t>Jess</t>
        </is>
      </c>
      <c r="G220" t="inlineStr">
        <is>
          <t>Lead</t>
        </is>
      </c>
      <c r="H220" s="2" t="str">
        <f>=HYPERLINK("https://upbox.ajobthing.my/leads/4333466", "https://upbox.ajobthing.my/leads/4333466")</f>
        <v>https://upbox.ajobthing.my/leads/4333466</v>
      </c>
      <c r="I220" t="inlineStr">
        <is>
          <t>Eureka Resources Sdn. Bhd.</t>
        </is>
      </c>
      <c r="J220" t="inlineStr">
        <is>
          <t>Dolphin</t>
        </is>
      </c>
      <c r="K220" t="inlineStr">
        <is>
          <t>Jess Lim</t>
        </is>
      </c>
      <c r="L220" s="4"/>
      <c r="M220" s="4">
        <v>46142.435532407406</v>
      </c>
      <c r="N220"/>
      <c r="O220">
        <v>3888</v>
      </c>
      <c r="P220" s="4"/>
      <c r="Q220" s="4"/>
      <c r="R220"/>
      <c r="S220"/>
      <c r="T220" s="4"/>
      <c r="U220" s="4"/>
      <c r="V220"/>
      <c r="W220"/>
      <c r="X220"/>
      <c r="Y220" t="inlineStr">
        <is>
          <t>Pending Appointment</t>
        </is>
      </c>
      <c r="Z220" t="inlineStr">
        <is>
          <t>Hiring Now</t>
        </is>
      </c>
      <c r="AA220">
        <v>1</v>
      </c>
      <c r="AB220" t="inlineStr">
        <is>
          <t>No Appointment Made</t>
        </is>
      </c>
      <c r="AC220"/>
      <c r="AD220" t="inlineStr">
        <is>
          <t>production</t>
        </is>
      </c>
      <c r="AE220"/>
      <c r="AF220">
        <v>1000</v>
      </c>
      <c r="AG220" s="4"/>
      <c r="AH220" s="4"/>
      <c r="AI220"/>
      <c r="AJ220">
        <v>1</v>
      </c>
      <c r="AK220" t="inlineStr">
        <is>
          <t>No, I don't need at all</t>
        </is>
      </c>
      <c r="AL220">
        <v>1</v>
      </c>
      <c r="AM220" t="inlineStr">
        <is>
          <t>No, I don't need at all</t>
        </is>
      </c>
      <c r="AN220"/>
      <c r="AO220" t="inlineStr">
        <is>
          <t>No, I don't need at all</t>
        </is>
      </c>
      <c r="AP220" t="inlineStr">
        <is>
          <t>Once a year (25%)</t>
        </is>
      </c>
      <c r="AQ220"/>
      <c r="AR220" t="inlineStr">
        <is>
          <t>Jobstreet</t>
        </is>
      </c>
      <c r="AS220" t="inlineStr">
        <is>
          <t>- Headcount: 1
- Hiring Job Details: production
- Hiring Urgency: Hiring Now
- Number of outlets: 1
- Have recruiter team: No, I don't need at all
- Number of recruiter in company: 1
- Have ATS system: No, I don't need at all
- Have career website: No, I don't need at all
- Current hiring budget: RM1,000.00
- Whole year budget: 
- Whole year number of vacancies: 
- Hiring frequency: Once a year (25%)
- External job portal: Jobstreet</t>
        </is>
      </c>
      <c r="AT220">
        <v>100</v>
      </c>
      <c r="AU220" t="inlineStr">
        <is>
          <t>1.00</t>
        </is>
      </c>
      <c r="AV220" t="inlineStr">
        <is>
          <t>15</t>
        </is>
      </c>
      <c r="AW220" t="inlineStr">
        <is>
          <t>0</t>
        </is>
      </c>
      <c r="AX220" t="inlineStr">
        <is>
          <t>Not Qualified</t>
        </is>
      </c>
      <c r="AY220" s="4"/>
      <c r="AZ220"/>
      <c r="BA220"/>
      <c r="BB220"/>
      <c r="BC220"/>
      <c r="BD220" s="4"/>
      <c r="BE220"/>
      <c r="BF220"/>
      <c r="BG220" t="inlineStr">
        <is>
          <t>Reschedule</t>
        </is>
      </c>
      <c r="BH220" t="inlineStr">
        <is>
          <t>Fauziah Maharan</t>
        </is>
      </c>
      <c r="BI220"/>
      <c r="BJ220" s="4">
        <v>46144.755949074075</v>
      </c>
      <c r="BK220" s="4">
        <v>46141.913773148146</v>
      </c>
      <c r="BL220" t="inlineStr">
        <is>
          <t>0.0</t>
        </is>
      </c>
      <c r="BM220" t="inlineStr">
        <is>
          <t>1800.0</t>
        </is>
      </c>
      <c r="BN220"/>
      <c r="BO220" s="4"/>
      <c r="BP220">
        <v>169613</v>
      </c>
      <c r="BQ220"/>
      <c r="BR220"/>
      <c r="BS220"/>
      <c r="BT220"/>
      <c r="BU220"/>
      <c r="BV220"/>
      <c r="BW220"/>
      <c r="BX220"/>
      <c r="BY220"/>
      <c r="BZ220" s="4"/>
      <c r="CA220"/>
      <c r="CB220"/>
      <c r="CC220" s="4"/>
      <c r="CD220" t="inlineStr">
        <is>
          <t>20</t>
        </is>
      </c>
      <c r="CE220" t="inlineStr">
        <is>
          <t>0</t>
        </is>
      </c>
      <c r="CF220" t="inlineStr">
        <is>
          <t>Q2-W04</t>
        </is>
      </c>
      <c r="CG220"/>
      <c r="CH220"/>
      <c r="CI220"/>
      <c r="CJ220" t="inlineStr">
        <is>
          <t>No Paid</t>
        </is>
      </c>
      <c r="CK220" t="inlineStr">
        <is>
          <t>Not Eligible</t>
        </is>
      </c>
      <c r="CL220"/>
      <c r="CM220"/>
    </row>
    <row r="221" ht="25.5" customHeight="1">
      <c r="A221" t="inlineStr">
        <is>
          <t>203807</t>
        </is>
      </c>
      <c r="B221" s="2"/>
      <c r="C221"/>
      <c r="D221" s="3">
        <v>46142.437789351854</v>
      </c>
      <c r="E221" t="inlineStr">
        <is>
          <t>Q2-W04</t>
        </is>
      </c>
      <c r="F221" t="inlineStr">
        <is>
          <t>Alan KY</t>
        </is>
      </c>
      <c r="G221" t="inlineStr">
        <is>
          <t>Customer</t>
        </is>
      </c>
      <c r="H221" s="2" t="str">
        <f>=HYPERLINK("https://upbox.ajobthing.my/customer/203807", "https://upbox.ajobthing.my/customer/203807")</f>
        <v>https://upbox.ajobthing.my/customer/203807</v>
      </c>
      <c r="I221" t="inlineStr">
        <is>
          <t>Boon Meng Electrical Sdn Bhd</t>
        </is>
      </c>
      <c r="J221" t="inlineStr">
        <is>
          <t>Dolphin</t>
        </is>
      </c>
      <c r="K221" t="inlineStr">
        <is>
          <t>Alan KY</t>
        </is>
      </c>
      <c r="L221" s="4"/>
      <c r="M221" s="4">
        <v>46142.43881944445</v>
      </c>
      <c r="N221"/>
      <c r="O221">
        <v>5412.96</v>
      </c>
      <c r="P221" s="4"/>
      <c r="Q221" s="4">
        <v>46142.010983796295</v>
      </c>
      <c r="R221"/>
      <c r="S221">
        <v>0</v>
      </c>
      <c r="T221" s="4"/>
      <c r="U221" s="4"/>
      <c r="V221"/>
      <c r="W221"/>
      <c r="X221"/>
      <c r="Y221" t="inlineStr">
        <is>
          <t>Pending Appointment</t>
        </is>
      </c>
      <c r="Z221" t="inlineStr">
        <is>
          <t>Hiring Now</t>
        </is>
      </c>
      <c r="AA221">
        <v>2</v>
      </c>
      <c r="AB221" t="inlineStr">
        <is>
          <t>No Appointment Made</t>
        </is>
      </c>
      <c r="AC221"/>
      <c r="AD221" t="inlineStr">
        <is>
          <t xml:space="preserve">1 cs, 1 ops executive in KL / selangor </t>
        </is>
      </c>
      <c r="AE221"/>
      <c r="AF221"/>
      <c r="AG221" s="4"/>
      <c r="AH221" s="4"/>
      <c r="AI221"/>
      <c r="AJ221">
        <v>4</v>
      </c>
      <c r="AK221" t="inlineStr">
        <is>
          <t>No, I don't need at all</t>
        </is>
      </c>
      <c r="AL221"/>
      <c r="AM221" t="inlineStr">
        <is>
          <t>No, I don't need at all</t>
        </is>
      </c>
      <c r="AN221"/>
      <c r="AO221" t="inlineStr">
        <is>
          <t>No, I don't need at all</t>
        </is>
      </c>
      <c r="AP221" t="inlineStr">
        <is>
          <t>Once per quarter (75%)</t>
        </is>
      </c>
      <c r="AQ221"/>
      <c r="AR221" t="inlineStr">
        <is>
          <t>Jobstreet, Indeed (Paid)</t>
        </is>
      </c>
      <c r="AS221" t="inlineStr">
        <is>
          <t>- Headcount: 2
- Hiring Job Details: 1 cs, 1 ops executive in KL / selangor
- Hiring Urgency: Hiring Now
- Number of outlets: 4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Jobstreet,Indeed (Paid)</t>
        </is>
      </c>
      <c r="AT221">
        <v>100</v>
      </c>
      <c r="AU221" t="inlineStr">
        <is>
          <t>1.00</t>
        </is>
      </c>
      <c r="AV221" t="inlineStr">
        <is>
          <t>5</t>
        </is>
      </c>
      <c r="AW221" t="inlineStr">
        <is>
          <t>0</t>
        </is>
      </c>
      <c r="AX221" t="inlineStr">
        <is>
          <t>Not Qualified</t>
        </is>
      </c>
      <c r="AY221" s="4"/>
      <c r="AZ221"/>
      <c r="BA221"/>
      <c r="BB221"/>
      <c r="BC221" t="inlineStr">
        <is>
          <t>- Headcount: 2
- Hiring Job Details: 1 cs, 1 ops executive in KL / selangor
- Hiring Urgency: Hiring Now
- Number of outlets: 4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Jobstreet,Indeed (Paid)</t>
        </is>
      </c>
      <c r="BD221" s="4">
        <v>46142.458969907406</v>
      </c>
      <c r="BE221" t="inlineStr">
        <is>
          <t>paid</t>
        </is>
      </c>
      <c r="BF221"/>
      <c r="BG221" t="inlineStr">
        <is>
          <t>Reschedule</t>
        </is>
      </c>
      <c r="BH221" t="inlineStr">
        <is>
          <t>Reagen</t>
        </is>
      </c>
      <c r="BI221" t="inlineStr">
        <is>
          <t>Retail / Merchandise</t>
        </is>
      </c>
      <c r="BJ221" s="4">
        <v>46144.75438657407</v>
      </c>
      <c r="BK221" s="4">
        <v>46141.996932870374</v>
      </c>
      <c r="BL221" t="inlineStr">
        <is>
          <t>0.0</t>
        </is>
      </c>
      <c r="BM221" t="inlineStr">
        <is>
          <t>3000.0</t>
        </is>
      </c>
      <c r="BN221" t="inlineStr">
        <is>
          <t>User Login</t>
        </is>
      </c>
      <c r="BO221" s="4">
        <v>46142.01336805556</v>
      </c>
      <c r="BP221">
        <v>169616</v>
      </c>
      <c r="BQ221">
        <v>124126</v>
      </c>
      <c r="BR221" t="inlineStr">
        <is>
          <t>Proforma</t>
        </is>
      </c>
      <c r="BS221" t="inlineStr">
        <is>
          <t>Free Part-Time Job</t>
        </is>
      </c>
      <c r="BT221"/>
      <c r="BU221"/>
      <c r="BV221">
        <v>2736946</v>
      </c>
      <c r="BW221" t="inlineStr">
        <is>
          <t>Customer Inquiry</t>
        </is>
      </c>
      <c r="BX221">
        <v>3</v>
      </c>
      <c r="BY221">
        <v>3</v>
      </c>
      <c r="BZ221" s="4"/>
      <c r="CA221"/>
      <c r="CB221"/>
      <c r="CC221" s="4"/>
      <c r="CD221" t="inlineStr">
        <is>
          <t>5</t>
        </is>
      </c>
      <c r="CE221" t="inlineStr">
        <is>
          <t>0</t>
        </is>
      </c>
      <c r="CF221" t="inlineStr">
        <is>
          <t>Q2-W04</t>
        </is>
      </c>
      <c r="CG221" t="inlineStr">
        <is>
          <t>Q2-W04</t>
        </is>
      </c>
      <c r="CH221"/>
      <c r="CI221"/>
      <c r="CJ221" t="inlineStr">
        <is>
          <t>No Paid</t>
        </is>
      </c>
      <c r="CK221" t="inlineStr">
        <is>
          <t>Not Eligible</t>
        </is>
      </c>
      <c r="CL221"/>
      <c r="CM221"/>
    </row>
    <row r="222" ht="25.5" customHeight="1">
      <c r="A222" t="inlineStr">
        <is>
          <t>187016</t>
        </is>
      </c>
      <c r="B222" s="2"/>
      <c r="C222"/>
      <c r="D222" s="3">
        <v>46142.44045138889</v>
      </c>
      <c r="E222" t="inlineStr">
        <is>
          <t>Q2-W04</t>
        </is>
      </c>
      <c r="F222" t="inlineStr">
        <is>
          <t>Keegan</t>
        </is>
      </c>
      <c r="G222" t="inlineStr">
        <is>
          <t>Customer</t>
        </is>
      </c>
      <c r="H222" s="2" t="str">
        <f>=HYPERLINK("https://upbox.ajobthing.my/customer/187016", "https://upbox.ajobthing.my/customer/187016")</f>
        <v>https://upbox.ajobthing.my/customer/187016</v>
      </c>
      <c r="I222" t="inlineStr">
        <is>
          <t>Maysky (m) Sdn Bhd</t>
        </is>
      </c>
      <c r="J222" t="inlineStr">
        <is>
          <t>Dolphin</t>
        </is>
      </c>
      <c r="K222" t="inlineStr">
        <is>
          <t>Keegan</t>
        </is>
      </c>
      <c r="L222" s="4"/>
      <c r="M222" s="4">
        <v>46142.44111111111</v>
      </c>
      <c r="N222"/>
      <c r="O222">
        <v>6048</v>
      </c>
      <c r="P222" s="4"/>
      <c r="Q222" s="4"/>
      <c r="R222"/>
      <c r="S222"/>
      <c r="T222" s="4"/>
      <c r="U222" s="4"/>
      <c r="V222"/>
      <c r="W222"/>
      <c r="X222"/>
      <c r="Y222" t="inlineStr">
        <is>
          <t>Pending Appointment</t>
        </is>
      </c>
      <c r="Z222" t="inlineStr">
        <is>
          <t>Hiring Now</t>
        </is>
      </c>
      <c r="AA222">
        <v>3</v>
      </c>
      <c r="AB222" t="inlineStr">
        <is>
          <t>No Appointment Made</t>
        </is>
      </c>
      <c r="AC222"/>
      <c r="AD222" t="inlineStr">
        <is>
          <t xml:space="preserve">1. Sales
2. Marketing 
3. Admin </t>
        </is>
      </c>
      <c r="AE222"/>
      <c r="AF222"/>
      <c r="AG222" s="4"/>
      <c r="AH222" s="4"/>
      <c r="AI222"/>
      <c r="AJ222">
        <v>1</v>
      </c>
      <c r="AK222" t="inlineStr">
        <is>
          <t>No, I don't need at all</t>
        </is>
      </c>
      <c r="AL222">
        <v>0</v>
      </c>
      <c r="AM222" t="inlineStr">
        <is>
          <t>No, I don't need at all</t>
        </is>
      </c>
      <c r="AN222"/>
      <c r="AO222" t="inlineStr">
        <is>
          <t>No, I don't need at all</t>
        </is>
      </c>
      <c r="AP222" t="inlineStr">
        <is>
          <t>Once per quarter (75%)</t>
        </is>
      </c>
      <c r="AQ222"/>
      <c r="AR222" t="inlineStr">
        <is>
          <t>Did not use any job portal</t>
        </is>
      </c>
      <c r="AS222" t="inlineStr">
        <is>
          <t>- Headcount: 3
- Hiring Job Details: 1. Sales 2.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22">
        <v>95</v>
      </c>
      <c r="AU222" t="inlineStr">
        <is>
          <t>0.95</t>
        </is>
      </c>
      <c r="AV222" t="inlineStr">
        <is>
          <t>5</t>
        </is>
      </c>
      <c r="AW222" t="inlineStr">
        <is>
          <t>0</t>
        </is>
      </c>
      <c r="AX222" t="inlineStr">
        <is>
          <t>Not Qualified</t>
        </is>
      </c>
      <c r="AY222" s="4"/>
      <c r="AZ222"/>
      <c r="BA222"/>
      <c r="BB222"/>
      <c r="BC222" t="inlineStr">
        <is>
          <t>- Headcount: 3
- Hiring Job Details: 1. Sales 2.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22" s="4">
        <v>46142.45898148148</v>
      </c>
      <c r="BE222"/>
      <c r="BF222"/>
      <c r="BG222" t="inlineStr">
        <is>
          <t>Reschedule</t>
        </is>
      </c>
      <c r="BH222" t="inlineStr">
        <is>
          <t>Edward Hoo</t>
        </is>
      </c>
      <c r="BI222" t="inlineStr">
        <is>
          <t>Call Center / BPO</t>
        </is>
      </c>
      <c r="BJ222" s="4">
        <v>46144.75215277778</v>
      </c>
      <c r="BK222" s="4">
        <v>45679.439097222225</v>
      </c>
      <c r="BL222" t="inlineStr">
        <is>
          <t>0.0</t>
        </is>
      </c>
      <c r="BM222" t="inlineStr">
        <is>
          <t>0.0</t>
        </is>
      </c>
      <c r="BN222" t="inlineStr">
        <is>
          <t>View Create Job Page</t>
        </is>
      </c>
      <c r="BO222" s="4">
        <v>45679.448958333334</v>
      </c>
      <c r="BP222">
        <v>169622</v>
      </c>
      <c r="BQ222"/>
      <c r="BR222"/>
      <c r="BS222"/>
      <c r="BT222"/>
      <c r="BU222"/>
      <c r="BV222">
        <v>2736950</v>
      </c>
      <c r="BW222" t="inlineStr">
        <is>
          <t>Customer Inquiry</t>
        </is>
      </c>
      <c r="BX222"/>
      <c r="BY222"/>
      <c r="BZ222" s="4"/>
      <c r="CA222"/>
      <c r="CB222"/>
      <c r="CC222" s="4"/>
      <c r="CD222" t="inlineStr">
        <is>
          <t>5</t>
        </is>
      </c>
      <c r="CE222" t="inlineStr">
        <is>
          <t>0</t>
        </is>
      </c>
      <c r="CF222" t="inlineStr">
        <is>
          <t>Q2-W04</t>
        </is>
      </c>
      <c r="CG222"/>
      <c r="CH222"/>
      <c r="CI222"/>
      <c r="CJ222" t="inlineStr">
        <is>
          <t>No Paid</t>
        </is>
      </c>
      <c r="CK222" t="inlineStr">
        <is>
          <t>Not Eligible</t>
        </is>
      </c>
      <c r="CL222"/>
      <c r="CM222"/>
    </row>
    <row r="223" ht="25.5" customHeight="1">
      <c r="A223" t="inlineStr">
        <is>
          <t>203815</t>
        </is>
      </c>
      <c r="B223" s="2"/>
      <c r="C223"/>
      <c r="D223" s="3">
        <v>46142.44265046297</v>
      </c>
      <c r="E223" t="inlineStr">
        <is>
          <t>Q2-W04</t>
        </is>
      </c>
      <c r="F223" t="inlineStr">
        <is>
          <t>Janice Yap</t>
        </is>
      </c>
      <c r="G223" t="inlineStr">
        <is>
          <t>Customer</t>
        </is>
      </c>
      <c r="H223" s="2" t="str">
        <f>=HYPERLINK("https://upbox.ajobthing.my/customer/203815", "https://upbox.ajobthing.my/customer/203815")</f>
        <v>https://upbox.ajobthing.my/customer/203815</v>
      </c>
      <c r="I223" t="inlineStr">
        <is>
          <t>pl Inkjet S/B</t>
        </is>
      </c>
      <c r="J223" t="inlineStr">
        <is>
          <t>Dolphin</t>
        </is>
      </c>
      <c r="K223" t="inlineStr">
        <is>
          <t>Janice</t>
        </is>
      </c>
      <c r="L223" s="4"/>
      <c r="M223" s="4">
        <v>46142.43883101852</v>
      </c>
      <c r="N223"/>
      <c r="O223">
        <v>3888</v>
      </c>
      <c r="P223" s="4"/>
      <c r="Q223" s="4"/>
      <c r="R223"/>
      <c r="S223"/>
      <c r="T223" s="4"/>
      <c r="U223" s="4"/>
      <c r="V223"/>
      <c r="W223"/>
      <c r="X223"/>
      <c r="Y223" t="inlineStr">
        <is>
          <t>Pending Appointment</t>
        </is>
      </c>
      <c r="Z223" t="inlineStr">
        <is>
          <t>Hiring Now</t>
        </is>
      </c>
      <c r="AA223">
        <v>3</v>
      </c>
      <c r="AB223" t="inlineStr">
        <is>
          <t>No Appointment Made</t>
        </is>
      </c>
      <c r="AC223"/>
      <c r="AD223" t="inlineStr">
        <is>
          <t xml:space="preserve">salesman // admin // cs </t>
        </is>
      </c>
      <c r="AE223"/>
      <c r="AF223">
        <v>0</v>
      </c>
      <c r="AG223" s="4"/>
      <c r="AH223" s="4"/>
      <c r="AI223">
        <v>0</v>
      </c>
      <c r="AJ223"/>
      <c r="AK223" t="inlineStr">
        <is>
          <t>No, I don't need at all</t>
        </is>
      </c>
      <c r="AL223">
        <v>0</v>
      </c>
      <c r="AM223" t="inlineStr">
        <is>
          <t>No, I don't need at all</t>
        </is>
      </c>
      <c r="AN223"/>
      <c r="AO223" t="inlineStr">
        <is>
          <t>No, I don't need at all</t>
        </is>
      </c>
      <c r="AP223" t="inlineStr">
        <is>
          <t>Once a year (25%)</t>
        </is>
      </c>
      <c r="AQ223">
        <v>3</v>
      </c>
      <c r="AR223" t="inlineStr">
        <is>
          <t>Free Job Portal</t>
        </is>
      </c>
      <c r="AS223" t="inlineStr">
        <is>
          <t>- Headcount: 3
- Hiring Job Details: salesman, admin, cs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t>
        </is>
      </c>
      <c r="AT223">
        <v>95</v>
      </c>
      <c r="AU223" t="inlineStr">
        <is>
          <t>0.95</t>
        </is>
      </c>
      <c r="AV223" t="inlineStr">
        <is>
          <t>15</t>
        </is>
      </c>
      <c r="AW223" t="inlineStr">
        <is>
          <t>0</t>
        </is>
      </c>
      <c r="AX223" t="inlineStr">
        <is>
          <t>Not Qualified</t>
        </is>
      </c>
      <c r="AY223" s="4"/>
      <c r="AZ223"/>
      <c r="BA223"/>
      <c r="BB223"/>
      <c r="BC223" t="inlineStr">
        <is>
          <t>- Headcount: 3
- Hiring Job Details: salesman, admin, cs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t>
        </is>
      </c>
      <c r="BD223" s="4">
        <v>46142.45898148148</v>
      </c>
      <c r="BE223"/>
      <c r="BF223"/>
      <c r="BG223" t="inlineStr">
        <is>
          <t>Reschedule</t>
        </is>
      </c>
      <c r="BH223" t="inlineStr">
        <is>
          <t>Yee Hang</t>
        </is>
      </c>
      <c r="BI223"/>
      <c r="BJ223" s="4">
        <v>46144.7544212963</v>
      </c>
      <c r="BK223" s="4">
        <v>46142.42453703703</v>
      </c>
      <c r="BL223" t="inlineStr">
        <is>
          <t>0.0</t>
        </is>
      </c>
      <c r="BM223" t="inlineStr">
        <is>
          <t>0.0</t>
        </is>
      </c>
      <c r="BN223" t="inlineStr">
        <is>
          <t>View Create Job Page V4</t>
        </is>
      </c>
      <c r="BO223" s="4">
        <v>46142.42864583333</v>
      </c>
      <c r="BP223">
        <v>169617</v>
      </c>
      <c r="BQ223"/>
      <c r="BR223"/>
      <c r="BS223"/>
      <c r="BT223"/>
      <c r="BU223"/>
      <c r="BV223">
        <v>2736951</v>
      </c>
      <c r="BW223" t="inlineStr">
        <is>
          <t>Customer Inquiry</t>
        </is>
      </c>
      <c r="BX223"/>
      <c r="BY223"/>
      <c r="BZ223" s="4"/>
      <c r="CA223"/>
      <c r="CB223"/>
      <c r="CC223" s="4"/>
      <c r="CD223" t="inlineStr">
        <is>
          <t>20</t>
        </is>
      </c>
      <c r="CE223" t="inlineStr">
        <is>
          <t>0</t>
        </is>
      </c>
      <c r="CF223" t="inlineStr">
        <is>
          <t>Q2-W04</t>
        </is>
      </c>
      <c r="CG223"/>
      <c r="CH223"/>
      <c r="CI223"/>
      <c r="CJ223" t="inlineStr">
        <is>
          <t>No Paid</t>
        </is>
      </c>
      <c r="CK223" t="inlineStr">
        <is>
          <t>Not Eligible</t>
        </is>
      </c>
      <c r="CL223"/>
      <c r="CM223"/>
    </row>
    <row r="224" ht="25.5" customHeight="1">
      <c r="A224" t="inlineStr">
        <is>
          <t>32180</t>
        </is>
      </c>
      <c r="B224" s="2"/>
      <c r="C224"/>
      <c r="D224" s="3">
        <v>46142.45190972222</v>
      </c>
      <c r="E224" t="inlineStr">
        <is>
          <t>Q2-W04</t>
        </is>
      </c>
      <c r="F224" t="inlineStr">
        <is>
          <t>Keegan</t>
        </is>
      </c>
      <c r="G224" t="inlineStr">
        <is>
          <t>Customer</t>
        </is>
      </c>
      <c r="H224" s="2" t="str">
        <f>=HYPERLINK("https://upbox.ajobthing.my/customer/32180", "https://upbox.ajobthing.my/customer/32180")</f>
        <v>https://upbox.ajobthing.my/customer/32180</v>
      </c>
      <c r="I224" t="inlineStr">
        <is>
          <t>Synergy Staffing</t>
        </is>
      </c>
      <c r="J224" t="inlineStr">
        <is>
          <t>Dolphin</t>
        </is>
      </c>
      <c r="K224" t="inlineStr">
        <is>
          <t>Keegan</t>
        </is>
      </c>
      <c r="L224" s="4"/>
      <c r="M224" s="4">
        <v>46142.452152777776</v>
      </c>
      <c r="N224"/>
      <c r="O224">
        <v>3888</v>
      </c>
      <c r="P224" s="4"/>
      <c r="Q224" s="4"/>
      <c r="R224"/>
      <c r="S224"/>
      <c r="T224" s="4"/>
      <c r="U224" s="4"/>
      <c r="V224"/>
      <c r="W224"/>
      <c r="X224"/>
      <c r="Y224" t="inlineStr">
        <is>
          <t>Pending Appointment</t>
        </is>
      </c>
      <c r="Z224" t="inlineStr">
        <is>
          <t>Hiring Now</t>
        </is>
      </c>
      <c r="AA224">
        <v>1</v>
      </c>
      <c r="AB224" t="inlineStr">
        <is>
          <t>No Appointment Made</t>
        </is>
      </c>
      <c r="AC224"/>
      <c r="AD224" t="inlineStr">
        <is>
          <t xml:space="preserve">1. Admin </t>
        </is>
      </c>
      <c r="AE224"/>
      <c r="AF224"/>
      <c r="AG224" s="4"/>
      <c r="AH224" s="4"/>
      <c r="AI224"/>
      <c r="AJ224">
        <v>1</v>
      </c>
      <c r="AK224" t="inlineStr">
        <is>
          <t>No, I don't need at all</t>
        </is>
      </c>
      <c r="AL224">
        <v>0</v>
      </c>
      <c r="AM224" t="inlineStr">
        <is>
          <t>No, I don't need at all</t>
        </is>
      </c>
      <c r="AN224"/>
      <c r="AO224" t="inlineStr">
        <is>
          <t>No, I don't need at all</t>
        </is>
      </c>
      <c r="AP224" t="inlineStr">
        <is>
          <t>Once per quarter (75%)</t>
        </is>
      </c>
      <c r="AQ224"/>
      <c r="AR224" t="inlineStr">
        <is>
          <t>Did not use any job portal</t>
        </is>
      </c>
      <c r="AS224"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24">
        <v>95</v>
      </c>
      <c r="AU224" t="inlineStr">
        <is>
          <t>0.95</t>
        </is>
      </c>
      <c r="AV224" t="inlineStr">
        <is>
          <t>5</t>
        </is>
      </c>
      <c r="AW224" t="inlineStr">
        <is>
          <t>0</t>
        </is>
      </c>
      <c r="AX224" t="inlineStr">
        <is>
          <t>Not Qualified</t>
        </is>
      </c>
      <c r="AY224" s="4"/>
      <c r="AZ224"/>
      <c r="BA224"/>
      <c r="BB224"/>
      <c r="BC224"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24" s="4">
        <v>46142.45898148148</v>
      </c>
      <c r="BE224"/>
      <c r="BF224"/>
      <c r="BG224" t="inlineStr">
        <is>
          <t>Reschedule</t>
        </is>
      </c>
      <c r="BH224" t="inlineStr">
        <is>
          <t>Edward Hoo</t>
        </is>
      </c>
      <c r="BI224" t="inlineStr">
        <is>
          <t>Other industries</t>
        </is>
      </c>
      <c r="BJ224" s="4">
        <v>46144.75454861111</v>
      </c>
      <c r="BK224" s="4">
        <v>42725.4812962963</v>
      </c>
      <c r="BL224" t="inlineStr">
        <is>
          <t>0.0</t>
        </is>
      </c>
      <c r="BM224" t="inlineStr">
        <is>
          <t>2400.0</t>
        </is>
      </c>
      <c r="BN224"/>
      <c r="BO224" s="4"/>
      <c r="BP224">
        <v>169634</v>
      </c>
      <c r="BQ224"/>
      <c r="BR224"/>
      <c r="BS224"/>
      <c r="BT224"/>
      <c r="BU224"/>
      <c r="BV224">
        <v>2736956</v>
      </c>
      <c r="BW224" t="inlineStr">
        <is>
          <t>Customer Inquiry</t>
        </is>
      </c>
      <c r="BX224"/>
      <c r="BY224"/>
      <c r="BZ224" s="4"/>
      <c r="CA224"/>
      <c r="CB224"/>
      <c r="CC224" s="4"/>
      <c r="CD224" t="inlineStr">
        <is>
          <t>5</t>
        </is>
      </c>
      <c r="CE224" t="inlineStr">
        <is>
          <t>0</t>
        </is>
      </c>
      <c r="CF224" t="inlineStr">
        <is>
          <t>Q2-W04</t>
        </is>
      </c>
      <c r="CG224"/>
      <c r="CH224"/>
      <c r="CI224"/>
      <c r="CJ224" t="inlineStr">
        <is>
          <t>No Paid</t>
        </is>
      </c>
      <c r="CK224" t="inlineStr">
        <is>
          <t>Not Eligible</t>
        </is>
      </c>
      <c r="CL224"/>
      <c r="CM224"/>
    </row>
    <row r="225" ht="25.5" customHeight="1">
      <c r="A225" t="inlineStr">
        <is>
          <t>4329301</t>
        </is>
      </c>
      <c r="B225" s="2"/>
      <c r="C225"/>
      <c r="D225" s="3">
        <v>46142.45525462963</v>
      </c>
      <c r="E225" t="inlineStr">
        <is>
          <t>Q2-W04</t>
        </is>
      </c>
      <c r="F225" t="inlineStr">
        <is>
          <t>Josh</t>
        </is>
      </c>
      <c r="G225" t="inlineStr">
        <is>
          <t>Lead</t>
        </is>
      </c>
      <c r="H225" s="2" t="str">
        <f>=HYPERLINK("https://upbox.ajobthing.my/leads/4329301", "https://upbox.ajobthing.my/leads/4329301")</f>
        <v>https://upbox.ajobthing.my/leads/4329301</v>
      </c>
      <c r="I225" t="inlineStr">
        <is>
          <t>GSP Industry (M) Sdn Bhd</t>
        </is>
      </c>
      <c r="J225" t="inlineStr">
        <is>
          <t>Dolphin</t>
        </is>
      </c>
      <c r="K225" t="inlineStr">
        <is>
          <t>Josh</t>
        </is>
      </c>
      <c r="L225" s="4"/>
      <c r="M225" s="4">
        <v>46142.45328703704</v>
      </c>
      <c r="N225"/>
      <c r="O225">
        <v>1296</v>
      </c>
      <c r="P225" s="4"/>
      <c r="Q225" s="4"/>
      <c r="R225"/>
      <c r="S225"/>
      <c r="T225" s="4"/>
      <c r="U225" s="4"/>
      <c r="V225"/>
      <c r="W225"/>
      <c r="X225"/>
      <c r="Y225" t="inlineStr">
        <is>
          <t>Pending Appointment</t>
        </is>
      </c>
      <c r="Z225" t="inlineStr">
        <is>
          <t>Hiring Now</t>
        </is>
      </c>
      <c r="AA225">
        <v>1</v>
      </c>
      <c r="AB225" t="inlineStr">
        <is>
          <t>No Appointment Made</t>
        </is>
      </c>
      <c r="AC225"/>
      <c r="AD225" t="inlineStr">
        <is>
          <t>1 Automotive Market Research Analyst</t>
        </is>
      </c>
      <c r="AE225"/>
      <c r="AF225">
        <v>1000</v>
      </c>
      <c r="AG225" s="4"/>
      <c r="AH225" s="4"/>
      <c r="AI225"/>
      <c r="AJ225"/>
      <c r="AK225"/>
      <c r="AL225"/>
      <c r="AM225"/>
      <c r="AN225"/>
      <c r="AO225"/>
      <c r="AP225" t="inlineStr">
        <is>
          <t>Once a year (25%)</t>
        </is>
      </c>
      <c r="AQ225"/>
      <c r="AR225"/>
      <c r="AS225" t="inlineStr">
        <is>
          <t>- Headcount: Not provided
- Hiring Job Details: 1 Automotive Market Research Analyst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25">
        <v>65</v>
      </c>
      <c r="AU225" t="inlineStr">
        <is>
          <t>0.65</t>
        </is>
      </c>
      <c r="AV225" t="inlineStr">
        <is>
          <t>15</t>
        </is>
      </c>
      <c r="AW225" t="inlineStr">
        <is>
          <t>0</t>
        </is>
      </c>
      <c r="AX225" t="inlineStr">
        <is>
          <t>Not Qualified</t>
        </is>
      </c>
      <c r="AY225" s="4"/>
      <c r="AZ225"/>
      <c r="BA225"/>
      <c r="BB225"/>
      <c r="BC225"/>
      <c r="BD225" s="4"/>
      <c r="BE225"/>
      <c r="BF225"/>
      <c r="BG225" t="inlineStr">
        <is>
          <t>Reschedule</t>
        </is>
      </c>
      <c r="BH225" t="inlineStr">
        <is>
          <t>Fauziah Maharan</t>
        </is>
      </c>
      <c r="BI225"/>
      <c r="BJ225" s="4">
        <v>46144.755949074075</v>
      </c>
      <c r="BK225" s="4">
        <v>46140.630324074074</v>
      </c>
      <c r="BL225" t="inlineStr">
        <is>
          <t>0.0</t>
        </is>
      </c>
      <c r="BM225" t="inlineStr">
        <is>
          <t>0.0</t>
        </is>
      </c>
      <c r="BN225"/>
      <c r="BO225" s="4"/>
      <c r="BP225">
        <v>169636</v>
      </c>
      <c r="BQ225"/>
      <c r="BR225"/>
      <c r="BS225"/>
      <c r="BT225"/>
      <c r="BU225"/>
      <c r="BV225"/>
      <c r="BW225"/>
      <c r="BX225"/>
      <c r="BY225"/>
      <c r="BZ225" s="4"/>
      <c r="CA225"/>
      <c r="CB225"/>
      <c r="CC225" s="4"/>
      <c r="CD225" t="inlineStr">
        <is>
          <t>20</t>
        </is>
      </c>
      <c r="CE225" t="inlineStr">
        <is>
          <t>0</t>
        </is>
      </c>
      <c r="CF225" t="inlineStr">
        <is>
          <t>Q2-W04</t>
        </is>
      </c>
      <c r="CG225"/>
      <c r="CH225"/>
      <c r="CI225"/>
      <c r="CJ225" t="inlineStr">
        <is>
          <t>No Paid</t>
        </is>
      </c>
      <c r="CK225" t="inlineStr">
        <is>
          <t>Not Eligible</t>
        </is>
      </c>
      <c r="CL225"/>
      <c r="CM225"/>
    </row>
    <row r="226" ht="25.5" customHeight="1">
      <c r="A226" t="inlineStr">
        <is>
          <t>203819</t>
        </is>
      </c>
      <c r="B226" s="2"/>
      <c r="C226"/>
      <c r="D226" s="3">
        <v>46142.45982638889</v>
      </c>
      <c r="E226" t="inlineStr">
        <is>
          <t>Q2-W04</t>
        </is>
      </c>
      <c r="F226" t="inlineStr">
        <is>
          <t>Keegan</t>
        </is>
      </c>
      <c r="G226" t="inlineStr">
        <is>
          <t>Customer</t>
        </is>
      </c>
      <c r="H226" s="2" t="str">
        <f>=HYPERLINK("https://upbox.ajobthing.my/customer/203819", "https://upbox.ajobthing.my/customer/203819")</f>
        <v>https://upbox.ajobthing.my/customer/203819</v>
      </c>
      <c r="I226" t="inlineStr">
        <is>
          <t>Hao Wei Xps Sdn Bhd</t>
        </is>
      </c>
      <c r="J226" t="inlineStr">
        <is>
          <t>Dolphin</t>
        </is>
      </c>
      <c r="K226" t="inlineStr">
        <is>
          <t>Keegan</t>
        </is>
      </c>
      <c r="L226" s="4"/>
      <c r="M226" s="4">
        <v>46142.45949074074</v>
      </c>
      <c r="N226"/>
      <c r="O226">
        <v>3576.96</v>
      </c>
      <c r="P226" s="4"/>
      <c r="Q226" s="4"/>
      <c r="R226"/>
      <c r="S226"/>
      <c r="T226" s="4"/>
      <c r="U226" s="4"/>
      <c r="V226"/>
      <c r="W226"/>
      <c r="X226"/>
      <c r="Y226" t="inlineStr">
        <is>
          <t>Pending Appointment</t>
        </is>
      </c>
      <c r="Z226" t="inlineStr">
        <is>
          <t>Hiring Now</t>
        </is>
      </c>
      <c r="AA226">
        <v>1</v>
      </c>
      <c r="AB226" t="inlineStr">
        <is>
          <t>No Appointment Made</t>
        </is>
      </c>
      <c r="AC226"/>
      <c r="AD226" t="inlineStr">
        <is>
          <t xml:space="preserve">1. Admin </t>
        </is>
      </c>
      <c r="AE226"/>
      <c r="AF226"/>
      <c r="AG226" s="4"/>
      <c r="AH226" s="4"/>
      <c r="AI226"/>
      <c r="AJ226">
        <v>1</v>
      </c>
      <c r="AK226" t="inlineStr">
        <is>
          <t>No, I don't need at all</t>
        </is>
      </c>
      <c r="AL226">
        <v>0</v>
      </c>
      <c r="AM226" t="inlineStr">
        <is>
          <t>No, I don't need at all</t>
        </is>
      </c>
      <c r="AN226"/>
      <c r="AO226" t="inlineStr">
        <is>
          <t>No, I don't need at all</t>
        </is>
      </c>
      <c r="AP226" t="inlineStr">
        <is>
          <t>Once per quarter (75%)</t>
        </is>
      </c>
      <c r="AQ226"/>
      <c r="AR226" t="inlineStr">
        <is>
          <t>Did not use any job portal</t>
        </is>
      </c>
      <c r="AS226"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26">
        <v>105</v>
      </c>
      <c r="AU226" t="inlineStr">
        <is>
          <t>1.05</t>
        </is>
      </c>
      <c r="AV226" t="inlineStr">
        <is>
          <t>5</t>
        </is>
      </c>
      <c r="AW226" t="inlineStr">
        <is>
          <t>0</t>
        </is>
      </c>
      <c r="AX226" t="inlineStr">
        <is>
          <t>Not Qualified</t>
        </is>
      </c>
      <c r="AY226" s="4"/>
      <c r="AZ226"/>
      <c r="BA226"/>
      <c r="BB226"/>
      <c r="BC226"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26" s="4">
        <v>46142.500023148146</v>
      </c>
      <c r="BE226"/>
      <c r="BF226"/>
      <c r="BG226" t="inlineStr">
        <is>
          <t>Reschedule</t>
        </is>
      </c>
      <c r="BH226" t="inlineStr">
        <is>
          <t>Edward Hoo</t>
        </is>
      </c>
      <c r="BI226" t="inlineStr">
        <is>
          <t>Manufacturing / Production</t>
        </is>
      </c>
      <c r="BJ226" s="4">
        <v>46144.7544212963</v>
      </c>
      <c r="BK226" s="4">
        <v>46142.447118055556</v>
      </c>
      <c r="BL226" t="inlineStr">
        <is>
          <t>0.0</t>
        </is>
      </c>
      <c r="BM226" t="inlineStr">
        <is>
          <t>1800.0</t>
        </is>
      </c>
      <c r="BN226" t="inlineStr">
        <is>
          <t>View Company Page</t>
        </is>
      </c>
      <c r="BO226" s="4">
        <v>46142.45502314815</v>
      </c>
      <c r="BP226">
        <v>169638</v>
      </c>
      <c r="BQ226"/>
      <c r="BR226"/>
      <c r="BS226"/>
      <c r="BT226"/>
      <c r="BU226"/>
      <c r="BV226">
        <v>2737287</v>
      </c>
      <c r="BW226" t="inlineStr">
        <is>
          <t>Customer Inquiry</t>
        </is>
      </c>
      <c r="BX226"/>
      <c r="BY226"/>
      <c r="BZ226" s="4"/>
      <c r="CA226"/>
      <c r="CB226"/>
      <c r="CC226" s="4"/>
      <c r="CD226" t="inlineStr">
        <is>
          <t>5</t>
        </is>
      </c>
      <c r="CE226" t="inlineStr">
        <is>
          <t>0</t>
        </is>
      </c>
      <c r="CF226" t="inlineStr">
        <is>
          <t>Q2-W04</t>
        </is>
      </c>
      <c r="CG226"/>
      <c r="CH226"/>
      <c r="CI226"/>
      <c r="CJ226" t="inlineStr">
        <is>
          <t>No Paid</t>
        </is>
      </c>
      <c r="CK226" t="inlineStr">
        <is>
          <t>Not Eligible</t>
        </is>
      </c>
      <c r="CL226"/>
      <c r="CM226"/>
    </row>
    <row r="227" ht="25.5" customHeight="1">
      <c r="A227" t="inlineStr">
        <is>
          <t>154939</t>
        </is>
      </c>
      <c r="B227" s="2"/>
      <c r="C227"/>
      <c r="D227" s="3">
        <v>46142.46518518519</v>
      </c>
      <c r="E227" t="inlineStr">
        <is>
          <t>Q2-W04</t>
        </is>
      </c>
      <c r="F227" t="inlineStr">
        <is>
          <t>Carmen</t>
        </is>
      </c>
      <c r="G227" t="inlineStr">
        <is>
          <t>Customer</t>
        </is>
      </c>
      <c r="H227" s="2" t="str">
        <f>=HYPERLINK("https://upbox.ajobthing.my/customer/154939", "https://upbox.ajobthing.my/customer/154939")</f>
        <v>https://upbox.ajobthing.my/customer/154939</v>
      </c>
      <c r="I227" t="inlineStr">
        <is>
          <t>RGIS Malaysia Sdn Bhd</t>
        </is>
      </c>
      <c r="J227" t="inlineStr">
        <is>
          <t>Dolphin</t>
        </is>
      </c>
      <c r="K227" t="inlineStr">
        <is>
          <t>Carmen</t>
        </is>
      </c>
      <c r="L227" s="4"/>
      <c r="M227" s="4">
        <v>46142.46532407407</v>
      </c>
      <c r="N227"/>
      <c r="O227">
        <v>4968</v>
      </c>
      <c r="P227" s="4"/>
      <c r="Q227" s="4">
        <v>44770.78215277778</v>
      </c>
      <c r="R227"/>
      <c r="S227">
        <v>848</v>
      </c>
      <c r="T227" s="4">
        <v>44770.78215277778</v>
      </c>
      <c r="U227" s="4"/>
      <c r="V227"/>
      <c r="W227">
        <v>848</v>
      </c>
      <c r="X227"/>
      <c r="Y227" t="inlineStr">
        <is>
          <t>Pending Appointment</t>
        </is>
      </c>
      <c r="Z227" t="inlineStr">
        <is>
          <t>Continuous Hiring</t>
        </is>
      </c>
      <c r="AA227">
        <v>20</v>
      </c>
      <c r="AB227" t="inlineStr">
        <is>
          <t>No Appointment Made</t>
        </is>
      </c>
      <c r="AC227"/>
      <c r="AD227" t="inlineStr">
        <is>
          <t>20 parttimer</t>
        </is>
      </c>
      <c r="AE227"/>
      <c r="AF227">
        <v>0</v>
      </c>
      <c r="AG227" s="4"/>
      <c r="AH227" s="4"/>
      <c r="AI227"/>
      <c r="AJ227"/>
      <c r="AK227"/>
      <c r="AL227"/>
      <c r="AM227"/>
      <c r="AN227"/>
      <c r="AO227"/>
      <c r="AP227"/>
      <c r="AQ227"/>
      <c r="AR227"/>
      <c r="AS227" t="inlineStr">
        <is>
          <t>- Headcount: 20
- Hiring Job Details: 20 parttimer
- Hiring Urgency: Continuous Hiring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Not specified
- External job portal: Not specified</t>
        </is>
      </c>
      <c r="AT227">
        <v>65</v>
      </c>
      <c r="AU227" t="inlineStr">
        <is>
          <t>0.65</t>
        </is>
      </c>
      <c r="AV227" t="inlineStr">
        <is>
          <t>25</t>
        </is>
      </c>
      <c r="AW227" t="inlineStr">
        <is>
          <t>0</t>
        </is>
      </c>
      <c r="AX227" t="inlineStr">
        <is>
          <t>Not Qualified</t>
        </is>
      </c>
      <c r="AY227" s="4"/>
      <c r="AZ227"/>
      <c r="BA227"/>
      <c r="BB227"/>
      <c r="BC227" t="inlineStr">
        <is>
          <t>- Headcount: 20
- Hiring Job Details: 20 parttimer
- Hiring Urgency: Continuous Hiring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Not specified
- External job portal: Not specified</t>
        </is>
      </c>
      <c r="BD227" s="4">
        <v>46142.500023148146</v>
      </c>
      <c r="BE227" t="inlineStr">
        <is>
          <t>paid</t>
        </is>
      </c>
      <c r="BF227"/>
      <c r="BG227" t="inlineStr">
        <is>
          <t>Reschedule</t>
        </is>
      </c>
      <c r="BH227" t="inlineStr">
        <is>
          <t>Reagen</t>
        </is>
      </c>
      <c r="BI227" t="inlineStr">
        <is>
          <t>Retail / Merchandise</t>
        </is>
      </c>
      <c r="BJ227" s="4">
        <v>46144.75096064815</v>
      </c>
      <c r="BK227" s="4">
        <v>44712.68407407407</v>
      </c>
      <c r="BL227" t="inlineStr">
        <is>
          <t>0.0</t>
        </is>
      </c>
      <c r="BM227" t="inlineStr">
        <is>
          <t>0.0</t>
        </is>
      </c>
      <c r="BN227" t="inlineStr">
        <is>
          <t>View Applicant Page</t>
        </is>
      </c>
      <c r="BO227" s="4">
        <v>44789.6147337963</v>
      </c>
      <c r="BP227">
        <v>169644</v>
      </c>
      <c r="BQ227">
        <v>48641</v>
      </c>
      <c r="BR227" t="inlineStr">
        <is>
          <t>Online</t>
        </is>
      </c>
      <c r="BS227"/>
      <c r="BT227">
        <v>48641</v>
      </c>
      <c r="BU227"/>
      <c r="BV227">
        <v>2737291</v>
      </c>
      <c r="BW227" t="inlineStr">
        <is>
          <t>Customer Inquiry</t>
        </is>
      </c>
      <c r="BX227"/>
      <c r="BY227"/>
      <c r="BZ227" s="4"/>
      <c r="CA227"/>
      <c r="CB227"/>
      <c r="CC227" s="4"/>
      <c r="CD227" t="inlineStr">
        <is>
          <t>35</t>
        </is>
      </c>
      <c r="CE227" t="inlineStr">
        <is>
          <t>0</t>
        </is>
      </c>
      <c r="CF227" t="inlineStr">
        <is>
          <t>Q2-W04</t>
        </is>
      </c>
      <c r="CG227"/>
      <c r="CH227"/>
      <c r="CI227"/>
      <c r="CJ227" t="inlineStr">
        <is>
          <t>Paid</t>
        </is>
      </c>
      <c r="CK227" t="inlineStr">
        <is>
          <t>Eligible</t>
        </is>
      </c>
      <c r="CL227"/>
      <c r="CM227"/>
    </row>
    <row r="228" ht="25.5" customHeight="1">
      <c r="A228" t="inlineStr">
        <is>
          <t>160074</t>
        </is>
      </c>
      <c r="B228" s="2"/>
      <c r="C228"/>
      <c r="D228" s="3">
        <v>46142.46537037037</v>
      </c>
      <c r="E228" t="inlineStr">
        <is>
          <t>Q2-W04</t>
        </is>
      </c>
      <c r="F228" t="inlineStr">
        <is>
          <t>Ken Yi</t>
        </is>
      </c>
      <c r="G228" t="inlineStr">
        <is>
          <t>Customer</t>
        </is>
      </c>
      <c r="H228" s="2" t="str">
        <f>=HYPERLINK("https://upbox.ajobthing.my/customer/160074", "https://upbox.ajobthing.my/customer/160074")</f>
        <v>https://upbox.ajobthing.my/customer/160074</v>
      </c>
      <c r="I228" t="inlineStr">
        <is>
          <t>Mister Coffee Malaysia</t>
        </is>
      </c>
      <c r="J228" t="inlineStr">
        <is>
          <t>Dolphin</t>
        </is>
      </c>
      <c r="K228" t="inlineStr">
        <is>
          <t>Kenyi</t>
        </is>
      </c>
      <c r="L228" s="4"/>
      <c r="M228" s="4">
        <v>46142.4955787037</v>
      </c>
      <c r="N228"/>
      <c r="O228">
        <v>5412.96</v>
      </c>
      <c r="P228" s="4"/>
      <c r="Q228" s="4">
        <v>46142.4356712963</v>
      </c>
      <c r="R228"/>
      <c r="S228">
        <v>3888</v>
      </c>
      <c r="T228" s="4">
        <v>46142.38516203704</v>
      </c>
      <c r="U228" s="4"/>
      <c r="V228"/>
      <c r="W228">
        <v>3888</v>
      </c>
      <c r="X228"/>
      <c r="Y228" t="inlineStr">
        <is>
          <t>Pending Appointment</t>
        </is>
      </c>
      <c r="Z228" t="inlineStr">
        <is>
          <t>Hiring Now</t>
        </is>
      </c>
      <c r="AA228">
        <v>4</v>
      </c>
      <c r="AB228" t="inlineStr">
        <is>
          <t>No Appointment Made</t>
        </is>
      </c>
      <c r="AC228"/>
      <c r="AD228" t="inlineStr">
        <is>
          <t>QA &amp; QC Manager, Executive 1, Sales Executive 2</t>
        </is>
      </c>
      <c r="AE228"/>
      <c r="AF228">
        <v>3888</v>
      </c>
      <c r="AG228" s="4"/>
      <c r="AH228" s="4"/>
      <c r="AI228">
        <v>3888</v>
      </c>
      <c r="AJ228">
        <v>4</v>
      </c>
      <c r="AK228" t="inlineStr">
        <is>
          <t>Yes, I have</t>
        </is>
      </c>
      <c r="AL228">
        <v>1</v>
      </c>
      <c r="AM228" t="inlineStr">
        <is>
          <t>No, I don't need at all</t>
        </is>
      </c>
      <c r="AN228"/>
      <c r="AO228" t="inlineStr">
        <is>
          <t>Yes, I have</t>
        </is>
      </c>
      <c r="AP228" t="inlineStr">
        <is>
          <t>Every month (100%)</t>
        </is>
      </c>
      <c r="AQ228">
        <v>5</v>
      </c>
      <c r="AR228" t="inlineStr">
        <is>
          <t>Jobstreet, Free Job Portal</t>
        </is>
      </c>
      <c r="AS228" t="inlineStr">
        <is>
          <t>- Headcount: 4
- Hiring Job Details: QA &amp; QC Manager, Executive 1, Sales Executive 2
- Hiring Urgency: Hiring Now
- Number of outlets: 4
- Have recruiter team: Yes
- Number of recruiter in company: 1
- Have ATS system: No, I don't need at all
- Have career website: Yes
- Current hiring budget: RM3,888
- Whole year budget: RM3,888.00
- Whole year number of vacancies: 5
- Hiring frequency: Every month (100%)
- External job portal: Jobstreet, Free Job Portal</t>
        </is>
      </c>
      <c r="AT228">
        <v>115</v>
      </c>
      <c r="AU228" t="inlineStr">
        <is>
          <t>1.15</t>
        </is>
      </c>
      <c r="AV228" t="inlineStr">
        <is>
          <t>15</t>
        </is>
      </c>
      <c r="AW228" t="inlineStr">
        <is>
          <t>0</t>
        </is>
      </c>
      <c r="AX228" t="inlineStr">
        <is>
          <t>Not Qualified</t>
        </is>
      </c>
      <c r="AY228" s="4"/>
      <c r="AZ228"/>
      <c r="BA228"/>
      <c r="BB228"/>
      <c r="BC228" t="inlineStr">
        <is>
          <t>- Headcount: 4
- Hiring Job Details: QA &amp; QC Manager, Executive 1, Sales Executive 2
- Hiring Urgency: Hiring Now
- Number of outlets: 4
- Have recruiter team: Yes
- Number of recruiter in company: 1
- Have ATS system: No, I don't need at all
- Have career website: Yes
- Current hiring budget: RM3,888
- Whole year budget: RM3,888.00
- Whole year number of vacancies: 5
- Hiring frequency: Every month (100%)
- External job portal: Jobstreet, Free Job Portal</t>
        </is>
      </c>
      <c r="BD228" s="4">
        <v>46142.500023148146</v>
      </c>
      <c r="BE228" t="inlineStr">
        <is>
          <t>pending</t>
        </is>
      </c>
      <c r="BF228" t="inlineStr">
        <is>
          <t>Q2-W04</t>
        </is>
      </c>
      <c r="BG228" t="inlineStr">
        <is>
          <t>Reschedule</t>
        </is>
      </c>
      <c r="BH228" t="inlineStr">
        <is>
          <t>Fauziah Maharan</t>
        </is>
      </c>
      <c r="BI228" t="inlineStr">
        <is>
          <t>Food / Beverage</t>
        </is>
      </c>
      <c r="BJ228" s="4">
        <v>46144.75109953704</v>
      </c>
      <c r="BK228" s="4">
        <v>44825.47076388889</v>
      </c>
      <c r="BL228" t="inlineStr">
        <is>
          <t>3888.0</t>
        </is>
      </c>
      <c r="BM228" t="inlineStr">
        <is>
          <t>0.0</t>
        </is>
      </c>
      <c r="BN228" t="inlineStr">
        <is>
          <t>PA Email CTA Click</t>
        </is>
      </c>
      <c r="BO228" s="4">
        <v>46144.36479166667</v>
      </c>
      <c r="BP228">
        <v>169666</v>
      </c>
      <c r="BQ228">
        <v>7757</v>
      </c>
      <c r="BR228" t="inlineStr">
        <is>
          <t>Manual</t>
        </is>
      </c>
      <c r="BS228"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28">
        <v>95156</v>
      </c>
      <c r="BU228"/>
      <c r="BV228">
        <v>2737292</v>
      </c>
      <c r="BW228" t="inlineStr">
        <is>
          <t>Customer Inquiry</t>
        </is>
      </c>
      <c r="BX228">
        <v>8</v>
      </c>
      <c r="BY228">
        <v>6</v>
      </c>
      <c r="BZ228" s="4">
        <v>46142.40118055556</v>
      </c>
      <c r="CA228">
        <v>60</v>
      </c>
      <c r="CB228">
        <v>60</v>
      </c>
      <c r="CC228" s="4"/>
      <c r="CD228" t="inlineStr">
        <is>
          <t>20</t>
        </is>
      </c>
      <c r="CE228" t="inlineStr">
        <is>
          <t>0</t>
        </is>
      </c>
      <c r="CF228" t="inlineStr">
        <is>
          <t>Q2-W04</t>
        </is>
      </c>
      <c r="CG228" t="inlineStr">
        <is>
          <t>Q2-W04</t>
        </is>
      </c>
      <c r="CH228" t="inlineStr">
        <is>
          <t>Q2-W04</t>
        </is>
      </c>
      <c r="CI228"/>
      <c r="CJ228" t="inlineStr">
        <is>
          <t>Paid</t>
        </is>
      </c>
      <c r="CK228" t="inlineStr">
        <is>
          <t>Not Eligible</t>
        </is>
      </c>
      <c r="CL228"/>
      <c r="CM228"/>
    </row>
    <row r="229" ht="25.5" customHeight="1">
      <c r="A229" t="inlineStr">
        <is>
          <t>4329196</t>
        </is>
      </c>
      <c r="B229" s="2"/>
      <c r="C229"/>
      <c r="D229" s="3">
        <v>46142.470972222225</v>
      </c>
      <c r="E229" t="inlineStr">
        <is>
          <t>Q2-W04</t>
        </is>
      </c>
      <c r="F229" t="inlineStr">
        <is>
          <t>Ratha</t>
        </is>
      </c>
      <c r="G229" t="inlineStr">
        <is>
          <t>Lead</t>
        </is>
      </c>
      <c r="H229" s="2" t="str">
        <f>=HYPERLINK("https://upbox.ajobthing.my/leads/4329196", "https://upbox.ajobthing.my/leads/4329196")</f>
        <v>https://upbox.ajobthing.my/leads/4329196</v>
      </c>
      <c r="I229" t="inlineStr">
        <is>
          <t>RNP Engineering &amp; Construction Sdn Bhd</t>
        </is>
      </c>
      <c r="J229" t="inlineStr">
        <is>
          <t>Dolphin</t>
        </is>
      </c>
      <c r="K229" t="inlineStr">
        <is>
          <t>Ratha</t>
        </is>
      </c>
      <c r="L229" s="4"/>
      <c r="M229" s="4">
        <v>46142.47146990741</v>
      </c>
      <c r="N229"/>
      <c r="O229">
        <v>3672</v>
      </c>
      <c r="P229" s="4"/>
      <c r="Q229" s="4"/>
      <c r="R229"/>
      <c r="S229"/>
      <c r="T229" s="4"/>
      <c r="U229" s="4"/>
      <c r="V229"/>
      <c r="W229"/>
      <c r="X229"/>
      <c r="Y229" t="inlineStr">
        <is>
          <t>Pending Appointment</t>
        </is>
      </c>
      <c r="Z229" t="inlineStr">
        <is>
          <t>Hiring Now</t>
        </is>
      </c>
      <c r="AA229">
        <v>1</v>
      </c>
      <c r="AB229" t="inlineStr">
        <is>
          <t>No Appointment Made</t>
        </is>
      </c>
      <c r="AC229"/>
      <c r="AD229" t="inlineStr">
        <is>
          <t>Site Engineer for Civil: 1
Location : Selangor</t>
        </is>
      </c>
      <c r="AE229"/>
      <c r="AF229"/>
      <c r="AG229" s="4"/>
      <c r="AH229" s="4"/>
      <c r="AI229">
        <v>0</v>
      </c>
      <c r="AJ229">
        <v>1</v>
      </c>
      <c r="AK229" t="inlineStr">
        <is>
          <t>Yes, I have</t>
        </is>
      </c>
      <c r="AL229">
        <v>2</v>
      </c>
      <c r="AM229" t="inlineStr">
        <is>
          <t>No, I don't need at all</t>
        </is>
      </c>
      <c r="AN229"/>
      <c r="AO229" t="inlineStr">
        <is>
          <t>No, I don't need at all</t>
        </is>
      </c>
      <c r="AP229" t="inlineStr">
        <is>
          <t>Once per quarter (75%)</t>
        </is>
      </c>
      <c r="AQ229">
        <v>0</v>
      </c>
      <c r="AR229" t="inlineStr">
        <is>
          <t>Jobstreet, Free Job Portal</t>
        </is>
      </c>
      <c r="AS229" t="inlineStr">
        <is>
          <t>- Headcount: 1
- Hiring Job Details: 1 Site Engineer for Civil (Location: Selangor)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229">
        <v>105</v>
      </c>
      <c r="AU229" t="inlineStr">
        <is>
          <t>1.05</t>
        </is>
      </c>
      <c r="AV229" t="inlineStr">
        <is>
          <t>5</t>
        </is>
      </c>
      <c r="AW229" t="inlineStr">
        <is>
          <t>0</t>
        </is>
      </c>
      <c r="AX229" t="inlineStr">
        <is>
          <t>Not Qualified</t>
        </is>
      </c>
      <c r="AY229" s="4"/>
      <c r="AZ229"/>
      <c r="BA229"/>
      <c r="BB229"/>
      <c r="BC229"/>
      <c r="BD229" s="4"/>
      <c r="BE229"/>
      <c r="BF229"/>
      <c r="BG229" t="inlineStr">
        <is>
          <t>Reschedule</t>
        </is>
      </c>
      <c r="BH229" t="inlineStr">
        <is>
          <t>Fauziah Maharan</t>
        </is>
      </c>
      <c r="BI229"/>
      <c r="BJ229" s="4">
        <v>46144.75592592593</v>
      </c>
      <c r="BK229" s="4">
        <v>46140.568333333336</v>
      </c>
      <c r="BL229" t="inlineStr">
        <is>
          <t>0.0</t>
        </is>
      </c>
      <c r="BM229" t="inlineStr">
        <is>
          <t>1200.0</t>
        </is>
      </c>
      <c r="BN229"/>
      <c r="BO229" s="4"/>
      <c r="BP229">
        <v>169649</v>
      </c>
      <c r="BQ229"/>
      <c r="BR229"/>
      <c r="BS229"/>
      <c r="BT229"/>
      <c r="BU229"/>
      <c r="BV229"/>
      <c r="BW229"/>
      <c r="BX229"/>
      <c r="BY229"/>
      <c r="BZ229" s="4"/>
      <c r="CA229"/>
      <c r="CB229"/>
      <c r="CC229" s="4"/>
      <c r="CD229" t="inlineStr">
        <is>
          <t>5</t>
        </is>
      </c>
      <c r="CE229" t="inlineStr">
        <is>
          <t>0</t>
        </is>
      </c>
      <c r="CF229" t="inlineStr">
        <is>
          <t>Q2-W04</t>
        </is>
      </c>
      <c r="CG229"/>
      <c r="CH229"/>
      <c r="CI229"/>
      <c r="CJ229" t="inlineStr">
        <is>
          <t>No Paid</t>
        </is>
      </c>
      <c r="CK229" t="inlineStr">
        <is>
          <t>Not Eligible</t>
        </is>
      </c>
      <c r="CL229"/>
      <c r="CM229"/>
    </row>
    <row r="230" ht="25.5" customHeight="1">
      <c r="A230" t="inlineStr">
        <is>
          <t>4335082</t>
        </is>
      </c>
      <c r="B230" s="2"/>
      <c r="C230"/>
      <c r="D230" s="3">
        <v>46142.47453703704</v>
      </c>
      <c r="E230" t="inlineStr">
        <is>
          <t>Q2-W04</t>
        </is>
      </c>
      <c r="F230" t="inlineStr">
        <is>
          <t>Jess</t>
        </is>
      </c>
      <c r="G230" t="inlineStr">
        <is>
          <t>Lead</t>
        </is>
      </c>
      <c r="H230" s="2" t="str">
        <f>=HYPERLINK("https://upbox.ajobthing.my/leads/4335082", "https://upbox.ajobthing.my/leads/4335082")</f>
        <v>https://upbox.ajobthing.my/leads/4335082</v>
      </c>
      <c r="I230" t="inlineStr">
        <is>
          <t>Ozo Prestige Sdn Bhd</t>
        </is>
      </c>
      <c r="J230" t="inlineStr">
        <is>
          <t>Dolphin</t>
        </is>
      </c>
      <c r="K230" t="inlineStr">
        <is>
          <t>Jess Lim</t>
        </is>
      </c>
      <c r="L230" s="4"/>
      <c r="M230" s="4">
        <v>46142.47570601852</v>
      </c>
      <c r="N230"/>
      <c r="O230">
        <v>6048</v>
      </c>
      <c r="P230" s="4"/>
      <c r="Q230" s="4"/>
      <c r="R230"/>
      <c r="S230"/>
      <c r="T230" s="4"/>
      <c r="U230" s="4"/>
      <c r="V230"/>
      <c r="W230"/>
      <c r="X230"/>
      <c r="Y230" t="inlineStr">
        <is>
          <t>Pending Appointment</t>
        </is>
      </c>
      <c r="Z230" t="inlineStr">
        <is>
          <t>Hiring Now</t>
        </is>
      </c>
      <c r="AA230">
        <v>2</v>
      </c>
      <c r="AB230" t="inlineStr">
        <is>
          <t>No Appointment Made</t>
        </is>
      </c>
      <c r="AC230"/>
      <c r="AD230" t="inlineStr">
        <is>
          <t>warehouse 20-40  customer service kl</t>
        </is>
      </c>
      <c r="AE230"/>
      <c r="AF230">
        <v>3600</v>
      </c>
      <c r="AG230" s="4"/>
      <c r="AH230" s="4"/>
      <c r="AI230"/>
      <c r="AJ230">
        <v>1</v>
      </c>
      <c r="AK230" t="inlineStr">
        <is>
          <t>No, I don't need at all</t>
        </is>
      </c>
      <c r="AL230">
        <v>1</v>
      </c>
      <c r="AM230" t="inlineStr">
        <is>
          <t>No, I don't need at all</t>
        </is>
      </c>
      <c r="AN230"/>
      <c r="AO230" t="inlineStr">
        <is>
          <t>No, I don't need at all</t>
        </is>
      </c>
      <c r="AP230" t="inlineStr">
        <is>
          <t>Once a year (25%)</t>
        </is>
      </c>
      <c r="AQ230"/>
      <c r="AR230" t="inlineStr">
        <is>
          <t>Jobstreet</t>
        </is>
      </c>
      <c r="AS230" t="inlineStr">
        <is>
          <t>- Headcount: 2
- Hiring Job Details: warehouse 20-40, customer service kl
- Hiring Urgency: Hiring Now
- Number of outlets: 1
- Have recruiter team: No, I don't need at all
- Number of recruiter in company: 1
- Have ATS system: No, I don't need at all
- Have career website: No, I don't need at all
- Current hiring budget: RM3,600.00
- Whole year budget: Not available
- Whole year number of vacancies: Not available
- Hiring frequency: Once a year (25%)
- External job portal: Jobstreet</t>
        </is>
      </c>
      <c r="AT230">
        <v>65</v>
      </c>
      <c r="AU230" t="inlineStr">
        <is>
          <t>0.65</t>
        </is>
      </c>
      <c r="AV230" t="inlineStr">
        <is>
          <t>15</t>
        </is>
      </c>
      <c r="AW230" t="inlineStr">
        <is>
          <t>0</t>
        </is>
      </c>
      <c r="AX230" t="inlineStr">
        <is>
          <t>Not Qualified</t>
        </is>
      </c>
      <c r="AY230" s="4"/>
      <c r="AZ230"/>
      <c r="BA230"/>
      <c r="BB230"/>
      <c r="BC230"/>
      <c r="BD230" s="4"/>
      <c r="BE230"/>
      <c r="BF230"/>
      <c r="BG230" t="inlineStr">
        <is>
          <t>Reschedule</t>
        </is>
      </c>
      <c r="BH230" t="inlineStr">
        <is>
          <t>Fauziah Maharan</t>
        </is>
      </c>
      <c r="BI230"/>
      <c r="BJ230" s="4">
        <v>46144.755949074075</v>
      </c>
      <c r="BK230" s="4">
        <v>46142.459074074075</v>
      </c>
      <c r="BL230" t="inlineStr">
        <is>
          <t>0.0</t>
        </is>
      </c>
      <c r="BM230" t="inlineStr">
        <is>
          <t>0.0</t>
        </is>
      </c>
      <c r="BN230"/>
      <c r="BO230" s="4"/>
      <c r="BP230">
        <v>169650</v>
      </c>
      <c r="BQ230"/>
      <c r="BR230"/>
      <c r="BS230"/>
      <c r="BT230"/>
      <c r="BU230"/>
      <c r="BV230"/>
      <c r="BW230"/>
      <c r="BX230"/>
      <c r="BY230"/>
      <c r="BZ230" s="4"/>
      <c r="CA230"/>
      <c r="CB230"/>
      <c r="CC230" s="4"/>
      <c r="CD230" t="inlineStr">
        <is>
          <t>20</t>
        </is>
      </c>
      <c r="CE230" t="inlineStr">
        <is>
          <t>0</t>
        </is>
      </c>
      <c r="CF230" t="inlineStr">
        <is>
          <t>Q2-W04</t>
        </is>
      </c>
      <c r="CG230"/>
      <c r="CH230"/>
      <c r="CI230"/>
      <c r="CJ230" t="inlineStr">
        <is>
          <t>No Paid</t>
        </is>
      </c>
      <c r="CK230" t="inlineStr">
        <is>
          <t>Not Eligible</t>
        </is>
      </c>
      <c r="CL230"/>
      <c r="CM230"/>
    </row>
    <row r="231" ht="25.5" customHeight="1">
      <c r="A231" t="inlineStr">
        <is>
          <t>166452</t>
        </is>
      </c>
      <c r="B231" s="2"/>
      <c r="C231"/>
      <c r="D231" s="3">
        <v>46142.47788194445</v>
      </c>
      <c r="E231" t="inlineStr">
        <is>
          <t>Q2-W04</t>
        </is>
      </c>
      <c r="F231" t="inlineStr">
        <is>
          <t>Clover</t>
        </is>
      </c>
      <c r="G231" t="inlineStr">
        <is>
          <t>Customer</t>
        </is>
      </c>
      <c r="H231" s="2" t="str">
        <f>=HYPERLINK("https://upbox.ajobthing.my/customer/166452", "https://upbox.ajobthing.my/customer/166452")</f>
        <v>https://upbox.ajobthing.my/customer/166452</v>
      </c>
      <c r="I231" t="inlineStr">
        <is>
          <t>Favelle Favco Cranes (M) Sdn Bhd</t>
        </is>
      </c>
      <c r="J231" t="inlineStr">
        <is>
          <t>Dolphin</t>
        </is>
      </c>
      <c r="K231" t="inlineStr">
        <is>
          <t>Clover</t>
        </is>
      </c>
      <c r="L231" s="4"/>
      <c r="M231" s="4">
        <v>46142.47819444445</v>
      </c>
      <c r="N231"/>
      <c r="O231">
        <v>3576.96</v>
      </c>
      <c r="P231" s="4"/>
      <c r="Q231" s="4"/>
      <c r="R231"/>
      <c r="S231"/>
      <c r="T231" s="4"/>
      <c r="U231" s="4"/>
      <c r="V231"/>
      <c r="W231"/>
      <c r="X231"/>
      <c r="Y231" t="inlineStr">
        <is>
          <t>Pending Appointment</t>
        </is>
      </c>
      <c r="Z231" t="inlineStr">
        <is>
          <t>Hiring Now</t>
        </is>
      </c>
      <c r="AA231">
        <v>2</v>
      </c>
      <c r="AB231" t="inlineStr">
        <is>
          <t>No Appointment Made</t>
        </is>
      </c>
      <c r="AC231"/>
      <c r="AD231" t="inlineStr">
        <is>
          <t>Project engineer x1, electric engineer x1, min 2-3 years, all races, manufacturing senawang negeri sembilan , 0172745901 Mr Nazriq, suggest stand</t>
        </is>
      </c>
      <c r="AE231"/>
      <c r="AF231">
        <v>3000</v>
      </c>
      <c r="AG231" s="4"/>
      <c r="AH231" s="4"/>
      <c r="AI231">
        <v>3000</v>
      </c>
      <c r="AJ231">
        <v>1</v>
      </c>
      <c r="AK231" t="inlineStr">
        <is>
          <t>No, but I want in future</t>
        </is>
      </c>
      <c r="AL231">
        <v>1</v>
      </c>
      <c r="AM231" t="inlineStr">
        <is>
          <t>No, but I want in future</t>
        </is>
      </c>
      <c r="AN231"/>
      <c r="AO231" t="inlineStr">
        <is>
          <t>No, but I want in future</t>
        </is>
      </c>
      <c r="AP231" t="inlineStr">
        <is>
          <t>Once per quarter (75%)</t>
        </is>
      </c>
      <c r="AQ231">
        <v>2</v>
      </c>
      <c r="AR231" t="inlineStr">
        <is>
          <t>Jobstreet</t>
        </is>
      </c>
      <c r="AS231" t="inlineStr">
        <is>
          <t>- Headcount: 2
- Hiring Job Details: Project engineer x1, electric engineer x1, min 2-3 years, all races, manufacturing senawang negeri sembilan, 0172745901 Mr Nazriq,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Jobstreet</t>
        </is>
      </c>
      <c r="AT231">
        <v>115</v>
      </c>
      <c r="AU231" t="inlineStr">
        <is>
          <t>1.15</t>
        </is>
      </c>
      <c r="AV231" t="inlineStr">
        <is>
          <t>15</t>
        </is>
      </c>
      <c r="AW231" t="inlineStr">
        <is>
          <t>0</t>
        </is>
      </c>
      <c r="AX231" t="inlineStr">
        <is>
          <t>Not Qualified</t>
        </is>
      </c>
      <c r="AY231" s="4"/>
      <c r="AZ231"/>
      <c r="BA231"/>
      <c r="BB231"/>
      <c r="BC231" t="inlineStr">
        <is>
          <t>- Headcount: 2
- Hiring Job Details: Project engineer x1, electric engineer x1, min 2-3 years, all races, manufacturing senawang negeri sembilan, 0172745901 Mr Nazriq,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Jobstreet</t>
        </is>
      </c>
      <c r="BD231" s="4">
        <v>46142.50003472222</v>
      </c>
      <c r="BE231"/>
      <c r="BF231"/>
      <c r="BG231" t="inlineStr">
        <is>
          <t>Reschedule</t>
        </is>
      </c>
      <c r="BH231" t="inlineStr">
        <is>
          <t>Reagen</t>
        </is>
      </c>
      <c r="BI231" t="inlineStr">
        <is>
          <t>Heavy Industrial / Machinery</t>
        </is>
      </c>
      <c r="BJ231" s="4">
        <v>46144.751296296294</v>
      </c>
      <c r="BK231" s="4">
        <v>45041.36540509259</v>
      </c>
      <c r="BL231" t="inlineStr">
        <is>
          <t>0.0</t>
        </is>
      </c>
      <c r="BM231" t="inlineStr">
        <is>
          <t>1200.0</t>
        </is>
      </c>
      <c r="BN231" t="inlineStr">
        <is>
          <t>View Company Page</t>
        </is>
      </c>
      <c r="BO231" s="4">
        <v>46142.362233796295</v>
      </c>
      <c r="BP231">
        <v>169652</v>
      </c>
      <c r="BQ231"/>
      <c r="BR231"/>
      <c r="BS231"/>
      <c r="BT231"/>
      <c r="BU231"/>
      <c r="BV231">
        <v>2737298</v>
      </c>
      <c r="BW231" t="inlineStr">
        <is>
          <t>Customer Inquiry</t>
        </is>
      </c>
      <c r="BX231"/>
      <c r="BY231"/>
      <c r="BZ231" s="4"/>
      <c r="CA231"/>
      <c r="CB231"/>
      <c r="CC231" s="4"/>
      <c r="CD231" t="inlineStr">
        <is>
          <t>20</t>
        </is>
      </c>
      <c r="CE231" t="inlineStr">
        <is>
          <t>0</t>
        </is>
      </c>
      <c r="CF231" t="inlineStr">
        <is>
          <t>Q2-W04</t>
        </is>
      </c>
      <c r="CG231"/>
      <c r="CH231"/>
      <c r="CI231"/>
      <c r="CJ231" t="inlineStr">
        <is>
          <t>No Paid</t>
        </is>
      </c>
      <c r="CK231" t="inlineStr">
        <is>
          <t>Not Eligible</t>
        </is>
      </c>
      <c r="CL231"/>
      <c r="CM231"/>
    </row>
    <row r="232" ht="25.5" customHeight="1">
      <c r="A232" t="inlineStr">
        <is>
          <t>199894</t>
        </is>
      </c>
      <c r="B232" s="2"/>
      <c r="C232"/>
      <c r="D232" s="3">
        <v>46142.482627314814</v>
      </c>
      <c r="E232" t="inlineStr">
        <is>
          <t>Q2-W04</t>
        </is>
      </c>
      <c r="F232" t="inlineStr">
        <is>
          <t>Jess</t>
        </is>
      </c>
      <c r="G232" t="inlineStr">
        <is>
          <t>Customer</t>
        </is>
      </c>
      <c r="H232" s="2" t="str">
        <f>=HYPERLINK("https://upbox.ajobthing.my/customer/199894", "https://upbox.ajobthing.my/customer/199894")</f>
        <v>https://upbox.ajobthing.my/customer/199894</v>
      </c>
      <c r="I232" t="inlineStr">
        <is>
          <t>Lik Team Enterprises (M) Sdn Bhd</t>
        </is>
      </c>
      <c r="J232" t="inlineStr">
        <is>
          <t>Dolphin</t>
        </is>
      </c>
      <c r="K232" t="inlineStr">
        <is>
          <t>Jess Lim</t>
        </is>
      </c>
      <c r="L232" s="4"/>
      <c r="M232" s="4">
        <v>46142.4819212963</v>
      </c>
      <c r="N232"/>
      <c r="O232">
        <v>5412.96</v>
      </c>
      <c r="P232" s="4"/>
      <c r="Q232" s="4"/>
      <c r="R232"/>
      <c r="S232"/>
      <c r="T232" s="4"/>
      <c r="U232" s="4"/>
      <c r="V232"/>
      <c r="W232"/>
      <c r="X232"/>
      <c r="Y232" t="inlineStr">
        <is>
          <t>Pending Appointment</t>
        </is>
      </c>
      <c r="Z232" t="inlineStr">
        <is>
          <t>Hiring Now</t>
        </is>
      </c>
      <c r="AA232">
        <v>1</v>
      </c>
      <c r="AB232" t="inlineStr">
        <is>
          <t>No Appointment Made</t>
        </is>
      </c>
      <c r="AC232"/>
      <c r="AD232" t="inlineStr">
        <is>
          <t>account 1</t>
        </is>
      </c>
      <c r="AE232"/>
      <c r="AF232">
        <v>1200</v>
      </c>
      <c r="AG232" s="4"/>
      <c r="AH232" s="4"/>
      <c r="AI232"/>
      <c r="AJ232">
        <v>1</v>
      </c>
      <c r="AK232" t="inlineStr">
        <is>
          <t>No, I don't need at all</t>
        </is>
      </c>
      <c r="AL232">
        <v>1</v>
      </c>
      <c r="AM232" t="inlineStr">
        <is>
          <t>No, I don't need at all</t>
        </is>
      </c>
      <c r="AN232"/>
      <c r="AO232" t="inlineStr">
        <is>
          <t>No, I don't need at all</t>
        </is>
      </c>
      <c r="AP232" t="inlineStr">
        <is>
          <t>Once a year (25%)</t>
        </is>
      </c>
      <c r="AQ232"/>
      <c r="AR232" t="inlineStr">
        <is>
          <t>Jobstreet</t>
        </is>
      </c>
      <c r="AS232" t="inlineStr">
        <is>
          <t>- Headcount: 1
- Hiring Job Details: account 1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is>
      </c>
      <c r="AT232">
        <v>95</v>
      </c>
      <c r="AU232" t="inlineStr">
        <is>
          <t>0.95</t>
        </is>
      </c>
      <c r="AV232" t="inlineStr">
        <is>
          <t>15</t>
        </is>
      </c>
      <c r="AW232" t="inlineStr">
        <is>
          <t>0</t>
        </is>
      </c>
      <c r="AX232" t="inlineStr">
        <is>
          <t>Not Qualified</t>
        </is>
      </c>
      <c r="AY232" s="4"/>
      <c r="AZ232"/>
      <c r="BA232"/>
      <c r="BB232"/>
      <c r="BC232" t="inlineStr">
        <is>
          <t>- Headcount: 1
- Hiring Job Details: account 1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is>
      </c>
      <c r="BD232" s="4">
        <v>46142.50003472222</v>
      </c>
      <c r="BE232"/>
      <c r="BF232"/>
      <c r="BG232" t="inlineStr">
        <is>
          <t>Reschedule</t>
        </is>
      </c>
      <c r="BH232" t="inlineStr">
        <is>
          <t>Fauziah Maharan</t>
        </is>
      </c>
      <c r="BI232"/>
      <c r="BJ232" s="4">
        <v>46144.75341435185</v>
      </c>
      <c r="BK232" s="4">
        <v>46024.414513888885</v>
      </c>
      <c r="BL232" t="inlineStr">
        <is>
          <t>0.0</t>
        </is>
      </c>
      <c r="BM232" t="inlineStr">
        <is>
          <t>0.0</t>
        </is>
      </c>
      <c r="BN232"/>
      <c r="BO232" s="4"/>
      <c r="BP232">
        <v>169656</v>
      </c>
      <c r="BQ232"/>
      <c r="BR232"/>
      <c r="BS232"/>
      <c r="BT232"/>
      <c r="BU232"/>
      <c r="BV232">
        <v>2737302</v>
      </c>
      <c r="BW232" t="inlineStr">
        <is>
          <t>Customer Inquiry</t>
        </is>
      </c>
      <c r="BX232"/>
      <c r="BY232"/>
      <c r="BZ232" s="4"/>
      <c r="CA232"/>
      <c r="CB232"/>
      <c r="CC232" s="4"/>
      <c r="CD232" t="inlineStr">
        <is>
          <t>20</t>
        </is>
      </c>
      <c r="CE232" t="inlineStr">
        <is>
          <t>0</t>
        </is>
      </c>
      <c r="CF232" t="inlineStr">
        <is>
          <t>Q2-W04</t>
        </is>
      </c>
      <c r="CG232"/>
      <c r="CH232"/>
      <c r="CI232"/>
      <c r="CJ232" t="inlineStr">
        <is>
          <t>No Paid</t>
        </is>
      </c>
      <c r="CK232" t="inlineStr">
        <is>
          <t>Not Eligible</t>
        </is>
      </c>
      <c r="CL232"/>
      <c r="CM232"/>
    </row>
    <row r="233" ht="25.5" customHeight="1">
      <c r="A233" t="inlineStr">
        <is>
          <t>188336</t>
        </is>
      </c>
      <c r="B233" s="2"/>
      <c r="C233"/>
      <c r="D233" s="3">
        <v>46142.48966435185</v>
      </c>
      <c r="E233" t="inlineStr">
        <is>
          <t>Q2-W04</t>
        </is>
      </c>
      <c r="F233" t="inlineStr">
        <is>
          <t>Fariz</t>
        </is>
      </c>
      <c r="G233" t="inlineStr">
        <is>
          <t>Customer</t>
        </is>
      </c>
      <c r="H233" s="2" t="str">
        <f>=HYPERLINK("https://upbox.ajobthing.my/customer/188336", "https://upbox.ajobthing.my/customer/188336")</f>
        <v>https://upbox.ajobthing.my/customer/188336</v>
      </c>
      <c r="I233" t="inlineStr">
        <is>
          <t>Tadika Al-Hawi Al-Khairat</t>
        </is>
      </c>
      <c r="J233" t="inlineStr">
        <is>
          <t>Dolphin</t>
        </is>
      </c>
      <c r="K233" t="inlineStr">
        <is>
          <t>Fariz</t>
        </is>
      </c>
      <c r="L233" s="4"/>
      <c r="M233" s="4">
        <v>46142.49017361111</v>
      </c>
      <c r="N233"/>
      <c r="O233">
        <v>3888</v>
      </c>
      <c r="P233" s="4"/>
      <c r="Q233" s="4">
        <v>45737.734988425924</v>
      </c>
      <c r="R233"/>
      <c r="S233">
        <v>648</v>
      </c>
      <c r="T233" s="4">
        <v>45737.734988425924</v>
      </c>
      <c r="U233" s="4"/>
      <c r="V233"/>
      <c r="W233">
        <v>648</v>
      </c>
      <c r="X233"/>
      <c r="Y233" t="inlineStr">
        <is>
          <t>Pending Appointment</t>
        </is>
      </c>
      <c r="Z233" t="inlineStr">
        <is>
          <t>Hiring Later</t>
        </is>
      </c>
      <c r="AA233">
        <v>1</v>
      </c>
      <c r="AB233" t="inlineStr">
        <is>
          <t>No Appointment Made</t>
        </is>
      </c>
      <c r="AC233"/>
      <c r="AD233" t="inlineStr">
        <is>
          <t>1 preschool teacher</t>
        </is>
      </c>
      <c r="AE233"/>
      <c r="AF233">
        <v>3600</v>
      </c>
      <c r="AG233" s="4"/>
      <c r="AH233" s="4"/>
      <c r="AI233">
        <v>3600</v>
      </c>
      <c r="AJ233"/>
      <c r="AK233" t="inlineStr">
        <is>
          <t>No, I don't need at all</t>
        </is>
      </c>
      <c r="AL233">
        <v>1</v>
      </c>
      <c r="AM233" t="inlineStr">
        <is>
          <t>No, I don't need at all</t>
        </is>
      </c>
      <c r="AN233"/>
      <c r="AO233" t="inlineStr">
        <is>
          <t>No, I don't need at all</t>
        </is>
      </c>
      <c r="AP233" t="inlineStr">
        <is>
          <t>Once a year (25%)</t>
        </is>
      </c>
      <c r="AQ233">
        <v>2</v>
      </c>
      <c r="AR233" t="inlineStr">
        <is>
          <t>Free Job Portal</t>
        </is>
      </c>
      <c r="AS233" t="inlineStr">
        <is>
          <t>- Headcount: 1
- Hiring Job Details: 1 preschool teacher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2
- Hiring frequency: Once a year (25%)
- External job portal: Free Job Portal</t>
        </is>
      </c>
      <c r="AT233">
        <v>105</v>
      </c>
      <c r="AU233" t="inlineStr">
        <is>
          <t>1.05</t>
        </is>
      </c>
      <c r="AV233" t="inlineStr">
        <is>
          <t>15</t>
        </is>
      </c>
      <c r="AW233" t="inlineStr">
        <is>
          <t>0</t>
        </is>
      </c>
      <c r="AX233" t="inlineStr">
        <is>
          <t>Not Qualified</t>
        </is>
      </c>
      <c r="AY233" s="4"/>
      <c r="AZ233"/>
      <c r="BA233"/>
      <c r="BB233"/>
      <c r="BC233" t="inlineStr">
        <is>
          <t>- Headcount: 1
- Hiring Job Details: 1 preschool teacher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2
- Hiring frequency: Once a year (25%)
- External job portal: Free Job Portal</t>
        </is>
      </c>
      <c r="BD233" s="4">
        <v>46142.50003472222</v>
      </c>
      <c r="BE233" t="inlineStr">
        <is>
          <t>paid</t>
        </is>
      </c>
      <c r="BF233"/>
      <c r="BG233" t="inlineStr">
        <is>
          <t>Reschedule</t>
        </is>
      </c>
      <c r="BH233" t="inlineStr">
        <is>
          <t>Edward Hoo</t>
        </is>
      </c>
      <c r="BI233" t="inlineStr">
        <is>
          <t>Education / Training</t>
        </is>
      </c>
      <c r="BJ233" s="4">
        <v>46144.75224537037</v>
      </c>
      <c r="BK233" s="4">
        <v>45719.373715277776</v>
      </c>
      <c r="BL233" t="inlineStr">
        <is>
          <t>0.0</t>
        </is>
      </c>
      <c r="BM233" t="inlineStr">
        <is>
          <t>0.0</t>
        </is>
      </c>
      <c r="BN233" t="inlineStr">
        <is>
          <t>PA Visit - Email</t>
        </is>
      </c>
      <c r="BO233" s="4">
        <v>45782.34150462963</v>
      </c>
      <c r="BP233">
        <v>169660</v>
      </c>
      <c r="BQ233">
        <v>77862</v>
      </c>
      <c r="BR233" t="inlineStr">
        <is>
          <t>Online</t>
        </is>
      </c>
      <c r="BS233"/>
      <c r="BT233">
        <v>77862</v>
      </c>
      <c r="BU233"/>
      <c r="BV233">
        <v>2737305</v>
      </c>
      <c r="BW233" t="inlineStr">
        <is>
          <t>Customer Inquiry</t>
        </is>
      </c>
      <c r="BX233"/>
      <c r="BY233"/>
      <c r="BZ233" s="4"/>
      <c r="CA233"/>
      <c r="CB233"/>
      <c r="CC233" s="4"/>
      <c r="CD233" t="inlineStr">
        <is>
          <t>20</t>
        </is>
      </c>
      <c r="CE233" t="inlineStr">
        <is>
          <t>0</t>
        </is>
      </c>
      <c r="CF233" t="inlineStr">
        <is>
          <t>Q2-W04</t>
        </is>
      </c>
      <c r="CG233"/>
      <c r="CH233"/>
      <c r="CI233"/>
      <c r="CJ233" t="inlineStr">
        <is>
          <t>Paid</t>
        </is>
      </c>
      <c r="CK233" t="inlineStr">
        <is>
          <t>Not Eligible</t>
        </is>
      </c>
      <c r="CL233"/>
      <c r="CM233"/>
    </row>
    <row r="234" ht="25.5" customHeight="1">
      <c r="A234" t="inlineStr">
        <is>
          <t>181820</t>
        </is>
      </c>
      <c r="B234" s="2"/>
      <c r="C234"/>
      <c r="D234" s="3">
        <v>46142.49381944445</v>
      </c>
      <c r="E234" t="inlineStr">
        <is>
          <t>Q2-W04</t>
        </is>
      </c>
      <c r="F234" t="inlineStr">
        <is>
          <t>Xin Hui</t>
        </is>
      </c>
      <c r="G234" t="inlineStr">
        <is>
          <t>Customer</t>
        </is>
      </c>
      <c r="H234" s="2" t="str">
        <f>=HYPERLINK("https://upbox.ajobthing.my/customer/181820", "https://upbox.ajobthing.my/customer/181820")</f>
        <v>https://upbox.ajobthing.my/customer/181820</v>
      </c>
      <c r="I234" t="inlineStr">
        <is>
          <t>M&amp;r Integrated Solution Sdn. Bhd</t>
        </is>
      </c>
      <c r="J234" t="inlineStr">
        <is>
          <t>Dolphin</t>
        </is>
      </c>
      <c r="K234" t="inlineStr">
        <is>
          <t>Xin Hui</t>
        </is>
      </c>
      <c r="L234" s="4"/>
      <c r="M234" s="4">
        <v>46142.471041666664</v>
      </c>
      <c r="N234"/>
      <c r="O234">
        <v>3888</v>
      </c>
      <c r="P234" s="4"/>
      <c r="Q234" s="4"/>
      <c r="R234"/>
      <c r="S234"/>
      <c r="T234" s="4"/>
      <c r="U234" s="4"/>
      <c r="V234"/>
      <c r="W234"/>
      <c r="X234"/>
      <c r="Y234" t="inlineStr">
        <is>
          <t>Pending Appointment</t>
        </is>
      </c>
      <c r="Z234" t="inlineStr">
        <is>
          <t>Hiring Now</t>
        </is>
      </c>
      <c r="AA234">
        <v>1</v>
      </c>
      <c r="AB234" t="inlineStr">
        <is>
          <t>No Appointment Made</t>
        </is>
      </c>
      <c r="AC234"/>
      <c r="AD234" t="inlineStr">
        <is>
          <t>customer support</t>
        </is>
      </c>
      <c r="AE234"/>
      <c r="AF234"/>
      <c r="AG234" s="4"/>
      <c r="AH234" s="4"/>
      <c r="AI234"/>
      <c r="AJ234"/>
      <c r="AK234" t="inlineStr">
        <is>
          <t>No, I don't need at all</t>
        </is>
      </c>
      <c r="AL234"/>
      <c r="AM234" t="inlineStr">
        <is>
          <t>No, I don't need at all</t>
        </is>
      </c>
      <c r="AN234"/>
      <c r="AO234" t="inlineStr">
        <is>
          <t>No, I don't need at all</t>
        </is>
      </c>
      <c r="AP234" t="inlineStr">
        <is>
          <t>Once a year (25%)</t>
        </is>
      </c>
      <c r="AQ234"/>
      <c r="AR234" t="inlineStr">
        <is>
          <t>Did not use any job portal</t>
        </is>
      </c>
      <c r="AS234" t="inlineStr">
        <is>
          <t>- Headcount: 1
- Hiring Job Details: customer support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Did not use any job portal</t>
        </is>
      </c>
      <c r="AT234">
        <v>75</v>
      </c>
      <c r="AU234" t="inlineStr">
        <is>
          <t>0.75</t>
        </is>
      </c>
      <c r="AV234" t="inlineStr">
        <is>
          <t>5</t>
        </is>
      </c>
      <c r="AW234" t="inlineStr">
        <is>
          <t>0</t>
        </is>
      </c>
      <c r="AX234" t="inlineStr">
        <is>
          <t>Not Qualified</t>
        </is>
      </c>
      <c r="AY234" s="4"/>
      <c r="AZ234"/>
      <c r="BA234"/>
      <c r="BB234"/>
      <c r="BC234" t="inlineStr">
        <is>
          <t>- Headcount: 1
- Hiring Job Details: customer support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Did not use any job portal</t>
        </is>
      </c>
      <c r="BD234" s="4">
        <v>46142.50003472222</v>
      </c>
      <c r="BE234"/>
      <c r="BF234"/>
      <c r="BG234" t="inlineStr">
        <is>
          <t>Reschedule</t>
        </is>
      </c>
      <c r="BH234" t="inlineStr">
        <is>
          <t>Yee Hang</t>
        </is>
      </c>
      <c r="BI234" t="inlineStr">
        <is>
          <t>Manufacturing / Production</t>
        </is>
      </c>
      <c r="BJ234" s="4">
        <v>46144.75188657407</v>
      </c>
      <c r="BK234" s="4">
        <v>45524.47131944444</v>
      </c>
      <c r="BL234" t="inlineStr">
        <is>
          <t>0.0</t>
        </is>
      </c>
      <c r="BM234" t="inlineStr">
        <is>
          <t>1800.0</t>
        </is>
      </c>
      <c r="BN234" t="inlineStr">
        <is>
          <t>View Company Page</t>
        </is>
      </c>
      <c r="BO234" s="4">
        <v>45526.66998842593</v>
      </c>
      <c r="BP234">
        <v>169648</v>
      </c>
      <c r="BQ234"/>
      <c r="BR234"/>
      <c r="BS234"/>
      <c r="BT234"/>
      <c r="BU234"/>
      <c r="BV234">
        <v>2737307</v>
      </c>
      <c r="BW234" t="inlineStr">
        <is>
          <t>Customer Inquiry</t>
        </is>
      </c>
      <c r="BX234"/>
      <c r="BY234"/>
      <c r="BZ234" s="4"/>
      <c r="CA234"/>
      <c r="CB234"/>
      <c r="CC234" s="4"/>
      <c r="CD234" t="inlineStr">
        <is>
          <t>5</t>
        </is>
      </c>
      <c r="CE234" t="inlineStr">
        <is>
          <t>0</t>
        </is>
      </c>
      <c r="CF234" t="inlineStr">
        <is>
          <t>Q2-W04</t>
        </is>
      </c>
      <c r="CG234"/>
      <c r="CH234"/>
      <c r="CI234"/>
      <c r="CJ234" t="inlineStr">
        <is>
          <t>No Paid</t>
        </is>
      </c>
      <c r="CK234" t="inlineStr">
        <is>
          <t>Not Eligible</t>
        </is>
      </c>
      <c r="CL234"/>
      <c r="CM234"/>
    </row>
    <row r="235" ht="25.5" customHeight="1">
      <c r="A235" t="inlineStr">
        <is>
          <t>195211</t>
        </is>
      </c>
      <c r="B235" s="2"/>
      <c r="C235"/>
      <c r="D235" s="3">
        <v>46142.494363425925</v>
      </c>
      <c r="E235" t="inlineStr">
        <is>
          <t>Q2-W04</t>
        </is>
      </c>
      <c r="F235" t="inlineStr">
        <is>
          <t>Dickson</t>
        </is>
      </c>
      <c r="G235" t="inlineStr">
        <is>
          <t>Customer</t>
        </is>
      </c>
      <c r="H235" s="2" t="str">
        <f>=HYPERLINK("https://upbox.ajobthing.my/customer/195211", "https://upbox.ajobthing.my/customer/195211")</f>
        <v>https://upbox.ajobthing.my/customer/195211</v>
      </c>
      <c r="I235" t="inlineStr">
        <is>
          <t>Orient Overseas Container Line (m) Sdn Bhd</t>
        </is>
      </c>
      <c r="J235" t="inlineStr">
        <is>
          <t>Dolphin</t>
        </is>
      </c>
      <c r="K235" t="inlineStr">
        <is>
          <t>Dickson</t>
        </is>
      </c>
      <c r="L235" s="4"/>
      <c r="M235" s="4">
        <v>46142.49451388889</v>
      </c>
      <c r="N235"/>
      <c r="O235">
        <v>3888</v>
      </c>
      <c r="P235" s="4"/>
      <c r="Q235" s="4"/>
      <c r="R235"/>
      <c r="S235"/>
      <c r="T235" s="4"/>
      <c r="U235" s="4"/>
      <c r="V235"/>
      <c r="W235"/>
      <c r="X235"/>
      <c r="Y235" t="inlineStr">
        <is>
          <t>Pending Appointment</t>
        </is>
      </c>
      <c r="Z235" t="inlineStr">
        <is>
          <t>Hiring Now</t>
        </is>
      </c>
      <c r="AA235">
        <v>6</v>
      </c>
      <c r="AB235" t="inlineStr">
        <is>
          <t>No Appointment Made</t>
        </is>
      </c>
      <c r="AC235"/>
      <c r="AD235" t="inlineStr">
        <is>
          <t>2 sales executive, 4 customer service executive</t>
        </is>
      </c>
      <c r="AE235"/>
      <c r="AF235"/>
      <c r="AG235" s="4"/>
      <c r="AH235" s="4"/>
      <c r="AI235"/>
      <c r="AJ235">
        <v>1</v>
      </c>
      <c r="AK235" t="inlineStr">
        <is>
          <t>No, I don't need at all</t>
        </is>
      </c>
      <c r="AL235"/>
      <c r="AM235" t="inlineStr">
        <is>
          <t>No, I don't need at all</t>
        </is>
      </c>
      <c r="AN235"/>
      <c r="AO235" t="inlineStr">
        <is>
          <t>No, I don't need at all</t>
        </is>
      </c>
      <c r="AP235" t="inlineStr">
        <is>
          <t>Once per quarter (75%)</t>
        </is>
      </c>
      <c r="AQ235"/>
      <c r="AR235" t="inlineStr">
        <is>
          <t>Jobstreet</t>
        </is>
      </c>
      <c r="AS235" t="inlineStr">
        <is>
          <t>- Headcount: 6
- Hiring Job Details: 2 sales executive, 4 customer service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235">
        <v>95</v>
      </c>
      <c r="AU235" t="inlineStr">
        <is>
          <t>0.95</t>
        </is>
      </c>
      <c r="AV235" t="inlineStr">
        <is>
          <t>10</t>
        </is>
      </c>
      <c r="AW235" t="inlineStr">
        <is>
          <t>0</t>
        </is>
      </c>
      <c r="AX235" t="inlineStr">
        <is>
          <t>Not Qualified</t>
        </is>
      </c>
      <c r="AY235" s="4"/>
      <c r="AZ235"/>
      <c r="BA235"/>
      <c r="BB235"/>
      <c r="BC235" t="inlineStr">
        <is>
          <t>- Headcount: 6
- Hiring Job Details: 2 sales executive, 4 customer service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BD235" s="4">
        <v>46142.50003472222</v>
      </c>
      <c r="BE235"/>
      <c r="BF235"/>
      <c r="BG235" t="inlineStr">
        <is>
          <t>Reschedule</t>
        </is>
      </c>
      <c r="BH235" t="inlineStr">
        <is>
          <t>Edward Hoo</t>
        </is>
      </c>
      <c r="BI235"/>
      <c r="BJ235" s="4">
        <v>46144.75274305556</v>
      </c>
      <c r="BK235" s="4">
        <v>45890.412141203706</v>
      </c>
      <c r="BL235" t="inlineStr">
        <is>
          <t>0.0</t>
        </is>
      </c>
      <c r="BM235" t="inlineStr">
        <is>
          <t>2100.0</t>
        </is>
      </c>
      <c r="BN235" t="inlineStr">
        <is>
          <t>View Company Page</t>
        </is>
      </c>
      <c r="BO235" s="4">
        <v>45890.4128587963</v>
      </c>
      <c r="BP235">
        <v>169665</v>
      </c>
      <c r="BQ235"/>
      <c r="BR235"/>
      <c r="BS235"/>
      <c r="BT235"/>
      <c r="BU235"/>
      <c r="BV235">
        <v>2737308</v>
      </c>
      <c r="BW235" t="inlineStr">
        <is>
          <t>Customer Inquiry</t>
        </is>
      </c>
      <c r="BX235"/>
      <c r="BY235"/>
      <c r="BZ235" s="4"/>
      <c r="CA235"/>
      <c r="CB235"/>
      <c r="CC235" s="4"/>
      <c r="CD235" t="inlineStr">
        <is>
          <t>15</t>
        </is>
      </c>
      <c r="CE235" t="inlineStr">
        <is>
          <t>0</t>
        </is>
      </c>
      <c r="CF235" t="inlineStr">
        <is>
          <t>Q2-W04</t>
        </is>
      </c>
      <c r="CG235"/>
      <c r="CH235"/>
      <c r="CI235"/>
      <c r="CJ235" t="inlineStr">
        <is>
          <t>No Paid</t>
        </is>
      </c>
      <c r="CK235" t="inlineStr">
        <is>
          <t>Not Eligible</t>
        </is>
      </c>
      <c r="CL235"/>
      <c r="CM235"/>
    </row>
    <row r="236" ht="25.5" customHeight="1">
      <c r="A236" t="inlineStr">
        <is>
          <t>158619</t>
        </is>
      </c>
      <c r="B236" s="2"/>
      <c r="C236"/>
      <c r="D236" s="3">
        <v>46142.56290509259</v>
      </c>
      <c r="E236" t="inlineStr">
        <is>
          <t>Q2-W04</t>
        </is>
      </c>
      <c r="F236" t="inlineStr">
        <is>
          <t>Luqman</t>
        </is>
      </c>
      <c r="G236" t="inlineStr">
        <is>
          <t>Customer</t>
        </is>
      </c>
      <c r="H236" s="2" t="str">
        <f>=HYPERLINK("https://upbox.ajobthing.my/customer/158619", "https://upbox.ajobthing.my/customer/158619")</f>
        <v>https://upbox.ajobthing.my/customer/158619</v>
      </c>
      <c r="I236" t="inlineStr">
        <is>
          <t>Kapitan Tandoori House</t>
        </is>
      </c>
      <c r="J236" t="inlineStr">
        <is>
          <t>Dolphin</t>
        </is>
      </c>
      <c r="K236" t="inlineStr">
        <is>
          <t>Luqman</t>
        </is>
      </c>
      <c r="L236" s="4"/>
      <c r="M236" s="4">
        <v>46142.5633912037</v>
      </c>
      <c r="N236"/>
      <c r="O236">
        <v>11448</v>
      </c>
      <c r="P236" s="4"/>
      <c r="Q236" s="4">
        <v>44798.60449074074</v>
      </c>
      <c r="R236"/>
      <c r="S236">
        <v>1749</v>
      </c>
      <c r="T236" s="4">
        <v>44798.60449074074</v>
      </c>
      <c r="U236" s="4"/>
      <c r="V236"/>
      <c r="W236">
        <v>1749</v>
      </c>
      <c r="X236"/>
      <c r="Y236" t="inlineStr">
        <is>
          <t>Pending Appointment</t>
        </is>
      </c>
      <c r="Z236" t="inlineStr">
        <is>
          <t>Hiring Later</t>
        </is>
      </c>
      <c r="AA236">
        <v>1</v>
      </c>
      <c r="AB236" t="inlineStr">
        <is>
          <t>No Appointment Made</t>
        </is>
      </c>
      <c r="AC236"/>
      <c r="AD236" t="inlineStr">
        <is>
          <t xml:space="preserve">1. Service Crew </t>
        </is>
      </c>
      <c r="AE236"/>
      <c r="AF236">
        <v>5000</v>
      </c>
      <c r="AG236" s="4"/>
      <c r="AH236" s="4"/>
      <c r="AI236">
        <v>5000</v>
      </c>
      <c r="AJ236"/>
      <c r="AK236" t="inlineStr">
        <is>
          <t>Yes, I have</t>
        </is>
      </c>
      <c r="AL236">
        <v>7</v>
      </c>
      <c r="AM236" t="inlineStr">
        <is>
          <t>No, I don't need at all</t>
        </is>
      </c>
      <c r="AN236"/>
      <c r="AO236" t="inlineStr">
        <is>
          <t>No, I don't need at all</t>
        </is>
      </c>
      <c r="AP236" t="inlineStr">
        <is>
          <t>Once a year (25%)</t>
        </is>
      </c>
      <c r="AQ236">
        <v>17</v>
      </c>
      <c r="AR236" t="inlineStr">
        <is>
          <t>Free Job Portal</t>
        </is>
      </c>
      <c r="AS236" t="inlineStr">
        <is>
          <t>- Headcount: 1
- Hiring Job Details: 1 Service Crew
- Hiring Urgency: Hiring Later
- Number of outlets: 
- Have recruiter team: Yes
- Number of recruiter in company: 7
- Have ATS system: No, I don't need at all
- Have career website: No, I don't need at all
- Current hiring budget: RM5,000
- Whole year budget: RM5,000.00
- Whole year number of vacancies: 17
- Hiring frequency: Once a year (25%)
- External job portal: Free Job Portal</t>
        </is>
      </c>
      <c r="AT236">
        <v>110</v>
      </c>
      <c r="AU236" t="inlineStr">
        <is>
          <t>1.10</t>
        </is>
      </c>
      <c r="AV236" t="inlineStr">
        <is>
          <t>15</t>
        </is>
      </c>
      <c r="AW236" t="inlineStr">
        <is>
          <t>0</t>
        </is>
      </c>
      <c r="AX236" t="inlineStr">
        <is>
          <t>Not Qualified</t>
        </is>
      </c>
      <c r="AY236" s="4"/>
      <c r="AZ236"/>
      <c r="BA236"/>
      <c r="BB236"/>
      <c r="BC236" t="inlineStr">
        <is>
          <t>- Headcount: 1
- Hiring Job Details: 1 Service Crew
- Hiring Urgency: Hiring Later
- Number of outlets: 
- Have recruiter team: Yes
- Number of recruiter in company: 7
- Have ATS system: No, I don't need at all
- Have career website: No, I don't need at all
- Current hiring budget: RM5,000
- Whole year budget: RM5,000.00
- Whole year number of vacancies: 17
- Hiring frequency: Once a year (25%)
- External job portal: Free Job Portal</t>
        </is>
      </c>
      <c r="BD236" s="4">
        <v>46142.58335648148</v>
      </c>
      <c r="BE236" t="inlineStr">
        <is>
          <t>paid</t>
        </is>
      </c>
      <c r="BF236"/>
      <c r="BG236" t="inlineStr">
        <is>
          <t>Reschedule</t>
        </is>
      </c>
      <c r="BH236" t="inlineStr">
        <is>
          <t>Edward Hoo</t>
        </is>
      </c>
      <c r="BI236"/>
      <c r="BJ236" s="4">
        <v>46144.75104166667</v>
      </c>
      <c r="BK236" s="4">
        <v>44789.71925925926</v>
      </c>
      <c r="BL236" t="inlineStr">
        <is>
          <t>0.0</t>
        </is>
      </c>
      <c r="BM236" t="inlineStr">
        <is>
          <t>0.0</t>
        </is>
      </c>
      <c r="BN236" t="inlineStr">
        <is>
          <t>View AI Candidate Search</t>
        </is>
      </c>
      <c r="BO236" s="4">
        <v>45953.692094907405</v>
      </c>
      <c r="BP236">
        <v>169677</v>
      </c>
      <c r="BQ236">
        <v>49729</v>
      </c>
      <c r="BR236" t="inlineStr">
        <is>
          <t>Online</t>
        </is>
      </c>
      <c r="BS236"/>
      <c r="BT236">
        <v>49729</v>
      </c>
      <c r="BU236"/>
      <c r="BV236">
        <v>2737583</v>
      </c>
      <c r="BW236" t="inlineStr">
        <is>
          <t>Customer Inquiry</t>
        </is>
      </c>
      <c r="BX236"/>
      <c r="BY236"/>
      <c r="BZ236" s="4"/>
      <c r="CA236"/>
      <c r="CB236"/>
      <c r="CC236" s="4"/>
      <c r="CD236" t="inlineStr">
        <is>
          <t>20</t>
        </is>
      </c>
      <c r="CE236" t="inlineStr">
        <is>
          <t>0</t>
        </is>
      </c>
      <c r="CF236" t="inlineStr">
        <is>
          <t>Q2-W04</t>
        </is>
      </c>
      <c r="CG236"/>
      <c r="CH236"/>
      <c r="CI236"/>
      <c r="CJ236" t="inlineStr">
        <is>
          <t>Paid</t>
        </is>
      </c>
      <c r="CK236" t="inlineStr">
        <is>
          <t>Not Eligible</t>
        </is>
      </c>
      <c r="CL236"/>
      <c r="CM236"/>
    </row>
    <row r="237" ht="25.5" customHeight="1">
      <c r="A237" t="inlineStr">
        <is>
          <t>203827</t>
        </is>
      </c>
      <c r="B237" s="2"/>
      <c r="C237"/>
      <c r="D237" s="3">
        <v>46142.5874537037</v>
      </c>
      <c r="E237" t="inlineStr">
        <is>
          <t>Q2-W04</t>
        </is>
      </c>
      <c r="F237" t="inlineStr">
        <is>
          <t>Clover</t>
        </is>
      </c>
      <c r="G237" t="inlineStr">
        <is>
          <t>Customer</t>
        </is>
      </c>
      <c r="H237" s="2" t="str">
        <f>=HYPERLINK("https://upbox.ajobthing.my/customer/203827", "https://upbox.ajobthing.my/customer/203827")</f>
        <v>https://upbox.ajobthing.my/customer/203827</v>
      </c>
      <c r="I237" t="inlineStr">
        <is>
          <t>Longi Solar Sdn bhd</t>
        </is>
      </c>
      <c r="J237" t="inlineStr">
        <is>
          <t>Dolphin</t>
        </is>
      </c>
      <c r="K237" t="inlineStr">
        <is>
          <t>Clover</t>
        </is>
      </c>
      <c r="L237" s="4"/>
      <c r="M237" s="4">
        <v>46142.58855324074</v>
      </c>
      <c r="N237"/>
      <c r="O237">
        <v>3576.96</v>
      </c>
      <c r="P237" s="4"/>
      <c r="Q237" s="4"/>
      <c r="R237"/>
      <c r="S237"/>
      <c r="T237" s="4"/>
      <c r="U237" s="4"/>
      <c r="V237"/>
      <c r="W237"/>
      <c r="X237"/>
      <c r="Y237" t="inlineStr">
        <is>
          <t>Pending Appointment</t>
        </is>
      </c>
      <c r="Z237" t="inlineStr">
        <is>
          <t>Hiring Now</t>
        </is>
      </c>
      <c r="AA237">
        <v>2</v>
      </c>
      <c r="AB237" t="inlineStr">
        <is>
          <t>No Appointment Made</t>
        </is>
      </c>
      <c r="AC237"/>
      <c r="AD237" t="inlineStr">
        <is>
          <t xml:space="preserve">Want to technician wireman x1-2, fresh grads, chi/malay, depends on contract, 2 branch kl / ipoh,  share stand, 1s time </t>
        </is>
      </c>
      <c r="AE237"/>
      <c r="AF237">
        <v>3000</v>
      </c>
      <c r="AG237" s="4"/>
      <c r="AH237" s="4"/>
      <c r="AI237">
        <v>3000</v>
      </c>
      <c r="AJ237">
        <v>1</v>
      </c>
      <c r="AK237" t="inlineStr">
        <is>
          <t>No, but I want in future</t>
        </is>
      </c>
      <c r="AL237">
        <v>1</v>
      </c>
      <c r="AM237" t="inlineStr">
        <is>
          <t>No, but I want in future</t>
        </is>
      </c>
      <c r="AN237"/>
      <c r="AO237" t="inlineStr">
        <is>
          <t>No, but I want in future</t>
        </is>
      </c>
      <c r="AP237" t="inlineStr">
        <is>
          <t>Twice a year (50%)</t>
        </is>
      </c>
      <c r="AQ237">
        <v>2</v>
      </c>
      <c r="AR237" t="inlineStr">
        <is>
          <t>Did not use any job portal</t>
        </is>
      </c>
      <c r="AS237" t="inlineStr">
        <is>
          <t>- Headcount: 2
- Hiring Job Details: 1-2 technician wireman, fresh grads, chi/malay, contract-dependent, 2 branches (kl/ipoh), share stand, 1s time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37">
        <v>110</v>
      </c>
      <c r="AU237" t="inlineStr">
        <is>
          <t>1.10</t>
        </is>
      </c>
      <c r="AV237" t="inlineStr">
        <is>
          <t>15</t>
        </is>
      </c>
      <c r="AW237" t="inlineStr">
        <is>
          <t>0</t>
        </is>
      </c>
      <c r="AX237" t="inlineStr">
        <is>
          <t>Not Qualified</t>
        </is>
      </c>
      <c r="AY237" s="4"/>
      <c r="AZ237"/>
      <c r="BA237"/>
      <c r="BB237"/>
      <c r="BC237" t="inlineStr">
        <is>
          <t>- Headcount: 2
- Hiring Job Details: Want 1-2 technician wiremen (fresh grads, Chinese/Malay, contract-dependent), 2 branches (KL/IPOH), share stand, one-time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BD237" s="4">
        <v>46142.625023148146</v>
      </c>
      <c r="BE237"/>
      <c r="BF237"/>
      <c r="BG237" t="inlineStr">
        <is>
          <t>Reschedule</t>
        </is>
      </c>
      <c r="BH237" t="inlineStr">
        <is>
          <t>Reagen</t>
        </is>
      </c>
      <c r="BI237"/>
      <c r="BJ237" s="4">
        <v>46144.7544212963</v>
      </c>
      <c r="BK237" s="4">
        <v>46142.48607638889</v>
      </c>
      <c r="BL237" t="inlineStr">
        <is>
          <t>0.0</t>
        </is>
      </c>
      <c r="BM237" t="inlineStr">
        <is>
          <t>0.0</t>
        </is>
      </c>
      <c r="BN237"/>
      <c r="BO237" s="4"/>
      <c r="BP237">
        <v>169685</v>
      </c>
      <c r="BQ237"/>
      <c r="BR237"/>
      <c r="BS237"/>
      <c r="BT237"/>
      <c r="BU237"/>
      <c r="BV237">
        <v>2737837</v>
      </c>
      <c r="BW237" t="inlineStr">
        <is>
          <t>Customer Inquiry</t>
        </is>
      </c>
      <c r="BX237"/>
      <c r="BY237"/>
      <c r="BZ237" s="4"/>
      <c r="CA237"/>
      <c r="CB237"/>
      <c r="CC237" s="4"/>
      <c r="CD237" t="inlineStr">
        <is>
          <t>20</t>
        </is>
      </c>
      <c r="CE237" t="inlineStr">
        <is>
          <t>0</t>
        </is>
      </c>
      <c r="CF237" t="inlineStr">
        <is>
          <t>Q2-W04</t>
        </is>
      </c>
      <c r="CG237"/>
      <c r="CH237"/>
      <c r="CI237"/>
      <c r="CJ237" t="inlineStr">
        <is>
          <t>No Paid</t>
        </is>
      </c>
      <c r="CK237" t="inlineStr">
        <is>
          <t>Not Eligible</t>
        </is>
      </c>
      <c r="CL237"/>
      <c r="CM237"/>
    </row>
    <row r="238" ht="25.5" customHeight="1">
      <c r="A238" t="inlineStr">
        <is>
          <t>143896</t>
        </is>
      </c>
      <c r="B238" s="2"/>
      <c r="C238"/>
      <c r="D238" s="3">
        <v>46142.59030092593</v>
      </c>
      <c r="E238" t="inlineStr">
        <is>
          <t>Q2-W04</t>
        </is>
      </c>
      <c r="F238" t="inlineStr">
        <is>
          <t>Luqman</t>
        </is>
      </c>
      <c r="G238" t="inlineStr">
        <is>
          <t>Customer</t>
        </is>
      </c>
      <c r="H238" s="2" t="str">
        <f>=HYPERLINK("https://upbox.ajobthing.my/customer/143896", "https://upbox.ajobthing.my/customer/143896")</f>
        <v>https://upbox.ajobthing.my/customer/143896</v>
      </c>
      <c r="I238" t="inlineStr">
        <is>
          <t>BMM Markerting Sdn Bhd</t>
        </is>
      </c>
      <c r="J238" t="inlineStr">
        <is>
          <t>Dolphin</t>
        </is>
      </c>
      <c r="K238" t="inlineStr">
        <is>
          <t>Luqman</t>
        </is>
      </c>
      <c r="L238" s="4"/>
      <c r="M238" s="4">
        <v>46142.590474537035</v>
      </c>
      <c r="N238"/>
      <c r="O238">
        <v>3888</v>
      </c>
      <c r="P238" s="4"/>
      <c r="Q238" s="4">
        <v>45618.05305555555</v>
      </c>
      <c r="R238"/>
      <c r="S238">
        <v>1296</v>
      </c>
      <c r="T238" s="4">
        <v>45616.7321875</v>
      </c>
      <c r="U238" s="4"/>
      <c r="V238"/>
      <c r="W238">
        <v>1944</v>
      </c>
      <c r="X238"/>
      <c r="Y238" t="inlineStr">
        <is>
          <t>Pending Appointment</t>
        </is>
      </c>
      <c r="Z238" t="inlineStr">
        <is>
          <t>Hiring Later</t>
        </is>
      </c>
      <c r="AA238">
        <v>1</v>
      </c>
      <c r="AB238" t="inlineStr">
        <is>
          <t>No Appointment Made</t>
        </is>
      </c>
      <c r="AC238"/>
      <c r="AD238" t="inlineStr">
        <is>
          <t>1. Marketing Executive</t>
        </is>
      </c>
      <c r="AE238"/>
      <c r="AF238">
        <v>3600</v>
      </c>
      <c r="AG238" s="4"/>
      <c r="AH238" s="4"/>
      <c r="AI238">
        <v>3600</v>
      </c>
      <c r="AJ238"/>
      <c r="AK238" t="inlineStr">
        <is>
          <t>No, but I want in future</t>
        </is>
      </c>
      <c r="AL238">
        <v>3</v>
      </c>
      <c r="AM238" t="inlineStr">
        <is>
          <t>No, I don't need at all</t>
        </is>
      </c>
      <c r="AN238"/>
      <c r="AO238" t="inlineStr">
        <is>
          <t>No, but I want in future</t>
        </is>
      </c>
      <c r="AP238" t="inlineStr">
        <is>
          <t>Once a year (25%)</t>
        </is>
      </c>
      <c r="AQ238">
        <v>3</v>
      </c>
      <c r="AR238" t="inlineStr">
        <is>
          <t>Free Job Portal</t>
        </is>
      </c>
      <c r="AS238" t="inlineStr">
        <is>
          <t>- Headcount: 1
- Hiring Job Details: 1 Marketing Executive
- Hiring Urgency: Hiring Later
- Number of outlets: N/A
- Have recruiter team: No, but want in future
- Number of recruiter in company: 3
- Have ATS system: No, don't need at all
- Have career website: No, but want in future
- Current hiring budget: RM3,600
- Whole year budget: RM3,600.00
- Whole year number of vacancies: 3
- Hiring frequency: Once a year (25%)
- External job portal: Free Job Portal</t>
        </is>
      </c>
      <c r="AT238">
        <v>100</v>
      </c>
      <c r="AU238" t="inlineStr">
        <is>
          <t>1.00</t>
        </is>
      </c>
      <c r="AV238" t="inlineStr">
        <is>
          <t>15</t>
        </is>
      </c>
      <c r="AW238" t="inlineStr">
        <is>
          <t>0</t>
        </is>
      </c>
      <c r="AX238" t="inlineStr">
        <is>
          <t>Not Qualified</t>
        </is>
      </c>
      <c r="AY238" s="4"/>
      <c r="AZ238"/>
      <c r="BA238"/>
      <c r="BB238"/>
      <c r="BC238" t="inlineStr">
        <is>
          <t>- Headcount: 1
- Hiring Job Details: 1 Marketing Executive
- Hiring Urgency: Hiring Later
- Number of outlets: N/A
- Have recruiter team: No, but want in future
- Number of recruiter in company: 3
- Have ATS system: No, don't need at all
- Have career website: No, but want in future
- Current hiring budget: RM3,600
- Whole year budget: RM3,600.00
- Whole year number of vacancies: 3
- Hiring frequency: Once a year (25%)
- External job portal: Free Job Portal</t>
        </is>
      </c>
      <c r="BD238" s="4">
        <v>46142.625023148146</v>
      </c>
      <c r="BE238" t="inlineStr">
        <is>
          <t>paid</t>
        </is>
      </c>
      <c r="BF238"/>
      <c r="BG238" t="inlineStr">
        <is>
          <t>Reschedule</t>
        </is>
      </c>
      <c r="BH238" t="inlineStr">
        <is>
          <t>Edward Hoo</t>
        </is>
      </c>
      <c r="BI238" t="inlineStr">
        <is>
          <t>Retail / Merchandise</t>
        </is>
      </c>
      <c r="BJ238" s="4">
        <v>46144.75071759259</v>
      </c>
      <c r="BK238" s="4">
        <v>44516.54486111111</v>
      </c>
      <c r="BL238" t="inlineStr">
        <is>
          <t>0.0</t>
        </is>
      </c>
      <c r="BM238" t="inlineStr">
        <is>
          <t>0.0</t>
        </is>
      </c>
      <c r="BN238" t="inlineStr">
        <is>
          <t>PA Visit - Job Card</t>
        </is>
      </c>
      <c r="BO238" s="4">
        <v>45975.686261574076</v>
      </c>
      <c r="BP238">
        <v>169690</v>
      </c>
      <c r="BQ238">
        <v>5366</v>
      </c>
      <c r="BR238" t="inlineStr">
        <is>
          <t>Manual</t>
        </is>
      </c>
      <c r="BS238" t="inlineStr">
        <is>
          <t>Startup Package - Instant Job Slot (Upgrade Package)
- Startup Package for 1 Job Slot
- 1 Job Slot will be published on Maukerja, Ricebowl, Facebook, Google and Linkedin
- 1 Job Slot will be published for 12 months
- Reusable listing for 12 months
- 1 Instant Booster including 10 times bump up per month, 1 instant reach to up to 100 candidates per month
- Package valid for 12 months
*Client upgraded package from Standard (Job Ads) to Startup (Job Slot).</t>
        </is>
      </c>
      <c r="BT238">
        <v>74798</v>
      </c>
      <c r="BU238"/>
      <c r="BV238">
        <v>2737835</v>
      </c>
      <c r="BW238" t="inlineStr">
        <is>
          <t>Customer Inquiry</t>
        </is>
      </c>
      <c r="BX238"/>
      <c r="BY238"/>
      <c r="BZ238" s="4"/>
      <c r="CA238"/>
      <c r="CB238"/>
      <c r="CC238" s="4"/>
      <c r="CD238" t="inlineStr">
        <is>
          <t>20</t>
        </is>
      </c>
      <c r="CE238" t="inlineStr">
        <is>
          <t>0</t>
        </is>
      </c>
      <c r="CF238" t="inlineStr">
        <is>
          <t>Q2-W04</t>
        </is>
      </c>
      <c r="CG238"/>
      <c r="CH238"/>
      <c r="CI238"/>
      <c r="CJ238" t="inlineStr">
        <is>
          <t>Paid</t>
        </is>
      </c>
      <c r="CK238" t="inlineStr">
        <is>
          <t>Not Eligible</t>
        </is>
      </c>
      <c r="CL238"/>
      <c r="CM238"/>
    </row>
    <row r="239" ht="25.5" customHeight="1">
      <c r="A239" t="inlineStr">
        <is>
          <t>163613</t>
        </is>
      </c>
      <c r="B239" s="2"/>
      <c r="C239"/>
      <c r="D239" s="3">
        <v>46142.59069444444</v>
      </c>
      <c r="E239" t="inlineStr">
        <is>
          <t>Q2-W04</t>
        </is>
      </c>
      <c r="F239" t="inlineStr">
        <is>
          <t>Lucas</t>
        </is>
      </c>
      <c r="G239" t="inlineStr">
        <is>
          <t>Customer</t>
        </is>
      </c>
      <c r="H239" s="2" t="str">
        <f>=HYPERLINK("https://upbox.ajobthing.my/customer/163613", "https://upbox.ajobthing.my/customer/163613")</f>
        <v>https://upbox.ajobthing.my/customer/163613</v>
      </c>
      <c r="I239" t="inlineStr">
        <is>
          <t>Starkiss Food Corporation Sdn Bhd</t>
        </is>
      </c>
      <c r="J239" t="inlineStr">
        <is>
          <t>Dolphin</t>
        </is>
      </c>
      <c r="K239" t="inlineStr">
        <is>
          <t>Lucas</t>
        </is>
      </c>
      <c r="L239" s="4"/>
      <c r="M239" s="4">
        <v>46142.58893518519</v>
      </c>
      <c r="N239"/>
      <c r="O239">
        <v>3576.96</v>
      </c>
      <c r="P239" s="4"/>
      <c r="Q239" s="4">
        <v>45139.66804398148</v>
      </c>
      <c r="R239"/>
      <c r="S239">
        <v>2374.4</v>
      </c>
      <c r="T239" s="4">
        <v>45139.66804398148</v>
      </c>
      <c r="U239" s="4"/>
      <c r="V239"/>
      <c r="W239">
        <v>2374.4</v>
      </c>
      <c r="X239"/>
      <c r="Y239" t="inlineStr">
        <is>
          <t>Pending Appointment</t>
        </is>
      </c>
      <c r="Z239" t="inlineStr">
        <is>
          <t>Hiring Now</t>
        </is>
      </c>
      <c r="AA239">
        <v>1</v>
      </c>
      <c r="AB239" t="inlineStr">
        <is>
          <t>No Appointment Made</t>
        </is>
      </c>
      <c r="AC239"/>
      <c r="AD239" t="inlineStr">
        <is>
          <t>1 admin</t>
        </is>
      </c>
      <c r="AE239"/>
      <c r="AF239">
        <v>0</v>
      </c>
      <c r="AG239" s="4"/>
      <c r="AH239" s="4"/>
      <c r="AI239">
        <v>0</v>
      </c>
      <c r="AJ239">
        <v>0</v>
      </c>
      <c r="AK239" t="inlineStr">
        <is>
          <t>No, I don't need at all</t>
        </is>
      </c>
      <c r="AL239">
        <v>0</v>
      </c>
      <c r="AM239" t="inlineStr">
        <is>
          <t>No, I don't need at all</t>
        </is>
      </c>
      <c r="AN239"/>
      <c r="AO239" t="inlineStr">
        <is>
          <t>No, I don't need at all</t>
        </is>
      </c>
      <c r="AP239" t="inlineStr">
        <is>
          <t>Once a year (25%)</t>
        </is>
      </c>
      <c r="AQ239">
        <v>1</v>
      </c>
      <c r="AR239" t="inlineStr">
        <is>
          <t>Did not use any job portal</t>
        </is>
      </c>
      <c r="AS239"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239">
        <v>115</v>
      </c>
      <c r="AU239" t="inlineStr">
        <is>
          <t>1.15</t>
        </is>
      </c>
      <c r="AV239" t="inlineStr">
        <is>
          <t>15</t>
        </is>
      </c>
      <c r="AW239" t="inlineStr">
        <is>
          <t>0</t>
        </is>
      </c>
      <c r="AX239" t="inlineStr">
        <is>
          <t>Not Qualified</t>
        </is>
      </c>
      <c r="AY239" s="4"/>
      <c r="AZ239"/>
      <c r="BA239"/>
      <c r="BB239"/>
      <c r="BC239"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BD239" s="4">
        <v>46142.625023148146</v>
      </c>
      <c r="BE239" t="inlineStr">
        <is>
          <t>paid</t>
        </is>
      </c>
      <c r="BF239"/>
      <c r="BG239" t="inlineStr">
        <is>
          <t>Reschedule</t>
        </is>
      </c>
      <c r="BH239" t="inlineStr">
        <is>
          <t>Yee Hang</t>
        </is>
      </c>
      <c r="BI239" t="inlineStr">
        <is>
          <t>Food / Beverage</t>
        </is>
      </c>
      <c r="BJ239" s="4">
        <v>46144.7512037037</v>
      </c>
      <c r="BK239" s="4">
        <v>44936.67298611111</v>
      </c>
      <c r="BL239" t="inlineStr">
        <is>
          <t>0.0</t>
        </is>
      </c>
      <c r="BM239" t="inlineStr">
        <is>
          <t>0.0</t>
        </is>
      </c>
      <c r="BN239" t="inlineStr">
        <is>
          <t>View Jobmanager Page</t>
        </is>
      </c>
      <c r="BO239" s="4">
        <v>46004.69125</v>
      </c>
      <c r="BP239">
        <v>169687</v>
      </c>
      <c r="BQ239">
        <v>61000</v>
      </c>
      <c r="BR239" t="inlineStr">
        <is>
          <t>Online</t>
        </is>
      </c>
      <c r="BS239"/>
      <c r="BT239">
        <v>61000</v>
      </c>
      <c r="BU239"/>
      <c r="BV239">
        <v>2737836</v>
      </c>
      <c r="BW239" t="inlineStr">
        <is>
          <t>Customer Inquiry</t>
        </is>
      </c>
      <c r="BX239"/>
      <c r="BY239"/>
      <c r="BZ239" s="4"/>
      <c r="CA239"/>
      <c r="CB239"/>
      <c r="CC239" s="4"/>
      <c r="CD239" t="inlineStr">
        <is>
          <t>20</t>
        </is>
      </c>
      <c r="CE239" t="inlineStr">
        <is>
          <t>0</t>
        </is>
      </c>
      <c r="CF239" t="inlineStr">
        <is>
          <t>Q2-W04</t>
        </is>
      </c>
      <c r="CG239"/>
      <c r="CH239"/>
      <c r="CI239"/>
      <c r="CJ239" t="inlineStr">
        <is>
          <t>Paid</t>
        </is>
      </c>
      <c r="CK239" t="inlineStr">
        <is>
          <t>Not Eligible</t>
        </is>
      </c>
      <c r="CL239"/>
      <c r="CM239"/>
    </row>
    <row r="240" ht="25.5" customHeight="1">
      <c r="A240" t="inlineStr">
        <is>
          <t>203827</t>
        </is>
      </c>
      <c r="B240" s="2"/>
      <c r="C240"/>
      <c r="D240" s="3">
        <v>46142.59159722222</v>
      </c>
      <c r="E240" t="inlineStr">
        <is>
          <t>Q2-W04</t>
        </is>
      </c>
      <c r="F240" t="inlineStr">
        <is>
          <t>Clover</t>
        </is>
      </c>
      <c r="G240" t="inlineStr">
        <is>
          <t>Customer</t>
        </is>
      </c>
      <c r="H240" s="2" t="str">
        <f>=HYPERLINK("https://upbox.ajobthing.my/customer/203827", "https://upbox.ajobthing.my/customer/203827")</f>
        <v>https://upbox.ajobthing.my/customer/203827</v>
      </c>
      <c r="I240" t="inlineStr">
        <is>
          <t>Longi Solar Sdn bhd</t>
        </is>
      </c>
      <c r="J240" t="inlineStr">
        <is>
          <t>Dolphin</t>
        </is>
      </c>
      <c r="K240" t="inlineStr">
        <is>
          <t>Clover</t>
        </is>
      </c>
      <c r="L240" s="4"/>
      <c r="M240" s="4">
        <v>46142.58855324074</v>
      </c>
      <c r="N240"/>
      <c r="O240">
        <v>3576.96</v>
      </c>
      <c r="P240" s="4"/>
      <c r="Q240" s="4"/>
      <c r="R240"/>
      <c r="S240"/>
      <c r="T240" s="4"/>
      <c r="U240" s="4"/>
      <c r="V240"/>
      <c r="W240"/>
      <c r="X240"/>
      <c r="Y240" t="inlineStr">
        <is>
          <t>Pending Appointment</t>
        </is>
      </c>
      <c r="Z240" t="inlineStr">
        <is>
          <t>Hiring Now</t>
        </is>
      </c>
      <c r="AA240">
        <v>2</v>
      </c>
      <c r="AB240" t="inlineStr">
        <is>
          <t>No Appointment Made</t>
        </is>
      </c>
      <c r="AC240"/>
      <c r="AD240" t="inlineStr">
        <is>
          <t>Want to technician wireman x1-2, fresh grads, chi/malay, depends on contract, 2 branch kl / ipoh, share stand, 1s time</t>
        </is>
      </c>
      <c r="AE240"/>
      <c r="AF240">
        <v>3000</v>
      </c>
      <c r="AG240" s="4"/>
      <c r="AH240" s="4"/>
      <c r="AI240">
        <v>3000</v>
      </c>
      <c r="AJ240">
        <v>1</v>
      </c>
      <c r="AK240" t="inlineStr">
        <is>
          <t>No, but I want in future</t>
        </is>
      </c>
      <c r="AL240">
        <v>1</v>
      </c>
      <c r="AM240" t="inlineStr">
        <is>
          <t>No, but I want in future</t>
        </is>
      </c>
      <c r="AN240"/>
      <c r="AO240" t="inlineStr">
        <is>
          <t>No, but I want in future</t>
        </is>
      </c>
      <c r="AP240" t="inlineStr">
        <is>
          <t>Twice a year (50%)</t>
        </is>
      </c>
      <c r="AQ240">
        <v>2</v>
      </c>
      <c r="AR240" t="inlineStr">
        <is>
          <t>Did not use any job portal</t>
        </is>
      </c>
      <c r="AS240" t="inlineStr">
        <is>
          <t>- Headcount: 2
- Hiring Job Details: Want 1-2 technician wiremen (fresh grads, Chinese/Malay, contract-dependent), 2 branches (KL/IPOH), share stand, one-time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40">
        <v>110</v>
      </c>
      <c r="AU240" t="inlineStr">
        <is>
          <t>1.10</t>
        </is>
      </c>
      <c r="AV240" t="inlineStr">
        <is>
          <t>15</t>
        </is>
      </c>
      <c r="AW240" t="inlineStr">
        <is>
          <t>0</t>
        </is>
      </c>
      <c r="AX240" t="inlineStr">
        <is>
          <t>Not Qualified</t>
        </is>
      </c>
      <c r="AY240" s="4"/>
      <c r="AZ240"/>
      <c r="BA240"/>
      <c r="BB240"/>
      <c r="BC240" t="inlineStr">
        <is>
          <t>- Headcount: 2
- Hiring Job Details: Want 1-2 technician wiremen (fresh grads, Chinese/Malay, contract-dependent), 2 branches (KL/IPOH), share stand, one-time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BD240" s="4">
        <v>46142.625023148146</v>
      </c>
      <c r="BE240"/>
      <c r="BF240"/>
      <c r="BG240" t="inlineStr">
        <is>
          <t>Reschedule</t>
        </is>
      </c>
      <c r="BH240" t="inlineStr">
        <is>
          <t>Reagen</t>
        </is>
      </c>
      <c r="BI240"/>
      <c r="BJ240" s="4">
        <v>46144.7544212963</v>
      </c>
      <c r="BK240" s="4">
        <v>46142.48607638889</v>
      </c>
      <c r="BL240" t="inlineStr">
        <is>
          <t>0.0</t>
        </is>
      </c>
      <c r="BM240" t="inlineStr">
        <is>
          <t>0.0</t>
        </is>
      </c>
      <c r="BN240"/>
      <c r="BO240" s="4"/>
      <c r="BP240">
        <v>169685</v>
      </c>
      <c r="BQ240"/>
      <c r="BR240"/>
      <c r="BS240"/>
      <c r="BT240"/>
      <c r="BU240"/>
      <c r="BV240">
        <v>2737837</v>
      </c>
      <c r="BW240" t="inlineStr">
        <is>
          <t>Customer Inquiry</t>
        </is>
      </c>
      <c r="BX240"/>
      <c r="BY240"/>
      <c r="BZ240" s="4"/>
      <c r="CA240"/>
      <c r="CB240"/>
      <c r="CC240" s="4"/>
      <c r="CD240" t="inlineStr">
        <is>
          <t>20</t>
        </is>
      </c>
      <c r="CE240" t="inlineStr">
        <is>
          <t>0</t>
        </is>
      </c>
      <c r="CF240" t="inlineStr">
        <is>
          <t>Q2-W04</t>
        </is>
      </c>
      <c r="CG240"/>
      <c r="CH240"/>
      <c r="CI240"/>
      <c r="CJ240" t="inlineStr">
        <is>
          <t>No Paid</t>
        </is>
      </c>
      <c r="CK240" t="inlineStr">
        <is>
          <t>Not Eligible</t>
        </is>
      </c>
      <c r="CL240"/>
      <c r="CM240"/>
    </row>
    <row r="241" ht="25.5" customHeight="1">
      <c r="A241" t="inlineStr">
        <is>
          <t>4335054</t>
        </is>
      </c>
      <c r="B241" s="2"/>
      <c r="C241"/>
      <c r="D241" s="3">
        <v>46142.59395833333</v>
      </c>
      <c r="E241" t="inlineStr">
        <is>
          <t>Q2-W04</t>
        </is>
      </c>
      <c r="F241" t="inlineStr">
        <is>
          <t>Jess</t>
        </is>
      </c>
      <c r="G241" t="inlineStr">
        <is>
          <t>Lead</t>
        </is>
      </c>
      <c r="H241" s="2" t="str">
        <f>=HYPERLINK("https://upbox.ajobthing.my/leads/4335054", "https://upbox.ajobthing.my/leads/4335054")</f>
        <v>https://upbox.ajobthing.my/leads/4335054</v>
      </c>
      <c r="I241" t="inlineStr">
        <is>
          <t>LPGS Enterprise (M) Sdn Bhd</t>
        </is>
      </c>
      <c r="J241" t="inlineStr">
        <is>
          <t>Dolphin</t>
        </is>
      </c>
      <c r="K241" t="inlineStr">
        <is>
          <t>Jess Lim</t>
        </is>
      </c>
      <c r="L241" s="4"/>
      <c r="M241" s="4">
        <v>46142.56637731481</v>
      </c>
      <c r="N241"/>
      <c r="O241">
        <v>3576.96</v>
      </c>
      <c r="P241" s="4"/>
      <c r="Q241" s="4"/>
      <c r="R241"/>
      <c r="S241"/>
      <c r="T241" s="4"/>
      <c r="U241" s="4"/>
      <c r="V241"/>
      <c r="W241"/>
      <c r="X241"/>
      <c r="Y241" t="inlineStr">
        <is>
          <t>Pending Appointment</t>
        </is>
      </c>
      <c r="Z241" t="inlineStr">
        <is>
          <t>Hiring Now</t>
        </is>
      </c>
      <c r="AA241">
        <v>1</v>
      </c>
      <c r="AB241" t="inlineStr">
        <is>
          <t>No Appointment Made</t>
        </is>
      </c>
      <c r="AC241"/>
      <c r="AD241" t="inlineStr">
        <is>
          <t>senio account 1</t>
        </is>
      </c>
      <c r="AE241"/>
      <c r="AF241">
        <v>1200</v>
      </c>
      <c r="AG241" s="4"/>
      <c r="AH241" s="4"/>
      <c r="AI241"/>
      <c r="AJ241">
        <v>1</v>
      </c>
      <c r="AK241" t="inlineStr">
        <is>
          <t>No, I don't need at all</t>
        </is>
      </c>
      <c r="AL241">
        <v>1</v>
      </c>
      <c r="AM241" t="inlineStr">
        <is>
          <t>No, I don't need at all</t>
        </is>
      </c>
      <c r="AN241"/>
      <c r="AO241" t="inlineStr">
        <is>
          <t>No, I don't need at all</t>
        </is>
      </c>
      <c r="AP241" t="inlineStr">
        <is>
          <t>Once a year (25%)</t>
        </is>
      </c>
      <c r="AQ241"/>
      <c r="AR241" t="inlineStr">
        <is>
          <t>Jobstreet</t>
        </is>
      </c>
      <c r="AS241" t="inlineStr">
        <is>
          <t>- Headcount: 1
- Hiring Job Details: 1 senior account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is>
      </c>
      <c r="AT241">
        <v>105</v>
      </c>
      <c r="AU241" t="inlineStr">
        <is>
          <t>1.05</t>
        </is>
      </c>
      <c r="AV241" t="inlineStr">
        <is>
          <t>15</t>
        </is>
      </c>
      <c r="AW241" t="inlineStr">
        <is>
          <t>0</t>
        </is>
      </c>
      <c r="AX241" t="inlineStr">
        <is>
          <t>Not Qualified</t>
        </is>
      </c>
      <c r="AY241" s="4"/>
      <c r="AZ241"/>
      <c r="BA241"/>
      <c r="BB241"/>
      <c r="BC241"/>
      <c r="BD241" s="4"/>
      <c r="BE241"/>
      <c r="BF241"/>
      <c r="BG241" t="inlineStr">
        <is>
          <t>Reschedule</t>
        </is>
      </c>
      <c r="BH241" t="inlineStr">
        <is>
          <t>Fauziah Maharan</t>
        </is>
      </c>
      <c r="BI241"/>
      <c r="BJ241" s="4">
        <v>46144.755949074075</v>
      </c>
      <c r="BK241" s="4">
        <v>46142.43858796296</v>
      </c>
      <c r="BL241" t="inlineStr">
        <is>
          <t>0.0</t>
        </is>
      </c>
      <c r="BM241" t="inlineStr">
        <is>
          <t>1950.0</t>
        </is>
      </c>
      <c r="BN241"/>
      <c r="BO241" s="4"/>
      <c r="BP241">
        <v>169678</v>
      </c>
      <c r="BQ241"/>
      <c r="BR241"/>
      <c r="BS241"/>
      <c r="BT241"/>
      <c r="BU241"/>
      <c r="BV241"/>
      <c r="BW241"/>
      <c r="BX241"/>
      <c r="BY241"/>
      <c r="BZ241" s="4"/>
      <c r="CA241"/>
      <c r="CB241"/>
      <c r="CC241" s="4"/>
      <c r="CD241" t="inlineStr">
        <is>
          <t>20</t>
        </is>
      </c>
      <c r="CE241" t="inlineStr">
        <is>
          <t>0</t>
        </is>
      </c>
      <c r="CF241" t="inlineStr">
        <is>
          <t>Q2-W04</t>
        </is>
      </c>
      <c r="CG241"/>
      <c r="CH241"/>
      <c r="CI241"/>
      <c r="CJ241" t="inlineStr">
        <is>
          <t>No Paid</t>
        </is>
      </c>
      <c r="CK241" t="inlineStr">
        <is>
          <t>Not Eligible</t>
        </is>
      </c>
      <c r="CL241"/>
      <c r="CM241"/>
    </row>
    <row r="242" ht="25.5" customHeight="1">
      <c r="A242" t="inlineStr">
        <is>
          <t>186013</t>
        </is>
      </c>
      <c r="B242" s="2"/>
      <c r="C242"/>
      <c r="D242" s="3">
        <v>46142.598715277774</v>
      </c>
      <c r="E242" t="inlineStr">
        <is>
          <t>Q2-W04</t>
        </is>
      </c>
      <c r="F242" t="inlineStr">
        <is>
          <t>Fariz</t>
        </is>
      </c>
      <c r="G242" t="inlineStr">
        <is>
          <t>Customer</t>
        </is>
      </c>
      <c r="H242" s="2" t="str">
        <f>=HYPERLINK("https://upbox.ajobthing.my/customer/186013", "https://upbox.ajobthing.my/customer/186013")</f>
        <v>https://upbox.ajobthing.my/customer/186013</v>
      </c>
      <c r="I242" t="inlineStr">
        <is>
          <t>Aisy Nuha Ventures Sdn. Bhd.</t>
        </is>
      </c>
      <c r="J242" t="inlineStr">
        <is>
          <t>Dolphin</t>
        </is>
      </c>
      <c r="K242" t="inlineStr">
        <is>
          <t>Fariz</t>
        </is>
      </c>
      <c r="L242" s="4"/>
      <c r="M242" s="4">
        <v>46142.59887731481</v>
      </c>
      <c r="N242"/>
      <c r="O242">
        <v>3888</v>
      </c>
      <c r="P242" s="4"/>
      <c r="Q242" s="4">
        <v>45646.58788194445</v>
      </c>
      <c r="R242"/>
      <c r="S242">
        <v>1080</v>
      </c>
      <c r="T242" s="4">
        <v>45646.58788194445</v>
      </c>
      <c r="U242" s="4"/>
      <c r="V242"/>
      <c r="W242">
        <v>1080</v>
      </c>
      <c r="X242"/>
      <c r="Y242" t="inlineStr">
        <is>
          <t>Pending Appointment</t>
        </is>
      </c>
      <c r="Z242" t="inlineStr">
        <is>
          <t>Hiring Later</t>
        </is>
      </c>
      <c r="AA242">
        <v>1</v>
      </c>
      <c r="AB242" t="inlineStr">
        <is>
          <t>No Appointment Made</t>
        </is>
      </c>
      <c r="AC242"/>
      <c r="AD242" t="inlineStr">
        <is>
          <t>1 waiter/fnb</t>
        </is>
      </c>
      <c r="AE242"/>
      <c r="AF242">
        <v>3600</v>
      </c>
      <c r="AG242" s="4"/>
      <c r="AH242" s="4"/>
      <c r="AI242">
        <v>3600</v>
      </c>
      <c r="AJ242"/>
      <c r="AK242" t="inlineStr">
        <is>
          <t>No, but I want in future</t>
        </is>
      </c>
      <c r="AL242">
        <v>1</v>
      </c>
      <c r="AM242" t="inlineStr">
        <is>
          <t>No, I don't need at all</t>
        </is>
      </c>
      <c r="AN242"/>
      <c r="AO242" t="inlineStr">
        <is>
          <t>No, I don't need at all</t>
        </is>
      </c>
      <c r="AP242" t="inlineStr">
        <is>
          <t>Once a year (25%)</t>
        </is>
      </c>
      <c r="AQ242">
        <v>2</v>
      </c>
      <c r="AR242" t="inlineStr">
        <is>
          <t>Did not use any job portal</t>
        </is>
      </c>
      <c r="AS242" t="inlineStr">
        <is>
          <t>- Headcount: 1
- Hiring Job Details: 1 waiter/fnb
- Hiring Urgency: Hiring Later
- Number of outlets: None
- Have recruiter team: No, but want in future
- Number of recruiter in company: 1
- Have ATS system: No, don't need at all
- Have career website: No, don't need at all
- Current hiring budget: RM3,600
- Whole year budget: RM3,600.00
- Whole year number of vacancies: 2
- Hiring frequency: Once a year (25%)
- External job portal: Did not use any</t>
        </is>
      </c>
      <c r="AT242">
        <v>100</v>
      </c>
      <c r="AU242" t="inlineStr">
        <is>
          <t>1.00</t>
        </is>
      </c>
      <c r="AV242" t="inlineStr">
        <is>
          <t>15</t>
        </is>
      </c>
      <c r="AW242" t="inlineStr">
        <is>
          <t>0</t>
        </is>
      </c>
      <c r="AX242" t="inlineStr">
        <is>
          <t>Not Qualified</t>
        </is>
      </c>
      <c r="AY242" s="4"/>
      <c r="AZ242"/>
      <c r="BA242"/>
      <c r="BB242"/>
      <c r="BC242" t="inlineStr">
        <is>
          <t>- Headcount: 1
- Hiring Job Details: 1 waiter/fnb
- Hiring Urgency: Hiring Later
- Number of outlets: None
- Have recruiter team: No, but want in future
- Number of recruiter in company: 1
- Have ATS system: No, don't need at all
- Have career website: No, don't need at all
- Current hiring budget: RM3,600
- Whole year budget: RM3,600.00
- Whole year number of vacancies: 2
- Hiring frequency: Once a year (25%)
- External job portal: Did not use any</t>
        </is>
      </c>
      <c r="BD242" s="4">
        <v>46142.625023148146</v>
      </c>
      <c r="BE242" t="inlineStr">
        <is>
          <t>paid</t>
        </is>
      </c>
      <c r="BF242"/>
      <c r="BG242" t="inlineStr">
        <is>
          <t>Reschedule</t>
        </is>
      </c>
      <c r="BH242" t="inlineStr">
        <is>
          <t>Edward Hoo</t>
        </is>
      </c>
      <c r="BI242" t="inlineStr">
        <is>
          <t>Food / Beverage</t>
        </is>
      </c>
      <c r="BJ242" s="4">
        <v>46144.75209490741</v>
      </c>
      <c r="BK242" s="4">
        <v>45646.45851851852</v>
      </c>
      <c r="BL242" t="inlineStr">
        <is>
          <t>0.0</t>
        </is>
      </c>
      <c r="BM242" t="inlineStr">
        <is>
          <t>0.0</t>
        </is>
      </c>
      <c r="BN242" t="inlineStr">
        <is>
          <t>View Create Job Page</t>
        </is>
      </c>
      <c r="BO242" s="4">
        <v>45707.10277777778</v>
      </c>
      <c r="BP242">
        <v>169692</v>
      </c>
      <c r="BQ242">
        <v>75544</v>
      </c>
      <c r="BR242" t="inlineStr">
        <is>
          <t>Online</t>
        </is>
      </c>
      <c r="BS242"/>
      <c r="BT242">
        <v>75544</v>
      </c>
      <c r="BU242"/>
      <c r="BV242">
        <v>2737840</v>
      </c>
      <c r="BW242" t="inlineStr">
        <is>
          <t>Customer Inquiry</t>
        </is>
      </c>
      <c r="BX242"/>
      <c r="BY242"/>
      <c r="BZ242" s="4"/>
      <c r="CA242"/>
      <c r="CB242"/>
      <c r="CC242" s="4"/>
      <c r="CD242" t="inlineStr">
        <is>
          <t>20</t>
        </is>
      </c>
      <c r="CE242" t="inlineStr">
        <is>
          <t>0</t>
        </is>
      </c>
      <c r="CF242" t="inlineStr">
        <is>
          <t>Q2-W04</t>
        </is>
      </c>
      <c r="CG242"/>
      <c r="CH242"/>
      <c r="CI242"/>
      <c r="CJ242" t="inlineStr">
        <is>
          <t>Paid</t>
        </is>
      </c>
      <c r="CK242" t="inlineStr">
        <is>
          <t>Not Eligible</t>
        </is>
      </c>
      <c r="CL242"/>
      <c r="CM242"/>
    </row>
    <row r="243" ht="25.5" customHeight="1">
      <c r="A243" t="inlineStr">
        <is>
          <t>181791</t>
        </is>
      </c>
      <c r="B243" s="2"/>
      <c r="C243"/>
      <c r="D243" s="3">
        <v>46142.61243055556</v>
      </c>
      <c r="E243" t="inlineStr">
        <is>
          <t>Q2-W04</t>
        </is>
      </c>
      <c r="F243" t="inlineStr">
        <is>
          <t>Fariz</t>
        </is>
      </c>
      <c r="G243" t="inlineStr">
        <is>
          <t>Customer</t>
        </is>
      </c>
      <c r="H243" s="2" t="str">
        <f>=HYPERLINK("https://upbox.ajobthing.my/customer/181791", "https://upbox.ajobthing.my/customer/181791")</f>
        <v>https://upbox.ajobthing.my/customer/181791</v>
      </c>
      <c r="I243" t="inlineStr">
        <is>
          <t>Imejz Enterprise</t>
        </is>
      </c>
      <c r="J243" t="inlineStr">
        <is>
          <t>Dolphin</t>
        </is>
      </c>
      <c r="K243" t="inlineStr">
        <is>
          <t>Fariz</t>
        </is>
      </c>
      <c r="L243" s="4"/>
      <c r="M243" s="4">
        <v>46142.612662037034</v>
      </c>
      <c r="N243"/>
      <c r="O243">
        <v>3888</v>
      </c>
      <c r="P243" s="4"/>
      <c r="Q243" s="4">
        <v>45667.587905092594</v>
      </c>
      <c r="R243"/>
      <c r="S243">
        <v>1188</v>
      </c>
      <c r="T243" s="4">
        <v>45667.587905092594</v>
      </c>
      <c r="U243" s="4"/>
      <c r="V243"/>
      <c r="W243">
        <v>1188</v>
      </c>
      <c r="X243"/>
      <c r="Y243" t="inlineStr">
        <is>
          <t>Pending Appointment</t>
        </is>
      </c>
      <c r="Z243" t="inlineStr">
        <is>
          <t>Hiring Later</t>
        </is>
      </c>
      <c r="AA243">
        <v>2</v>
      </c>
      <c r="AB243" t="inlineStr">
        <is>
          <t>No Appointment Made</t>
        </is>
      </c>
      <c r="AC243"/>
      <c r="AD243" t="inlineStr">
        <is>
          <t>1 account 1 admin</t>
        </is>
      </c>
      <c r="AE243"/>
      <c r="AF243">
        <v>3600</v>
      </c>
      <c r="AG243" s="4"/>
      <c r="AH243" s="4"/>
      <c r="AI243">
        <v>3600</v>
      </c>
      <c r="AJ243"/>
      <c r="AK243" t="inlineStr">
        <is>
          <t>No, I don't need at all</t>
        </is>
      </c>
      <c r="AL243">
        <v>1</v>
      </c>
      <c r="AM243" t="inlineStr">
        <is>
          <t>No, I don't need at all</t>
        </is>
      </c>
      <c r="AN243"/>
      <c r="AO243" t="inlineStr">
        <is>
          <t>No, I don't need at all</t>
        </is>
      </c>
      <c r="AP243" t="inlineStr">
        <is>
          <t>Once a year (25%)</t>
        </is>
      </c>
      <c r="AQ243">
        <v>3</v>
      </c>
      <c r="AR243" t="inlineStr">
        <is>
          <t>Did not use any job portal</t>
        </is>
      </c>
      <c r="AS243" t="inlineStr">
        <is>
          <t>- Headcount: 2
- Hiring Job Details: 1 account, 1 admin
- Number of outlets: Not provided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Did not use any job portal
- Hiring Urgency: Hiring Later</t>
        </is>
      </c>
      <c r="AT243">
        <v>85</v>
      </c>
      <c r="AU243" t="inlineStr">
        <is>
          <t>0.85</t>
        </is>
      </c>
      <c r="AV243" t="inlineStr">
        <is>
          <t>15</t>
        </is>
      </c>
      <c r="AW243" t="inlineStr">
        <is>
          <t>0</t>
        </is>
      </c>
      <c r="AX243" t="inlineStr">
        <is>
          <t>Not Qualified</t>
        </is>
      </c>
      <c r="AY243" s="4"/>
      <c r="AZ243"/>
      <c r="BA243"/>
      <c r="BB243"/>
      <c r="BC243" t="inlineStr">
        <is>
          <t>- Headcount: 2
- Hiring Job Details: 1 account, 1 admin
- Number of outlets: Not provided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Did not use any job portal
- Hiring Urgency: Hiring Later</t>
        </is>
      </c>
      <c r="BD243" s="4">
        <v>46142.62503472222</v>
      </c>
      <c r="BE243" t="inlineStr">
        <is>
          <t>paid</t>
        </is>
      </c>
      <c r="BF243"/>
      <c r="BG243" t="inlineStr">
        <is>
          <t>Reschedule</t>
        </is>
      </c>
      <c r="BH243" t="inlineStr">
        <is>
          <t>Edward Hoo</t>
        </is>
      </c>
      <c r="BI243"/>
      <c r="BJ243" s="4">
        <v>46144.75188657407</v>
      </c>
      <c r="BK243" s="4">
        <v>45523.674166666664</v>
      </c>
      <c r="BL243" t="inlineStr">
        <is>
          <t>0.0</t>
        </is>
      </c>
      <c r="BM243" t="inlineStr">
        <is>
          <t>0.0</t>
        </is>
      </c>
      <c r="BN243" t="inlineStr">
        <is>
          <t>View Candidate Search Page</t>
        </is>
      </c>
      <c r="BO243" s="4">
        <v>45685.71871527778</v>
      </c>
      <c r="BP243">
        <v>169702</v>
      </c>
      <c r="BQ243">
        <v>76023</v>
      </c>
      <c r="BR243" t="inlineStr">
        <is>
          <t>Online</t>
        </is>
      </c>
      <c r="BS243"/>
      <c r="BT243">
        <v>76023</v>
      </c>
      <c r="BU243"/>
      <c r="BV243">
        <v>2737847</v>
      </c>
      <c r="BW243" t="inlineStr">
        <is>
          <t>Customer Inquiry</t>
        </is>
      </c>
      <c r="BX243"/>
      <c r="BY243"/>
      <c r="BZ243" s="4"/>
      <c r="CA243"/>
      <c r="CB243"/>
      <c r="CC243" s="4"/>
      <c r="CD243" t="inlineStr">
        <is>
          <t>20</t>
        </is>
      </c>
      <c r="CE243" t="inlineStr">
        <is>
          <t>0</t>
        </is>
      </c>
      <c r="CF243" t="inlineStr">
        <is>
          <t>Q2-W04</t>
        </is>
      </c>
      <c r="CG243"/>
      <c r="CH243"/>
      <c r="CI243"/>
      <c r="CJ243" t="inlineStr">
        <is>
          <t>Paid</t>
        </is>
      </c>
      <c r="CK243" t="inlineStr">
        <is>
          <t>Not Eligible</t>
        </is>
      </c>
      <c r="CL243"/>
      <c r="CM243"/>
    </row>
    <row r="244" ht="25.5" customHeight="1">
      <c r="A244" t="inlineStr">
        <is>
          <t>176879</t>
        </is>
      </c>
      <c r="B244" s="2"/>
      <c r="C244"/>
      <c r="D244" s="3">
        <v>46142.61454861111</v>
      </c>
      <c r="E244" t="inlineStr">
        <is>
          <t>Q2-W04</t>
        </is>
      </c>
      <c r="F244" t="inlineStr">
        <is>
          <t>Derek Lim</t>
        </is>
      </c>
      <c r="G244" t="inlineStr">
        <is>
          <t>Customer</t>
        </is>
      </c>
      <c r="H244" s="2" t="str">
        <f>=HYPERLINK("https://upbox.ajobthing.my/customer/176879", "https://upbox.ajobthing.my/customer/176879")</f>
        <v>https://upbox.ajobthing.my/customer/176879</v>
      </c>
      <c r="I244" t="inlineStr">
        <is>
          <t>Board Ply Trading Sdn Bhd</t>
        </is>
      </c>
      <c r="J244" t="inlineStr">
        <is>
          <t>Dolphin</t>
        </is>
      </c>
      <c r="K244" t="inlineStr">
        <is>
          <t>Derek Lim</t>
        </is>
      </c>
      <c r="L244" s="4"/>
      <c r="M244" s="4">
        <v>46142.61494212963</v>
      </c>
      <c r="N244"/>
      <c r="O244">
        <v>3576.96</v>
      </c>
      <c r="P244" s="4"/>
      <c r="Q244" s="4">
        <v>45482.42563657407</v>
      </c>
      <c r="R244"/>
      <c r="S244">
        <v>1944</v>
      </c>
      <c r="T244" s="4">
        <v>45482</v>
      </c>
      <c r="U244" s="4"/>
      <c r="V244"/>
      <c r="W244">
        <v>1944</v>
      </c>
      <c r="X244"/>
      <c r="Y244" t="inlineStr">
        <is>
          <t>Pending Appointment</t>
        </is>
      </c>
      <c r="Z244" t="inlineStr">
        <is>
          <t>Hiring Now</t>
        </is>
      </c>
      <c r="AA244">
        <v>3</v>
      </c>
      <c r="AB244" t="inlineStr">
        <is>
          <t>No Appointment Made</t>
        </is>
      </c>
      <c r="AC244"/>
      <c r="AD244" t="inlineStr">
        <is>
          <t>Sales executive - 1, admin - 1, carpenter - 1</t>
        </is>
      </c>
      <c r="AE244"/>
      <c r="AF244">
        <v>2000</v>
      </c>
      <c r="AG244" s="4"/>
      <c r="AH244" s="4"/>
      <c r="AI244">
        <v>2000</v>
      </c>
      <c r="AJ244">
        <v>1</v>
      </c>
      <c r="AK244" t="inlineStr">
        <is>
          <t>No, I don't need at all</t>
        </is>
      </c>
      <c r="AL244">
        <v>0</v>
      </c>
      <c r="AM244" t="inlineStr">
        <is>
          <t>No, I don't need at all</t>
        </is>
      </c>
      <c r="AN244"/>
      <c r="AO244" t="inlineStr">
        <is>
          <t>No, I don't need at all</t>
        </is>
      </c>
      <c r="AP244" t="inlineStr">
        <is>
          <t>Once a year (25%)</t>
        </is>
      </c>
      <c r="AQ244">
        <v>3</v>
      </c>
      <c r="AR244" t="inlineStr">
        <is>
          <t>Free Job Portal</t>
        </is>
      </c>
      <c r="AS244" t="inlineStr">
        <is>
          <t>- Headcount: 3
- Hiring Job Details: 1 sales executive, 1 admin, 1 carpenter
- Hiring Urgency: Hiring Now
- Number of outlets: 1
- Have recruiter team: No, I don't need at all
- Number of recruiter in company: 0
- Have ATS system: No, I don't need at all
- Have career website: No, I don't need at all
- Current hiring budget: RM2,000
- Whole year budget: RM2,000.00
- Whole year number of vacancies: 3
- Hiring frequency: Once a year (25%)
- External job portal: Free Job Portal</t>
        </is>
      </c>
      <c r="AT244">
        <v>115</v>
      </c>
      <c r="AU244" t="inlineStr">
        <is>
          <t>1.15</t>
        </is>
      </c>
      <c r="AV244" t="inlineStr">
        <is>
          <t>15</t>
        </is>
      </c>
      <c r="AW244" t="inlineStr">
        <is>
          <t>0</t>
        </is>
      </c>
      <c r="AX244" t="inlineStr">
        <is>
          <t>Not Qualified</t>
        </is>
      </c>
      <c r="AY244" s="4"/>
      <c r="AZ244"/>
      <c r="BA244"/>
      <c r="BB244"/>
      <c r="BC244" t="inlineStr">
        <is>
          <t>- Headcount: 3
- Hiring Job Details: 1 sales executive, 1 admin, 1 carpenter
- Hiring Urgency: Hiring Now
- Number of outlets: 1
- Have recruiter team: No, I don't need at all
- Number of recruiter in company: 0
- Have ATS system: No, I don't need at all
- Have career website: No, I don't need at all
- Current hiring budget: RM2,000
- Whole year budget: RM2,000.00
- Whole year number of vacancies: 3
- Hiring frequency: Once a year (25%)
- External job portal: Free Job Portal</t>
        </is>
      </c>
      <c r="BD244" s="4">
        <v>46142.62503472222</v>
      </c>
      <c r="BE244" t="inlineStr">
        <is>
          <t>paid</t>
        </is>
      </c>
      <c r="BF244"/>
      <c r="BG244" t="inlineStr">
        <is>
          <t>Reschedule</t>
        </is>
      </c>
      <c r="BH244" t="inlineStr">
        <is>
          <t>Edward Hoo</t>
        </is>
      </c>
      <c r="BI244" t="inlineStr">
        <is>
          <t>Wood / Fibre / Paper</t>
        </is>
      </c>
      <c r="BJ244" s="4">
        <v>46144.751655092594</v>
      </c>
      <c r="BK244" s="4">
        <v>45380.38715277778</v>
      </c>
      <c r="BL244" t="inlineStr">
        <is>
          <t>0.0</t>
        </is>
      </c>
      <c r="BM244" t="inlineStr">
        <is>
          <t>600.0</t>
        </is>
      </c>
      <c r="BN244" t="inlineStr">
        <is>
          <t>View Jobmanager Page</t>
        </is>
      </c>
      <c r="BO244" s="4">
        <v>45708.906875</v>
      </c>
      <c r="BP244">
        <v>169704</v>
      </c>
      <c r="BQ244">
        <v>92405</v>
      </c>
      <c r="BR244" t="inlineStr">
        <is>
          <t>Proforma</t>
        </is>
      </c>
      <c r="BS244" t="inlineStr">
        <is>
          <t>Standard Package</t>
        </is>
      </c>
      <c r="BT244">
        <v>70876</v>
      </c>
      <c r="BU244"/>
      <c r="BV244">
        <v>2737850</v>
      </c>
      <c r="BW244" t="inlineStr">
        <is>
          <t>Customer Inquiry</t>
        </is>
      </c>
      <c r="BX244"/>
      <c r="BY244"/>
      <c r="BZ244" s="4"/>
      <c r="CA244"/>
      <c r="CB244"/>
      <c r="CC244" s="4"/>
      <c r="CD244" t="inlineStr">
        <is>
          <t>20</t>
        </is>
      </c>
      <c r="CE244" t="inlineStr">
        <is>
          <t>0</t>
        </is>
      </c>
      <c r="CF244" t="inlineStr">
        <is>
          <t>Q2-W04</t>
        </is>
      </c>
      <c r="CG244"/>
      <c r="CH244"/>
      <c r="CI244"/>
      <c r="CJ244" t="inlineStr">
        <is>
          <t>Paid</t>
        </is>
      </c>
      <c r="CK244" t="inlineStr">
        <is>
          <t>Not Eligible</t>
        </is>
      </c>
      <c r="CL244"/>
      <c r="CM244"/>
    </row>
    <row r="245" ht="25.5" customHeight="1">
      <c r="A245" t="inlineStr">
        <is>
          <t>198957</t>
        </is>
      </c>
      <c r="B245" s="2"/>
      <c r="C245"/>
      <c r="D245" s="3">
        <v>46142.6228587963</v>
      </c>
      <c r="E245" t="inlineStr">
        <is>
          <t>Q2-W04</t>
        </is>
      </c>
      <c r="F245" t="inlineStr">
        <is>
          <t>Dickson</t>
        </is>
      </c>
      <c r="G245" t="inlineStr">
        <is>
          <t>Customer</t>
        </is>
      </c>
      <c r="H245" s="2" t="str">
        <f>=HYPERLINK("https://upbox.ajobthing.my/customer/198957", "https://upbox.ajobthing.my/customer/198957")</f>
        <v>https://upbox.ajobthing.my/customer/198957</v>
      </c>
      <c r="I245" t="inlineStr">
        <is>
          <t>The Autumn Travel Sdn Bhd</t>
        </is>
      </c>
      <c r="J245" t="inlineStr">
        <is>
          <t>Dolphin</t>
        </is>
      </c>
      <c r="K245" t="inlineStr">
        <is>
          <t>Dickson</t>
        </is>
      </c>
      <c r="L245" s="4"/>
      <c r="M245" s="4">
        <v>46142.62296296296</v>
      </c>
      <c r="N245"/>
      <c r="O245">
        <v>1296</v>
      </c>
      <c r="P245" s="4"/>
      <c r="Q245" s="4"/>
      <c r="R245"/>
      <c r="S245"/>
      <c r="T245" s="4"/>
      <c r="U245" s="4"/>
      <c r="V245"/>
      <c r="W245"/>
      <c r="X245"/>
      <c r="Y245" t="inlineStr">
        <is>
          <t>Pending Appointment</t>
        </is>
      </c>
      <c r="Z245" t="inlineStr">
        <is>
          <t>Hiring Now</t>
        </is>
      </c>
      <c r="AA245">
        <v>1</v>
      </c>
      <c r="AB245" t="inlineStr">
        <is>
          <t>No Appointment Made</t>
        </is>
      </c>
      <c r="AC245"/>
      <c r="AD245" t="inlineStr">
        <is>
          <t>1 tour operation executive</t>
        </is>
      </c>
      <c r="AE245"/>
      <c r="AF245"/>
      <c r="AG245" s="4"/>
      <c r="AH245" s="4"/>
      <c r="AI245"/>
      <c r="AJ245">
        <v>1</v>
      </c>
      <c r="AK245" t="inlineStr">
        <is>
          <t>No, I don't need at all</t>
        </is>
      </c>
      <c r="AL245"/>
      <c r="AM245" t="inlineStr">
        <is>
          <t>No, I don't need at all</t>
        </is>
      </c>
      <c r="AN245"/>
      <c r="AO245" t="inlineStr">
        <is>
          <t>No, I don't need at all</t>
        </is>
      </c>
      <c r="AP245" t="inlineStr">
        <is>
          <t>Once per quarter (75%)</t>
        </is>
      </c>
      <c r="AQ245"/>
      <c r="AR245"/>
      <c r="AS245" t="inlineStr">
        <is>
          <t>- Headcount: 1
- Hiring Job Details: 1 tour operation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245">
        <v>95</v>
      </c>
      <c r="AU245" t="inlineStr">
        <is>
          <t>0.95</t>
        </is>
      </c>
      <c r="AV245" t="inlineStr">
        <is>
          <t>5</t>
        </is>
      </c>
      <c r="AW245" t="inlineStr">
        <is>
          <t>0</t>
        </is>
      </c>
      <c r="AX245" t="inlineStr">
        <is>
          <t>Not Qualified</t>
        </is>
      </c>
      <c r="AY245" s="4"/>
      <c r="AZ245"/>
      <c r="BA245"/>
      <c r="BB245"/>
      <c r="BC245" t="inlineStr">
        <is>
          <t>hiring tour operation executive. quo sent</t>
        </is>
      </c>
      <c r="BD245" s="4">
        <v>46142.62577546296</v>
      </c>
      <c r="BE245"/>
      <c r="BF245"/>
      <c r="BG245" t="inlineStr">
        <is>
          <t>Reschedule</t>
        </is>
      </c>
      <c r="BH245" t="inlineStr">
        <is>
          <t>Edward Hoo</t>
        </is>
      </c>
      <c r="BI245"/>
      <c r="BJ245" s="4">
        <v>46144.75320601852</v>
      </c>
      <c r="BK245" s="4">
        <v>45993.7196412037</v>
      </c>
      <c r="BL245" t="inlineStr">
        <is>
          <t>0.0</t>
        </is>
      </c>
      <c r="BM245" t="inlineStr">
        <is>
          <t>2400.0</t>
        </is>
      </c>
      <c r="BN245" t="inlineStr">
        <is>
          <t>View Company Page</t>
        </is>
      </c>
      <c r="BO245" s="4">
        <v>45993.73255787037</v>
      </c>
      <c r="BP245">
        <v>169708</v>
      </c>
      <c r="BQ245"/>
      <c r="BR245"/>
      <c r="BS245"/>
      <c r="BT245"/>
      <c r="BU245"/>
      <c r="BV245">
        <v>2737870</v>
      </c>
      <c r="BW245" t="inlineStr">
        <is>
          <t>Inquire for Hiring Needs : Quotation Sent 50%</t>
        </is>
      </c>
      <c r="BX245"/>
      <c r="BY245"/>
      <c r="BZ245" s="4"/>
      <c r="CA245"/>
      <c r="CB245"/>
      <c r="CC245" s="4"/>
      <c r="CD245" t="inlineStr">
        <is>
          <t>5</t>
        </is>
      </c>
      <c r="CE245" t="inlineStr">
        <is>
          <t>0</t>
        </is>
      </c>
      <c r="CF245" t="inlineStr">
        <is>
          <t>Q2-W04</t>
        </is>
      </c>
      <c r="CG245"/>
      <c r="CH245"/>
      <c r="CI245"/>
      <c r="CJ245" t="inlineStr">
        <is>
          <t>No Paid</t>
        </is>
      </c>
      <c r="CK245" t="inlineStr">
        <is>
          <t>Not Eligible</t>
        </is>
      </c>
      <c r="CL245"/>
      <c r="CM245"/>
    </row>
    <row r="246" ht="25.5" customHeight="1">
      <c r="A246" t="inlineStr">
        <is>
          <t>172386</t>
        </is>
      </c>
      <c r="B246" s="2"/>
      <c r="C246"/>
      <c r="D246" s="3">
        <v>46142.62670138889</v>
      </c>
      <c r="E246" t="inlineStr">
        <is>
          <t>Q2-W04</t>
        </is>
      </c>
      <c r="F246" t="inlineStr">
        <is>
          <t>Luqman</t>
        </is>
      </c>
      <c r="G246" t="inlineStr">
        <is>
          <t>Customer</t>
        </is>
      </c>
      <c r="H246" s="2" t="str">
        <f>=HYPERLINK("https://upbox.ajobthing.my/customer/172386", "https://upbox.ajobthing.my/customer/172386")</f>
        <v>https://upbox.ajobthing.my/customer/172386</v>
      </c>
      <c r="I246" t="inlineStr">
        <is>
          <t>Asia Sucess Resources Sdn Bhd</t>
        </is>
      </c>
      <c r="J246" t="inlineStr">
        <is>
          <t>Dolphin</t>
        </is>
      </c>
      <c r="K246" t="inlineStr">
        <is>
          <t>Luqman</t>
        </is>
      </c>
      <c r="L246" s="4"/>
      <c r="M246" s="4">
        <v>46142.62681712963</v>
      </c>
      <c r="N246"/>
      <c r="O246">
        <v>3888</v>
      </c>
      <c r="P246" s="4"/>
      <c r="Q246" s="4">
        <v>46142.629108796296</v>
      </c>
      <c r="R246"/>
      <c r="S246">
        <v>3888</v>
      </c>
      <c r="T246" s="4">
        <v>46028.6694212963</v>
      </c>
      <c r="U246" s="4"/>
      <c r="V246"/>
      <c r="W246">
        <v>1296</v>
      </c>
      <c r="X246"/>
      <c r="Y246" t="inlineStr">
        <is>
          <t>Pending Appointment</t>
        </is>
      </c>
      <c r="Z246" t="inlineStr">
        <is>
          <t>Hiring Later</t>
        </is>
      </c>
      <c r="AA246">
        <v>3</v>
      </c>
      <c r="AB246" t="inlineStr">
        <is>
          <t>No Appointment Made</t>
        </is>
      </c>
      <c r="AC246"/>
      <c r="AD246" t="inlineStr">
        <is>
          <t xml:space="preserve">1. Sales Executive 
2. Admin 
3. HR </t>
        </is>
      </c>
      <c r="AE246"/>
      <c r="AF246">
        <v>3600</v>
      </c>
      <c r="AG246" s="4"/>
      <c r="AH246" s="4"/>
      <c r="AI246">
        <v>3600</v>
      </c>
      <c r="AJ246"/>
      <c r="AK246" t="inlineStr">
        <is>
          <t>Yes, I have</t>
        </is>
      </c>
      <c r="AL246">
        <v>4</v>
      </c>
      <c r="AM246" t="inlineStr">
        <is>
          <t>No, I don't need at all</t>
        </is>
      </c>
      <c r="AN246"/>
      <c r="AO246" t="inlineStr">
        <is>
          <t>No, I don't need at all</t>
        </is>
      </c>
      <c r="AP246" t="inlineStr">
        <is>
          <t>Once a year (25%)</t>
        </is>
      </c>
      <c r="AQ246">
        <v>3</v>
      </c>
      <c r="AR246" t="inlineStr">
        <is>
          <t>Jobstreet, Indeed (Paid)</t>
        </is>
      </c>
      <c r="AS246" t="inlineStr">
        <is>
          <t>- Headcount: 3
- Hiring Job Details: 1. Sales Executive 2. Admin 3. HR
- Hiring Urgency: Hiring Later
- Number of outlets: 
- Have recruiter team: Yes
- Number of recruiter in company: 4
- Have ATS system: No, I don't need at all
- Have career website: No, I don't need at all
- Current hiring budget: RM3,600
- Whole year budget: RM3,600.00
- Whole year number of vacancies: 3
- Hiring frequency: Once a year (25%)
- External job portal: Jobstreet,Indeed (Paid)</t>
        </is>
      </c>
      <c r="AT246">
        <v>105</v>
      </c>
      <c r="AU246" t="inlineStr">
        <is>
          <t>1.05</t>
        </is>
      </c>
      <c r="AV246" t="inlineStr">
        <is>
          <t>15</t>
        </is>
      </c>
      <c r="AW246" t="inlineStr">
        <is>
          <t>0</t>
        </is>
      </c>
      <c r="AX246" t="inlineStr">
        <is>
          <t>Not Qualified</t>
        </is>
      </c>
      <c r="AY246" s="4"/>
      <c r="AZ246"/>
      <c r="BA246"/>
      <c r="BB246"/>
      <c r="BC246" t="inlineStr">
        <is>
          <t>- Headcount: 3
- Hiring Job Details: 1. Sales Executive 2. Admin 3. HR
- Hiring Urgency: Hiring Later
- Number of outlets: 
- Have recruiter team: Yes
- Number of recruiter in company: 4
- Have ATS system: No, I don't need at all
- Have career website: No, I don't need at all
- Current hiring budget: RM3,600
- Whole year budget: RM3,600.00
- Whole year number of vacancies: 3
- Hiring frequency: Once a year (25%)
- External job portal: Jobstreet,Indeed (Paid)</t>
        </is>
      </c>
      <c r="BD246" s="4">
        <v>46142.66672453703</v>
      </c>
      <c r="BE246" t="inlineStr">
        <is>
          <t>pending</t>
        </is>
      </c>
      <c r="BF246" t="inlineStr">
        <is>
          <t>Q1-W01</t>
        </is>
      </c>
      <c r="BG246" t="inlineStr">
        <is>
          <t>Reschedule</t>
        </is>
      </c>
      <c r="BH246" t="inlineStr">
        <is>
          <t>Edward Hoo</t>
        </is>
      </c>
      <c r="BI246" t="inlineStr">
        <is>
          <t>Transportation / Logistics</t>
        </is>
      </c>
      <c r="BJ246" s="4">
        <v>46144.75148148148</v>
      </c>
      <c r="BK246" s="4">
        <v>45226.41370370371</v>
      </c>
      <c r="BL246" t="inlineStr">
        <is>
          <t>4752.0</t>
        </is>
      </c>
      <c r="BM246" t="inlineStr">
        <is>
          <t>0.0</t>
        </is>
      </c>
      <c r="BN246" t="inlineStr">
        <is>
          <t>View Company Page</t>
        </is>
      </c>
      <c r="BO246" s="4">
        <v>46135.59318287037</v>
      </c>
      <c r="BP246">
        <v>169709</v>
      </c>
      <c r="BQ246">
        <v>124197</v>
      </c>
      <c r="BR246" t="inlineStr">
        <is>
          <t>Proforma</t>
        </is>
      </c>
      <c r="BS246" t="inlineStr">
        <is>
          <t>AI Yearly Standard Plan (Jan 26)</t>
        </is>
      </c>
      <c r="BT246">
        <v>85380</v>
      </c>
      <c r="BU246"/>
      <c r="BV246">
        <v>2738073</v>
      </c>
      <c r="BW246" t="inlineStr">
        <is>
          <t>Customer Inquiry</t>
        </is>
      </c>
      <c r="BX246"/>
      <c r="BY246"/>
      <c r="BZ246" s="4"/>
      <c r="CA246"/>
      <c r="CB246"/>
      <c r="CC246" s="4"/>
      <c r="CD246" t="inlineStr">
        <is>
          <t>20</t>
        </is>
      </c>
      <c r="CE246" t="inlineStr">
        <is>
          <t>0</t>
        </is>
      </c>
      <c r="CF246" t="inlineStr">
        <is>
          <t>Q2-W04</t>
        </is>
      </c>
      <c r="CG246" t="inlineStr">
        <is>
          <t>Q2-W04</t>
        </is>
      </c>
      <c r="CH246" t="inlineStr">
        <is>
          <t>Q1-W01</t>
        </is>
      </c>
      <c r="CI246"/>
      <c r="CJ246" t="inlineStr">
        <is>
          <t>Paid</t>
        </is>
      </c>
      <c r="CK246" t="inlineStr">
        <is>
          <t>Not Eligible</t>
        </is>
      </c>
      <c r="CL246"/>
      <c r="CM246"/>
    </row>
    <row r="247" ht="25.5" customHeight="1">
      <c r="A247" t="inlineStr">
        <is>
          <t>180878</t>
        </is>
      </c>
      <c r="B247" s="2"/>
      <c r="C247"/>
      <c r="D247" s="3">
        <v>46142.63141203704</v>
      </c>
      <c r="E247" t="inlineStr">
        <is>
          <t>Q2-W04</t>
        </is>
      </c>
      <c r="F247" t="inlineStr">
        <is>
          <t>Xin Hui</t>
        </is>
      </c>
      <c r="G247" t="inlineStr">
        <is>
          <t>Customer</t>
        </is>
      </c>
      <c r="H247" s="2" t="str">
        <f>=HYPERLINK("https://upbox.ajobthing.my/customer/180878", "https://upbox.ajobthing.my/customer/180878")</f>
        <v>https://upbox.ajobthing.my/customer/180878</v>
      </c>
      <c r="I247" t="inlineStr">
        <is>
          <t xml:space="preserve">Chiat Hin Envelope Manufacturer Sdn Bhd </t>
        </is>
      </c>
      <c r="J247" t="inlineStr">
        <is>
          <t>Dolphin</t>
        </is>
      </c>
      <c r="K247" t="inlineStr">
        <is>
          <t>Xin Hui</t>
        </is>
      </c>
      <c r="L247" s="4"/>
      <c r="M247" s="4">
        <v>46142.620474537034</v>
      </c>
      <c r="N247"/>
      <c r="O247">
        <v>6048</v>
      </c>
      <c r="P247" s="4"/>
      <c r="Q247" s="4"/>
      <c r="R247"/>
      <c r="S247"/>
      <c r="T247" s="4"/>
      <c r="U247" s="4"/>
      <c r="V247"/>
      <c r="W247"/>
      <c r="X247"/>
      <c r="Y247" t="inlineStr">
        <is>
          <t>Pending Appointment</t>
        </is>
      </c>
      <c r="Z247" t="inlineStr">
        <is>
          <t>Hiring Now</t>
        </is>
      </c>
      <c r="AA247">
        <v>5</v>
      </c>
      <c r="AB247" t="inlineStr">
        <is>
          <t>No Appointment Made</t>
        </is>
      </c>
      <c r="AC247"/>
      <c r="AD247" t="inlineStr">
        <is>
          <t xml:space="preserve">environment health and safety / export sales exec // purchasing assistant /it support // production coordinator </t>
        </is>
      </c>
      <c r="AE247"/>
      <c r="AF247"/>
      <c r="AG247" s="4"/>
      <c r="AH247" s="4"/>
      <c r="AI247"/>
      <c r="AJ247"/>
      <c r="AK247" t="inlineStr">
        <is>
          <t>No, I don't need at all</t>
        </is>
      </c>
      <c r="AL247"/>
      <c r="AM247" t="inlineStr">
        <is>
          <t>No, I don't need at all</t>
        </is>
      </c>
      <c r="AN247"/>
      <c r="AO247" t="inlineStr">
        <is>
          <t>No, I don't need at all</t>
        </is>
      </c>
      <c r="AP247" t="inlineStr">
        <is>
          <t>Once a year (25%)</t>
        </is>
      </c>
      <c r="AQ247"/>
      <c r="AR247" t="inlineStr">
        <is>
          <t>Jobstreet</t>
        </is>
      </c>
      <c r="AS247" t="inlineStr">
        <is>
          <t>- Headcount: 5
- Hiring Job Details: environment health and safety, export sales exec, purchasing assistant, it support, production coordinator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AT247">
        <v>75</v>
      </c>
      <c r="AU247" t="inlineStr">
        <is>
          <t>0.75</t>
        </is>
      </c>
      <c r="AV247" t="inlineStr">
        <is>
          <t>10</t>
        </is>
      </c>
      <c r="AW247" t="inlineStr">
        <is>
          <t>0</t>
        </is>
      </c>
      <c r="AX247" t="inlineStr">
        <is>
          <t>Not Qualified</t>
        </is>
      </c>
      <c r="AY247" s="4"/>
      <c r="AZ247"/>
      <c r="BA247"/>
      <c r="BB247"/>
      <c r="BC247" t="inlineStr">
        <is>
          <t>- Headcount: 5
- Hiring Job Details: environment health and safety, export sales exec, purchasing assistant, it support, production coordinator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BD247" s="4">
        <v>46142.66672453703</v>
      </c>
      <c r="BE247"/>
      <c r="BF247"/>
      <c r="BG247" t="inlineStr">
        <is>
          <t>Reschedule</t>
        </is>
      </c>
      <c r="BH247" t="inlineStr">
        <is>
          <t>Yee Hang</t>
        </is>
      </c>
      <c r="BI247" t="inlineStr">
        <is>
          <t>Manufacturing / Production</t>
        </is>
      </c>
      <c r="BJ247" s="4">
        <v>46144.75184027778</v>
      </c>
      <c r="BK247" s="4">
        <v>45497.651030092595</v>
      </c>
      <c r="BL247" t="inlineStr">
        <is>
          <t>0.0</t>
        </is>
      </c>
      <c r="BM247" t="inlineStr">
        <is>
          <t>2400.0</t>
        </is>
      </c>
      <c r="BN247" t="inlineStr">
        <is>
          <t>View Company Page</t>
        </is>
      </c>
      <c r="BO247" s="4">
        <v>45497.678715277776</v>
      </c>
      <c r="BP247">
        <v>169707</v>
      </c>
      <c r="BQ247"/>
      <c r="BR247"/>
      <c r="BS247"/>
      <c r="BT247"/>
      <c r="BU247"/>
      <c r="BV247">
        <v>2738074</v>
      </c>
      <c r="BW247" t="inlineStr">
        <is>
          <t>Customer Inquiry</t>
        </is>
      </c>
      <c r="BX247"/>
      <c r="BY247"/>
      <c r="BZ247" s="4"/>
      <c r="CA247"/>
      <c r="CB247"/>
      <c r="CC247" s="4"/>
      <c r="CD247" t="inlineStr">
        <is>
          <t>15</t>
        </is>
      </c>
      <c r="CE247" t="inlineStr">
        <is>
          <t>0</t>
        </is>
      </c>
      <c r="CF247" t="inlineStr">
        <is>
          <t>Q2-W04</t>
        </is>
      </c>
      <c r="CG247"/>
      <c r="CH247"/>
      <c r="CI247"/>
      <c r="CJ247" t="inlineStr">
        <is>
          <t>No Paid</t>
        </is>
      </c>
      <c r="CK247" t="inlineStr">
        <is>
          <t>Not Eligible</t>
        </is>
      </c>
      <c r="CL247"/>
      <c r="CM247"/>
    </row>
    <row r="248" ht="25.5" customHeight="1">
      <c r="A248" t="inlineStr">
        <is>
          <t>120944</t>
        </is>
      </c>
      <c r="B248" s="2"/>
      <c r="C248"/>
      <c r="D248" s="3">
        <v>46142.63369212963</v>
      </c>
      <c r="E248" t="inlineStr">
        <is>
          <t>Q2-W04</t>
        </is>
      </c>
      <c r="F248" t="inlineStr">
        <is>
          <t>Keegan</t>
        </is>
      </c>
      <c r="G248" t="inlineStr">
        <is>
          <t>Customer</t>
        </is>
      </c>
      <c r="H248" s="2" t="str">
        <f>=HYPERLINK("https://upbox.ajobthing.my/customer/120944", "https://upbox.ajobthing.my/customer/120944")</f>
        <v>https://upbox.ajobthing.my/customer/120944</v>
      </c>
      <c r="I248" t="inlineStr">
        <is>
          <t>SMG Asset Management</t>
        </is>
      </c>
      <c r="J248" t="inlineStr">
        <is>
          <t>Dolphin</t>
        </is>
      </c>
      <c r="K248" t="inlineStr">
        <is>
          <t>Keegan</t>
        </is>
      </c>
      <c r="L248" s="4"/>
      <c r="M248" s="4">
        <v>46142.63377314815</v>
      </c>
      <c r="N248"/>
      <c r="O248">
        <v>6048</v>
      </c>
      <c r="P248" s="4"/>
      <c r="Q248" s="4">
        <v>46111.443460648145</v>
      </c>
      <c r="R248"/>
      <c r="S248">
        <v>0</v>
      </c>
      <c r="T248" s="4">
        <v>43697.42109953704</v>
      </c>
      <c r="U248" s="4"/>
      <c r="V248"/>
      <c r="W248">
        <v>1351.5</v>
      </c>
      <c r="X248"/>
      <c r="Y248" t="inlineStr">
        <is>
          <t>Pending Appointment</t>
        </is>
      </c>
      <c r="Z248" t="inlineStr">
        <is>
          <t>Hiring Now</t>
        </is>
      </c>
      <c r="AA248">
        <v>3</v>
      </c>
      <c r="AB248" t="inlineStr">
        <is>
          <t>No Appointment Made</t>
        </is>
      </c>
      <c r="AC248"/>
      <c r="AD248" t="inlineStr">
        <is>
          <t xml:space="preserve">1. Admin
2. Marketing 
3. Sales </t>
        </is>
      </c>
      <c r="AE248"/>
      <c r="AF248"/>
      <c r="AG248" s="4"/>
      <c r="AH248" s="4"/>
      <c r="AI248"/>
      <c r="AJ248">
        <v>1</v>
      </c>
      <c r="AK248" t="inlineStr">
        <is>
          <t>No, I don't need at all</t>
        </is>
      </c>
      <c r="AL248">
        <v>0</v>
      </c>
      <c r="AM248" t="inlineStr">
        <is>
          <t>No, I don't need at all</t>
        </is>
      </c>
      <c r="AN248"/>
      <c r="AO248" t="inlineStr">
        <is>
          <t>No, I don't need at all</t>
        </is>
      </c>
      <c r="AP248" t="inlineStr">
        <is>
          <t>Once per quarter (75%)</t>
        </is>
      </c>
      <c r="AQ248"/>
      <c r="AR248" t="inlineStr">
        <is>
          <t>Did not use any job portal</t>
        </is>
      </c>
      <c r="AS248" t="inlineStr">
        <is>
          <t>- Headcount: 3
- Hiring Job Details: 1. Admin\n2. Marketing\n3.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48">
        <v>75</v>
      </c>
      <c r="AU248" t="inlineStr">
        <is>
          <t>0.75</t>
        </is>
      </c>
      <c r="AV248" t="inlineStr">
        <is>
          <t>5</t>
        </is>
      </c>
      <c r="AW248" t="inlineStr">
        <is>
          <t>0</t>
        </is>
      </c>
      <c r="AX248" t="inlineStr">
        <is>
          <t>Not Qualified</t>
        </is>
      </c>
      <c r="AY248" s="4"/>
      <c r="AZ248"/>
      <c r="BA248"/>
      <c r="BB248"/>
      <c r="BC248" t="inlineStr">
        <is>
          <t>- Headcount: 3
- Hiring Job Details: 1. Admin\n2. Marketing\n3.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48" s="4">
        <v>46142.66672453703</v>
      </c>
      <c r="BE248" t="inlineStr">
        <is>
          <t>paid</t>
        </is>
      </c>
      <c r="BF248"/>
      <c r="BG248" t="inlineStr">
        <is>
          <t>Reschedule</t>
        </is>
      </c>
      <c r="BH248" t="inlineStr">
        <is>
          <t>Edward Hoo</t>
        </is>
      </c>
      <c r="BI248" t="inlineStr">
        <is>
          <t>Construction / Building</t>
        </is>
      </c>
      <c r="BJ248" s="4">
        <v>46144.75025462963</v>
      </c>
      <c r="BK248" s="4">
        <v>43693.52877314815</v>
      </c>
      <c r="BL248" t="inlineStr">
        <is>
          <t>0.0</t>
        </is>
      </c>
      <c r="BM248" t="inlineStr">
        <is>
          <t>0.0</t>
        </is>
      </c>
      <c r="BN248" t="inlineStr">
        <is>
          <t>View Company Page</t>
        </is>
      </c>
      <c r="BO248" s="4">
        <v>46111.44627314815</v>
      </c>
      <c r="BP248">
        <v>169711</v>
      </c>
      <c r="BQ248">
        <v>118398</v>
      </c>
      <c r="BR248" t="inlineStr">
        <is>
          <t>Proforma</t>
        </is>
      </c>
      <c r="BS248" t="inlineStr">
        <is>
          <t>Free Freelance Job</t>
        </is>
      </c>
      <c r="BT248">
        <v>19484</v>
      </c>
      <c r="BU248"/>
      <c r="BV248">
        <v>2738075</v>
      </c>
      <c r="BW248" t="inlineStr">
        <is>
          <t>Customer Inquiry</t>
        </is>
      </c>
      <c r="BX248"/>
      <c r="BY248"/>
      <c r="BZ248" s="4"/>
      <c r="CA248"/>
      <c r="CB248"/>
      <c r="CC248" s="4"/>
      <c r="CD248" t="inlineStr">
        <is>
          <t>5</t>
        </is>
      </c>
      <c r="CE248" t="inlineStr">
        <is>
          <t>0</t>
        </is>
      </c>
      <c r="CF248" t="inlineStr">
        <is>
          <t>Q2-W04</t>
        </is>
      </c>
      <c r="CG248" t="inlineStr">
        <is>
          <t>Q1-W13</t>
        </is>
      </c>
      <c r="CH248"/>
      <c r="CI248"/>
      <c r="CJ248" t="inlineStr">
        <is>
          <t>Paid</t>
        </is>
      </c>
      <c r="CK248" t="inlineStr">
        <is>
          <t>Not Eligible</t>
        </is>
      </c>
      <c r="CL248"/>
      <c r="CM248"/>
    </row>
    <row r="249" ht="25.5" customHeight="1">
      <c r="A249" t="inlineStr">
        <is>
          <t>4335323</t>
        </is>
      </c>
      <c r="B249" s="2"/>
      <c r="C249"/>
      <c r="D249" s="3">
        <v>46142.639560185184</v>
      </c>
      <c r="E249" t="inlineStr">
        <is>
          <t>Q2-W04</t>
        </is>
      </c>
      <c r="F249" t="inlineStr">
        <is>
          <t>Josh</t>
        </is>
      </c>
      <c r="G249" t="inlineStr">
        <is>
          <t>Lead</t>
        </is>
      </c>
      <c r="H249" s="2" t="str">
        <f>=HYPERLINK("https://upbox.ajobthing.my/leads/4335323", "https://upbox.ajobthing.my/leads/4335323")</f>
        <v>https://upbox.ajobthing.my/leads/4335323</v>
      </c>
      <c r="I249" t="inlineStr">
        <is>
          <t>Iminie Childcare Centre Sdn Bhd</t>
        </is>
      </c>
      <c r="J249" t="inlineStr">
        <is>
          <t>Dolphin</t>
        </is>
      </c>
      <c r="K249" t="inlineStr">
        <is>
          <t>Josh</t>
        </is>
      </c>
      <c r="L249" s="4"/>
      <c r="M249" s="4">
        <v>46142.6405787037</v>
      </c>
      <c r="N249"/>
      <c r="O249">
        <v>3576.96</v>
      </c>
      <c r="P249" s="4"/>
      <c r="Q249" s="4"/>
      <c r="R249"/>
      <c r="S249"/>
      <c r="T249" s="4"/>
      <c r="U249" s="4"/>
      <c r="V249"/>
      <c r="W249"/>
      <c r="X249"/>
      <c r="Y249" t="inlineStr">
        <is>
          <t>Pending Appointment</t>
        </is>
      </c>
      <c r="Z249" t="inlineStr">
        <is>
          <t>Hiring Later</t>
        </is>
      </c>
      <c r="AA249">
        <v>2</v>
      </c>
      <c r="AB249" t="inlineStr">
        <is>
          <t>No Appointment Made</t>
        </is>
      </c>
      <c r="AC249"/>
      <c r="AD249" t="inlineStr">
        <is>
          <t>1 teacher, 1 cleaner</t>
        </is>
      </c>
      <c r="AE249"/>
      <c r="AF249">
        <v>3000</v>
      </c>
      <c r="AG249" s="4"/>
      <c r="AH249" s="4"/>
      <c r="AI249"/>
      <c r="AJ249"/>
      <c r="AK249" t="inlineStr">
        <is>
          <t>Yes, I have</t>
        </is>
      </c>
      <c r="AL249"/>
      <c r="AM249"/>
      <c r="AN249"/>
      <c r="AO249"/>
      <c r="AP249" t="inlineStr">
        <is>
          <t>Once a year (25%)</t>
        </is>
      </c>
      <c r="AQ249"/>
      <c r="AR249"/>
      <c r="AS249" t="inlineStr">
        <is>
          <t>- Headcount: 2
- Hiring Job Details: 1 teacher, 1 cleaner
- Hiring Urgency: Hiring Later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249">
        <v>75</v>
      </c>
      <c r="AU249" t="inlineStr">
        <is>
          <t>0.75</t>
        </is>
      </c>
      <c r="AV249" t="inlineStr">
        <is>
          <t>15</t>
        </is>
      </c>
      <c r="AW249" t="inlineStr">
        <is>
          <t>0</t>
        </is>
      </c>
      <c r="AX249" t="inlineStr">
        <is>
          <t>Not Qualified</t>
        </is>
      </c>
      <c r="AY249" s="4"/>
      <c r="AZ249"/>
      <c r="BA249"/>
      <c r="BB249"/>
      <c r="BC249"/>
      <c r="BD249" s="4"/>
      <c r="BE249"/>
      <c r="BF249"/>
      <c r="BG249" t="inlineStr">
        <is>
          <t>Reschedule</t>
        </is>
      </c>
      <c r="BH249" t="inlineStr">
        <is>
          <t>Fauziah Maharan</t>
        </is>
      </c>
      <c r="BI249"/>
      <c r="BJ249" s="4">
        <v>46144.755949074075</v>
      </c>
      <c r="BK249" s="4">
        <v>46142.62535879629</v>
      </c>
      <c r="BL249" t="inlineStr">
        <is>
          <t>0.0</t>
        </is>
      </c>
      <c r="BM249" t="inlineStr">
        <is>
          <t>0.0</t>
        </is>
      </c>
      <c r="BN249"/>
      <c r="BO249" s="4"/>
      <c r="BP249">
        <v>169712</v>
      </c>
      <c r="BQ249"/>
      <c r="BR249"/>
      <c r="BS249"/>
      <c r="BT249"/>
      <c r="BU249"/>
      <c r="BV249"/>
      <c r="BW249"/>
      <c r="BX249"/>
      <c r="BY249"/>
      <c r="BZ249" s="4"/>
      <c r="CA249"/>
      <c r="CB249"/>
      <c r="CC249" s="4"/>
      <c r="CD249" t="inlineStr">
        <is>
          <t>20</t>
        </is>
      </c>
      <c r="CE249" t="inlineStr">
        <is>
          <t>0</t>
        </is>
      </c>
      <c r="CF249" t="inlineStr">
        <is>
          <t>Q2-W04</t>
        </is>
      </c>
      <c r="CG249"/>
      <c r="CH249"/>
      <c r="CI249"/>
      <c r="CJ249" t="inlineStr">
        <is>
          <t>No Paid</t>
        </is>
      </c>
      <c r="CK249" t="inlineStr">
        <is>
          <t>Not Eligible</t>
        </is>
      </c>
      <c r="CL249"/>
      <c r="CM249"/>
    </row>
    <row r="250" ht="25.5" customHeight="1">
      <c r="A250" t="inlineStr">
        <is>
          <t>144399</t>
        </is>
      </c>
      <c r="B250" s="2"/>
      <c r="C250"/>
      <c r="D250" s="3">
        <v>46142.66775462963</v>
      </c>
      <c r="E250" t="inlineStr">
        <is>
          <t>Q2-W04</t>
        </is>
      </c>
      <c r="F250" t="inlineStr">
        <is>
          <t>Jia Hui</t>
        </is>
      </c>
      <c r="G250" t="inlineStr">
        <is>
          <t>Customer</t>
        </is>
      </c>
      <c r="H250" s="2" t="str">
        <f>=HYPERLINK("https://upbox.ajobthing.my/customer/144399", "https://upbox.ajobthing.my/customer/144399")</f>
        <v>https://upbox.ajobthing.my/customer/144399</v>
      </c>
      <c r="I250" t="inlineStr">
        <is>
          <t>La Villa Langkawi</t>
        </is>
      </c>
      <c r="J250" t="inlineStr">
        <is>
          <t>Dolphin</t>
        </is>
      </c>
      <c r="K250" t="inlineStr">
        <is>
          <t>Jia Hui</t>
        </is>
      </c>
      <c r="L250" s="4"/>
      <c r="M250" s="4">
        <v>46142.66784722222</v>
      </c>
      <c r="N250"/>
      <c r="O250">
        <v>6048</v>
      </c>
      <c r="P250" s="4"/>
      <c r="Q250" s="4"/>
      <c r="R250"/>
      <c r="S250"/>
      <c r="T250" s="4"/>
      <c r="U250" s="4"/>
      <c r="V250"/>
      <c r="W250"/>
      <c r="X250"/>
      <c r="Y250" t="inlineStr">
        <is>
          <t>Pending Appointment</t>
        </is>
      </c>
      <c r="Z250" t="inlineStr">
        <is>
          <t>Hiring Now</t>
        </is>
      </c>
      <c r="AA250">
        <v>2</v>
      </c>
      <c r="AB250" t="inlineStr">
        <is>
          <t>No Appointment Made</t>
        </is>
      </c>
      <c r="AC250"/>
      <c r="AD250" t="inlineStr">
        <is>
          <t xml:space="preserve">1 senior account, 1 therapist </t>
        </is>
      </c>
      <c r="AE250"/>
      <c r="AF250">
        <v>500</v>
      </c>
      <c r="AG250" s="4"/>
      <c r="AH250" s="4"/>
      <c r="AI250"/>
      <c r="AJ250"/>
      <c r="AK250" t="inlineStr">
        <is>
          <t>Yes, I have</t>
        </is>
      </c>
      <c r="AL250"/>
      <c r="AM250"/>
      <c r="AN250"/>
      <c r="AO250"/>
      <c r="AP250" t="inlineStr">
        <is>
          <t>Once a year (25%)</t>
        </is>
      </c>
      <c r="AQ250"/>
      <c r="AR250"/>
      <c r="AS250" t="inlineStr">
        <is>
          <t>- Headcount: 2
- Hiring Job Details: 1 senior account, 1 therapist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Now</t>
        </is>
      </c>
      <c r="AT250">
        <v>95</v>
      </c>
      <c r="AU250" t="inlineStr">
        <is>
          <t>0.95</t>
        </is>
      </c>
      <c r="AV250" t="inlineStr">
        <is>
          <t>15</t>
        </is>
      </c>
      <c r="AW250" t="inlineStr">
        <is>
          <t>0</t>
        </is>
      </c>
      <c r="AX250" t="inlineStr">
        <is>
          <t>Not Qualified</t>
        </is>
      </c>
      <c r="AY250" s="4"/>
      <c r="AZ250"/>
      <c r="BA250"/>
      <c r="BB250"/>
      <c r="BC250" t="inlineStr">
        <is>
          <t>- Headcount: 2
- Hiring Job Details: 1 senior account, 1 therapist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Now</t>
        </is>
      </c>
      <c r="BD250" s="4">
        <v>46142.70837962963</v>
      </c>
      <c r="BE250"/>
      <c r="BF250"/>
      <c r="BG250" t="inlineStr">
        <is>
          <t>Reschedule</t>
        </is>
      </c>
      <c r="BH250" t="inlineStr">
        <is>
          <t>Reagen</t>
        </is>
      </c>
      <c r="BI250" t="inlineStr">
        <is>
          <t>Hotel / Hospitality</t>
        </is>
      </c>
      <c r="BJ250" s="4">
        <v>46144.75071759259</v>
      </c>
      <c r="BK250" s="4">
        <v>44524.61570601852</v>
      </c>
      <c r="BL250" t="inlineStr">
        <is>
          <t>0.0</t>
        </is>
      </c>
      <c r="BM250" t="inlineStr">
        <is>
          <t>0.0</t>
        </is>
      </c>
      <c r="BN250" t="inlineStr">
        <is>
          <t>View Jobmanager Page</t>
        </is>
      </c>
      <c r="BO250" s="4">
        <v>44524.62185185185</v>
      </c>
      <c r="BP250">
        <v>169722</v>
      </c>
      <c r="BQ250"/>
      <c r="BR250"/>
      <c r="BS250"/>
      <c r="BT250"/>
      <c r="BU250"/>
      <c r="BV250">
        <v>2738275</v>
      </c>
      <c r="BW250" t="inlineStr">
        <is>
          <t>Customer Inquiry</t>
        </is>
      </c>
      <c r="BX250"/>
      <c r="BY250"/>
      <c r="BZ250" s="4"/>
      <c r="CA250"/>
      <c r="CB250"/>
      <c r="CC250" s="4"/>
      <c r="CD250" t="inlineStr">
        <is>
          <t>20</t>
        </is>
      </c>
      <c r="CE250" t="inlineStr">
        <is>
          <t>0</t>
        </is>
      </c>
      <c r="CF250" t="inlineStr">
        <is>
          <t>Q2-W04</t>
        </is>
      </c>
      <c r="CG250"/>
      <c r="CH250"/>
      <c r="CI250"/>
      <c r="CJ250" t="inlineStr">
        <is>
          <t>No Paid</t>
        </is>
      </c>
      <c r="CK250" t="inlineStr">
        <is>
          <t>Not Eligible</t>
        </is>
      </c>
      <c r="CL250"/>
      <c r="CM250"/>
    </row>
    <row r="251" ht="25.5" customHeight="1">
      <c r="A251" t="inlineStr">
        <is>
          <t>148975</t>
        </is>
      </c>
      <c r="B251" s="2"/>
      <c r="C251"/>
      <c r="D251" s="3">
        <v>46142.669537037036</v>
      </c>
      <c r="E251" t="inlineStr">
        <is>
          <t>Q2-W04</t>
        </is>
      </c>
      <c r="F251" t="inlineStr">
        <is>
          <t>Ratha</t>
        </is>
      </c>
      <c r="G251" t="inlineStr">
        <is>
          <t>Customer</t>
        </is>
      </c>
      <c r="H251" s="2" t="str">
        <f>=HYPERLINK("https://upbox.ajobthing.my/customer/148975", "https://upbox.ajobthing.my/customer/148975")</f>
        <v>https://upbox.ajobthing.my/customer/148975</v>
      </c>
      <c r="I251" t="inlineStr">
        <is>
          <t>M.M.Soft Malaysia Sdn Bhd</t>
        </is>
      </c>
      <c r="J251" t="inlineStr">
        <is>
          <t>Dolphin</t>
        </is>
      </c>
      <c r="K251" t="inlineStr">
        <is>
          <t>Ratha</t>
        </is>
      </c>
      <c r="L251" s="4"/>
      <c r="M251" s="4">
        <v>46142.67082175926</v>
      </c>
      <c r="N251"/>
      <c r="O251">
        <v>1296</v>
      </c>
      <c r="P251" s="4"/>
      <c r="Q251" s="4">
        <v>45866.829189814816</v>
      </c>
      <c r="R251"/>
      <c r="S251">
        <v>1080</v>
      </c>
      <c r="T251" s="4">
        <v>45866.829189814816</v>
      </c>
      <c r="U251" s="4"/>
      <c r="V251"/>
      <c r="W251">
        <v>1080</v>
      </c>
      <c r="X251"/>
      <c r="Y251" t="inlineStr">
        <is>
          <t>Pending Appointment</t>
        </is>
      </c>
      <c r="Z251" t="inlineStr">
        <is>
          <t>Hiring Now</t>
        </is>
      </c>
      <c r="AA251">
        <v>1</v>
      </c>
      <c r="AB251" t="inlineStr">
        <is>
          <t>No Appointment Made</t>
        </is>
      </c>
      <c r="AC251"/>
      <c r="AD251" t="inlineStr">
        <is>
          <t>TCG Operations Executive
1
Petaling Jaya</t>
        </is>
      </c>
      <c r="AE251"/>
      <c r="AF251"/>
      <c r="AG251" s="4"/>
      <c r="AH251" s="4"/>
      <c r="AI251">
        <v>0</v>
      </c>
      <c r="AJ251">
        <v>1</v>
      </c>
      <c r="AK251" t="inlineStr">
        <is>
          <t>Yes, I have</t>
        </is>
      </c>
      <c r="AL251">
        <v>2</v>
      </c>
      <c r="AM251" t="inlineStr">
        <is>
          <t>No, I don't need at all</t>
        </is>
      </c>
      <c r="AN251"/>
      <c r="AO251" t="inlineStr">
        <is>
          <t>No, I don't need at all</t>
        </is>
      </c>
      <c r="AP251" t="inlineStr">
        <is>
          <t>Twice a year (50%)</t>
        </is>
      </c>
      <c r="AQ251">
        <v>0</v>
      </c>
      <c r="AR251" t="inlineStr">
        <is>
          <t>Did not use any job portal</t>
        </is>
      </c>
      <c r="AS251" t="inlineStr">
        <is>
          <t>- Headcount: 1
- Hiring Job Details: 1 TCG Operations Executive (Petaling Jaya)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is>
      </c>
      <c r="AT251">
        <v>105</v>
      </c>
      <c r="AU251" t="inlineStr">
        <is>
          <t>1.05</t>
        </is>
      </c>
      <c r="AV251" t="inlineStr">
        <is>
          <t>5</t>
        </is>
      </c>
      <c r="AW251" t="inlineStr">
        <is>
          <t>0</t>
        </is>
      </c>
      <c r="AX251" t="inlineStr">
        <is>
          <t>Not Qualified</t>
        </is>
      </c>
      <c r="AY251" s="4"/>
      <c r="AZ251"/>
      <c r="BA251"/>
      <c r="BB251"/>
      <c r="BC251" t="inlineStr">
        <is>
          <t>- Headcount: 1
- Hiring Job Details: 1 TCG Operations Executive (Petaling Jaya)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is>
      </c>
      <c r="BD251" s="4">
        <v>46142.70837962963</v>
      </c>
      <c r="BE251" t="inlineStr">
        <is>
          <t>paid</t>
        </is>
      </c>
      <c r="BF251"/>
      <c r="BG251" t="inlineStr">
        <is>
          <t>Reschedule</t>
        </is>
      </c>
      <c r="BH251" t="inlineStr">
        <is>
          <t>Fauziah Maharan</t>
        </is>
      </c>
      <c r="BI251"/>
      <c r="BJ251" s="4">
        <v>46144.75082175926</v>
      </c>
      <c r="BK251" s="4">
        <v>44615.58462962963</v>
      </c>
      <c r="BL251" t="inlineStr">
        <is>
          <t>1080.0</t>
        </is>
      </c>
      <c r="BM251" t="inlineStr">
        <is>
          <t>0.0</t>
        </is>
      </c>
      <c r="BN251" t="inlineStr">
        <is>
          <t>View Account User</t>
        </is>
      </c>
      <c r="BO251" s="4">
        <v>46142.711643518516</v>
      </c>
      <c r="BP251">
        <v>169726</v>
      </c>
      <c r="BQ251">
        <v>81104</v>
      </c>
      <c r="BR251" t="inlineStr">
        <is>
          <t>Online</t>
        </is>
      </c>
      <c r="BS251"/>
      <c r="BT251">
        <v>81104</v>
      </c>
      <c r="BU251"/>
      <c r="BV251">
        <v>2738277</v>
      </c>
      <c r="BW251" t="inlineStr">
        <is>
          <t>Customer Inquiry</t>
        </is>
      </c>
      <c r="BX251"/>
      <c r="BY251"/>
      <c r="BZ251" s="4"/>
      <c r="CA251"/>
      <c r="CB251"/>
      <c r="CC251" s="4"/>
      <c r="CD251" t="inlineStr">
        <is>
          <t>5</t>
        </is>
      </c>
      <c r="CE251" t="inlineStr">
        <is>
          <t>0</t>
        </is>
      </c>
      <c r="CF251" t="inlineStr">
        <is>
          <t>Q2-W04</t>
        </is>
      </c>
      <c r="CG251"/>
      <c r="CH251"/>
      <c r="CI251"/>
      <c r="CJ251" t="inlineStr">
        <is>
          <t>Paid</t>
        </is>
      </c>
      <c r="CK251" t="inlineStr">
        <is>
          <t>Not Eligible</t>
        </is>
      </c>
      <c r="CL251"/>
      <c r="CM251"/>
    </row>
    <row r="252" ht="25.5" customHeight="1">
      <c r="A252" t="inlineStr">
        <is>
          <t>201770</t>
        </is>
      </c>
      <c r="B252" s="2"/>
      <c r="C252"/>
      <c r="D252" s="3">
        <v>46142.699108796296</v>
      </c>
      <c r="E252" t="inlineStr">
        <is>
          <t>Q2-W04</t>
        </is>
      </c>
      <c r="F252" t="inlineStr">
        <is>
          <t>Lucas</t>
        </is>
      </c>
      <c r="G252" t="inlineStr">
        <is>
          <t>Customer</t>
        </is>
      </c>
      <c r="H252" s="2" t="str">
        <f>=HYPERLINK("https://upbox.ajobthing.my/customer/201770", "https://upbox.ajobthing.my/customer/201770")</f>
        <v>https://upbox.ajobthing.my/customer/201770</v>
      </c>
      <c r="I252" t="inlineStr">
        <is>
          <t>Voicecomm Technology (M) Sdn Bhd</t>
        </is>
      </c>
      <c r="J252" t="inlineStr">
        <is>
          <t>Dolphin</t>
        </is>
      </c>
      <c r="K252" t="inlineStr">
        <is>
          <t>Lucas</t>
        </is>
      </c>
      <c r="L252" s="4"/>
      <c r="M252" s="4">
        <v>46142.68881944445</v>
      </c>
      <c r="N252"/>
      <c r="O252">
        <v>3576.96</v>
      </c>
      <c r="P252" s="4"/>
      <c r="Q252" s="4"/>
      <c r="R252"/>
      <c r="S252"/>
      <c r="T252" s="4"/>
      <c r="U252" s="4"/>
      <c r="V252"/>
      <c r="W252"/>
      <c r="X252"/>
      <c r="Y252" t="inlineStr">
        <is>
          <t>Pending Appointment</t>
        </is>
      </c>
      <c r="Z252" t="inlineStr">
        <is>
          <t>Hiring Now</t>
        </is>
      </c>
      <c r="AA252">
        <v>1</v>
      </c>
      <c r="AB252" t="inlineStr">
        <is>
          <t>No Appointment Made</t>
        </is>
      </c>
      <c r="AC252"/>
      <c r="AD252" t="inlineStr">
        <is>
          <t>1 admin</t>
        </is>
      </c>
      <c r="AE252"/>
      <c r="AF252">
        <v>0</v>
      </c>
      <c r="AG252" s="4"/>
      <c r="AH252" s="4"/>
      <c r="AI252">
        <v>0</v>
      </c>
      <c r="AJ252">
        <v>0</v>
      </c>
      <c r="AK252" t="inlineStr">
        <is>
          <t>No, I don't need at all</t>
        </is>
      </c>
      <c r="AL252">
        <v>0</v>
      </c>
      <c r="AM252" t="inlineStr">
        <is>
          <t>No, I don't need at all</t>
        </is>
      </c>
      <c r="AN252"/>
      <c r="AO252" t="inlineStr">
        <is>
          <t>No, I don't need at all</t>
        </is>
      </c>
      <c r="AP252" t="inlineStr">
        <is>
          <t>Once a year (25%)</t>
        </is>
      </c>
      <c r="AQ252">
        <v>1</v>
      </c>
      <c r="AR252" t="inlineStr">
        <is>
          <t>Did not use any job portal</t>
        </is>
      </c>
      <c r="AS252"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2">
        <v>105</v>
      </c>
      <c r="AU252" t="inlineStr">
        <is>
          <t>1.05</t>
        </is>
      </c>
      <c r="AV252" t="inlineStr">
        <is>
          <t>15</t>
        </is>
      </c>
      <c r="AW252" t="inlineStr">
        <is>
          <t>0</t>
        </is>
      </c>
      <c r="AX252" t="inlineStr">
        <is>
          <t>Not Qualified</t>
        </is>
      </c>
      <c r="AY252" s="4"/>
      <c r="AZ252"/>
      <c r="BA252"/>
      <c r="BB252"/>
      <c r="BC252"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252" s="4">
        <v>46142.708391203705</v>
      </c>
      <c r="BE252"/>
      <c r="BF252"/>
      <c r="BG252" t="inlineStr">
        <is>
          <t>Reschedule</t>
        </is>
      </c>
      <c r="BH252" t="inlineStr">
        <is>
          <t>Yee Hang</t>
        </is>
      </c>
      <c r="BI252"/>
      <c r="BJ252" s="4">
        <v>46144.753854166665</v>
      </c>
      <c r="BK252" s="4">
        <v>46086.73002314815</v>
      </c>
      <c r="BL252" t="inlineStr">
        <is>
          <t>0.0</t>
        </is>
      </c>
      <c r="BM252" t="inlineStr">
        <is>
          <t>0.0</t>
        </is>
      </c>
      <c r="BN252"/>
      <c r="BO252" s="4"/>
      <c r="BP252">
        <v>169733</v>
      </c>
      <c r="BQ252"/>
      <c r="BR252"/>
      <c r="BS252"/>
      <c r="BT252"/>
      <c r="BU252"/>
      <c r="BV252">
        <v>2738284</v>
      </c>
      <c r="BW252" t="inlineStr">
        <is>
          <t>Customer Inquiry</t>
        </is>
      </c>
      <c r="BX252"/>
      <c r="BY252"/>
      <c r="BZ252" s="4"/>
      <c r="CA252"/>
      <c r="CB252"/>
      <c r="CC252" s="4"/>
      <c r="CD252" t="inlineStr">
        <is>
          <t>20</t>
        </is>
      </c>
      <c r="CE252" t="inlineStr">
        <is>
          <t>0</t>
        </is>
      </c>
      <c r="CF252" t="inlineStr">
        <is>
          <t>Q2-W04</t>
        </is>
      </c>
      <c r="CG252"/>
      <c r="CH252"/>
      <c r="CI252"/>
      <c r="CJ252" t="inlineStr">
        <is>
          <t>No Paid</t>
        </is>
      </c>
      <c r="CK252" t="inlineStr">
        <is>
          <t>Not Eligible</t>
        </is>
      </c>
      <c r="CL252"/>
      <c r="CM252"/>
    </row>
    <row r="253" ht="25.5" customHeight="1">
      <c r="A253" t="inlineStr">
        <is>
          <t>158119</t>
        </is>
      </c>
      <c r="B253" s="2"/>
      <c r="C253"/>
      <c r="D253" s="3">
        <v>46142.72451388889</v>
      </c>
      <c r="E253" t="inlineStr">
        <is>
          <t>Q2-W04</t>
        </is>
      </c>
      <c r="F253" t="inlineStr">
        <is>
          <t>Clover</t>
        </is>
      </c>
      <c r="G253" t="inlineStr">
        <is>
          <t>Customer</t>
        </is>
      </c>
      <c r="H253" s="2" t="str">
        <f>=HYPERLINK("https://upbox.ajobthing.my/customer/158119", "https://upbox.ajobthing.my/customer/158119")</f>
        <v>https://upbox.ajobthing.my/customer/158119</v>
      </c>
      <c r="I253" t="inlineStr">
        <is>
          <t>Parkroyal Collection &amp; Pan Pacific Serviced Suites Kuala Lumpur</t>
        </is>
      </c>
      <c r="J253" t="inlineStr">
        <is>
          <t>Dolphin</t>
        </is>
      </c>
      <c r="K253" t="inlineStr">
        <is>
          <t>Clover</t>
        </is>
      </c>
      <c r="L253" s="4"/>
      <c r="M253" s="4">
        <v>46142.72185185185</v>
      </c>
      <c r="N253"/>
      <c r="O253">
        <v>5412.96</v>
      </c>
      <c r="P253" s="4"/>
      <c r="Q253" s="4"/>
      <c r="R253"/>
      <c r="S253"/>
      <c r="T253" s="4"/>
      <c r="U253" s="4"/>
      <c r="V253"/>
      <c r="W253"/>
      <c r="X253"/>
      <c r="Y253" t="inlineStr">
        <is>
          <t>Pending Appointment</t>
        </is>
      </c>
      <c r="Z253" t="inlineStr">
        <is>
          <t>Hiring Later</t>
        </is>
      </c>
      <c r="AA253">
        <v>3</v>
      </c>
      <c r="AB253" t="inlineStr">
        <is>
          <t>No Appointment Made</t>
        </is>
      </c>
      <c r="AC253"/>
      <c r="AD253" t="inlineStr">
        <is>
          <t xml:space="preserve"> hiring for service crew,  front desk x2-3, kl,</t>
        </is>
      </c>
      <c r="AE253"/>
      <c r="AF253">
        <v>5000</v>
      </c>
      <c r="AG253" s="4"/>
      <c r="AH253" s="4"/>
      <c r="AI253">
        <v>5000</v>
      </c>
      <c r="AJ253">
        <v>1</v>
      </c>
      <c r="AK253" t="inlineStr">
        <is>
          <t>No, but I want in future</t>
        </is>
      </c>
      <c r="AL253">
        <v>1</v>
      </c>
      <c r="AM253" t="inlineStr">
        <is>
          <t>No, but I want in future</t>
        </is>
      </c>
      <c r="AN253"/>
      <c r="AO253" t="inlineStr">
        <is>
          <t>No, but I want in future</t>
        </is>
      </c>
      <c r="AP253" t="inlineStr">
        <is>
          <t>Once per quarter (75%)</t>
        </is>
      </c>
      <c r="AQ253">
        <v>4</v>
      </c>
      <c r="AR253" t="inlineStr">
        <is>
          <t>Did not use any job portal</t>
        </is>
      </c>
      <c r="AS253" t="inlineStr">
        <is>
          <t>- Headcount: 3
- Hiring Job Details: service crew, front desk x2-3, kl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is>
      </c>
      <c r="AT253">
        <v>95</v>
      </c>
      <c r="AU253" t="inlineStr">
        <is>
          <t>0.95</t>
        </is>
      </c>
      <c r="AV253" t="inlineStr">
        <is>
          <t>15</t>
        </is>
      </c>
      <c r="AW253" t="inlineStr">
        <is>
          <t>0</t>
        </is>
      </c>
      <c r="AX253" t="inlineStr">
        <is>
          <t>Not Qualified</t>
        </is>
      </c>
      <c r="AY253" s="4"/>
      <c r="AZ253"/>
      <c r="BA253"/>
      <c r="BB253"/>
      <c r="BC253" t="inlineStr">
        <is>
          <t>Call Ms Ika 60194035203 , future might hiring for service crew,  front desk x2-3, kl, email promo - promabstaff@gmail.com</t>
        </is>
      </c>
      <c r="BD253" s="4">
        <v>46142.726539351854</v>
      </c>
      <c r="BE253"/>
      <c r="BF253"/>
      <c r="BG253" t="inlineStr">
        <is>
          <t>Reschedule</t>
        </is>
      </c>
      <c r="BH253" t="inlineStr">
        <is>
          <t>Reagen</t>
        </is>
      </c>
      <c r="BI253" t="inlineStr">
        <is>
          <t>Hotel / Hospitality</t>
        </is>
      </c>
      <c r="BJ253" s="4">
        <v>46144.75104166667</v>
      </c>
      <c r="BK253" s="4">
        <v>44778.45104166667</v>
      </c>
      <c r="BL253" t="inlineStr">
        <is>
          <t>0.0</t>
        </is>
      </c>
      <c r="BM253" t="inlineStr">
        <is>
          <t>0.0</t>
        </is>
      </c>
      <c r="BN253" t="inlineStr">
        <is>
          <t>User Visit(Logged In)</t>
        </is>
      </c>
      <c r="BO253" s="4">
        <v>45947.58255787037</v>
      </c>
      <c r="BP253">
        <v>169739</v>
      </c>
      <c r="BQ253"/>
      <c r="BR253"/>
      <c r="BS253"/>
      <c r="BT253"/>
      <c r="BU253"/>
      <c r="BV253">
        <v>2738380</v>
      </c>
      <c r="BW253" t="inlineStr">
        <is>
          <t>Inquire for Hiring Needs : Quotation Sent 50%</t>
        </is>
      </c>
      <c r="BX253"/>
      <c r="BY253"/>
      <c r="BZ253" s="4"/>
      <c r="CA253"/>
      <c r="CB253"/>
      <c r="CC253" s="4"/>
      <c r="CD253" t="inlineStr">
        <is>
          <t>20</t>
        </is>
      </c>
      <c r="CE253" t="inlineStr">
        <is>
          <t>0</t>
        </is>
      </c>
      <c r="CF253" t="inlineStr">
        <is>
          <t>Q2-W04</t>
        </is>
      </c>
      <c r="CG253"/>
      <c r="CH253"/>
      <c r="CI253"/>
      <c r="CJ253" t="inlineStr">
        <is>
          <t>No Paid</t>
        </is>
      </c>
      <c r="CK253" t="inlineStr">
        <is>
          <t>Not Eligible</t>
        </is>
      </c>
      <c r="CL253"/>
      <c r="CM253"/>
    </row>
    <row r="254" ht="25.5" customHeight="1">
      <c r="A254" t="inlineStr">
        <is>
          <t>195535</t>
        </is>
      </c>
      <c r="B254" s="2"/>
      <c r="C254"/>
      <c r="D254" s="3">
        <v>46142.725069444445</v>
      </c>
      <c r="E254" t="inlineStr">
        <is>
          <t>Q2-W04</t>
        </is>
      </c>
      <c r="F254" t="inlineStr">
        <is>
          <t>Janice Yap</t>
        </is>
      </c>
      <c r="G254" t="inlineStr">
        <is>
          <t>Customer</t>
        </is>
      </c>
      <c r="H254" s="2" t="str">
        <f>=HYPERLINK("https://upbox.ajobthing.my/customer/195535", "https://upbox.ajobthing.my/customer/195535")</f>
        <v>https://upbox.ajobthing.my/customer/195535</v>
      </c>
      <c r="I254" t="inlineStr">
        <is>
          <t>Tree In One Sdn Bhd</t>
        </is>
      </c>
      <c r="J254" t="inlineStr">
        <is>
          <t>Dolphin</t>
        </is>
      </c>
      <c r="K254" t="inlineStr">
        <is>
          <t>Janice</t>
        </is>
      </c>
      <c r="L254" s="4"/>
      <c r="M254" s="4">
        <v>46142.722395833334</v>
      </c>
      <c r="N254"/>
      <c r="O254">
        <v>1296</v>
      </c>
      <c r="P254" s="4"/>
      <c r="Q254" s="4">
        <v>45897.78591435185</v>
      </c>
      <c r="R254"/>
      <c r="S254">
        <v>648</v>
      </c>
      <c r="T254" s="4">
        <v>45897.78591435185</v>
      </c>
      <c r="U254" s="4"/>
      <c r="V254"/>
      <c r="W254">
        <v>648</v>
      </c>
      <c r="X254"/>
      <c r="Y254" t="inlineStr">
        <is>
          <t>Pending Appointment</t>
        </is>
      </c>
      <c r="Z254" t="inlineStr">
        <is>
          <t>Hiring Now</t>
        </is>
      </c>
      <c r="AA254">
        <v>1</v>
      </c>
      <c r="AB254" t="inlineStr">
        <is>
          <t>No Appointment Made</t>
        </is>
      </c>
      <c r="AC254"/>
      <c r="AD254" t="inlineStr">
        <is>
          <t>1 sales executive</t>
        </is>
      </c>
      <c r="AE254"/>
      <c r="AF254">
        <v>0</v>
      </c>
      <c r="AG254" s="4"/>
      <c r="AH254" s="4"/>
      <c r="AI254">
        <v>0</v>
      </c>
      <c r="AJ254"/>
      <c r="AK254" t="inlineStr">
        <is>
          <t>No, I don't need at all</t>
        </is>
      </c>
      <c r="AL254">
        <v>0</v>
      </c>
      <c r="AM254" t="inlineStr">
        <is>
          <t>No, I don't need at all</t>
        </is>
      </c>
      <c r="AN254"/>
      <c r="AO254" t="inlineStr">
        <is>
          <t>No, I don't need at all</t>
        </is>
      </c>
      <c r="AP254" t="inlineStr">
        <is>
          <t>Once a year (25%)</t>
        </is>
      </c>
      <c r="AQ254">
        <v>1</v>
      </c>
      <c r="AR254"/>
      <c r="AS254" t="inlineStr">
        <is>
          <t>- Headcount: 1
- Hiring Job Details: 1 sales executive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254">
        <v>105</v>
      </c>
      <c r="AU254" t="inlineStr">
        <is>
          <t>1.05</t>
        </is>
      </c>
      <c r="AV254" t="inlineStr">
        <is>
          <t>15</t>
        </is>
      </c>
      <c r="AW254" t="inlineStr">
        <is>
          <t>0</t>
        </is>
      </c>
      <c r="AX254" t="inlineStr">
        <is>
          <t>Not Qualified</t>
        </is>
      </c>
      <c r="AY254" s="4"/>
      <c r="AZ254"/>
      <c r="BA254"/>
      <c r="BB254"/>
      <c r="BC254" t="inlineStr">
        <is>
          <t>1 sales executive // prefer ala-carte plan cause don't have many positions // prefer mandarin // urgent hiring // share QN</t>
        </is>
      </c>
      <c r="BD254" s="4">
        <v>46142.72542824074</v>
      </c>
      <c r="BE254" t="inlineStr">
        <is>
          <t>paid</t>
        </is>
      </c>
      <c r="BF254"/>
      <c r="BG254" t="inlineStr">
        <is>
          <t>Reschedule</t>
        </is>
      </c>
      <c r="BH254" t="inlineStr">
        <is>
          <t>Yee Hang</t>
        </is>
      </c>
      <c r="BI254" t="inlineStr">
        <is>
          <t>General / Wholesale Trading</t>
        </is>
      </c>
      <c r="BJ254" s="4">
        <v>46144.7527662037</v>
      </c>
      <c r="BK254" s="4">
        <v>45897.7559375</v>
      </c>
      <c r="BL254" t="inlineStr">
        <is>
          <t>648.0</t>
        </is>
      </c>
      <c r="BM254" t="inlineStr">
        <is>
          <t>600.0</t>
        </is>
      </c>
      <c r="BN254" t="inlineStr">
        <is>
          <t>View Jobmanager Page</t>
        </is>
      </c>
      <c r="BO254" s="4">
        <v>45966.548738425925</v>
      </c>
      <c r="BP254">
        <v>169740</v>
      </c>
      <c r="BQ254">
        <v>81984</v>
      </c>
      <c r="BR254" t="inlineStr">
        <is>
          <t>Online</t>
        </is>
      </c>
      <c r="BS254"/>
      <c r="BT254">
        <v>81984</v>
      </c>
      <c r="BU254"/>
      <c r="BV254">
        <v>2738374</v>
      </c>
      <c r="BW254" t="inlineStr">
        <is>
          <t>Inquire for Hiring Needs : Quotation Sent 50%</t>
        </is>
      </c>
      <c r="BX254"/>
      <c r="BY254"/>
      <c r="BZ254" s="4"/>
      <c r="CA254"/>
      <c r="CB254"/>
      <c r="CC254" s="4"/>
      <c r="CD254" t="inlineStr">
        <is>
          <t>20</t>
        </is>
      </c>
      <c r="CE254" t="inlineStr">
        <is>
          <t>0</t>
        </is>
      </c>
      <c r="CF254" t="inlineStr">
        <is>
          <t>Q2-W04</t>
        </is>
      </c>
      <c r="CG254"/>
      <c r="CH254"/>
      <c r="CI254"/>
      <c r="CJ254" t="inlineStr">
        <is>
          <t>Paid</t>
        </is>
      </c>
      <c r="CK254" t="inlineStr">
        <is>
          <t>Not Eligible</t>
        </is>
      </c>
      <c r="CL254"/>
      <c r="CM254"/>
    </row>
    <row r="255" ht="25.5" customHeight="1">
      <c r="A255" t="inlineStr">
        <is>
          <t>194300</t>
        </is>
      </c>
      <c r="B255" s="2"/>
      <c r="C255"/>
      <c r="D255" s="3">
        <v>46142.72577546296</v>
      </c>
      <c r="E255" t="inlineStr">
        <is>
          <t>Q2-W04</t>
        </is>
      </c>
      <c r="F255" t="inlineStr">
        <is>
          <t>Ken Yi</t>
        </is>
      </c>
      <c r="G255" t="inlineStr">
        <is>
          <t>Customer</t>
        </is>
      </c>
      <c r="H255" s="2" t="str">
        <f>=HYPERLINK("https://upbox.ajobthing.my/customer/194300", "https://upbox.ajobthing.my/customer/194300")</f>
        <v>https://upbox.ajobthing.my/customer/194300</v>
      </c>
      <c r="I255" t="inlineStr">
        <is>
          <t>Triple Blessings Trade &amp; Distribution Sdn.&amp;nbsp;Bhd.</t>
        </is>
      </c>
      <c r="J255" t="inlineStr">
        <is>
          <t>Dolphin</t>
        </is>
      </c>
      <c r="K255" t="inlineStr">
        <is>
          <t>Kenyi</t>
        </is>
      </c>
      <c r="L255" s="4"/>
      <c r="M255" s="4">
        <v>46142.725173611114</v>
      </c>
      <c r="N255"/>
      <c r="O255">
        <v>3576.96</v>
      </c>
      <c r="P255" s="4"/>
      <c r="Q255" s="4">
        <v>45883.61436342593</v>
      </c>
      <c r="R255"/>
      <c r="S255">
        <v>3577</v>
      </c>
      <c r="T255" s="4">
        <v>45883.61436342593</v>
      </c>
      <c r="U255" s="4"/>
      <c r="V255"/>
      <c r="W255">
        <v>3577</v>
      </c>
      <c r="X255"/>
      <c r="Y255" t="inlineStr">
        <is>
          <t>Pending Appointment</t>
        </is>
      </c>
      <c r="Z255" t="inlineStr">
        <is>
          <t>Hiring Now</t>
        </is>
      </c>
      <c r="AA255">
        <v>0</v>
      </c>
      <c r="AB255" t="inlineStr">
        <is>
          <t>No Appointment Made</t>
        </is>
      </c>
      <c r="AC255"/>
      <c r="AD255" t="inlineStr">
        <is>
          <t>Same</t>
        </is>
      </c>
      <c r="AE255"/>
      <c r="AF255">
        <v>3577</v>
      </c>
      <c r="AG255" s="4"/>
      <c r="AH255" s="4"/>
      <c r="AI255">
        <v>0</v>
      </c>
      <c r="AJ255">
        <v>1</v>
      </c>
      <c r="AK255" t="inlineStr">
        <is>
          <t>No, I don't need at all</t>
        </is>
      </c>
      <c r="AL255">
        <v>1</v>
      </c>
      <c r="AM255" t="inlineStr">
        <is>
          <t>No, I don't need at all</t>
        </is>
      </c>
      <c r="AN255"/>
      <c r="AO255" t="inlineStr">
        <is>
          <t>No, I don't need at all</t>
        </is>
      </c>
      <c r="AP255" t="inlineStr">
        <is>
          <t>Every month (100%)</t>
        </is>
      </c>
      <c r="AQ255">
        <v>0</v>
      </c>
      <c r="AR255" t="inlineStr">
        <is>
          <t>Did not use any job portal</t>
        </is>
      </c>
      <c r="AS255" t="inlineStr">
        <is>
          <t>- Headcount: 0
- Hiring Job Details: Same
- Hiring Urgency: Hiring Now
- Number of outlets: 1
- Have recruiter team: No, I don't need at all
- Number of recruiter in company: 1
- Have ATS system: No, I don't need at all
- Have career website: No, I don't need at all
- Current hiring budget: RM3,577
- Whole year budget: RM0.00
- Whole year number of vacancies: 0
- Hiring frequency: Every month (100%)
- External job portal: Did not use any job portal</t>
        </is>
      </c>
      <c r="AT255">
        <v>65</v>
      </c>
      <c r="AU255" t="inlineStr">
        <is>
          <t>0.65</t>
        </is>
      </c>
      <c r="AV255" t="inlineStr">
        <is>
          <t>15</t>
        </is>
      </c>
      <c r="AW255" t="inlineStr">
        <is>
          <t>0</t>
        </is>
      </c>
      <c r="AX255" t="inlineStr">
        <is>
          <t>Not Qualified</t>
        </is>
      </c>
      <c r="AY255" s="4"/>
      <c r="AZ255"/>
      <c r="BA255"/>
      <c r="BB255"/>
      <c r="BC255" t="inlineStr">
        <is>
          <t>Renew</t>
        </is>
      </c>
      <c r="BD255" s="4">
        <v>46142.725798611114</v>
      </c>
      <c r="BE255" t="inlineStr">
        <is>
          <t>paid</t>
        </is>
      </c>
      <c r="BF255"/>
      <c r="BG255" t="inlineStr">
        <is>
          <t>Reschedule</t>
        </is>
      </c>
      <c r="BH255" t="inlineStr">
        <is>
          <t>Fauziah Maharan</t>
        </is>
      </c>
      <c r="BI255" t="inlineStr">
        <is>
          <t>Retail / Merchandise</t>
        </is>
      </c>
      <c r="BJ255" s="4">
        <v>46144.75269675926</v>
      </c>
      <c r="BK255" s="4">
        <v>45866.62572916667</v>
      </c>
      <c r="BL255" t="inlineStr">
        <is>
          <t>3577.0</t>
        </is>
      </c>
      <c r="BM255" t="inlineStr">
        <is>
          <t>0.0</t>
        </is>
      </c>
      <c r="BN255" t="inlineStr">
        <is>
          <t>View Jobmanager Page</t>
        </is>
      </c>
      <c r="BO255" s="4">
        <v>46028.66005787037</v>
      </c>
      <c r="BP255">
        <v>169741</v>
      </c>
      <c r="BQ255">
        <v>6261</v>
      </c>
      <c r="BR255" t="inlineStr">
        <is>
          <t>Manual (Paid)</t>
        </is>
      </c>
      <c r="BS255" t="inlineStr">
        <is>
          <t>AI Yearly Standard Plan
- AI Yearly Standard Plan of 3 Instant Job Ads + 3 Free Instant Job Ads with Booster
- 6 AI Job Ad will be published on Maukerja, Ricebowl and our partner platforms
- 6 AI Job Ad will be published for 45 days
- 6 Booster Plus
- 60 Free Candidates Profiles Unlock
- 3 Free Intern or Manager Job
- 1 Free Company Page (Brand Basic)
- Package valid for 1 year
- AI Capability for each AI Job Ad
- AI Instant Match for 50 profiles
- AI Daily Talent Recommendation for 10 profiles daily
- AI "Open to Work" Detector for 10 profiles for 10 days
- AI Smart Filter
- AI Post Job Assistant
- AI Pre-Call Notifier
- Ajobthing CARE</t>
        </is>
      </c>
      <c r="BT255">
        <v>6261</v>
      </c>
      <c r="BU255"/>
      <c r="BV255">
        <v>2738377</v>
      </c>
      <c r="BW255" t="inlineStr">
        <is>
          <t>Follow Up : Quotation Sent 50%</t>
        </is>
      </c>
      <c r="BX255">
        <v>6</v>
      </c>
      <c r="BY255">
        <v>0</v>
      </c>
      <c r="BZ255" s="4">
        <v>46010.84278935185</v>
      </c>
      <c r="CA255">
        <v>60</v>
      </c>
      <c r="CB255">
        <v>52</v>
      </c>
      <c r="CC255" s="4">
        <v>46015.344988425924</v>
      </c>
      <c r="CD255" t="inlineStr">
        <is>
          <t>20</t>
        </is>
      </c>
      <c r="CE255" t="inlineStr">
        <is>
          <t>0</t>
        </is>
      </c>
      <c r="CF255" t="inlineStr">
        <is>
          <t>Q2-W04</t>
        </is>
      </c>
      <c r="CG255"/>
      <c r="CH255"/>
      <c r="CI255"/>
      <c r="CJ255" t="inlineStr">
        <is>
          <t>Paid</t>
        </is>
      </c>
      <c r="CK255" t="inlineStr">
        <is>
          <t>Not Eligible</t>
        </is>
      </c>
      <c r="CL255"/>
      <c r="CM255"/>
    </row>
    <row r="256" ht="25.5" customHeight="1">
      <c r="A256" t="inlineStr">
        <is>
          <t>180348</t>
        </is>
      </c>
      <c r="B256" s="2"/>
      <c r="C256"/>
      <c r="D256" s="3">
        <v>46142.7262962963</v>
      </c>
      <c r="E256" t="inlineStr">
        <is>
          <t>Q2-W04</t>
        </is>
      </c>
      <c r="F256" t="inlineStr">
        <is>
          <t>Yuli</t>
        </is>
      </c>
      <c r="G256" t="inlineStr">
        <is>
          <t>Customer</t>
        </is>
      </c>
      <c r="H256" s="2" t="str">
        <f>=HYPERLINK("https://upbox.ajobthing.my/customer/180348", "https://upbox.ajobthing.my/customer/180348")</f>
        <v>https://upbox.ajobthing.my/customer/180348</v>
      </c>
      <c r="I256" t="inlineStr">
        <is>
          <t>Nusrah Group (M) Sdn. Bhd.</t>
        </is>
      </c>
      <c r="J256" t="inlineStr">
        <is>
          <t>Dolphin</t>
        </is>
      </c>
      <c r="K256" t="inlineStr">
        <is>
          <t>YuLi</t>
        </is>
      </c>
      <c r="L256" s="4"/>
      <c r="M256" s="4">
        <v>46142.72715277778</v>
      </c>
      <c r="N256"/>
      <c r="O256">
        <v>1296</v>
      </c>
      <c r="P256" s="4"/>
      <c r="Q256" s="4">
        <v>46141.50042824074</v>
      </c>
      <c r="R256"/>
      <c r="S256">
        <v>0</v>
      </c>
      <c r="T256" s="4">
        <v>45880.61481481481</v>
      </c>
      <c r="U256" s="4"/>
      <c r="V256"/>
      <c r="W256">
        <v>1296</v>
      </c>
      <c r="X256"/>
      <c r="Y256" t="inlineStr">
        <is>
          <t>Pending Appointment</t>
        </is>
      </c>
      <c r="Z256" t="inlineStr">
        <is>
          <t>Hiring Now</t>
        </is>
      </c>
      <c r="AA256">
        <v>2</v>
      </c>
      <c r="AB256" t="inlineStr">
        <is>
          <t>No Appointment Made</t>
        </is>
      </c>
      <c r="AC256"/>
      <c r="AD256" t="inlineStr">
        <is>
          <t>2 Dentist</t>
        </is>
      </c>
      <c r="AE256"/>
      <c r="AF256"/>
      <c r="AG256" s="4"/>
      <c r="AH256" s="4"/>
      <c r="AI256"/>
      <c r="AJ256"/>
      <c r="AK256"/>
      <c r="AL256"/>
      <c r="AM256"/>
      <c r="AN256"/>
      <c r="AO256"/>
      <c r="AP256"/>
      <c r="AQ256"/>
      <c r="AR256" t="inlineStr">
        <is>
          <t>Jobstreet</t>
        </is>
      </c>
      <c r="AS256" t="inlineStr">
        <is>
          <t>- Headcount: 2
- Hiring Job Details: 2 Dentist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256">
        <v>75</v>
      </c>
      <c r="AU256" t="inlineStr">
        <is>
          <t>0.75</t>
        </is>
      </c>
      <c r="AV256" t="inlineStr">
        <is>
          <t>5</t>
        </is>
      </c>
      <c r="AW256" t="inlineStr">
        <is>
          <t>0</t>
        </is>
      </c>
      <c r="AX256" t="inlineStr">
        <is>
          <t>Not Qualified</t>
        </is>
      </c>
      <c r="AY256" s="4"/>
      <c r="AZ256"/>
      <c r="BA256"/>
      <c r="BB256"/>
      <c r="BC256" t="inlineStr">
        <is>
          <t>called but no answered</t>
        </is>
      </c>
      <c r="BD256" s="4">
        <v>46143.83540509259</v>
      </c>
      <c r="BE256" t="inlineStr">
        <is>
          <t>paid</t>
        </is>
      </c>
      <c r="BF256"/>
      <c r="BG256" t="inlineStr">
        <is>
          <t>Reschedule</t>
        </is>
      </c>
      <c r="BH256" t="inlineStr">
        <is>
          <t>Fauziah Maharan</t>
        </is>
      </c>
      <c r="BI256" t="inlineStr">
        <is>
          <t>Healthcare / Medical</t>
        </is>
      </c>
      <c r="BJ256" s="4">
        <v>46144.75181712963</v>
      </c>
      <c r="BK256" s="4">
        <v>45483.40697916667</v>
      </c>
      <c r="BL256" t="inlineStr">
        <is>
          <t>1296.0</t>
        </is>
      </c>
      <c r="BM256" t="inlineStr">
        <is>
          <t>0.0</t>
        </is>
      </c>
      <c r="BN256" t="inlineStr">
        <is>
          <t>View Jobmanager Page</t>
        </is>
      </c>
      <c r="BO256" s="4">
        <v>45925.62152777778</v>
      </c>
      <c r="BP256">
        <v>169742</v>
      </c>
      <c r="BQ256">
        <v>124050</v>
      </c>
      <c r="BR256" t="inlineStr">
        <is>
          <t>Proforma</t>
        </is>
      </c>
      <c r="BS256" t="inlineStr">
        <is>
          <t>Free Part-Time Job</t>
        </is>
      </c>
      <c r="BT256">
        <v>81462</v>
      </c>
      <c r="BU256"/>
      <c r="BV256">
        <v>2739165</v>
      </c>
      <c r="BW256" t="inlineStr">
        <is>
          <t>No Answer : Voicemail - WA sent to customer</t>
        </is>
      </c>
      <c r="BX256">
        <v>2</v>
      </c>
      <c r="BY256">
        <v>2</v>
      </c>
      <c r="BZ256" s="4"/>
      <c r="CA256"/>
      <c r="CB256"/>
      <c r="CC256" s="4"/>
      <c r="CD256" t="inlineStr">
        <is>
          <t>5</t>
        </is>
      </c>
      <c r="CE256" t="inlineStr">
        <is>
          <t>0</t>
        </is>
      </c>
      <c r="CF256" t="inlineStr">
        <is>
          <t>Q2-W04</t>
        </is>
      </c>
      <c r="CG256" t="inlineStr">
        <is>
          <t>Q2-W04</t>
        </is>
      </c>
      <c r="CH256"/>
      <c r="CI256"/>
      <c r="CJ256" t="inlineStr">
        <is>
          <t>Paid</t>
        </is>
      </c>
      <c r="CK256" t="inlineStr">
        <is>
          <t>Not Eligible</t>
        </is>
      </c>
      <c r="CL256"/>
      <c r="CM256"/>
    </row>
    <row r="257" ht="25.5" customHeight="1">
      <c r="A257" t="inlineStr">
        <is>
          <t>203843</t>
        </is>
      </c>
      <c r="B257" s="2"/>
      <c r="C257"/>
      <c r="D257" s="3">
        <v>46142.72861111111</v>
      </c>
      <c r="E257" t="inlineStr">
        <is>
          <t>Q2-W04</t>
        </is>
      </c>
      <c r="F257" t="inlineStr">
        <is>
          <t>Carmen</t>
        </is>
      </c>
      <c r="G257" t="inlineStr">
        <is>
          <t>Customer</t>
        </is>
      </c>
      <c r="H257" s="2" t="str">
        <f>=HYPERLINK("https://upbox.ajobthing.my/customer/203843", "https://upbox.ajobthing.my/customer/203843")</f>
        <v>https://upbox.ajobthing.my/customer/203843</v>
      </c>
      <c r="I257" t="inlineStr">
        <is>
          <t>Rhumajaya Sea Products Sdn Bhd</t>
        </is>
      </c>
      <c r="J257" t="inlineStr">
        <is>
          <t>Dolphin</t>
        </is>
      </c>
      <c r="K257" t="inlineStr">
        <is>
          <t>Carmen</t>
        </is>
      </c>
      <c r="L257" s="4"/>
      <c r="M257" s="4">
        <v>46142.72869212963</v>
      </c>
      <c r="N257"/>
      <c r="O257">
        <v>3888</v>
      </c>
      <c r="P257" s="4"/>
      <c r="Q257" s="4"/>
      <c r="R257"/>
      <c r="S257"/>
      <c r="T257" s="4"/>
      <c r="U257" s="4"/>
      <c r="V257"/>
      <c r="W257"/>
      <c r="X257"/>
      <c r="Y257" t="inlineStr">
        <is>
          <t>Pending Appointment</t>
        </is>
      </c>
      <c r="Z257" t="inlineStr">
        <is>
          <t>Hiring Now</t>
        </is>
      </c>
      <c r="AA257">
        <v>3</v>
      </c>
      <c r="AB257" t="inlineStr">
        <is>
          <t>No Appointment Made</t>
        </is>
      </c>
      <c r="AC257"/>
      <c r="AD257" t="inlineStr">
        <is>
          <t>1general clerk ; 1 acct exec ; 1 purchasing cum production</t>
        </is>
      </c>
      <c r="AE257"/>
      <c r="AF257">
        <v>0</v>
      </c>
      <c r="AG257" s="4"/>
      <c r="AH257" s="4"/>
      <c r="AI257"/>
      <c r="AJ257"/>
      <c r="AK257" t="inlineStr">
        <is>
          <t>No, I don't need at all</t>
        </is>
      </c>
      <c r="AL257"/>
      <c r="AM257"/>
      <c r="AN257"/>
      <c r="AO257"/>
      <c r="AP257" t="inlineStr">
        <is>
          <t>Once per quarter (75%)</t>
        </is>
      </c>
      <c r="AQ257"/>
      <c r="AR257"/>
      <c r="AS257" t="inlineStr">
        <is>
          <t>- Headcount: 3
- Hiring Job Details: 1 general clerk; 1 acct exec; 1 purchasing cum production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per quarter (75%)
- External job portal: Not provided</t>
        </is>
      </c>
      <c r="AT257">
        <v>75</v>
      </c>
      <c r="AU257" t="inlineStr">
        <is>
          <t>0.75</t>
        </is>
      </c>
      <c r="AV257" t="inlineStr">
        <is>
          <t>15</t>
        </is>
      </c>
      <c r="AW257" t="inlineStr">
        <is>
          <t>0</t>
        </is>
      </c>
      <c r="AX257" t="inlineStr">
        <is>
          <t>Not Qualified</t>
        </is>
      </c>
      <c r="AY257" s="4"/>
      <c r="AZ257"/>
      <c r="BA257"/>
      <c r="BB257"/>
      <c r="BC257" t="inlineStr">
        <is>
          <t>Carmen - general clerk ; acct exec ; purchasing cum production ; frozen seafood ; previously used JS ; prefer mandarin speaker ; malay also can</t>
        </is>
      </c>
      <c r="BD257" s="4">
        <v>46142.730405092596</v>
      </c>
      <c r="BE257"/>
      <c r="BF257"/>
      <c r="BG257" t="inlineStr">
        <is>
          <t>Reschedule</t>
        </is>
      </c>
      <c r="BH257" t="inlineStr">
        <is>
          <t>Reagen</t>
        </is>
      </c>
      <c r="BI257" t="inlineStr">
        <is>
          <t>Manufacturing / Production</t>
        </is>
      </c>
      <c r="BJ257" s="4">
        <v>46144.7544212963</v>
      </c>
      <c r="BK257" s="4">
        <v>46142.71319444444</v>
      </c>
      <c r="BL257" t="inlineStr">
        <is>
          <t>0.0</t>
        </is>
      </c>
      <c r="BM257" t="inlineStr">
        <is>
          <t>0.0</t>
        </is>
      </c>
      <c r="BN257" t="inlineStr">
        <is>
          <t>View Company Page</t>
        </is>
      </c>
      <c r="BO257" s="4">
        <v>46142.717210648145</v>
      </c>
      <c r="BP257">
        <v>169743</v>
      </c>
      <c r="BQ257"/>
      <c r="BR257"/>
      <c r="BS257"/>
      <c r="BT257"/>
      <c r="BU257"/>
      <c r="BV257">
        <v>2738416</v>
      </c>
      <c r="BW257" t="inlineStr">
        <is>
          <t>Inquire for Hiring Needs : Quotation Sent 50%</t>
        </is>
      </c>
      <c r="BX257"/>
      <c r="BY257"/>
      <c r="BZ257" s="4"/>
      <c r="CA257"/>
      <c r="CB257"/>
      <c r="CC257" s="4"/>
      <c r="CD257" t="inlineStr">
        <is>
          <t>20</t>
        </is>
      </c>
      <c r="CE257" t="inlineStr">
        <is>
          <t>0</t>
        </is>
      </c>
      <c r="CF257" t="inlineStr">
        <is>
          <t>Q2-W04</t>
        </is>
      </c>
      <c r="CG257"/>
      <c r="CH257"/>
      <c r="CI257"/>
      <c r="CJ257" t="inlineStr">
        <is>
          <t>No Paid</t>
        </is>
      </c>
      <c r="CK257" t="inlineStr">
        <is>
          <t>Not Eligible</t>
        </is>
      </c>
      <c r="CL257"/>
      <c r="CM257"/>
    </row>
    <row r="258" ht="25.5" customHeight="1">
      <c r="A258" t="inlineStr">
        <is>
          <t>181651</t>
        </is>
      </c>
      <c r="B258" s="2"/>
      <c r="C258"/>
      <c r="D258" s="3">
        <v>46142.730405092596</v>
      </c>
      <c r="E258" t="inlineStr">
        <is>
          <t>Q2-W04</t>
        </is>
      </c>
      <c r="F258" t="inlineStr">
        <is>
          <t>Clover</t>
        </is>
      </c>
      <c r="G258" t="inlineStr">
        <is>
          <t>Customer</t>
        </is>
      </c>
      <c r="H258" s="2" t="str">
        <f>=HYPERLINK("https://upbox.ajobthing.my/customer/181651", "https://upbox.ajobthing.my/customer/181651")</f>
        <v>https://upbox.ajobthing.my/customer/181651</v>
      </c>
      <c r="I258" t="inlineStr">
        <is>
          <t>KNH Engineering &amp; Construction (M) Sdn Bhd</t>
        </is>
      </c>
      <c r="J258" t="inlineStr">
        <is>
          <t>Dolphin</t>
        </is>
      </c>
      <c r="K258" t="inlineStr">
        <is>
          <t>Clover</t>
        </is>
      </c>
      <c r="L258" s="4"/>
      <c r="M258" s="4">
        <v>46142.73086805556</v>
      </c>
      <c r="N258"/>
      <c r="O258">
        <v>5412.96</v>
      </c>
      <c r="P258" s="4"/>
      <c r="Q258" s="4">
        <v>45764.382268518515</v>
      </c>
      <c r="R258"/>
      <c r="S258">
        <v>648</v>
      </c>
      <c r="T258" s="4">
        <v>45744.73599537037</v>
      </c>
      <c r="U258" s="4"/>
      <c r="V258"/>
      <c r="W258">
        <v>3132</v>
      </c>
      <c r="X258"/>
      <c r="Y258" t="inlineStr">
        <is>
          <t>Pending Appointment</t>
        </is>
      </c>
      <c r="Z258" t="inlineStr">
        <is>
          <t>Hiring Later</t>
        </is>
      </c>
      <c r="AA258">
        <v>4</v>
      </c>
      <c r="AB258" t="inlineStr">
        <is>
          <t>No Appointment Made</t>
        </is>
      </c>
      <c r="AC258"/>
      <c r="AD258" t="inlineStr">
        <is>
          <t>construction supervisor x1-2, qs x1-2, all races, kl</t>
        </is>
      </c>
      <c r="AE258"/>
      <c r="AF258">
        <v>5000</v>
      </c>
      <c r="AG258" s="4"/>
      <c r="AH258" s="4"/>
      <c r="AI258">
        <v>5000</v>
      </c>
      <c r="AJ258">
        <v>1</v>
      </c>
      <c r="AK258" t="inlineStr">
        <is>
          <t>No, but I want in future</t>
        </is>
      </c>
      <c r="AL258">
        <v>1</v>
      </c>
      <c r="AM258" t="inlineStr">
        <is>
          <t>No, but I want in future</t>
        </is>
      </c>
      <c r="AN258"/>
      <c r="AO258" t="inlineStr">
        <is>
          <t>No, but I want in future</t>
        </is>
      </c>
      <c r="AP258" t="inlineStr">
        <is>
          <t>Twice a year (50%)</t>
        </is>
      </c>
      <c r="AQ258">
        <v>2</v>
      </c>
      <c r="AR258" t="inlineStr">
        <is>
          <t>Did not use any job portal</t>
        </is>
      </c>
      <c r="AS258" t="inlineStr">
        <is>
          <t>- Headcount: 4
- Hiring Job Details: construction supervisor x1-2, qs x1-2, all races, kl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Did not use any job portal</t>
        </is>
      </c>
      <c r="AT258">
        <v>105</v>
      </c>
      <c r="AU258" t="inlineStr">
        <is>
          <t>1.05</t>
        </is>
      </c>
      <c r="AV258" t="inlineStr">
        <is>
          <t>15</t>
        </is>
      </c>
      <c r="AW258" t="inlineStr">
        <is>
          <t>0</t>
        </is>
      </c>
      <c r="AX258" t="inlineStr">
        <is>
          <t>Not Qualified</t>
        </is>
      </c>
      <c r="AY258" s="4"/>
      <c r="AZ258"/>
      <c r="BA258"/>
      <c r="BB258"/>
      <c r="BC258" t="inlineStr">
        <is>
          <t>Hiring next quarter, construction supervisor x1-2, qs x1-2, all races, kl,  suggest stand, - email- hr@knhengr.com.my</t>
        </is>
      </c>
      <c r="BD258" s="4">
        <v>46142.73295138889</v>
      </c>
      <c r="BE258" t="inlineStr">
        <is>
          <t>pending</t>
        </is>
      </c>
      <c r="BF258"/>
      <c r="BG258" t="inlineStr">
        <is>
          <t>Reschedule</t>
        </is>
      </c>
      <c r="BH258" t="inlineStr">
        <is>
          <t>Reagen</t>
        </is>
      </c>
      <c r="BI258" t="inlineStr">
        <is>
          <t>Construction / Building</t>
        </is>
      </c>
      <c r="BJ258" s="4">
        <v>46144.751863425925</v>
      </c>
      <c r="BK258" s="4">
        <v>45519.421435185184</v>
      </c>
      <c r="BL258" t="inlineStr">
        <is>
          <t>0.0</t>
        </is>
      </c>
      <c r="BM258" t="inlineStr">
        <is>
          <t>1200.0</t>
        </is>
      </c>
      <c r="BN258" t="inlineStr">
        <is>
          <t>View Jobmanager Page</t>
        </is>
      </c>
      <c r="BO258" s="4">
        <v>45812.42386574074</v>
      </c>
      <c r="BP258">
        <v>169744</v>
      </c>
      <c r="BQ258">
        <v>103450</v>
      </c>
      <c r="BR258" t="inlineStr">
        <is>
          <t>Proforma</t>
        </is>
      </c>
      <c r="BS258" t="inlineStr">
        <is>
          <t>Ala Carte Single</t>
        </is>
      </c>
      <c r="BT258">
        <v>78077</v>
      </c>
      <c r="BU258"/>
      <c r="BV258">
        <v>2738430</v>
      </c>
      <c r="BW258" t="inlineStr">
        <is>
          <t>Inquire for Hiring Needs : Quotation Sent 50%</t>
        </is>
      </c>
      <c r="BX258"/>
      <c r="BY258"/>
      <c r="BZ258" s="4"/>
      <c r="CA258"/>
      <c r="CB258"/>
      <c r="CC258" s="4"/>
      <c r="CD258" t="inlineStr">
        <is>
          <t>20</t>
        </is>
      </c>
      <c r="CE258" t="inlineStr">
        <is>
          <t>0</t>
        </is>
      </c>
      <c r="CF258" t="inlineStr">
        <is>
          <t>Q2-W04</t>
        </is>
      </c>
      <c r="CG258"/>
      <c r="CH258"/>
      <c r="CI258"/>
      <c r="CJ258" t="inlineStr">
        <is>
          <t>Paid</t>
        </is>
      </c>
      <c r="CK258" t="inlineStr">
        <is>
          <t>Not Eligible</t>
        </is>
      </c>
      <c r="CL258"/>
      <c r="CM258"/>
    </row>
    <row r="259" ht="25.5" customHeight="1">
      <c r="A259" t="inlineStr">
        <is>
          <t>193118</t>
        </is>
      </c>
      <c r="B259" s="2"/>
      <c r="C259"/>
      <c r="D259" s="3">
        <v>46142.73684027778</v>
      </c>
      <c r="E259" t="inlineStr">
        <is>
          <t>Q2-W04</t>
        </is>
      </c>
      <c r="F259" t="inlineStr">
        <is>
          <t>Ken Yi</t>
        </is>
      </c>
      <c r="G259" t="inlineStr">
        <is>
          <t>Customer</t>
        </is>
      </c>
      <c r="H259" s="2" t="str">
        <f>=HYPERLINK("https://upbox.ajobthing.my/customer/193118", "https://upbox.ajobthing.my/customer/193118")</f>
        <v>https://upbox.ajobthing.my/customer/193118</v>
      </c>
      <c r="I259" t="inlineStr">
        <is>
          <t>ETL Sinar Solution Sdn Bhd</t>
        </is>
      </c>
      <c r="J259" t="inlineStr">
        <is>
          <t>Dolphin</t>
        </is>
      </c>
      <c r="K259" t="inlineStr">
        <is>
          <t>Kenyi</t>
        </is>
      </c>
      <c r="L259" s="4"/>
      <c r="M259" s="4">
        <v>46142.73775462963</v>
      </c>
      <c r="N259"/>
      <c r="O259">
        <v>3576.96</v>
      </c>
      <c r="P259" s="4"/>
      <c r="Q259" s="4">
        <v>46142.74186342592</v>
      </c>
      <c r="R259"/>
      <c r="S259">
        <v>3576.96</v>
      </c>
      <c r="T259" s="4">
        <v>45839.472592592596</v>
      </c>
      <c r="U259" s="4"/>
      <c r="V259"/>
      <c r="W259">
        <v>2916</v>
      </c>
      <c r="X259"/>
      <c r="Y259" t="inlineStr">
        <is>
          <t>Pending Appointment</t>
        </is>
      </c>
      <c r="Z259" t="inlineStr">
        <is>
          <t>Hiring Now</t>
        </is>
      </c>
      <c r="AA259">
        <v>1</v>
      </c>
      <c r="AB259" t="inlineStr">
        <is>
          <t>No Appointment Made</t>
        </is>
      </c>
      <c r="AC259"/>
      <c r="AD259" t="inlineStr">
        <is>
          <t>Indoor sales 1 , renew</t>
        </is>
      </c>
      <c r="AE259"/>
      <c r="AF259">
        <v>3577</v>
      </c>
      <c r="AG259" s="4"/>
      <c r="AH259" s="4"/>
      <c r="AI259">
        <v>0</v>
      </c>
      <c r="AJ259">
        <v>1</v>
      </c>
      <c r="AK259" t="inlineStr">
        <is>
          <t>Yes, I have</t>
        </is>
      </c>
      <c r="AL259">
        <v>0</v>
      </c>
      <c r="AM259" t="inlineStr">
        <is>
          <t>No, I don't need at all</t>
        </is>
      </c>
      <c r="AN259"/>
      <c r="AO259" t="inlineStr">
        <is>
          <t>No, I don't need at all</t>
        </is>
      </c>
      <c r="AP259" t="inlineStr">
        <is>
          <t>Every month (100%)</t>
        </is>
      </c>
      <c r="AQ259">
        <v>6</v>
      </c>
      <c r="AR259" t="inlineStr">
        <is>
          <t>Did not use any job portal</t>
        </is>
      </c>
      <c r="AS259" t="inlineStr">
        <is>
          <t>- Headcount: 1
- Hiring Job Details: Indoor sales 1, renew
- Hiring Urgency: Hiring Now
- Number of outlets: 1
- Have recruiter team: Yes, I have
- Number of recruiter in company: 0
- Have ATS system: No, I don't need at all
- Have career website: No, I don't need at all
- Current hiring budget: RM3,577
- Whole year budget: RM0.00
- Whole year number of vacancies: 6
- Hiring frequency: Every month (100%)
- External job portal: Did not use any job portal</t>
        </is>
      </c>
      <c r="AT259">
        <v>105</v>
      </c>
      <c r="AU259" t="inlineStr">
        <is>
          <t>1.05</t>
        </is>
      </c>
      <c r="AV259" t="inlineStr">
        <is>
          <t>15</t>
        </is>
      </c>
      <c r="AW259" t="inlineStr">
        <is>
          <t>0</t>
        </is>
      </c>
      <c r="AX259" t="inlineStr">
        <is>
          <t>Not Qualified</t>
        </is>
      </c>
      <c r="AY259" s="4"/>
      <c r="AZ259"/>
      <c r="BA259"/>
      <c r="BB259"/>
      <c r="BC259" t="inlineStr">
        <is>
          <t>Renew Proposal</t>
        </is>
      </c>
      <c r="BD259" s="4">
        <v>46142.736979166664</v>
      </c>
      <c r="BE259" t="inlineStr">
        <is>
          <t>pending</t>
        </is>
      </c>
      <c r="BF259"/>
      <c r="BG259" t="inlineStr">
        <is>
          <t>Reschedule</t>
        </is>
      </c>
      <c r="BH259" t="inlineStr">
        <is>
          <t>Fauziah Maharan</t>
        </is>
      </c>
      <c r="BI259" t="inlineStr">
        <is>
          <t>Telecommunication</t>
        </is>
      </c>
      <c r="BJ259" s="4">
        <v>46144.75261574074</v>
      </c>
      <c r="BK259" s="4">
        <v>45834.76180555556</v>
      </c>
      <c r="BL259" t="inlineStr">
        <is>
          <t>2916.0</t>
        </is>
      </c>
      <c r="BM259" t="inlineStr">
        <is>
          <t>0.0</t>
        </is>
      </c>
      <c r="BN259" t="inlineStr">
        <is>
          <t>View Candidate Search Page</t>
        </is>
      </c>
      <c r="BO259" s="4">
        <v>45973.55677083333</v>
      </c>
      <c r="BP259">
        <v>169745</v>
      </c>
      <c r="BQ259">
        <v>7768</v>
      </c>
      <c r="BR259" t="inlineStr">
        <is>
          <t>Manual</t>
        </is>
      </c>
      <c r="BS259"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59">
        <v>80471</v>
      </c>
      <c r="BU259"/>
      <c r="BV259">
        <v>2738444</v>
      </c>
      <c r="BW259" t="inlineStr">
        <is>
          <t>Follow Up : Quotation Sent 50%</t>
        </is>
      </c>
      <c r="BX259">
        <v>6</v>
      </c>
      <c r="BY259">
        <v>0</v>
      </c>
      <c r="BZ259" s="4">
        <v>45899.63072916667</v>
      </c>
      <c r="CA259">
        <v>120</v>
      </c>
      <c r="CB259">
        <v>118</v>
      </c>
      <c r="CC259" s="4">
        <v>45895.585381944446</v>
      </c>
      <c r="CD259" t="inlineStr">
        <is>
          <t>20</t>
        </is>
      </c>
      <c r="CE259" t="inlineStr">
        <is>
          <t>0</t>
        </is>
      </c>
      <c r="CF259" t="inlineStr">
        <is>
          <t>Q2-W04</t>
        </is>
      </c>
      <c r="CG259" t="inlineStr">
        <is>
          <t>Q2-W04</t>
        </is>
      </c>
      <c r="CH259"/>
      <c r="CI259"/>
      <c r="CJ259" t="inlineStr">
        <is>
          <t>Paid</t>
        </is>
      </c>
      <c r="CK259" t="inlineStr">
        <is>
          <t>Not Eligible</t>
        </is>
      </c>
      <c r="CL259"/>
      <c r="CM259"/>
    </row>
    <row r="260" ht="25.5" customHeight="1">
      <c r="A260" t="inlineStr">
        <is>
          <t>170227</t>
        </is>
      </c>
      <c r="B260" s="2"/>
      <c r="C260"/>
      <c r="D260" s="3">
        <v>46142.74744212963</v>
      </c>
      <c r="E260" t="inlineStr">
        <is>
          <t>Q2-W04</t>
        </is>
      </c>
      <c r="F260" t="inlineStr">
        <is>
          <t>Clover</t>
        </is>
      </c>
      <c r="G260" t="inlineStr">
        <is>
          <t>Customer</t>
        </is>
      </c>
      <c r="H260" s="2" t="str">
        <f>=HYPERLINK("https://upbox.ajobthing.my/customer/170227", "https://upbox.ajobthing.my/customer/170227")</f>
        <v>https://upbox.ajobthing.my/customer/170227</v>
      </c>
      <c r="I260" t="inlineStr">
        <is>
          <t>PL Starter &amp; Auto Parts Sdn Bhd</t>
        </is>
      </c>
      <c r="J260" t="inlineStr">
        <is>
          <t>Dolphin</t>
        </is>
      </c>
      <c r="K260" t="inlineStr">
        <is>
          <t>Clover</t>
        </is>
      </c>
      <c r="L260" s="4"/>
      <c r="M260" s="4">
        <v>46142.74795138889</v>
      </c>
      <c r="N260"/>
      <c r="O260">
        <v>6048</v>
      </c>
      <c r="P260" s="4"/>
      <c r="Q260" s="4">
        <v>46100.41689814815</v>
      </c>
      <c r="R260"/>
      <c r="S260">
        <v>0</v>
      </c>
      <c r="T260" s="4">
        <v>45518.474814814814</v>
      </c>
      <c r="U260" s="4"/>
      <c r="V260"/>
      <c r="W260">
        <v>2700</v>
      </c>
      <c r="X260"/>
      <c r="Y260" t="inlineStr">
        <is>
          <t>Pending Appointment</t>
        </is>
      </c>
      <c r="Z260" t="inlineStr">
        <is>
          <t>Hiring Later</t>
        </is>
      </c>
      <c r="AA260">
        <v>4</v>
      </c>
      <c r="AB260" t="inlineStr">
        <is>
          <t>No Appointment Made</t>
        </is>
      </c>
      <c r="AC260"/>
      <c r="AD260" t="inlineStr">
        <is>
          <t>technician x1-2, sales exec x1-2, all races, auto parts puchong</t>
        </is>
      </c>
      <c r="AE260"/>
      <c r="AF260">
        <v>5000</v>
      </c>
      <c r="AG260" s="4"/>
      <c r="AH260" s="4"/>
      <c r="AI260">
        <v>5000</v>
      </c>
      <c r="AJ260">
        <v>1</v>
      </c>
      <c r="AK260" t="inlineStr">
        <is>
          <t>No, but I want in future</t>
        </is>
      </c>
      <c r="AL260">
        <v>1</v>
      </c>
      <c r="AM260" t="inlineStr">
        <is>
          <t>No, but I want in future</t>
        </is>
      </c>
      <c r="AN260"/>
      <c r="AO260" t="inlineStr">
        <is>
          <t>No, but I want in future</t>
        </is>
      </c>
      <c r="AP260" t="inlineStr">
        <is>
          <t>Twice a year (50%)</t>
        </is>
      </c>
      <c r="AQ260">
        <v>4</v>
      </c>
      <c r="AR260" t="inlineStr">
        <is>
          <t>Did not use any job portal</t>
        </is>
      </c>
      <c r="AS260" t="inlineStr">
        <is>
          <t>- Headcount: 4
- Hiring Job Details: technician x1-2, sales exec x1-2, all races, auto parts puchong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Twice a year (50%)
- External job portal: Did not use any</t>
        </is>
      </c>
      <c r="AT260">
        <v>90</v>
      </c>
      <c r="AU260" t="inlineStr">
        <is>
          <t>0.90</t>
        </is>
      </c>
      <c r="AV260" t="inlineStr">
        <is>
          <t>15</t>
        </is>
      </c>
      <c r="AW260" t="inlineStr">
        <is>
          <t>0</t>
        </is>
      </c>
      <c r="AX260" t="inlineStr">
        <is>
          <t>Not Qualified</t>
        </is>
      </c>
      <c r="AY260" s="4"/>
      <c r="AZ260"/>
      <c r="BA260"/>
      <c r="BB260"/>
      <c r="BC260" t="inlineStr">
        <is>
          <t>Ms Icol, maybe hire next 2 quarter, technician x1-2, sales exec x1-2, all races, auto parts puchong, suggest stand/pro</t>
        </is>
      </c>
      <c r="BD260" s="4">
        <v>46142.75016203704</v>
      </c>
      <c r="BE260" t="inlineStr">
        <is>
          <t>paid</t>
        </is>
      </c>
      <c r="BF260"/>
      <c r="BG260" t="inlineStr">
        <is>
          <t>Reschedule</t>
        </is>
      </c>
      <c r="BH260" t="inlineStr">
        <is>
          <t>Reagen</t>
        </is>
      </c>
      <c r="BI260" t="inlineStr">
        <is>
          <t>Automobile / Automotive</t>
        </is>
      </c>
      <c r="BJ260" s="4">
        <v>46144.75140046296</v>
      </c>
      <c r="BK260" s="4">
        <v>45154.736967592595</v>
      </c>
      <c r="BL260" t="inlineStr">
        <is>
          <t>0.0</t>
        </is>
      </c>
      <c r="BM260" t="inlineStr">
        <is>
          <t>0.0</t>
        </is>
      </c>
      <c r="BN260" t="inlineStr">
        <is>
          <t>View Jobmanager Page</t>
        </is>
      </c>
      <c r="BO260" s="4">
        <v>46100.408541666664</v>
      </c>
      <c r="BP260">
        <v>169747</v>
      </c>
      <c r="BQ260">
        <v>117931</v>
      </c>
      <c r="BR260" t="inlineStr">
        <is>
          <t>Proforma</t>
        </is>
      </c>
      <c r="BS260" t="inlineStr">
        <is>
          <t>Free Internship Job</t>
        </is>
      </c>
      <c r="BT260">
        <v>72040</v>
      </c>
      <c r="BU260"/>
      <c r="BV260">
        <v>2738487</v>
      </c>
      <c r="BW260" t="inlineStr">
        <is>
          <t>Inquire for Hiring Needs : Quotation Sent 50%</t>
        </is>
      </c>
      <c r="BX260"/>
      <c r="BY260"/>
      <c r="BZ260" s="4"/>
      <c r="CA260"/>
      <c r="CB260"/>
      <c r="CC260" s="4"/>
      <c r="CD260" t="inlineStr">
        <is>
          <t>20</t>
        </is>
      </c>
      <c r="CE260" t="inlineStr">
        <is>
          <t>0</t>
        </is>
      </c>
      <c r="CF260" t="inlineStr">
        <is>
          <t>Q2-W04</t>
        </is>
      </c>
      <c r="CG260" t="inlineStr">
        <is>
          <t>Q1-W11</t>
        </is>
      </c>
      <c r="CH260"/>
      <c r="CI260"/>
      <c r="CJ260" t="inlineStr">
        <is>
          <t>Paid</t>
        </is>
      </c>
      <c r="CK260" t="inlineStr">
        <is>
          <t>Not Eligible</t>
        </is>
      </c>
      <c r="CL260"/>
      <c r="CM260"/>
    </row>
    <row r="261" ht="25.5" customHeight="1">
      <c r="A261" t="inlineStr">
        <is>
          <t>199683</t>
        </is>
      </c>
      <c r="B261" s="2"/>
      <c r="C261"/>
      <c r="D261" s="3">
        <v>46142.75927083333</v>
      </c>
      <c r="E261" t="inlineStr">
        <is>
          <t>Q2-W04</t>
        </is>
      </c>
      <c r="F261" t="inlineStr">
        <is>
          <t>Clover</t>
        </is>
      </c>
      <c r="G261" t="inlineStr">
        <is>
          <t>Customer</t>
        </is>
      </c>
      <c r="H261" s="2" t="str">
        <f>=HYPERLINK("https://upbox.ajobthing.my/customer/199683", "https://upbox.ajobthing.my/customer/199683")</f>
        <v>https://upbox.ajobthing.my/customer/199683</v>
      </c>
      <c r="I261" t="inlineStr">
        <is>
          <t>nikihs legacy</t>
        </is>
      </c>
      <c r="J261" t="inlineStr">
        <is>
          <t>Dolphin</t>
        </is>
      </c>
      <c r="K261" t="inlineStr">
        <is>
          <t>Clover</t>
        </is>
      </c>
      <c r="L261" s="4"/>
      <c r="M261" s="4">
        <v>46142.757361111115</v>
      </c>
      <c r="N261"/>
      <c r="O261">
        <v>6048</v>
      </c>
      <c r="P261" s="4"/>
      <c r="Q261" s="4"/>
      <c r="R261"/>
      <c r="S261"/>
      <c r="T261" s="4"/>
      <c r="U261" s="4"/>
      <c r="V261"/>
      <c r="W261"/>
      <c r="X261"/>
      <c r="Y261" t="inlineStr">
        <is>
          <t>Pending Appointment</t>
        </is>
      </c>
      <c r="Z261" t="inlineStr">
        <is>
          <t>Hiring Later</t>
        </is>
      </c>
      <c r="AA261">
        <v>4</v>
      </c>
      <c r="AB261" t="inlineStr">
        <is>
          <t>No Appointment Made</t>
        </is>
      </c>
      <c r="AC261"/>
      <c r="AD261" t="inlineStr">
        <is>
          <t xml:space="preserve">Maybe future hiring for sales advisor x1-2, e-commerce x1-2, wholesale, kedah, share promo first, email </t>
        </is>
      </c>
      <c r="AE261"/>
      <c r="AF261">
        <v>5000</v>
      </c>
      <c r="AG261" s="4"/>
      <c r="AH261" s="4"/>
      <c r="AI261">
        <v>5000</v>
      </c>
      <c r="AJ261">
        <v>1</v>
      </c>
      <c r="AK261" t="inlineStr">
        <is>
          <t>No, but I want in future</t>
        </is>
      </c>
      <c r="AL261">
        <v>1</v>
      </c>
      <c r="AM261" t="inlineStr">
        <is>
          <t>No, but I want in future</t>
        </is>
      </c>
      <c r="AN261"/>
      <c r="AO261" t="inlineStr">
        <is>
          <t>No, but I want in future</t>
        </is>
      </c>
      <c r="AP261" t="inlineStr">
        <is>
          <t>Twice a year (50%)</t>
        </is>
      </c>
      <c r="AQ261">
        <v>4</v>
      </c>
      <c r="AR261" t="inlineStr">
        <is>
          <t>Did not use any job portal</t>
        </is>
      </c>
      <c r="AS261" t="inlineStr">
        <is>
          <t>- Headcount: 4
- Hiring Job Details: Maybe future hiring for sales advisor x1-2, e-commerce x1-2, wholesale, kedah, share promo first, email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Twice a year (50%)
- External job portal: Did not use any job portal</t>
        </is>
      </c>
      <c r="AT261">
        <v>75</v>
      </c>
      <c r="AU261" t="inlineStr">
        <is>
          <t>0.75</t>
        </is>
      </c>
      <c r="AV261" t="inlineStr">
        <is>
          <t>15</t>
        </is>
      </c>
      <c r="AW261" t="inlineStr">
        <is>
          <t>0</t>
        </is>
      </c>
      <c r="AX261" t="inlineStr">
        <is>
          <t>Not Qualified</t>
        </is>
      </c>
      <c r="AY261" s="4"/>
      <c r="AZ261"/>
      <c r="BA261"/>
      <c r="BB261"/>
      <c r="BC261" t="inlineStr">
        <is>
          <t>- Headcount: 4
- Hiring Job Details: Maybe future hiring for sales advisor x1-2, e-commerce x1-2, wholesale, kedah, share promo first, email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Twice a year (50%)
- External job portal: Did not use any job portal</t>
        </is>
      </c>
      <c r="BD261" s="4">
        <v>46142.79168981482</v>
      </c>
      <c r="BE261"/>
      <c r="BF261"/>
      <c r="BG261" t="inlineStr">
        <is>
          <t>Reschedule</t>
        </is>
      </c>
      <c r="BH261" t="inlineStr">
        <is>
          <t>Reagen</t>
        </is>
      </c>
      <c r="BI261"/>
      <c r="BJ261" s="4">
        <v>46144.75336805556</v>
      </c>
      <c r="BK261" s="4">
        <v>46014.55482638889</v>
      </c>
      <c r="BL261" t="inlineStr">
        <is>
          <t>0.0</t>
        </is>
      </c>
      <c r="BM261" t="inlineStr">
        <is>
          <t>0.0</t>
        </is>
      </c>
      <c r="BN261"/>
      <c r="BO261" s="4"/>
      <c r="BP261">
        <v>169751</v>
      </c>
      <c r="BQ261"/>
      <c r="BR261"/>
      <c r="BS261"/>
      <c r="BT261"/>
      <c r="BU261"/>
      <c r="BV261">
        <v>2738552</v>
      </c>
      <c r="BW261" t="inlineStr">
        <is>
          <t>Customer Inquiry</t>
        </is>
      </c>
      <c r="BX261"/>
      <c r="BY261"/>
      <c r="BZ261" s="4"/>
      <c r="CA261"/>
      <c r="CB261"/>
      <c r="CC261" s="4"/>
      <c r="CD261" t="inlineStr">
        <is>
          <t>20</t>
        </is>
      </c>
      <c r="CE261" t="inlineStr">
        <is>
          <t>0</t>
        </is>
      </c>
      <c r="CF261" t="inlineStr">
        <is>
          <t>Q2-W04</t>
        </is>
      </c>
      <c r="CG261"/>
      <c r="CH261"/>
      <c r="CI261"/>
      <c r="CJ261" t="inlineStr">
        <is>
          <t>No Paid</t>
        </is>
      </c>
      <c r="CK261" t="inlineStr">
        <is>
          <t>Not Eligible</t>
        </is>
      </c>
      <c r="CL261"/>
      <c r="CM261"/>
    </row>
    <row r="262" ht="25.5" customHeight="1">
      <c r="A262" t="inlineStr">
        <is>
          <t>4316296</t>
        </is>
      </c>
      <c r="B262" s="2"/>
      <c r="C262"/>
      <c r="D262" s="3">
        <v>46136.41258101852</v>
      </c>
      <c r="E262" t="inlineStr">
        <is>
          <t>Q2-W04</t>
        </is>
      </c>
      <c r="F262" t="inlineStr">
        <is>
          <t>Luqman</t>
        </is>
      </c>
      <c r="G262" t="inlineStr">
        <is>
          <t>Lead</t>
        </is>
      </c>
      <c r="H262" s="2" t="str">
        <f>=HYPERLINK("https://upbox.ajobthing.my/leads/4316296", "https://upbox.ajobthing.my/leads/4316296")</f>
        <v>https://upbox.ajobthing.my/leads/4316296</v>
      </c>
      <c r="I262" t="inlineStr">
        <is>
          <t>Compact Metal Industries Sdn Bhd</t>
        </is>
      </c>
      <c r="J262" t="inlineStr">
        <is>
          <t>Small Fish</t>
        </is>
      </c>
      <c r="K262" t="inlineStr">
        <is>
          <t>Luqman</t>
        </is>
      </c>
      <c r="L262" s="4"/>
      <c r="M262" s="4">
        <v>46136.413935185185</v>
      </c>
      <c r="N262"/>
      <c r="O262">
        <v>3888</v>
      </c>
      <c r="P262" s="4"/>
      <c r="Q262" s="4"/>
      <c r="R262"/>
      <c r="S262"/>
      <c r="T262" s="4"/>
      <c r="U262" s="4"/>
      <c r="V262"/>
      <c r="W262"/>
      <c r="X262"/>
      <c r="Y262" t="inlineStr">
        <is>
          <t>Pending Appointment</t>
        </is>
      </c>
      <c r="Z262" t="inlineStr">
        <is>
          <t>Hiring Later</t>
        </is>
      </c>
      <c r="AA262">
        <v>3</v>
      </c>
      <c r="AB262" t="inlineStr">
        <is>
          <t>No Appointment Made</t>
        </is>
      </c>
      <c r="AC262"/>
      <c r="AD262" t="inlineStr">
        <is>
          <t xml:space="preserve">1. Account Executive 
2. Information &amp; Technology 
3. Admin Account </t>
        </is>
      </c>
      <c r="AE262"/>
      <c r="AF262">
        <v>1200</v>
      </c>
      <c r="AG262" s="4"/>
      <c r="AH262" s="4"/>
      <c r="AI262">
        <v>1200</v>
      </c>
      <c r="AJ262"/>
      <c r="AK262" t="inlineStr">
        <is>
          <t>No, I don't need at all</t>
        </is>
      </c>
      <c r="AL262">
        <v>2</v>
      </c>
      <c r="AM262" t="inlineStr">
        <is>
          <t>No, I don't need at all</t>
        </is>
      </c>
      <c r="AN262"/>
      <c r="AO262" t="inlineStr">
        <is>
          <t>No, but I want in future</t>
        </is>
      </c>
      <c r="AP262" t="inlineStr">
        <is>
          <t>Once a year (25%)</t>
        </is>
      </c>
      <c r="AQ262">
        <v>6</v>
      </c>
      <c r="AR262" t="inlineStr">
        <is>
          <t>Free Job Portal</t>
        </is>
      </c>
      <c r="AS262" t="inlineStr">
        <is>
          <t>- Headcount: 3
- Hiring Job Details: 1. Account Executive 2. Information &amp; Technology 3. Admin Account
- Hiring Urgency: Hiring Later
- Number of outlets: 
- Have recruiter team: No, I don't need at all
- Number of recruiter in company: 2
- Have ATS system: No, I don't need at all
- Have career website: No, but I want in future
- Current hiring budget: RM1,200
- Whole year budget: RM1,200.00
- Whole year number of vacancies: 6
- Hiring frequency: Once a year (25%)
- External job portal: Free Job Portal</t>
        </is>
      </c>
      <c r="AT262">
        <v>65</v>
      </c>
      <c r="AU262" t="inlineStr">
        <is>
          <t>0.65</t>
        </is>
      </c>
      <c r="AV262" t="inlineStr">
        <is>
          <t>15</t>
        </is>
      </c>
      <c r="AW262" t="inlineStr">
        <is>
          <t>0</t>
        </is>
      </c>
      <c r="AX262" t="inlineStr">
        <is>
          <t>Not Qualified</t>
        </is>
      </c>
      <c r="AY262" s="4"/>
      <c r="AZ262"/>
      <c r="BA262"/>
      <c r="BB262"/>
      <c r="BC262"/>
      <c r="BD262" s="4"/>
      <c r="BE262"/>
      <c r="BF262"/>
      <c r="BG262" t="inlineStr">
        <is>
          <t>Reschedule</t>
        </is>
      </c>
      <c r="BH262" t="inlineStr">
        <is>
          <t>Edward Hoo</t>
        </is>
      </c>
      <c r="BI262"/>
      <c r="BJ262" s="4">
        <v>46144.755902777775</v>
      </c>
      <c r="BK262" s="4">
        <v>46135.962118055555</v>
      </c>
      <c r="BL262" t="inlineStr">
        <is>
          <t>0.0</t>
        </is>
      </c>
      <c r="BM262" t="inlineStr">
        <is>
          <t>0.0</t>
        </is>
      </c>
      <c r="BN262"/>
      <c r="BO262" s="4"/>
      <c r="BP262">
        <v>168703</v>
      </c>
      <c r="BQ262"/>
      <c r="BR262"/>
      <c r="BS262"/>
      <c r="BT262"/>
      <c r="BU262"/>
      <c r="BV262"/>
      <c r="BW262"/>
      <c r="BX262"/>
      <c r="BY262"/>
      <c r="BZ262" s="4"/>
      <c r="CA262"/>
      <c r="CB262"/>
      <c r="CC262" s="4"/>
      <c r="CD262" t="inlineStr">
        <is>
          <t>20</t>
        </is>
      </c>
      <c r="CE262" t="inlineStr">
        <is>
          <t>0</t>
        </is>
      </c>
      <c r="CF262" t="inlineStr">
        <is>
          <t>Q2-W04</t>
        </is>
      </c>
      <c r="CG262"/>
      <c r="CH262"/>
      <c r="CI262"/>
      <c r="CJ262" t="inlineStr">
        <is>
          <t>No Paid</t>
        </is>
      </c>
      <c r="CK262" t="inlineStr">
        <is>
          <t>Not Eligible</t>
        </is>
      </c>
      <c r="CL262"/>
      <c r="CM262"/>
    </row>
    <row r="263" ht="25.5" customHeight="1">
      <c r="A263" t="inlineStr">
        <is>
          <t>141987</t>
        </is>
      </c>
      <c r="B263" s="2"/>
      <c r="C263"/>
      <c r="D263" s="3">
        <v>46136.414085648146</v>
      </c>
      <c r="E263" t="inlineStr">
        <is>
          <t>Q2-W04</t>
        </is>
      </c>
      <c r="F263" t="inlineStr">
        <is>
          <t>Eugene</t>
        </is>
      </c>
      <c r="G263" t="inlineStr">
        <is>
          <t>Customer</t>
        </is>
      </c>
      <c r="H263" s="2" t="str">
        <f>=HYPERLINK("https://upbox.ajobthing.my/customer/141987", "https://upbox.ajobthing.my/customer/141987")</f>
        <v>https://upbox.ajobthing.my/customer/141987</v>
      </c>
      <c r="I263" t="inlineStr">
        <is>
          <t>Syamsul Management Consulting Sdn Bhd</t>
        </is>
      </c>
      <c r="J263" t="inlineStr">
        <is>
          <t>Small Fish</t>
        </is>
      </c>
      <c r="K263" t="inlineStr">
        <is>
          <t>Eugene</t>
        </is>
      </c>
      <c r="L263" s="4"/>
      <c r="M263" s="4">
        <v>46136.41421296296</v>
      </c>
      <c r="N263"/>
      <c r="O263">
        <v>3888</v>
      </c>
      <c r="P263" s="4"/>
      <c r="Q263" s="4"/>
      <c r="R263"/>
      <c r="S263"/>
      <c r="T263" s="4"/>
      <c r="U263" s="4"/>
      <c r="V263"/>
      <c r="W263"/>
      <c r="X263"/>
      <c r="Y263" t="inlineStr">
        <is>
          <t>Pending Appointment</t>
        </is>
      </c>
      <c r="Z263" t="inlineStr">
        <is>
          <t>Hiring Now</t>
        </is>
      </c>
      <c r="AA263">
        <v>1</v>
      </c>
      <c r="AB263" t="inlineStr">
        <is>
          <t>No Appointment Made</t>
        </is>
      </c>
      <c r="AC263"/>
      <c r="AD263" t="inlineStr">
        <is>
          <t>1 civil engineering, based in KL</t>
        </is>
      </c>
      <c r="AE263"/>
      <c r="AF263">
        <v>1200</v>
      </c>
      <c r="AG263" s="4"/>
      <c r="AH263" s="4"/>
      <c r="AI263">
        <v>3000</v>
      </c>
      <c r="AJ263">
        <v>1</v>
      </c>
      <c r="AK263" t="inlineStr">
        <is>
          <t>No, I don't need at all</t>
        </is>
      </c>
      <c r="AL263">
        <v>1</v>
      </c>
      <c r="AM263" t="inlineStr">
        <is>
          <t>No, I don't need at all</t>
        </is>
      </c>
      <c r="AN263"/>
      <c r="AO263" t="inlineStr">
        <is>
          <t>No, I don't need at all</t>
        </is>
      </c>
      <c r="AP263" t="inlineStr">
        <is>
          <t>Twice a year (50%)</t>
        </is>
      </c>
      <c r="AQ263">
        <v>1</v>
      </c>
      <c r="AR263" t="inlineStr">
        <is>
          <t>Free Job Portal</t>
        </is>
      </c>
      <c r="AS263" t="inlineStr">
        <is>
          <t>- Headcount: 1
- Hiring Job Details: 1 civil engineering,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1
- Hiring frequency: Twice a year (50%)
- External job portal: Free Job Portal</t>
        </is>
      </c>
      <c r="AT263">
        <v>115</v>
      </c>
      <c r="AU263" t="inlineStr">
        <is>
          <t>1.15</t>
        </is>
      </c>
      <c r="AV263" t="inlineStr">
        <is>
          <t>15</t>
        </is>
      </c>
      <c r="AW263" t="inlineStr">
        <is>
          <t>0</t>
        </is>
      </c>
      <c r="AX263" t="inlineStr">
        <is>
          <t>Not Qualified</t>
        </is>
      </c>
      <c r="AY263" s="4"/>
      <c r="AZ263"/>
      <c r="BA263"/>
      <c r="BB263"/>
      <c r="BC263" t="inlineStr">
        <is>
          <t>naws</t>
        </is>
      </c>
      <c r="BD263" s="4">
        <v>46139.46071759259</v>
      </c>
      <c r="BE263"/>
      <c r="BF263"/>
      <c r="BG263" t="inlineStr">
        <is>
          <t>Reschedule</t>
        </is>
      </c>
      <c r="BH263" t="inlineStr">
        <is>
          <t>Edward Hoo</t>
        </is>
      </c>
      <c r="BI263"/>
      <c r="BJ263" s="4">
        <v>46144.75067129629</v>
      </c>
      <c r="BK263" s="4">
        <v>44480.56829861111</v>
      </c>
      <c r="BL263" t="inlineStr">
        <is>
          <t>0.0</t>
        </is>
      </c>
      <c r="BM263" t="inlineStr">
        <is>
          <t>0.0</t>
        </is>
      </c>
      <c r="BN263" t="inlineStr">
        <is>
          <t>View Create Job Page</t>
        </is>
      </c>
      <c r="BO263" s="4">
        <v>44480.57436342593</v>
      </c>
      <c r="BP263">
        <v>168704</v>
      </c>
      <c r="BQ263"/>
      <c r="BR263"/>
      <c r="BS263"/>
      <c r="BT263"/>
      <c r="BU263"/>
      <c r="BV263">
        <v>2728524</v>
      </c>
      <c r="BW263" t="inlineStr">
        <is>
          <t>No Answer : Voicemail - WA sent to customer</t>
        </is>
      </c>
      <c r="BX263"/>
      <c r="BY263"/>
      <c r="BZ263" s="4"/>
      <c r="CA263"/>
      <c r="CB263"/>
      <c r="CC263" s="4"/>
      <c r="CD263" t="inlineStr">
        <is>
          <t>20</t>
        </is>
      </c>
      <c r="CE263" t="inlineStr">
        <is>
          <t>0</t>
        </is>
      </c>
      <c r="CF263" t="inlineStr">
        <is>
          <t>Q2-W04</t>
        </is>
      </c>
      <c r="CG263"/>
      <c r="CH263"/>
      <c r="CI263"/>
      <c r="CJ263" t="inlineStr">
        <is>
          <t>No Paid</t>
        </is>
      </c>
      <c r="CK263" t="inlineStr">
        <is>
          <t>Not Eligible</t>
        </is>
      </c>
      <c r="CL263"/>
      <c r="CM263"/>
    </row>
    <row r="264" ht="25.5" customHeight="1">
      <c r="A264" t="inlineStr">
        <is>
          <t>4315988</t>
        </is>
      </c>
      <c r="B264" s="2"/>
      <c r="C264"/>
      <c r="D264" s="3">
        <v>46136.415717592594</v>
      </c>
      <c r="E264" t="inlineStr">
        <is>
          <t>Q2-W04</t>
        </is>
      </c>
      <c r="F264" t="inlineStr">
        <is>
          <t>Alan KY</t>
        </is>
      </c>
      <c r="G264" t="inlineStr">
        <is>
          <t>Lead</t>
        </is>
      </c>
      <c r="H264" s="2" t="str">
        <f>=HYPERLINK("https://upbox.ajobthing.my/leads/4315988", "https://upbox.ajobthing.my/leads/4315988")</f>
        <v>https://upbox.ajobthing.my/leads/4315988</v>
      </c>
      <c r="I264" t="inlineStr">
        <is>
          <t>LINK SHIPPING INTERNATIONAL SDN BHD</t>
        </is>
      </c>
      <c r="J264" t="inlineStr">
        <is>
          <t>Small Fish</t>
        </is>
      </c>
      <c r="K264" t="inlineStr">
        <is>
          <t>Alan KY</t>
        </is>
      </c>
      <c r="L264" s="4"/>
      <c r="M264" s="4">
        <v>46136.42201388889</v>
      </c>
      <c r="N264"/>
      <c r="O264">
        <v>6048</v>
      </c>
      <c r="P264" s="4"/>
      <c r="Q264" s="4"/>
      <c r="R264"/>
      <c r="S264"/>
      <c r="T264" s="4"/>
      <c r="U264" s="4"/>
      <c r="V264"/>
      <c r="W264"/>
      <c r="X264"/>
      <c r="Y264" t="inlineStr">
        <is>
          <t>Pending Appointment</t>
        </is>
      </c>
      <c r="Z264" t="inlineStr">
        <is>
          <t>Hiring Now</t>
        </is>
      </c>
      <c r="AA264">
        <v>5</v>
      </c>
      <c r="AB264" t="inlineStr">
        <is>
          <t>No Appointment Made</t>
        </is>
      </c>
      <c r="AC264"/>
      <c r="AD264" t="inlineStr">
        <is>
          <t xml:space="preserve">admin 2 
logistics assistant 2
Supervisor 1 
Based in KL , selangor port </t>
        </is>
      </c>
      <c r="AE264"/>
      <c r="AF264"/>
      <c r="AG264" s="4"/>
      <c r="AH264" s="4"/>
      <c r="AI264"/>
      <c r="AJ264"/>
      <c r="AK264" t="inlineStr">
        <is>
          <t>No, I don't need at all</t>
        </is>
      </c>
      <c r="AL264">
        <v>0</v>
      </c>
      <c r="AM264" t="inlineStr">
        <is>
          <t>No, I don't need at all</t>
        </is>
      </c>
      <c r="AN264"/>
      <c r="AO264" t="inlineStr">
        <is>
          <t>No, I don't need at all</t>
        </is>
      </c>
      <c r="AP264" t="inlineStr">
        <is>
          <t>Once per quarter (75%)</t>
        </is>
      </c>
      <c r="AQ264"/>
      <c r="AR264" t="inlineStr">
        <is>
          <t>Jobstreet</t>
        </is>
      </c>
      <c r="AS264" t="inlineStr">
        <is>
          <t>- Headcount: 5.
- Hiring Job Details: 2 admin, 2 logistics assistant, 1 Supervisor (Based in KL, selangor port).
- Hiring Urgency: Hiring Now.
- Number of outlets: N/A.
- Have recruiter team: No, I don't need at all.
- Number of recruiter in company: 0.
- Have ATS system: No, I don't need at all.
- Have career website: No, I don't need at all.
- Current hiring budget: N/A.
- Whole year budget: N/A.
- Whole year number of vacancies: N/A.
- Hiring frequency: Once per quarter (75%).
- External job portal: Jobstreet.</t>
        </is>
      </c>
      <c r="AT264">
        <v>100</v>
      </c>
      <c r="AU264" t="inlineStr">
        <is>
          <t>1.00</t>
        </is>
      </c>
      <c r="AV264" t="inlineStr">
        <is>
          <t>10</t>
        </is>
      </c>
      <c r="AW264" t="inlineStr">
        <is>
          <t>0</t>
        </is>
      </c>
      <c r="AX264" t="inlineStr">
        <is>
          <t>Not Qualified</t>
        </is>
      </c>
      <c r="AY264" s="4"/>
      <c r="AZ264"/>
      <c r="BA264"/>
      <c r="BB264"/>
      <c r="BC264"/>
      <c r="BD264" s="4"/>
      <c r="BE264"/>
      <c r="BF264"/>
      <c r="BG264" t="inlineStr">
        <is>
          <t>Reschedule</t>
        </is>
      </c>
      <c r="BH264" t="inlineStr">
        <is>
          <t>Reagen</t>
        </is>
      </c>
      <c r="BI264"/>
      <c r="BJ264" s="4">
        <v>46144.755902777775</v>
      </c>
      <c r="BK264" s="4">
        <v>46135.86172453704</v>
      </c>
      <c r="BL264" t="inlineStr">
        <is>
          <t>0.0</t>
        </is>
      </c>
      <c r="BM264" t="inlineStr">
        <is>
          <t>0.0</t>
        </is>
      </c>
      <c r="BN264"/>
      <c r="BO264" s="4"/>
      <c r="BP264">
        <v>168710</v>
      </c>
      <c r="BQ264"/>
      <c r="BR264"/>
      <c r="BS264"/>
      <c r="BT264"/>
      <c r="BU264"/>
      <c r="BV264"/>
      <c r="BW264"/>
      <c r="BX264"/>
      <c r="BY264"/>
      <c r="BZ264" s="4"/>
      <c r="CA264"/>
      <c r="CB264"/>
      <c r="CC264" s="4"/>
      <c r="CD264" t="inlineStr">
        <is>
          <t>15</t>
        </is>
      </c>
      <c r="CE264" t="inlineStr">
        <is>
          <t>0</t>
        </is>
      </c>
      <c r="CF264" t="inlineStr">
        <is>
          <t>Q2-W04</t>
        </is>
      </c>
      <c r="CG264"/>
      <c r="CH264"/>
      <c r="CI264"/>
      <c r="CJ264" t="inlineStr">
        <is>
          <t>No Paid</t>
        </is>
      </c>
      <c r="CK264" t="inlineStr">
        <is>
          <t>Not Eligible</t>
        </is>
      </c>
      <c r="CL264"/>
      <c r="CM264"/>
    </row>
    <row r="265" ht="25.5" customHeight="1">
      <c r="A265" t="inlineStr">
        <is>
          <t>203609</t>
        </is>
      </c>
      <c r="B265" s="2"/>
      <c r="C265"/>
      <c r="D265" s="3">
        <v>46136.41630787037</v>
      </c>
      <c r="E265" t="inlineStr">
        <is>
          <t>Q2-W04</t>
        </is>
      </c>
      <c r="F265" t="inlineStr">
        <is>
          <t>Keegan</t>
        </is>
      </c>
      <c r="G265" t="inlineStr">
        <is>
          <t>Customer</t>
        </is>
      </c>
      <c r="H265" s="2" t="str">
        <f>=HYPERLINK("https://upbox.ajobthing.my/customer/203609", "https://upbox.ajobthing.my/customer/203609")</f>
        <v>https://upbox.ajobthing.my/customer/203609</v>
      </c>
      <c r="I265" t="inlineStr">
        <is>
          <t>ScanMac System Sdn. Bhd.</t>
        </is>
      </c>
      <c r="J265" t="inlineStr">
        <is>
          <t>Small Fish</t>
        </is>
      </c>
      <c r="K265" t="inlineStr">
        <is>
          <t>Keegan</t>
        </is>
      </c>
      <c r="L265" s="4"/>
      <c r="M265" s="4">
        <v>46136.416446759256</v>
      </c>
      <c r="N265"/>
      <c r="O265">
        <v>3888</v>
      </c>
      <c r="P265" s="4"/>
      <c r="Q265" s="4"/>
      <c r="R265"/>
      <c r="S265"/>
      <c r="T265" s="4"/>
      <c r="U265" s="4"/>
      <c r="V265"/>
      <c r="W265"/>
      <c r="X265"/>
      <c r="Y265" t="inlineStr">
        <is>
          <t>Pending Appointment</t>
        </is>
      </c>
      <c r="Z265" t="inlineStr">
        <is>
          <t>Hiring Now</t>
        </is>
      </c>
      <c r="AA265">
        <v>1</v>
      </c>
      <c r="AB265" t="inlineStr">
        <is>
          <t>No Appointment Made</t>
        </is>
      </c>
      <c r="AC265"/>
      <c r="AD265" t="inlineStr">
        <is>
          <t xml:space="preserve">1. Account Admin Executive </t>
        </is>
      </c>
      <c r="AE265"/>
      <c r="AF265"/>
      <c r="AG265" s="4"/>
      <c r="AH265" s="4"/>
      <c r="AI265"/>
      <c r="AJ265">
        <v>1</v>
      </c>
      <c r="AK265" t="inlineStr">
        <is>
          <t>No, I don't need at all</t>
        </is>
      </c>
      <c r="AL265">
        <v>0</v>
      </c>
      <c r="AM265" t="inlineStr">
        <is>
          <t>No, I don't need at all</t>
        </is>
      </c>
      <c r="AN265"/>
      <c r="AO265" t="inlineStr">
        <is>
          <t>No, I don't need at all</t>
        </is>
      </c>
      <c r="AP265" t="inlineStr">
        <is>
          <t>Once per quarter (75%)</t>
        </is>
      </c>
      <c r="AQ265"/>
      <c r="AR265" t="inlineStr">
        <is>
          <t>Did not use any job portal</t>
        </is>
      </c>
      <c r="AS265" t="inlineStr">
        <is>
          <t>- Headcount: 1
- Hiring Job Details: 1 Account Admin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65">
        <v>95</v>
      </c>
      <c r="AU265" t="inlineStr">
        <is>
          <t>0.95</t>
        </is>
      </c>
      <c r="AV265" t="inlineStr">
        <is>
          <t>5</t>
        </is>
      </c>
      <c r="AW265" t="inlineStr">
        <is>
          <t>0</t>
        </is>
      </c>
      <c r="AX265" t="inlineStr">
        <is>
          <t>Not Qualified</t>
        </is>
      </c>
      <c r="AY265" s="4"/>
      <c r="AZ265"/>
      <c r="BA265"/>
      <c r="BB265"/>
      <c r="BC265" t="inlineStr">
        <is>
          <t>1 position and quotation sent</t>
        </is>
      </c>
      <c r="BD265" s="4">
        <v>46136.41782407407</v>
      </c>
      <c r="BE265"/>
      <c r="BF265"/>
      <c r="BG265" t="inlineStr">
        <is>
          <t>Reschedule</t>
        </is>
      </c>
      <c r="BH265" t="inlineStr">
        <is>
          <t>Edward Hoo</t>
        </is>
      </c>
      <c r="BI265"/>
      <c r="BJ265" s="4">
        <v>46144.75435185185</v>
      </c>
      <c r="BK265" s="4">
        <v>46136.41521990741</v>
      </c>
      <c r="BL265" t="inlineStr">
        <is>
          <t>0.0</t>
        </is>
      </c>
      <c r="BM265" t="inlineStr">
        <is>
          <t>600.0</t>
        </is>
      </c>
      <c r="BN265"/>
      <c r="BO265" s="4"/>
      <c r="BP265">
        <v>168706</v>
      </c>
      <c r="BQ265"/>
      <c r="BR265"/>
      <c r="BS265"/>
      <c r="BT265"/>
      <c r="BU265"/>
      <c r="BV265">
        <v>2725500</v>
      </c>
      <c r="BW265" t="inlineStr">
        <is>
          <t>Inquire for Hiring Needs : Quotation Sent 50%</t>
        </is>
      </c>
      <c r="BX265"/>
      <c r="BY265"/>
      <c r="BZ265" s="4"/>
      <c r="CA265"/>
      <c r="CB265"/>
      <c r="CC265" s="4"/>
      <c r="CD265" t="inlineStr">
        <is>
          <t>5</t>
        </is>
      </c>
      <c r="CE265" t="inlineStr">
        <is>
          <t>0</t>
        </is>
      </c>
      <c r="CF265" t="inlineStr">
        <is>
          <t>Q2-W04</t>
        </is>
      </c>
      <c r="CG265"/>
      <c r="CH265"/>
      <c r="CI265"/>
      <c r="CJ265" t="inlineStr">
        <is>
          <t>No Paid</t>
        </is>
      </c>
      <c r="CK265" t="inlineStr">
        <is>
          <t>Not Eligible</t>
        </is>
      </c>
      <c r="CL265"/>
      <c r="CM265"/>
    </row>
    <row r="266" ht="25.5" customHeight="1">
      <c r="A266" t="inlineStr">
        <is>
          <t>181697</t>
        </is>
      </c>
      <c r="B266" s="2"/>
      <c r="C266"/>
      <c r="D266" s="3">
        <v>46136.44677083333</v>
      </c>
      <c r="E266" t="inlineStr">
        <is>
          <t>Q2-W04</t>
        </is>
      </c>
      <c r="F266" t="inlineStr">
        <is>
          <t>Jeff Lee</t>
        </is>
      </c>
      <c r="G266" t="inlineStr">
        <is>
          <t>Customer</t>
        </is>
      </c>
      <c r="H266" s="2" t="str">
        <f>=HYPERLINK("https://upbox.ajobthing.my/customer/181697", "https://upbox.ajobthing.my/customer/181697")</f>
        <v>https://upbox.ajobthing.my/customer/181697</v>
      </c>
      <c r="I266" t="inlineStr">
        <is>
          <t>Drenwood Engineering Sdn Bhd</t>
        </is>
      </c>
      <c r="J266" t="inlineStr">
        <is>
          <t>Small Fish</t>
        </is>
      </c>
      <c r="K266" t="inlineStr">
        <is>
          <t>Jeff Lee</t>
        </is>
      </c>
      <c r="L266" s="4"/>
      <c r="M266" s="4">
        <v>46136.44111111111</v>
      </c>
      <c r="N266"/>
      <c r="O266">
        <v>3672</v>
      </c>
      <c r="P266" s="4"/>
      <c r="Q266" s="4"/>
      <c r="R266"/>
      <c r="S266"/>
      <c r="T266" s="4"/>
      <c r="U266" s="4"/>
      <c r="V266"/>
      <c r="W266"/>
      <c r="X266"/>
      <c r="Y266" t="inlineStr">
        <is>
          <t>Pending Appointment</t>
        </is>
      </c>
      <c r="Z266" t="inlineStr">
        <is>
          <t>Hiring Now</t>
        </is>
      </c>
      <c r="AA266">
        <v>1</v>
      </c>
      <c r="AB266" t="inlineStr">
        <is>
          <t>No Appointment Made</t>
        </is>
      </c>
      <c r="AC266"/>
      <c r="AD266" t="inlineStr">
        <is>
          <t>1 Quantity Surveyor</t>
        </is>
      </c>
      <c r="AE266"/>
      <c r="AF266">
        <v>0</v>
      </c>
      <c r="AG266" s="4"/>
      <c r="AH266" s="4"/>
      <c r="AI266">
        <v>0</v>
      </c>
      <c r="AJ266">
        <v>0</v>
      </c>
      <c r="AK266" t="inlineStr">
        <is>
          <t>No, I don't need at all</t>
        </is>
      </c>
      <c r="AL266">
        <v>0</v>
      </c>
      <c r="AM266" t="inlineStr">
        <is>
          <t>No, I don't need at all</t>
        </is>
      </c>
      <c r="AN266"/>
      <c r="AO266" t="inlineStr">
        <is>
          <t>No, I don't need at all</t>
        </is>
      </c>
      <c r="AP266" t="inlineStr">
        <is>
          <t>Once a year (25%)</t>
        </is>
      </c>
      <c r="AQ266">
        <v>1</v>
      </c>
      <c r="AR266" t="inlineStr">
        <is>
          <t>Jobstreet</t>
        </is>
      </c>
      <c r="AS266" t="inlineStr">
        <is>
          <t>- Headcount: 1
- Hiring Job Details: 1 Quantity Surveyor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66">
        <v>115</v>
      </c>
      <c r="AU266" t="inlineStr">
        <is>
          <t>1.15</t>
        </is>
      </c>
      <c r="AV266" t="inlineStr">
        <is>
          <t>15</t>
        </is>
      </c>
      <c r="AW266" t="inlineStr">
        <is>
          <t>0</t>
        </is>
      </c>
      <c r="AX266" t="inlineStr">
        <is>
          <t>Not Qualified</t>
        </is>
      </c>
      <c r="AY266" s="4"/>
      <c r="AZ266"/>
      <c r="BA266"/>
      <c r="BB266"/>
      <c r="BC266" t="inlineStr">
        <is>
          <t>no atm</t>
        </is>
      </c>
      <c r="BD266" s="4">
        <v>46141.702581018515</v>
      </c>
      <c r="BE266"/>
      <c r="BF266"/>
      <c r="BG266" t="inlineStr">
        <is>
          <t>Reschedule</t>
        </is>
      </c>
      <c r="BH266" t="inlineStr">
        <is>
          <t>Yee Hang</t>
        </is>
      </c>
      <c r="BI266" t="inlineStr">
        <is>
          <t>Engineering / Technical Consulting</t>
        </is>
      </c>
      <c r="BJ266" s="4">
        <v>46144.75188657407</v>
      </c>
      <c r="BK266" s="4">
        <v>45520.418032407404</v>
      </c>
      <c r="BL266" t="inlineStr">
        <is>
          <t>0.0</t>
        </is>
      </c>
      <c r="BM266" t="inlineStr">
        <is>
          <t>600.0</t>
        </is>
      </c>
      <c r="BN266" t="inlineStr">
        <is>
          <t>View Company Page</t>
        </is>
      </c>
      <c r="BO266" s="4">
        <v>45520.41806712963</v>
      </c>
      <c r="BP266">
        <v>168726</v>
      </c>
      <c r="BQ266"/>
      <c r="BR266"/>
      <c r="BS266"/>
      <c r="BT266"/>
      <c r="BU266"/>
      <c r="BV266">
        <v>2736027</v>
      </c>
      <c r="BW266" t="inlineStr">
        <is>
          <t>Follow Up : Lost - Free Portal</t>
        </is>
      </c>
      <c r="BX266"/>
      <c r="BY266"/>
      <c r="BZ266" s="4"/>
      <c r="CA266"/>
      <c r="CB266"/>
      <c r="CC266" s="4"/>
      <c r="CD266" t="inlineStr">
        <is>
          <t>20</t>
        </is>
      </c>
      <c r="CE266" t="inlineStr">
        <is>
          <t>0</t>
        </is>
      </c>
      <c r="CF266" t="inlineStr">
        <is>
          <t>Q2-W04</t>
        </is>
      </c>
      <c r="CG266"/>
      <c r="CH266"/>
      <c r="CI266"/>
      <c r="CJ266" t="inlineStr">
        <is>
          <t>No Paid</t>
        </is>
      </c>
      <c r="CK266" t="inlineStr">
        <is>
          <t>Not Eligible</t>
        </is>
      </c>
      <c r="CL266"/>
      <c r="CM266"/>
    </row>
    <row r="267" ht="25.5" customHeight="1">
      <c r="A267" t="inlineStr">
        <is>
          <t>203610</t>
        </is>
      </c>
      <c r="B267" s="2"/>
      <c r="C267"/>
      <c r="D267" s="3">
        <v>46136.44795138889</v>
      </c>
      <c r="E267" t="inlineStr">
        <is>
          <t>Q2-W04</t>
        </is>
      </c>
      <c r="F267" t="inlineStr">
        <is>
          <t>Jia Hui</t>
        </is>
      </c>
      <c r="G267" t="inlineStr">
        <is>
          <t>Customer</t>
        </is>
      </c>
      <c r="H267" s="2" t="str">
        <f>=HYPERLINK("https://upbox.ajobthing.my/customer/203610", "https://upbox.ajobthing.my/customer/203610")</f>
        <v>https://upbox.ajobthing.my/customer/203610</v>
      </c>
      <c r="I267" t="inlineStr">
        <is>
          <t>Bai Huaying (M) Sdn Bhd</t>
        </is>
      </c>
      <c r="J267" t="inlineStr">
        <is>
          <t>Small Fish</t>
        </is>
      </c>
      <c r="K267" t="inlineStr">
        <is>
          <t>Jia Hui</t>
        </is>
      </c>
      <c r="L267" s="4"/>
      <c r="M267" s="4">
        <v>46136.44804398148</v>
      </c>
      <c r="N267"/>
      <c r="O267">
        <v>6048</v>
      </c>
      <c r="P267" s="4"/>
      <c r="Q267" s="4"/>
      <c r="R267"/>
      <c r="S267"/>
      <c r="T267" s="4"/>
      <c r="U267" s="4"/>
      <c r="V267"/>
      <c r="W267"/>
      <c r="X267"/>
      <c r="Y267" t="inlineStr">
        <is>
          <t>Pending Appointment</t>
        </is>
      </c>
      <c r="Z267" t="inlineStr">
        <is>
          <t>Hiring Now</t>
        </is>
      </c>
      <c r="AA267">
        <v>2</v>
      </c>
      <c r="AB267" t="inlineStr">
        <is>
          <t>No Appointment Made</t>
        </is>
      </c>
      <c r="AC267"/>
      <c r="AD267" t="inlineStr">
        <is>
          <t>1 operation logistic, 1 account executive</t>
        </is>
      </c>
      <c r="AE267"/>
      <c r="AF267">
        <v>500</v>
      </c>
      <c r="AG267" s="4"/>
      <c r="AH267" s="4"/>
      <c r="AI267"/>
      <c r="AJ267"/>
      <c r="AK267" t="inlineStr">
        <is>
          <t>Yes, I have</t>
        </is>
      </c>
      <c r="AL267"/>
      <c r="AM267"/>
      <c r="AN267"/>
      <c r="AO267"/>
      <c r="AP267" t="inlineStr">
        <is>
          <t>Twice a year (50%)</t>
        </is>
      </c>
      <c r="AQ267"/>
      <c r="AR267"/>
      <c r="AS267" t="inlineStr">
        <is>
          <t>- Headcount: 2
- Hiring Job Details: 1 operation logistic, 1 account executive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is>
      </c>
      <c r="AT267">
        <v>95</v>
      </c>
      <c r="AU267" t="inlineStr">
        <is>
          <t>0.95</t>
        </is>
      </c>
      <c r="AV267" t="inlineStr">
        <is>
          <t>15</t>
        </is>
      </c>
      <c r="AW267" t="inlineStr">
        <is>
          <t>0</t>
        </is>
      </c>
      <c r="AX267" t="inlineStr">
        <is>
          <t>Not Qualified</t>
        </is>
      </c>
      <c r="AY267" s="4"/>
      <c r="AZ267"/>
      <c r="BA267"/>
      <c r="BB267"/>
      <c r="BC267" t="inlineStr">
        <is>
          <t>f/up</t>
        </is>
      </c>
      <c r="BD267" s="4">
        <v>46141.612233796295</v>
      </c>
      <c r="BE267"/>
      <c r="BF267"/>
      <c r="BG267" t="inlineStr">
        <is>
          <t>Reschedule</t>
        </is>
      </c>
      <c r="BH267" t="inlineStr">
        <is>
          <t>Reagen</t>
        </is>
      </c>
      <c r="BI267"/>
      <c r="BJ267" s="4">
        <v>46144.75436342593</v>
      </c>
      <c r="BK267" s="4">
        <v>46136.42488425926</v>
      </c>
      <c r="BL267" t="inlineStr">
        <is>
          <t>0.0</t>
        </is>
      </c>
      <c r="BM267" t="inlineStr">
        <is>
          <t>0.0</t>
        </is>
      </c>
      <c r="BN267" t="inlineStr">
        <is>
          <t>User Login</t>
        </is>
      </c>
      <c r="BO267" s="4">
        <v>46136.56460648148</v>
      </c>
      <c r="BP267">
        <v>168728</v>
      </c>
      <c r="BQ267"/>
      <c r="BR267"/>
      <c r="BS267"/>
      <c r="BT267"/>
      <c r="BU267"/>
      <c r="BV267">
        <v>2735387</v>
      </c>
      <c r="BW267" t="inlineStr">
        <is>
          <t>Customer Inquiry</t>
        </is>
      </c>
      <c r="BX267"/>
      <c r="BY267"/>
      <c r="BZ267" s="4"/>
      <c r="CA267"/>
      <c r="CB267"/>
      <c r="CC267" s="4"/>
      <c r="CD267" t="inlineStr">
        <is>
          <t>20</t>
        </is>
      </c>
      <c r="CE267" t="inlineStr">
        <is>
          <t>0</t>
        </is>
      </c>
      <c r="CF267" t="inlineStr">
        <is>
          <t>Q2-W04</t>
        </is>
      </c>
      <c r="CG267"/>
      <c r="CH267"/>
      <c r="CI267"/>
      <c r="CJ267" t="inlineStr">
        <is>
          <t>No Paid</t>
        </is>
      </c>
      <c r="CK267" t="inlineStr">
        <is>
          <t>Not Eligible</t>
        </is>
      </c>
      <c r="CL267"/>
      <c r="CM267"/>
    </row>
    <row r="268" ht="25.5" customHeight="1">
      <c r="A268" t="inlineStr">
        <is>
          <t>123169</t>
        </is>
      </c>
      <c r="B268" s="2"/>
      <c r="C268"/>
      <c r="D268" s="3">
        <v>46136.473912037036</v>
      </c>
      <c r="E268" t="inlineStr">
        <is>
          <t>Q2-W04</t>
        </is>
      </c>
      <c r="F268" t="inlineStr">
        <is>
          <t>Fariz</t>
        </is>
      </c>
      <c r="G268" t="inlineStr">
        <is>
          <t>Customer</t>
        </is>
      </c>
      <c r="H268" s="2" t="str">
        <f>=HYPERLINK("https://upbox.ajobthing.my/customer/123169", "https://upbox.ajobthing.my/customer/123169")</f>
        <v>https://upbox.ajobthing.my/customer/123169</v>
      </c>
      <c r="I268" t="inlineStr">
        <is>
          <t>Norhayati Agency</t>
        </is>
      </c>
      <c r="J268" t="inlineStr">
        <is>
          <t>Small Fish</t>
        </is>
      </c>
      <c r="K268" t="inlineStr">
        <is>
          <t>Fariz</t>
        </is>
      </c>
      <c r="L268" s="4"/>
      <c r="M268" s="4">
        <v>46136.476875</v>
      </c>
      <c r="N268"/>
      <c r="O268">
        <v>3888</v>
      </c>
      <c r="P268" s="4"/>
      <c r="Q268" s="4"/>
      <c r="R268"/>
      <c r="S268"/>
      <c r="T268" s="4"/>
      <c r="U268" s="4"/>
      <c r="V268"/>
      <c r="W268"/>
      <c r="X268"/>
      <c r="Y268" t="inlineStr">
        <is>
          <t>Pending Appointment</t>
        </is>
      </c>
      <c r="Z268" t="inlineStr">
        <is>
          <t>Hiring Now</t>
        </is>
      </c>
      <c r="AA268">
        <v>2</v>
      </c>
      <c r="AB268" t="inlineStr">
        <is>
          <t>No Appointment Made</t>
        </is>
      </c>
      <c r="AC268"/>
      <c r="AD268" t="inlineStr">
        <is>
          <t>2 sales advisor</t>
        </is>
      </c>
      <c r="AE268"/>
      <c r="AF268">
        <v>3600</v>
      </c>
      <c r="AG268" s="4"/>
      <c r="AH268" s="4"/>
      <c r="AI268">
        <v>3600</v>
      </c>
      <c r="AJ268"/>
      <c r="AK268" t="inlineStr">
        <is>
          <t>No, I don't need at all</t>
        </is>
      </c>
      <c r="AL268">
        <v>1</v>
      </c>
      <c r="AM268" t="inlineStr">
        <is>
          <t>No, I don't need at all</t>
        </is>
      </c>
      <c r="AN268"/>
      <c r="AO268" t="inlineStr">
        <is>
          <t>No, I don't need at all</t>
        </is>
      </c>
      <c r="AP268" t="inlineStr">
        <is>
          <t>Twice a year (50%)</t>
        </is>
      </c>
      <c r="AQ268">
        <v>5</v>
      </c>
      <c r="AR268" t="inlineStr">
        <is>
          <t>Free Job Portal</t>
        </is>
      </c>
      <c r="AS268" t="inlineStr">
        <is>
          <t>- Headcount: 2
- Hiring Job Details: 2 sales advisor
- Hiring Urgency: Hiring Now
- Number of outlets: 
- Have recruiter team: No, I don't need at all
- Number of recruiter in company: 1
- Have ATS system: No, I don't need at all
- Have career website: No, I don't need at all
- Current hiring budget: RM3,600
- Whole year budget: RM3,600.00
- Whole year number of vacancies: 5
- Hiring frequency: Twice a year (50%)
- External job portal: Free Job Portal</t>
        </is>
      </c>
      <c r="AT268">
        <v>100</v>
      </c>
      <c r="AU268" t="inlineStr">
        <is>
          <t>1.00</t>
        </is>
      </c>
      <c r="AV268" t="inlineStr">
        <is>
          <t>15</t>
        </is>
      </c>
      <c r="AW268" t="inlineStr">
        <is>
          <t>0</t>
        </is>
      </c>
      <c r="AX268" t="inlineStr">
        <is>
          <t>Not Qualified</t>
        </is>
      </c>
      <c r="AY268" s="4"/>
      <c r="AZ268"/>
      <c r="BA268"/>
      <c r="BB268"/>
      <c r="BC268" t="inlineStr">
        <is>
          <t>- Headcount: 2
- Hiring Job Details: 2 sales advisor
- Hiring Urgency: Hiring Now
- Number of outlets: Not provided
- Have recruiter team: No, but want in future
- Number of recruiter in company: 1
- Have ATS system: No, but want in future
- Have career website: No, but want in future
- Current hiring budget: RM3,600
- Whole year budget: RM3,600.00
- Whole year number of vacancies: 5
- Hiring frequency: Twice a year (50%)
- External job portal: Free Job Portal</t>
        </is>
      </c>
      <c r="BD268" s="4">
        <v>46136.50003472222</v>
      </c>
      <c r="BE268"/>
      <c r="BF268"/>
      <c r="BG268" t="inlineStr">
        <is>
          <t>Reschedule</t>
        </is>
      </c>
      <c r="BH268" t="inlineStr">
        <is>
          <t>Edward Hoo</t>
        </is>
      </c>
      <c r="BI268" t="inlineStr">
        <is>
          <t>Insurance</t>
        </is>
      </c>
      <c r="BJ268" s="4">
        <v>46144.750289351854</v>
      </c>
      <c r="BK268" s="4">
        <v>43780.306226851855</v>
      </c>
      <c r="BL268" t="inlineStr">
        <is>
          <t>0.0</t>
        </is>
      </c>
      <c r="BM268" t="inlineStr">
        <is>
          <t>0.0</t>
        </is>
      </c>
      <c r="BN268" t="inlineStr">
        <is>
          <t>View Jobmanager Page</t>
        </is>
      </c>
      <c r="BO268" s="4">
        <v>45785.74725694444</v>
      </c>
      <c r="BP268">
        <v>168760</v>
      </c>
      <c r="BQ268"/>
      <c r="BR268"/>
      <c r="BS268"/>
      <c r="BT268"/>
      <c r="BU268"/>
      <c r="BV268">
        <v>2726034</v>
      </c>
      <c r="BW268" t="inlineStr">
        <is>
          <t>Customer Inquiry</t>
        </is>
      </c>
      <c r="BX268"/>
      <c r="BY268"/>
      <c r="BZ268" s="4"/>
      <c r="CA268"/>
      <c r="CB268"/>
      <c r="CC268" s="4"/>
      <c r="CD268" t="inlineStr">
        <is>
          <t>20</t>
        </is>
      </c>
      <c r="CE268" t="inlineStr">
        <is>
          <t>0</t>
        </is>
      </c>
      <c r="CF268" t="inlineStr">
        <is>
          <t>Q2-W04</t>
        </is>
      </c>
      <c r="CG268"/>
      <c r="CH268"/>
      <c r="CI268"/>
      <c r="CJ268" t="inlineStr">
        <is>
          <t>No Paid</t>
        </is>
      </c>
      <c r="CK268" t="inlineStr">
        <is>
          <t>Not Eligible</t>
        </is>
      </c>
      <c r="CL268"/>
      <c r="CM268"/>
    </row>
    <row r="269" ht="25.5" customHeight="1">
      <c r="A269" t="inlineStr">
        <is>
          <t>203611</t>
        </is>
      </c>
      <c r="B269" s="2"/>
      <c r="C269"/>
      <c r="D269" s="3">
        <v>46136.47398148148</v>
      </c>
      <c r="E269" t="inlineStr">
        <is>
          <t>Q2-W04</t>
        </is>
      </c>
      <c r="F269" t="inlineStr">
        <is>
          <t>Eugene</t>
        </is>
      </c>
      <c r="G269" t="inlineStr">
        <is>
          <t>Customer</t>
        </is>
      </c>
      <c r="H269" s="2" t="str">
        <f>=HYPERLINK("https://upbox.ajobthing.my/customer/203611", "https://upbox.ajobthing.my/customer/203611")</f>
        <v>https://upbox.ajobthing.my/customer/203611</v>
      </c>
      <c r="I269" t="inlineStr">
        <is>
          <t>Rtl Lab Sdn Bhd</t>
        </is>
      </c>
      <c r="J269" t="inlineStr">
        <is>
          <t>Small Fish</t>
        </is>
      </c>
      <c r="K269" t="inlineStr">
        <is>
          <t>Eugene</t>
        </is>
      </c>
      <c r="L269" s="4"/>
      <c r="M269" s="4">
        <v>46136.4740625</v>
      </c>
      <c r="N269"/>
      <c r="O269">
        <v>3888</v>
      </c>
      <c r="P269" s="4"/>
      <c r="Q269" s="4"/>
      <c r="R269"/>
      <c r="S269"/>
      <c r="T269" s="4"/>
      <c r="U269" s="4"/>
      <c r="V269"/>
      <c r="W269"/>
      <c r="X269"/>
      <c r="Y269" t="inlineStr">
        <is>
          <t>Pending Appointment</t>
        </is>
      </c>
      <c r="Z269" t="inlineStr">
        <is>
          <t>Hiring Now</t>
        </is>
      </c>
      <c r="AA269">
        <v>1</v>
      </c>
      <c r="AB269" t="inlineStr">
        <is>
          <t>No Appointment Made</t>
        </is>
      </c>
      <c r="AC269"/>
      <c r="AD269" t="inlineStr">
        <is>
          <t>1 lab admin, based in Shah Alam</t>
        </is>
      </c>
      <c r="AE269"/>
      <c r="AF269">
        <v>1200</v>
      </c>
      <c r="AG269" s="4"/>
      <c r="AH269" s="4"/>
      <c r="AI269">
        <v>3000</v>
      </c>
      <c r="AJ269">
        <v>2</v>
      </c>
      <c r="AK269" t="inlineStr">
        <is>
          <t>No, I don't need at all</t>
        </is>
      </c>
      <c r="AL269">
        <v>1</v>
      </c>
      <c r="AM269" t="inlineStr">
        <is>
          <t>No, I don't need at all</t>
        </is>
      </c>
      <c r="AN269"/>
      <c r="AO269" t="inlineStr">
        <is>
          <t>No, I don't need at all</t>
        </is>
      </c>
      <c r="AP269" t="inlineStr">
        <is>
          <t>Once a year (25%)</t>
        </is>
      </c>
      <c r="AQ269">
        <v>1</v>
      </c>
      <c r="AR269" t="inlineStr">
        <is>
          <t>Jobstreet, Indeed (Paid), Linkedin (Paid), Free Job Portal</t>
        </is>
      </c>
      <c r="AS269" t="inlineStr">
        <is>
          <t>- Headcount: 1
- Hiring Job Details: 1 lab admin, based in Shah Alam
- Hiring Urgency: Hiring Now
- Number of outlets: 2
- Have recruiter team: No, I don't need at all
- Number of recruiter in company: 1
- Have ATS system: No, I don't need at all
- Have career website: No, I don't need at all
- Current hiring budget: RM1,200
- Whole year budget: RM3,000.00
- Whole year number of vacancies: 1
- Hiring frequency: Once a year (25%)
- External job portal: Jobstreet,Indeed (Paid),Linkedin (Paid),Free Job Portal</t>
        </is>
      </c>
      <c r="AT269">
        <v>115</v>
      </c>
      <c r="AU269" t="inlineStr">
        <is>
          <t>1.15</t>
        </is>
      </c>
      <c r="AV269" t="inlineStr">
        <is>
          <t>15</t>
        </is>
      </c>
      <c r="AW269" t="inlineStr">
        <is>
          <t>0</t>
        </is>
      </c>
      <c r="AX269" t="inlineStr">
        <is>
          <t>Not Qualified</t>
        </is>
      </c>
      <c r="AY269" s="4"/>
      <c r="AZ269"/>
      <c r="BA269"/>
      <c r="BB269"/>
      <c r="BC269" t="inlineStr">
        <is>
          <t>- Headcount: 1
- Hiring Job Details: 1 lab admin, based in Shah Alam
- Hiring Urgency: Hiring Now
- Number of outlets: 2
- Have recruiter team: No, I don't need at all
- Number of recruiter in company: 1
- Have ATS system: No, I don't need at all
- Have career website: No, I don't need at all
- Current hiring budget: RM1,200
- Whole year budget: RM3,000.00
- Whole year number of vacancies: 1
- Hiring frequency: Once a year (25%)
- External job portal: Jobstreet,Indeed (Paid),Linkedin (Paid),Free Job Portal</t>
        </is>
      </c>
      <c r="BD269" s="4">
        <v>46136.50003472222</v>
      </c>
      <c r="BE269"/>
      <c r="BF269"/>
      <c r="BG269" t="inlineStr">
        <is>
          <t>Reschedule</t>
        </is>
      </c>
      <c r="BH269" t="inlineStr">
        <is>
          <t>Edward Hoo</t>
        </is>
      </c>
      <c r="BI269"/>
      <c r="BJ269" s="4">
        <v>46144.75436342593</v>
      </c>
      <c r="BK269" s="4">
        <v>46136.4291087963</v>
      </c>
      <c r="BL269" t="inlineStr">
        <is>
          <t>0.0</t>
        </is>
      </c>
      <c r="BM269" t="inlineStr">
        <is>
          <t>600.0</t>
        </is>
      </c>
      <c r="BN269" t="inlineStr">
        <is>
          <t>View Company Page</t>
        </is>
      </c>
      <c r="BO269" s="4">
        <v>46136.436875</v>
      </c>
      <c r="BP269">
        <v>168748</v>
      </c>
      <c r="BQ269"/>
      <c r="BR269"/>
      <c r="BS269"/>
      <c r="BT269"/>
      <c r="BU269"/>
      <c r="BV269">
        <v>2726027</v>
      </c>
      <c r="BW269" t="inlineStr">
        <is>
          <t>Customer Inquiry</t>
        </is>
      </c>
      <c r="BX269"/>
      <c r="BY269"/>
      <c r="BZ269" s="4"/>
      <c r="CA269"/>
      <c r="CB269"/>
      <c r="CC269" s="4"/>
      <c r="CD269" t="inlineStr">
        <is>
          <t>20</t>
        </is>
      </c>
      <c r="CE269" t="inlineStr">
        <is>
          <t>0</t>
        </is>
      </c>
      <c r="CF269" t="inlineStr">
        <is>
          <t>Q2-W04</t>
        </is>
      </c>
      <c r="CG269"/>
      <c r="CH269"/>
      <c r="CI269"/>
      <c r="CJ269" t="inlineStr">
        <is>
          <t>No Paid</t>
        </is>
      </c>
      <c r="CK269" t="inlineStr">
        <is>
          <t>Not Eligible</t>
        </is>
      </c>
      <c r="CL269"/>
      <c r="CM269"/>
    </row>
    <row r="270" ht="25.5" customHeight="1">
      <c r="A270" t="inlineStr">
        <is>
          <t>4315690</t>
        </is>
      </c>
      <c r="B270" s="2"/>
      <c r="C270"/>
      <c r="D270" s="3">
        <v>46136.474328703705</v>
      </c>
      <c r="E270" t="inlineStr">
        <is>
          <t>Q2-W04</t>
        </is>
      </c>
      <c r="F270" t="inlineStr">
        <is>
          <t>Jia Hui</t>
        </is>
      </c>
      <c r="G270" t="inlineStr">
        <is>
          <t>Lead</t>
        </is>
      </c>
      <c r="H270" s="2" t="str">
        <f>=HYPERLINK("https://upbox.ajobthing.my/leads/4315690", "https://upbox.ajobthing.my/leads/4315690")</f>
        <v>https://upbox.ajobthing.my/leads/4315690</v>
      </c>
      <c r="I270" t="inlineStr">
        <is>
          <t>SK ENGINEERS SDN BHD</t>
        </is>
      </c>
      <c r="J270" t="inlineStr">
        <is>
          <t>Small Fish</t>
        </is>
      </c>
      <c r="K270" t="inlineStr">
        <is>
          <t>Jia Hui</t>
        </is>
      </c>
      <c r="L270" s="4"/>
      <c r="M270" s="4">
        <v>46136.47621527778</v>
      </c>
      <c r="N270"/>
      <c r="O270">
        <v>3888</v>
      </c>
      <c r="P270" s="4"/>
      <c r="Q270" s="4"/>
      <c r="R270"/>
      <c r="S270"/>
      <c r="T270" s="4"/>
      <c r="U270" s="4"/>
      <c r="V270"/>
      <c r="W270"/>
      <c r="X270"/>
      <c r="Y270" t="inlineStr">
        <is>
          <t>Pending Appointment</t>
        </is>
      </c>
      <c r="Z270" t="inlineStr">
        <is>
          <t>Hiring Now</t>
        </is>
      </c>
      <c r="AA270">
        <v>2</v>
      </c>
      <c r="AB270" t="inlineStr">
        <is>
          <t>No Appointment Made</t>
        </is>
      </c>
      <c r="AC270"/>
      <c r="AD270" t="inlineStr">
        <is>
          <t>1 PA/ Driver, 1 engineer</t>
        </is>
      </c>
      <c r="AE270"/>
      <c r="AF270">
        <v>500</v>
      </c>
      <c r="AG270" s="4"/>
      <c r="AH270" s="4"/>
      <c r="AI270"/>
      <c r="AJ270"/>
      <c r="AK270" t="inlineStr">
        <is>
          <t>Yes, I have</t>
        </is>
      </c>
      <c r="AL270"/>
      <c r="AM270"/>
      <c r="AN270"/>
      <c r="AO270"/>
      <c r="AP270" t="inlineStr">
        <is>
          <t>Once a year (25%)</t>
        </is>
      </c>
      <c r="AQ270"/>
      <c r="AR270"/>
      <c r="AS270" t="inlineStr">
        <is>
          <t>- Headcount: 2
- Hiring Job Details: 1 PA/ Driver, 1 engineer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is>
      </c>
      <c r="AT270">
        <v>75</v>
      </c>
      <c r="AU270" t="inlineStr">
        <is>
          <t>0.75</t>
        </is>
      </c>
      <c r="AV270" t="inlineStr">
        <is>
          <t>15</t>
        </is>
      </c>
      <c r="AW270" t="inlineStr">
        <is>
          <t>0</t>
        </is>
      </c>
      <c r="AX270" t="inlineStr">
        <is>
          <t>Not Qualified</t>
        </is>
      </c>
      <c r="AY270" s="4"/>
      <c r="AZ270"/>
      <c r="BA270"/>
      <c r="BB270"/>
      <c r="BC270"/>
      <c r="BD270" s="4"/>
      <c r="BE270"/>
      <c r="BF270"/>
      <c r="BG270" t="inlineStr">
        <is>
          <t>Reschedule</t>
        </is>
      </c>
      <c r="BH270" t="inlineStr">
        <is>
          <t>Reagen</t>
        </is>
      </c>
      <c r="BI270"/>
      <c r="BJ270" s="4">
        <v>46144.755902777775</v>
      </c>
      <c r="BK270" s="4">
        <v>46135.59581018519</v>
      </c>
      <c r="BL270" t="inlineStr">
        <is>
          <t>0.0</t>
        </is>
      </c>
      <c r="BM270" t="inlineStr">
        <is>
          <t>0.0</t>
        </is>
      </c>
      <c r="BN270"/>
      <c r="BO270" s="4"/>
      <c r="BP270">
        <v>168758</v>
      </c>
      <c r="BQ270"/>
      <c r="BR270"/>
      <c r="BS270"/>
      <c r="BT270"/>
      <c r="BU270"/>
      <c r="BV270"/>
      <c r="BW270"/>
      <c r="BX270"/>
      <c r="BY270"/>
      <c r="BZ270" s="4"/>
      <c r="CA270"/>
      <c r="CB270"/>
      <c r="CC270" s="4"/>
      <c r="CD270" t="inlineStr">
        <is>
          <t>20</t>
        </is>
      </c>
      <c r="CE270" t="inlineStr">
        <is>
          <t>0</t>
        </is>
      </c>
      <c r="CF270" t="inlineStr">
        <is>
          <t>Q2-W04</t>
        </is>
      </c>
      <c r="CG270"/>
      <c r="CH270"/>
      <c r="CI270"/>
      <c r="CJ270" t="inlineStr">
        <is>
          <t>No Paid</t>
        </is>
      </c>
      <c r="CK270" t="inlineStr">
        <is>
          <t>Not Eligible</t>
        </is>
      </c>
      <c r="CL270"/>
      <c r="CM270"/>
    </row>
    <row r="271" ht="25.5" customHeight="1">
      <c r="A271" t="inlineStr">
        <is>
          <t>171161</t>
        </is>
      </c>
      <c r="B271" s="2"/>
      <c r="C271"/>
      <c r="D271" s="3">
        <v>46136.47443287037</v>
      </c>
      <c r="E271" t="inlineStr">
        <is>
          <t>Q2-W04</t>
        </is>
      </c>
      <c r="F271" t="inlineStr">
        <is>
          <t>Alan KY</t>
        </is>
      </c>
      <c r="G271" t="inlineStr">
        <is>
          <t>Customer</t>
        </is>
      </c>
      <c r="H271" s="2" t="str">
        <f>=HYPERLINK("https://upbox.ajobthing.my/customer/171161", "https://upbox.ajobthing.my/customer/171161")</f>
        <v>https://upbox.ajobthing.my/customer/171161</v>
      </c>
      <c r="I271" t="inlineStr">
        <is>
          <t>PUSAT TUISYEN GENIUS INTELEK</t>
        </is>
      </c>
      <c r="J271" t="inlineStr">
        <is>
          <t>Small Fish</t>
        </is>
      </c>
      <c r="K271" t="inlineStr">
        <is>
          <t>Alan KY</t>
        </is>
      </c>
      <c r="L271" s="4"/>
      <c r="M271" s="4">
        <v>46136.47546296296</v>
      </c>
      <c r="N271"/>
      <c r="O271">
        <v>4752</v>
      </c>
      <c r="P271" s="4"/>
      <c r="Q271" s="4"/>
      <c r="R271"/>
      <c r="S271"/>
      <c r="T271" s="4"/>
      <c r="U271" s="4"/>
      <c r="V271"/>
      <c r="W271"/>
      <c r="X271"/>
      <c r="Y271" t="inlineStr">
        <is>
          <t>Pending Appointment</t>
        </is>
      </c>
      <c r="Z271" t="inlineStr">
        <is>
          <t>Continuous Hiring</t>
        </is>
      </c>
      <c r="AA271">
        <v>10</v>
      </c>
      <c r="AB271" t="inlineStr">
        <is>
          <t>No Appointment Made</t>
        </is>
      </c>
      <c r="AC271"/>
      <c r="AD271" t="inlineStr">
        <is>
          <t>10 tutor, frequent hire 
Based in KL selangor 
</t>
        </is>
      </c>
      <c r="AE271"/>
      <c r="AF271"/>
      <c r="AG271" s="4"/>
      <c r="AH271" s="4"/>
      <c r="AI271"/>
      <c r="AJ271">
        <v>4</v>
      </c>
      <c r="AK271" t="inlineStr">
        <is>
          <t>No, I don't need at all</t>
        </is>
      </c>
      <c r="AL271"/>
      <c r="AM271" t="inlineStr">
        <is>
          <t>No, I don't need at all</t>
        </is>
      </c>
      <c r="AN271"/>
      <c r="AO271" t="inlineStr">
        <is>
          <t>No, I don't need at all</t>
        </is>
      </c>
      <c r="AP271" t="inlineStr">
        <is>
          <t>Every month (100%)</t>
        </is>
      </c>
      <c r="AQ271"/>
      <c r="AR271" t="inlineStr">
        <is>
          <t>Indeed (Paid), Free Job Portal</t>
        </is>
      </c>
      <c r="AS271" t="inlineStr">
        <is>
          <t>- Headcount: 10
- Hiring Job Details: 10 tutor, frequent hire; Based in KL selangor
- Hiring Urgency: Continuous Hiring
- Number of outlets: 4
- Have recruiter team: No, I don't need at all
- Number of recruiter in company: None
- Have ATS system: No, I don't need at all
- Have career website: No, I don't need at all
- Current hiring budget: None
- Whole year budget: None
- Whole year number of vacancies: None
- Hiring frequency: Every month (100%)
- External job portal: Indeed (Paid), Free Job Portal</t>
        </is>
      </c>
      <c r="AT271">
        <v>95</v>
      </c>
      <c r="AU271" t="inlineStr">
        <is>
          <t>0.95</t>
        </is>
      </c>
      <c r="AV271" t="inlineStr">
        <is>
          <t>10</t>
        </is>
      </c>
      <c r="AW271" t="inlineStr">
        <is>
          <t>0</t>
        </is>
      </c>
      <c r="AX271" t="inlineStr">
        <is>
          <t>Not Qualified</t>
        </is>
      </c>
      <c r="AY271" s="4"/>
      <c r="AZ271"/>
      <c r="BA271"/>
      <c r="BB271"/>
      <c r="BC271" t="inlineStr">
        <is>
          <t>- Headcount: 10
- Hiring Job Details: 10 tutor, frequent hire; Based in KL selangor
- Hiring Urgency: Continuous Hiring
- Number of outlets: 4
- Have recruiter team: No, I don't need at all
- Number of recruiter in company: None
- Have ATS system: No, I don't need at all
- Have career website: No, I don't need at all
- Current hiring budget: None
- Whole year budget: None
- Whole year number of vacancies: None
- Hiring frequency: Every month (100%)
- External job portal: Indeed (Paid), Free Job Portal</t>
        </is>
      </c>
      <c r="BD271" s="4">
        <v>46136.50003472222</v>
      </c>
      <c r="BE271"/>
      <c r="BF271"/>
      <c r="BG271" t="inlineStr">
        <is>
          <t>Reschedule</t>
        </is>
      </c>
      <c r="BH271" t="inlineStr">
        <is>
          <t>Reagen</t>
        </is>
      </c>
      <c r="BI271" t="inlineStr">
        <is>
          <t>Education / Training</t>
        </is>
      </c>
      <c r="BJ271" s="4">
        <v>46144.75142361111</v>
      </c>
      <c r="BK271" s="4">
        <v>45188.421689814815</v>
      </c>
      <c r="BL271" t="inlineStr">
        <is>
          <t>0.0</t>
        </is>
      </c>
      <c r="BM271" t="inlineStr">
        <is>
          <t>0.0</t>
        </is>
      </c>
      <c r="BN271" t="inlineStr">
        <is>
          <t>View Company Page</t>
        </is>
      </c>
      <c r="BO271" s="4">
        <v>45188.42172453704</v>
      </c>
      <c r="BP271">
        <v>168755</v>
      </c>
      <c r="BQ271"/>
      <c r="BR271"/>
      <c r="BS271"/>
      <c r="BT271"/>
      <c r="BU271"/>
      <c r="BV271">
        <v>2726030</v>
      </c>
      <c r="BW271" t="inlineStr">
        <is>
          <t>Customer Inquiry</t>
        </is>
      </c>
      <c r="BX271"/>
      <c r="BY271"/>
      <c r="BZ271" s="4"/>
      <c r="CA271"/>
      <c r="CB271"/>
      <c r="CC271" s="4"/>
      <c r="CD271" t="inlineStr">
        <is>
          <t>15</t>
        </is>
      </c>
      <c r="CE271" t="inlineStr">
        <is>
          <t>0</t>
        </is>
      </c>
      <c r="CF271" t="inlineStr">
        <is>
          <t>Q2-W04</t>
        </is>
      </c>
      <c r="CG271"/>
      <c r="CH271"/>
      <c r="CI271"/>
      <c r="CJ271" t="inlineStr">
        <is>
          <t>No Paid</t>
        </is>
      </c>
      <c r="CK271" t="inlineStr">
        <is>
          <t>Eligible</t>
        </is>
      </c>
      <c r="CL271"/>
      <c r="CM271"/>
    </row>
    <row r="272" ht="25.5" customHeight="1">
      <c r="A272" t="inlineStr">
        <is>
          <t>4291090</t>
        </is>
      </c>
      <c r="B272" s="2"/>
      <c r="C272"/>
      <c r="D272" s="3">
        <v>46136.47451388889</v>
      </c>
      <c r="E272" t="inlineStr">
        <is>
          <t>Q2-W04</t>
        </is>
      </c>
      <c r="F272" t="inlineStr">
        <is>
          <t>Xin Hui</t>
        </is>
      </c>
      <c r="G272" t="inlineStr">
        <is>
          <t>Lead</t>
        </is>
      </c>
      <c r="H272" s="2" t="str">
        <f>=HYPERLINK("https://upbox.ajobthing.my/leads/4291090", "https://upbox.ajobthing.my/leads/4291090")</f>
        <v>https://upbox.ajobthing.my/leads/4291090</v>
      </c>
      <c r="I272" t="inlineStr">
        <is>
          <t>PCSS</t>
        </is>
      </c>
      <c r="J272" t="inlineStr">
        <is>
          <t>Small Fish</t>
        </is>
      </c>
      <c r="K272" t="inlineStr">
        <is>
          <t>Xin Hui</t>
        </is>
      </c>
      <c r="L272" s="4"/>
      <c r="M272" s="4">
        <v>46136.46980324074</v>
      </c>
      <c r="N272"/>
      <c r="O272">
        <v>6048</v>
      </c>
      <c r="P272" s="4"/>
      <c r="Q272" s="4"/>
      <c r="R272"/>
      <c r="S272"/>
      <c r="T272" s="4"/>
      <c r="U272" s="4"/>
      <c r="V272"/>
      <c r="W272"/>
      <c r="X272"/>
      <c r="Y272" t="inlineStr">
        <is>
          <t>Pending Appointment</t>
        </is>
      </c>
      <c r="Z272" t="inlineStr">
        <is>
          <t>Hiring Now</t>
        </is>
      </c>
      <c r="AA272">
        <v>4</v>
      </c>
      <c r="AB272" t="inlineStr">
        <is>
          <t>No Appointment Made</t>
        </is>
      </c>
      <c r="AC272"/>
      <c r="AD272" t="inlineStr">
        <is>
          <t xml:space="preserve">engineering / admin / finance / marketing </t>
        </is>
      </c>
      <c r="AE272"/>
      <c r="AF272"/>
      <c r="AG272" s="4"/>
      <c r="AH272" s="4"/>
      <c r="AI272"/>
      <c r="AJ272"/>
      <c r="AK272" t="inlineStr">
        <is>
          <t>No, I don't need at all</t>
        </is>
      </c>
      <c r="AL272"/>
      <c r="AM272" t="inlineStr">
        <is>
          <t>No, I don't need at all</t>
        </is>
      </c>
      <c r="AN272"/>
      <c r="AO272" t="inlineStr">
        <is>
          <t>No, I don't need at all</t>
        </is>
      </c>
      <c r="AP272" t="inlineStr">
        <is>
          <t>Once a year (25%)</t>
        </is>
      </c>
      <c r="AQ272"/>
      <c r="AR272"/>
      <c r="AS272" t="inlineStr">
        <is>
          <t>- Headcount: 4
- Hiring Job Details: engineering / admin / finance / marketing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is>
      </c>
      <c r="AT272">
        <v>35</v>
      </c>
      <c r="AU272" t="inlineStr">
        <is>
          <t>0.35</t>
        </is>
      </c>
      <c r="AV272" t="inlineStr">
        <is>
          <t>5</t>
        </is>
      </c>
      <c r="AW272" t="inlineStr">
        <is>
          <t>0</t>
        </is>
      </c>
      <c r="AX272" t="inlineStr">
        <is>
          <t>Not Qualified</t>
        </is>
      </c>
      <c r="AY272" s="4"/>
      <c r="AZ272"/>
      <c r="BA272"/>
      <c r="BB272"/>
      <c r="BC272"/>
      <c r="BD272" s="4"/>
      <c r="BE272"/>
      <c r="BF272"/>
      <c r="BG272" t="inlineStr">
        <is>
          <t>Reschedule</t>
        </is>
      </c>
      <c r="BH272" t="inlineStr">
        <is>
          <t>Yee Hang</t>
        </is>
      </c>
      <c r="BI272"/>
      <c r="BJ272" s="4">
        <v>46144.75585648148</v>
      </c>
      <c r="BK272" s="4">
        <v>46128.79641203704</v>
      </c>
      <c r="BL272" t="inlineStr">
        <is>
          <t>0.0</t>
        </is>
      </c>
      <c r="BM272" t="inlineStr">
        <is>
          <t>0.0</t>
        </is>
      </c>
      <c r="BN272"/>
      <c r="BO272" s="4"/>
      <c r="BP272">
        <v>168747</v>
      </c>
      <c r="BQ272"/>
      <c r="BR272"/>
      <c r="BS272"/>
      <c r="BT272"/>
      <c r="BU272"/>
      <c r="BV272"/>
      <c r="BW272"/>
      <c r="BX272"/>
      <c r="BY272"/>
      <c r="BZ272" s="4"/>
      <c r="CA272"/>
      <c r="CB272"/>
      <c r="CC272" s="4"/>
      <c r="CD272" t="inlineStr">
        <is>
          <t>5</t>
        </is>
      </c>
      <c r="CE272" t="inlineStr">
        <is>
          <t>0</t>
        </is>
      </c>
      <c r="CF272" t="inlineStr">
        <is>
          <t>Q2-W04</t>
        </is>
      </c>
      <c r="CG272"/>
      <c r="CH272"/>
      <c r="CI272"/>
      <c r="CJ272" t="inlineStr">
        <is>
          <t>No Paid</t>
        </is>
      </c>
      <c r="CK272" t="inlineStr">
        <is>
          <t>Not Eligible</t>
        </is>
      </c>
      <c r="CL272"/>
      <c r="CM272"/>
    </row>
    <row r="273" ht="25.5" customHeight="1">
      <c r="A273" t="inlineStr">
        <is>
          <t>4319107</t>
        </is>
      </c>
      <c r="B273" s="2"/>
      <c r="C273"/>
      <c r="D273" s="3">
        <v>46136.476006944446</v>
      </c>
      <c r="E273" t="inlineStr">
        <is>
          <t>Q2-W04</t>
        </is>
      </c>
      <c r="F273" t="inlineStr">
        <is>
          <t>Carmen</t>
        </is>
      </c>
      <c r="G273" t="inlineStr">
        <is>
          <t>Lead</t>
        </is>
      </c>
      <c r="H273" s="2" t="str">
        <f>=HYPERLINK("https://upbox.ajobthing.my/leads/4319107", "https://upbox.ajobthing.my/leads/4319107")</f>
        <v>https://upbox.ajobthing.my/leads/4319107</v>
      </c>
      <c r="I273" t="inlineStr">
        <is>
          <t>THERESA KANAN</t>
        </is>
      </c>
      <c r="J273" t="inlineStr">
        <is>
          <t>Small Fish</t>
        </is>
      </c>
      <c r="K273" t="inlineStr">
        <is>
          <t>Carmen</t>
        </is>
      </c>
      <c r="L273" s="4"/>
      <c r="M273" s="4">
        <v>46136.47636574074</v>
      </c>
      <c r="N273"/>
      <c r="O273">
        <v>3888</v>
      </c>
      <c r="P273" s="4"/>
      <c r="Q273" s="4"/>
      <c r="R273"/>
      <c r="S273"/>
      <c r="T273" s="4"/>
      <c r="U273" s="4"/>
      <c r="V273"/>
      <c r="W273"/>
      <c r="X273"/>
      <c r="Y273" t="inlineStr">
        <is>
          <t>Pending Appointment</t>
        </is>
      </c>
      <c r="Z273" t="inlineStr">
        <is>
          <t>Hiring Now</t>
        </is>
      </c>
      <c r="AA273">
        <v>1</v>
      </c>
      <c r="AB273" t="inlineStr">
        <is>
          <t>No Appointment Made</t>
        </is>
      </c>
      <c r="AC273"/>
      <c r="AD273" t="inlineStr">
        <is>
          <t>1 convincing clerk</t>
        </is>
      </c>
      <c r="AE273"/>
      <c r="AF273">
        <v>0</v>
      </c>
      <c r="AG273" s="4"/>
      <c r="AH273" s="4"/>
      <c r="AI273"/>
      <c r="AJ273"/>
      <c r="AK273"/>
      <c r="AL273"/>
      <c r="AM273"/>
      <c r="AN273"/>
      <c r="AO273"/>
      <c r="AP273" t="inlineStr">
        <is>
          <t>Twice a year (50%)</t>
        </is>
      </c>
      <c r="AQ273"/>
      <c r="AR273"/>
      <c r="AS273" t="inlineStr">
        <is>
          <t>- Headcount: 1
- Hiring Job Details: 1 convincing clerk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is>
      </c>
      <c r="AT273">
        <v>75</v>
      </c>
      <c r="AU273" t="inlineStr">
        <is>
          <t>0.75</t>
        </is>
      </c>
      <c r="AV273" t="inlineStr">
        <is>
          <t>15</t>
        </is>
      </c>
      <c r="AW273" t="inlineStr">
        <is>
          <t>0</t>
        </is>
      </c>
      <c r="AX273" t="inlineStr">
        <is>
          <t>Not Qualified</t>
        </is>
      </c>
      <c r="AY273" s="4"/>
      <c r="AZ273"/>
      <c r="BA273"/>
      <c r="BB273"/>
      <c r="BC273"/>
      <c r="BD273" s="4"/>
      <c r="BE273"/>
      <c r="BF273"/>
      <c r="BG273" t="inlineStr">
        <is>
          <t>Reschedule</t>
        </is>
      </c>
      <c r="BH273" t="inlineStr">
        <is>
          <t>Reagen</t>
        </is>
      </c>
      <c r="BI273"/>
      <c r="BJ273" s="4">
        <v>46144.755902777775</v>
      </c>
      <c r="BK273" s="4">
        <v>46136.46226851852</v>
      </c>
      <c r="BL273" t="inlineStr">
        <is>
          <t>0.0</t>
        </is>
      </c>
      <c r="BM273" t="inlineStr">
        <is>
          <t>0.0</t>
        </is>
      </c>
      <c r="BN273"/>
      <c r="BO273" s="4"/>
      <c r="BP273">
        <v>168759</v>
      </c>
      <c r="BQ273"/>
      <c r="BR273"/>
      <c r="BS273"/>
      <c r="BT273"/>
      <c r="BU273"/>
      <c r="BV273"/>
      <c r="BW273"/>
      <c r="BX273"/>
      <c r="BY273"/>
      <c r="BZ273" s="4"/>
      <c r="CA273"/>
      <c r="CB273"/>
      <c r="CC273" s="4"/>
      <c r="CD273" t="inlineStr">
        <is>
          <t>20</t>
        </is>
      </c>
      <c r="CE273" t="inlineStr">
        <is>
          <t>0</t>
        </is>
      </c>
      <c r="CF273" t="inlineStr">
        <is>
          <t>Q2-W04</t>
        </is>
      </c>
      <c r="CG273"/>
      <c r="CH273"/>
      <c r="CI273"/>
      <c r="CJ273" t="inlineStr">
        <is>
          <t>No Paid</t>
        </is>
      </c>
      <c r="CK273" t="inlineStr">
        <is>
          <t>Not Eligible</t>
        </is>
      </c>
      <c r="CL273"/>
      <c r="CM273"/>
    </row>
    <row r="274" ht="25.5" customHeight="1">
      <c r="A274" t="inlineStr">
        <is>
          <t>123169</t>
        </is>
      </c>
      <c r="B274" s="2"/>
      <c r="C274"/>
      <c r="D274" s="3">
        <v>46136.47675925926</v>
      </c>
      <c r="E274" t="inlineStr">
        <is>
          <t>Q2-W04</t>
        </is>
      </c>
      <c r="F274" t="inlineStr">
        <is>
          <t>Fariz</t>
        </is>
      </c>
      <c r="G274" t="inlineStr">
        <is>
          <t>Customer</t>
        </is>
      </c>
      <c r="H274" s="2" t="str">
        <f>=HYPERLINK("https://upbox.ajobthing.my/customer/123169", "https://upbox.ajobthing.my/customer/123169")</f>
        <v>https://upbox.ajobthing.my/customer/123169</v>
      </c>
      <c r="I274" t="inlineStr">
        <is>
          <t>Norhayati Agency</t>
        </is>
      </c>
      <c r="J274" t="inlineStr">
        <is>
          <t>Small Fish</t>
        </is>
      </c>
      <c r="K274" t="inlineStr">
        <is>
          <t>Fariz</t>
        </is>
      </c>
      <c r="L274" s="4"/>
      <c r="M274" s="4">
        <v>46136.476875</v>
      </c>
      <c r="N274"/>
      <c r="O274">
        <v>3888</v>
      </c>
      <c r="P274" s="4"/>
      <c r="Q274" s="4"/>
      <c r="R274"/>
      <c r="S274"/>
      <c r="T274" s="4"/>
      <c r="U274" s="4"/>
      <c r="V274"/>
      <c r="W274"/>
      <c r="X274"/>
      <c r="Y274" t="inlineStr">
        <is>
          <t>Pending Appointment</t>
        </is>
      </c>
      <c r="Z274" t="inlineStr">
        <is>
          <t>Hiring Now</t>
        </is>
      </c>
      <c r="AA274">
        <v>2</v>
      </c>
      <c r="AB274" t="inlineStr">
        <is>
          <t>No Appointment Made</t>
        </is>
      </c>
      <c r="AC274"/>
      <c r="AD274" t="inlineStr">
        <is>
          <t>2 sales advisor</t>
        </is>
      </c>
      <c r="AE274"/>
      <c r="AF274">
        <v>3600</v>
      </c>
      <c r="AG274" s="4"/>
      <c r="AH274" s="4"/>
      <c r="AI274">
        <v>3600</v>
      </c>
      <c r="AJ274"/>
      <c r="AK274" t="inlineStr">
        <is>
          <t>No, but I want in future</t>
        </is>
      </c>
      <c r="AL274">
        <v>1</v>
      </c>
      <c r="AM274" t="inlineStr">
        <is>
          <t>No, but I want in future</t>
        </is>
      </c>
      <c r="AN274"/>
      <c r="AO274" t="inlineStr">
        <is>
          <t>No, but I want in future</t>
        </is>
      </c>
      <c r="AP274" t="inlineStr">
        <is>
          <t>Twice a year (50%)</t>
        </is>
      </c>
      <c r="AQ274">
        <v>5</v>
      </c>
      <c r="AR274" t="inlineStr">
        <is>
          <t>Free Job Portal</t>
        </is>
      </c>
      <c r="AS274" t="inlineStr">
        <is>
          <t>- Headcount: 2
- Hiring Job Details: 2 sales advisor
- Hiring Urgency: Hiring Now
- Number of outlets: Not provided
- Have recruiter team: No, but want in future
- Number of recruiter in company: 1
- Have ATS system: No, but want in future
- Have career website: No, but want in future
- Current hiring budget: RM3,600
- Whole year budget: RM3,600.00
- Whole year number of vacancies: 5
- Hiring frequency: Twice a year (50%)
- External job portal: Free Job Portal</t>
        </is>
      </c>
      <c r="AT274">
        <v>105</v>
      </c>
      <c r="AU274" t="inlineStr">
        <is>
          <t>1.05</t>
        </is>
      </c>
      <c r="AV274" t="inlineStr">
        <is>
          <t>15</t>
        </is>
      </c>
      <c r="AW274" t="inlineStr">
        <is>
          <t>0</t>
        </is>
      </c>
      <c r="AX274" t="inlineStr">
        <is>
          <t>Not Qualified</t>
        </is>
      </c>
      <c r="AY274" s="4"/>
      <c r="AZ274"/>
      <c r="BA274"/>
      <c r="BB274"/>
      <c r="BC274" t="inlineStr">
        <is>
          <t>- Headcount: 2
- Hiring Job Details: 2 sales advisor
- Hiring Urgency: Hiring Now
- Number of outlets: Not provided
- Have recruiter team: No, but want in future
- Number of recruiter in company: 1
- Have ATS system: No, but want in future
- Have career website: No, but want in future
- Current hiring budget: RM3,600
- Whole year budget: RM3,600.00
- Whole year number of vacancies: 5
- Hiring frequency: Twice a year (50%)
- External job portal: Free Job Portal</t>
        </is>
      </c>
      <c r="BD274" s="4">
        <v>46136.50003472222</v>
      </c>
      <c r="BE274"/>
      <c r="BF274"/>
      <c r="BG274" t="inlineStr">
        <is>
          <t>Reschedule</t>
        </is>
      </c>
      <c r="BH274" t="inlineStr">
        <is>
          <t>Edward Hoo</t>
        </is>
      </c>
      <c r="BI274" t="inlineStr">
        <is>
          <t>Insurance</t>
        </is>
      </c>
      <c r="BJ274" s="4">
        <v>46144.750289351854</v>
      </c>
      <c r="BK274" s="4">
        <v>43780.306226851855</v>
      </c>
      <c r="BL274" t="inlineStr">
        <is>
          <t>0.0</t>
        </is>
      </c>
      <c r="BM274" t="inlineStr">
        <is>
          <t>0.0</t>
        </is>
      </c>
      <c r="BN274" t="inlineStr">
        <is>
          <t>View Jobmanager Page</t>
        </is>
      </c>
      <c r="BO274" s="4">
        <v>45785.74725694444</v>
      </c>
      <c r="BP274">
        <v>168760</v>
      </c>
      <c r="BQ274"/>
      <c r="BR274"/>
      <c r="BS274"/>
      <c r="BT274"/>
      <c r="BU274"/>
      <c r="BV274">
        <v>2726034</v>
      </c>
      <c r="BW274" t="inlineStr">
        <is>
          <t>Customer Inquiry</t>
        </is>
      </c>
      <c r="BX274"/>
      <c r="BY274"/>
      <c r="BZ274" s="4"/>
      <c r="CA274"/>
      <c r="CB274"/>
      <c r="CC274" s="4"/>
      <c r="CD274" t="inlineStr">
        <is>
          <t>20</t>
        </is>
      </c>
      <c r="CE274" t="inlineStr">
        <is>
          <t>0</t>
        </is>
      </c>
      <c r="CF274" t="inlineStr">
        <is>
          <t>Q2-W04</t>
        </is>
      </c>
      <c r="CG274"/>
      <c r="CH274"/>
      <c r="CI274"/>
      <c r="CJ274" t="inlineStr">
        <is>
          <t>No Paid</t>
        </is>
      </c>
      <c r="CK274" t="inlineStr">
        <is>
          <t>Not Eligible</t>
        </is>
      </c>
      <c r="CL274"/>
      <c r="CM274"/>
    </row>
    <row r="275" ht="25.5" customHeight="1">
      <c r="A275" t="inlineStr">
        <is>
          <t>144363</t>
        </is>
      </c>
      <c r="B275" s="2"/>
      <c r="C275"/>
      <c r="D275" s="3">
        <v>46136.48569444445</v>
      </c>
      <c r="E275" t="inlineStr">
        <is>
          <t>Q2-W04</t>
        </is>
      </c>
      <c r="F275" t="inlineStr">
        <is>
          <t>Clover</t>
        </is>
      </c>
      <c r="G275" t="inlineStr">
        <is>
          <t>Customer</t>
        </is>
      </c>
      <c r="H275" s="2" t="str">
        <f>=HYPERLINK("https://upbox.ajobthing.my/customer/144363", "https://upbox.ajobthing.my/customer/144363")</f>
        <v>https://upbox.ajobthing.my/customer/144363</v>
      </c>
      <c r="I275" t="inlineStr">
        <is>
          <t>SIXTH Interior</t>
        </is>
      </c>
      <c r="J275" t="inlineStr">
        <is>
          <t>Small Fish</t>
        </is>
      </c>
      <c r="K275" t="inlineStr">
        <is>
          <t>Clover</t>
        </is>
      </c>
      <c r="L275" s="4"/>
      <c r="M275" s="4">
        <v>46136.480162037034</v>
      </c>
      <c r="N275"/>
      <c r="O275">
        <v>6048</v>
      </c>
      <c r="P275" s="4"/>
      <c r="Q275" s="4">
        <v>46140.501296296294</v>
      </c>
      <c r="R275"/>
      <c r="S275">
        <v>0</v>
      </c>
      <c r="T275" s="4">
        <v>46136.75142361111</v>
      </c>
      <c r="U275" s="4"/>
      <c r="V275"/>
      <c r="W275">
        <v>864</v>
      </c>
      <c r="X275"/>
      <c r="Y275" t="inlineStr">
        <is>
          <t>Pending Appointment</t>
        </is>
      </c>
      <c r="Z275" t="inlineStr">
        <is>
          <t>Hiring Now</t>
        </is>
      </c>
      <c r="AA275">
        <v>2</v>
      </c>
      <c r="AB275" t="inlineStr">
        <is>
          <t>No Appointment Made</t>
        </is>
      </c>
      <c r="AC275"/>
      <c r="AD275" t="inlineStr">
        <is>
          <t>016-356 6605 Mr Wayne , Interior design x2 chi,  min 1 year exp,  klang, future maybe hiring site supervisor x1, staff resign so urgent, expanding too  trying JS but many eng malay, suggest stand/pro</t>
        </is>
      </c>
      <c r="AE275"/>
      <c r="AF275">
        <v>5000</v>
      </c>
      <c r="AG275" s="4"/>
      <c r="AH275" s="4"/>
      <c r="AI275">
        <v>5000</v>
      </c>
      <c r="AJ275">
        <v>1</v>
      </c>
      <c r="AK275" t="inlineStr">
        <is>
          <t>No, but I want in future</t>
        </is>
      </c>
      <c r="AL275">
        <v>1</v>
      </c>
      <c r="AM275" t="inlineStr">
        <is>
          <t>No, but I want in future</t>
        </is>
      </c>
      <c r="AN275"/>
      <c r="AO275" t="inlineStr">
        <is>
          <t>No, but I want in future</t>
        </is>
      </c>
      <c r="AP275" t="inlineStr">
        <is>
          <t>Once per quarter (75%)</t>
        </is>
      </c>
      <c r="AQ275">
        <v>3</v>
      </c>
      <c r="AR275" t="inlineStr">
        <is>
          <t>Jobstreet</t>
        </is>
      </c>
      <c r="AS275" t="inlineStr">
        <is>
          <t>- Headcount: 2
- Hiring Job Details: 016-356 6605 Mr Wayne, Interior design x2 chi, min 1 year exp, klang, future maybe hiring site supervisor x1, staff resign so urgent, expanding too trying JS but many eng malay, suggest stand/pro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3
- Hiring frequency: Once per quarter (75%)
- External job portal: Jobstreet</t>
        </is>
      </c>
      <c r="AT275">
        <v>115</v>
      </c>
      <c r="AU275" t="inlineStr">
        <is>
          <t>1.15</t>
        </is>
      </c>
      <c r="AV275" t="inlineStr">
        <is>
          <t>15</t>
        </is>
      </c>
      <c r="AW275" t="inlineStr">
        <is>
          <t>0</t>
        </is>
      </c>
      <c r="AX275" t="inlineStr">
        <is>
          <t>Not Qualified</t>
        </is>
      </c>
      <c r="AY275" s="4"/>
      <c r="AZ275"/>
      <c r="BA275"/>
      <c r="BB275"/>
      <c r="BC275" t="inlineStr">
        <is>
          <t>Prefer ala carte  864, guide check result</t>
        </is>
      </c>
      <c r="BD275" s="4">
        <v>46139.395625</v>
      </c>
      <c r="BE275" t="inlineStr">
        <is>
          <t>paid</t>
        </is>
      </c>
      <c r="BF275" t="inlineStr">
        <is>
          <t>Q2-W04</t>
        </is>
      </c>
      <c r="BG275" t="inlineStr">
        <is>
          <t>Reschedule</t>
        </is>
      </c>
      <c r="BH275" t="inlineStr">
        <is>
          <t>Reagen</t>
        </is>
      </c>
      <c r="BI275" t="inlineStr">
        <is>
          <t>Architecture / Interior Design</t>
        </is>
      </c>
      <c r="BJ275" s="4">
        <v>46144.75071759259</v>
      </c>
      <c r="BK275" s="4">
        <v>44524.415185185186</v>
      </c>
      <c r="BL275" t="inlineStr">
        <is>
          <t>864.0</t>
        </is>
      </c>
      <c r="BM275" t="inlineStr">
        <is>
          <t>0.0</t>
        </is>
      </c>
      <c r="BN275" t="inlineStr">
        <is>
          <t>User Visit(Logged In)</t>
        </is>
      </c>
      <c r="BO275" s="4">
        <v>46142.44153935185</v>
      </c>
      <c r="BP275">
        <v>168764</v>
      </c>
      <c r="BQ275">
        <v>123870</v>
      </c>
      <c r="BR275" t="inlineStr">
        <is>
          <t>Proforma</t>
        </is>
      </c>
      <c r="BS275" t="inlineStr">
        <is>
          <t>Free Part-Time Job</t>
        </is>
      </c>
      <c r="BT275">
        <v>94745</v>
      </c>
      <c r="BU275"/>
      <c r="BV275">
        <v>2728102</v>
      </c>
      <c r="BW275" t="inlineStr">
        <is>
          <t>Service / Technical : Job Outcome Enquiry</t>
        </is>
      </c>
      <c r="BX275">
        <v>3</v>
      </c>
      <c r="BY275">
        <v>2</v>
      </c>
      <c r="BZ275" s="4">
        <v>46136.75142361111</v>
      </c>
      <c r="CA275">
        <v>23</v>
      </c>
      <c r="CB275">
        <v>23</v>
      </c>
      <c r="CC275" s="4"/>
      <c r="CD275" t="inlineStr">
        <is>
          <t>20</t>
        </is>
      </c>
      <c r="CE275" t="inlineStr">
        <is>
          <t>0</t>
        </is>
      </c>
      <c r="CF275" t="inlineStr">
        <is>
          <t>Q2-W04</t>
        </is>
      </c>
      <c r="CG275" t="inlineStr">
        <is>
          <t>Q2-W04</t>
        </is>
      </c>
      <c r="CH275" t="inlineStr">
        <is>
          <t>Q2-W04</t>
        </is>
      </c>
      <c r="CI275"/>
      <c r="CJ275" t="inlineStr">
        <is>
          <t>Paid</t>
        </is>
      </c>
      <c r="CK275" t="inlineStr">
        <is>
          <t>Not Eligible</t>
        </is>
      </c>
      <c r="CL275"/>
      <c r="CM275"/>
    </row>
    <row r="276" ht="25.5" customHeight="1">
      <c r="A276" t="inlineStr">
        <is>
          <t>203608</t>
        </is>
      </c>
      <c r="B276" s="2"/>
      <c r="C276"/>
      <c r="D276" s="3">
        <v>46136.48844907407</v>
      </c>
      <c r="E276" t="inlineStr">
        <is>
          <t>Q2-W04</t>
        </is>
      </c>
      <c r="F276" t="inlineStr">
        <is>
          <t>Evan</t>
        </is>
      </c>
      <c r="G276" t="inlineStr">
        <is>
          <t>Customer</t>
        </is>
      </c>
      <c r="H276" s="2" t="str">
        <f>=HYPERLINK("https://upbox.ajobthing.my/customer/203608", "https://upbox.ajobthing.my/customer/203608")</f>
        <v>https://upbox.ajobthing.my/customer/203608</v>
      </c>
      <c r="I276" t="inlineStr">
        <is>
          <t>V Event &amp; Production</t>
        </is>
      </c>
      <c r="J276" t="inlineStr">
        <is>
          <t>Small Fish</t>
        </is>
      </c>
      <c r="K276" t="inlineStr">
        <is>
          <t>Evan</t>
        </is>
      </c>
      <c r="L276" s="4"/>
      <c r="M276" s="4">
        <v>46136.48789351852</v>
      </c>
      <c r="N276"/>
      <c r="O276">
        <v>3888</v>
      </c>
      <c r="P276" s="4"/>
      <c r="Q276" s="4"/>
      <c r="R276"/>
      <c r="S276"/>
      <c r="T276" s="4"/>
      <c r="U276" s="4"/>
      <c r="V276"/>
      <c r="W276"/>
      <c r="X276"/>
      <c r="Y276" t="inlineStr">
        <is>
          <t>Pending Appointment</t>
        </is>
      </c>
      <c r="Z276" t="inlineStr">
        <is>
          <t>Hiring Now</t>
        </is>
      </c>
      <c r="AA276">
        <v>1</v>
      </c>
      <c r="AB276" t="inlineStr">
        <is>
          <t>No Appointment Made</t>
        </is>
      </c>
      <c r="AC276"/>
      <c r="AD276" t="inlineStr">
        <is>
          <t xml:space="preserve">1 clerk, all base in terengganu </t>
        </is>
      </c>
      <c r="AE276"/>
      <c r="AF276">
        <v>1</v>
      </c>
      <c r="AG276" s="4"/>
      <c r="AH276" s="4"/>
      <c r="AI276">
        <v>1</v>
      </c>
      <c r="AJ276">
        <v>1</v>
      </c>
      <c r="AK276" t="inlineStr">
        <is>
          <t>No, I don't need at all</t>
        </is>
      </c>
      <c r="AL276">
        <v>0</v>
      </c>
      <c r="AM276" t="inlineStr">
        <is>
          <t>No, I don't need at all</t>
        </is>
      </c>
      <c r="AN276"/>
      <c r="AO276" t="inlineStr">
        <is>
          <t>No, I don't need at all</t>
        </is>
      </c>
      <c r="AP276" t="inlineStr">
        <is>
          <t>Once a year (25%)</t>
        </is>
      </c>
      <c r="AQ276">
        <v>1</v>
      </c>
      <c r="AR276" t="inlineStr">
        <is>
          <t>Did not use any job portal</t>
        </is>
      </c>
      <c r="AS276" t="inlineStr">
        <is>
          <t>- Headcount: 1
- Hiring Job Details: 1 clerk, all based in Terengganu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276">
        <v>115</v>
      </c>
      <c r="AU276" t="inlineStr">
        <is>
          <t>1.15</t>
        </is>
      </c>
      <c r="AV276" t="inlineStr">
        <is>
          <t>15</t>
        </is>
      </c>
      <c r="AW276" t="inlineStr">
        <is>
          <t>0</t>
        </is>
      </c>
      <c r="AX276" t="inlineStr">
        <is>
          <t>Not Qualified</t>
        </is>
      </c>
      <c r="AY276" s="4"/>
      <c r="AZ276"/>
      <c r="BA276"/>
      <c r="BB276"/>
      <c r="BC276" t="inlineStr">
        <is>
          <t>- Headcount: 1
- Hiring Job Details: 1 clerk, all based in Terengganu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BD276" s="4">
        <v>46136.50003472222</v>
      </c>
      <c r="BE276"/>
      <c r="BF276"/>
      <c r="BG276" t="inlineStr">
        <is>
          <t>Reschedule</t>
        </is>
      </c>
      <c r="BH276" t="inlineStr">
        <is>
          <t>Edward Hoo</t>
        </is>
      </c>
      <c r="BI276"/>
      <c r="BJ276" s="4">
        <v>46144.75435185185</v>
      </c>
      <c r="BK276" s="4">
        <v>46136.38416666666</v>
      </c>
      <c r="BL276" t="inlineStr">
        <is>
          <t>0.0</t>
        </is>
      </c>
      <c r="BM276" t="inlineStr">
        <is>
          <t>0.0</t>
        </is>
      </c>
      <c r="BN276" t="inlineStr">
        <is>
          <t>View Company Page</t>
        </is>
      </c>
      <c r="BO276" s="4">
        <v>46136.388553240744</v>
      </c>
      <c r="BP276">
        <v>168768</v>
      </c>
      <c r="BQ276"/>
      <c r="BR276"/>
      <c r="BS276"/>
      <c r="BT276"/>
      <c r="BU276"/>
      <c r="BV276">
        <v>2726038</v>
      </c>
      <c r="BW276" t="inlineStr">
        <is>
          <t>Customer Inquiry</t>
        </is>
      </c>
      <c r="BX276"/>
      <c r="BY276"/>
      <c r="BZ276" s="4"/>
      <c r="CA276"/>
      <c r="CB276"/>
      <c r="CC276" s="4"/>
      <c r="CD276" t="inlineStr">
        <is>
          <t>20</t>
        </is>
      </c>
      <c r="CE276" t="inlineStr">
        <is>
          <t>0</t>
        </is>
      </c>
      <c r="CF276" t="inlineStr">
        <is>
          <t>Q2-W04</t>
        </is>
      </c>
      <c r="CG276"/>
      <c r="CH276"/>
      <c r="CI276"/>
      <c r="CJ276" t="inlineStr">
        <is>
          <t>No Paid</t>
        </is>
      </c>
      <c r="CK276" t="inlineStr">
        <is>
          <t>Not Eligible</t>
        </is>
      </c>
      <c r="CL276"/>
      <c r="CM276"/>
    </row>
    <row r="277" ht="25.5" customHeight="1">
      <c r="A277" t="inlineStr">
        <is>
          <t>203395</t>
        </is>
      </c>
      <c r="B277" s="2"/>
      <c r="C277"/>
      <c r="D277" s="3">
        <v>46136.5228587963</v>
      </c>
      <c r="E277" t="inlineStr">
        <is>
          <t>Q2-W04</t>
        </is>
      </c>
      <c r="F277" t="inlineStr">
        <is>
          <t>Chia Yee</t>
        </is>
      </c>
      <c r="G277" t="inlineStr">
        <is>
          <t>Customer</t>
        </is>
      </c>
      <c r="H277" s="2" t="str">
        <f>=HYPERLINK("https://upbox.ajobthing.my/customer/203395", "https://upbox.ajobthing.my/customer/203395")</f>
        <v>https://upbox.ajobthing.my/customer/203395</v>
      </c>
      <c r="I277" t="inlineStr">
        <is>
          <t>Tots &amp; Trim Sdn Bhd</t>
        </is>
      </c>
      <c r="J277" t="inlineStr">
        <is>
          <t>Small Fish</t>
        </is>
      </c>
      <c r="K277" t="inlineStr">
        <is>
          <t>Chia Yee</t>
        </is>
      </c>
      <c r="L277" s="4"/>
      <c r="M277" s="4">
        <v>46136.523043981484</v>
      </c>
      <c r="N277"/>
      <c r="O277">
        <v>864</v>
      </c>
      <c r="P277" s="4"/>
      <c r="Q277" s="4"/>
      <c r="R277"/>
      <c r="S277"/>
      <c r="T277" s="4"/>
      <c r="U277" s="4"/>
      <c r="V277"/>
      <c r="W277"/>
      <c r="X277"/>
      <c r="Y277" t="inlineStr">
        <is>
          <t>Pending Appointment</t>
        </is>
      </c>
      <c r="Z277" t="inlineStr">
        <is>
          <t>Hiring Now</t>
        </is>
      </c>
      <c r="AA277">
        <v>2</v>
      </c>
      <c r="AB277" t="inlineStr">
        <is>
          <t>No Appointment Made</t>
        </is>
      </c>
      <c r="AC277"/>
      <c r="AD277" t="inlineStr">
        <is>
          <t>2 hairstylist</t>
        </is>
      </c>
      <c r="AE277"/>
      <c r="AF277">
        <v>0</v>
      </c>
      <c r="AG277" s="4"/>
      <c r="AH277" s="4"/>
      <c r="AI277">
        <v>0</v>
      </c>
      <c r="AJ277">
        <v>1</v>
      </c>
      <c r="AK277" t="inlineStr">
        <is>
          <t>No, I don't need at all</t>
        </is>
      </c>
      <c r="AL277">
        <v>1</v>
      </c>
      <c r="AM277" t="inlineStr">
        <is>
          <t>No, I don't need at all</t>
        </is>
      </c>
      <c r="AN277"/>
      <c r="AO277" t="inlineStr">
        <is>
          <t>Yes, I have</t>
        </is>
      </c>
      <c r="AP277" t="inlineStr">
        <is>
          <t>Once a year (25%)</t>
        </is>
      </c>
      <c r="AQ277">
        <v>2</v>
      </c>
      <c r="AR277" t="inlineStr">
        <is>
          <t>Did not use any job portal</t>
        </is>
      </c>
      <c r="AS277" t="inlineStr">
        <is>
          <t>- Headcount: 2
- Hiring Job Details: 2 hairstylist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2
- Hiring frequency: Once a year (25%)
- External job portal: Did not use any job portal</t>
        </is>
      </c>
      <c r="AT277">
        <v>115</v>
      </c>
      <c r="AU277" t="inlineStr">
        <is>
          <t>1.15</t>
        </is>
      </c>
      <c r="AV277" t="inlineStr">
        <is>
          <t>15</t>
        </is>
      </c>
      <c r="AW277" t="inlineStr">
        <is>
          <t>0</t>
        </is>
      </c>
      <c r="AX277" t="inlineStr">
        <is>
          <t>Not Qualified</t>
        </is>
      </c>
      <c r="AY277" s="4"/>
      <c r="AZ277"/>
      <c r="BA277"/>
      <c r="BB277"/>
      <c r="BC277" t="inlineStr">
        <is>
          <t>Called, no ans. WA</t>
        </is>
      </c>
      <c r="BD277" s="4">
        <v>46142.489432870374</v>
      </c>
      <c r="BE277"/>
      <c r="BF277"/>
      <c r="BG277" t="inlineStr">
        <is>
          <t>Reschedule</t>
        </is>
      </c>
      <c r="BH277" t="inlineStr">
        <is>
          <t>Reagen</t>
        </is>
      </c>
      <c r="BI277" t="inlineStr">
        <is>
          <t>Beauty / Fitness</t>
        </is>
      </c>
      <c r="BJ277" s="4">
        <v>46144.75430555556</v>
      </c>
      <c r="BK277" s="4">
        <v>46130.966215277775</v>
      </c>
      <c r="BL277" t="inlineStr">
        <is>
          <t>0.0</t>
        </is>
      </c>
      <c r="BM277" t="inlineStr">
        <is>
          <t>600.0</t>
        </is>
      </c>
      <c r="BN277" t="inlineStr">
        <is>
          <t>View Company Page</t>
        </is>
      </c>
      <c r="BO277" s="4">
        <v>46133.34946759259</v>
      </c>
      <c r="BP277">
        <v>168783</v>
      </c>
      <c r="BQ277"/>
      <c r="BR277"/>
      <c r="BS277"/>
      <c r="BT277"/>
      <c r="BU277"/>
      <c r="BV277">
        <v>2737221</v>
      </c>
      <c r="BW277" t="inlineStr">
        <is>
          <t>No Answer : Voicemail - WA sent to customer</t>
        </is>
      </c>
      <c r="BX277"/>
      <c r="BY277"/>
      <c r="BZ277" s="4"/>
      <c r="CA277"/>
      <c r="CB277"/>
      <c r="CC277" s="4"/>
      <c r="CD277" t="inlineStr">
        <is>
          <t>20</t>
        </is>
      </c>
      <c r="CE277" t="inlineStr">
        <is>
          <t>0</t>
        </is>
      </c>
      <c r="CF277" t="inlineStr">
        <is>
          <t>Q2-W04</t>
        </is>
      </c>
      <c r="CG277"/>
      <c r="CH277"/>
      <c r="CI277"/>
      <c r="CJ277" t="inlineStr">
        <is>
          <t>No Paid</t>
        </is>
      </c>
      <c r="CK277" t="inlineStr">
        <is>
          <t>Not Eligible</t>
        </is>
      </c>
      <c r="CL277"/>
      <c r="CM277"/>
    </row>
    <row r="278" ht="25.5" customHeight="1">
      <c r="A278" t="inlineStr">
        <is>
          <t>182977</t>
        </is>
      </c>
      <c r="B278" s="2"/>
      <c r="C278"/>
      <c r="D278" s="3">
        <v>46136.58324074074</v>
      </c>
      <c r="E278" t="inlineStr">
        <is>
          <t>Q2-W04</t>
        </is>
      </c>
      <c r="F278" t="inlineStr">
        <is>
          <t>Xin Hui</t>
        </is>
      </c>
      <c r="G278" t="inlineStr">
        <is>
          <t>Customer</t>
        </is>
      </c>
      <c r="H278" s="2" t="str">
        <f>=HYPERLINK("https://upbox.ajobthing.my/customer/182977", "https://upbox.ajobthing.my/customer/182977")</f>
        <v>https://upbox.ajobthing.my/customer/182977</v>
      </c>
      <c r="I278" t="inlineStr">
        <is>
          <t>my 28 Foodie</t>
        </is>
      </c>
      <c r="J278" t="inlineStr">
        <is>
          <t>Small Fish</t>
        </is>
      </c>
      <c r="K278" t="inlineStr">
        <is>
          <t>Xin Hui</t>
        </is>
      </c>
      <c r="L278" s="4"/>
      <c r="M278" s="4">
        <v>46136.58519675926</v>
      </c>
      <c r="N278"/>
      <c r="O278">
        <v>3888</v>
      </c>
      <c r="P278" s="4"/>
      <c r="Q278" s="4"/>
      <c r="R278"/>
      <c r="S278"/>
      <c r="T278" s="4"/>
      <c r="U278" s="4"/>
      <c r="V278"/>
      <c r="W278"/>
      <c r="X278"/>
      <c r="Y278" t="inlineStr">
        <is>
          <t>Pending Appointment</t>
        </is>
      </c>
      <c r="Z278" t="inlineStr">
        <is>
          <t>Hiring Now</t>
        </is>
      </c>
      <c r="AA278">
        <v>3</v>
      </c>
      <c r="AB278" t="inlineStr">
        <is>
          <t>No Appointment Made</t>
        </is>
      </c>
      <c r="AC278"/>
      <c r="AD278" t="inlineStr">
        <is>
          <t>supervisor / waiter / waitress</t>
        </is>
      </c>
      <c r="AE278"/>
      <c r="AF278"/>
      <c r="AG278" s="4"/>
      <c r="AH278" s="4"/>
      <c r="AI278"/>
      <c r="AJ278"/>
      <c r="AK278" t="inlineStr">
        <is>
          <t>No, I don't need at all</t>
        </is>
      </c>
      <c r="AL278"/>
      <c r="AM278" t="inlineStr">
        <is>
          <t>No, I don't need at all</t>
        </is>
      </c>
      <c r="AN278"/>
      <c r="AO278" t="inlineStr">
        <is>
          <t>No, I don't need at all</t>
        </is>
      </c>
      <c r="AP278" t="inlineStr">
        <is>
          <t>Once a year (25%)</t>
        </is>
      </c>
      <c r="AQ278"/>
      <c r="AR278" t="inlineStr">
        <is>
          <t>Free Job Portal</t>
        </is>
      </c>
      <c r="AS278" t="inlineStr">
        <is>
          <t>- Headcount: 3
- Hiring Job Details: supervisor / waiter / waitress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is>
      </c>
      <c r="AT278">
        <v>75</v>
      </c>
      <c r="AU278" t="inlineStr">
        <is>
          <t>0.75</t>
        </is>
      </c>
      <c r="AV278" t="inlineStr">
        <is>
          <t>5</t>
        </is>
      </c>
      <c r="AW278" t="inlineStr">
        <is>
          <t>0</t>
        </is>
      </c>
      <c r="AX278" t="inlineStr">
        <is>
          <t>Not Qualified</t>
        </is>
      </c>
      <c r="AY278" s="4"/>
      <c r="AZ278"/>
      <c r="BA278"/>
      <c r="BB278"/>
      <c r="BC278" t="inlineStr">
        <is>
          <t>NA</t>
        </is>
      </c>
      <c r="BD278" s="4">
        <v>46141.648043981484</v>
      </c>
      <c r="BE278"/>
      <c r="BF278"/>
      <c r="BG278" t="inlineStr">
        <is>
          <t>Reschedule</t>
        </is>
      </c>
      <c r="BH278" t="inlineStr">
        <is>
          <t>Yee Hang</t>
        </is>
      </c>
      <c r="BI278"/>
      <c r="BJ278" s="4">
        <v>46144.75194444445</v>
      </c>
      <c r="BK278" s="4">
        <v>45558.52924768518</v>
      </c>
      <c r="BL278" t="inlineStr">
        <is>
          <t>0.0</t>
        </is>
      </c>
      <c r="BM278" t="inlineStr">
        <is>
          <t>0.0</t>
        </is>
      </c>
      <c r="BN278" t="inlineStr">
        <is>
          <t>View Account User</t>
        </is>
      </c>
      <c r="BO278" s="4">
        <v>46133.624236111114</v>
      </c>
      <c r="BP278">
        <v>168788</v>
      </c>
      <c r="BQ278"/>
      <c r="BR278"/>
      <c r="BS278"/>
      <c r="BT278"/>
      <c r="BU278"/>
      <c r="BV278">
        <v>2735656</v>
      </c>
      <c r="BW278" t="inlineStr">
        <is>
          <t>No Answer : Voicemail - WA sent to customer</t>
        </is>
      </c>
      <c r="BX278"/>
      <c r="BY278"/>
      <c r="BZ278" s="4"/>
      <c r="CA278"/>
      <c r="CB278"/>
      <c r="CC278" s="4"/>
      <c r="CD278" t="inlineStr">
        <is>
          <t>5</t>
        </is>
      </c>
      <c r="CE278" t="inlineStr">
        <is>
          <t>0</t>
        </is>
      </c>
      <c r="CF278" t="inlineStr">
        <is>
          <t>Q2-W04</t>
        </is>
      </c>
      <c r="CG278"/>
      <c r="CH278"/>
      <c r="CI278"/>
      <c r="CJ278" t="inlineStr">
        <is>
          <t>No Paid</t>
        </is>
      </c>
      <c r="CK278" t="inlineStr">
        <is>
          <t>Not Eligible</t>
        </is>
      </c>
      <c r="CL278"/>
      <c r="CM278"/>
    </row>
    <row r="279" ht="25.5" customHeight="1">
      <c r="A279" t="inlineStr">
        <is>
          <t>4319599</t>
        </is>
      </c>
      <c r="B279" s="2"/>
      <c r="C279"/>
      <c r="D279" s="3">
        <v>46136.59449074074</v>
      </c>
      <c r="E279" t="inlineStr">
        <is>
          <t>Q2-W04</t>
        </is>
      </c>
      <c r="F279" t="inlineStr">
        <is>
          <t>Jia Hui</t>
        </is>
      </c>
      <c r="G279" t="inlineStr">
        <is>
          <t>Lead</t>
        </is>
      </c>
      <c r="H279" s="2" t="str">
        <f>=HYPERLINK("https://upbox.ajobthing.my/leads/4319599", "https://upbox.ajobthing.my/leads/4319599")</f>
        <v>https://upbox.ajobthing.my/leads/4319599</v>
      </c>
      <c r="I279" t="inlineStr">
        <is>
          <t>Seremban Archery Learning Center</t>
        </is>
      </c>
      <c r="J279" t="inlineStr">
        <is>
          <t>Small Fish</t>
        </is>
      </c>
      <c r="K279" t="inlineStr">
        <is>
          <t>Jia Hui</t>
        </is>
      </c>
      <c r="L279" s="4"/>
      <c r="M279" s="4">
        <v>46136.59496527778</v>
      </c>
      <c r="N279"/>
      <c r="O279">
        <v>6048</v>
      </c>
      <c r="P279" s="4"/>
      <c r="Q279" s="4"/>
      <c r="R279"/>
      <c r="S279"/>
      <c r="T279" s="4"/>
      <c r="U279" s="4"/>
      <c r="V279"/>
      <c r="W279"/>
      <c r="X279"/>
      <c r="Y279" t="inlineStr">
        <is>
          <t>Pending Appointment</t>
        </is>
      </c>
      <c r="Z279" t="inlineStr">
        <is>
          <t>Hiring Now</t>
        </is>
      </c>
      <c r="AA279">
        <v>2</v>
      </c>
      <c r="AB279" t="inlineStr">
        <is>
          <t>No Appointment Made</t>
        </is>
      </c>
      <c r="AC279"/>
      <c r="AD279" t="inlineStr">
        <is>
          <t>1 archery junior coach, 1 technical staff</t>
        </is>
      </c>
      <c r="AE279"/>
      <c r="AF279">
        <v>500</v>
      </c>
      <c r="AG279" s="4"/>
      <c r="AH279" s="4"/>
      <c r="AI279"/>
      <c r="AJ279"/>
      <c r="AK279" t="inlineStr">
        <is>
          <t>No, but I want in future</t>
        </is>
      </c>
      <c r="AL279"/>
      <c r="AM279"/>
      <c r="AN279"/>
      <c r="AO279"/>
      <c r="AP279" t="inlineStr">
        <is>
          <t>Once a year (25%)</t>
        </is>
      </c>
      <c r="AQ279"/>
      <c r="AR279"/>
      <c r="AS279" t="inlineStr">
        <is>
          <t>- Headcount: 2
- Hiring Job Details: 1 archery junior coach, 1 technical staff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79">
        <v>75</v>
      </c>
      <c r="AU279" t="inlineStr">
        <is>
          <t>0.75</t>
        </is>
      </c>
      <c r="AV279" t="inlineStr">
        <is>
          <t>15</t>
        </is>
      </c>
      <c r="AW279" t="inlineStr">
        <is>
          <t>0</t>
        </is>
      </c>
      <c r="AX279" t="inlineStr">
        <is>
          <t>Not Qualified</t>
        </is>
      </c>
      <c r="AY279" s="4"/>
      <c r="AZ279"/>
      <c r="BA279"/>
      <c r="BB279"/>
      <c r="BC279"/>
      <c r="BD279" s="4"/>
      <c r="BE279"/>
      <c r="BF279"/>
      <c r="BG279" t="inlineStr">
        <is>
          <t>Reschedule</t>
        </is>
      </c>
      <c r="BH279" t="inlineStr">
        <is>
          <t>Reagen</t>
        </is>
      </c>
      <c r="BI279"/>
      <c r="BJ279" s="4">
        <v>46144.75592592593</v>
      </c>
      <c r="BK279" s="4">
        <v>46136.54622685185</v>
      </c>
      <c r="BL279" t="inlineStr">
        <is>
          <t>0.0</t>
        </is>
      </c>
      <c r="BM279" t="inlineStr">
        <is>
          <t>0.0</t>
        </is>
      </c>
      <c r="BN279"/>
      <c r="BO279" s="4"/>
      <c r="BP279">
        <v>168794</v>
      </c>
      <c r="BQ279"/>
      <c r="BR279"/>
      <c r="BS279"/>
      <c r="BT279"/>
      <c r="BU279"/>
      <c r="BV279"/>
      <c r="BW279"/>
      <c r="BX279"/>
      <c r="BY279"/>
      <c r="BZ279" s="4"/>
      <c r="CA279"/>
      <c r="CB279"/>
      <c r="CC279" s="4"/>
      <c r="CD279" t="inlineStr">
        <is>
          <t>20</t>
        </is>
      </c>
      <c r="CE279" t="inlineStr">
        <is>
          <t>0</t>
        </is>
      </c>
      <c r="CF279" t="inlineStr">
        <is>
          <t>Q2-W04</t>
        </is>
      </c>
      <c r="CG279"/>
      <c r="CH279"/>
      <c r="CI279"/>
      <c r="CJ279" t="inlineStr">
        <is>
          <t>No Paid</t>
        </is>
      </c>
      <c r="CK279" t="inlineStr">
        <is>
          <t>Not Eligible</t>
        </is>
      </c>
      <c r="CL279"/>
      <c r="CM279"/>
    </row>
    <row r="280" ht="25.5" customHeight="1">
      <c r="A280" t="inlineStr">
        <is>
          <t>12284</t>
        </is>
      </c>
      <c r="B280" s="2"/>
      <c r="C280"/>
      <c r="D280" s="3">
        <v>46136.60097222222</v>
      </c>
      <c r="E280" t="inlineStr">
        <is>
          <t>Q2-W04</t>
        </is>
      </c>
      <c r="F280" t="inlineStr">
        <is>
          <t>Clover</t>
        </is>
      </c>
      <c r="G280" t="inlineStr">
        <is>
          <t>Customer</t>
        </is>
      </c>
      <c r="H280" s="2" t="str">
        <f>=HYPERLINK("https://upbox.ajobthing.my/customer/12284", "https://upbox.ajobthing.my/customer/12284")</f>
        <v>https://upbox.ajobthing.my/customer/12284</v>
      </c>
      <c r="I280" t="inlineStr">
        <is>
          <t>Master Pest Control (M) Sdn Bhd</t>
        </is>
      </c>
      <c r="J280" t="inlineStr">
        <is>
          <t>Small Fish</t>
        </is>
      </c>
      <c r="K280" t="inlineStr">
        <is>
          <t>Clover</t>
        </is>
      </c>
      <c r="L280" s="4"/>
      <c r="M280" s="4">
        <v>46140.7172337963</v>
      </c>
      <c r="N280"/>
      <c r="O280">
        <v>3576.96</v>
      </c>
      <c r="P280" s="4"/>
      <c r="Q280" s="4">
        <v>44735.630520833336</v>
      </c>
      <c r="R280"/>
      <c r="S280">
        <v>636</v>
      </c>
      <c r="T280" s="4">
        <v>44735.630520833336</v>
      </c>
      <c r="U280" s="4"/>
      <c r="V280"/>
      <c r="W280">
        <v>636</v>
      </c>
      <c r="X280"/>
      <c r="Y280" t="inlineStr">
        <is>
          <t>Pending Appointment</t>
        </is>
      </c>
      <c r="Z280" t="inlineStr">
        <is>
          <t>Hiring Now</t>
        </is>
      </c>
      <c r="AA280">
        <v>5</v>
      </c>
      <c r="AB280" t="inlineStr">
        <is>
          <t>No Appointment Made</t>
        </is>
      </c>
      <c r="AC280"/>
      <c r="AD280" t="inlineStr">
        <is>
          <t>general worker x3-5 malay, pest control KL, previous mudah, FB, continuous hiring, suggest stand</t>
        </is>
      </c>
      <c r="AE280"/>
      <c r="AF280">
        <v>3000</v>
      </c>
      <c r="AG280" s="4"/>
      <c r="AH280" s="4"/>
      <c r="AI280">
        <v>3000</v>
      </c>
      <c r="AJ280">
        <v>1</v>
      </c>
      <c r="AK280" t="inlineStr">
        <is>
          <t>No, but I want in future</t>
        </is>
      </c>
      <c r="AL280">
        <v>1</v>
      </c>
      <c r="AM280" t="inlineStr">
        <is>
          <t>No, but I want in future</t>
        </is>
      </c>
      <c r="AN280"/>
      <c r="AO280" t="inlineStr">
        <is>
          <t>No, but I want in future</t>
        </is>
      </c>
      <c r="AP280" t="inlineStr">
        <is>
          <t>Every month (100%)</t>
        </is>
      </c>
      <c r="AQ280">
        <v>5</v>
      </c>
      <c r="AR280" t="inlineStr">
        <is>
          <t>Indeed (Paid)</t>
        </is>
      </c>
      <c r="AS280" t="inlineStr">
        <is>
          <t>- Headcount: 5
- Hiring Job Details: general worker x3-5 malay, pest control KL, previous mudah, FB, continuous hiring,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5
- Hiring frequency: Every month (100%)
- External job portal: Indeed (Paid)</t>
        </is>
      </c>
      <c r="AT280">
        <v>115</v>
      </c>
      <c r="AU280" t="inlineStr">
        <is>
          <t>1.15</t>
        </is>
      </c>
      <c r="AV280" t="inlineStr">
        <is>
          <t>20</t>
        </is>
      </c>
      <c r="AW280" t="inlineStr">
        <is>
          <t>0</t>
        </is>
      </c>
      <c r="AX280" t="inlineStr">
        <is>
          <t>Not Qualified</t>
        </is>
      </c>
      <c r="AY280" s="4"/>
      <c r="AZ280"/>
      <c r="BA280"/>
      <c r="BB280"/>
      <c r="BC280" t="inlineStr">
        <is>
          <t>Budget, lost</t>
        </is>
      </c>
      <c r="BD280" s="4">
        <v>46142.71194444445</v>
      </c>
      <c r="BE280" t="inlineStr">
        <is>
          <t>paid</t>
        </is>
      </c>
      <c r="BF280"/>
      <c r="BG280" t="inlineStr">
        <is>
          <t>Reschedule</t>
        </is>
      </c>
      <c r="BH280" t="inlineStr">
        <is>
          <t>Reagen</t>
        </is>
      </c>
      <c r="BI280"/>
      <c r="BJ280" s="4">
        <v>46144.750289351854</v>
      </c>
      <c r="BK280" s="4">
        <v>42478.856527777774</v>
      </c>
      <c r="BL280" t="inlineStr">
        <is>
          <t>0.0</t>
        </is>
      </c>
      <c r="BM280" t="inlineStr">
        <is>
          <t>0.0</t>
        </is>
      </c>
      <c r="BN280" t="inlineStr">
        <is>
          <t>View Create Job Page</t>
        </is>
      </c>
      <c r="BO280" s="4">
        <v>44735.65934027778</v>
      </c>
      <c r="BP280">
        <v>169354</v>
      </c>
      <c r="BQ280">
        <v>46879</v>
      </c>
      <c r="BR280" t="inlineStr">
        <is>
          <t>Online</t>
        </is>
      </c>
      <c r="BS280"/>
      <c r="BT280">
        <v>46879</v>
      </c>
      <c r="BU280"/>
      <c r="BV280">
        <v>2738309</v>
      </c>
      <c r="BW280" t="inlineStr">
        <is>
          <t>Follow Up : Budget Concern</t>
        </is>
      </c>
      <c r="BX280"/>
      <c r="BY280"/>
      <c r="BZ280" s="4"/>
      <c r="CA280"/>
      <c r="CB280"/>
      <c r="CC280" s="4"/>
      <c r="CD280" t="inlineStr">
        <is>
          <t>30</t>
        </is>
      </c>
      <c r="CE280" t="inlineStr">
        <is>
          <t>0</t>
        </is>
      </c>
      <c r="CF280" t="inlineStr">
        <is>
          <t>Q2-W04</t>
        </is>
      </c>
      <c r="CG280"/>
      <c r="CH280"/>
      <c r="CI280"/>
      <c r="CJ280" t="inlineStr">
        <is>
          <t>Paid</t>
        </is>
      </c>
      <c r="CK280" t="inlineStr">
        <is>
          <t>Not Eligible</t>
        </is>
      </c>
      <c r="CL280"/>
      <c r="CM280"/>
    </row>
    <row r="281" ht="25.5" customHeight="1">
      <c r="A281" t="inlineStr">
        <is>
          <t>4319412</t>
        </is>
      </c>
      <c r="B281" s="2"/>
      <c r="C281"/>
      <c r="D281" s="3">
        <v>46136.60225694445</v>
      </c>
      <c r="E281" t="inlineStr">
        <is>
          <t>Q2-W04</t>
        </is>
      </c>
      <c r="F281" t="inlineStr">
        <is>
          <t>Derek Lim</t>
        </is>
      </c>
      <c r="G281" t="inlineStr">
        <is>
          <t>Lead</t>
        </is>
      </c>
      <c r="H281" s="2" t="str">
        <f>=HYPERLINK("https://upbox.ajobthing.my/leads/4319412", "https://upbox.ajobthing.my/leads/4319412")</f>
        <v>https://upbox.ajobthing.my/leads/4319412</v>
      </c>
      <c r="I281" t="inlineStr">
        <is>
          <t>Maca Boy Sdn Bhd</t>
        </is>
      </c>
      <c r="J281" t="inlineStr">
        <is>
          <t>Small Fish</t>
        </is>
      </c>
      <c r="K281" t="inlineStr">
        <is>
          <t>Derek Lim</t>
        </is>
      </c>
      <c r="L281" s="4"/>
      <c r="M281" s="4">
        <v>46136.60283564815</v>
      </c>
      <c r="N281"/>
      <c r="O281">
        <v>6048</v>
      </c>
      <c r="P281" s="4"/>
      <c r="Q281" s="4"/>
      <c r="R281"/>
      <c r="S281"/>
      <c r="T281" s="4"/>
      <c r="U281" s="4"/>
      <c r="V281"/>
      <c r="W281"/>
      <c r="X281"/>
      <c r="Y281" t="inlineStr">
        <is>
          <t>Pending Appointment</t>
        </is>
      </c>
      <c r="Z281" t="inlineStr">
        <is>
          <t>Hiring Now</t>
        </is>
      </c>
      <c r="AA281">
        <v>3</v>
      </c>
      <c r="AB281" t="inlineStr">
        <is>
          <t>No Appointment Made</t>
        </is>
      </c>
      <c r="AC281"/>
      <c r="AD281" t="inlineStr">
        <is>
          <t>marketing executive - 1, content creator - 1, social media - 1</t>
        </is>
      </c>
      <c r="AE281"/>
      <c r="AF281">
        <v>0</v>
      </c>
      <c r="AG281" s="4"/>
      <c r="AH281" s="4"/>
      <c r="AI281">
        <v>0</v>
      </c>
      <c r="AJ281">
        <v>1</v>
      </c>
      <c r="AK281" t="inlineStr">
        <is>
          <t>No, I don't need at all</t>
        </is>
      </c>
      <c r="AL281">
        <v>0</v>
      </c>
      <c r="AM281" t="inlineStr">
        <is>
          <t>No, I don't need at all</t>
        </is>
      </c>
      <c r="AN281"/>
      <c r="AO281" t="inlineStr">
        <is>
          <t>No, I don't need at all</t>
        </is>
      </c>
      <c r="AP281" t="inlineStr">
        <is>
          <t>Once a year (25%)</t>
        </is>
      </c>
      <c r="AQ281">
        <v>0</v>
      </c>
      <c r="AR281" t="inlineStr">
        <is>
          <t>Jobstreet</t>
        </is>
      </c>
      <c r="AS281" t="inlineStr">
        <is>
          <t>- Headcount: 3
- Hiring Job Details: 1 marketing executive, 1 content creator, 1 social media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0
- Hiring frequency: Once a year (25%)
- External job portal: Jobstreet</t>
        </is>
      </c>
      <c r="AT281">
        <v>105</v>
      </c>
      <c r="AU281" t="inlineStr">
        <is>
          <t>1.05</t>
        </is>
      </c>
      <c r="AV281" t="inlineStr">
        <is>
          <t>15</t>
        </is>
      </c>
      <c r="AW281" t="inlineStr">
        <is>
          <t>0</t>
        </is>
      </c>
      <c r="AX281" t="inlineStr">
        <is>
          <t>Not Qualified</t>
        </is>
      </c>
      <c r="AY281" s="4"/>
      <c r="AZ281"/>
      <c r="BA281"/>
      <c r="BB281"/>
      <c r="BC281"/>
      <c r="BD281" s="4"/>
      <c r="BE281"/>
      <c r="BF281"/>
      <c r="BG281" t="inlineStr">
        <is>
          <t>Reschedule</t>
        </is>
      </c>
      <c r="BH281" t="inlineStr">
        <is>
          <t>Edward Hoo</t>
        </is>
      </c>
      <c r="BI281"/>
      <c r="BJ281" s="4">
        <v>46144.75592592593</v>
      </c>
      <c r="BK281" s="4">
        <v>46136.51244212963</v>
      </c>
      <c r="BL281" t="inlineStr">
        <is>
          <t>0.0</t>
        </is>
      </c>
      <c r="BM281" t="inlineStr">
        <is>
          <t>0.0</t>
        </is>
      </c>
      <c r="BN281"/>
      <c r="BO281" s="4"/>
      <c r="BP281">
        <v>168798</v>
      </c>
      <c r="BQ281"/>
      <c r="BR281"/>
      <c r="BS281"/>
      <c r="BT281"/>
      <c r="BU281"/>
      <c r="BV281"/>
      <c r="BW281"/>
      <c r="BX281"/>
      <c r="BY281"/>
      <c r="BZ281" s="4"/>
      <c r="CA281"/>
      <c r="CB281"/>
      <c r="CC281" s="4"/>
      <c r="CD281" t="inlineStr">
        <is>
          <t>20</t>
        </is>
      </c>
      <c r="CE281" t="inlineStr">
        <is>
          <t>0</t>
        </is>
      </c>
      <c r="CF281" t="inlineStr">
        <is>
          <t>Q2-W04</t>
        </is>
      </c>
      <c r="CG281"/>
      <c r="CH281"/>
      <c r="CI281"/>
      <c r="CJ281" t="inlineStr">
        <is>
          <t>No Paid</t>
        </is>
      </c>
      <c r="CK281" t="inlineStr">
        <is>
          <t>Not Eligible</t>
        </is>
      </c>
      <c r="CL281"/>
      <c r="CM281"/>
    </row>
    <row r="282" ht="25.5" customHeight="1">
      <c r="A282" t="inlineStr">
        <is>
          <t>203603</t>
        </is>
      </c>
      <c r="B282" s="2"/>
      <c r="C282"/>
      <c r="D282" s="3">
        <v>46136.606724537036</v>
      </c>
      <c r="E282" t="inlineStr">
        <is>
          <t>Q2-W04</t>
        </is>
      </c>
      <c r="F282" t="inlineStr">
        <is>
          <t>Josh</t>
        </is>
      </c>
      <c r="G282" t="inlineStr">
        <is>
          <t>Customer</t>
        </is>
      </c>
      <c r="H282" s="2" t="str">
        <f>=HYPERLINK("https://upbox.ajobthing.my/customer/203603", "https://upbox.ajobthing.my/customer/203603")</f>
        <v>https://upbox.ajobthing.my/customer/203603</v>
      </c>
      <c r="I282" t="inlineStr">
        <is>
          <t>Pawmeo Sdn Bhd</t>
        </is>
      </c>
      <c r="J282" t="inlineStr">
        <is>
          <t>Small Fish</t>
        </is>
      </c>
      <c r="K282" t="inlineStr">
        <is>
          <t>Josh</t>
        </is>
      </c>
      <c r="L282" s="4"/>
      <c r="M282" s="4">
        <v>46136.60689814815</v>
      </c>
      <c r="N282"/>
      <c r="O282">
        <v>1080</v>
      </c>
      <c r="P282" s="4"/>
      <c r="Q282" s="4"/>
      <c r="R282"/>
      <c r="S282"/>
      <c r="T282" s="4"/>
      <c r="U282" s="4"/>
      <c r="V282"/>
      <c r="W282"/>
      <c r="X282"/>
      <c r="Y282" t="inlineStr">
        <is>
          <t>Pending Appointment</t>
        </is>
      </c>
      <c r="Z282" t="inlineStr">
        <is>
          <t>Hiring Now</t>
        </is>
      </c>
      <c r="AA282">
        <v>2</v>
      </c>
      <c r="AB282" t="inlineStr">
        <is>
          <t>No Appointment Made</t>
        </is>
      </c>
      <c r="AC282"/>
      <c r="AD282" t="inlineStr">
        <is>
          <t xml:space="preserve">2 sales </t>
        </is>
      </c>
      <c r="AE282"/>
      <c r="AF282">
        <v>0</v>
      </c>
      <c r="AG282" s="4"/>
      <c r="AH282" s="4"/>
      <c r="AI282"/>
      <c r="AJ282"/>
      <c r="AK282" t="inlineStr">
        <is>
          <t>Yes, I have</t>
        </is>
      </c>
      <c r="AL282">
        <v>1</v>
      </c>
      <c r="AM282"/>
      <c r="AN282"/>
      <c r="AO282"/>
      <c r="AP282" t="inlineStr">
        <is>
          <t>Once a year (25%)</t>
        </is>
      </c>
      <c r="AQ282"/>
      <c r="AR282"/>
      <c r="AS282" t="inlineStr">
        <is>
          <t>- Headcount: 2
- Hiring Job Details: 2 sales
- Hiring Urgency: Hiring Now
- Number of outlets: Not provided
- Have recruiter team: Yes
- Number of recruiter in company: 1
- Have ATS system: Not provided
- Have career website: Not provided
- Current hiring budget: RM0.00
- Whole year budget: Not provided
- Whole year number of vacancies: Not provided
- Hiring frequency: Once a year (25%)
- External job portal: Not provided</t>
        </is>
      </c>
      <c r="AT282">
        <v>95</v>
      </c>
      <c r="AU282" t="inlineStr">
        <is>
          <t>0.95</t>
        </is>
      </c>
      <c r="AV282" t="inlineStr">
        <is>
          <t>15</t>
        </is>
      </c>
      <c r="AW282" t="inlineStr">
        <is>
          <t>0</t>
        </is>
      </c>
      <c r="AX282" t="inlineStr">
        <is>
          <t>Not Qualified</t>
        </is>
      </c>
      <c r="AY282" s="4"/>
      <c r="AZ282"/>
      <c r="BA282"/>
      <c r="BB282"/>
      <c r="BC282" t="inlineStr">
        <is>
          <t>- Headcount: 2
- Hiring Job Details: 2 sales
- Hiring Urgency: Hiring Now
- Number of outlets: Not provided
- Have recruiter team: Yes
- Number of recruiter in company: 1
- Have ATS system: Not provided
- Have career website: Not provided
- Current hiring budget: RM0.00
- Whole year budget: Not provided
- Whole year number of vacancies: Not provided
- Hiring frequency: Once a year (25%)
- External job portal: Not provided</t>
        </is>
      </c>
      <c r="BD282" s="4">
        <v>46136.62505787037</v>
      </c>
      <c r="BE282"/>
      <c r="BF282"/>
      <c r="BG282" t="inlineStr">
        <is>
          <t>Reschedule</t>
        </is>
      </c>
      <c r="BH282" t="inlineStr">
        <is>
          <t>Fauziah Maharan</t>
        </is>
      </c>
      <c r="BI282"/>
      <c r="BJ282" s="4">
        <v>46144.75435185185</v>
      </c>
      <c r="BK282" s="4">
        <v>46135.94417824074</v>
      </c>
      <c r="BL282" t="inlineStr">
        <is>
          <t>0.0</t>
        </is>
      </c>
      <c r="BM282" t="inlineStr">
        <is>
          <t>600.0</t>
        </is>
      </c>
      <c r="BN282" t="inlineStr">
        <is>
          <t>View Create Job Page V4</t>
        </is>
      </c>
      <c r="BO282" s="4">
        <v>46136.00114583333</v>
      </c>
      <c r="BP282">
        <v>168800</v>
      </c>
      <c r="BQ282"/>
      <c r="BR282"/>
      <c r="BS282"/>
      <c r="BT282"/>
      <c r="BU282"/>
      <c r="BV282">
        <v>2726616</v>
      </c>
      <c r="BW282" t="inlineStr">
        <is>
          <t>Customer Inquiry</t>
        </is>
      </c>
      <c r="BX282"/>
      <c r="BY282"/>
      <c r="BZ282" s="4"/>
      <c r="CA282"/>
      <c r="CB282"/>
      <c r="CC282" s="4"/>
      <c r="CD282" t="inlineStr">
        <is>
          <t>20</t>
        </is>
      </c>
      <c r="CE282" t="inlineStr">
        <is>
          <t>0</t>
        </is>
      </c>
      <c r="CF282" t="inlineStr">
        <is>
          <t>Q2-W04</t>
        </is>
      </c>
      <c r="CG282"/>
      <c r="CH282"/>
      <c r="CI282"/>
      <c r="CJ282" t="inlineStr">
        <is>
          <t>No Paid</t>
        </is>
      </c>
      <c r="CK282" t="inlineStr">
        <is>
          <t>Not Eligible</t>
        </is>
      </c>
      <c r="CL282"/>
      <c r="CM282"/>
    </row>
    <row r="283" ht="25.5" customHeight="1">
      <c r="A283" t="inlineStr">
        <is>
          <t>203385</t>
        </is>
      </c>
      <c r="B283" s="2"/>
      <c r="C283"/>
      <c r="D283" s="3">
        <v>46136.60721064815</v>
      </c>
      <c r="E283" t="inlineStr">
        <is>
          <t>Q2-W04</t>
        </is>
      </c>
      <c r="F283" t="inlineStr">
        <is>
          <t>Evan</t>
        </is>
      </c>
      <c r="G283" t="inlineStr">
        <is>
          <t>Customer</t>
        </is>
      </c>
      <c r="H283" s="2" t="str">
        <f>=HYPERLINK("https://upbox.ajobthing.my/customer/203385", "https://upbox.ajobthing.my/customer/203385")</f>
        <v>https://upbox.ajobthing.my/customer/203385</v>
      </c>
      <c r="I283" t="inlineStr">
        <is>
          <t>Eng Kwang Fishing Tackle Kajang</t>
        </is>
      </c>
      <c r="J283" t="inlineStr">
        <is>
          <t>Small Fish</t>
        </is>
      </c>
      <c r="K283" t="inlineStr">
        <is>
          <t>Evan</t>
        </is>
      </c>
      <c r="L283" s="4"/>
      <c r="M283" s="4">
        <v>46136.60679398148</v>
      </c>
      <c r="N283"/>
      <c r="O283">
        <v>3888</v>
      </c>
      <c r="P283" s="4"/>
      <c r="Q283" s="4"/>
      <c r="R283"/>
      <c r="S283"/>
      <c r="T283" s="4"/>
      <c r="U283" s="4"/>
      <c r="V283"/>
      <c r="W283"/>
      <c r="X283"/>
      <c r="Y283" t="inlineStr">
        <is>
          <t>Pending Appointment</t>
        </is>
      </c>
      <c r="Z283" t="inlineStr">
        <is>
          <t>Hiring Now</t>
        </is>
      </c>
      <c r="AA283">
        <v>1</v>
      </c>
      <c r="AB283" t="inlineStr">
        <is>
          <t>No Appointment Made</t>
        </is>
      </c>
      <c r="AC283"/>
      <c r="AD283" t="inlineStr">
        <is>
          <t>1 retail, all base in Kajang</t>
        </is>
      </c>
      <c r="AE283"/>
      <c r="AF283">
        <v>1</v>
      </c>
      <c r="AG283" s="4"/>
      <c r="AH283" s="4"/>
      <c r="AI283">
        <v>1</v>
      </c>
      <c r="AJ283">
        <v>2</v>
      </c>
      <c r="AK283" t="inlineStr">
        <is>
          <t>No, I don't need at all</t>
        </is>
      </c>
      <c r="AL283">
        <v>0</v>
      </c>
      <c r="AM283" t="inlineStr">
        <is>
          <t>No, I don't need at all</t>
        </is>
      </c>
      <c r="AN283"/>
      <c r="AO283" t="inlineStr">
        <is>
          <t>No, I don't need at all</t>
        </is>
      </c>
      <c r="AP283" t="inlineStr">
        <is>
          <t>Once a year (25%)</t>
        </is>
      </c>
      <c r="AQ283">
        <v>1</v>
      </c>
      <c r="AR283" t="inlineStr">
        <is>
          <t>Did not use any job portal</t>
        </is>
      </c>
      <c r="AS283" t="inlineStr">
        <is>
          <t>- Headcount: 1
- Hiring Job Details: 1 retail, all base in Kajang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283">
        <v>110</v>
      </c>
      <c r="AU283" t="inlineStr">
        <is>
          <t>1.10</t>
        </is>
      </c>
      <c r="AV283" t="inlineStr">
        <is>
          <t>15</t>
        </is>
      </c>
      <c r="AW283" t="inlineStr">
        <is>
          <t>0</t>
        </is>
      </c>
      <c r="AX283" t="inlineStr">
        <is>
          <t>Not Qualified</t>
        </is>
      </c>
      <c r="AY283" s="4"/>
      <c r="AZ283"/>
      <c r="BA283"/>
      <c r="BB283"/>
      <c r="BC283" t="inlineStr">
        <is>
          <t>- Headcount: 1
- Hiring Job Details: 1 retail, all base in Kajang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283" s="4">
        <v>46136.625069444446</v>
      </c>
      <c r="BE283"/>
      <c r="BF283"/>
      <c r="BG283" t="inlineStr">
        <is>
          <t>Reschedule</t>
        </is>
      </c>
      <c r="BH283" t="inlineStr">
        <is>
          <t>Edward Hoo</t>
        </is>
      </c>
      <c r="BI283"/>
      <c r="BJ283" s="4">
        <v>46144.75430555556</v>
      </c>
      <c r="BK283" s="4">
        <v>46130.52363425926</v>
      </c>
      <c r="BL283" t="inlineStr">
        <is>
          <t>0.0</t>
        </is>
      </c>
      <c r="BM283" t="inlineStr">
        <is>
          <t>0.0</t>
        </is>
      </c>
      <c r="BN283" t="inlineStr">
        <is>
          <t>View Company Page</t>
        </is>
      </c>
      <c r="BO283" s="4">
        <v>46130.68568287037</v>
      </c>
      <c r="BP283">
        <v>168799</v>
      </c>
      <c r="BQ283"/>
      <c r="BR283"/>
      <c r="BS283"/>
      <c r="BT283"/>
      <c r="BU283"/>
      <c r="BV283">
        <v>2726617</v>
      </c>
      <c r="BW283" t="inlineStr">
        <is>
          <t>Customer Inquiry</t>
        </is>
      </c>
      <c r="BX283"/>
      <c r="BY283"/>
      <c r="BZ283" s="4"/>
      <c r="CA283"/>
      <c r="CB283"/>
      <c r="CC283" s="4"/>
      <c r="CD283" t="inlineStr">
        <is>
          <t>20</t>
        </is>
      </c>
      <c r="CE283" t="inlineStr">
        <is>
          <t>0</t>
        </is>
      </c>
      <c r="CF283" t="inlineStr">
        <is>
          <t>Q2-W04</t>
        </is>
      </c>
      <c r="CG283"/>
      <c r="CH283"/>
      <c r="CI283"/>
      <c r="CJ283" t="inlineStr">
        <is>
          <t>No Paid</t>
        </is>
      </c>
      <c r="CK283" t="inlineStr">
        <is>
          <t>Not Eligible</t>
        </is>
      </c>
      <c r="CL283"/>
      <c r="CM283"/>
    </row>
    <row r="284" ht="25.5" customHeight="1">
      <c r="A284" t="inlineStr">
        <is>
          <t>194171</t>
        </is>
      </c>
      <c r="B284" s="2"/>
      <c r="C284"/>
      <c r="D284" s="3">
        <v>46136.609375</v>
      </c>
      <c r="E284" t="inlineStr">
        <is>
          <t>Q2-W04</t>
        </is>
      </c>
      <c r="F284" t="inlineStr">
        <is>
          <t>Xin Quan</t>
        </is>
      </c>
      <c r="G284" t="inlineStr">
        <is>
          <t>Customer</t>
        </is>
      </c>
      <c r="H284" s="2" t="str">
        <f>=HYPERLINK("https://upbox.ajobthing.my/customer/194171", "https://upbox.ajobthing.my/customer/194171")</f>
        <v>https://upbox.ajobthing.my/customer/194171</v>
      </c>
      <c r="I284" t="inlineStr">
        <is>
          <t>Envirochem Engineering Sdn Bhd</t>
        </is>
      </c>
      <c r="J284" t="inlineStr">
        <is>
          <t>Small Fish</t>
        </is>
      </c>
      <c r="K284" t="inlineStr">
        <is>
          <t>Xin Quan</t>
        </is>
      </c>
      <c r="L284" s="4"/>
      <c r="M284" s="4">
        <v>46136.60949074074</v>
      </c>
      <c r="N284"/>
      <c r="O284">
        <v>3888</v>
      </c>
      <c r="P284" s="4"/>
      <c r="Q284" s="4"/>
      <c r="R284"/>
      <c r="S284"/>
      <c r="T284" s="4"/>
      <c r="U284" s="4"/>
      <c r="V284"/>
      <c r="W284"/>
      <c r="X284"/>
      <c r="Y284" t="inlineStr">
        <is>
          <t>Pending Appointment</t>
        </is>
      </c>
      <c r="Z284" t="inlineStr">
        <is>
          <t>Hiring Now</t>
        </is>
      </c>
      <c r="AA284">
        <v>1</v>
      </c>
      <c r="AB284" t="inlineStr">
        <is>
          <t>No Appointment Made</t>
        </is>
      </c>
      <c r="AC284"/>
      <c r="AD284" t="inlineStr">
        <is>
          <t>1 Sales , Base in KL</t>
        </is>
      </c>
      <c r="AE284"/>
      <c r="AF284">
        <v>2000</v>
      </c>
      <c r="AG284" s="4"/>
      <c r="AH284" s="4"/>
      <c r="AI284">
        <v>24000</v>
      </c>
      <c r="AJ284">
        <v>1</v>
      </c>
      <c r="AK284" t="inlineStr">
        <is>
          <t>No, I don't need at all</t>
        </is>
      </c>
      <c r="AL284">
        <v>1</v>
      </c>
      <c r="AM284" t="inlineStr">
        <is>
          <t>No, I don't need at all</t>
        </is>
      </c>
      <c r="AN284"/>
      <c r="AO284" t="inlineStr">
        <is>
          <t>No, I don't need at all</t>
        </is>
      </c>
      <c r="AP284" t="inlineStr">
        <is>
          <t>Once a year (25%)</t>
        </is>
      </c>
      <c r="AQ284">
        <v>2</v>
      </c>
      <c r="AR284"/>
      <c r="AS284" t="inlineStr">
        <is>
          <t>- Headcount: 1
- Hiring Job Details: 1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2
- Hiring frequency: Once a year (25%)
- External job portal: None</t>
        </is>
      </c>
      <c r="AT284">
        <v>110</v>
      </c>
      <c r="AU284" t="inlineStr">
        <is>
          <t>1.10</t>
        </is>
      </c>
      <c r="AV284" t="inlineStr">
        <is>
          <t>15</t>
        </is>
      </c>
      <c r="AW284" t="inlineStr">
        <is>
          <t>0</t>
        </is>
      </c>
      <c r="AX284" t="inlineStr">
        <is>
          <t>Not Qualified</t>
        </is>
      </c>
      <c r="AY284" s="4"/>
      <c r="AZ284"/>
      <c r="BA284"/>
      <c r="BB284"/>
      <c r="BC284" t="inlineStr">
        <is>
          <t>NA</t>
        </is>
      </c>
      <c r="BD284" s="4">
        <v>46140.586805555555</v>
      </c>
      <c r="BE284"/>
      <c r="BF284"/>
      <c r="BG284" t="inlineStr">
        <is>
          <t>Reschedule</t>
        </is>
      </c>
      <c r="BH284" t="inlineStr">
        <is>
          <t>Edward Hoo</t>
        </is>
      </c>
      <c r="BI284"/>
      <c r="BJ284" s="4">
        <v>46144.75269675926</v>
      </c>
      <c r="BK284" s="4">
        <v>45862.47149305556</v>
      </c>
      <c r="BL284" t="inlineStr">
        <is>
          <t>0.0</t>
        </is>
      </c>
      <c r="BM284" t="inlineStr">
        <is>
          <t>0.0</t>
        </is>
      </c>
      <c r="BN284" t="inlineStr">
        <is>
          <t>View Company Page</t>
        </is>
      </c>
      <c r="BO284" s="4">
        <v>45862.47693287037</v>
      </c>
      <c r="BP284">
        <v>168801</v>
      </c>
      <c r="BQ284"/>
      <c r="BR284"/>
      <c r="BS284"/>
      <c r="BT284"/>
      <c r="BU284"/>
      <c r="BV284">
        <v>2732686</v>
      </c>
      <c r="BW284" t="inlineStr">
        <is>
          <t>No Answer : Voicemail - WA sent to customer</t>
        </is>
      </c>
      <c r="BX284"/>
      <c r="BY284"/>
      <c r="BZ284" s="4"/>
      <c r="CA284"/>
      <c r="CB284"/>
      <c r="CC284" s="4"/>
      <c r="CD284" t="inlineStr">
        <is>
          <t>20</t>
        </is>
      </c>
      <c r="CE284" t="inlineStr">
        <is>
          <t>0</t>
        </is>
      </c>
      <c r="CF284" t="inlineStr">
        <is>
          <t>Q2-W04</t>
        </is>
      </c>
      <c r="CG284"/>
      <c r="CH284"/>
      <c r="CI284"/>
      <c r="CJ284" t="inlineStr">
        <is>
          <t>No Paid</t>
        </is>
      </c>
      <c r="CK284" t="inlineStr">
        <is>
          <t>Not Eligible</t>
        </is>
      </c>
      <c r="CL284"/>
      <c r="CM284"/>
    </row>
    <row r="285" ht="25.5" customHeight="1">
      <c r="A285" t="inlineStr">
        <is>
          <t>203629</t>
        </is>
      </c>
      <c r="B285" s="2"/>
      <c r="C285"/>
      <c r="D285" s="3">
        <v>46136.6144212963</v>
      </c>
      <c r="E285" t="inlineStr">
        <is>
          <t>Q2-W04</t>
        </is>
      </c>
      <c r="F285" t="inlineStr">
        <is>
          <t>Luqman</t>
        </is>
      </c>
      <c r="G285" t="inlineStr">
        <is>
          <t>Customer</t>
        </is>
      </c>
      <c r="H285" s="2" t="str">
        <f>=HYPERLINK("https://upbox.ajobthing.my/customer/203629", "https://upbox.ajobthing.my/customer/203629")</f>
        <v>https://upbox.ajobthing.my/customer/203629</v>
      </c>
      <c r="I285" t="inlineStr">
        <is>
          <t xml:space="preserve">Ntwo Design </t>
        </is>
      </c>
      <c r="J285" t="inlineStr">
        <is>
          <t>Small Fish</t>
        </is>
      </c>
      <c r="K285" t="inlineStr">
        <is>
          <t>Luqman</t>
        </is>
      </c>
      <c r="L285" s="4"/>
      <c r="M285" s="4">
        <v>46136.61474537037</v>
      </c>
      <c r="N285"/>
      <c r="O285">
        <v>1296</v>
      </c>
      <c r="P285" s="4"/>
      <c r="Q285" s="4">
        <v>46142.65547453704</v>
      </c>
      <c r="R285"/>
      <c r="S285">
        <v>1296</v>
      </c>
      <c r="T285" s="4"/>
      <c r="U285" s="4"/>
      <c r="V285"/>
      <c r="W285"/>
      <c r="X285"/>
      <c r="Y285" t="inlineStr">
        <is>
          <t>Pending Appointment</t>
        </is>
      </c>
      <c r="Z285" t="inlineStr">
        <is>
          <t>Hiring Now</t>
        </is>
      </c>
      <c r="AA285">
        <v>1</v>
      </c>
      <c r="AB285" t="inlineStr">
        <is>
          <t>No Appointment Made</t>
        </is>
      </c>
      <c r="AC285"/>
      <c r="AD285" t="inlineStr">
        <is>
          <t xml:space="preserve">1. Interior Design </t>
        </is>
      </c>
      <c r="AE285"/>
      <c r="AF285">
        <v>1200</v>
      </c>
      <c r="AG285" s="4"/>
      <c r="AH285" s="4"/>
      <c r="AI285">
        <v>1200</v>
      </c>
      <c r="AJ285"/>
      <c r="AK285" t="inlineStr">
        <is>
          <t>Yes, I have</t>
        </is>
      </c>
      <c r="AL285">
        <v>1</v>
      </c>
      <c r="AM285" t="inlineStr">
        <is>
          <t>No, but I want in future</t>
        </is>
      </c>
      <c r="AN285"/>
      <c r="AO285" t="inlineStr">
        <is>
          <t>No, I don't need at all</t>
        </is>
      </c>
      <c r="AP285" t="inlineStr">
        <is>
          <t>Once a year (25%)</t>
        </is>
      </c>
      <c r="AQ285">
        <v>1</v>
      </c>
      <c r="AR285" t="inlineStr">
        <is>
          <t>Free Job Portal</t>
        </is>
      </c>
      <c r="AS285" t="inlineStr">
        <is>
          <t>- Headcount: 1
- Hiring Job Details: 1 Interior Design
- Hiring Urgency: Hiring Now
- Number of outlets: Not provided
- Have recruiter team: Yes, I have
- Number of recruiter in company: 1
- Have ATS system: No, but I want in future
- Have career website: No, I don't need at all
- Current hiring budget: RM1,200
- Whole year budget: RM1,200.00
- Whole year number of vacancies: 1
- Hiring frequency: Once a year (25%)
- External job portal: Free Job Portal</t>
        </is>
      </c>
      <c r="AT285">
        <v>115</v>
      </c>
      <c r="AU285" t="inlineStr">
        <is>
          <t>1.15</t>
        </is>
      </c>
      <c r="AV285" t="inlineStr">
        <is>
          <t>15</t>
        </is>
      </c>
      <c r="AW285" t="inlineStr">
        <is>
          <t>0</t>
        </is>
      </c>
      <c r="AX285" t="inlineStr">
        <is>
          <t>Not Qualified</t>
        </is>
      </c>
      <c r="AY285" s="4"/>
      <c r="AZ285"/>
      <c r="BA285"/>
      <c r="BB285"/>
      <c r="BC285" t="inlineStr">
        <is>
          <t>Issued an invoice via Email</t>
        </is>
      </c>
      <c r="BD285" s="4">
        <v>46142.65851851852</v>
      </c>
      <c r="BE285" t="inlineStr">
        <is>
          <t>pending</t>
        </is>
      </c>
      <c r="BF285"/>
      <c r="BG285" t="inlineStr">
        <is>
          <t>Reschedule</t>
        </is>
      </c>
      <c r="BH285" t="inlineStr">
        <is>
          <t>Edward Hoo</t>
        </is>
      </c>
      <c r="BI285"/>
      <c r="BJ285" s="4">
        <v>46144.75436342593</v>
      </c>
      <c r="BK285" s="4">
        <v>46136.589953703704</v>
      </c>
      <c r="BL285" t="inlineStr">
        <is>
          <t>0.0</t>
        </is>
      </c>
      <c r="BM285" t="inlineStr">
        <is>
          <t>0.0</t>
        </is>
      </c>
      <c r="BN285" t="inlineStr">
        <is>
          <t>View Company Page</t>
        </is>
      </c>
      <c r="BO285" s="4">
        <v>46136.59003472222</v>
      </c>
      <c r="BP285">
        <v>168803</v>
      </c>
      <c r="BQ285">
        <v>124207</v>
      </c>
      <c r="BR285" t="inlineStr">
        <is>
          <t>Proforma</t>
        </is>
      </c>
      <c r="BS285" t="inlineStr">
        <is>
          <t>AI Ala Carte (Jan 26) Plus</t>
        </is>
      </c>
      <c r="BT285"/>
      <c r="BU285"/>
      <c r="BV285">
        <v>2738024</v>
      </c>
      <c r="BW285" t="inlineStr">
        <is>
          <t>Follow Up : Invoice Sent 75%</t>
        </is>
      </c>
      <c r="BX285"/>
      <c r="BY285"/>
      <c r="BZ285" s="4"/>
      <c r="CA285"/>
      <c r="CB285"/>
      <c r="CC285" s="4"/>
      <c r="CD285" t="inlineStr">
        <is>
          <t>20</t>
        </is>
      </c>
      <c r="CE285" t="inlineStr">
        <is>
          <t>0</t>
        </is>
      </c>
      <c r="CF285" t="inlineStr">
        <is>
          <t>Q2-W04</t>
        </is>
      </c>
      <c r="CG285" t="inlineStr">
        <is>
          <t>Q2-W04</t>
        </is>
      </c>
      <c r="CH285"/>
      <c r="CI285"/>
      <c r="CJ285" t="inlineStr">
        <is>
          <t>No Paid</t>
        </is>
      </c>
      <c r="CK285" t="inlineStr">
        <is>
          <t>Not Eligible</t>
        </is>
      </c>
      <c r="CL285"/>
      <c r="CM285"/>
    </row>
    <row r="286" ht="25.5" customHeight="1">
      <c r="A286" t="inlineStr">
        <is>
          <t>203631</t>
        </is>
      </c>
      <c r="B286" s="2"/>
      <c r="C286"/>
      <c r="D286" s="3">
        <v>46136.614803240744</v>
      </c>
      <c r="E286" t="inlineStr">
        <is>
          <t>Q2-W04</t>
        </is>
      </c>
      <c r="F286" t="inlineStr">
        <is>
          <t>Clover</t>
        </is>
      </c>
      <c r="G286" t="inlineStr">
        <is>
          <t>Customer</t>
        </is>
      </c>
      <c r="H286" s="2" t="str">
        <f>=HYPERLINK("https://upbox.ajobthing.my/customer/203631", "https://upbox.ajobthing.my/customer/203631")</f>
        <v>https://upbox.ajobthing.my/customer/203631</v>
      </c>
      <c r="I286" t="inlineStr">
        <is>
          <t>Master Wu Tit Tar</t>
        </is>
      </c>
      <c r="J286" t="inlineStr">
        <is>
          <t>Small Fish</t>
        </is>
      </c>
      <c r="K286" t="inlineStr">
        <is>
          <t>Clover</t>
        </is>
      </c>
      <c r="L286" s="4"/>
      <c r="M286" s="4">
        <v>46140.722453703704</v>
      </c>
      <c r="N286"/>
      <c r="O286">
        <v>3576.96</v>
      </c>
      <c r="P286" s="4"/>
      <c r="Q286" s="4"/>
      <c r="R286"/>
      <c r="S286"/>
      <c r="T286" s="4"/>
      <c r="U286" s="4"/>
      <c r="V286"/>
      <c r="W286"/>
      <c r="X286"/>
      <c r="Y286" t="inlineStr">
        <is>
          <t>Pending Appointment</t>
        </is>
      </c>
      <c r="Z286" t="inlineStr">
        <is>
          <t>Hiring Now</t>
        </is>
      </c>
      <c r="AA286">
        <v>2</v>
      </c>
      <c r="AB286" t="inlineStr">
        <is>
          <t>No Appointment Made</t>
        </is>
      </c>
      <c r="AC286"/>
      <c r="AD286" t="inlineStr">
        <is>
          <t xml:space="preserve"> Tit Tar Practitioner x2,  min 2-3 years exp, Ti tar, PJ, Keith  boss, precious post at social media, Ms Mong HR 012-338 1089 </t>
        </is>
      </c>
      <c r="AE286"/>
      <c r="AF286">
        <v>3000</v>
      </c>
      <c r="AG286" s="4"/>
      <c r="AH286" s="4"/>
      <c r="AI286">
        <v>3000</v>
      </c>
      <c r="AJ286">
        <v>1</v>
      </c>
      <c r="AK286"/>
      <c r="AL286">
        <v>1</v>
      </c>
      <c r="AM286" t="inlineStr">
        <is>
          <t>No, but I want in future</t>
        </is>
      </c>
      <c r="AN286"/>
      <c r="AO286" t="inlineStr">
        <is>
          <t>No, but I want in future</t>
        </is>
      </c>
      <c r="AP286" t="inlineStr">
        <is>
          <t>Twice a year (50%)</t>
        </is>
      </c>
      <c r="AQ286">
        <v>2</v>
      </c>
      <c r="AR286" t="inlineStr">
        <is>
          <t>Free Job Portal</t>
        </is>
      </c>
      <c r="AS286" t="inlineStr">
        <is>
          <t>- Headcount: 2
- Hiring Job Details: Tit Tar Practitioner x2, min 2-3 years exp, Ti tar, PJ, Keith boss, precious post at social media, Ms Mong HR 012-338 1089
- Hiring Urgency: Hiring Now
- Number of outlets: 1
- Have recruiter team: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286">
        <v>115</v>
      </c>
      <c r="AU286" t="inlineStr">
        <is>
          <t>1.15</t>
        </is>
      </c>
      <c r="AV286" t="inlineStr">
        <is>
          <t>15</t>
        </is>
      </c>
      <c r="AW286" t="inlineStr">
        <is>
          <t>0</t>
        </is>
      </c>
      <c r="AX286" t="inlineStr">
        <is>
          <t>Not Qualified</t>
        </is>
      </c>
      <c r="AY286" s="4"/>
      <c r="AZ286"/>
      <c r="BA286"/>
      <c r="BB286"/>
      <c r="BC286" t="inlineStr">
        <is>
          <t>wa fu</t>
        </is>
      </c>
      <c r="BD286" s="4">
        <v>46142.71613425926</v>
      </c>
      <c r="BE286"/>
      <c r="BF286"/>
      <c r="BG286" t="inlineStr">
        <is>
          <t>Reschedule</t>
        </is>
      </c>
      <c r="BH286" t="inlineStr">
        <is>
          <t>Reagen</t>
        </is>
      </c>
      <c r="BI286"/>
      <c r="BJ286" s="4">
        <v>46144.75436342593</v>
      </c>
      <c r="BK286" s="4">
        <v>46136.603796296295</v>
      </c>
      <c r="BL286" t="inlineStr">
        <is>
          <t>0.0</t>
        </is>
      </c>
      <c r="BM286" t="inlineStr">
        <is>
          <t>0.0</t>
        </is>
      </c>
      <c r="BN286"/>
      <c r="BO286" s="4"/>
      <c r="BP286">
        <v>169365</v>
      </c>
      <c r="BQ286"/>
      <c r="BR286"/>
      <c r="BS286"/>
      <c r="BT286"/>
      <c r="BU286"/>
      <c r="BV286">
        <v>2738329</v>
      </c>
      <c r="BW286" t="inlineStr">
        <is>
          <t>No Answer : Voicemail - WA sent to customer</t>
        </is>
      </c>
      <c r="BX286"/>
      <c r="BY286"/>
      <c r="BZ286" s="4"/>
      <c r="CA286"/>
      <c r="CB286"/>
      <c r="CC286" s="4"/>
      <c r="CD286" t="inlineStr">
        <is>
          <t>20</t>
        </is>
      </c>
      <c r="CE286" t="inlineStr">
        <is>
          <t>0</t>
        </is>
      </c>
      <c r="CF286" t="inlineStr">
        <is>
          <t>Q2-W04</t>
        </is>
      </c>
      <c r="CG286"/>
      <c r="CH286"/>
      <c r="CI286"/>
      <c r="CJ286" t="inlineStr">
        <is>
          <t>No Paid</t>
        </is>
      </c>
      <c r="CK286" t="inlineStr">
        <is>
          <t>Not Eligible</t>
        </is>
      </c>
      <c r="CL286"/>
      <c r="CM286"/>
    </row>
    <row r="287" ht="25.5" customHeight="1">
      <c r="A287" t="inlineStr">
        <is>
          <t>153583</t>
        </is>
      </c>
      <c r="B287" s="2"/>
      <c r="C287"/>
      <c r="D287" s="3">
        <v>46136.61597222222</v>
      </c>
      <c r="E287" t="inlineStr">
        <is>
          <t>Q2-W04</t>
        </is>
      </c>
      <c r="F287" t="inlineStr">
        <is>
          <t>Evan</t>
        </is>
      </c>
      <c r="G287" t="inlineStr">
        <is>
          <t>Customer</t>
        </is>
      </c>
      <c r="H287" s="2" t="str">
        <f>=HYPERLINK("https://upbox.ajobthing.my/customer/153583", "https://upbox.ajobthing.my/customer/153583")</f>
        <v>https://upbox.ajobthing.my/customer/153583</v>
      </c>
      <c r="I287" t="inlineStr">
        <is>
          <t>Rizky Infinity Resources</t>
        </is>
      </c>
      <c r="J287" t="inlineStr">
        <is>
          <t>Small Fish</t>
        </is>
      </c>
      <c r="K287" t="inlineStr">
        <is>
          <t>Evan</t>
        </is>
      </c>
      <c r="L287" s="4"/>
      <c r="M287" s="4">
        <v>46136.61550925926</v>
      </c>
      <c r="N287"/>
      <c r="O287">
        <v>3888</v>
      </c>
      <c r="P287" s="4"/>
      <c r="Q287" s="4"/>
      <c r="R287"/>
      <c r="S287"/>
      <c r="T287" s="4"/>
      <c r="U287" s="4"/>
      <c r="V287"/>
      <c r="W287"/>
      <c r="X287"/>
      <c r="Y287" t="inlineStr">
        <is>
          <t>Pending Appointment</t>
        </is>
      </c>
      <c r="Z287" t="inlineStr">
        <is>
          <t>Hiring Now</t>
        </is>
      </c>
      <c r="AA287">
        <v>4</v>
      </c>
      <c r="AB287" t="inlineStr">
        <is>
          <t>No Appointment Made</t>
        </is>
      </c>
      <c r="AC287"/>
      <c r="AD287" t="inlineStr">
        <is>
          <t>4 physiotherapist, all base in KL</t>
        </is>
      </c>
      <c r="AE287"/>
      <c r="AF287">
        <v>1</v>
      </c>
      <c r="AG287" s="4"/>
      <c r="AH287" s="4"/>
      <c r="AI287">
        <v>1</v>
      </c>
      <c r="AJ287">
        <v>1</v>
      </c>
      <c r="AK287" t="inlineStr">
        <is>
          <t>No, I don't need at all</t>
        </is>
      </c>
      <c r="AL287">
        <v>0</v>
      </c>
      <c r="AM287" t="inlineStr">
        <is>
          <t>No, I don't need at all</t>
        </is>
      </c>
      <c r="AN287"/>
      <c r="AO287" t="inlineStr">
        <is>
          <t>No, I don't need at all</t>
        </is>
      </c>
      <c r="AP287" t="inlineStr">
        <is>
          <t>Once a year (25%)</t>
        </is>
      </c>
      <c r="AQ287">
        <v>1</v>
      </c>
      <c r="AR287" t="inlineStr">
        <is>
          <t>Did not use any job portal</t>
        </is>
      </c>
      <c r="AS287" t="inlineStr">
        <is>
          <t>- Headcount: 4
- Hiring Job Details: 4 physiotherapists, all based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287">
        <v>110</v>
      </c>
      <c r="AU287" t="inlineStr">
        <is>
          <t>1.10</t>
        </is>
      </c>
      <c r="AV287" t="inlineStr">
        <is>
          <t>15</t>
        </is>
      </c>
      <c r="AW287" t="inlineStr">
        <is>
          <t>0</t>
        </is>
      </c>
      <c r="AX287" t="inlineStr">
        <is>
          <t>Not Qualified</t>
        </is>
      </c>
      <c r="AY287" s="4"/>
      <c r="AZ287"/>
      <c r="BA287"/>
      <c r="BB287"/>
      <c r="BC287" t="inlineStr">
        <is>
          <t>- Headcount: 4
- Hiring Job Details: 4 physiotherapists, all based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BD287" s="4">
        <v>46136.625069444446</v>
      </c>
      <c r="BE287"/>
      <c r="BF287"/>
      <c r="BG287" t="inlineStr">
        <is>
          <t>Reschedule</t>
        </is>
      </c>
      <c r="BH287" t="inlineStr">
        <is>
          <t>Edward Hoo</t>
        </is>
      </c>
      <c r="BI287"/>
      <c r="BJ287" s="4">
        <v>46144.7509375</v>
      </c>
      <c r="BK287" s="4">
        <v>44689.96482638889</v>
      </c>
      <c r="BL287" t="inlineStr">
        <is>
          <t>0.0</t>
        </is>
      </c>
      <c r="BM287" t="inlineStr">
        <is>
          <t>0.0</t>
        </is>
      </c>
      <c r="BN287" t="inlineStr">
        <is>
          <t>View IJA Shop Page</t>
        </is>
      </c>
      <c r="BO287" s="4">
        <v>45369.66368055555</v>
      </c>
      <c r="BP287">
        <v>168806</v>
      </c>
      <c r="BQ287"/>
      <c r="BR287"/>
      <c r="BS287"/>
      <c r="BT287"/>
      <c r="BU287"/>
      <c r="BV287">
        <v>2726623</v>
      </c>
      <c r="BW287" t="inlineStr">
        <is>
          <t>Customer Inquiry</t>
        </is>
      </c>
      <c r="BX287"/>
      <c r="BY287"/>
      <c r="BZ287" s="4"/>
      <c r="CA287"/>
      <c r="CB287"/>
      <c r="CC287" s="4"/>
      <c r="CD287" t="inlineStr">
        <is>
          <t>20</t>
        </is>
      </c>
      <c r="CE287" t="inlineStr">
        <is>
          <t>0</t>
        </is>
      </c>
      <c r="CF287" t="inlineStr">
        <is>
          <t>Q2-W04</t>
        </is>
      </c>
      <c r="CG287"/>
      <c r="CH287"/>
      <c r="CI287"/>
      <c r="CJ287" t="inlineStr">
        <is>
          <t>No Paid</t>
        </is>
      </c>
      <c r="CK287" t="inlineStr">
        <is>
          <t>Not Eligible</t>
        </is>
      </c>
      <c r="CL287"/>
      <c r="CM287"/>
    </row>
    <row r="288" ht="25.5" customHeight="1">
      <c r="A288" t="inlineStr">
        <is>
          <t>4319599</t>
        </is>
      </c>
      <c r="B288" s="2"/>
      <c r="C288"/>
      <c r="D288" s="3">
        <v>46136.617685185185</v>
      </c>
      <c r="E288" t="inlineStr">
        <is>
          <t>Q2-W04</t>
        </is>
      </c>
      <c r="F288" t="inlineStr">
        <is>
          <t>Jia Hui</t>
        </is>
      </c>
      <c r="G288" t="inlineStr">
        <is>
          <t>Lead</t>
        </is>
      </c>
      <c r="H288" s="2" t="str">
        <f>=HYPERLINK("https://upbox.ajobthing.my/leads/4319599", "https://upbox.ajobthing.my/leads/4319599")</f>
        <v>https://upbox.ajobthing.my/leads/4319599</v>
      </c>
      <c r="I288" t="inlineStr">
        <is>
          <t>Seremban Archery Learning Center</t>
        </is>
      </c>
      <c r="J288" t="inlineStr">
        <is>
          <t>Small Fish</t>
        </is>
      </c>
      <c r="K288" t="inlineStr">
        <is>
          <t>Jia Hui</t>
        </is>
      </c>
      <c r="L288" s="4"/>
      <c r="M288" s="4">
        <v>46136.59496527778</v>
      </c>
      <c r="N288"/>
      <c r="O288">
        <v>6048</v>
      </c>
      <c r="P288" s="4"/>
      <c r="Q288" s="4"/>
      <c r="R288"/>
      <c r="S288"/>
      <c r="T288" s="4"/>
      <c r="U288" s="4"/>
      <c r="V288"/>
      <c r="W288"/>
      <c r="X288"/>
      <c r="Y288" t="inlineStr">
        <is>
          <t>Pending Appointment</t>
        </is>
      </c>
      <c r="Z288" t="inlineStr">
        <is>
          <t>Hiring Now</t>
        </is>
      </c>
      <c r="AA288">
        <v>2</v>
      </c>
      <c r="AB288" t="inlineStr">
        <is>
          <t>No Appointment Made</t>
        </is>
      </c>
      <c r="AC288"/>
      <c r="AD288" t="inlineStr">
        <is>
          <t>1 junior coach, 1 technical</t>
        </is>
      </c>
      <c r="AE288"/>
      <c r="AF288">
        <v>500</v>
      </c>
      <c r="AG288" s="4"/>
      <c r="AH288" s="4"/>
      <c r="AI288"/>
      <c r="AJ288"/>
      <c r="AK288" t="inlineStr">
        <is>
          <t>No, but I want in future</t>
        </is>
      </c>
      <c r="AL288"/>
      <c r="AM288"/>
      <c r="AN288"/>
      <c r="AO288"/>
      <c r="AP288" t="inlineStr">
        <is>
          <t>Twice a year (50%)</t>
        </is>
      </c>
      <c r="AQ288"/>
      <c r="AR288"/>
      <c r="AS288" t="inlineStr">
        <is>
          <t>- Headcount: 2
- Hiring Job Details: 1 junior coach, 1 technical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is>
      </c>
      <c r="AT288">
        <v>95</v>
      </c>
      <c r="AU288" t="inlineStr">
        <is>
          <t>0.95</t>
        </is>
      </c>
      <c r="AV288" t="inlineStr">
        <is>
          <t>15</t>
        </is>
      </c>
      <c r="AW288" t="inlineStr">
        <is>
          <t>0</t>
        </is>
      </c>
      <c r="AX288" t="inlineStr">
        <is>
          <t>Not Qualified</t>
        </is>
      </c>
      <c r="AY288" s="4"/>
      <c r="AZ288"/>
      <c r="BA288"/>
      <c r="BB288"/>
      <c r="BC288"/>
      <c r="BD288" s="4"/>
      <c r="BE288"/>
      <c r="BF288"/>
      <c r="BG288" t="inlineStr">
        <is>
          <t>Reschedule</t>
        </is>
      </c>
      <c r="BH288" t="inlineStr">
        <is>
          <t>Reagen</t>
        </is>
      </c>
      <c r="BI288"/>
      <c r="BJ288" s="4">
        <v>46144.75592592593</v>
      </c>
      <c r="BK288" s="4">
        <v>46136.54622685185</v>
      </c>
      <c r="BL288" t="inlineStr">
        <is>
          <t>0.0</t>
        </is>
      </c>
      <c r="BM288" t="inlineStr">
        <is>
          <t>0.0</t>
        </is>
      </c>
      <c r="BN288"/>
      <c r="BO288" s="4"/>
      <c r="BP288">
        <v>168794</v>
      </c>
      <c r="BQ288"/>
      <c r="BR288"/>
      <c r="BS288"/>
      <c r="BT288"/>
      <c r="BU288"/>
      <c r="BV288"/>
      <c r="BW288"/>
      <c r="BX288"/>
      <c r="BY288"/>
      <c r="BZ288" s="4"/>
      <c r="CA288"/>
      <c r="CB288"/>
      <c r="CC288" s="4"/>
      <c r="CD288" t="inlineStr">
        <is>
          <t>20</t>
        </is>
      </c>
      <c r="CE288" t="inlineStr">
        <is>
          <t>0</t>
        </is>
      </c>
      <c r="CF288" t="inlineStr">
        <is>
          <t>Q2-W04</t>
        </is>
      </c>
      <c r="CG288"/>
      <c r="CH288"/>
      <c r="CI288"/>
      <c r="CJ288" t="inlineStr">
        <is>
          <t>No Paid</t>
        </is>
      </c>
      <c r="CK288" t="inlineStr">
        <is>
          <t>Not Eligible</t>
        </is>
      </c>
      <c r="CL288"/>
      <c r="CM288"/>
    </row>
    <row r="289" ht="25.5" customHeight="1">
      <c r="A289" t="inlineStr">
        <is>
          <t>203617</t>
        </is>
      </c>
      <c r="B289" s="2"/>
      <c r="C289"/>
      <c r="D289" s="3">
        <v>46136.61891203704</v>
      </c>
      <c r="E289" t="inlineStr">
        <is>
          <t>Q2-W04</t>
        </is>
      </c>
      <c r="F289" t="inlineStr">
        <is>
          <t>Luqman</t>
        </is>
      </c>
      <c r="G289" t="inlineStr">
        <is>
          <t>Customer</t>
        </is>
      </c>
      <c r="H289" s="2" t="str">
        <f>=HYPERLINK("https://upbox.ajobthing.my/customer/203617", "https://upbox.ajobthing.my/customer/203617")</f>
        <v>https://upbox.ajobthing.my/customer/203617</v>
      </c>
      <c r="I289" t="inlineStr">
        <is>
          <t>Pts Advertising Sdn Bhd</t>
        </is>
      </c>
      <c r="J289" t="inlineStr">
        <is>
          <t>Small Fish</t>
        </is>
      </c>
      <c r="K289" t="inlineStr">
        <is>
          <t>Luqman</t>
        </is>
      </c>
      <c r="L289" s="4"/>
      <c r="M289" s="4">
        <v>46136.619108796294</v>
      </c>
      <c r="N289"/>
      <c r="O289">
        <v>3888</v>
      </c>
      <c r="P289" s="4"/>
      <c r="Q289" s="4"/>
      <c r="R289"/>
      <c r="S289"/>
      <c r="T289" s="4"/>
      <c r="U289" s="4"/>
      <c r="V289"/>
      <c r="W289"/>
      <c r="X289"/>
      <c r="Y289" t="inlineStr">
        <is>
          <t>Pending Appointment</t>
        </is>
      </c>
      <c r="Z289" t="inlineStr">
        <is>
          <t>Hiring Later</t>
        </is>
      </c>
      <c r="AA289">
        <v>2</v>
      </c>
      <c r="AB289" t="inlineStr">
        <is>
          <t>No Appointment Made</t>
        </is>
      </c>
      <c r="AC289"/>
      <c r="AD289" t="inlineStr">
        <is>
          <t xml:space="preserve">1. Assistant 
2. Event manager </t>
        </is>
      </c>
      <c r="AE289"/>
      <c r="AF289">
        <v>1200</v>
      </c>
      <c r="AG289" s="4"/>
      <c r="AH289" s="4"/>
      <c r="AI289">
        <v>1200</v>
      </c>
      <c r="AJ289"/>
      <c r="AK289" t="inlineStr">
        <is>
          <t>No, I don't need at all</t>
        </is>
      </c>
      <c r="AL289">
        <v>2</v>
      </c>
      <c r="AM289" t="inlineStr">
        <is>
          <t>No, I don't need at all</t>
        </is>
      </c>
      <c r="AN289"/>
      <c r="AO289" t="inlineStr">
        <is>
          <t>No, but I want in future</t>
        </is>
      </c>
      <c r="AP289" t="inlineStr">
        <is>
          <t>Once a year (25%)</t>
        </is>
      </c>
      <c r="AQ289">
        <v>2</v>
      </c>
      <c r="AR289" t="inlineStr">
        <is>
          <t>Free Job Portal</t>
        </is>
      </c>
      <c r="AS289" t="inlineStr">
        <is>
          <t>- Headcount: 2
- Hiring Job Details: 1. Assistant 2. Event manager
- Hiring Urgency: Hiring Later
- Number of outlets: 
- Have recruiter team: No, I don't need at all
- Number of recruiter in company: 2
- Have ATS system: No, I don't need at all
- Have career website: No, but I want in future
- Current hiring budget: RM1,200
- Whole year budget: RM1,200.00
- Whole year number of vacancies: 2
- Hiring frequency: Once a year (25%)
- External job portal: Free Job Portal</t>
        </is>
      </c>
      <c r="AT289">
        <v>95</v>
      </c>
      <c r="AU289" t="inlineStr">
        <is>
          <t>0.95</t>
        </is>
      </c>
      <c r="AV289" t="inlineStr">
        <is>
          <t>15</t>
        </is>
      </c>
      <c r="AW289" t="inlineStr">
        <is>
          <t>0</t>
        </is>
      </c>
      <c r="AX289" t="inlineStr">
        <is>
          <t>Not Qualified</t>
        </is>
      </c>
      <c r="AY289" s="4"/>
      <c r="AZ289"/>
      <c r="BA289"/>
      <c r="BB289"/>
      <c r="BC289" t="inlineStr">
        <is>
          <t>- Headcount: 2
- Hiring Job Details: 1. Assistant 2. Event manager
- Hiring Urgency: Hiring Later
- Number of outlets: 
- Have recruiter team: No, I don't need at all
- Number of recruiter in company: 2
- Have ATS system: No, I don't need at all
- Have career website: No, but I want in future
- Current hiring budget: RM1,200
- Whole year budget: RM1,200.00
- Whole year number of vacancies: 2
- Hiring frequency: Once a year (25%)
- External job portal: Free Job Portal</t>
        </is>
      </c>
      <c r="BD289" s="4">
        <v>46136.625069444446</v>
      </c>
      <c r="BE289"/>
      <c r="BF289"/>
      <c r="BG289" t="inlineStr">
        <is>
          <t>Reschedule</t>
        </is>
      </c>
      <c r="BH289" t="inlineStr">
        <is>
          <t>Edward Hoo</t>
        </is>
      </c>
      <c r="BI289"/>
      <c r="BJ289" s="4">
        <v>46144.75436342593</v>
      </c>
      <c r="BK289" s="4">
        <v>46136.50195601852</v>
      </c>
      <c r="BL289" t="inlineStr">
        <is>
          <t>0.0</t>
        </is>
      </c>
      <c r="BM289" t="inlineStr">
        <is>
          <t>0.0</t>
        </is>
      </c>
      <c r="BN289" t="inlineStr">
        <is>
          <t>View Company Page</t>
        </is>
      </c>
      <c r="BO289" s="4">
        <v>46136.50347222222</v>
      </c>
      <c r="BP289">
        <v>168807</v>
      </c>
      <c r="BQ289"/>
      <c r="BR289"/>
      <c r="BS289"/>
      <c r="BT289"/>
      <c r="BU289"/>
      <c r="BV289">
        <v>2726625</v>
      </c>
      <c r="BW289" t="inlineStr">
        <is>
          <t>Customer Inquiry</t>
        </is>
      </c>
      <c r="BX289"/>
      <c r="BY289"/>
      <c r="BZ289" s="4"/>
      <c r="CA289"/>
      <c r="CB289"/>
      <c r="CC289" s="4"/>
      <c r="CD289" t="inlineStr">
        <is>
          <t>20</t>
        </is>
      </c>
      <c r="CE289" t="inlineStr">
        <is>
          <t>0</t>
        </is>
      </c>
      <c r="CF289" t="inlineStr">
        <is>
          <t>Q2-W04</t>
        </is>
      </c>
      <c r="CG289"/>
      <c r="CH289"/>
      <c r="CI289"/>
      <c r="CJ289" t="inlineStr">
        <is>
          <t>No Paid</t>
        </is>
      </c>
      <c r="CK289" t="inlineStr">
        <is>
          <t>Not Eligible</t>
        </is>
      </c>
      <c r="CL289"/>
      <c r="CM289"/>
    </row>
    <row r="290" ht="25.5" customHeight="1">
      <c r="A290" t="inlineStr">
        <is>
          <t>203605</t>
        </is>
      </c>
      <c r="B290" s="2"/>
      <c r="C290"/>
      <c r="D290" s="3">
        <v>46136.62196759259</v>
      </c>
      <c r="E290" t="inlineStr">
        <is>
          <t>Q2-W04</t>
        </is>
      </c>
      <c r="F290" t="inlineStr">
        <is>
          <t>Ken Yi</t>
        </is>
      </c>
      <c r="G290" t="inlineStr">
        <is>
          <t>Customer</t>
        </is>
      </c>
      <c r="H290" s="2" t="str">
        <f>=HYPERLINK("https://upbox.ajobthing.my/customer/203605", "https://upbox.ajobthing.my/customer/203605")</f>
        <v>https://upbox.ajobthing.my/customer/203605</v>
      </c>
      <c r="I290" t="inlineStr">
        <is>
          <t>Husna</t>
        </is>
      </c>
      <c r="J290" t="inlineStr">
        <is>
          <t>Small Fish</t>
        </is>
      </c>
      <c r="K290" t="inlineStr">
        <is>
          <t>Kenyi</t>
        </is>
      </c>
      <c r="L290" s="4"/>
      <c r="M290" s="4">
        <v>46136.62385416667</v>
      </c>
      <c r="N290"/>
      <c r="O290">
        <v>3672</v>
      </c>
      <c r="P290" s="4"/>
      <c r="Q290" s="4"/>
      <c r="R290"/>
      <c r="S290"/>
      <c r="T290" s="4"/>
      <c r="U290" s="4"/>
      <c r="V290"/>
      <c r="W290"/>
      <c r="X290"/>
      <c r="Y290" t="inlineStr">
        <is>
          <t>Pending Appointment</t>
        </is>
      </c>
      <c r="Z290" t="inlineStr">
        <is>
          <t>Hiring Now</t>
        </is>
      </c>
      <c r="AA290">
        <v>1</v>
      </c>
      <c r="AB290" t="inlineStr">
        <is>
          <t>No Appointment Made</t>
        </is>
      </c>
      <c r="AC290"/>
      <c r="AD290" t="inlineStr">
        <is>
          <t>Technician Computer</t>
        </is>
      </c>
      <c r="AE290"/>
      <c r="AF290">
        <v>0</v>
      </c>
      <c r="AG290" s="4"/>
      <c r="AH290" s="4"/>
      <c r="AI290">
        <v>0</v>
      </c>
      <c r="AJ290">
        <v>1</v>
      </c>
      <c r="AK290" t="inlineStr">
        <is>
          <t>Yes, I have</t>
        </is>
      </c>
      <c r="AL290">
        <v>1</v>
      </c>
      <c r="AM290" t="inlineStr">
        <is>
          <t>No, I don't need at all</t>
        </is>
      </c>
      <c r="AN290"/>
      <c r="AO290" t="inlineStr">
        <is>
          <t>No, I don't need at all</t>
        </is>
      </c>
      <c r="AP290" t="inlineStr">
        <is>
          <t>Every month (100%)</t>
        </is>
      </c>
      <c r="AQ290">
        <v>1</v>
      </c>
      <c r="AR290" t="inlineStr">
        <is>
          <t>Did not use any job portal</t>
        </is>
      </c>
      <c r="AS290" t="inlineStr">
        <is>
          <t>- Headcount: 1
- Hiring Job Details: Technician Computer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290">
        <v>110</v>
      </c>
      <c r="AU290" t="inlineStr">
        <is>
          <t>1.10</t>
        </is>
      </c>
      <c r="AV290" t="inlineStr">
        <is>
          <t>15</t>
        </is>
      </c>
      <c r="AW290" t="inlineStr">
        <is>
          <t>0</t>
        </is>
      </c>
      <c r="AX290" t="inlineStr">
        <is>
          <t>Not Qualified</t>
        </is>
      </c>
      <c r="AY290" s="4"/>
      <c r="AZ290"/>
      <c r="BA290"/>
      <c r="BB290"/>
      <c r="BC290" t="inlineStr">
        <is>
          <t>- Headcount: 1
- Hiring Job Details: Technician Computer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BD290" s="4">
        <v>46136.625069444446</v>
      </c>
      <c r="BE290"/>
      <c r="BF290"/>
      <c r="BG290" t="inlineStr">
        <is>
          <t>Reschedule</t>
        </is>
      </c>
      <c r="BH290" t="inlineStr">
        <is>
          <t>Fauziah Maharan</t>
        </is>
      </c>
      <c r="BI290"/>
      <c r="BJ290" s="4">
        <v>46144.75435185185</v>
      </c>
      <c r="BK290" s="4">
        <v>46136.00083333333</v>
      </c>
      <c r="BL290" t="inlineStr">
        <is>
          <t>0.0</t>
        </is>
      </c>
      <c r="BM290" t="inlineStr">
        <is>
          <t>0.0</t>
        </is>
      </c>
      <c r="BN290" t="inlineStr">
        <is>
          <t>View Notifications</t>
        </is>
      </c>
      <c r="BO290" s="4">
        <v>46136.001759259256</v>
      </c>
      <c r="BP290">
        <v>168809</v>
      </c>
      <c r="BQ290"/>
      <c r="BR290"/>
      <c r="BS290"/>
      <c r="BT290"/>
      <c r="BU290"/>
      <c r="BV290">
        <v>2726627</v>
      </c>
      <c r="BW290" t="inlineStr">
        <is>
          <t>Customer Inquiry</t>
        </is>
      </c>
      <c r="BX290"/>
      <c r="BY290"/>
      <c r="BZ290" s="4"/>
      <c r="CA290"/>
      <c r="CB290"/>
      <c r="CC290" s="4"/>
      <c r="CD290" t="inlineStr">
        <is>
          <t>20</t>
        </is>
      </c>
      <c r="CE290" t="inlineStr">
        <is>
          <t>0</t>
        </is>
      </c>
      <c r="CF290" t="inlineStr">
        <is>
          <t>Q2-W04</t>
        </is>
      </c>
      <c r="CG290"/>
      <c r="CH290"/>
      <c r="CI290"/>
      <c r="CJ290" t="inlineStr">
        <is>
          <t>No Paid</t>
        </is>
      </c>
      <c r="CK290" t="inlineStr">
        <is>
          <t>Not Eligible</t>
        </is>
      </c>
      <c r="CL290"/>
      <c r="CM290"/>
    </row>
    <row r="291" ht="25.5" customHeight="1">
      <c r="A291" t="inlineStr">
        <is>
          <t>166276</t>
        </is>
      </c>
      <c r="B291" s="2"/>
      <c r="C291"/>
      <c r="D291" s="3">
        <v>46136.630277777775</v>
      </c>
      <c r="E291" t="inlineStr">
        <is>
          <t>Q2-W04</t>
        </is>
      </c>
      <c r="F291" t="inlineStr">
        <is>
          <t>Xin Hui</t>
        </is>
      </c>
      <c r="G291" t="inlineStr">
        <is>
          <t>Customer</t>
        </is>
      </c>
      <c r="H291" s="2" t="str">
        <f>=HYPERLINK("https://upbox.ajobthing.my/customer/166276", "https://upbox.ajobthing.my/customer/166276")</f>
        <v>https://upbox.ajobthing.my/customer/166276</v>
      </c>
      <c r="I291" t="inlineStr">
        <is>
          <t>D Hydraulic &amp; Seals Supply</t>
        </is>
      </c>
      <c r="J291" t="inlineStr">
        <is>
          <t>Small Fish</t>
        </is>
      </c>
      <c r="K291" t="inlineStr">
        <is>
          <t>Xin Hui</t>
        </is>
      </c>
      <c r="L291" s="4"/>
      <c r="M291" s="4">
        <v>46136.6306712963</v>
      </c>
      <c r="N291"/>
      <c r="O291">
        <v>3888</v>
      </c>
      <c r="P291" s="4"/>
      <c r="Q291" s="4"/>
      <c r="R291"/>
      <c r="S291"/>
      <c r="T291" s="4"/>
      <c r="U291" s="4"/>
      <c r="V291"/>
      <c r="W291"/>
      <c r="X291"/>
      <c r="Y291" t="inlineStr">
        <is>
          <t>Pending Appointment</t>
        </is>
      </c>
      <c r="Z291" t="inlineStr">
        <is>
          <t>Hiring Now</t>
        </is>
      </c>
      <c r="AA291">
        <v>1</v>
      </c>
      <c r="AB291" t="inlineStr">
        <is>
          <t>No Appointment Made</t>
        </is>
      </c>
      <c r="AC291"/>
      <c r="AD291" t="inlineStr">
        <is>
          <t xml:space="preserve">counter assistant </t>
        </is>
      </c>
      <c r="AE291"/>
      <c r="AF291"/>
      <c r="AG291" s="4"/>
      <c r="AH291" s="4"/>
      <c r="AI291"/>
      <c r="AJ291"/>
      <c r="AK291" t="inlineStr">
        <is>
          <t>No, I don't need at all</t>
        </is>
      </c>
      <c r="AL291"/>
      <c r="AM291" t="inlineStr">
        <is>
          <t>No, I don't need at all</t>
        </is>
      </c>
      <c r="AN291"/>
      <c r="AO291" t="inlineStr">
        <is>
          <t>No, I don't need at all</t>
        </is>
      </c>
      <c r="AP291" t="inlineStr">
        <is>
          <t>Once a year (25%)</t>
        </is>
      </c>
      <c r="AQ291"/>
      <c r="AR291" t="inlineStr">
        <is>
          <t>Did not use any job portal</t>
        </is>
      </c>
      <c r="AS291" t="inlineStr">
        <is>
          <t>- Headcount: 1
- Hiring Job Details: counter assistant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Did not use any job portal</t>
        </is>
      </c>
      <c r="AT291">
        <v>75</v>
      </c>
      <c r="AU291" t="inlineStr">
        <is>
          <t>0.75</t>
        </is>
      </c>
      <c r="AV291" t="inlineStr">
        <is>
          <t>5</t>
        </is>
      </c>
      <c r="AW291" t="inlineStr">
        <is>
          <t>0</t>
        </is>
      </c>
      <c r="AX291" t="inlineStr">
        <is>
          <t>Not Qualified</t>
        </is>
      </c>
      <c r="AY291" s="4"/>
      <c r="AZ291"/>
      <c r="BA291"/>
      <c r="BB291"/>
      <c r="BC291" t="inlineStr">
        <is>
          <t>boss pending decision</t>
        </is>
      </c>
      <c r="BD291" s="4">
        <v>46141.649872685186</v>
      </c>
      <c r="BE291"/>
      <c r="BF291"/>
      <c r="BG291" t="inlineStr">
        <is>
          <t>Reschedule</t>
        </is>
      </c>
      <c r="BH291" t="inlineStr">
        <is>
          <t>Yee Hang</t>
        </is>
      </c>
      <c r="BI291" t="inlineStr">
        <is>
          <t>General / Wholesale Trading</t>
        </is>
      </c>
      <c r="BJ291" s="4">
        <v>46144.751296296294</v>
      </c>
      <c r="BK291" s="4">
        <v>45030.931921296295</v>
      </c>
      <c r="BL291" t="inlineStr">
        <is>
          <t>0.0</t>
        </is>
      </c>
      <c r="BM291" t="inlineStr">
        <is>
          <t>0.0</t>
        </is>
      </c>
      <c r="BN291" t="inlineStr">
        <is>
          <t>View Jobmanager Page</t>
        </is>
      </c>
      <c r="BO291" s="4">
        <v>45832.53811342592</v>
      </c>
      <c r="BP291">
        <v>168811</v>
      </c>
      <c r="BQ291"/>
      <c r="BR291"/>
      <c r="BS291"/>
      <c r="BT291"/>
      <c r="BU291"/>
      <c r="BV291">
        <v>2735663</v>
      </c>
      <c r="BW291" t="inlineStr">
        <is>
          <t>Follow Up : Decision Pending</t>
        </is>
      </c>
      <c r="BX291"/>
      <c r="BY291"/>
      <c r="BZ291" s="4"/>
      <c r="CA291"/>
      <c r="CB291"/>
      <c r="CC291" s="4"/>
      <c r="CD291" t="inlineStr">
        <is>
          <t>5</t>
        </is>
      </c>
      <c r="CE291" t="inlineStr">
        <is>
          <t>0</t>
        </is>
      </c>
      <c r="CF291" t="inlineStr">
        <is>
          <t>Q2-W04</t>
        </is>
      </c>
      <c r="CG291"/>
      <c r="CH291"/>
      <c r="CI291"/>
      <c r="CJ291" t="inlineStr">
        <is>
          <t>No Paid</t>
        </is>
      </c>
      <c r="CK291" t="inlineStr">
        <is>
          <t>Not Eligible</t>
        </is>
      </c>
      <c r="CL291"/>
      <c r="CM291"/>
    </row>
    <row r="292" ht="25.5" customHeight="1">
      <c r="A292" t="inlineStr">
        <is>
          <t>139034</t>
        </is>
      </c>
      <c r="B292" s="2"/>
      <c r="C292"/>
      <c r="D292" s="3">
        <v>46136.643009259256</v>
      </c>
      <c r="E292" t="inlineStr">
        <is>
          <t>Q2-W04</t>
        </is>
      </c>
      <c r="F292" t="inlineStr">
        <is>
          <t>Clover</t>
        </is>
      </c>
      <c r="G292" t="inlineStr">
        <is>
          <t>Customer</t>
        </is>
      </c>
      <c r="H292" s="2" t="str">
        <f>=HYPERLINK("https://upbox.ajobthing.my/customer/139034", "https://upbox.ajobthing.my/customer/139034")</f>
        <v>https://upbox.ajobthing.my/customer/139034</v>
      </c>
      <c r="I292" t="inlineStr">
        <is>
          <t>Pioneer Movers Sdn Bhd</t>
        </is>
      </c>
      <c r="J292" t="inlineStr">
        <is>
          <t>Small Fish</t>
        </is>
      </c>
      <c r="K292" t="inlineStr">
        <is>
          <t>Clover</t>
        </is>
      </c>
      <c r="L292" s="4"/>
      <c r="M292" s="4">
        <v>46136.64357638889</v>
      </c>
      <c r="N292"/>
      <c r="O292">
        <v>6048</v>
      </c>
      <c r="P292" s="4"/>
      <c r="Q292" s="4"/>
      <c r="R292"/>
      <c r="S292"/>
      <c r="T292" s="4"/>
      <c r="U292" s="4"/>
      <c r="V292"/>
      <c r="W292"/>
      <c r="X292"/>
      <c r="Y292" t="inlineStr">
        <is>
          <t>Pending Appointment</t>
        </is>
      </c>
      <c r="Z292" t="inlineStr">
        <is>
          <t>Hiring Later</t>
        </is>
      </c>
      <c r="AA292">
        <v>5</v>
      </c>
      <c r="AB292" t="inlineStr">
        <is>
          <t>No Appointment Made</t>
        </is>
      </c>
      <c r="AC292"/>
      <c r="AD292" t="inlineStr">
        <is>
          <t>PIC wrong number, call office 03-6250 5261 , 0123435153 Ms Mala PIC, movers, kl, future might hiring lorry driver x1-2, admin exec x1,  warehouse assistant x1-2, suggest stand</t>
        </is>
      </c>
      <c r="AE292"/>
      <c r="AF292">
        <v>3000</v>
      </c>
      <c r="AG292" s="4"/>
      <c r="AH292" s="4"/>
      <c r="AI292">
        <v>3000</v>
      </c>
      <c r="AJ292">
        <v>1</v>
      </c>
      <c r="AK292" t="inlineStr">
        <is>
          <t>No, but I want in future</t>
        </is>
      </c>
      <c r="AL292">
        <v>5</v>
      </c>
      <c r="AM292" t="inlineStr">
        <is>
          <t>No, but I want in future</t>
        </is>
      </c>
      <c r="AN292"/>
      <c r="AO292" t="inlineStr">
        <is>
          <t>No, but I want in future</t>
        </is>
      </c>
      <c r="AP292" t="inlineStr">
        <is>
          <t>Twice a year (50%)</t>
        </is>
      </c>
      <c r="AQ292">
        <v>5</v>
      </c>
      <c r="AR292" t="inlineStr">
        <is>
          <t>Did not use any job portal</t>
        </is>
      </c>
      <c r="AS292" t="inlineStr">
        <is>
          <t>- Headcount: 5
- Hiring Job Details: PIC wrong number; contact office 03-6250 5261/0123435153 Ms Mala; movers (KL); future possible hires: 1-2 lorry drivers, 1 admin exec, 1-2 warehouse assistants; suggest stand
- Hiring Urgency: Hiring Later
- Number of outlets: 1
- Have recruiter team: No, but want in future
- Number of recruiter in company: 5
- Have ATS system: No, but want in future
- Have career website: No, but want in future
- Current hiring budget: RM3,000
- Whole year budget: RM3,000.00
- Whole year number of vacancies: 5
- Hiring frequency: Twice a year (50%)
- External job portal: Did not use any</t>
        </is>
      </c>
      <c r="AT292">
        <v>75</v>
      </c>
      <c r="AU292" t="inlineStr">
        <is>
          <t>0.75</t>
        </is>
      </c>
      <c r="AV292" t="inlineStr">
        <is>
          <t>20</t>
        </is>
      </c>
      <c r="AW292" t="inlineStr">
        <is>
          <t>0</t>
        </is>
      </c>
      <c r="AX292" t="inlineStr">
        <is>
          <t>Not Qualified</t>
        </is>
      </c>
      <c r="AY292" s="4"/>
      <c r="AZ292"/>
      <c r="BA292"/>
      <c r="BB292"/>
      <c r="BC292" t="inlineStr">
        <is>
          <t>wa fu</t>
        </is>
      </c>
      <c r="BD292" s="4">
        <v>46140.77987268518</v>
      </c>
      <c r="BE292"/>
      <c r="BF292"/>
      <c r="BG292" t="inlineStr">
        <is>
          <t>Reschedule</t>
        </is>
      </c>
      <c r="BH292" t="inlineStr">
        <is>
          <t>Reagen</t>
        </is>
      </c>
      <c r="BI292"/>
      <c r="BJ292" s="4">
        <v>46144.75063657408</v>
      </c>
      <c r="BK292" s="4">
        <v>44371.515381944446</v>
      </c>
      <c r="BL292" t="inlineStr">
        <is>
          <t>0.0</t>
        </is>
      </c>
      <c r="BM292" t="inlineStr">
        <is>
          <t>0.0</t>
        </is>
      </c>
      <c r="BN292" t="inlineStr">
        <is>
          <t>Instant Register</t>
        </is>
      </c>
      <c r="BO292" s="4">
        <v>44371.515393518515</v>
      </c>
      <c r="BP292">
        <v>168823</v>
      </c>
      <c r="BQ292"/>
      <c r="BR292"/>
      <c r="BS292"/>
      <c r="BT292"/>
      <c r="BU292"/>
      <c r="BV292">
        <v>2734021</v>
      </c>
      <c r="BW292" t="inlineStr">
        <is>
          <t>No Answer : Voicemail - WA sent to customer</t>
        </is>
      </c>
      <c r="BX292"/>
      <c r="BY292"/>
      <c r="BZ292" s="4"/>
      <c r="CA292"/>
      <c r="CB292"/>
      <c r="CC292" s="4"/>
      <c r="CD292" t="inlineStr">
        <is>
          <t>30</t>
        </is>
      </c>
      <c r="CE292" t="inlineStr">
        <is>
          <t>0</t>
        </is>
      </c>
      <c r="CF292" t="inlineStr">
        <is>
          <t>Q2-W04</t>
        </is>
      </c>
      <c r="CG292"/>
      <c r="CH292"/>
      <c r="CI292"/>
      <c r="CJ292" t="inlineStr">
        <is>
          <t>No Paid</t>
        </is>
      </c>
      <c r="CK292" t="inlineStr">
        <is>
          <t>Not Eligible</t>
        </is>
      </c>
      <c r="CL292"/>
      <c r="CM292"/>
    </row>
    <row r="293" ht="25.5" customHeight="1">
      <c r="A293" t="inlineStr">
        <is>
          <t>4319967</t>
        </is>
      </c>
      <c r="B293" s="2"/>
      <c r="C293"/>
      <c r="D293" s="3">
        <v>46136.644907407404</v>
      </c>
      <c r="E293" t="inlineStr">
        <is>
          <t>Q2-W04</t>
        </is>
      </c>
      <c r="F293" t="inlineStr">
        <is>
          <t>Ken Yi</t>
        </is>
      </c>
      <c r="G293" t="inlineStr">
        <is>
          <t>Lead</t>
        </is>
      </c>
      <c r="H293" s="2" t="str">
        <f>=HYPERLINK("https://upbox.ajobthing.my/leads/4319967", "https://upbox.ajobthing.my/leads/4319967")</f>
        <v>https://upbox.ajobthing.my/leads/4319967</v>
      </c>
      <c r="I293" t="inlineStr">
        <is>
          <t>KIYO LIVING</t>
        </is>
      </c>
      <c r="J293" t="inlineStr">
        <is>
          <t>Small Fish</t>
        </is>
      </c>
      <c r="K293" t="inlineStr">
        <is>
          <t>Kenyi</t>
        </is>
      </c>
      <c r="L293" s="4"/>
      <c r="M293" s="4">
        <v>46136.64638888889</v>
      </c>
      <c r="N293"/>
      <c r="O293">
        <v>3672</v>
      </c>
      <c r="P293" s="4"/>
      <c r="Q293" s="4"/>
      <c r="R293"/>
      <c r="S293"/>
      <c r="T293" s="4"/>
      <c r="U293" s="4"/>
      <c r="V293"/>
      <c r="W293"/>
      <c r="X293"/>
      <c r="Y293" t="inlineStr">
        <is>
          <t>Pending Appointment</t>
        </is>
      </c>
      <c r="Z293" t="inlineStr">
        <is>
          <t>Hiring Now</t>
        </is>
      </c>
      <c r="AA293">
        <v>1</v>
      </c>
      <c r="AB293" t="inlineStr">
        <is>
          <t>No Appointment Made</t>
        </is>
      </c>
      <c r="AC293"/>
      <c r="AD293" t="inlineStr">
        <is>
          <t xml:space="preserve"> Malay Market, service crew 1</t>
        </is>
      </c>
      <c r="AE293"/>
      <c r="AF293">
        <v>0</v>
      </c>
      <c r="AG293" s="4"/>
      <c r="AH293" s="4"/>
      <c r="AI293">
        <v>0</v>
      </c>
      <c r="AJ293">
        <v>1</v>
      </c>
      <c r="AK293" t="inlineStr">
        <is>
          <t>No, I don't need at all</t>
        </is>
      </c>
      <c r="AL293">
        <v>0</v>
      </c>
      <c r="AM293" t="inlineStr">
        <is>
          <t>No, I don't need at all</t>
        </is>
      </c>
      <c r="AN293"/>
      <c r="AO293" t="inlineStr">
        <is>
          <t>No, but I want in future</t>
        </is>
      </c>
      <c r="AP293" t="inlineStr">
        <is>
          <t>Every month (100%)</t>
        </is>
      </c>
      <c r="AQ293">
        <v>0</v>
      </c>
      <c r="AR293"/>
      <c r="AS293" t="inlineStr">
        <is>
          <t>- Headcount: 1
- Hiring Job Details: Malay Market, service crew 1
- Hiring Urgency: Hiring Now
- Number of outlets: 1
- Have recruiter team: No, I don't need at all
- Number of recruiter in company: 0
- Have ATS system: No, I don't need at all
- Have career website: No, but I want in future
- Current hiring budget: RM0.00
- Whole year budget: RM0.00
- Whole year number of vacancies: 0
- Hiring frequency: Every month (100%)
- External job portal: None</t>
        </is>
      </c>
      <c r="AT293">
        <v>105</v>
      </c>
      <c r="AU293" t="inlineStr">
        <is>
          <t>1.05</t>
        </is>
      </c>
      <c r="AV293" t="inlineStr">
        <is>
          <t>15</t>
        </is>
      </c>
      <c r="AW293" t="inlineStr">
        <is>
          <t>0</t>
        </is>
      </c>
      <c r="AX293" t="inlineStr">
        <is>
          <t>Not Qualified</t>
        </is>
      </c>
      <c r="AY293" s="4"/>
      <c r="AZ293"/>
      <c r="BA293"/>
      <c r="BB293"/>
      <c r="BC293"/>
      <c r="BD293" s="4"/>
      <c r="BE293"/>
      <c r="BF293"/>
      <c r="BG293" t="inlineStr">
        <is>
          <t>Reschedule</t>
        </is>
      </c>
      <c r="BH293" t="inlineStr">
        <is>
          <t>Fauziah Maharan</t>
        </is>
      </c>
      <c r="BI293"/>
      <c r="BJ293" s="4">
        <v>46144.75592592593</v>
      </c>
      <c r="BK293" s="4">
        <v>46136.630960648145</v>
      </c>
      <c r="BL293" t="inlineStr">
        <is>
          <t>0.0</t>
        </is>
      </c>
      <c r="BM293" t="inlineStr">
        <is>
          <t>0.0</t>
        </is>
      </c>
      <c r="BN293"/>
      <c r="BO293" s="4"/>
      <c r="BP293">
        <v>168825</v>
      </c>
      <c r="BQ293"/>
      <c r="BR293"/>
      <c r="BS293"/>
      <c r="BT293"/>
      <c r="BU293"/>
      <c r="BV293"/>
      <c r="BW293"/>
      <c r="BX293"/>
      <c r="BY293"/>
      <c r="BZ293" s="4"/>
      <c r="CA293"/>
      <c r="CB293"/>
      <c r="CC293" s="4"/>
      <c r="CD293" t="inlineStr">
        <is>
          <t>20</t>
        </is>
      </c>
      <c r="CE293" t="inlineStr">
        <is>
          <t>0</t>
        </is>
      </c>
      <c r="CF293" t="inlineStr">
        <is>
          <t>Q2-W04</t>
        </is>
      </c>
      <c r="CG293"/>
      <c r="CH293"/>
      <c r="CI293"/>
      <c r="CJ293" t="inlineStr">
        <is>
          <t>No Paid</t>
        </is>
      </c>
      <c r="CK293" t="inlineStr">
        <is>
          <t>Not Eligible</t>
        </is>
      </c>
      <c r="CL293"/>
      <c r="CM293"/>
    </row>
    <row r="294" ht="25.5" customHeight="1">
      <c r="A294" t="inlineStr">
        <is>
          <t>18394</t>
        </is>
      </c>
      <c r="B294" s="2"/>
      <c r="C294"/>
      <c r="D294" s="3">
        <v>46136.64582175926</v>
      </c>
      <c r="E294" t="inlineStr">
        <is>
          <t>Q2-W04</t>
        </is>
      </c>
      <c r="F294" t="inlineStr">
        <is>
          <t>Carmen</t>
        </is>
      </c>
      <c r="G294" t="inlineStr">
        <is>
          <t>Customer</t>
        </is>
      </c>
      <c r="H294" s="2" t="str">
        <f>=HYPERLINK("https://upbox.ajobthing.my/customer/18394", "https://upbox.ajobthing.my/customer/18394")</f>
        <v>https://upbox.ajobthing.my/customer/18394</v>
      </c>
      <c r="I294" t="inlineStr">
        <is>
          <t>Klinik Mediviron Putrajaya</t>
        </is>
      </c>
      <c r="J294" t="inlineStr">
        <is>
          <t>Small Fish</t>
        </is>
      </c>
      <c r="K294" t="inlineStr">
        <is>
          <t>Carmen</t>
        </is>
      </c>
      <c r="L294" s="4"/>
      <c r="M294" s="4">
        <v>46136.645902777775</v>
      </c>
      <c r="N294"/>
      <c r="O294">
        <v>3888</v>
      </c>
      <c r="P294" s="4"/>
      <c r="Q294" s="4"/>
      <c r="R294"/>
      <c r="S294"/>
      <c r="T294" s="4"/>
      <c r="U294" s="4"/>
      <c r="V294"/>
      <c r="W294"/>
      <c r="X294"/>
      <c r="Y294" t="inlineStr">
        <is>
          <t>Pending Appointment</t>
        </is>
      </c>
      <c r="Z294" t="inlineStr">
        <is>
          <t>Hiring Now</t>
        </is>
      </c>
      <c r="AA294">
        <v>2</v>
      </c>
      <c r="AB294" t="inlineStr">
        <is>
          <t>No Appointment Made</t>
        </is>
      </c>
      <c r="AC294"/>
      <c r="AD294" t="inlineStr">
        <is>
          <t xml:space="preserve">2 radiographer </t>
        </is>
      </c>
      <c r="AE294"/>
      <c r="AF294">
        <v>0</v>
      </c>
      <c r="AG294" s="4"/>
      <c r="AH294" s="4"/>
      <c r="AI294"/>
      <c r="AJ294"/>
      <c r="AK294"/>
      <c r="AL294"/>
      <c r="AM294"/>
      <c r="AN294"/>
      <c r="AO294"/>
      <c r="AP294" t="inlineStr">
        <is>
          <t>Once a year (25%)</t>
        </is>
      </c>
      <c r="AQ294"/>
      <c r="AR294"/>
      <c r="AS294" t="inlineStr">
        <is>
          <t>- Headcount: 2
- Hiring Job Details: 2 radiographer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94">
        <v>90</v>
      </c>
      <c r="AU294" t="inlineStr">
        <is>
          <t>0.90</t>
        </is>
      </c>
      <c r="AV294" t="inlineStr">
        <is>
          <t>15</t>
        </is>
      </c>
      <c r="AW294" t="inlineStr">
        <is>
          <t>0</t>
        </is>
      </c>
      <c r="AX294" t="inlineStr">
        <is>
          <t>Not Qualified</t>
        </is>
      </c>
      <c r="AY294" s="4"/>
      <c r="AZ294"/>
      <c r="BA294"/>
      <c r="BB294"/>
      <c r="BC294" t="inlineStr">
        <is>
          <t>2 radiographer ; team by team hiring, this pic team no hiring, his colleague needs</t>
        </is>
      </c>
      <c r="BD294" s="4">
        <v>46136.650092592594</v>
      </c>
      <c r="BE294"/>
      <c r="BF294"/>
      <c r="BG294" t="inlineStr">
        <is>
          <t>Reschedule</t>
        </is>
      </c>
      <c r="BH294" t="inlineStr">
        <is>
          <t>Reagen</t>
        </is>
      </c>
      <c r="BI294"/>
      <c r="BJ294" s="4">
        <v>46144.75199074074</v>
      </c>
      <c r="BK294" s="4">
        <v>42478.856620370374</v>
      </c>
      <c r="BL294" t="inlineStr">
        <is>
          <t>0.0</t>
        </is>
      </c>
      <c r="BM294" t="inlineStr">
        <is>
          <t>0.0</t>
        </is>
      </c>
      <c r="BN294" t="inlineStr">
        <is>
          <t>View Shop</t>
        </is>
      </c>
      <c r="BO294" s="4">
        <v>43357.43466435185</v>
      </c>
      <c r="BP294">
        <v>168824</v>
      </c>
      <c r="BQ294"/>
      <c r="BR294"/>
      <c r="BS294"/>
      <c r="BT294"/>
      <c r="BU294"/>
      <c r="BV294">
        <v>2726795</v>
      </c>
      <c r="BW294" t="inlineStr">
        <is>
          <t>Inquire for Hiring Needs : Quotation Sent 50%</t>
        </is>
      </c>
      <c r="BX294"/>
      <c r="BY294"/>
      <c r="BZ294" s="4"/>
      <c r="CA294"/>
      <c r="CB294"/>
      <c r="CC294" s="4"/>
      <c r="CD294" t="inlineStr">
        <is>
          <t>20</t>
        </is>
      </c>
      <c r="CE294" t="inlineStr">
        <is>
          <t>0</t>
        </is>
      </c>
      <c r="CF294" t="inlineStr">
        <is>
          <t>Q2-W04</t>
        </is>
      </c>
      <c r="CG294"/>
      <c r="CH294"/>
      <c r="CI294"/>
      <c r="CJ294" t="inlineStr">
        <is>
          <t>No Paid</t>
        </is>
      </c>
      <c r="CK294" t="inlineStr">
        <is>
          <t>Not Eligible</t>
        </is>
      </c>
      <c r="CL294"/>
      <c r="CM294"/>
    </row>
    <row r="295" ht="25.5" customHeight="1">
      <c r="A295" t="inlineStr">
        <is>
          <t>198140</t>
        </is>
      </c>
      <c r="B295" s="2"/>
      <c r="C295"/>
      <c r="D295" s="3">
        <v>46136.64988425926</v>
      </c>
      <c r="E295" t="inlineStr">
        <is>
          <t>Q2-W04</t>
        </is>
      </c>
      <c r="F295" t="inlineStr">
        <is>
          <t>Jeff Lee</t>
        </is>
      </c>
      <c r="G295" t="inlineStr">
        <is>
          <t>Customer</t>
        </is>
      </c>
      <c r="H295" s="2" t="str">
        <f>=HYPERLINK("https://upbox.ajobthing.my/customer/198140", "https://upbox.ajobthing.my/customer/198140")</f>
        <v>https://upbox.ajobthing.my/customer/198140</v>
      </c>
      <c r="I295" t="inlineStr">
        <is>
          <t>Tin Creation Co.</t>
        </is>
      </c>
      <c r="J295" t="inlineStr">
        <is>
          <t>Small Fish</t>
        </is>
      </c>
      <c r="K295" t="inlineStr">
        <is>
          <t>Jeff Lee</t>
        </is>
      </c>
      <c r="L295" s="4"/>
      <c r="M295" s="4">
        <v>46136.64172453704</v>
      </c>
      <c r="N295"/>
      <c r="O295">
        <v>3672</v>
      </c>
      <c r="P295" s="4"/>
      <c r="Q295" s="4"/>
      <c r="R295"/>
      <c r="S295"/>
      <c r="T295" s="4"/>
      <c r="U295" s="4"/>
      <c r="V295"/>
      <c r="W295"/>
      <c r="X295"/>
      <c r="Y295" t="inlineStr">
        <is>
          <t>Pending Appointment</t>
        </is>
      </c>
      <c r="Z295" t="inlineStr">
        <is>
          <t>Hiring Later</t>
        </is>
      </c>
      <c r="AA295">
        <v>1</v>
      </c>
      <c r="AB295" t="inlineStr">
        <is>
          <t>No Appointment Made</t>
        </is>
      </c>
      <c r="AC295"/>
      <c r="AD295" t="inlineStr">
        <is>
          <t>1 customer service</t>
        </is>
      </c>
      <c r="AE295"/>
      <c r="AF295">
        <v>0</v>
      </c>
      <c r="AG295" s="4"/>
      <c r="AH295" s="4"/>
      <c r="AI295">
        <v>0</v>
      </c>
      <c r="AJ295">
        <v>0</v>
      </c>
      <c r="AK295" t="inlineStr">
        <is>
          <t>No, I don't need at all</t>
        </is>
      </c>
      <c r="AL295">
        <v>0</v>
      </c>
      <c r="AM295" t="inlineStr">
        <is>
          <t>No, I don't need at all</t>
        </is>
      </c>
      <c r="AN295"/>
      <c r="AO295" t="inlineStr">
        <is>
          <t>No, I don't need at all</t>
        </is>
      </c>
      <c r="AP295" t="inlineStr">
        <is>
          <t>Once a year (25%)</t>
        </is>
      </c>
      <c r="AQ295">
        <v>1</v>
      </c>
      <c r="AR295" t="inlineStr">
        <is>
          <t>Did not use any job portal</t>
        </is>
      </c>
      <c r="AS295" t="inlineStr">
        <is>
          <t>- Headcount: 1
- Hiring Job Details: 1 customer service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95">
        <v>100</v>
      </c>
      <c r="AU295" t="inlineStr">
        <is>
          <t>1.00</t>
        </is>
      </c>
      <c r="AV295" t="inlineStr">
        <is>
          <t>15</t>
        </is>
      </c>
      <c r="AW295" t="inlineStr">
        <is>
          <t>0</t>
        </is>
      </c>
      <c r="AX295" t="inlineStr">
        <is>
          <t>Not Qualified</t>
        </is>
      </c>
      <c r="AY295" s="4"/>
      <c r="AZ295"/>
      <c r="BA295"/>
      <c r="BB295"/>
      <c r="BC295" t="inlineStr">
        <is>
          <t>prepare details for me now</t>
        </is>
      </c>
      <c r="BD295" s="4">
        <v>46139.409421296295</v>
      </c>
      <c r="BE295"/>
      <c r="BF295"/>
      <c r="BG295" t="inlineStr">
        <is>
          <t>Reschedule</t>
        </is>
      </c>
      <c r="BH295" t="inlineStr">
        <is>
          <t>Yee Hang</t>
        </is>
      </c>
      <c r="BI295" t="inlineStr">
        <is>
          <t>Printing / Publishing</t>
        </is>
      </c>
      <c r="BJ295" s="4">
        <v>46144.752974537034</v>
      </c>
      <c r="BK295" s="4">
        <v>45972.815787037034</v>
      </c>
      <c r="BL295" t="inlineStr">
        <is>
          <t>0.0</t>
        </is>
      </c>
      <c r="BM295" t="inlineStr">
        <is>
          <t>0.0</t>
        </is>
      </c>
      <c r="BN295" t="inlineStr">
        <is>
          <t>View Company Page</t>
        </is>
      </c>
      <c r="BO295" s="4">
        <v>45979.94982638889</v>
      </c>
      <c r="BP295">
        <v>168822</v>
      </c>
      <c r="BQ295"/>
      <c r="BR295"/>
      <c r="BS295"/>
      <c r="BT295"/>
      <c r="BU295"/>
      <c r="BV295">
        <v>2728207</v>
      </c>
      <c r="BW295" t="inlineStr">
        <is>
          <t>Follow Up : Decision Pending</t>
        </is>
      </c>
      <c r="BX295"/>
      <c r="BY295"/>
      <c r="BZ295" s="4"/>
      <c r="CA295"/>
      <c r="CB295"/>
      <c r="CC295" s="4"/>
      <c r="CD295" t="inlineStr">
        <is>
          <t>20</t>
        </is>
      </c>
      <c r="CE295" t="inlineStr">
        <is>
          <t>0</t>
        </is>
      </c>
      <c r="CF295" t="inlineStr">
        <is>
          <t>Q2-W04</t>
        </is>
      </c>
      <c r="CG295"/>
      <c r="CH295"/>
      <c r="CI295"/>
      <c r="CJ295" t="inlineStr">
        <is>
          <t>No Paid</t>
        </is>
      </c>
      <c r="CK295" t="inlineStr">
        <is>
          <t>Not Eligible</t>
        </is>
      </c>
      <c r="CL295"/>
      <c r="CM295"/>
    </row>
    <row r="296" ht="25.5" customHeight="1">
      <c r="A296" t="inlineStr">
        <is>
          <t>4319967</t>
        </is>
      </c>
      <c r="B296" s="2"/>
      <c r="C296"/>
      <c r="D296" s="3">
        <v>46136.65096064815</v>
      </c>
      <c r="E296" t="inlineStr">
        <is>
          <t>Q2-W04</t>
        </is>
      </c>
      <c r="F296" t="inlineStr">
        <is>
          <t>Ken Yi</t>
        </is>
      </c>
      <c r="G296" t="inlineStr">
        <is>
          <t>Lead</t>
        </is>
      </c>
      <c r="H296" s="2" t="str">
        <f>=HYPERLINK("https://upbox.ajobthing.my/leads/4319967", "https://upbox.ajobthing.my/leads/4319967")</f>
        <v>https://upbox.ajobthing.my/leads/4319967</v>
      </c>
      <c r="I296" t="inlineStr">
        <is>
          <t>KIYO LIVING</t>
        </is>
      </c>
      <c r="J296" t="inlineStr">
        <is>
          <t>Small Fish</t>
        </is>
      </c>
      <c r="K296" t="inlineStr">
        <is>
          <t>Kenyi</t>
        </is>
      </c>
      <c r="L296" s="4"/>
      <c r="M296" s="4">
        <v>46136.64638888889</v>
      </c>
      <c r="N296"/>
      <c r="O296">
        <v>3672</v>
      </c>
      <c r="P296" s="4"/>
      <c r="Q296" s="4"/>
      <c r="R296"/>
      <c r="S296"/>
      <c r="T296" s="4"/>
      <c r="U296" s="4"/>
      <c r="V296"/>
      <c r="W296"/>
      <c r="X296"/>
      <c r="Y296" t="inlineStr">
        <is>
          <t>Pending Appointment</t>
        </is>
      </c>
      <c r="Z296" t="inlineStr">
        <is>
          <t>Hiring Now</t>
        </is>
      </c>
      <c r="AA296">
        <v>2</v>
      </c>
      <c r="AB296" t="inlineStr">
        <is>
          <t>No Appointment Made</t>
        </is>
      </c>
      <c r="AC296"/>
      <c r="AD296" t="inlineStr">
        <is>
          <t>Malay Service Crew, shop keeper</t>
        </is>
      </c>
      <c r="AE296"/>
      <c r="AF296">
        <v>0</v>
      </c>
      <c r="AG296" s="4"/>
      <c r="AH296" s="4"/>
      <c r="AI296">
        <v>0</v>
      </c>
      <c r="AJ296">
        <v>1</v>
      </c>
      <c r="AK296" t="inlineStr">
        <is>
          <t>Yes, I have</t>
        </is>
      </c>
      <c r="AL296">
        <v>1</v>
      </c>
      <c r="AM296" t="inlineStr">
        <is>
          <t>No, I don't need at all</t>
        </is>
      </c>
      <c r="AN296"/>
      <c r="AO296" t="inlineStr">
        <is>
          <t>No, I don't need at all</t>
        </is>
      </c>
      <c r="AP296" t="inlineStr">
        <is>
          <t>Every month (100%)</t>
        </is>
      </c>
      <c r="AQ296">
        <v>1</v>
      </c>
      <c r="AR296" t="inlineStr">
        <is>
          <t>Did not use any job portal</t>
        </is>
      </c>
      <c r="AS296" t="inlineStr">
        <is>
          <t>- Headcount: 2
- Hiring Job Details: Malay Service Crew, shop keeper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is>
      </c>
      <c r="AT296">
        <v>100</v>
      </c>
      <c r="AU296" t="inlineStr">
        <is>
          <t>1.00</t>
        </is>
      </c>
      <c r="AV296" t="inlineStr">
        <is>
          <t>15</t>
        </is>
      </c>
      <c r="AW296" t="inlineStr">
        <is>
          <t>0</t>
        </is>
      </c>
      <c r="AX296" t="inlineStr">
        <is>
          <t>Not Qualified</t>
        </is>
      </c>
      <c r="AY296" s="4"/>
      <c r="AZ296"/>
      <c r="BA296"/>
      <c r="BB296"/>
      <c r="BC296"/>
      <c r="BD296" s="4"/>
      <c r="BE296"/>
      <c r="BF296"/>
      <c r="BG296" t="inlineStr">
        <is>
          <t>Reschedule</t>
        </is>
      </c>
      <c r="BH296" t="inlineStr">
        <is>
          <t>Fauziah Maharan</t>
        </is>
      </c>
      <c r="BI296"/>
      <c r="BJ296" s="4">
        <v>46144.75592592593</v>
      </c>
      <c r="BK296" s="4">
        <v>46136.630960648145</v>
      </c>
      <c r="BL296" t="inlineStr">
        <is>
          <t>0.0</t>
        </is>
      </c>
      <c r="BM296" t="inlineStr">
        <is>
          <t>0.0</t>
        </is>
      </c>
      <c r="BN296"/>
      <c r="BO296" s="4"/>
      <c r="BP296">
        <v>168825</v>
      </c>
      <c r="BQ296"/>
      <c r="BR296"/>
      <c r="BS296"/>
      <c r="BT296"/>
      <c r="BU296"/>
      <c r="BV296"/>
      <c r="BW296"/>
      <c r="BX296"/>
      <c r="BY296"/>
      <c r="BZ296" s="4"/>
      <c r="CA296"/>
      <c r="CB296"/>
      <c r="CC296" s="4"/>
      <c r="CD296" t="inlineStr">
        <is>
          <t>20</t>
        </is>
      </c>
      <c r="CE296" t="inlineStr">
        <is>
          <t>0</t>
        </is>
      </c>
      <c r="CF296" t="inlineStr">
        <is>
          <t>Q2-W04</t>
        </is>
      </c>
      <c r="CG296"/>
      <c r="CH296"/>
      <c r="CI296"/>
      <c r="CJ296" t="inlineStr">
        <is>
          <t>No Paid</t>
        </is>
      </c>
      <c r="CK296" t="inlineStr">
        <is>
          <t>Not Eligible</t>
        </is>
      </c>
      <c r="CL296"/>
      <c r="CM296"/>
    </row>
    <row r="297" ht="25.5" customHeight="1">
      <c r="A297" t="inlineStr">
        <is>
          <t>203635</t>
        </is>
      </c>
      <c r="B297" s="2"/>
      <c r="C297"/>
      <c r="D297" s="3">
        <v>46136.65331018518</v>
      </c>
      <c r="E297" t="inlineStr">
        <is>
          <t>Q2-W04</t>
        </is>
      </c>
      <c r="F297" t="inlineStr">
        <is>
          <t>Lucas</t>
        </is>
      </c>
      <c r="G297" t="inlineStr">
        <is>
          <t>Customer</t>
        </is>
      </c>
      <c r="H297" s="2" t="str">
        <f>=HYPERLINK("https://upbox.ajobthing.my/customer/203635", "https://upbox.ajobthing.my/customer/203635")</f>
        <v>https://upbox.ajobthing.my/customer/203635</v>
      </c>
      <c r="I297" t="inlineStr">
        <is>
          <t xml:space="preserve">Leap Metal Sdn Bhd </t>
        </is>
      </c>
      <c r="J297" t="inlineStr">
        <is>
          <t>Small Fish</t>
        </is>
      </c>
      <c r="K297" t="inlineStr">
        <is>
          <t>Lucas</t>
        </is>
      </c>
      <c r="L297" s="4"/>
      <c r="M297" s="4">
        <v>46136.65219907407</v>
      </c>
      <c r="N297"/>
      <c r="O297">
        <v>3888</v>
      </c>
      <c r="P297" s="4"/>
      <c r="Q297" s="4"/>
      <c r="R297"/>
      <c r="S297"/>
      <c r="T297" s="4"/>
      <c r="U297" s="4"/>
      <c r="V297"/>
      <c r="W297"/>
      <c r="X297"/>
      <c r="Y297" t="inlineStr">
        <is>
          <t>Pending Appointment</t>
        </is>
      </c>
      <c r="Z297" t="inlineStr">
        <is>
          <t>Hiring Now</t>
        </is>
      </c>
      <c r="AA297">
        <v>1</v>
      </c>
      <c r="AB297" t="inlineStr">
        <is>
          <t>No Appointment Made</t>
        </is>
      </c>
      <c r="AC297"/>
      <c r="AD297" t="inlineStr">
        <is>
          <t xml:space="preserve">1 accountant </t>
        </is>
      </c>
      <c r="AE297"/>
      <c r="AF297">
        <v>0</v>
      </c>
      <c r="AG297" s="4"/>
      <c r="AH297" s="4"/>
      <c r="AI297">
        <v>0</v>
      </c>
      <c r="AJ297">
        <v>0</v>
      </c>
      <c r="AK297" t="inlineStr">
        <is>
          <t>No, I don't need at all</t>
        </is>
      </c>
      <c r="AL297">
        <v>0</v>
      </c>
      <c r="AM297" t="inlineStr">
        <is>
          <t>No, I don't need at all</t>
        </is>
      </c>
      <c r="AN297"/>
      <c r="AO297" t="inlineStr">
        <is>
          <t>No, I don't need at all</t>
        </is>
      </c>
      <c r="AP297" t="inlineStr">
        <is>
          <t>Once a year (25%)</t>
        </is>
      </c>
      <c r="AQ297">
        <v>1</v>
      </c>
      <c r="AR297" t="inlineStr">
        <is>
          <t>Did not use any job portal</t>
        </is>
      </c>
      <c r="AS297" t="inlineStr">
        <is>
          <t>- Headcount: 1
- Hiring Job Details: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97">
        <v>105</v>
      </c>
      <c r="AU297" t="inlineStr">
        <is>
          <t>1.05</t>
        </is>
      </c>
      <c r="AV297" t="inlineStr">
        <is>
          <t>15</t>
        </is>
      </c>
      <c r="AW297" t="inlineStr">
        <is>
          <t>0</t>
        </is>
      </c>
      <c r="AX297" t="inlineStr">
        <is>
          <t>Not Qualified</t>
        </is>
      </c>
      <c r="AY297" s="4"/>
      <c r="AZ297"/>
      <c r="BA297"/>
      <c r="BB297"/>
      <c r="BC297" t="inlineStr">
        <is>
          <t>on hold 1st</t>
        </is>
      </c>
      <c r="BD297" s="4">
        <v>46141.474375</v>
      </c>
      <c r="BE297"/>
      <c r="BF297"/>
      <c r="BG297" t="inlineStr">
        <is>
          <t>Reschedule</t>
        </is>
      </c>
      <c r="BH297" t="inlineStr">
        <is>
          <t>Yee Hang</t>
        </is>
      </c>
      <c r="BI297" t="inlineStr">
        <is>
          <t>Engineering / Technical Consulting</t>
        </is>
      </c>
      <c r="BJ297" s="4">
        <v>46144.75436342593</v>
      </c>
      <c r="BK297" s="4">
        <v>46136.63180555555</v>
      </c>
      <c r="BL297" t="inlineStr">
        <is>
          <t>0.0</t>
        </is>
      </c>
      <c r="BM297" t="inlineStr">
        <is>
          <t>0.0</t>
        </is>
      </c>
      <c r="BN297" t="inlineStr">
        <is>
          <t>View Jobmanager Page</t>
        </is>
      </c>
      <c r="BO297" s="4">
        <v>46136.746157407404</v>
      </c>
      <c r="BP297">
        <v>168827</v>
      </c>
      <c r="BQ297"/>
      <c r="BR297"/>
      <c r="BS297"/>
      <c r="BT297"/>
      <c r="BU297"/>
      <c r="BV297">
        <v>2734708</v>
      </c>
      <c r="BW297" t="inlineStr">
        <is>
          <t>Follow Up : Lost - Free Portal</t>
        </is>
      </c>
      <c r="BX297"/>
      <c r="BY297"/>
      <c r="BZ297" s="4"/>
      <c r="CA297"/>
      <c r="CB297"/>
      <c r="CC297" s="4"/>
      <c r="CD297" t="inlineStr">
        <is>
          <t>20</t>
        </is>
      </c>
      <c r="CE297" t="inlineStr">
        <is>
          <t>0</t>
        </is>
      </c>
      <c r="CF297" t="inlineStr">
        <is>
          <t>Q2-W04</t>
        </is>
      </c>
      <c r="CG297"/>
      <c r="CH297"/>
      <c r="CI297"/>
      <c r="CJ297" t="inlineStr">
        <is>
          <t>No Paid</t>
        </is>
      </c>
      <c r="CK297" t="inlineStr">
        <is>
          <t>Not Eligible</t>
        </is>
      </c>
      <c r="CL297"/>
      <c r="CM297"/>
    </row>
    <row r="298" ht="25.5" customHeight="1">
      <c r="A298" t="inlineStr">
        <is>
          <t>197324</t>
        </is>
      </c>
      <c r="B298" s="2"/>
      <c r="C298"/>
      <c r="D298" s="3">
        <v>46136.66056712963</v>
      </c>
      <c r="E298" t="inlineStr">
        <is>
          <t>Q2-W04</t>
        </is>
      </c>
      <c r="F298" t="inlineStr">
        <is>
          <t>Eugene</t>
        </is>
      </c>
      <c r="G298" t="inlineStr">
        <is>
          <t>Customer</t>
        </is>
      </c>
      <c r="H298" s="2" t="str">
        <f>=HYPERLINK("https://upbox.ajobthing.my/customer/197324", "https://upbox.ajobthing.my/customer/197324")</f>
        <v>https://upbox.ajobthing.my/customer/197324</v>
      </c>
      <c r="I298" t="inlineStr">
        <is>
          <t>Big Jpresso Sdn Bhd</t>
        </is>
      </c>
      <c r="J298" t="inlineStr">
        <is>
          <t>Small Fish</t>
        </is>
      </c>
      <c r="K298" t="inlineStr">
        <is>
          <t>Eugene</t>
        </is>
      </c>
      <c r="L298" s="4"/>
      <c r="M298" s="4">
        <v>46136.6606712963</v>
      </c>
      <c r="N298"/>
      <c r="O298">
        <v>3888</v>
      </c>
      <c r="P298" s="4"/>
      <c r="Q298" s="4"/>
      <c r="R298"/>
      <c r="S298"/>
      <c r="T298" s="4"/>
      <c r="U298" s="4"/>
      <c r="V298"/>
      <c r="W298"/>
      <c r="X298"/>
      <c r="Y298" t="inlineStr">
        <is>
          <t>Pending Appointment</t>
        </is>
      </c>
      <c r="Z298" t="inlineStr">
        <is>
          <t>Hiring Later</t>
        </is>
      </c>
      <c r="AA298">
        <v>2</v>
      </c>
      <c r="AB298" t="inlineStr">
        <is>
          <t>No Appointment Made</t>
        </is>
      </c>
      <c r="AC298"/>
      <c r="AD298" t="inlineStr">
        <is>
          <t>2 positions, based in KL</t>
        </is>
      </c>
      <c r="AE298"/>
      <c r="AF298">
        <v>2000</v>
      </c>
      <c r="AG298" s="4"/>
      <c r="AH298" s="4"/>
      <c r="AI298">
        <v>2000</v>
      </c>
      <c r="AJ298">
        <v>1</v>
      </c>
      <c r="AK298" t="inlineStr">
        <is>
          <t>No, I don't need at all</t>
        </is>
      </c>
      <c r="AL298">
        <v>1</v>
      </c>
      <c r="AM298" t="inlineStr">
        <is>
          <t>No, I don't need at all</t>
        </is>
      </c>
      <c r="AN298"/>
      <c r="AO298" t="inlineStr">
        <is>
          <t>No, I don't need at all</t>
        </is>
      </c>
      <c r="AP298" t="inlineStr">
        <is>
          <t>Once a year (25%)</t>
        </is>
      </c>
      <c r="AQ298">
        <v>3</v>
      </c>
      <c r="AR298" t="inlineStr">
        <is>
          <t>Jobstreet</t>
        </is>
      </c>
      <c r="AS298" t="inlineStr">
        <is>
          <t>- Headcount: 2
- Hiring Job Details: 2 positions, based in KL
- Hiring Urgency: Hiring Later
- Number of outlets: 1
- Have recruiter team: No, I don't need at all
- Number of recruiter in company: 1
- Have ATS system: No, I don't need at all
- Have career website: No, I don't need at all
- Current hiring budget: RM2,000
- Whole year budget: RM2,000.00
- Whole year number of vacancies: 3
- Hiring frequency: Once a year (25%)
- External job portal: Jobstreet</t>
        </is>
      </c>
      <c r="AT298">
        <v>85</v>
      </c>
      <c r="AU298" t="inlineStr">
        <is>
          <t>0.85</t>
        </is>
      </c>
      <c r="AV298" t="inlineStr">
        <is>
          <t>15</t>
        </is>
      </c>
      <c r="AW298" t="inlineStr">
        <is>
          <t>0</t>
        </is>
      </c>
      <c r="AX298" t="inlineStr">
        <is>
          <t>Not Qualified</t>
        </is>
      </c>
      <c r="AY298" s="4"/>
      <c r="AZ298"/>
      <c r="BA298"/>
      <c r="BB298"/>
      <c r="BC298" t="inlineStr">
        <is>
          <t>- Headcount: 2
- Hiring Job Details: 2 positions, based in KL
- Hiring Urgency: Hiring Later
- Number of outlets: 1
- Have recruiter team: No, I don't need at all
- Number of recruiter in company: 1
- Have ATS system: No, I don't need at all
- Have career website: No, I don't need at all
- Current hiring budget: RM2,000
- Whole year budget: RM2,000.00
- Whole year number of vacancies: 3
- Hiring frequency: Once a year (25%)
- External job portal: Jobstreet</t>
        </is>
      </c>
      <c r="BD298" s="4">
        <v>46136.666712962964</v>
      </c>
      <c r="BE298"/>
      <c r="BF298"/>
      <c r="BG298" t="inlineStr">
        <is>
          <t>Reschedule</t>
        </is>
      </c>
      <c r="BH298" t="inlineStr">
        <is>
          <t>Edward Hoo</t>
        </is>
      </c>
      <c r="BI298" t="inlineStr">
        <is>
          <t>Food / Beverage</t>
        </is>
      </c>
      <c r="BJ298" s="4">
        <v>46144.75288194444</v>
      </c>
      <c r="BK298" s="4">
        <v>45947.50745370371</v>
      </c>
      <c r="BL298" t="inlineStr">
        <is>
          <t>0.0</t>
        </is>
      </c>
      <c r="BM298" t="inlineStr">
        <is>
          <t>0.0</t>
        </is>
      </c>
      <c r="BN298" t="inlineStr">
        <is>
          <t>View Company Page</t>
        </is>
      </c>
      <c r="BO298" s="4">
        <v>45952.61241898148</v>
      </c>
      <c r="BP298">
        <v>168830</v>
      </c>
      <c r="BQ298"/>
      <c r="BR298"/>
      <c r="BS298"/>
      <c r="BT298"/>
      <c r="BU298"/>
      <c r="BV298">
        <v>2726967</v>
      </c>
      <c r="BW298" t="inlineStr">
        <is>
          <t>Customer Inquiry</t>
        </is>
      </c>
      <c r="BX298"/>
      <c r="BY298"/>
      <c r="BZ298" s="4"/>
      <c r="CA298"/>
      <c r="CB298"/>
      <c r="CC298" s="4"/>
      <c r="CD298" t="inlineStr">
        <is>
          <t>20</t>
        </is>
      </c>
      <c r="CE298" t="inlineStr">
        <is>
          <t>0</t>
        </is>
      </c>
      <c r="CF298" t="inlineStr">
        <is>
          <t>Q2-W04</t>
        </is>
      </c>
      <c r="CG298"/>
      <c r="CH298"/>
      <c r="CI298"/>
      <c r="CJ298" t="inlineStr">
        <is>
          <t>No Paid</t>
        </is>
      </c>
      <c r="CK298" t="inlineStr">
        <is>
          <t>Not Eligible</t>
        </is>
      </c>
      <c r="CL298"/>
      <c r="CM298"/>
    </row>
    <row r="299" ht="25.5" customHeight="1">
      <c r="A299" t="inlineStr">
        <is>
          <t>198140</t>
        </is>
      </c>
      <c r="B299" s="2"/>
      <c r="C299"/>
      <c r="D299" s="3">
        <v>46136.66150462963</v>
      </c>
      <c r="E299" t="inlineStr">
        <is>
          <t>Q2-W04</t>
        </is>
      </c>
      <c r="F299" t="inlineStr">
        <is>
          <t>Jeff Lee</t>
        </is>
      </c>
      <c r="G299" t="inlineStr">
        <is>
          <t>Customer</t>
        </is>
      </c>
      <c r="H299" s="2" t="str">
        <f>=HYPERLINK("https://upbox.ajobthing.my/customer/198140", "https://upbox.ajobthing.my/customer/198140")</f>
        <v>https://upbox.ajobthing.my/customer/198140</v>
      </c>
      <c r="I299" t="inlineStr">
        <is>
          <t>Tin Creation Co.</t>
        </is>
      </c>
      <c r="J299" t="inlineStr">
        <is>
          <t>Small Fish</t>
        </is>
      </c>
      <c r="K299" t="inlineStr">
        <is>
          <t>Jeff Lee</t>
        </is>
      </c>
      <c r="L299" s="4"/>
      <c r="M299" s="4">
        <v>46136.64172453704</v>
      </c>
      <c r="N299"/>
      <c r="O299">
        <v>3672</v>
      </c>
      <c r="P299" s="4"/>
      <c r="Q299" s="4"/>
      <c r="R299"/>
      <c r="S299"/>
      <c r="T299" s="4"/>
      <c r="U299" s="4"/>
      <c r="V299"/>
      <c r="W299"/>
      <c r="X299"/>
      <c r="Y299" t="inlineStr">
        <is>
          <t>Pending Appointment</t>
        </is>
      </c>
      <c r="Z299" t="inlineStr">
        <is>
          <t>Hiring Later</t>
        </is>
      </c>
      <c r="AA299">
        <v>1</v>
      </c>
      <c r="AB299" t="inlineStr">
        <is>
          <t>No Appointment Made</t>
        </is>
      </c>
      <c r="AC299"/>
      <c r="AD299" t="inlineStr">
        <is>
          <t>1 developer</t>
        </is>
      </c>
      <c r="AE299"/>
      <c r="AF299">
        <v>0</v>
      </c>
      <c r="AG299" s="4"/>
      <c r="AH299" s="4"/>
      <c r="AI299">
        <v>0</v>
      </c>
      <c r="AJ299">
        <v>0</v>
      </c>
      <c r="AK299" t="inlineStr">
        <is>
          <t>No, I don't need at all</t>
        </is>
      </c>
      <c r="AL299">
        <v>0</v>
      </c>
      <c r="AM299" t="inlineStr">
        <is>
          <t>No, I don't need at all</t>
        </is>
      </c>
      <c r="AN299"/>
      <c r="AO299" t="inlineStr">
        <is>
          <t>No, I don't need at all</t>
        </is>
      </c>
      <c r="AP299" t="inlineStr">
        <is>
          <t>Once a year (25%)</t>
        </is>
      </c>
      <c r="AQ299">
        <v>1</v>
      </c>
      <c r="AR299" t="inlineStr">
        <is>
          <t>Did not use any job portal</t>
        </is>
      </c>
      <c r="AS299" t="inlineStr">
        <is>
          <t>- Headcount: 1
- Hiring Job Details: 1 developer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99">
        <v>100</v>
      </c>
      <c r="AU299" t="inlineStr">
        <is>
          <t>1.00</t>
        </is>
      </c>
      <c r="AV299" t="inlineStr">
        <is>
          <t>15</t>
        </is>
      </c>
      <c r="AW299" t="inlineStr">
        <is>
          <t>0</t>
        </is>
      </c>
      <c r="AX299" t="inlineStr">
        <is>
          <t>Not Qualified</t>
        </is>
      </c>
      <c r="AY299" s="4"/>
      <c r="AZ299"/>
      <c r="BA299"/>
      <c r="BB299"/>
      <c r="BC299" t="inlineStr">
        <is>
          <t>prepare details for me now</t>
        </is>
      </c>
      <c r="BD299" s="4">
        <v>46139.409421296295</v>
      </c>
      <c r="BE299"/>
      <c r="BF299"/>
      <c r="BG299" t="inlineStr">
        <is>
          <t>Reschedule</t>
        </is>
      </c>
      <c r="BH299" t="inlineStr">
        <is>
          <t>Yee Hang</t>
        </is>
      </c>
      <c r="BI299" t="inlineStr">
        <is>
          <t>Printing / Publishing</t>
        </is>
      </c>
      <c r="BJ299" s="4">
        <v>46144.752974537034</v>
      </c>
      <c r="BK299" s="4">
        <v>45972.815787037034</v>
      </c>
      <c r="BL299" t="inlineStr">
        <is>
          <t>0.0</t>
        </is>
      </c>
      <c r="BM299" t="inlineStr">
        <is>
          <t>0.0</t>
        </is>
      </c>
      <c r="BN299" t="inlineStr">
        <is>
          <t>View Company Page</t>
        </is>
      </c>
      <c r="BO299" s="4">
        <v>45979.94982638889</v>
      </c>
      <c r="BP299">
        <v>168822</v>
      </c>
      <c r="BQ299"/>
      <c r="BR299"/>
      <c r="BS299"/>
      <c r="BT299"/>
      <c r="BU299"/>
      <c r="BV299">
        <v>2728207</v>
      </c>
      <c r="BW299" t="inlineStr">
        <is>
          <t>Follow Up : Decision Pending</t>
        </is>
      </c>
      <c r="BX299"/>
      <c r="BY299"/>
      <c r="BZ299" s="4"/>
      <c r="CA299"/>
      <c r="CB299"/>
      <c r="CC299" s="4"/>
      <c r="CD299" t="inlineStr">
        <is>
          <t>20</t>
        </is>
      </c>
      <c r="CE299" t="inlineStr">
        <is>
          <t>0</t>
        </is>
      </c>
      <c r="CF299" t="inlineStr">
        <is>
          <t>Q2-W04</t>
        </is>
      </c>
      <c r="CG299"/>
      <c r="CH299"/>
      <c r="CI299"/>
      <c r="CJ299" t="inlineStr">
        <is>
          <t>No Paid</t>
        </is>
      </c>
      <c r="CK299" t="inlineStr">
        <is>
          <t>Not Eligible</t>
        </is>
      </c>
      <c r="CL299"/>
      <c r="CM299"/>
    </row>
    <row r="300" ht="25.5" customHeight="1">
      <c r="A300" t="inlineStr">
        <is>
          <t>4319239</t>
        </is>
      </c>
      <c r="B300" s="2"/>
      <c r="C300"/>
      <c r="D300" s="3">
        <v>46136.663819444446</v>
      </c>
      <c r="E300" t="inlineStr">
        <is>
          <t>Q2-W04</t>
        </is>
      </c>
      <c r="F300" t="inlineStr">
        <is>
          <t>Luqman</t>
        </is>
      </c>
      <c r="G300" t="inlineStr">
        <is>
          <t>Lead</t>
        </is>
      </c>
      <c r="H300" s="2" t="str">
        <f>=HYPERLINK("https://upbox.ajobthing.my/leads/4319239", "https://upbox.ajobthing.my/leads/4319239")</f>
        <v>https://upbox.ajobthing.my/leads/4319239</v>
      </c>
      <c r="I300" t="inlineStr">
        <is>
          <t>Ban Hoe Radiator Sales &amp; Service (M) Sdn Bhd</t>
        </is>
      </c>
      <c r="J300" t="inlineStr">
        <is>
          <t>Small Fish</t>
        </is>
      </c>
      <c r="K300" t="inlineStr">
        <is>
          <t>Luqman</t>
        </is>
      </c>
      <c r="L300" s="4"/>
      <c r="M300" s="4">
        <v>46136.66412037037</v>
      </c>
      <c r="N300"/>
      <c r="O300">
        <v>864</v>
      </c>
      <c r="P300" s="4"/>
      <c r="Q300" s="4"/>
      <c r="R300"/>
      <c r="S300"/>
      <c r="T300" s="4"/>
      <c r="U300" s="4"/>
      <c r="V300"/>
      <c r="W300"/>
      <c r="X300"/>
      <c r="Y300" t="inlineStr">
        <is>
          <t>Pending Appointment</t>
        </is>
      </c>
      <c r="Z300" t="inlineStr">
        <is>
          <t>Hiring Later</t>
        </is>
      </c>
      <c r="AA300">
        <v>1</v>
      </c>
      <c r="AB300" t="inlineStr">
        <is>
          <t>No Appointment Made</t>
        </is>
      </c>
      <c r="AC300"/>
      <c r="AD300" t="inlineStr">
        <is>
          <t xml:space="preserve">1. Dispatch </t>
        </is>
      </c>
      <c r="AE300"/>
      <c r="AF300">
        <v>1200</v>
      </c>
      <c r="AG300" s="4"/>
      <c r="AH300" s="4"/>
      <c r="AI300">
        <v>1200</v>
      </c>
      <c r="AJ300"/>
      <c r="AK300" t="inlineStr">
        <is>
          <t>Yes, I have</t>
        </is>
      </c>
      <c r="AL300">
        <v>2</v>
      </c>
      <c r="AM300" t="inlineStr">
        <is>
          <t>No, I don't need at all</t>
        </is>
      </c>
      <c r="AN300"/>
      <c r="AO300" t="inlineStr">
        <is>
          <t>No, I don't need at all</t>
        </is>
      </c>
      <c r="AP300" t="inlineStr">
        <is>
          <t>Once a year (25%)</t>
        </is>
      </c>
      <c r="AQ300">
        <v>1</v>
      </c>
      <c r="AR300" t="inlineStr">
        <is>
          <t>Free Job Portal</t>
        </is>
      </c>
      <c r="AS300" t="inlineStr">
        <is>
          <t>- Headcount: 1
- Hiring Job Details: 1 Dispatch
- Hiring Urgency: Hiring Later
- Number of outlets: Not provided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Free Job Portal</t>
        </is>
      </c>
      <c r="AT300">
        <v>110</v>
      </c>
      <c r="AU300" t="inlineStr">
        <is>
          <t>1.10</t>
        </is>
      </c>
      <c r="AV300" t="inlineStr">
        <is>
          <t>15</t>
        </is>
      </c>
      <c r="AW300" t="inlineStr">
        <is>
          <t>0</t>
        </is>
      </c>
      <c r="AX300" t="inlineStr">
        <is>
          <t>Not Qualified</t>
        </is>
      </c>
      <c r="AY300" s="4"/>
      <c r="AZ300"/>
      <c r="BA300"/>
      <c r="BB300"/>
      <c r="BC300"/>
      <c r="BD300" s="4"/>
      <c r="BE300"/>
      <c r="BF300"/>
      <c r="BG300" t="inlineStr">
        <is>
          <t>Reschedule</t>
        </is>
      </c>
      <c r="BH300" t="inlineStr">
        <is>
          <t>Edward Hoo</t>
        </is>
      </c>
      <c r="BI300"/>
      <c r="BJ300" s="4">
        <v>46144.755902777775</v>
      </c>
      <c r="BK300" s="4">
        <v>46136.484560185185</v>
      </c>
      <c r="BL300" t="inlineStr">
        <is>
          <t>0.0</t>
        </is>
      </c>
      <c r="BM300" t="inlineStr">
        <is>
          <t>0.0</t>
        </is>
      </c>
      <c r="BN300"/>
      <c r="BO300" s="4"/>
      <c r="BP300">
        <v>168835</v>
      </c>
      <c r="BQ300"/>
      <c r="BR300"/>
      <c r="BS300"/>
      <c r="BT300"/>
      <c r="BU300"/>
      <c r="BV300"/>
      <c r="BW300"/>
      <c r="BX300"/>
      <c r="BY300"/>
      <c r="BZ300" s="4"/>
      <c r="CA300"/>
      <c r="CB300"/>
      <c r="CC300" s="4"/>
      <c r="CD300" t="inlineStr">
        <is>
          <t>20</t>
        </is>
      </c>
      <c r="CE300" t="inlineStr">
        <is>
          <t>0</t>
        </is>
      </c>
      <c r="CF300" t="inlineStr">
        <is>
          <t>Q2-W04</t>
        </is>
      </c>
      <c r="CG300"/>
      <c r="CH300"/>
      <c r="CI300"/>
      <c r="CJ300" t="inlineStr">
        <is>
          <t>No Paid</t>
        </is>
      </c>
      <c r="CK300" t="inlineStr">
        <is>
          <t>Not Eligible</t>
        </is>
      </c>
      <c r="CL300"/>
      <c r="CM300"/>
    </row>
    <row r="301" ht="25.5" customHeight="1">
      <c r="A301" t="inlineStr">
        <is>
          <t>178674</t>
        </is>
      </c>
      <c r="B301" s="2"/>
      <c r="C301"/>
      <c r="D301" s="3">
        <v>46136.672638888886</v>
      </c>
      <c r="E301" t="inlineStr">
        <is>
          <t>Q2-W04</t>
        </is>
      </c>
      <c r="F301" t="inlineStr">
        <is>
          <t>Janice Yap</t>
        </is>
      </c>
      <c r="G301" t="inlineStr">
        <is>
          <t>Customer</t>
        </is>
      </c>
      <c r="H301" s="2" t="str">
        <f>=HYPERLINK("https://upbox.ajobthing.my/customer/178674", "https://upbox.ajobthing.my/customer/178674")</f>
        <v>https://upbox.ajobthing.my/customer/178674</v>
      </c>
      <c r="I301" t="inlineStr">
        <is>
          <t>Coffeeprint Technology Sdn Bhd</t>
        </is>
      </c>
      <c r="J301" t="inlineStr">
        <is>
          <t>Small Fish</t>
        </is>
      </c>
      <c r="K301" t="inlineStr">
        <is>
          <t>Janice</t>
        </is>
      </c>
      <c r="L301" s="4"/>
      <c r="M301" s="4">
        <v>46136.67319444445</v>
      </c>
      <c r="N301"/>
      <c r="O301">
        <v>3888</v>
      </c>
      <c r="P301" s="4"/>
      <c r="Q301" s="4">
        <v>45435.67496527778</v>
      </c>
      <c r="R301"/>
      <c r="S301">
        <v>756</v>
      </c>
      <c r="T301" s="4">
        <v>45435.67496527778</v>
      </c>
      <c r="U301" s="4"/>
      <c r="V301"/>
      <c r="W301">
        <v>756</v>
      </c>
      <c r="X301"/>
      <c r="Y301" t="inlineStr">
        <is>
          <t>Pending Appointment</t>
        </is>
      </c>
      <c r="Z301" t="inlineStr">
        <is>
          <t>Hiring Later</t>
        </is>
      </c>
      <c r="AA301">
        <v>1</v>
      </c>
      <c r="AB301" t="inlineStr">
        <is>
          <t>No Appointment Made</t>
        </is>
      </c>
      <c r="AC301"/>
      <c r="AD301" t="inlineStr">
        <is>
          <t>1 IT</t>
        </is>
      </c>
      <c r="AE301"/>
      <c r="AF301">
        <v>0</v>
      </c>
      <c r="AG301" s="4"/>
      <c r="AH301" s="4"/>
      <c r="AI301">
        <v>0</v>
      </c>
      <c r="AJ301"/>
      <c r="AK301" t="inlineStr">
        <is>
          <t>No, I don't need at all</t>
        </is>
      </c>
      <c r="AL301">
        <v>0</v>
      </c>
      <c r="AM301" t="inlineStr">
        <is>
          <t>No, I don't need at all</t>
        </is>
      </c>
      <c r="AN301"/>
      <c r="AO301" t="inlineStr">
        <is>
          <t>No, I don't need at all</t>
        </is>
      </c>
      <c r="AP301" t="inlineStr">
        <is>
          <t>Once a year (25%)</t>
        </is>
      </c>
      <c r="AQ301">
        <v>1</v>
      </c>
      <c r="AR301" t="inlineStr">
        <is>
          <t>Hiredly</t>
        </is>
      </c>
      <c r="AS301" t="inlineStr">
        <is>
          <t>- Headcount: 1
- Hiring Job Details: 1 IT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Hiredly
- Hiring Urgency: Hiring Later</t>
        </is>
      </c>
      <c r="AT301">
        <v>105</v>
      </c>
      <c r="AU301" t="inlineStr">
        <is>
          <t>1.05</t>
        </is>
      </c>
      <c r="AV301" t="inlineStr">
        <is>
          <t>15</t>
        </is>
      </c>
      <c r="AW301" t="inlineStr">
        <is>
          <t>0</t>
        </is>
      </c>
      <c r="AX301" t="inlineStr">
        <is>
          <t>Not Qualified</t>
        </is>
      </c>
      <c r="AY301" s="4"/>
      <c r="AZ301"/>
      <c r="BA301"/>
      <c r="BB301"/>
      <c r="BC301" t="inlineStr">
        <is>
          <t>Called 011 6537 2828 (May) // mentioned very busy // no time to see QN // no need to call again // if needed wil contact us // hang up</t>
        </is>
      </c>
      <c r="BD301" s="4">
        <v>46142.73144675926</v>
      </c>
      <c r="BE301" t="inlineStr">
        <is>
          <t>paid</t>
        </is>
      </c>
      <c r="BF301"/>
      <c r="BG301" t="inlineStr">
        <is>
          <t>Reschedule</t>
        </is>
      </c>
      <c r="BH301" t="inlineStr">
        <is>
          <t>Yee Hang</t>
        </is>
      </c>
      <c r="BI301" t="inlineStr">
        <is>
          <t>Retail / Merchandise</t>
        </is>
      </c>
      <c r="BJ301" s="4">
        <v>46144.751759259256</v>
      </c>
      <c r="BK301" s="4">
        <v>45433.645370370374</v>
      </c>
      <c r="BL301" t="inlineStr">
        <is>
          <t>0.0</t>
        </is>
      </c>
      <c r="BM301" t="inlineStr">
        <is>
          <t>300.0</t>
        </is>
      </c>
      <c r="BN301" t="inlineStr">
        <is>
          <t>View Company Page</t>
        </is>
      </c>
      <c r="BO301" s="4">
        <v>45587.706354166665</v>
      </c>
      <c r="BP301">
        <v>168846</v>
      </c>
      <c r="BQ301">
        <v>69420</v>
      </c>
      <c r="BR301" t="inlineStr">
        <is>
          <t>Online</t>
        </is>
      </c>
      <c r="BS301"/>
      <c r="BT301">
        <v>69420</v>
      </c>
      <c r="BU301"/>
      <c r="BV301">
        <v>2738422</v>
      </c>
      <c r="BW301" t="inlineStr">
        <is>
          <t>Follow Up : Lost - Free Portal</t>
        </is>
      </c>
      <c r="BX301"/>
      <c r="BY301"/>
      <c r="BZ301" s="4"/>
      <c r="CA301"/>
      <c r="CB301"/>
      <c r="CC301" s="4"/>
      <c r="CD301" t="inlineStr">
        <is>
          <t>20</t>
        </is>
      </c>
      <c r="CE301" t="inlineStr">
        <is>
          <t>0</t>
        </is>
      </c>
      <c r="CF301" t="inlineStr">
        <is>
          <t>Q2-W04</t>
        </is>
      </c>
      <c r="CG301"/>
      <c r="CH301"/>
      <c r="CI301"/>
      <c r="CJ301" t="inlineStr">
        <is>
          <t>Paid</t>
        </is>
      </c>
      <c r="CK301" t="inlineStr">
        <is>
          <t>Not Eligible</t>
        </is>
      </c>
      <c r="CL301"/>
      <c r="CM301"/>
    </row>
    <row r="302" ht="25.5" customHeight="1">
      <c r="A302" t="inlineStr">
        <is>
          <t>203641</t>
        </is>
      </c>
      <c r="B302" s="2"/>
      <c r="C302"/>
      <c r="D302" s="3">
        <v>46136.68736111111</v>
      </c>
      <c r="E302" t="inlineStr">
        <is>
          <t>Q2-W04</t>
        </is>
      </c>
      <c r="F302" t="inlineStr">
        <is>
          <t>Lucas</t>
        </is>
      </c>
      <c r="G302" t="inlineStr">
        <is>
          <t>Customer</t>
        </is>
      </c>
      <c r="H302" s="2" t="str">
        <f>=HYPERLINK("https://upbox.ajobthing.my/customer/203641", "https://upbox.ajobthing.my/customer/203641")</f>
        <v>https://upbox.ajobthing.my/customer/203641</v>
      </c>
      <c r="I302" t="inlineStr">
        <is>
          <t>Megagen Implant Malaysia Sdn Bhd</t>
        </is>
      </c>
      <c r="J302" t="inlineStr">
        <is>
          <t>Small Fish</t>
        </is>
      </c>
      <c r="K302" t="inlineStr">
        <is>
          <t>Lucas</t>
        </is>
      </c>
      <c r="L302" s="4"/>
      <c r="M302" s="4">
        <v>46136.677939814814</v>
      </c>
      <c r="N302"/>
      <c r="O302">
        <v>3888</v>
      </c>
      <c r="P302" s="4"/>
      <c r="Q302" s="4"/>
      <c r="R302"/>
      <c r="S302"/>
      <c r="T302" s="4"/>
      <c r="U302" s="4"/>
      <c r="V302"/>
      <c r="W302"/>
      <c r="X302"/>
      <c r="Y302" t="inlineStr">
        <is>
          <t>Pending Appointment</t>
        </is>
      </c>
      <c r="Z302" t="inlineStr">
        <is>
          <t>Hiring Now</t>
        </is>
      </c>
      <c r="AA302">
        <v>1</v>
      </c>
      <c r="AB302" t="inlineStr">
        <is>
          <t>No Appointment Made</t>
        </is>
      </c>
      <c r="AC302"/>
      <c r="AD302" t="inlineStr">
        <is>
          <t xml:space="preserve">1 sale </t>
        </is>
      </c>
      <c r="AE302"/>
      <c r="AF302">
        <v>0</v>
      </c>
      <c r="AG302" s="4"/>
      <c r="AH302" s="4"/>
      <c r="AI302">
        <v>0</v>
      </c>
      <c r="AJ302">
        <v>0</v>
      </c>
      <c r="AK302" t="inlineStr">
        <is>
          <t>No, I don't need at all</t>
        </is>
      </c>
      <c r="AL302">
        <v>0</v>
      </c>
      <c r="AM302" t="inlineStr">
        <is>
          <t>No, I don't need at all</t>
        </is>
      </c>
      <c r="AN302"/>
      <c r="AO302" t="inlineStr">
        <is>
          <t>No, I don't need at all</t>
        </is>
      </c>
      <c r="AP302" t="inlineStr">
        <is>
          <t>Once a year (25%)</t>
        </is>
      </c>
      <c r="AQ302">
        <v>1</v>
      </c>
      <c r="AR302" t="inlineStr">
        <is>
          <t>Did not use any job portal</t>
        </is>
      </c>
      <c r="AS302" t="inlineStr">
        <is>
          <t>- Headcount: 1
- Hiring Job Details: 1 sale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302">
        <v>90</v>
      </c>
      <c r="AU302" t="inlineStr">
        <is>
          <t>0.90</t>
        </is>
      </c>
      <c r="AV302" t="inlineStr">
        <is>
          <t>15</t>
        </is>
      </c>
      <c r="AW302" t="inlineStr">
        <is>
          <t>0</t>
        </is>
      </c>
      <c r="AX302" t="inlineStr">
        <is>
          <t>Not Qualified</t>
        </is>
      </c>
      <c r="AY302" s="4"/>
      <c r="AZ302"/>
      <c r="BA302"/>
      <c r="BB302"/>
      <c r="BC302" t="inlineStr">
        <is>
          <t>pending , not yet review</t>
        </is>
      </c>
      <c r="BD302" s="4">
        <v>46141.467569444445</v>
      </c>
      <c r="BE302"/>
      <c r="BF302"/>
      <c r="BG302" t="inlineStr">
        <is>
          <t>Reschedule</t>
        </is>
      </c>
      <c r="BH302" t="inlineStr">
        <is>
          <t>Yee Hang</t>
        </is>
      </c>
      <c r="BI302"/>
      <c r="BJ302" s="4">
        <v>46144.75436342593</v>
      </c>
      <c r="BK302" s="4">
        <v>46136.66365740741</v>
      </c>
      <c r="BL302" t="inlineStr">
        <is>
          <t>0.0</t>
        </is>
      </c>
      <c r="BM302" t="inlineStr">
        <is>
          <t>0.0</t>
        </is>
      </c>
      <c r="BN302" t="inlineStr">
        <is>
          <t>View Company Page</t>
        </is>
      </c>
      <c r="BO302" s="4">
        <v>46136.6719212963</v>
      </c>
      <c r="BP302">
        <v>168855</v>
      </c>
      <c r="BQ302"/>
      <c r="BR302"/>
      <c r="BS302"/>
      <c r="BT302"/>
      <c r="BU302"/>
      <c r="BV302">
        <v>2734671</v>
      </c>
      <c r="BW302" t="inlineStr">
        <is>
          <t>Follow Up : Decision Pending</t>
        </is>
      </c>
      <c r="BX302"/>
      <c r="BY302"/>
      <c r="BZ302" s="4"/>
      <c r="CA302"/>
      <c r="CB302"/>
      <c r="CC302" s="4"/>
      <c r="CD302" t="inlineStr">
        <is>
          <t>20</t>
        </is>
      </c>
      <c r="CE302" t="inlineStr">
        <is>
          <t>0</t>
        </is>
      </c>
      <c r="CF302" t="inlineStr">
        <is>
          <t>Q2-W04</t>
        </is>
      </c>
      <c r="CG302"/>
      <c r="CH302"/>
      <c r="CI302"/>
      <c r="CJ302" t="inlineStr">
        <is>
          <t>No Paid</t>
        </is>
      </c>
      <c r="CK302" t="inlineStr">
        <is>
          <t>Not Eligible</t>
        </is>
      </c>
      <c r="CL302"/>
      <c r="CM302"/>
    </row>
    <row r="303" ht="25.5" customHeight="1">
      <c r="A303" t="inlineStr">
        <is>
          <t>4316247</t>
        </is>
      </c>
      <c r="B303" s="2"/>
      <c r="C303"/>
      <c r="D303" s="3">
        <v>46136.68788194445</v>
      </c>
      <c r="E303" t="inlineStr">
        <is>
          <t>Q2-W04</t>
        </is>
      </c>
      <c r="F303" t="inlineStr">
        <is>
          <t>Ken Yi</t>
        </is>
      </c>
      <c r="G303" t="inlineStr">
        <is>
          <t>Lead</t>
        </is>
      </c>
      <c r="H303" s="2" t="str">
        <f>=HYPERLINK("https://upbox.ajobthing.my/leads/4316247", "https://upbox.ajobthing.my/leads/4316247")</f>
        <v>https://upbox.ajobthing.my/leads/4316247</v>
      </c>
      <c r="I303" t="inlineStr">
        <is>
          <t>GoodKids Sdn Bhd</t>
        </is>
      </c>
      <c r="J303" t="inlineStr">
        <is>
          <t>Small Fish</t>
        </is>
      </c>
      <c r="K303" t="inlineStr">
        <is>
          <t>Kenyi</t>
        </is>
      </c>
      <c r="L303" s="4"/>
      <c r="M303" s="4">
        <v>46136.68708333333</v>
      </c>
      <c r="N303"/>
      <c r="O303">
        <v>5832</v>
      </c>
      <c r="P303" s="4"/>
      <c r="Q303" s="4"/>
      <c r="R303"/>
      <c r="S303"/>
      <c r="T303" s="4"/>
      <c r="U303" s="4"/>
      <c r="V303"/>
      <c r="W303"/>
      <c r="X303"/>
      <c r="Y303" t="inlineStr">
        <is>
          <t>Pending Appointment</t>
        </is>
      </c>
      <c r="Z303" t="inlineStr">
        <is>
          <t>Hiring Now</t>
        </is>
      </c>
      <c r="AA303">
        <v>1</v>
      </c>
      <c r="AB303" t="inlineStr">
        <is>
          <t>No Appointment Made</t>
        </is>
      </c>
      <c r="AC303"/>
      <c r="AD303" t="inlineStr">
        <is>
          <t xml:space="preserve">Hiring for teacher </t>
        </is>
      </c>
      <c r="AE303"/>
      <c r="AF303">
        <v>0</v>
      </c>
      <c r="AG303" s="4"/>
      <c r="AH303" s="4"/>
      <c r="AI303">
        <v>0</v>
      </c>
      <c r="AJ303">
        <v>1</v>
      </c>
      <c r="AK303" t="inlineStr">
        <is>
          <t>Yes, I have</t>
        </is>
      </c>
      <c r="AL303">
        <v>1</v>
      </c>
      <c r="AM303" t="inlineStr">
        <is>
          <t>No, I don't need at all</t>
        </is>
      </c>
      <c r="AN303"/>
      <c r="AO303" t="inlineStr">
        <is>
          <t>No, I don't need at all</t>
        </is>
      </c>
      <c r="AP303" t="inlineStr">
        <is>
          <t>Every month (100%)</t>
        </is>
      </c>
      <c r="AQ303">
        <v>2</v>
      </c>
      <c r="AR303" t="inlineStr">
        <is>
          <t>Jobstreet, Hiredly</t>
        </is>
      </c>
      <c r="AS303" t="inlineStr">
        <is>
          <t>- Headcount: 1
- Hiring Job Details: 1 teacher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Every month (100%)
- External job portal: Jobstreet, Hiredly</t>
        </is>
      </c>
      <c r="AT303">
        <v>110</v>
      </c>
      <c r="AU303" t="inlineStr">
        <is>
          <t>1.10</t>
        </is>
      </c>
      <c r="AV303" t="inlineStr">
        <is>
          <t>15</t>
        </is>
      </c>
      <c r="AW303" t="inlineStr">
        <is>
          <t>0</t>
        </is>
      </c>
      <c r="AX303" t="inlineStr">
        <is>
          <t>Not Qualified</t>
        </is>
      </c>
      <c r="AY303" s="4"/>
      <c r="AZ303"/>
      <c r="BA303"/>
      <c r="BB303"/>
      <c r="BC303"/>
      <c r="BD303" s="4"/>
      <c r="BE303"/>
      <c r="BF303"/>
      <c r="BG303" t="inlineStr">
        <is>
          <t>Reschedule</t>
        </is>
      </c>
      <c r="BH303" t="inlineStr">
        <is>
          <t>Fauziah Maharan</t>
        </is>
      </c>
      <c r="BI303"/>
      <c r="BJ303" s="4">
        <v>46144.755902777775</v>
      </c>
      <c r="BK303" s="4">
        <v>46135.962002314816</v>
      </c>
      <c r="BL303" t="inlineStr">
        <is>
          <t>0.0</t>
        </is>
      </c>
      <c r="BM303" t="inlineStr">
        <is>
          <t>0.0</t>
        </is>
      </c>
      <c r="BN303"/>
      <c r="BO303" s="4"/>
      <c r="BP303">
        <v>168861</v>
      </c>
      <c r="BQ303"/>
      <c r="BR303"/>
      <c r="BS303"/>
      <c r="BT303"/>
      <c r="BU303"/>
      <c r="BV303"/>
      <c r="BW303"/>
      <c r="BX303"/>
      <c r="BY303"/>
      <c r="BZ303" s="4"/>
      <c r="CA303"/>
      <c r="CB303"/>
      <c r="CC303" s="4"/>
      <c r="CD303" t="inlineStr">
        <is>
          <t>20</t>
        </is>
      </c>
      <c r="CE303" t="inlineStr">
        <is>
          <t>0</t>
        </is>
      </c>
      <c r="CF303" t="inlineStr">
        <is>
          <t>Q2-W04</t>
        </is>
      </c>
      <c r="CG303"/>
      <c r="CH303"/>
      <c r="CI303"/>
      <c r="CJ303" t="inlineStr">
        <is>
          <t>No Paid</t>
        </is>
      </c>
      <c r="CK303" t="inlineStr">
        <is>
          <t>Not Eligible</t>
        </is>
      </c>
      <c r="CL303"/>
      <c r="CM303"/>
    </row>
    <row r="304" ht="25.5" customHeight="1">
      <c r="A304" t="inlineStr">
        <is>
          <t>201739</t>
        </is>
      </c>
      <c r="B304" s="2"/>
      <c r="C304"/>
      <c r="D304" s="3">
        <v>46136.688310185185</v>
      </c>
      <c r="E304" t="inlineStr">
        <is>
          <t>Q2-W04</t>
        </is>
      </c>
      <c r="F304" t="inlineStr">
        <is>
          <t>Eugene</t>
        </is>
      </c>
      <c r="G304" t="inlineStr">
        <is>
          <t>Customer</t>
        </is>
      </c>
      <c r="H304" s="2" t="str">
        <f>=HYPERLINK("https://upbox.ajobthing.my/customer/201739", "https://upbox.ajobthing.my/customer/201739")</f>
        <v>https://upbox.ajobthing.my/customer/201739</v>
      </c>
      <c r="I304" t="inlineStr">
        <is>
          <t xml:space="preserve">Faya Legacy Sdn Bhd </t>
        </is>
      </c>
      <c r="J304" t="inlineStr">
        <is>
          <t>Small Fish</t>
        </is>
      </c>
      <c r="K304" t="inlineStr">
        <is>
          <t>Eugene</t>
        </is>
      </c>
      <c r="L304" s="4"/>
      <c r="M304" s="4">
        <v>46136.68848379629</v>
      </c>
      <c r="N304"/>
      <c r="O304">
        <v>1296</v>
      </c>
      <c r="P304" s="4"/>
      <c r="Q304" s="4"/>
      <c r="R304"/>
      <c r="S304"/>
      <c r="T304" s="4"/>
      <c r="U304" s="4"/>
      <c r="V304"/>
      <c r="W304"/>
      <c r="X304"/>
      <c r="Y304" t="inlineStr">
        <is>
          <t>Pending Appointment</t>
        </is>
      </c>
      <c r="Z304" t="inlineStr">
        <is>
          <t>Hiring Now</t>
        </is>
      </c>
      <c r="AA304">
        <v>1</v>
      </c>
      <c r="AB304" t="inlineStr">
        <is>
          <t>No Appointment Made</t>
        </is>
      </c>
      <c r="AC304"/>
      <c r="AD304" t="inlineStr">
        <is>
          <t>1 position, based in KL</t>
        </is>
      </c>
      <c r="AE304"/>
      <c r="AF304">
        <v>1200</v>
      </c>
      <c r="AG304" s="4"/>
      <c r="AH304" s="4"/>
      <c r="AI304"/>
      <c r="AJ304">
        <v>1</v>
      </c>
      <c r="AK304" t="inlineStr">
        <is>
          <t>No, I don't need at all</t>
        </is>
      </c>
      <c r="AL304">
        <v>1</v>
      </c>
      <c r="AM304" t="inlineStr">
        <is>
          <t>No, I don't need at all</t>
        </is>
      </c>
      <c r="AN304"/>
      <c r="AO304"/>
      <c r="AP304" t="inlineStr">
        <is>
          <t>Twice a year (50%)</t>
        </is>
      </c>
      <c r="AQ304"/>
      <c r="AR304"/>
      <c r="AS304" t="inlineStr">
        <is>
          <t>- Headcount: 1
- Hiring Job Details: 1 position, based in KL
- Hiring Urgency: Hiring Now
- Number of outlets: 1
- Have recruiter team: No, I don't need at all
- Number of recruiter in company: 1
- Have ATS system: No, I don't need at all
- Have career website: Not provided
- Current hiring budget: RM1,200.00
- Whole year budget: Not provided
- Whole year number of vacancies: Not provided
- Hiring frequency: Twice a year (50%)
- External job portal: Not provided</t>
        </is>
      </c>
      <c r="AT304">
        <v>65</v>
      </c>
      <c r="AU304" t="inlineStr">
        <is>
          <t>0.65</t>
        </is>
      </c>
      <c r="AV304" t="inlineStr">
        <is>
          <t>15</t>
        </is>
      </c>
      <c r="AW304" t="inlineStr">
        <is>
          <t>0</t>
        </is>
      </c>
      <c r="AX304" t="inlineStr">
        <is>
          <t>Not Qualified</t>
        </is>
      </c>
      <c r="AY304" s="4"/>
      <c r="AZ304"/>
      <c r="BA304"/>
      <c r="BB304"/>
      <c r="BC304" t="inlineStr">
        <is>
          <t>naws</t>
        </is>
      </c>
      <c r="BD304" s="4">
        <v>46139.49333333333</v>
      </c>
      <c r="BE304"/>
      <c r="BF304"/>
      <c r="BG304" t="inlineStr">
        <is>
          <t>Reschedule</t>
        </is>
      </c>
      <c r="BH304" t="inlineStr">
        <is>
          <t>Edward Hoo</t>
        </is>
      </c>
      <c r="BI304" t="inlineStr">
        <is>
          <t>Food / Beverage</t>
        </is>
      </c>
      <c r="BJ304" s="4">
        <v>46144.753854166665</v>
      </c>
      <c r="BK304" s="4">
        <v>46086.5480787037</v>
      </c>
      <c r="BL304" t="inlineStr">
        <is>
          <t>0.0</t>
        </is>
      </c>
      <c r="BM304" t="inlineStr">
        <is>
          <t>0.0</t>
        </is>
      </c>
      <c r="BN304" t="inlineStr">
        <is>
          <t>View Company Page</t>
        </is>
      </c>
      <c r="BO304" s="4">
        <v>46136.73972222222</v>
      </c>
      <c r="BP304">
        <v>168862</v>
      </c>
      <c r="BQ304"/>
      <c r="BR304"/>
      <c r="BS304"/>
      <c r="BT304"/>
      <c r="BU304"/>
      <c r="BV304">
        <v>2728733</v>
      </c>
      <c r="BW304" t="inlineStr">
        <is>
          <t>No Answer : Voicemail - WA sent to customer</t>
        </is>
      </c>
      <c r="BX304"/>
      <c r="BY304"/>
      <c r="BZ304" s="4"/>
      <c r="CA304"/>
      <c r="CB304"/>
      <c r="CC304" s="4"/>
      <c r="CD304" t="inlineStr">
        <is>
          <t>20</t>
        </is>
      </c>
      <c r="CE304" t="inlineStr">
        <is>
          <t>0</t>
        </is>
      </c>
      <c r="CF304" t="inlineStr">
        <is>
          <t>Q2-W04</t>
        </is>
      </c>
      <c r="CG304"/>
      <c r="CH304"/>
      <c r="CI304"/>
      <c r="CJ304" t="inlineStr">
        <is>
          <t>No Paid</t>
        </is>
      </c>
      <c r="CK304" t="inlineStr">
        <is>
          <t>Not Eligible</t>
        </is>
      </c>
      <c r="CL304"/>
      <c r="CM304"/>
    </row>
    <row r="305" ht="25.5" customHeight="1">
      <c r="A305" t="inlineStr">
        <is>
          <t>200009</t>
        </is>
      </c>
      <c r="B305" s="2"/>
      <c r="C305"/>
      <c r="D305" s="3">
        <v>46136.696805555555</v>
      </c>
      <c r="E305" t="inlineStr">
        <is>
          <t>Q2-W04</t>
        </is>
      </c>
      <c r="F305" t="inlineStr">
        <is>
          <t>Chia Yee</t>
        </is>
      </c>
      <c r="G305" t="inlineStr">
        <is>
          <t>Customer</t>
        </is>
      </c>
      <c r="H305" s="2" t="str">
        <f>=HYPERLINK("https://upbox.ajobthing.my/customer/200009", "https://upbox.ajobthing.my/customer/200009")</f>
        <v>https://upbox.ajobthing.my/customer/200009</v>
      </c>
      <c r="I305" t="inlineStr">
        <is>
          <t>PRO2 GARAGE</t>
        </is>
      </c>
      <c r="J305" t="inlineStr">
        <is>
          <t>Small Fish</t>
        </is>
      </c>
      <c r="K305" t="inlineStr">
        <is>
          <t>Chia Yee</t>
        </is>
      </c>
      <c r="L305" s="4"/>
      <c r="M305" s="4">
        <v>46136.69693287037</v>
      </c>
      <c r="N305"/>
      <c r="O305">
        <v>6048</v>
      </c>
      <c r="P305" s="4"/>
      <c r="Q305" s="4"/>
      <c r="R305"/>
      <c r="S305"/>
      <c r="T305" s="4"/>
      <c r="U305" s="4"/>
      <c r="V305"/>
      <c r="W305"/>
      <c r="X305"/>
      <c r="Y305" t="inlineStr">
        <is>
          <t>Pending Appointment</t>
        </is>
      </c>
      <c r="Z305" t="inlineStr">
        <is>
          <t>Hiring Later</t>
        </is>
      </c>
      <c r="AA305">
        <v>2</v>
      </c>
      <c r="AB305" t="inlineStr">
        <is>
          <t>No Appointment Made</t>
        </is>
      </c>
      <c r="AC305"/>
      <c r="AD305" t="inlineStr">
        <is>
          <t>1 Admin, 1 draftman</t>
        </is>
      </c>
      <c r="AE305"/>
      <c r="AF305">
        <v>0</v>
      </c>
      <c r="AG305" s="4"/>
      <c r="AH305" s="4"/>
      <c r="AI305">
        <v>0</v>
      </c>
      <c r="AJ305">
        <v>1</v>
      </c>
      <c r="AK305" t="inlineStr">
        <is>
          <t>No, I don't need at all</t>
        </is>
      </c>
      <c r="AL305">
        <v>1</v>
      </c>
      <c r="AM305" t="inlineStr">
        <is>
          <t>No, I don't need at all</t>
        </is>
      </c>
      <c r="AN305"/>
      <c r="AO305" t="inlineStr">
        <is>
          <t>No, I don't need at all</t>
        </is>
      </c>
      <c r="AP305" t="inlineStr">
        <is>
          <t>Once a year (25%)</t>
        </is>
      </c>
      <c r="AQ305">
        <v>2</v>
      </c>
      <c r="AR305" t="inlineStr">
        <is>
          <t>Did not use any job portal</t>
        </is>
      </c>
      <c r="AS305" t="inlineStr">
        <is>
          <t>- Headcount: 2
- Hiring Job Details: 1 Admin, 1 draftman
- Hiring Urgency: Hiring Later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305">
        <v>115</v>
      </c>
      <c r="AU305" t="inlineStr">
        <is>
          <t>1.15</t>
        </is>
      </c>
      <c r="AV305" t="inlineStr">
        <is>
          <t>15</t>
        </is>
      </c>
      <c r="AW305" t="inlineStr">
        <is>
          <t>0</t>
        </is>
      </c>
      <c r="AX305" t="inlineStr">
        <is>
          <t>Not Qualified</t>
        </is>
      </c>
      <c r="AY305" s="4"/>
      <c r="AZ305"/>
      <c r="BA305"/>
      <c r="BB305"/>
      <c r="BC305" t="inlineStr">
        <is>
          <t>WA</t>
        </is>
      </c>
      <c r="BD305" s="4">
        <v>46139.53089120371</v>
      </c>
      <c r="BE305"/>
      <c r="BF305"/>
      <c r="BG305" t="inlineStr">
        <is>
          <t>Reschedule</t>
        </is>
      </c>
      <c r="BH305" t="inlineStr">
        <is>
          <t>Reagen</t>
        </is>
      </c>
      <c r="BI305"/>
      <c r="BJ305" s="4">
        <v>46144.75344907407</v>
      </c>
      <c r="BK305" s="4">
        <v>46028.61856481482</v>
      </c>
      <c r="BL305" t="inlineStr">
        <is>
          <t>0.0</t>
        </is>
      </c>
      <c r="BM305" t="inlineStr">
        <is>
          <t>0.0</t>
        </is>
      </c>
      <c r="BN305" t="inlineStr">
        <is>
          <t>View Company Page</t>
        </is>
      </c>
      <c r="BO305" s="4">
        <v>46028.630636574075</v>
      </c>
      <c r="BP305">
        <v>168869</v>
      </c>
      <c r="BQ305"/>
      <c r="BR305"/>
      <c r="BS305"/>
      <c r="BT305"/>
      <c r="BU305"/>
      <c r="BV305">
        <v>2729104</v>
      </c>
      <c r="BW305" t="inlineStr">
        <is>
          <t>No Answer : Voicemail - WA sent to customer</t>
        </is>
      </c>
      <c r="BX305"/>
      <c r="BY305"/>
      <c r="BZ305" s="4"/>
      <c r="CA305"/>
      <c r="CB305"/>
      <c r="CC305" s="4"/>
      <c r="CD305" t="inlineStr">
        <is>
          <t>20</t>
        </is>
      </c>
      <c r="CE305" t="inlineStr">
        <is>
          <t>0</t>
        </is>
      </c>
      <c r="CF305" t="inlineStr">
        <is>
          <t>Q2-W04</t>
        </is>
      </c>
      <c r="CG305"/>
      <c r="CH305"/>
      <c r="CI305"/>
      <c r="CJ305" t="inlineStr">
        <is>
          <t>No Paid</t>
        </is>
      </c>
      <c r="CK305" t="inlineStr">
        <is>
          <t>Not Eligible</t>
        </is>
      </c>
      <c r="CL305"/>
      <c r="CM305"/>
    </row>
    <row r="306" ht="25.5" customHeight="1">
      <c r="A306" t="inlineStr">
        <is>
          <t>4320106</t>
        </is>
      </c>
      <c r="B306" s="2"/>
      <c r="C306"/>
      <c r="D306" s="3">
        <v>46136.701469907406</v>
      </c>
      <c r="E306" t="inlineStr">
        <is>
          <t>Q2-W04</t>
        </is>
      </c>
      <c r="F306" t="inlineStr">
        <is>
          <t>Evan</t>
        </is>
      </c>
      <c r="G306" t="inlineStr">
        <is>
          <t>Lead</t>
        </is>
      </c>
      <c r="H306" s="2" t="str">
        <f>=HYPERLINK("https://upbox.ajobthing.my/leads/4320106", "https://upbox.ajobthing.my/leads/4320106")</f>
        <v>https://upbox.ajobthing.my/leads/4320106</v>
      </c>
      <c r="I306" t="inlineStr">
        <is>
          <t>MR LIM</t>
        </is>
      </c>
      <c r="J306" t="inlineStr">
        <is>
          <t>Small Fish</t>
        </is>
      </c>
      <c r="K306" t="inlineStr">
        <is>
          <t>Evan</t>
        </is>
      </c>
      <c r="L306" s="4"/>
      <c r="M306" s="4">
        <v>46136.69188657407</v>
      </c>
      <c r="N306"/>
      <c r="O306">
        <v>3888</v>
      </c>
      <c r="P306" s="4"/>
      <c r="Q306" s="4"/>
      <c r="R306"/>
      <c r="S306"/>
      <c r="T306" s="4"/>
      <c r="U306" s="4"/>
      <c r="V306"/>
      <c r="W306"/>
      <c r="X306"/>
      <c r="Y306" t="inlineStr">
        <is>
          <t>Pending Appointment</t>
        </is>
      </c>
      <c r="Z306" t="inlineStr">
        <is>
          <t>Hiring Now</t>
        </is>
      </c>
      <c r="AA306">
        <v>1</v>
      </c>
      <c r="AB306" t="inlineStr">
        <is>
          <t>No Appointment Made</t>
        </is>
      </c>
      <c r="AC306"/>
      <c r="AD306" t="inlineStr">
        <is>
          <t>1 cashier, all base in KL</t>
        </is>
      </c>
      <c r="AE306"/>
      <c r="AF306">
        <v>1</v>
      </c>
      <c r="AG306" s="4"/>
      <c r="AH306" s="4"/>
      <c r="AI306">
        <v>1</v>
      </c>
      <c r="AJ306">
        <v>1</v>
      </c>
      <c r="AK306" t="inlineStr">
        <is>
          <t>No, I don't need at all</t>
        </is>
      </c>
      <c r="AL306">
        <v>0</v>
      </c>
      <c r="AM306" t="inlineStr">
        <is>
          <t>No, I don't need at all</t>
        </is>
      </c>
      <c r="AN306"/>
      <c r="AO306" t="inlineStr">
        <is>
          <t>No, I don't need at all</t>
        </is>
      </c>
      <c r="AP306" t="inlineStr">
        <is>
          <t>Once a year (25%)</t>
        </is>
      </c>
      <c r="AQ306">
        <v>1</v>
      </c>
      <c r="AR306" t="inlineStr">
        <is>
          <t>Did not use any job portal</t>
        </is>
      </c>
      <c r="AS306" t="inlineStr">
        <is>
          <t>- Headcount: 1
- Hiring Job Details: 1 cashier,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306">
        <v>115</v>
      </c>
      <c r="AU306" t="inlineStr">
        <is>
          <t>1.15</t>
        </is>
      </c>
      <c r="AV306" t="inlineStr">
        <is>
          <t>15</t>
        </is>
      </c>
      <c r="AW306" t="inlineStr">
        <is>
          <t>0</t>
        </is>
      </c>
      <c r="AX306" t="inlineStr">
        <is>
          <t>Not Qualified</t>
        </is>
      </c>
      <c r="AY306" s="4"/>
      <c r="AZ306"/>
      <c r="BA306"/>
      <c r="BB306"/>
      <c r="BC306"/>
      <c r="BD306" s="4"/>
      <c r="BE306"/>
      <c r="BF306"/>
      <c r="BG306" t="inlineStr">
        <is>
          <t>Reschedule</t>
        </is>
      </c>
      <c r="BH306" t="inlineStr">
        <is>
          <t>Edward Hoo</t>
        </is>
      </c>
      <c r="BI306"/>
      <c r="BJ306" s="4">
        <v>46144.75592592593</v>
      </c>
      <c r="BK306" s="4">
        <v>46136.659166666665</v>
      </c>
      <c r="BL306" t="inlineStr">
        <is>
          <t>4872.0</t>
        </is>
      </c>
      <c r="BM306" t="inlineStr">
        <is>
          <t>0.0</t>
        </is>
      </c>
      <c r="BN306"/>
      <c r="BO306" s="4"/>
      <c r="BP306">
        <v>168864</v>
      </c>
      <c r="BQ306"/>
      <c r="BR306"/>
      <c r="BS306"/>
      <c r="BT306"/>
      <c r="BU306"/>
      <c r="BV306"/>
      <c r="BW306"/>
      <c r="BX306"/>
      <c r="BY306"/>
      <c r="BZ306" s="4"/>
      <c r="CA306"/>
      <c r="CB306"/>
      <c r="CC306" s="4"/>
      <c r="CD306" t="inlineStr">
        <is>
          <t>20</t>
        </is>
      </c>
      <c r="CE306" t="inlineStr">
        <is>
          <t>0</t>
        </is>
      </c>
      <c r="CF306" t="inlineStr">
        <is>
          <t>Q2-W04</t>
        </is>
      </c>
      <c r="CG306"/>
      <c r="CH306"/>
      <c r="CI306"/>
      <c r="CJ306" t="inlineStr">
        <is>
          <t>No Paid</t>
        </is>
      </c>
      <c r="CK306" t="inlineStr">
        <is>
          <t>Not Eligible</t>
        </is>
      </c>
      <c r="CL306"/>
      <c r="CM306"/>
    </row>
    <row r="307" ht="25.5" customHeight="1">
      <c r="A307" t="inlineStr">
        <is>
          <t>173498</t>
        </is>
      </c>
      <c r="B307" s="2"/>
      <c r="C307"/>
      <c r="D307" s="3">
        <v>46136.71107638889</v>
      </c>
      <c r="E307" t="inlineStr">
        <is>
          <t>Q2-W04</t>
        </is>
      </c>
      <c r="F307" t="inlineStr">
        <is>
          <t>Janice Yap</t>
        </is>
      </c>
      <c r="G307" t="inlineStr">
        <is>
          <t>Customer</t>
        </is>
      </c>
      <c r="H307" s="2" t="str">
        <f>=HYPERLINK("https://upbox.ajobthing.my/customer/173498", "https://upbox.ajobthing.my/customer/173498")</f>
        <v>https://upbox.ajobthing.my/customer/173498</v>
      </c>
      <c r="I307" t="inlineStr">
        <is>
          <t>NFG Advisory Sdn Bhd</t>
        </is>
      </c>
      <c r="J307" t="inlineStr">
        <is>
          <t>Small Fish</t>
        </is>
      </c>
      <c r="K307" t="inlineStr">
        <is>
          <t>Janice</t>
        </is>
      </c>
      <c r="L307" s="4"/>
      <c r="M307" s="4">
        <v>46136.7065625</v>
      </c>
      <c r="N307"/>
      <c r="O307">
        <v>3888</v>
      </c>
      <c r="P307" s="4"/>
      <c r="Q307" s="4">
        <v>45349.47929398148</v>
      </c>
      <c r="R307"/>
      <c r="S307">
        <v>954</v>
      </c>
      <c r="T307" s="4">
        <v>45349.47929398148</v>
      </c>
      <c r="U307" s="4"/>
      <c r="V307"/>
      <c r="W307">
        <v>954</v>
      </c>
      <c r="X307"/>
      <c r="Y307" t="inlineStr">
        <is>
          <t>Pending Appointment</t>
        </is>
      </c>
      <c r="Z307" t="inlineStr">
        <is>
          <t>Hiring Now</t>
        </is>
      </c>
      <c r="AA307">
        <v>1</v>
      </c>
      <c r="AB307" t="inlineStr">
        <is>
          <t>No Appointment Made</t>
        </is>
      </c>
      <c r="AC307"/>
      <c r="AD307" t="inlineStr">
        <is>
          <t>few property agents</t>
        </is>
      </c>
      <c r="AE307"/>
      <c r="AF307">
        <v>0</v>
      </c>
      <c r="AG307" s="4"/>
      <c r="AH307" s="4"/>
      <c r="AI307">
        <v>0</v>
      </c>
      <c r="AJ307"/>
      <c r="AK307" t="inlineStr">
        <is>
          <t>No, I don't need at all</t>
        </is>
      </c>
      <c r="AL307">
        <v>0</v>
      </c>
      <c r="AM307" t="inlineStr">
        <is>
          <t>No, I don't need at all</t>
        </is>
      </c>
      <c r="AN307"/>
      <c r="AO307" t="inlineStr">
        <is>
          <t>No, I don't need at all</t>
        </is>
      </c>
      <c r="AP307" t="inlineStr">
        <is>
          <t>Once a year (25%)</t>
        </is>
      </c>
      <c r="AQ307">
        <v>1</v>
      </c>
      <c r="AR307"/>
      <c r="AS307" t="inlineStr">
        <is>
          <t>- Headcount: 1
- Hiring Job Details: few property agents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is>
      </c>
      <c r="AT307">
        <v>90</v>
      </c>
      <c r="AU307" t="inlineStr">
        <is>
          <t>0.90</t>
        </is>
      </c>
      <c r="AV307" t="inlineStr">
        <is>
          <t>15</t>
        </is>
      </c>
      <c r="AW307" t="inlineStr">
        <is>
          <t>0</t>
        </is>
      </c>
      <c r="AX307" t="inlineStr">
        <is>
          <t>Not Qualified</t>
        </is>
      </c>
      <c r="AY307" s="4"/>
      <c r="AZ307"/>
      <c r="BA307"/>
      <c r="BB307"/>
      <c r="BC307" t="inlineStr">
        <is>
          <t>No answer // voicemail</t>
        </is>
      </c>
      <c r="BD307" s="4">
        <v>46140.597280092596</v>
      </c>
      <c r="BE307" t="inlineStr">
        <is>
          <t>paid</t>
        </is>
      </c>
      <c r="BF307"/>
      <c r="BG307" t="inlineStr">
        <is>
          <t>Reschedule</t>
        </is>
      </c>
      <c r="BH307" t="inlineStr">
        <is>
          <t>Yee Hang</t>
        </is>
      </c>
      <c r="BI307" t="inlineStr">
        <is>
          <t>Banking / Finance</t>
        </is>
      </c>
      <c r="BJ307" s="4">
        <v>46144.75152777778</v>
      </c>
      <c r="BK307" s="4">
        <v>45264.92240740741</v>
      </c>
      <c r="BL307" t="inlineStr">
        <is>
          <t>0.0</t>
        </is>
      </c>
      <c r="BM307" t="inlineStr">
        <is>
          <t>0.0</t>
        </is>
      </c>
      <c r="BN307" t="inlineStr">
        <is>
          <t>View Candidate Search Page</t>
        </is>
      </c>
      <c r="BO307" s="4">
        <v>45665.39350694444</v>
      </c>
      <c r="BP307">
        <v>168875</v>
      </c>
      <c r="BQ307">
        <v>66281</v>
      </c>
      <c r="BR307" t="inlineStr">
        <is>
          <t>Online</t>
        </is>
      </c>
      <c r="BS307"/>
      <c r="BT307">
        <v>66281</v>
      </c>
      <c r="BU307"/>
      <c r="BV307">
        <v>2732737</v>
      </c>
      <c r="BW307" t="inlineStr">
        <is>
          <t>No Answer : Voicemail - WA sent to customer</t>
        </is>
      </c>
      <c r="BX307"/>
      <c r="BY307"/>
      <c r="BZ307" s="4"/>
      <c r="CA307"/>
      <c r="CB307"/>
      <c r="CC307" s="4"/>
      <c r="CD307" t="inlineStr">
        <is>
          <t>20</t>
        </is>
      </c>
      <c r="CE307" t="inlineStr">
        <is>
          <t>0</t>
        </is>
      </c>
      <c r="CF307" t="inlineStr">
        <is>
          <t>Q2-W04</t>
        </is>
      </c>
      <c r="CG307"/>
      <c r="CH307"/>
      <c r="CI307"/>
      <c r="CJ307" t="inlineStr">
        <is>
          <t>Paid</t>
        </is>
      </c>
      <c r="CK307" t="inlineStr">
        <is>
          <t>Not Eligible</t>
        </is>
      </c>
      <c r="CL307"/>
      <c r="CM307"/>
    </row>
    <row r="308" ht="25.5" customHeight="1">
      <c r="A308" t="inlineStr">
        <is>
          <t>193856</t>
        </is>
      </c>
      <c r="B308" s="2"/>
      <c r="C308"/>
      <c r="D308" s="3">
        <v>46136.71177083333</v>
      </c>
      <c r="E308" t="inlineStr">
        <is>
          <t>Q2-W04</t>
        </is>
      </c>
      <c r="F308" t="inlineStr">
        <is>
          <t>Xin Quan</t>
        </is>
      </c>
      <c r="G308" t="inlineStr">
        <is>
          <t>Customer</t>
        </is>
      </c>
      <c r="H308" s="2" t="str">
        <f>=HYPERLINK("https://upbox.ajobthing.my/customer/193856", "https://upbox.ajobthing.my/customer/193856")</f>
        <v>https://upbox.ajobthing.my/customer/193856</v>
      </c>
      <c r="I308" t="inlineStr">
        <is>
          <t>Boa Monteal Management Sdn Bhd</t>
        </is>
      </c>
      <c r="J308" t="inlineStr">
        <is>
          <t>Small Fish</t>
        </is>
      </c>
      <c r="K308" t="inlineStr">
        <is>
          <t>Xin Quan</t>
        </is>
      </c>
      <c r="L308" s="4"/>
      <c r="M308" s="4">
        <v>46136.71189814815</v>
      </c>
      <c r="N308"/>
      <c r="O308">
        <v>3888</v>
      </c>
      <c r="P308" s="4"/>
      <c r="Q308" s="4">
        <v>45855.46990740741</v>
      </c>
      <c r="R308"/>
      <c r="S308">
        <v>864</v>
      </c>
      <c r="T308" s="4"/>
      <c r="U308" s="4"/>
      <c r="V308"/>
      <c r="W308"/>
      <c r="X308"/>
      <c r="Y308" t="inlineStr">
        <is>
          <t>Pending Appointment</t>
        </is>
      </c>
      <c r="Z308" t="inlineStr">
        <is>
          <t>Hiring Now</t>
        </is>
      </c>
      <c r="AA308">
        <v>1</v>
      </c>
      <c r="AB308" t="inlineStr">
        <is>
          <t>No Appointment Made</t>
        </is>
      </c>
      <c r="AC308"/>
      <c r="AD308" t="inlineStr">
        <is>
          <t>1 Position , Base in KL</t>
        </is>
      </c>
      <c r="AE308"/>
      <c r="AF308">
        <v>2000</v>
      </c>
      <c r="AG308" s="4"/>
      <c r="AH308" s="4"/>
      <c r="AI308">
        <v>24000</v>
      </c>
      <c r="AJ308">
        <v>1</v>
      </c>
      <c r="AK308" t="inlineStr">
        <is>
          <t>No, I don't need at all</t>
        </is>
      </c>
      <c r="AL308">
        <v>1</v>
      </c>
      <c r="AM308" t="inlineStr">
        <is>
          <t>No, I don't need at all</t>
        </is>
      </c>
      <c r="AN308"/>
      <c r="AO308" t="inlineStr">
        <is>
          <t>No, I don't need at all</t>
        </is>
      </c>
      <c r="AP308" t="inlineStr">
        <is>
          <t>Once a year (25%)</t>
        </is>
      </c>
      <c r="AQ308">
        <v>1</v>
      </c>
      <c r="AR308"/>
      <c r="AS308" t="inlineStr">
        <is>
          <t xml:space="preserve">- Headcount: 1
- Hiring Job Details: 1 Position,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t>
        </is>
      </c>
      <c r="AT308">
        <v>90</v>
      </c>
      <c r="AU308" t="inlineStr">
        <is>
          <t>0.90</t>
        </is>
      </c>
      <c r="AV308" t="inlineStr">
        <is>
          <t>15</t>
        </is>
      </c>
      <c r="AW308" t="inlineStr">
        <is>
          <t>0</t>
        </is>
      </c>
      <c r="AX308" t="inlineStr">
        <is>
          <t>Not Qualified</t>
        </is>
      </c>
      <c r="AY308" s="4"/>
      <c r="AZ308"/>
      <c r="BA308"/>
      <c r="BB308"/>
      <c r="BC308" t="inlineStr">
        <is>
          <t xml:space="preserve">- Headcount: 1
- Hiring Job Details: 1 Position,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t>
        </is>
      </c>
      <c r="BD308" s="4">
        <v>46136.750081018516</v>
      </c>
      <c r="BE308" t="inlineStr">
        <is>
          <t>pending</t>
        </is>
      </c>
      <c r="BF308"/>
      <c r="BG308" t="inlineStr">
        <is>
          <t>Reschedule</t>
        </is>
      </c>
      <c r="BH308" t="inlineStr">
        <is>
          <t>Edward Hoo</t>
        </is>
      </c>
      <c r="BI308"/>
      <c r="BJ308" s="4">
        <v>46144.75267361111</v>
      </c>
      <c r="BK308" s="4">
        <v>45854.70079861111</v>
      </c>
      <c r="BL308" t="inlineStr">
        <is>
          <t>0.0</t>
        </is>
      </c>
      <c r="BM308" t="inlineStr">
        <is>
          <t>0.0</t>
        </is>
      </c>
      <c r="BN308" t="inlineStr">
        <is>
          <t>View Create Job Page</t>
        </is>
      </c>
      <c r="BO308" s="4">
        <v>45854.712546296294</v>
      </c>
      <c r="BP308">
        <v>168881</v>
      </c>
      <c r="BQ308">
        <v>106879</v>
      </c>
      <c r="BR308" t="inlineStr">
        <is>
          <t>Proforma</t>
        </is>
      </c>
      <c r="BS308" t="inlineStr">
        <is>
          <t>A La Carte AI Job Ad</t>
        </is>
      </c>
      <c r="BT308"/>
      <c r="BU308"/>
      <c r="BV308">
        <v>2727485</v>
      </c>
      <c r="BW308" t="inlineStr">
        <is>
          <t>Customer Inquiry</t>
        </is>
      </c>
      <c r="BX308"/>
      <c r="BY308"/>
      <c r="BZ308" s="4"/>
      <c r="CA308"/>
      <c r="CB308"/>
      <c r="CC308" s="4"/>
      <c r="CD308" t="inlineStr">
        <is>
          <t>20</t>
        </is>
      </c>
      <c r="CE308" t="inlineStr">
        <is>
          <t>0</t>
        </is>
      </c>
      <c r="CF308" t="inlineStr">
        <is>
          <t>Q2-W04</t>
        </is>
      </c>
      <c r="CG308"/>
      <c r="CH308"/>
      <c r="CI308"/>
      <c r="CJ308" t="inlineStr">
        <is>
          <t>No Paid</t>
        </is>
      </c>
      <c r="CK308" t="inlineStr">
        <is>
          <t>Not Eligible</t>
        </is>
      </c>
      <c r="CL308"/>
      <c r="CM308"/>
    </row>
    <row r="309" ht="25.5" customHeight="1">
      <c r="A309" t="inlineStr">
        <is>
          <t>4320145</t>
        </is>
      </c>
      <c r="B309" s="2"/>
      <c r="C309"/>
      <c r="D309" s="3">
        <v>46136.71230324074</v>
      </c>
      <c r="E309" t="inlineStr">
        <is>
          <t>Q2-W04</t>
        </is>
      </c>
      <c r="F309" t="inlineStr">
        <is>
          <t>Evan</t>
        </is>
      </c>
      <c r="G309" t="inlineStr">
        <is>
          <t>Lead</t>
        </is>
      </c>
      <c r="H309" s="2" t="str">
        <f>=HYPERLINK("https://upbox.ajobthing.my/leads/4320145", "https://upbox.ajobthing.my/leads/4320145")</f>
        <v>https://upbox.ajobthing.my/leads/4320145</v>
      </c>
      <c r="I309" t="inlineStr">
        <is>
          <t>Art Point Sign Sdn Bhd</t>
        </is>
      </c>
      <c r="J309" t="inlineStr">
        <is>
          <t>Small Fish</t>
        </is>
      </c>
      <c r="K309" t="inlineStr">
        <is>
          <t>Evan</t>
        </is>
      </c>
      <c r="L309" s="4"/>
      <c r="M309" s="4">
        <v>46136.711701388886</v>
      </c>
      <c r="N309"/>
      <c r="O309">
        <v>3888</v>
      </c>
      <c r="P309" s="4"/>
      <c r="Q309" s="4"/>
      <c r="R309"/>
      <c r="S309"/>
      <c r="T309" s="4"/>
      <c r="U309" s="4"/>
      <c r="V309"/>
      <c r="W309"/>
      <c r="X309"/>
      <c r="Y309" t="inlineStr">
        <is>
          <t>Pending Appointment</t>
        </is>
      </c>
      <c r="Z309" t="inlineStr">
        <is>
          <t>Hiring Now</t>
        </is>
      </c>
      <c r="AA309">
        <v>1</v>
      </c>
      <c r="AB309" t="inlineStr">
        <is>
          <t>No Appointment Made</t>
        </is>
      </c>
      <c r="AC309"/>
      <c r="AD309" t="inlineStr">
        <is>
          <t>1 admin, all base in ampang</t>
        </is>
      </c>
      <c r="AE309"/>
      <c r="AF309">
        <v>1</v>
      </c>
      <c r="AG309" s="4"/>
      <c r="AH309" s="4"/>
      <c r="AI309">
        <v>1</v>
      </c>
      <c r="AJ309">
        <v>1</v>
      </c>
      <c r="AK309" t="inlineStr">
        <is>
          <t>No, I don't need at all</t>
        </is>
      </c>
      <c r="AL309">
        <v>0</v>
      </c>
      <c r="AM309" t="inlineStr">
        <is>
          <t>No, I don't need at all</t>
        </is>
      </c>
      <c r="AN309"/>
      <c r="AO309" t="inlineStr">
        <is>
          <t>No, I don't need at all</t>
        </is>
      </c>
      <c r="AP309" t="inlineStr">
        <is>
          <t>Once a year (25%)</t>
        </is>
      </c>
      <c r="AQ309">
        <v>1</v>
      </c>
      <c r="AR309" t="inlineStr">
        <is>
          <t>Did not use any job portal</t>
        </is>
      </c>
      <c r="AS309" t="inlineStr">
        <is>
          <t>- Headcount: 1
- Hiring Job Details: 1 admin, all base in ampang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309">
        <v>115</v>
      </c>
      <c r="AU309" t="inlineStr">
        <is>
          <t>1.15</t>
        </is>
      </c>
      <c r="AV309" t="inlineStr">
        <is>
          <t>15</t>
        </is>
      </c>
      <c r="AW309" t="inlineStr">
        <is>
          <t>0</t>
        </is>
      </c>
      <c r="AX309" t="inlineStr">
        <is>
          <t>Not Qualified</t>
        </is>
      </c>
      <c r="AY309" s="4"/>
      <c r="AZ309"/>
      <c r="BA309"/>
      <c r="BB309"/>
      <c r="BC309"/>
      <c r="BD309" s="4"/>
      <c r="BE309"/>
      <c r="BF309"/>
      <c r="BG309" t="inlineStr">
        <is>
          <t>Reschedule</t>
        </is>
      </c>
      <c r="BH309" t="inlineStr">
        <is>
          <t>Edward Hoo</t>
        </is>
      </c>
      <c r="BI309"/>
      <c r="BJ309" s="4">
        <v>46144.75592592593</v>
      </c>
      <c r="BK309" s="4">
        <v>46136.666967592595</v>
      </c>
      <c r="BL309" t="inlineStr">
        <is>
          <t>0.0</t>
        </is>
      </c>
      <c r="BM309" t="inlineStr">
        <is>
          <t>0.0</t>
        </is>
      </c>
      <c r="BN309"/>
      <c r="BO309" s="4"/>
      <c r="BP309">
        <v>168880</v>
      </c>
      <c r="BQ309"/>
      <c r="BR309"/>
      <c r="BS309"/>
      <c r="BT309"/>
      <c r="BU309"/>
      <c r="BV309"/>
      <c r="BW309"/>
      <c r="BX309"/>
      <c r="BY309"/>
      <c r="BZ309" s="4"/>
      <c r="CA309"/>
      <c r="CB309"/>
      <c r="CC309" s="4"/>
      <c r="CD309" t="inlineStr">
        <is>
          <t>20</t>
        </is>
      </c>
      <c r="CE309" t="inlineStr">
        <is>
          <t>0</t>
        </is>
      </c>
      <c r="CF309" t="inlineStr">
        <is>
          <t>Q2-W04</t>
        </is>
      </c>
      <c r="CG309"/>
      <c r="CH309"/>
      <c r="CI309"/>
      <c r="CJ309" t="inlineStr">
        <is>
          <t>No Paid</t>
        </is>
      </c>
      <c r="CK309" t="inlineStr">
        <is>
          <t>Not Eligible</t>
        </is>
      </c>
      <c r="CL309"/>
      <c r="CM309"/>
    </row>
    <row r="310" ht="25.5" customHeight="1">
      <c r="A310" t="inlineStr">
        <is>
          <t>30301</t>
        </is>
      </c>
      <c r="B310" s="2"/>
      <c r="C310"/>
      <c r="D310" s="3">
        <v>46136.71508101852</v>
      </c>
      <c r="E310" t="inlineStr">
        <is>
          <t>Q2-W04</t>
        </is>
      </c>
      <c r="F310" t="inlineStr">
        <is>
          <t>Derek Lim</t>
        </is>
      </c>
      <c r="G310" t="inlineStr">
        <is>
          <t>Customer</t>
        </is>
      </c>
      <c r="H310" s="2" t="str">
        <f>=HYPERLINK("https://upbox.ajobthing.my/customer/30301", "https://upbox.ajobthing.my/customer/30301")</f>
        <v>https://upbox.ajobthing.my/customer/30301</v>
      </c>
      <c r="I310" t="inlineStr">
        <is>
          <t>Gandingan Ria Sdn Bhd</t>
        </is>
      </c>
      <c r="J310" t="inlineStr">
        <is>
          <t>Small Fish</t>
        </is>
      </c>
      <c r="K310" t="inlineStr">
        <is>
          <t>Derek Lim</t>
        </is>
      </c>
      <c r="L310" s="4"/>
      <c r="M310" s="4">
        <v>46136.715219907404</v>
      </c>
      <c r="N310"/>
      <c r="O310">
        <v>6048</v>
      </c>
      <c r="P310" s="4"/>
      <c r="Q310" s="4"/>
      <c r="R310"/>
      <c r="S310"/>
      <c r="T310" s="4"/>
      <c r="U310" s="4"/>
      <c r="V310"/>
      <c r="W310"/>
      <c r="X310"/>
      <c r="Y310" t="inlineStr">
        <is>
          <t>Pending Appointment</t>
        </is>
      </c>
      <c r="Z310" t="inlineStr">
        <is>
          <t>Hiring Now</t>
        </is>
      </c>
      <c r="AA310">
        <v>2</v>
      </c>
      <c r="AB310" t="inlineStr">
        <is>
          <t>No Appointment Made</t>
        </is>
      </c>
      <c r="AC310"/>
      <c r="AD310" t="inlineStr">
        <is>
          <t>admin -1, sales - 1</t>
        </is>
      </c>
      <c r="AE310"/>
      <c r="AF310">
        <v>0</v>
      </c>
      <c r="AG310" s="4"/>
      <c r="AH310" s="4"/>
      <c r="AI310">
        <v>0</v>
      </c>
      <c r="AJ310">
        <v>1</v>
      </c>
      <c r="AK310" t="inlineStr">
        <is>
          <t>No, I don't need at all</t>
        </is>
      </c>
      <c r="AL310">
        <v>0</v>
      </c>
      <c r="AM310" t="inlineStr">
        <is>
          <t>No, I don't need at all</t>
        </is>
      </c>
      <c r="AN310"/>
      <c r="AO310" t="inlineStr">
        <is>
          <t>No, I don't need at all</t>
        </is>
      </c>
      <c r="AP310" t="inlineStr">
        <is>
          <t>Once a year (25%)</t>
        </is>
      </c>
      <c r="AQ310">
        <v>2</v>
      </c>
      <c r="AR310" t="inlineStr">
        <is>
          <t>Free Job Portal</t>
        </is>
      </c>
      <c r="AS310" t="inlineStr">
        <is>
          <t>- Headcount: 2
- Hiring Job Details: 1 admin, 1 sales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AT310">
        <v>115</v>
      </c>
      <c r="AU310" t="inlineStr">
        <is>
          <t>1.15</t>
        </is>
      </c>
      <c r="AV310" t="inlineStr">
        <is>
          <t>15</t>
        </is>
      </c>
      <c r="AW310" t="inlineStr">
        <is>
          <t>0</t>
        </is>
      </c>
      <c r="AX310" t="inlineStr">
        <is>
          <t>Not Qualified</t>
        </is>
      </c>
      <c r="AY310" s="4"/>
      <c r="AZ310"/>
      <c r="BA310"/>
      <c r="BB310"/>
      <c r="BC310" t="inlineStr">
        <is>
          <t>NO ANSWER</t>
        </is>
      </c>
      <c r="BD310" s="4">
        <v>46141.58128472222</v>
      </c>
      <c r="BE310"/>
      <c r="BF310"/>
      <c r="BG310" t="inlineStr">
        <is>
          <t>Reschedule</t>
        </is>
      </c>
      <c r="BH310" t="inlineStr">
        <is>
          <t>Edward Hoo</t>
        </is>
      </c>
      <c r="BI310"/>
      <c r="BJ310" s="4">
        <v>46144.75454861111</v>
      </c>
      <c r="BK310" s="4">
        <v>42666.52668981482</v>
      </c>
      <c r="BL310" t="inlineStr">
        <is>
          <t>0.0</t>
        </is>
      </c>
      <c r="BM310" t="inlineStr">
        <is>
          <t>0.0</t>
        </is>
      </c>
      <c r="BN310"/>
      <c r="BO310" s="4"/>
      <c r="BP310">
        <v>168884</v>
      </c>
      <c r="BQ310"/>
      <c r="BR310"/>
      <c r="BS310"/>
      <c r="BT310"/>
      <c r="BU310"/>
      <c r="BV310">
        <v>2735152</v>
      </c>
      <c r="BW310" t="inlineStr">
        <is>
          <t>No Answer : Voicemail - WA sent to customer</t>
        </is>
      </c>
      <c r="BX310"/>
      <c r="BY310"/>
      <c r="BZ310" s="4"/>
      <c r="CA310"/>
      <c r="CB310"/>
      <c r="CC310" s="4"/>
      <c r="CD310" t="inlineStr">
        <is>
          <t>20</t>
        </is>
      </c>
      <c r="CE310" t="inlineStr">
        <is>
          <t>0</t>
        </is>
      </c>
      <c r="CF310" t="inlineStr">
        <is>
          <t>Q2-W04</t>
        </is>
      </c>
      <c r="CG310"/>
      <c r="CH310"/>
      <c r="CI310"/>
      <c r="CJ310" t="inlineStr">
        <is>
          <t>No Paid</t>
        </is>
      </c>
      <c r="CK310" t="inlineStr">
        <is>
          <t>Not Eligible</t>
        </is>
      </c>
      <c r="CL310"/>
      <c r="CM310"/>
    </row>
    <row r="311" ht="25.5" customHeight="1">
      <c r="A311" t="inlineStr">
        <is>
          <t>195744</t>
        </is>
      </c>
      <c r="B311" s="2"/>
      <c r="C311"/>
      <c r="D311" s="3">
        <v>46136.721400462964</v>
      </c>
      <c r="E311" t="inlineStr">
        <is>
          <t>Q2-W04</t>
        </is>
      </c>
      <c r="F311" t="inlineStr">
        <is>
          <t>Evan</t>
        </is>
      </c>
      <c r="G311" t="inlineStr">
        <is>
          <t>Customer</t>
        </is>
      </c>
      <c r="H311" s="2" t="str">
        <f>=HYPERLINK("https://upbox.ajobthing.my/customer/195744", "https://upbox.ajobthing.my/customer/195744")</f>
        <v>https://upbox.ajobthing.my/customer/195744</v>
      </c>
      <c r="I311" t="inlineStr">
        <is>
          <t>Mams Strivex Global</t>
        </is>
      </c>
      <c r="J311" t="inlineStr">
        <is>
          <t>Small Fish</t>
        </is>
      </c>
      <c r="K311" t="inlineStr">
        <is>
          <t>Evan</t>
        </is>
      </c>
      <c r="L311" s="4"/>
      <c r="M311" s="4">
        <v>46136.720983796295</v>
      </c>
      <c r="N311"/>
      <c r="O311">
        <v>3888</v>
      </c>
      <c r="P311" s="4"/>
      <c r="Q311" s="4"/>
      <c r="R311"/>
      <c r="S311"/>
      <c r="T311" s="4"/>
      <c r="U311" s="4"/>
      <c r="V311"/>
      <c r="W311"/>
      <c r="X311"/>
      <c r="Y311" t="inlineStr">
        <is>
          <t>Pending Appointment</t>
        </is>
      </c>
      <c r="Z311" t="inlineStr">
        <is>
          <t>Hiring Now</t>
        </is>
      </c>
      <c r="AA311">
        <v>1</v>
      </c>
      <c r="AB311" t="inlineStr">
        <is>
          <t>No Appointment Made</t>
        </is>
      </c>
      <c r="AC311"/>
      <c r="AD311" t="inlineStr">
        <is>
          <t>1 admin, all base in kl</t>
        </is>
      </c>
      <c r="AE311"/>
      <c r="AF311">
        <v>1</v>
      </c>
      <c r="AG311" s="4"/>
      <c r="AH311" s="4"/>
      <c r="AI311">
        <v>1</v>
      </c>
      <c r="AJ311">
        <v>1</v>
      </c>
      <c r="AK311" t="inlineStr">
        <is>
          <t>No, I don't need at all</t>
        </is>
      </c>
      <c r="AL311">
        <v>0</v>
      </c>
      <c r="AM311" t="inlineStr">
        <is>
          <t>No, I don't need at all</t>
        </is>
      </c>
      <c r="AN311"/>
      <c r="AO311" t="inlineStr">
        <is>
          <t>No, I don't need at all</t>
        </is>
      </c>
      <c r="AP311" t="inlineStr">
        <is>
          <t>Once a year (25%)</t>
        </is>
      </c>
      <c r="AQ311">
        <v>1</v>
      </c>
      <c r="AR311" t="inlineStr">
        <is>
          <t>Did not use any job portal</t>
        </is>
      </c>
      <c r="AS311"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311">
        <v>115</v>
      </c>
      <c r="AU311" t="inlineStr">
        <is>
          <t>1.15</t>
        </is>
      </c>
      <c r="AV311" t="inlineStr">
        <is>
          <t>15</t>
        </is>
      </c>
      <c r="AW311" t="inlineStr">
        <is>
          <t>0</t>
        </is>
      </c>
      <c r="AX311" t="inlineStr">
        <is>
          <t>Not Qualified</t>
        </is>
      </c>
      <c r="AY311" s="4"/>
      <c r="AZ311"/>
      <c r="BA311"/>
      <c r="BB311"/>
      <c r="BC311"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311" s="4">
        <v>46136.750081018516</v>
      </c>
      <c r="BE311"/>
      <c r="BF311"/>
      <c r="BG311" t="inlineStr">
        <is>
          <t>Reschedule</t>
        </is>
      </c>
      <c r="BH311" t="inlineStr">
        <is>
          <t>Edward Hoo</t>
        </is>
      </c>
      <c r="BI311"/>
      <c r="BJ311" s="4">
        <v>46144.75278935185</v>
      </c>
      <c r="BK311" s="4">
        <v>45904.414502314816</v>
      </c>
      <c r="BL311" t="inlineStr">
        <is>
          <t>0.0</t>
        </is>
      </c>
      <c r="BM311" t="inlineStr">
        <is>
          <t>0.0</t>
        </is>
      </c>
      <c r="BN311" t="inlineStr">
        <is>
          <t>View Create Job Page</t>
        </is>
      </c>
      <c r="BO311" s="4">
        <v>45904.426574074074</v>
      </c>
      <c r="BP311">
        <v>168886</v>
      </c>
      <c r="BQ311"/>
      <c r="BR311"/>
      <c r="BS311"/>
      <c r="BT311"/>
      <c r="BU311"/>
      <c r="BV311">
        <v>2727490</v>
      </c>
      <c r="BW311" t="inlineStr">
        <is>
          <t>Customer Inquiry</t>
        </is>
      </c>
      <c r="BX311"/>
      <c r="BY311"/>
      <c r="BZ311" s="4"/>
      <c r="CA311"/>
      <c r="CB311"/>
      <c r="CC311" s="4"/>
      <c r="CD311" t="inlineStr">
        <is>
          <t>20</t>
        </is>
      </c>
      <c r="CE311" t="inlineStr">
        <is>
          <t>0</t>
        </is>
      </c>
      <c r="CF311" t="inlineStr">
        <is>
          <t>Q2-W04</t>
        </is>
      </c>
      <c r="CG311"/>
      <c r="CH311"/>
      <c r="CI311"/>
      <c r="CJ311" t="inlineStr">
        <is>
          <t>No Paid</t>
        </is>
      </c>
      <c r="CK311" t="inlineStr">
        <is>
          <t>Not Eligible</t>
        </is>
      </c>
      <c r="CL311"/>
      <c r="CM311"/>
    </row>
    <row r="312" ht="25.5" customHeight="1">
      <c r="A312" t="inlineStr">
        <is>
          <t>184749</t>
        </is>
      </c>
      <c r="B312" s="2"/>
      <c r="C312"/>
      <c r="D312" s="3">
        <v>46136.72295138889</v>
      </c>
      <c r="E312" t="inlineStr">
        <is>
          <t>Q2-W04</t>
        </is>
      </c>
      <c r="F312" t="inlineStr">
        <is>
          <t>Janice Yap</t>
        </is>
      </c>
      <c r="G312" t="inlineStr">
        <is>
          <t>Customer</t>
        </is>
      </c>
      <c r="H312" s="2" t="str">
        <f>=HYPERLINK("https://upbox.ajobthing.my/customer/184749", "https://upbox.ajobthing.my/customer/184749")</f>
        <v>https://upbox.ajobthing.my/customer/184749</v>
      </c>
      <c r="I312" t="inlineStr">
        <is>
          <t>Bellarista Empire</t>
        </is>
      </c>
      <c r="J312" t="inlineStr">
        <is>
          <t>Small Fish</t>
        </is>
      </c>
      <c r="K312" t="inlineStr">
        <is>
          <t>Janice</t>
        </is>
      </c>
      <c r="L312" s="4"/>
      <c r="M312" s="4">
        <v>46136.75347222222</v>
      </c>
      <c r="N312"/>
      <c r="O312">
        <v>3888</v>
      </c>
      <c r="P312" s="4"/>
      <c r="Q312" s="4">
        <v>45659.385671296295</v>
      </c>
      <c r="R312"/>
      <c r="S312">
        <v>216</v>
      </c>
      <c r="T312" s="4">
        <v>45659.385671296295</v>
      </c>
      <c r="U312" s="4"/>
      <c r="V312"/>
      <c r="W312">
        <v>216</v>
      </c>
      <c r="X312"/>
      <c r="Y312" t="inlineStr">
        <is>
          <t>Pending Appointment</t>
        </is>
      </c>
      <c r="Z312" t="inlineStr">
        <is>
          <t>Hiring Later</t>
        </is>
      </c>
      <c r="AA312">
        <v>1</v>
      </c>
      <c r="AB312" t="inlineStr">
        <is>
          <t>No Appointment Made</t>
        </is>
      </c>
      <c r="AC312"/>
      <c r="AD312" t="inlineStr">
        <is>
          <t>1 marketing</t>
        </is>
      </c>
      <c r="AE312"/>
      <c r="AF312">
        <v>0</v>
      </c>
      <c r="AG312" s="4"/>
      <c r="AH312" s="4"/>
      <c r="AI312">
        <v>0</v>
      </c>
      <c r="AJ312"/>
      <c r="AK312" t="inlineStr">
        <is>
          <t>No, I don't need at all</t>
        </is>
      </c>
      <c r="AL312">
        <v>0</v>
      </c>
      <c r="AM312" t="inlineStr">
        <is>
          <t>No, I don't need at all</t>
        </is>
      </c>
      <c r="AN312"/>
      <c r="AO312" t="inlineStr">
        <is>
          <t>No, I don't need at all</t>
        </is>
      </c>
      <c r="AP312" t="inlineStr">
        <is>
          <t>Once a year (25%)</t>
        </is>
      </c>
      <c r="AQ312">
        <v>1</v>
      </c>
      <c r="AR312"/>
      <c r="AS312" t="inlineStr">
        <is>
          <t>- Headcount: 1
- Hiring Job Details: 1 marketing
- Hiring Urgency: Hiring Later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None</t>
        </is>
      </c>
      <c r="AT312">
        <v>100</v>
      </c>
      <c r="AU312" t="inlineStr">
        <is>
          <t>1.00</t>
        </is>
      </c>
      <c r="AV312" t="inlineStr">
        <is>
          <t>15</t>
        </is>
      </c>
      <c r="AW312" t="inlineStr">
        <is>
          <t>0</t>
        </is>
      </c>
      <c r="AX312" t="inlineStr">
        <is>
          <t>Not Qualified</t>
        </is>
      </c>
      <c r="AY312" s="4"/>
      <c r="AZ312"/>
      <c r="BA312"/>
      <c r="BB312"/>
      <c r="BC312" t="inlineStr">
        <is>
          <t>PIC in a class // busy // send WA to her</t>
        </is>
      </c>
      <c r="BD312" s="4">
        <v>46140.4591087963</v>
      </c>
      <c r="BE312" t="inlineStr">
        <is>
          <t>paid</t>
        </is>
      </c>
      <c r="BF312"/>
      <c r="BG312" t="inlineStr">
        <is>
          <t>Reschedule</t>
        </is>
      </c>
      <c r="BH312" t="inlineStr">
        <is>
          <t>Yee Hang</t>
        </is>
      </c>
      <c r="BI312" t="inlineStr">
        <is>
          <t>Apparel</t>
        </is>
      </c>
      <c r="BJ312" s="4">
        <v>46144.75201388889</v>
      </c>
      <c r="BK312" s="4">
        <v>45608.67958333333</v>
      </c>
      <c r="BL312" t="inlineStr">
        <is>
          <t>0.0</t>
        </is>
      </c>
      <c r="BM312" t="inlineStr">
        <is>
          <t>0.0</t>
        </is>
      </c>
      <c r="BN312" t="inlineStr">
        <is>
          <t>View Jobmanager Page</t>
        </is>
      </c>
      <c r="BO312" s="4">
        <v>45838.638645833336</v>
      </c>
      <c r="BP312">
        <v>168909</v>
      </c>
      <c r="BQ312">
        <v>75792</v>
      </c>
      <c r="BR312" t="inlineStr">
        <is>
          <t>Online</t>
        </is>
      </c>
      <c r="BS312"/>
      <c r="BT312">
        <v>75792</v>
      </c>
      <c r="BU312"/>
      <c r="BV312">
        <v>2732010</v>
      </c>
      <c r="BW312" t="inlineStr">
        <is>
          <t>Follow Up : Decision Pending</t>
        </is>
      </c>
      <c r="BX312"/>
      <c r="BY312"/>
      <c r="BZ312" s="4"/>
      <c r="CA312"/>
      <c r="CB312"/>
      <c r="CC312" s="4"/>
      <c r="CD312" t="inlineStr">
        <is>
          <t>20</t>
        </is>
      </c>
      <c r="CE312" t="inlineStr">
        <is>
          <t>0</t>
        </is>
      </c>
      <c r="CF312" t="inlineStr">
        <is>
          <t>Q2-W04</t>
        </is>
      </c>
      <c r="CG312"/>
      <c r="CH312"/>
      <c r="CI312"/>
      <c r="CJ312" t="inlineStr">
        <is>
          <t>Paid</t>
        </is>
      </c>
      <c r="CK312" t="inlineStr">
        <is>
          <t>Not Eligible</t>
        </is>
      </c>
      <c r="CL312"/>
      <c r="CM312"/>
    </row>
    <row r="313" ht="25.5" customHeight="1">
      <c r="A313" t="inlineStr">
        <is>
          <t>203647</t>
        </is>
      </c>
      <c r="B313" s="2"/>
      <c r="C313"/>
      <c r="D313" s="3">
        <v>46136.72341435185</v>
      </c>
      <c r="E313" t="inlineStr">
        <is>
          <t>Q2-W04</t>
        </is>
      </c>
      <c r="F313" t="inlineStr">
        <is>
          <t>Eugene</t>
        </is>
      </c>
      <c r="G313" t="inlineStr">
        <is>
          <t>Customer</t>
        </is>
      </c>
      <c r="H313" s="2" t="str">
        <f>=HYPERLINK("https://upbox.ajobthing.my/customer/203647", "https://upbox.ajobthing.my/customer/203647")</f>
        <v>https://upbox.ajobthing.my/customer/203647</v>
      </c>
      <c r="I313" t="inlineStr">
        <is>
          <t>Advancetech Sales &amp; Services</t>
        </is>
      </c>
      <c r="J313" t="inlineStr">
        <is>
          <t>Small Fish</t>
        </is>
      </c>
      <c r="K313" t="inlineStr">
        <is>
          <t>Eugene</t>
        </is>
      </c>
      <c r="L313" s="4"/>
      <c r="M313" s="4">
        <v>46136.723541666666</v>
      </c>
      <c r="N313"/>
      <c r="O313">
        <v>3888</v>
      </c>
      <c r="P313" s="4"/>
      <c r="Q313" s="4"/>
      <c r="R313"/>
      <c r="S313"/>
      <c r="T313" s="4"/>
      <c r="U313" s="4"/>
      <c r="V313"/>
      <c r="W313"/>
      <c r="X313"/>
      <c r="Y313" t="inlineStr">
        <is>
          <t>Pending Appointment</t>
        </is>
      </c>
      <c r="Z313" t="inlineStr">
        <is>
          <t>Hiring Now</t>
        </is>
      </c>
      <c r="AA313">
        <v>2</v>
      </c>
      <c r="AB313" t="inlineStr">
        <is>
          <t>No Appointment Made</t>
        </is>
      </c>
      <c r="AC313"/>
      <c r="AD313" t="inlineStr">
        <is>
          <t>1 technician, 1 account, based in KL</t>
        </is>
      </c>
      <c r="AE313"/>
      <c r="AF313">
        <v>3000</v>
      </c>
      <c r="AG313" s="4"/>
      <c r="AH313" s="4"/>
      <c r="AI313">
        <v>3000</v>
      </c>
      <c r="AJ313">
        <v>1</v>
      </c>
      <c r="AK313" t="inlineStr">
        <is>
          <t>No, I don't need at all</t>
        </is>
      </c>
      <c r="AL313">
        <v>1</v>
      </c>
      <c r="AM313" t="inlineStr">
        <is>
          <t>No, I don't need at all</t>
        </is>
      </c>
      <c r="AN313"/>
      <c r="AO313" t="inlineStr">
        <is>
          <t>No, I don't need at all</t>
        </is>
      </c>
      <c r="AP313" t="inlineStr">
        <is>
          <t>Twice a year (50%)</t>
        </is>
      </c>
      <c r="AQ313">
        <v>2</v>
      </c>
      <c r="AR313" t="inlineStr">
        <is>
          <t>Free Job Portal</t>
        </is>
      </c>
      <c r="AS313" t="inlineStr">
        <is>
          <t>- Headcount: 2
- Hiring Job Details: 1 technician, 1 account,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is>
      </c>
      <c r="AT313">
        <v>115</v>
      </c>
      <c r="AU313" t="inlineStr">
        <is>
          <t>1.15</t>
        </is>
      </c>
      <c r="AV313" t="inlineStr">
        <is>
          <t>15</t>
        </is>
      </c>
      <c r="AW313" t="inlineStr">
        <is>
          <t>0</t>
        </is>
      </c>
      <c r="AX313" t="inlineStr">
        <is>
          <t>Not Qualified</t>
        </is>
      </c>
      <c r="AY313" s="4"/>
      <c r="AZ313"/>
      <c r="BA313"/>
      <c r="BB313"/>
      <c r="BC313" t="inlineStr">
        <is>
          <t>pending nxt month</t>
        </is>
      </c>
      <c r="BD313" s="4">
        <v>46141.68769675926</v>
      </c>
      <c r="BE313"/>
      <c r="BF313"/>
      <c r="BG313" t="inlineStr">
        <is>
          <t>Reschedule</t>
        </is>
      </c>
      <c r="BH313" t="inlineStr">
        <is>
          <t>Edward Hoo</t>
        </is>
      </c>
      <c r="BI313" t="inlineStr">
        <is>
          <t>Repair / Maintenance</t>
        </is>
      </c>
      <c r="BJ313" s="4">
        <v>46144.75436342593</v>
      </c>
      <c r="BK313" s="4">
        <v>46136.7125</v>
      </c>
      <c r="BL313" t="inlineStr">
        <is>
          <t>0.0</t>
        </is>
      </c>
      <c r="BM313" t="inlineStr">
        <is>
          <t>0.0</t>
        </is>
      </c>
      <c r="BN313" t="inlineStr">
        <is>
          <t>View Company Page</t>
        </is>
      </c>
      <c r="BO313" s="4">
        <v>46136.716574074075</v>
      </c>
      <c r="BP313">
        <v>168897</v>
      </c>
      <c r="BQ313"/>
      <c r="BR313"/>
      <c r="BS313"/>
      <c r="BT313"/>
      <c r="BU313"/>
      <c r="BV313">
        <v>2735913</v>
      </c>
      <c r="BW313" t="inlineStr">
        <is>
          <t>Follow Up : Decision Pending</t>
        </is>
      </c>
      <c r="BX313"/>
      <c r="BY313"/>
      <c r="BZ313" s="4"/>
      <c r="CA313"/>
      <c r="CB313"/>
      <c r="CC313" s="4"/>
      <c r="CD313" t="inlineStr">
        <is>
          <t>20</t>
        </is>
      </c>
      <c r="CE313" t="inlineStr">
        <is>
          <t>0</t>
        </is>
      </c>
      <c r="CF313" t="inlineStr">
        <is>
          <t>Q2-W04</t>
        </is>
      </c>
      <c r="CG313"/>
      <c r="CH313"/>
      <c r="CI313"/>
      <c r="CJ313" t="inlineStr">
        <is>
          <t>No Paid</t>
        </is>
      </c>
      <c r="CK313" t="inlineStr">
        <is>
          <t>Not Eligible</t>
        </is>
      </c>
      <c r="CL313"/>
      <c r="CM313"/>
    </row>
    <row r="314" ht="25.5" customHeight="1">
      <c r="A314" t="inlineStr">
        <is>
          <t>4147425</t>
        </is>
      </c>
      <c r="B314" s="2"/>
      <c r="C314"/>
      <c r="D314" s="3">
        <v>46136.72388888889</v>
      </c>
      <c r="E314" t="inlineStr">
        <is>
          <t>Q2-W04</t>
        </is>
      </c>
      <c r="F314" t="inlineStr">
        <is>
          <t>Josh</t>
        </is>
      </c>
      <c r="G314" t="inlineStr">
        <is>
          <t>Lead</t>
        </is>
      </c>
      <c r="H314" s="2" t="str">
        <f>=HYPERLINK("https://upbox.ajobthing.my/leads/4147425", "https://upbox.ajobthing.my/leads/4147425")</f>
        <v>https://upbox.ajobthing.my/leads/4147425</v>
      </c>
      <c r="I314" t="inlineStr">
        <is>
          <t>yakinikukazu</t>
        </is>
      </c>
      <c r="J314" t="inlineStr">
        <is>
          <t>Small Fish</t>
        </is>
      </c>
      <c r="K314" t="inlineStr">
        <is>
          <t>Eugene</t>
        </is>
      </c>
      <c r="L314" s="4"/>
      <c r="M314" s="4">
        <v>46136.72429398148</v>
      </c>
      <c r="N314"/>
      <c r="O314">
        <v>11448</v>
      </c>
      <c r="P314" s="4"/>
      <c r="Q314" s="4"/>
      <c r="R314"/>
      <c r="S314"/>
      <c r="T314" s="4"/>
      <c r="U314" s="4"/>
      <c r="V314"/>
      <c r="W314"/>
      <c r="X314"/>
      <c r="Y314" t="inlineStr">
        <is>
          <t>Pending Appointment</t>
        </is>
      </c>
      <c r="Z314" t="inlineStr">
        <is>
          <t>Hiring Now</t>
        </is>
      </c>
      <c r="AA314">
        <v>2</v>
      </c>
      <c r="AB314" t="inlineStr">
        <is>
          <t>No Appointment Made</t>
        </is>
      </c>
      <c r="AC314"/>
      <c r="AD314" t="inlineStr">
        <is>
          <t>2 waiter</t>
        </is>
      </c>
      <c r="AE314"/>
      <c r="AF314">
        <v>3000</v>
      </c>
      <c r="AG314" s="4"/>
      <c r="AH314" s="4"/>
      <c r="AI314"/>
      <c r="AJ314"/>
      <c r="AK314"/>
      <c r="AL314"/>
      <c r="AM314"/>
      <c r="AN314"/>
      <c r="AO314"/>
      <c r="AP314" t="inlineStr">
        <is>
          <t>Once a year (25%)</t>
        </is>
      </c>
      <c r="AQ314"/>
      <c r="AR314"/>
      <c r="AS314" t="inlineStr">
        <is>
          <t>- Headcount: 2
- Hiring Job Details: 2 waiter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314">
        <v>85</v>
      </c>
      <c r="AU314" t="inlineStr">
        <is>
          <t>0.85</t>
        </is>
      </c>
      <c r="AV314" t="inlineStr">
        <is>
          <t>15</t>
        </is>
      </c>
      <c r="AW314" t="inlineStr">
        <is>
          <t>0</t>
        </is>
      </c>
      <c r="AX314" t="inlineStr">
        <is>
          <t>Not Qualified</t>
        </is>
      </c>
      <c r="AY314" s="4"/>
      <c r="AZ314"/>
      <c r="BA314"/>
      <c r="BB314"/>
      <c r="BC314"/>
      <c r="BD314" s="4"/>
      <c r="BE314"/>
      <c r="BF314"/>
      <c r="BG314" t="inlineStr">
        <is>
          <t>Reschedule</t>
        </is>
      </c>
      <c r="BH314" t="inlineStr">
        <is>
          <t>Fauziah Maharan</t>
        </is>
      </c>
      <c r="BI314"/>
      <c r="BJ314" s="4">
        <v>46144.75548611111</v>
      </c>
      <c r="BK314" s="4">
        <v>46091.78525462963</v>
      </c>
      <c r="BL314" t="inlineStr">
        <is>
          <t>0.0</t>
        </is>
      </c>
      <c r="BM314" t="inlineStr">
        <is>
          <t>0.0</t>
        </is>
      </c>
      <c r="BN314"/>
      <c r="BO314" s="4"/>
      <c r="BP314">
        <v>168898</v>
      </c>
      <c r="BQ314"/>
      <c r="BR314"/>
      <c r="BS314"/>
      <c r="BT314"/>
      <c r="BU314"/>
      <c r="BV314"/>
      <c r="BW314"/>
      <c r="BX314"/>
      <c r="BY314"/>
      <c r="BZ314" s="4"/>
      <c r="CA314"/>
      <c r="CB314"/>
      <c r="CC314" s="4"/>
      <c r="CD314" t="inlineStr">
        <is>
          <t>20</t>
        </is>
      </c>
      <c r="CE314" t="inlineStr">
        <is>
          <t>0</t>
        </is>
      </c>
      <c r="CF314" t="inlineStr">
        <is>
          <t>Q2-W04</t>
        </is>
      </c>
      <c r="CG314"/>
      <c r="CH314"/>
      <c r="CI314"/>
      <c r="CJ314" t="inlineStr">
        <is>
          <t>No Paid</t>
        </is>
      </c>
      <c r="CK314" t="inlineStr">
        <is>
          <t>Not Eligible</t>
        </is>
      </c>
      <c r="CL314"/>
      <c r="CM314"/>
    </row>
    <row r="315" ht="25.5" customHeight="1">
      <c r="A315" t="inlineStr">
        <is>
          <t>3992901</t>
        </is>
      </c>
      <c r="B315" s="2"/>
      <c r="C315"/>
      <c r="D315" s="3">
        <v>46136.72425925926</v>
      </c>
      <c r="E315" t="inlineStr">
        <is>
          <t>Q2-W04</t>
        </is>
      </c>
      <c r="F315" t="inlineStr">
        <is>
          <t>Derek Lim</t>
        </is>
      </c>
      <c r="G315" t="inlineStr">
        <is>
          <t>Lead</t>
        </is>
      </c>
      <c r="H315" s="2" t="str">
        <f>=HYPERLINK("https://upbox.ajobthing.my/leads/3992901", "https://upbox.ajobthing.my/leads/3992901")</f>
        <v>https://upbox.ajobthing.my/leads/3992901</v>
      </c>
      <c r="I315" t="inlineStr">
        <is>
          <t>GS Med Sdn Bhd</t>
        </is>
      </c>
      <c r="J315" t="inlineStr">
        <is>
          <t>Small Fish</t>
        </is>
      </c>
      <c r="K315" t="inlineStr">
        <is>
          <t>Derek Lim</t>
        </is>
      </c>
      <c r="L315" s="4"/>
      <c r="M315" s="4">
        <v>46136.72453703704</v>
      </c>
      <c r="N315"/>
      <c r="O315">
        <v>6048</v>
      </c>
      <c r="P315" s="4"/>
      <c r="Q315" s="4"/>
      <c r="R315"/>
      <c r="S315"/>
      <c r="T315" s="4"/>
      <c r="U315" s="4"/>
      <c r="V315"/>
      <c r="W315"/>
      <c r="X315"/>
      <c r="Y315" t="inlineStr">
        <is>
          <t>Pending Appointment</t>
        </is>
      </c>
      <c r="Z315" t="inlineStr">
        <is>
          <t>Hiring Now</t>
        </is>
      </c>
      <c r="AA315">
        <v>2</v>
      </c>
      <c r="AB315" t="inlineStr">
        <is>
          <t>No Appointment Made</t>
        </is>
      </c>
      <c r="AC315"/>
      <c r="AD315" t="inlineStr">
        <is>
          <t>Qs - 1, bde - 1</t>
        </is>
      </c>
      <c r="AE315"/>
      <c r="AF315">
        <v>0</v>
      </c>
      <c r="AG315" s="4"/>
      <c r="AH315" s="4"/>
      <c r="AI315">
        <v>0</v>
      </c>
      <c r="AJ315">
        <v>1</v>
      </c>
      <c r="AK315" t="inlineStr">
        <is>
          <t>No, I don't need at all</t>
        </is>
      </c>
      <c r="AL315">
        <v>0</v>
      </c>
      <c r="AM315" t="inlineStr">
        <is>
          <t>No, I don't need at all</t>
        </is>
      </c>
      <c r="AN315"/>
      <c r="AO315" t="inlineStr">
        <is>
          <t>No, I don't need at all</t>
        </is>
      </c>
      <c r="AP315" t="inlineStr">
        <is>
          <t>Once a year (25%)</t>
        </is>
      </c>
      <c r="AQ315">
        <v>2</v>
      </c>
      <c r="AR315" t="inlineStr">
        <is>
          <t>Free Job Portal</t>
        </is>
      </c>
      <c r="AS315" t="inlineStr">
        <is>
          <t>- Headcount: 2
- Hiring Job Details: 1 Qs, 1 bde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315">
        <v>110</v>
      </c>
      <c r="AU315" t="inlineStr">
        <is>
          <t>1.10</t>
        </is>
      </c>
      <c r="AV315" t="inlineStr">
        <is>
          <t>15</t>
        </is>
      </c>
      <c r="AW315" t="inlineStr">
        <is>
          <t>0</t>
        </is>
      </c>
      <c r="AX315" t="inlineStr">
        <is>
          <t>Not Qualified</t>
        </is>
      </c>
      <c r="AY315" s="4"/>
      <c r="AZ315"/>
      <c r="BA315"/>
      <c r="BB315"/>
      <c r="BC315"/>
      <c r="BD315" s="4"/>
      <c r="BE315"/>
      <c r="BF315"/>
      <c r="BG315" t="inlineStr">
        <is>
          <t>Reschedule</t>
        </is>
      </c>
      <c r="BH315" t="inlineStr">
        <is>
          <t>Edward Hoo</t>
        </is>
      </c>
      <c r="BI315"/>
      <c r="BJ315" s="4">
        <v>46144.755162037036</v>
      </c>
      <c r="BK315" s="4">
        <v>46044.56790509259</v>
      </c>
      <c r="BL315" t="inlineStr">
        <is>
          <t>0.0</t>
        </is>
      </c>
      <c r="BM315" t="inlineStr">
        <is>
          <t>0.0</t>
        </is>
      </c>
      <c r="BN315"/>
      <c r="BO315" s="4"/>
      <c r="BP315">
        <v>168899</v>
      </c>
      <c r="BQ315"/>
      <c r="BR315"/>
      <c r="BS315"/>
      <c r="BT315"/>
      <c r="BU315"/>
      <c r="BV315"/>
      <c r="BW315"/>
      <c r="BX315"/>
      <c r="BY315"/>
      <c r="BZ315" s="4"/>
      <c r="CA315"/>
      <c r="CB315"/>
      <c r="CC315" s="4"/>
      <c r="CD315" t="inlineStr">
        <is>
          <t>20</t>
        </is>
      </c>
      <c r="CE315" t="inlineStr">
        <is>
          <t>0</t>
        </is>
      </c>
      <c r="CF315" t="inlineStr">
        <is>
          <t>Q2-W04</t>
        </is>
      </c>
      <c r="CG315"/>
      <c r="CH315"/>
      <c r="CI315"/>
      <c r="CJ315" t="inlineStr">
        <is>
          <t>No Paid</t>
        </is>
      </c>
      <c r="CK315" t="inlineStr">
        <is>
          <t>Not Eligible</t>
        </is>
      </c>
      <c r="CL315"/>
      <c r="CM315"/>
    </row>
    <row r="316" ht="25.5" customHeight="1">
      <c r="A316" t="inlineStr">
        <is>
          <t>4156869</t>
        </is>
      </c>
      <c r="B316" s="2"/>
      <c r="C316"/>
      <c r="D316" s="3">
        <v>46136.727118055554</v>
      </c>
      <c r="E316" t="inlineStr">
        <is>
          <t>Q2-W04</t>
        </is>
      </c>
      <c r="F316" t="inlineStr">
        <is>
          <t>Josh</t>
        </is>
      </c>
      <c r="G316" t="inlineStr">
        <is>
          <t>Lead</t>
        </is>
      </c>
      <c r="H316" s="2" t="str">
        <f>=HYPERLINK("https://upbox.ajobthing.my/leads/4156869", "https://upbox.ajobthing.my/leads/4156869")</f>
        <v>https://upbox.ajobthing.my/leads/4156869</v>
      </c>
      <c r="I316" t="inlineStr">
        <is>
          <t>Sunwah International Sdn Bhd</t>
        </is>
      </c>
      <c r="J316" t="inlineStr">
        <is>
          <t>Small Fish</t>
        </is>
      </c>
      <c r="K316" t="inlineStr">
        <is>
          <t>Josh</t>
        </is>
      </c>
      <c r="L316" s="4"/>
      <c r="M316" s="4">
        <v>46136.72733796296</v>
      </c>
      <c r="N316"/>
      <c r="O316">
        <v>6048</v>
      </c>
      <c r="P316" s="4"/>
      <c r="Q316" s="4"/>
      <c r="R316"/>
      <c r="S316"/>
      <c r="T316" s="4"/>
      <c r="U316" s="4"/>
      <c r="V316"/>
      <c r="W316"/>
      <c r="X316"/>
      <c r="Y316" t="inlineStr">
        <is>
          <t>Pending Appointment</t>
        </is>
      </c>
      <c r="Z316" t="inlineStr">
        <is>
          <t>Hiring Later</t>
        </is>
      </c>
      <c r="AA316">
        <v>0</v>
      </c>
      <c r="AB316" t="inlineStr">
        <is>
          <t>No Appointment Made</t>
        </is>
      </c>
      <c r="AC316"/>
      <c r="AD316" t="inlineStr">
        <is>
          <t>1 hr</t>
        </is>
      </c>
      <c r="AE316"/>
      <c r="AF316">
        <v>3000</v>
      </c>
      <c r="AG316" s="4"/>
      <c r="AH316" s="4"/>
      <c r="AI316"/>
      <c r="AJ316"/>
      <c r="AK316" t="inlineStr">
        <is>
          <t>Yes, I have</t>
        </is>
      </c>
      <c r="AL316"/>
      <c r="AM316"/>
      <c r="AN316"/>
      <c r="AO316"/>
      <c r="AP316" t="inlineStr">
        <is>
          <t>Once a year (25%)</t>
        </is>
      </c>
      <c r="AQ316"/>
      <c r="AR316"/>
      <c r="AS316" t="inlineStr">
        <is>
          <t>- Headcount: 0
- Hiring Job Details: 1 hr
- Hiring Urgency: Hiring Later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316">
        <v>35</v>
      </c>
      <c r="AU316" t="inlineStr">
        <is>
          <t>0.35</t>
        </is>
      </c>
      <c r="AV316" t="inlineStr">
        <is>
          <t>15</t>
        </is>
      </c>
      <c r="AW316" t="inlineStr">
        <is>
          <t>0</t>
        </is>
      </c>
      <c r="AX316" t="inlineStr">
        <is>
          <t>Not Qualified</t>
        </is>
      </c>
      <c r="AY316" s="4"/>
      <c r="AZ316"/>
      <c r="BA316"/>
      <c r="BB316"/>
      <c r="BC316"/>
      <c r="BD316" s="4"/>
      <c r="BE316"/>
      <c r="BF316"/>
      <c r="BG316" t="inlineStr">
        <is>
          <t>Reschedule</t>
        </is>
      </c>
      <c r="BH316" t="inlineStr">
        <is>
          <t>Fauziah Maharan</t>
        </is>
      </c>
      <c r="BI316"/>
      <c r="BJ316" s="4">
        <v>46144.75554398148</v>
      </c>
      <c r="BK316" s="4">
        <v>46094.479097222225</v>
      </c>
      <c r="BL316" t="inlineStr">
        <is>
          <t>0.0</t>
        </is>
      </c>
      <c r="BM316" t="inlineStr">
        <is>
          <t>600.0</t>
        </is>
      </c>
      <c r="BN316"/>
      <c r="BO316" s="4"/>
      <c r="BP316">
        <v>168901</v>
      </c>
      <c r="BQ316"/>
      <c r="BR316"/>
      <c r="BS316"/>
      <c r="BT316"/>
      <c r="BU316"/>
      <c r="BV316"/>
      <c r="BW316"/>
      <c r="BX316"/>
      <c r="BY316"/>
      <c r="BZ316" s="4"/>
      <c r="CA316"/>
      <c r="CB316"/>
      <c r="CC316" s="4"/>
      <c r="CD316" t="inlineStr">
        <is>
          <t>20</t>
        </is>
      </c>
      <c r="CE316" t="inlineStr">
        <is>
          <t>0</t>
        </is>
      </c>
      <c r="CF316" t="inlineStr">
        <is>
          <t>Q2-W04</t>
        </is>
      </c>
      <c r="CG316"/>
      <c r="CH316"/>
      <c r="CI316"/>
      <c r="CJ316" t="inlineStr">
        <is>
          <t>No Paid</t>
        </is>
      </c>
      <c r="CK316" t="inlineStr">
        <is>
          <t>Not Eligible</t>
        </is>
      </c>
      <c r="CL316"/>
      <c r="CM316"/>
    </row>
    <row r="317" ht="25.5" customHeight="1">
      <c r="A317" t="inlineStr">
        <is>
          <t>195543</t>
        </is>
      </c>
      <c r="B317" s="2"/>
      <c r="C317"/>
      <c r="D317" s="3">
        <v>46136.73061342593</v>
      </c>
      <c r="E317" t="inlineStr">
        <is>
          <t>Q2-W04</t>
        </is>
      </c>
      <c r="F317" t="inlineStr">
        <is>
          <t>Evan</t>
        </is>
      </c>
      <c r="G317" t="inlineStr">
        <is>
          <t>Customer</t>
        </is>
      </c>
      <c r="H317" s="2" t="str">
        <f>=HYPERLINK("https://upbox.ajobthing.my/customer/195543", "https://upbox.ajobthing.my/customer/195543")</f>
        <v>https://upbox.ajobthing.my/customer/195543</v>
      </c>
      <c r="I317" t="inlineStr">
        <is>
          <t>Precy Consult</t>
        </is>
      </c>
      <c r="J317" t="inlineStr">
        <is>
          <t>Small Fish</t>
        </is>
      </c>
      <c r="K317" t="inlineStr">
        <is>
          <t>Evan</t>
        </is>
      </c>
      <c r="L317" s="4"/>
      <c r="M317" s="4">
        <v>46136.73008101852</v>
      </c>
      <c r="N317"/>
      <c r="O317">
        <v>3888</v>
      </c>
      <c r="P317" s="4"/>
      <c r="Q317" s="4"/>
      <c r="R317"/>
      <c r="S317"/>
      <c r="T317" s="4"/>
      <c r="U317" s="4"/>
      <c r="V317"/>
      <c r="W317"/>
      <c r="X317"/>
      <c r="Y317" t="inlineStr">
        <is>
          <t>Pending Appointment</t>
        </is>
      </c>
      <c r="Z317" t="inlineStr">
        <is>
          <t>Hiring Now</t>
        </is>
      </c>
      <c r="AA317">
        <v>1</v>
      </c>
      <c r="AB317" t="inlineStr">
        <is>
          <t>No Appointment Made</t>
        </is>
      </c>
      <c r="AC317"/>
      <c r="AD317" t="inlineStr">
        <is>
          <t>1 admin, all base in KL</t>
        </is>
      </c>
      <c r="AE317"/>
      <c r="AF317">
        <v>1</v>
      </c>
      <c r="AG317" s="4"/>
      <c r="AH317" s="4"/>
      <c r="AI317">
        <v>1</v>
      </c>
      <c r="AJ317">
        <v>1</v>
      </c>
      <c r="AK317" t="inlineStr">
        <is>
          <t>No, I don't need at all</t>
        </is>
      </c>
      <c r="AL317">
        <v>0</v>
      </c>
      <c r="AM317" t="inlineStr">
        <is>
          <t>No, I don't need at all</t>
        </is>
      </c>
      <c r="AN317"/>
      <c r="AO317" t="inlineStr">
        <is>
          <t>No, I don't need at all</t>
        </is>
      </c>
      <c r="AP317" t="inlineStr">
        <is>
          <t>Once a year (25%)</t>
        </is>
      </c>
      <c r="AQ317">
        <v>1</v>
      </c>
      <c r="AR317" t="inlineStr">
        <is>
          <t>Did not use any job portal</t>
        </is>
      </c>
      <c r="AS317"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317">
        <v>115</v>
      </c>
      <c r="AU317" t="inlineStr">
        <is>
          <t>1.15</t>
        </is>
      </c>
      <c r="AV317" t="inlineStr">
        <is>
          <t>15</t>
        </is>
      </c>
      <c r="AW317" t="inlineStr">
        <is>
          <t>0</t>
        </is>
      </c>
      <c r="AX317" t="inlineStr">
        <is>
          <t>Not Qualified</t>
        </is>
      </c>
      <c r="AY317" s="4"/>
      <c r="AZ317"/>
      <c r="BA317"/>
      <c r="BB317"/>
      <c r="BC317"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317" s="4">
        <v>46136.750081018516</v>
      </c>
      <c r="BE317"/>
      <c r="BF317"/>
      <c r="BG317" t="inlineStr">
        <is>
          <t>Reschedule</t>
        </is>
      </c>
      <c r="BH317" t="inlineStr">
        <is>
          <t>Edward Hoo</t>
        </is>
      </c>
      <c r="BI317"/>
      <c r="BJ317" s="4">
        <v>46144.7527662037</v>
      </c>
      <c r="BK317" s="4">
        <v>45897.889444444445</v>
      </c>
      <c r="BL317" t="inlineStr">
        <is>
          <t>0.0</t>
        </is>
      </c>
      <c r="BM317" t="inlineStr">
        <is>
          <t>0.0</t>
        </is>
      </c>
      <c r="BN317" t="inlineStr">
        <is>
          <t>View Company Page</t>
        </is>
      </c>
      <c r="BO317" s="4">
        <v>45897.88984953704</v>
      </c>
      <c r="BP317">
        <v>168903</v>
      </c>
      <c r="BQ317"/>
      <c r="BR317"/>
      <c r="BS317"/>
      <c r="BT317"/>
      <c r="BU317"/>
      <c r="BV317">
        <v>2727497</v>
      </c>
      <c r="BW317" t="inlineStr">
        <is>
          <t>Customer Inquiry</t>
        </is>
      </c>
      <c r="BX317"/>
      <c r="BY317"/>
      <c r="BZ317" s="4"/>
      <c r="CA317"/>
      <c r="CB317"/>
      <c r="CC317" s="4"/>
      <c r="CD317" t="inlineStr">
        <is>
          <t>20</t>
        </is>
      </c>
      <c r="CE317" t="inlineStr">
        <is>
          <t>0</t>
        </is>
      </c>
      <c r="CF317" t="inlineStr">
        <is>
          <t>Q2-W04</t>
        </is>
      </c>
      <c r="CG317"/>
      <c r="CH317"/>
      <c r="CI317"/>
      <c r="CJ317" t="inlineStr">
        <is>
          <t>No Paid</t>
        </is>
      </c>
      <c r="CK317" t="inlineStr">
        <is>
          <t>Not Eligible</t>
        </is>
      </c>
      <c r="CL317"/>
      <c r="CM317"/>
    </row>
    <row r="318" ht="25.5" customHeight="1">
      <c r="A318" t="inlineStr">
        <is>
          <t>202180</t>
        </is>
      </c>
      <c r="B318" s="2"/>
      <c r="C318"/>
      <c r="D318" s="3">
        <v>46136.73415509259</v>
      </c>
      <c r="E318" t="inlineStr">
        <is>
          <t>Q2-W04</t>
        </is>
      </c>
      <c r="F318" t="inlineStr">
        <is>
          <t>Josh</t>
        </is>
      </c>
      <c r="G318" t="inlineStr">
        <is>
          <t>Customer</t>
        </is>
      </c>
      <c r="H318" s="2" t="str">
        <f>=HYPERLINK("https://upbox.ajobthing.my/customer/202180", "https://upbox.ajobthing.my/customer/202180")</f>
        <v>https://upbox.ajobthing.my/customer/202180</v>
      </c>
      <c r="I318" t="inlineStr">
        <is>
          <t>Masyhur Bersatu</t>
        </is>
      </c>
      <c r="J318" t="inlineStr">
        <is>
          <t>Small Fish</t>
        </is>
      </c>
      <c r="K318" t="inlineStr">
        <is>
          <t>Josh</t>
        </is>
      </c>
      <c r="L318" s="4"/>
      <c r="M318" s="4">
        <v>46136.73217592593</v>
      </c>
      <c r="N318"/>
      <c r="O318">
        <v>6048</v>
      </c>
      <c r="P318" s="4"/>
      <c r="Q318" s="4">
        <v>46098.41751157407</v>
      </c>
      <c r="R318"/>
      <c r="S318">
        <v>0</v>
      </c>
      <c r="T318" s="4"/>
      <c r="U318" s="4"/>
      <c r="V318"/>
      <c r="W318"/>
      <c r="X318"/>
      <c r="Y318" t="inlineStr">
        <is>
          <t>Pending Appointment</t>
        </is>
      </c>
      <c r="Z318" t="inlineStr">
        <is>
          <t>Hiring Later</t>
        </is>
      </c>
      <c r="AA318">
        <v>1</v>
      </c>
      <c r="AB318" t="inlineStr">
        <is>
          <t>No Appointment Made</t>
        </is>
      </c>
      <c r="AC318"/>
      <c r="AD318" t="inlineStr">
        <is>
          <t>1 admin</t>
        </is>
      </c>
      <c r="AE318"/>
      <c r="AF318">
        <v>3000</v>
      </c>
      <c r="AG318" s="4"/>
      <c r="AH318" s="4"/>
      <c r="AI318"/>
      <c r="AJ318"/>
      <c r="AK318" t="inlineStr">
        <is>
          <t>Yes, I have</t>
        </is>
      </c>
      <c r="AL318"/>
      <c r="AM318"/>
      <c r="AN318"/>
      <c r="AO318"/>
      <c r="AP318" t="inlineStr">
        <is>
          <t>Once a year (25%)</t>
        </is>
      </c>
      <c r="AQ318"/>
      <c r="AR318"/>
      <c r="AS318" t="inlineStr">
        <is>
          <t>- Headcount: 1
- Hiring Job Details: 1 admin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318">
        <v>75</v>
      </c>
      <c r="AU318" t="inlineStr">
        <is>
          <t>0.75</t>
        </is>
      </c>
      <c r="AV318" t="inlineStr">
        <is>
          <t>15</t>
        </is>
      </c>
      <c r="AW318" t="inlineStr">
        <is>
          <t>0</t>
        </is>
      </c>
      <c r="AX318" t="inlineStr">
        <is>
          <t>Not Qualified</t>
        </is>
      </c>
      <c r="AY318" s="4"/>
      <c r="AZ318"/>
      <c r="BA318"/>
      <c r="BB318"/>
      <c r="BC318" t="inlineStr">
        <is>
          <t>- Headcount: 1
- Hiring Job Details: 1 admin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BD318" s="4">
        <v>46136.750081018516</v>
      </c>
      <c r="BE318" t="inlineStr">
        <is>
          <t>paid</t>
        </is>
      </c>
      <c r="BF318"/>
      <c r="BG318" t="inlineStr">
        <is>
          <t>Reschedule</t>
        </is>
      </c>
      <c r="BH318" t="inlineStr">
        <is>
          <t>Fauziah Maharan</t>
        </is>
      </c>
      <c r="BI318"/>
      <c r="BJ318" s="4">
        <v>46144.75398148148</v>
      </c>
      <c r="BK318" s="4">
        <v>46098.41704861111</v>
      </c>
      <c r="BL318" t="inlineStr">
        <is>
          <t>0.0</t>
        </is>
      </c>
      <c r="BM318" t="inlineStr">
        <is>
          <t>0.0</t>
        </is>
      </c>
      <c r="BN318" t="inlineStr">
        <is>
          <t>View Create Job Page V4</t>
        </is>
      </c>
      <c r="BO318" s="4">
        <v>46098.4243287037</v>
      </c>
      <c r="BP318">
        <v>168905</v>
      </c>
      <c r="BQ318">
        <v>117484</v>
      </c>
      <c r="BR318" t="inlineStr">
        <is>
          <t>Proforma</t>
        </is>
      </c>
      <c r="BS318" t="inlineStr">
        <is>
          <t>Free Singapore Job</t>
        </is>
      </c>
      <c r="BT318"/>
      <c r="BU318"/>
      <c r="BV318">
        <v>2727498</v>
      </c>
      <c r="BW318" t="inlineStr">
        <is>
          <t>Customer Inquiry</t>
        </is>
      </c>
      <c r="BX318"/>
      <c r="BY318"/>
      <c r="BZ318" s="4"/>
      <c r="CA318"/>
      <c r="CB318"/>
      <c r="CC318" s="4"/>
      <c r="CD318" t="inlineStr">
        <is>
          <t>20</t>
        </is>
      </c>
      <c r="CE318" t="inlineStr">
        <is>
          <t>0</t>
        </is>
      </c>
      <c r="CF318" t="inlineStr">
        <is>
          <t>Q2-W04</t>
        </is>
      </c>
      <c r="CG318" t="inlineStr">
        <is>
          <t>Q1-W11</t>
        </is>
      </c>
      <c r="CH318"/>
      <c r="CI318"/>
      <c r="CJ318" t="inlineStr">
        <is>
          <t>No Paid</t>
        </is>
      </c>
      <c r="CK318" t="inlineStr">
        <is>
          <t>Not Eligible</t>
        </is>
      </c>
      <c r="CL318"/>
      <c r="CM318"/>
    </row>
    <row r="319" ht="25.5" customHeight="1">
      <c r="A319" t="inlineStr">
        <is>
          <t>25647</t>
        </is>
      </c>
      <c r="B319" s="2"/>
      <c r="C319"/>
      <c r="D319" s="3">
        <v>46136.736666666664</v>
      </c>
      <c r="E319" t="inlineStr">
        <is>
          <t>Q2-W04</t>
        </is>
      </c>
      <c r="F319" t="inlineStr">
        <is>
          <t>Lucas</t>
        </is>
      </c>
      <c r="G319" t="inlineStr">
        <is>
          <t>Customer</t>
        </is>
      </c>
      <c r="H319" s="2" t="str">
        <f>=HYPERLINK("https://upbox.ajobthing.my/customer/25647", "https://upbox.ajobthing.my/customer/25647")</f>
        <v>https://upbox.ajobthing.my/customer/25647</v>
      </c>
      <c r="I319" t="inlineStr">
        <is>
          <t>Myconsult Sdn Bhd</t>
        </is>
      </c>
      <c r="J319" t="inlineStr">
        <is>
          <t>Small Fish</t>
        </is>
      </c>
      <c r="K319" t="inlineStr">
        <is>
          <t>Lucas</t>
        </is>
      </c>
      <c r="L319" s="4"/>
      <c r="M319" s="4">
        <v>46136.731944444444</v>
      </c>
      <c r="N319"/>
      <c r="O319">
        <v>3888</v>
      </c>
      <c r="P319" s="4"/>
      <c r="Q319" s="4">
        <v>44882.484814814816</v>
      </c>
      <c r="R319"/>
      <c r="S319">
        <v>318</v>
      </c>
      <c r="T319" s="4">
        <v>44882.484814814816</v>
      </c>
      <c r="U319" s="4"/>
      <c r="V319"/>
      <c r="W319">
        <v>318</v>
      </c>
      <c r="X319"/>
      <c r="Y319" t="inlineStr">
        <is>
          <t>Pending Appointment</t>
        </is>
      </c>
      <c r="Z319" t="inlineStr">
        <is>
          <t>Hiring Now</t>
        </is>
      </c>
      <c r="AA319">
        <v>1</v>
      </c>
      <c r="AB319" t="inlineStr">
        <is>
          <t>No Appointment Made</t>
        </is>
      </c>
      <c r="AC319"/>
      <c r="AD319" t="inlineStr">
        <is>
          <t xml:space="preserve">1 senior accountant </t>
        </is>
      </c>
      <c r="AE319"/>
      <c r="AF319">
        <v>0</v>
      </c>
      <c r="AG319" s="4"/>
      <c r="AH319" s="4"/>
      <c r="AI319">
        <v>0</v>
      </c>
      <c r="AJ319">
        <v>0</v>
      </c>
      <c r="AK319" t="inlineStr">
        <is>
          <t>No, I don't need at all</t>
        </is>
      </c>
      <c r="AL319">
        <v>0</v>
      </c>
      <c r="AM319" t="inlineStr">
        <is>
          <t>No, I don't need at all</t>
        </is>
      </c>
      <c r="AN319"/>
      <c r="AO319" t="inlineStr">
        <is>
          <t>No, I don't need at all</t>
        </is>
      </c>
      <c r="AP319" t="inlineStr">
        <is>
          <t>Once a year (25%)</t>
        </is>
      </c>
      <c r="AQ319">
        <v>1</v>
      </c>
      <c r="AR319" t="inlineStr">
        <is>
          <t>Did not use any job portal</t>
        </is>
      </c>
      <c r="AS319" t="inlineStr">
        <is>
          <t>- Headcount: 1
- Hiring Job Details: 1 senior accountant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319">
        <v>105</v>
      </c>
      <c r="AU319" t="inlineStr">
        <is>
          <t>1.05</t>
        </is>
      </c>
      <c r="AV319" t="inlineStr">
        <is>
          <t>15</t>
        </is>
      </c>
      <c r="AW319" t="inlineStr">
        <is>
          <t>0</t>
        </is>
      </c>
      <c r="AX319" t="inlineStr">
        <is>
          <t>Not Qualified</t>
        </is>
      </c>
      <c r="AY319" s="4"/>
      <c r="AZ319"/>
      <c r="BA319"/>
      <c r="BB319"/>
      <c r="BC319" t="inlineStr">
        <is>
          <t>follow up call , will pass to high management</t>
        </is>
      </c>
      <c r="BD319" s="4">
        <v>46141.46532407407</v>
      </c>
      <c r="BE319" t="inlineStr">
        <is>
          <t>paid</t>
        </is>
      </c>
      <c r="BF319"/>
      <c r="BG319" t="inlineStr">
        <is>
          <t>Reschedule</t>
        </is>
      </c>
      <c r="BH319" t="inlineStr">
        <is>
          <t>Yee Hang</t>
        </is>
      </c>
      <c r="BI319" t="inlineStr">
        <is>
          <t>Accounting / Tax Services</t>
        </is>
      </c>
      <c r="BJ319" s="4">
        <v>46144.75446759259</v>
      </c>
      <c r="BK319" s="4">
        <v>42562.45628472222</v>
      </c>
      <c r="BL319" t="inlineStr">
        <is>
          <t>0.0</t>
        </is>
      </c>
      <c r="BM319" t="inlineStr">
        <is>
          <t>0.0</t>
        </is>
      </c>
      <c r="BN319" t="inlineStr">
        <is>
          <t>View Jobmanager Page</t>
        </is>
      </c>
      <c r="BO319" s="4">
        <v>45327.439467592594</v>
      </c>
      <c r="BP319">
        <v>168904</v>
      </c>
      <c r="BQ319">
        <v>52740</v>
      </c>
      <c r="BR319" t="inlineStr">
        <is>
          <t>Online</t>
        </is>
      </c>
      <c r="BS319"/>
      <c r="BT319">
        <v>52740</v>
      </c>
      <c r="BU319"/>
      <c r="BV319">
        <v>2734628</v>
      </c>
      <c r="BW319" t="inlineStr">
        <is>
          <t>Follow Up : Decision Pending</t>
        </is>
      </c>
      <c r="BX319"/>
      <c r="BY319"/>
      <c r="BZ319" s="4"/>
      <c r="CA319"/>
      <c r="CB319"/>
      <c r="CC319" s="4"/>
      <c r="CD319" t="inlineStr">
        <is>
          <t>20</t>
        </is>
      </c>
      <c r="CE319" t="inlineStr">
        <is>
          <t>0</t>
        </is>
      </c>
      <c r="CF319" t="inlineStr">
        <is>
          <t>Q2-W04</t>
        </is>
      </c>
      <c r="CG319"/>
      <c r="CH319"/>
      <c r="CI319"/>
      <c r="CJ319" t="inlineStr">
        <is>
          <t>Paid</t>
        </is>
      </c>
      <c r="CK319" t="inlineStr">
        <is>
          <t>Not Eligible</t>
        </is>
      </c>
      <c r="CL319"/>
      <c r="CM319"/>
    </row>
    <row r="320" ht="25.5" customHeight="1">
      <c r="A320" t="inlineStr">
        <is>
          <t>4204769</t>
        </is>
      </c>
      <c r="B320" s="2"/>
      <c r="C320"/>
      <c r="D320" s="3">
        <v>46136.73711805556</v>
      </c>
      <c r="E320" t="inlineStr">
        <is>
          <t>Q2-W04</t>
        </is>
      </c>
      <c r="F320" t="inlineStr">
        <is>
          <t>Josh</t>
        </is>
      </c>
      <c r="G320" t="inlineStr">
        <is>
          <t>Lead</t>
        </is>
      </c>
      <c r="H320" s="2" t="str">
        <f>=HYPERLINK("https://upbox.ajobthing.my/leads/4204769", "https://upbox.ajobthing.my/leads/4204769")</f>
        <v>https://upbox.ajobthing.my/leads/4204769</v>
      </c>
      <c r="I320" t="inlineStr">
        <is>
          <t>Alfatah plumbing services</t>
        </is>
      </c>
      <c r="J320" t="inlineStr">
        <is>
          <t>Small Fish</t>
        </is>
      </c>
      <c r="K320" t="inlineStr">
        <is>
          <t>Josh</t>
        </is>
      </c>
      <c r="L320" s="4"/>
      <c r="M320" s="4">
        <v>46136.73726851852</v>
      </c>
      <c r="N320"/>
      <c r="O320">
        <v>864</v>
      </c>
      <c r="P320" s="4"/>
      <c r="Q320" s="4"/>
      <c r="R320"/>
      <c r="S320"/>
      <c r="T320" s="4"/>
      <c r="U320" s="4"/>
      <c r="V320"/>
      <c r="W320"/>
      <c r="X320"/>
      <c r="Y320" t="inlineStr">
        <is>
          <t>Pending Appointment</t>
        </is>
      </c>
      <c r="Z320" t="inlineStr">
        <is>
          <t>Hiring Now</t>
        </is>
      </c>
      <c r="AA320">
        <v>2</v>
      </c>
      <c r="AB320" t="inlineStr">
        <is>
          <t>No Appointment Made</t>
        </is>
      </c>
      <c r="AC320"/>
      <c r="AD320" t="inlineStr">
        <is>
          <t>2 technician</t>
        </is>
      </c>
      <c r="AE320"/>
      <c r="AF320">
        <v>1000</v>
      </c>
      <c r="AG320" s="4"/>
      <c r="AH320" s="4"/>
      <c r="AI320"/>
      <c r="AJ320"/>
      <c r="AK320"/>
      <c r="AL320"/>
      <c r="AM320"/>
      <c r="AN320"/>
      <c r="AO320"/>
      <c r="AP320" t="inlineStr">
        <is>
          <t>Once a year (25%)</t>
        </is>
      </c>
      <c r="AQ320"/>
      <c r="AR320"/>
      <c r="AS320" t="inlineStr">
        <is>
          <t>- Headcount: 2
- Hiring Job Details: 2 technician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320">
        <v>75</v>
      </c>
      <c r="AU320" t="inlineStr">
        <is>
          <t>0.75</t>
        </is>
      </c>
      <c r="AV320" t="inlineStr">
        <is>
          <t>15</t>
        </is>
      </c>
      <c r="AW320" t="inlineStr">
        <is>
          <t>0</t>
        </is>
      </c>
      <c r="AX320" t="inlineStr">
        <is>
          <t>Not Qualified</t>
        </is>
      </c>
      <c r="AY320" s="4"/>
      <c r="AZ320"/>
      <c r="BA320"/>
      <c r="BB320"/>
      <c r="BC320"/>
      <c r="BD320" s="4"/>
      <c r="BE320"/>
      <c r="BF320"/>
      <c r="BG320" t="inlineStr">
        <is>
          <t>Reschedule</t>
        </is>
      </c>
      <c r="BH320" t="inlineStr">
        <is>
          <t>Fauziah Maharan</t>
        </is>
      </c>
      <c r="BI320"/>
      <c r="BJ320" s="4">
        <v>46144.75564814815</v>
      </c>
      <c r="BK320" s="4">
        <v>46108.725173611114</v>
      </c>
      <c r="BL320" t="inlineStr">
        <is>
          <t>0.0</t>
        </is>
      </c>
      <c r="BM320" t="inlineStr">
        <is>
          <t>0.0</t>
        </is>
      </c>
      <c r="BN320"/>
      <c r="BO320" s="4"/>
      <c r="BP320">
        <v>168906</v>
      </c>
      <c r="BQ320"/>
      <c r="BR320"/>
      <c r="BS320"/>
      <c r="BT320"/>
      <c r="BU320"/>
      <c r="BV320"/>
      <c r="BW320"/>
      <c r="BX320"/>
      <c r="BY320"/>
      <c r="BZ320" s="4"/>
      <c r="CA320"/>
      <c r="CB320"/>
      <c r="CC320" s="4"/>
      <c r="CD320" t="inlineStr">
        <is>
          <t>20</t>
        </is>
      </c>
      <c r="CE320" t="inlineStr">
        <is>
          <t>0</t>
        </is>
      </c>
      <c r="CF320" t="inlineStr">
        <is>
          <t>Q2-W04</t>
        </is>
      </c>
      <c r="CG320"/>
      <c r="CH320"/>
      <c r="CI320"/>
      <c r="CJ320" t="inlineStr">
        <is>
          <t>No Paid</t>
        </is>
      </c>
      <c r="CK320" t="inlineStr">
        <is>
          <t>Not Eligible</t>
        </is>
      </c>
      <c r="CL320"/>
      <c r="CM320"/>
    </row>
    <row r="321" ht="25.5" customHeight="1">
      <c r="A321" t="inlineStr">
        <is>
          <t>191398</t>
        </is>
      </c>
      <c r="B321" s="2"/>
      <c r="C321"/>
      <c r="D321" s="3">
        <v>46136.752604166664</v>
      </c>
      <c r="E321" t="inlineStr">
        <is>
          <t>Q2-W04</t>
        </is>
      </c>
      <c r="F321" t="inlineStr">
        <is>
          <t>Jeff Lee</t>
        </is>
      </c>
      <c r="G321" t="inlineStr">
        <is>
          <t>Customer</t>
        </is>
      </c>
      <c r="H321" s="2" t="str">
        <f>=HYPERLINK("https://upbox.ajobthing.my/customer/191398", "https://upbox.ajobthing.my/customer/191398")</f>
        <v>https://upbox.ajobthing.my/customer/191398</v>
      </c>
      <c r="I321" t="inlineStr">
        <is>
          <t>Tag Unity</t>
        </is>
      </c>
      <c r="J321" t="inlineStr">
        <is>
          <t>Small Fish</t>
        </is>
      </c>
      <c r="K321" t="inlineStr">
        <is>
          <t>Jeff Lee</t>
        </is>
      </c>
      <c r="L321" s="4"/>
      <c r="M321" s="4">
        <v>46136.75059027778</v>
      </c>
      <c r="N321"/>
      <c r="O321">
        <v>3888</v>
      </c>
      <c r="P321" s="4"/>
      <c r="Q321" s="4"/>
      <c r="R321"/>
      <c r="S321"/>
      <c r="T321" s="4"/>
      <c r="U321" s="4"/>
      <c r="V321"/>
      <c r="W321"/>
      <c r="X321"/>
      <c r="Y321" t="inlineStr">
        <is>
          <t>Pending Appointment</t>
        </is>
      </c>
      <c r="Z321" t="inlineStr">
        <is>
          <t>Hiring Now</t>
        </is>
      </c>
      <c r="AA321">
        <v>1</v>
      </c>
      <c r="AB321" t="inlineStr">
        <is>
          <t>No Appointment Made</t>
        </is>
      </c>
      <c r="AC321"/>
      <c r="AD321" t="inlineStr">
        <is>
          <t>1 clerk</t>
        </is>
      </c>
      <c r="AE321"/>
      <c r="AF321">
        <v>0</v>
      </c>
      <c r="AG321" s="4"/>
      <c r="AH321" s="4"/>
      <c r="AI321">
        <v>0</v>
      </c>
      <c r="AJ321">
        <v>0</v>
      </c>
      <c r="AK321" t="inlineStr">
        <is>
          <t>No, I don't need at all</t>
        </is>
      </c>
      <c r="AL321">
        <v>0</v>
      </c>
      <c r="AM321" t="inlineStr">
        <is>
          <t>No, I don't need at all</t>
        </is>
      </c>
      <c r="AN321"/>
      <c r="AO321" t="inlineStr">
        <is>
          <t>No, I don't need at all</t>
        </is>
      </c>
      <c r="AP321" t="inlineStr">
        <is>
          <t>Once a year (25%)</t>
        </is>
      </c>
      <c r="AQ321">
        <v>1</v>
      </c>
      <c r="AR321" t="inlineStr">
        <is>
          <t>Did not use any job portal</t>
        </is>
      </c>
      <c r="AS321" t="inlineStr">
        <is>
          <t>- Headcount: 1
- Hiring Job Details: 1 clerk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321">
        <v>105</v>
      </c>
      <c r="AU321" t="inlineStr">
        <is>
          <t>1.05</t>
        </is>
      </c>
      <c r="AV321" t="inlineStr">
        <is>
          <t>15</t>
        </is>
      </c>
      <c r="AW321" t="inlineStr">
        <is>
          <t>0</t>
        </is>
      </c>
      <c r="AX321" t="inlineStr">
        <is>
          <t>Not Qualified</t>
        </is>
      </c>
      <c r="AY321" s="4"/>
      <c r="AZ321"/>
      <c r="BA321"/>
      <c r="BB321"/>
      <c r="BC321" t="inlineStr">
        <is>
          <t>No hiring</t>
        </is>
      </c>
      <c r="BD321" s="4">
        <v>46139.40793981482</v>
      </c>
      <c r="BE321"/>
      <c r="BF321"/>
      <c r="BG321" t="inlineStr">
        <is>
          <t>Reschedule</t>
        </is>
      </c>
      <c r="BH321" t="inlineStr">
        <is>
          <t>Yee Hang</t>
        </is>
      </c>
      <c r="BI321" t="inlineStr">
        <is>
          <t>Property / Real Estate</t>
        </is>
      </c>
      <c r="BJ321" s="4">
        <v>46144.752430555556</v>
      </c>
      <c r="BK321" s="4">
        <v>45795.03109953704</v>
      </c>
      <c r="BL321" t="inlineStr">
        <is>
          <t>0.0</t>
        </is>
      </c>
      <c r="BM321" t="inlineStr">
        <is>
          <t>0.0</t>
        </is>
      </c>
      <c r="BN321" t="inlineStr">
        <is>
          <t>View Jobmanager Page</t>
        </is>
      </c>
      <c r="BO321" s="4">
        <v>45795.32821759259</v>
      </c>
      <c r="BP321">
        <v>168908</v>
      </c>
      <c r="BQ321"/>
      <c r="BR321"/>
      <c r="BS321"/>
      <c r="BT321"/>
      <c r="BU321"/>
      <c r="BV321">
        <v>2728198</v>
      </c>
      <c r="BW321" t="inlineStr">
        <is>
          <t>Follow Up : Lost - Free Portal</t>
        </is>
      </c>
      <c r="BX321"/>
      <c r="BY321"/>
      <c r="BZ321" s="4"/>
      <c r="CA321"/>
      <c r="CB321"/>
      <c r="CC321" s="4"/>
      <c r="CD321" t="inlineStr">
        <is>
          <t>20</t>
        </is>
      </c>
      <c r="CE321" t="inlineStr">
        <is>
          <t>0</t>
        </is>
      </c>
      <c r="CF321" t="inlineStr">
        <is>
          <t>Q2-W04</t>
        </is>
      </c>
      <c r="CG321"/>
      <c r="CH321"/>
      <c r="CI321"/>
      <c r="CJ321" t="inlineStr">
        <is>
          <t>No Paid</t>
        </is>
      </c>
      <c r="CK321" t="inlineStr">
        <is>
          <t>Not Eligible</t>
        </is>
      </c>
      <c r="CL321"/>
      <c r="CM321"/>
    </row>
    <row r="322" ht="25.5" customHeight="1">
      <c r="A322" t="inlineStr">
        <is>
          <t>178409</t>
        </is>
      </c>
      <c r="B322" s="2"/>
      <c r="C322"/>
      <c r="D322" s="3">
        <v>46136.76497685185</v>
      </c>
      <c r="E322" t="inlineStr">
        <is>
          <t>Q2-W04</t>
        </is>
      </c>
      <c r="F322" t="inlineStr">
        <is>
          <t>Janice Yap</t>
        </is>
      </c>
      <c r="G322" t="inlineStr">
        <is>
          <t>Customer</t>
        </is>
      </c>
      <c r="H322" s="2" t="str">
        <f>=HYPERLINK("https://upbox.ajobthing.my/customer/178409", "https://upbox.ajobthing.my/customer/178409")</f>
        <v>https://upbox.ajobthing.my/customer/178409</v>
      </c>
      <c r="I322" t="inlineStr">
        <is>
          <t>Bconnect Speech Therapy And Development Centre Sdn. Bhd.</t>
        </is>
      </c>
      <c r="J322" t="inlineStr">
        <is>
          <t>Small Fish</t>
        </is>
      </c>
      <c r="K322" t="inlineStr">
        <is>
          <t>Janice</t>
        </is>
      </c>
      <c r="L322" s="4"/>
      <c r="M322" s="4">
        <v>46136.76126157407</v>
      </c>
      <c r="N322"/>
      <c r="O322">
        <v>3888</v>
      </c>
      <c r="P322" s="4"/>
      <c r="Q322" s="4">
        <v>45426.93298611111</v>
      </c>
      <c r="R322"/>
      <c r="S322">
        <v>756</v>
      </c>
      <c r="T322" s="4">
        <v>45426.93298611111</v>
      </c>
      <c r="U322" s="4"/>
      <c r="V322"/>
      <c r="W322">
        <v>756</v>
      </c>
      <c r="X322"/>
      <c r="Y322" t="inlineStr">
        <is>
          <t>Pending Appointment</t>
        </is>
      </c>
      <c r="Z322" t="inlineStr">
        <is>
          <t>Hiring Now</t>
        </is>
      </c>
      <c r="AA322">
        <v>4</v>
      </c>
      <c r="AB322" t="inlineStr">
        <is>
          <t>No Appointment Made</t>
        </is>
      </c>
      <c r="AC322"/>
      <c r="AD322" t="inlineStr">
        <is>
          <t>2 therapist // 1 speech therapist // 1 admin</t>
        </is>
      </c>
      <c r="AE322"/>
      <c r="AF322">
        <v>0</v>
      </c>
      <c r="AG322" s="4"/>
      <c r="AH322" s="4"/>
      <c r="AI322">
        <v>0</v>
      </c>
      <c r="AJ322"/>
      <c r="AK322" t="inlineStr">
        <is>
          <t>No, I don't need at all</t>
        </is>
      </c>
      <c r="AL322">
        <v>0</v>
      </c>
      <c r="AM322" t="inlineStr">
        <is>
          <t>No, I don't need at all</t>
        </is>
      </c>
      <c r="AN322"/>
      <c r="AO322" t="inlineStr">
        <is>
          <t>No, I don't need at all</t>
        </is>
      </c>
      <c r="AP322" t="inlineStr">
        <is>
          <t>Once a year (25%)</t>
        </is>
      </c>
      <c r="AQ322">
        <v>4</v>
      </c>
      <c r="AR322" t="inlineStr">
        <is>
          <t>Jobstreet, Indeed (Paid)</t>
        </is>
      </c>
      <c r="AS322" t="inlineStr">
        <is>
          <t>- Headcount: 4
- Hiring Job Details: 2 therapist, 1 speech therapist,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Jobstreet, Indeed (Paid)</t>
        </is>
      </c>
      <c r="AT322">
        <v>115</v>
      </c>
      <c r="AU322" t="inlineStr">
        <is>
          <t>1.15</t>
        </is>
      </c>
      <c r="AV322" t="inlineStr">
        <is>
          <t>15</t>
        </is>
      </c>
      <c r="AW322" t="inlineStr">
        <is>
          <t>0</t>
        </is>
      </c>
      <c r="AX322" t="inlineStr">
        <is>
          <t>Not Qualified</t>
        </is>
      </c>
      <c r="AY322" s="4"/>
      <c r="AZ322"/>
      <c r="BA322"/>
      <c r="BB322"/>
      <c r="BC322" t="inlineStr">
        <is>
          <t>No answer</t>
        </is>
      </c>
      <c r="BD322" s="4">
        <v>46142.68822916667</v>
      </c>
      <c r="BE322" t="inlineStr">
        <is>
          <t>paid</t>
        </is>
      </c>
      <c r="BF322"/>
      <c r="BG322" t="inlineStr">
        <is>
          <t>Reschedule</t>
        </is>
      </c>
      <c r="BH322" t="inlineStr">
        <is>
          <t>Yee Hang</t>
        </is>
      </c>
      <c r="BI322" t="inlineStr">
        <is>
          <t>Healthcare / Medical</t>
        </is>
      </c>
      <c r="BJ322" s="4">
        <v>46144.75173611111</v>
      </c>
      <c r="BK322" s="4">
        <v>45426.91577546296</v>
      </c>
      <c r="BL322" t="inlineStr">
        <is>
          <t>0.0</t>
        </is>
      </c>
      <c r="BM322" t="inlineStr">
        <is>
          <t>600.0</t>
        </is>
      </c>
      <c r="BN322" t="inlineStr">
        <is>
          <t>View Candidate Search Page</t>
        </is>
      </c>
      <c r="BO322" s="4">
        <v>45989.455300925925</v>
      </c>
      <c r="BP322">
        <v>168917</v>
      </c>
      <c r="BQ322">
        <v>69133</v>
      </c>
      <c r="BR322" t="inlineStr">
        <is>
          <t>Online</t>
        </is>
      </c>
      <c r="BS322"/>
      <c r="BT322">
        <v>69133</v>
      </c>
      <c r="BU322"/>
      <c r="BV322">
        <v>2738194</v>
      </c>
      <c r="BW322" t="inlineStr">
        <is>
          <t>No Answer : Voicemail - WA sent to customer</t>
        </is>
      </c>
      <c r="BX322"/>
      <c r="BY322"/>
      <c r="BZ322" s="4"/>
      <c r="CA322"/>
      <c r="CB322"/>
      <c r="CC322" s="4"/>
      <c r="CD322" t="inlineStr">
        <is>
          <t>20</t>
        </is>
      </c>
      <c r="CE322" t="inlineStr">
        <is>
          <t>0</t>
        </is>
      </c>
      <c r="CF322" t="inlineStr">
        <is>
          <t>Q2-W04</t>
        </is>
      </c>
      <c r="CG322"/>
      <c r="CH322"/>
      <c r="CI322"/>
      <c r="CJ322" t="inlineStr">
        <is>
          <t>Paid</t>
        </is>
      </c>
      <c r="CK322" t="inlineStr">
        <is>
          <t>Not Eligible</t>
        </is>
      </c>
      <c r="CL322"/>
      <c r="CM322"/>
    </row>
    <row r="323" ht="25.5" customHeight="1">
      <c r="A323" t="inlineStr">
        <is>
          <t>197156</t>
        </is>
      </c>
      <c r="B323" s="2"/>
      <c r="C323"/>
      <c r="D323" s="3">
        <v>46139.39979166666</v>
      </c>
      <c r="E323" t="inlineStr">
        <is>
          <t>Q2-W04</t>
        </is>
      </c>
      <c r="F323" t="inlineStr">
        <is>
          <t>Keegan</t>
        </is>
      </c>
      <c r="G323" t="inlineStr">
        <is>
          <t>Customer</t>
        </is>
      </c>
      <c r="H323" s="2" t="str">
        <f>=HYPERLINK("https://upbox.ajobthing.my/customer/197156", "https://upbox.ajobthing.my/customer/197156")</f>
        <v>https://upbox.ajobthing.my/customer/197156</v>
      </c>
      <c r="I323" t="inlineStr">
        <is>
          <t>CSK Advisory Sdn Bhd</t>
        </is>
      </c>
      <c r="J323" t="inlineStr">
        <is>
          <t>Small Fish</t>
        </is>
      </c>
      <c r="K323" t="inlineStr">
        <is>
          <t>Keegan</t>
        </is>
      </c>
      <c r="L323" s="4"/>
      <c r="M323" s="4">
        <v>46139.39989583333</v>
      </c>
      <c r="N323"/>
      <c r="O323">
        <v>3672</v>
      </c>
      <c r="P323" s="4"/>
      <c r="Q323" s="4"/>
      <c r="R323"/>
      <c r="S323"/>
      <c r="T323" s="4"/>
      <c r="U323" s="4"/>
      <c r="V323"/>
      <c r="W323"/>
      <c r="X323"/>
      <c r="Y323" t="inlineStr">
        <is>
          <t>Pending Appointment</t>
        </is>
      </c>
      <c r="Z323" t="inlineStr">
        <is>
          <t>Hiring Now</t>
        </is>
      </c>
      <c r="AA323">
        <v>1</v>
      </c>
      <c r="AB323" t="inlineStr">
        <is>
          <t>No Appointment Made</t>
        </is>
      </c>
      <c r="AC323"/>
      <c r="AD323" t="inlineStr">
        <is>
          <t xml:space="preserve">1. Admin </t>
        </is>
      </c>
      <c r="AE323"/>
      <c r="AF323"/>
      <c r="AG323" s="4"/>
      <c r="AH323" s="4"/>
      <c r="AI323"/>
      <c r="AJ323">
        <v>1</v>
      </c>
      <c r="AK323" t="inlineStr">
        <is>
          <t>No, I don't need at all</t>
        </is>
      </c>
      <c r="AL323">
        <v>0</v>
      </c>
      <c r="AM323" t="inlineStr">
        <is>
          <t>No, I don't need at all</t>
        </is>
      </c>
      <c r="AN323"/>
      <c r="AO323" t="inlineStr">
        <is>
          <t>No, I don't need at all</t>
        </is>
      </c>
      <c r="AP323" t="inlineStr">
        <is>
          <t>Once per quarter (75%)</t>
        </is>
      </c>
      <c r="AQ323"/>
      <c r="AR323" t="inlineStr">
        <is>
          <t>Did not use any job portal</t>
        </is>
      </c>
      <c r="AS323"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323">
        <v>95</v>
      </c>
      <c r="AU323" t="inlineStr">
        <is>
          <t>0.95</t>
        </is>
      </c>
      <c r="AV323" t="inlineStr">
        <is>
          <t>5</t>
        </is>
      </c>
      <c r="AW323" t="inlineStr">
        <is>
          <t>0</t>
        </is>
      </c>
      <c r="AX323" t="inlineStr">
        <is>
          <t>Not Qualified</t>
        </is>
      </c>
      <c r="AY323" s="4"/>
      <c r="AZ323"/>
      <c r="BA323"/>
      <c r="BB323"/>
      <c r="BC323" t="inlineStr">
        <is>
          <t>Still pending decision</t>
        </is>
      </c>
      <c r="BD323" s="4">
        <v>46142.691655092596</v>
      </c>
      <c r="BE323"/>
      <c r="BF323"/>
      <c r="BG323" t="inlineStr">
        <is>
          <t>Reschedule</t>
        </is>
      </c>
      <c r="BH323" t="inlineStr">
        <is>
          <t>Edward Hoo</t>
        </is>
      </c>
      <c r="BI323" t="inlineStr">
        <is>
          <t>Insurance</t>
        </is>
      </c>
      <c r="BJ323" s="4">
        <v>46144.75288194444</v>
      </c>
      <c r="BK323" s="4">
        <v>45943.477326388886</v>
      </c>
      <c r="BL323" t="inlineStr">
        <is>
          <t>0.0</t>
        </is>
      </c>
      <c r="BM323" t="inlineStr">
        <is>
          <t>0.0</t>
        </is>
      </c>
      <c r="BN323" t="inlineStr">
        <is>
          <t>View Company Page</t>
        </is>
      </c>
      <c r="BO323" s="4">
        <v>45968.39604166667</v>
      </c>
      <c r="BP323">
        <v>168925</v>
      </c>
      <c r="BQ323"/>
      <c r="BR323"/>
      <c r="BS323"/>
      <c r="BT323"/>
      <c r="BU323"/>
      <c r="BV323">
        <v>2738206</v>
      </c>
      <c r="BW323" t="inlineStr">
        <is>
          <t>Follow Up : Decision Pending</t>
        </is>
      </c>
      <c r="BX323"/>
      <c r="BY323"/>
      <c r="BZ323" s="4"/>
      <c r="CA323"/>
      <c r="CB323"/>
      <c r="CC323" s="4"/>
      <c r="CD323" t="inlineStr">
        <is>
          <t>5</t>
        </is>
      </c>
      <c r="CE323" t="inlineStr">
        <is>
          <t>0</t>
        </is>
      </c>
      <c r="CF323" t="inlineStr">
        <is>
          <t>Q2-W04</t>
        </is>
      </c>
      <c r="CG323"/>
      <c r="CH323"/>
      <c r="CI323"/>
      <c r="CJ323" t="inlineStr">
        <is>
          <t>No Paid</t>
        </is>
      </c>
      <c r="CK323" t="inlineStr">
        <is>
          <t>Not Eligible</t>
        </is>
      </c>
      <c r="CL323"/>
      <c r="CM323"/>
    </row>
    <row r="324" ht="25.5" customHeight="1">
      <c r="A324" t="inlineStr">
        <is>
          <t>203685</t>
        </is>
      </c>
      <c r="B324" s="2"/>
      <c r="C324"/>
      <c r="D324" s="3">
        <v>46139.404074074075</v>
      </c>
      <c r="E324" t="inlineStr">
        <is>
          <t>Q2-W04</t>
        </is>
      </c>
      <c r="F324" t="inlineStr">
        <is>
          <t>Janice Yap</t>
        </is>
      </c>
      <c r="G324" t="inlineStr">
        <is>
          <t>Customer</t>
        </is>
      </c>
      <c r="H324" s="2" t="str">
        <f>=HYPERLINK("https://upbox.ajobthing.my/customer/203685", "https://upbox.ajobthing.my/customer/203685")</f>
        <v>https://upbox.ajobthing.my/customer/203685</v>
      </c>
      <c r="I324" t="inlineStr">
        <is>
          <t>Capture Consulting</t>
        </is>
      </c>
      <c r="J324" t="inlineStr">
        <is>
          <t>Small Fish</t>
        </is>
      </c>
      <c r="K324" t="inlineStr">
        <is>
          <t>Janice</t>
        </is>
      </c>
      <c r="L324" s="4"/>
      <c r="M324" s="4">
        <v>46139.40112268519</v>
      </c>
      <c r="N324"/>
      <c r="O324">
        <v>3888</v>
      </c>
      <c r="P324" s="4"/>
      <c r="Q324" s="4"/>
      <c r="R324"/>
      <c r="S324"/>
      <c r="T324" s="4"/>
      <c r="U324" s="4"/>
      <c r="V324"/>
      <c r="W324"/>
      <c r="X324"/>
      <c r="Y324" t="inlineStr">
        <is>
          <t>Pending Appointment</t>
        </is>
      </c>
      <c r="Z324" t="inlineStr">
        <is>
          <t>Hiring Now</t>
        </is>
      </c>
      <c r="AA324">
        <v>2</v>
      </c>
      <c r="AB324" t="inlineStr">
        <is>
          <t>No Appointment Made</t>
        </is>
      </c>
      <c r="AC324"/>
      <c r="AD324" t="inlineStr">
        <is>
          <t>1 finance // 1 account</t>
        </is>
      </c>
      <c r="AE324"/>
      <c r="AF324">
        <v>0</v>
      </c>
      <c r="AG324" s="4"/>
      <c r="AH324" s="4"/>
      <c r="AI324">
        <v>0</v>
      </c>
      <c r="AJ324"/>
      <c r="AK324" t="inlineStr">
        <is>
          <t>No, I don't need at all</t>
        </is>
      </c>
      <c r="AL324">
        <v>0</v>
      </c>
      <c r="AM324" t="inlineStr">
        <is>
          <t>No, I don't need at all</t>
        </is>
      </c>
      <c r="AN324"/>
      <c r="AO324" t="inlineStr">
        <is>
          <t>No, I don't need at all</t>
        </is>
      </c>
      <c r="AP324" t="inlineStr">
        <is>
          <t>Once a year (25%)</t>
        </is>
      </c>
      <c r="AQ324">
        <v>2</v>
      </c>
      <c r="AR324" t="inlineStr">
        <is>
          <t>Free Job Portal</t>
        </is>
      </c>
      <c r="AS324" t="inlineStr">
        <is>
          <t>- Headcount: 2
- Hiring Job Details: 1 finance // 1 account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AT324">
        <v>100</v>
      </c>
      <c r="AU324" t="inlineStr">
        <is>
          <t>1.00</t>
        </is>
      </c>
      <c r="AV324" t="inlineStr">
        <is>
          <t>15</t>
        </is>
      </c>
      <c r="AW324" t="inlineStr">
        <is>
          <t>0</t>
        </is>
      </c>
      <c r="AX324" t="inlineStr">
        <is>
          <t>Not Qualified</t>
        </is>
      </c>
      <c r="AY324" s="4"/>
      <c r="AZ324"/>
      <c r="BA324"/>
      <c r="BB324"/>
      <c r="BC324" t="inlineStr">
        <is>
          <t>PIC having lunch // pending</t>
        </is>
      </c>
      <c r="BD324" s="4">
        <v>46141.48116898148</v>
      </c>
      <c r="BE324"/>
      <c r="BF324"/>
      <c r="BG324" t="inlineStr">
        <is>
          <t>Reschedule</t>
        </is>
      </c>
      <c r="BH324" t="inlineStr">
        <is>
          <t>Yee Hang</t>
        </is>
      </c>
      <c r="BI324" t="inlineStr">
        <is>
          <t>Business / Mgmt Consulting</t>
        </is>
      </c>
      <c r="BJ324" s="4">
        <v>46144.75436342593</v>
      </c>
      <c r="BK324" s="4">
        <v>46138.88380787037</v>
      </c>
      <c r="BL324" t="inlineStr">
        <is>
          <t>0.0</t>
        </is>
      </c>
      <c r="BM324" t="inlineStr">
        <is>
          <t>150.0</t>
        </is>
      </c>
      <c r="BN324" t="inlineStr">
        <is>
          <t>View Account User</t>
        </is>
      </c>
      <c r="BO324" s="4">
        <v>46138.910949074074</v>
      </c>
      <c r="BP324">
        <v>168927</v>
      </c>
      <c r="BQ324"/>
      <c r="BR324"/>
      <c r="BS324"/>
      <c r="BT324"/>
      <c r="BU324"/>
      <c r="BV324">
        <v>2734745</v>
      </c>
      <c r="BW324" t="inlineStr">
        <is>
          <t>Follow Up : Decision Pending</t>
        </is>
      </c>
      <c r="BX324"/>
      <c r="BY324"/>
      <c r="BZ324" s="4"/>
      <c r="CA324"/>
      <c r="CB324"/>
      <c r="CC324" s="4"/>
      <c r="CD324" t="inlineStr">
        <is>
          <t>20</t>
        </is>
      </c>
      <c r="CE324" t="inlineStr">
        <is>
          <t>0</t>
        </is>
      </c>
      <c r="CF324" t="inlineStr">
        <is>
          <t>Q2-W04</t>
        </is>
      </c>
      <c r="CG324"/>
      <c r="CH324"/>
      <c r="CI324"/>
      <c r="CJ324" t="inlineStr">
        <is>
          <t>No Paid</t>
        </is>
      </c>
      <c r="CK324" t="inlineStr">
        <is>
          <t>Not Eligible</t>
        </is>
      </c>
      <c r="CL324"/>
      <c r="CM324"/>
    </row>
    <row r="325" ht="25.5" customHeight="1">
      <c r="A325" t="inlineStr">
        <is>
          <t>41399</t>
        </is>
      </c>
      <c r="B325" s="2"/>
      <c r="C325"/>
      <c r="D325" s="3">
        <v>46139.41630787037</v>
      </c>
      <c r="E325" t="inlineStr">
        <is>
          <t>Q2-W04</t>
        </is>
      </c>
      <c r="F325" t="inlineStr">
        <is>
          <t>Eugene</t>
        </is>
      </c>
      <c r="G325" t="inlineStr">
        <is>
          <t>Customer</t>
        </is>
      </c>
      <c r="H325" s="2" t="str">
        <f>=HYPERLINK("https://upbox.ajobthing.my/customer/41399", "https://upbox.ajobthing.my/customer/41399")</f>
        <v>https://upbox.ajobthing.my/customer/41399</v>
      </c>
      <c r="I325" t="inlineStr">
        <is>
          <t>Warm Care Sdn Bhd</t>
        </is>
      </c>
      <c r="J325" t="inlineStr">
        <is>
          <t>Small Fish</t>
        </is>
      </c>
      <c r="K325" t="inlineStr">
        <is>
          <t>Eugene</t>
        </is>
      </c>
      <c r="L325" s="4"/>
      <c r="M325" s="4">
        <v>46139.41650462963</v>
      </c>
      <c r="N325"/>
      <c r="O325">
        <v>3888</v>
      </c>
      <c r="P325" s="4"/>
      <c r="Q325" s="4">
        <v>43621.87908564815</v>
      </c>
      <c r="R325"/>
      <c r="S325">
        <v>901</v>
      </c>
      <c r="T325" s="4">
        <v>43621.87908564815</v>
      </c>
      <c r="U325" s="4"/>
      <c r="V325"/>
      <c r="W325">
        <v>901</v>
      </c>
      <c r="X325"/>
      <c r="Y325" t="inlineStr">
        <is>
          <t>Pending Appointment</t>
        </is>
      </c>
      <c r="Z325" t="inlineStr">
        <is>
          <t>Hiring Now</t>
        </is>
      </c>
      <c r="AA325">
        <v>2</v>
      </c>
      <c r="AB325" t="inlineStr">
        <is>
          <t>No Appointment Made</t>
        </is>
      </c>
      <c r="AC325"/>
      <c r="AD325" t="inlineStr">
        <is>
          <t>2 confinement nurse, based in Setia alam</t>
        </is>
      </c>
      <c r="AE325"/>
      <c r="AF325">
        <v>1200</v>
      </c>
      <c r="AG325" s="4"/>
      <c r="AH325" s="4"/>
      <c r="AI325">
        <v>3000</v>
      </c>
      <c r="AJ325">
        <v>1</v>
      </c>
      <c r="AK325" t="inlineStr">
        <is>
          <t>No, I don't need at all</t>
        </is>
      </c>
      <c r="AL325">
        <v>1</v>
      </c>
      <c r="AM325" t="inlineStr">
        <is>
          <t>No, I don't need at all</t>
        </is>
      </c>
      <c r="AN325"/>
      <c r="AO325" t="inlineStr">
        <is>
          <t>No, I don't need at all</t>
        </is>
      </c>
      <c r="AP325" t="inlineStr">
        <is>
          <t>Once a year (25%)</t>
        </is>
      </c>
      <c r="AQ325">
        <v>4</v>
      </c>
      <c r="AR325" t="inlineStr">
        <is>
          <t>Free Job Portal</t>
        </is>
      </c>
      <c r="AS325" t="inlineStr">
        <is>
          <t>- Headcount: 2
- Hiring Job Details: 2 confinement nurse, based in Setia alam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4
- Hiring frequency: Once a year (25%)
- External job portal: Free Job Portal</t>
        </is>
      </c>
      <c r="AT325">
        <v>115</v>
      </c>
      <c r="AU325" t="inlineStr">
        <is>
          <t>1.15</t>
        </is>
      </c>
      <c r="AV325" t="inlineStr">
        <is>
          <t>15</t>
        </is>
      </c>
      <c r="AW325" t="inlineStr">
        <is>
          <t>0</t>
        </is>
      </c>
      <c r="AX325" t="inlineStr">
        <is>
          <t>Not Qualified</t>
        </is>
      </c>
      <c r="AY325" s="4"/>
      <c r="AZ325"/>
      <c r="BA325"/>
      <c r="BB325"/>
      <c r="BC325" t="inlineStr">
        <is>
          <t>proof</t>
        </is>
      </c>
      <c r="BD325" s="4">
        <v>46139.42197916667</v>
      </c>
      <c r="BE325" t="inlineStr">
        <is>
          <t>paid</t>
        </is>
      </c>
      <c r="BF325"/>
      <c r="BG325" t="inlineStr">
        <is>
          <t>Reschedule</t>
        </is>
      </c>
      <c r="BH325" t="inlineStr">
        <is>
          <t>Edward Hoo</t>
        </is>
      </c>
      <c r="BI325" t="inlineStr">
        <is>
          <t>Healthcare / Medical</t>
        </is>
      </c>
      <c r="BJ325" s="4">
        <v>46144.75546296296</v>
      </c>
      <c r="BK325" s="4">
        <v>42983.43314814815</v>
      </c>
      <c r="BL325" t="inlineStr">
        <is>
          <t>0.0</t>
        </is>
      </c>
      <c r="BM325" t="inlineStr">
        <is>
          <t>0.0</t>
        </is>
      </c>
      <c r="BN325" t="inlineStr">
        <is>
          <t>View Shop</t>
        </is>
      </c>
      <c r="BO325" s="4">
        <v>43686.86106481482</v>
      </c>
      <c r="BP325">
        <v>168933</v>
      </c>
      <c r="BQ325">
        <v>18203</v>
      </c>
      <c r="BR325" t="inlineStr">
        <is>
          <t>Online</t>
        </is>
      </c>
      <c r="BS325"/>
      <c r="BT325">
        <v>18203</v>
      </c>
      <c r="BU325"/>
      <c r="BV325">
        <v>2728273</v>
      </c>
      <c r="BW325" t="inlineStr">
        <is>
          <t>Customer Inquiry</t>
        </is>
      </c>
      <c r="BX325"/>
      <c r="BY325"/>
      <c r="BZ325" s="4"/>
      <c r="CA325"/>
      <c r="CB325"/>
      <c r="CC325" s="4"/>
      <c r="CD325" t="inlineStr">
        <is>
          <t>20</t>
        </is>
      </c>
      <c r="CE325" t="inlineStr">
        <is>
          <t>0</t>
        </is>
      </c>
      <c r="CF325" t="inlineStr">
        <is>
          <t>Q2-W04</t>
        </is>
      </c>
      <c r="CG325"/>
      <c r="CH325"/>
      <c r="CI325"/>
      <c r="CJ325" t="inlineStr">
        <is>
          <t>Paid</t>
        </is>
      </c>
      <c r="CK325" t="inlineStr">
        <is>
          <t>Not Eligible</t>
        </is>
      </c>
      <c r="CL325"/>
      <c r="CM325"/>
    </row>
    <row r="326" ht="25.5" customHeight="1">
      <c r="A326" t="inlineStr">
        <is>
          <t>203671</t>
        </is>
      </c>
      <c r="B326" s="2"/>
      <c r="C326"/>
      <c r="D326" s="3">
        <v>46139.42260416667</v>
      </c>
      <c r="E326" t="inlineStr">
        <is>
          <t>Q2-W04</t>
        </is>
      </c>
      <c r="F326" t="inlineStr">
        <is>
          <t>Janice Yap</t>
        </is>
      </c>
      <c r="G326" t="inlineStr">
        <is>
          <t>Customer</t>
        </is>
      </c>
      <c r="H326" s="2" t="str">
        <f>=HYPERLINK("https://upbox.ajobthing.my/customer/203671", "https://upbox.ajobthing.my/customer/203671")</f>
        <v>https://upbox.ajobthing.my/customer/203671</v>
      </c>
      <c r="I326" t="inlineStr">
        <is>
          <t>Vtech Premium Solutions Sdn Bhd</t>
        </is>
      </c>
      <c r="J326" t="inlineStr">
        <is>
          <t>Small Fish</t>
        </is>
      </c>
      <c r="K326" t="inlineStr">
        <is>
          <t>Janice</t>
        </is>
      </c>
      <c r="L326" s="4"/>
      <c r="M326" s="4">
        <v>46139.421064814815</v>
      </c>
      <c r="N326"/>
      <c r="O326">
        <v>3888</v>
      </c>
      <c r="P326" s="4"/>
      <c r="Q326" s="4"/>
      <c r="R326"/>
      <c r="S326"/>
      <c r="T326" s="4"/>
      <c r="U326" s="4"/>
      <c r="V326"/>
      <c r="W326"/>
      <c r="X326"/>
      <c r="Y326" t="inlineStr">
        <is>
          <t>Pending Appointment</t>
        </is>
      </c>
      <c r="Z326" t="inlineStr">
        <is>
          <t>Hiring Now</t>
        </is>
      </c>
      <c r="AA326">
        <v>1</v>
      </c>
      <c r="AB326" t="inlineStr">
        <is>
          <t>No Appointment Made</t>
        </is>
      </c>
      <c r="AC326"/>
      <c r="AD326" t="inlineStr">
        <is>
          <t>1 admin</t>
        </is>
      </c>
      <c r="AE326"/>
      <c r="AF326">
        <v>0</v>
      </c>
      <c r="AG326" s="4"/>
      <c r="AH326" s="4"/>
      <c r="AI326">
        <v>0</v>
      </c>
      <c r="AJ326"/>
      <c r="AK326" t="inlineStr">
        <is>
          <t>No, I don't need at all</t>
        </is>
      </c>
      <c r="AL326">
        <v>0</v>
      </c>
      <c r="AM326" t="inlineStr">
        <is>
          <t>No, I don't need at all</t>
        </is>
      </c>
      <c r="AN326"/>
      <c r="AO326" t="inlineStr">
        <is>
          <t>No, I don't need at all</t>
        </is>
      </c>
      <c r="AP326" t="inlineStr">
        <is>
          <t>Once a year (25%)</t>
        </is>
      </c>
      <c r="AQ326">
        <v>1</v>
      </c>
      <c r="AR326" t="inlineStr">
        <is>
          <t>Free Job Portal</t>
        </is>
      </c>
      <c r="AS326"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is>
      </c>
      <c r="AT326">
        <v>105</v>
      </c>
      <c r="AU326" t="inlineStr">
        <is>
          <t>1.05</t>
        </is>
      </c>
      <c r="AV326" t="inlineStr">
        <is>
          <t>15</t>
        </is>
      </c>
      <c r="AW326" t="inlineStr">
        <is>
          <t>0</t>
        </is>
      </c>
      <c r="AX326" t="inlineStr">
        <is>
          <t>Not Qualified</t>
        </is>
      </c>
      <c r="AY326" s="4"/>
      <c r="AZ326"/>
      <c r="BA326"/>
      <c r="BB326"/>
      <c r="BC326" t="inlineStr">
        <is>
          <t>No need // use free portal better</t>
        </is>
      </c>
      <c r="BD326" s="4">
        <v>46141.467673611114</v>
      </c>
      <c r="BE326"/>
      <c r="BF326"/>
      <c r="BG326" t="inlineStr">
        <is>
          <t>Reschedule</t>
        </is>
      </c>
      <c r="BH326" t="inlineStr">
        <is>
          <t>Yee Hang</t>
        </is>
      </c>
      <c r="BI326" t="inlineStr">
        <is>
          <t>IT / Software</t>
        </is>
      </c>
      <c r="BJ326" s="4">
        <v>46144.75436342593</v>
      </c>
      <c r="BK326" s="4">
        <v>46137.79075231482</v>
      </c>
      <c r="BL326" t="inlineStr">
        <is>
          <t>0.0</t>
        </is>
      </c>
      <c r="BM326" t="inlineStr">
        <is>
          <t>0.0</t>
        </is>
      </c>
      <c r="BN326" t="inlineStr">
        <is>
          <t>View Company Page</t>
        </is>
      </c>
      <c r="BO326" s="4">
        <v>46137.810590277775</v>
      </c>
      <c r="BP326">
        <v>168935</v>
      </c>
      <c r="BQ326"/>
      <c r="BR326"/>
      <c r="BS326"/>
      <c r="BT326"/>
      <c r="BU326"/>
      <c r="BV326">
        <v>2734672</v>
      </c>
      <c r="BW326" t="inlineStr">
        <is>
          <t>Follow Up : Lost - Free Portal</t>
        </is>
      </c>
      <c r="BX326"/>
      <c r="BY326"/>
      <c r="BZ326" s="4"/>
      <c r="CA326"/>
      <c r="CB326"/>
      <c r="CC326" s="4"/>
      <c r="CD326" t="inlineStr">
        <is>
          <t>20</t>
        </is>
      </c>
      <c r="CE326" t="inlineStr">
        <is>
          <t>0</t>
        </is>
      </c>
      <c r="CF326" t="inlineStr">
        <is>
          <t>Q2-W04</t>
        </is>
      </c>
      <c r="CG326"/>
      <c r="CH326"/>
      <c r="CI326"/>
      <c r="CJ326" t="inlineStr">
        <is>
          <t>No Paid</t>
        </is>
      </c>
      <c r="CK326" t="inlineStr">
        <is>
          <t>Not Eligible</t>
        </is>
      </c>
      <c r="CL326"/>
      <c r="CM326"/>
    </row>
    <row r="327" ht="25.5" customHeight="1">
      <c r="A327" t="inlineStr">
        <is>
          <t>203662</t>
        </is>
      </c>
      <c r="B327" s="2"/>
      <c r="C327"/>
      <c r="D327" s="3">
        <v>46139.42549768519</v>
      </c>
      <c r="E327" t="inlineStr">
        <is>
          <t>Q2-W04</t>
        </is>
      </c>
      <c r="F327" t="inlineStr">
        <is>
          <t>Lucas</t>
        </is>
      </c>
      <c r="G327" t="inlineStr">
        <is>
          <t>Customer</t>
        </is>
      </c>
      <c r="H327" s="2" t="str">
        <f>=HYPERLINK("https://upbox.ajobthing.my/customer/203662", "https://upbox.ajobthing.my/customer/203662")</f>
        <v>https://upbox.ajobthing.my/customer/203662</v>
      </c>
      <c r="I327" t="inlineStr">
        <is>
          <t>Sun Tong Seng Ent</t>
        </is>
      </c>
      <c r="J327" t="inlineStr">
        <is>
          <t>Small Fish</t>
        </is>
      </c>
      <c r="K327" t="inlineStr">
        <is>
          <t>Lucas</t>
        </is>
      </c>
      <c r="L327" s="4"/>
      <c r="M327" s="4">
        <v>46139.42291666667</v>
      </c>
      <c r="N327"/>
      <c r="O327">
        <v>3888</v>
      </c>
      <c r="P327" s="4"/>
      <c r="Q327" s="4"/>
      <c r="R327"/>
      <c r="S327"/>
      <c r="T327" s="4"/>
      <c r="U327" s="4"/>
      <c r="V327"/>
      <c r="W327"/>
      <c r="X327"/>
      <c r="Y327" t="inlineStr">
        <is>
          <t>Pending Appointment</t>
        </is>
      </c>
      <c r="Z327" t="inlineStr">
        <is>
          <t>Hiring Now</t>
        </is>
      </c>
      <c r="AA327">
        <v>1</v>
      </c>
      <c r="AB327" t="inlineStr">
        <is>
          <t>No Appointment Made</t>
        </is>
      </c>
      <c r="AC327"/>
      <c r="AD327" t="inlineStr">
        <is>
          <t xml:space="preserve">1 admin cum office assistance </t>
        </is>
      </c>
      <c r="AE327"/>
      <c r="AF327">
        <v>0</v>
      </c>
      <c r="AG327" s="4"/>
      <c r="AH327" s="4"/>
      <c r="AI327">
        <v>0</v>
      </c>
      <c r="AJ327">
        <v>0</v>
      </c>
      <c r="AK327" t="inlineStr">
        <is>
          <t>No, I don't need at all</t>
        </is>
      </c>
      <c r="AL327">
        <v>0</v>
      </c>
      <c r="AM327" t="inlineStr">
        <is>
          <t>No, I don't need at all</t>
        </is>
      </c>
      <c r="AN327"/>
      <c r="AO327" t="inlineStr">
        <is>
          <t>No, I don't need at all</t>
        </is>
      </c>
      <c r="AP327" t="inlineStr">
        <is>
          <t>Once a year (25%)</t>
        </is>
      </c>
      <c r="AQ327">
        <v>1</v>
      </c>
      <c r="AR327" t="inlineStr">
        <is>
          <t>Jobstreet</t>
        </is>
      </c>
      <c r="AS327" t="inlineStr">
        <is>
          <t>- Headcount: 1
- Hiring Job Details: 1 admin cum office assistance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327">
        <v>110</v>
      </c>
      <c r="AU327" t="inlineStr">
        <is>
          <t>1.10</t>
        </is>
      </c>
      <c r="AV327" t="inlineStr">
        <is>
          <t>15</t>
        </is>
      </c>
      <c r="AW327" t="inlineStr">
        <is>
          <t>0</t>
        </is>
      </c>
      <c r="AX327" t="inlineStr">
        <is>
          <t>Not Qualified</t>
        </is>
      </c>
      <c r="AY327" s="4"/>
      <c r="AZ327"/>
      <c r="BA327"/>
      <c r="BB327"/>
      <c r="BC327" t="inlineStr">
        <is>
          <t>reject</t>
        </is>
      </c>
      <c r="BD327" s="4">
        <v>46140.47299768519</v>
      </c>
      <c r="BE327"/>
      <c r="BF327"/>
      <c r="BG327" t="inlineStr">
        <is>
          <t>Reschedule</t>
        </is>
      </c>
      <c r="BH327" t="inlineStr">
        <is>
          <t>Yee Hang</t>
        </is>
      </c>
      <c r="BI327"/>
      <c r="BJ327" s="4">
        <v>46144.75436342593</v>
      </c>
      <c r="BK327" s="4">
        <v>46137.44613425926</v>
      </c>
      <c r="BL327" t="inlineStr">
        <is>
          <t>0.0</t>
        </is>
      </c>
      <c r="BM327" t="inlineStr">
        <is>
          <t>0.0</t>
        </is>
      </c>
      <c r="BN327" t="inlineStr">
        <is>
          <t>View Company Page</t>
        </is>
      </c>
      <c r="BO327" s="4">
        <v>46138.67107638889</v>
      </c>
      <c r="BP327">
        <v>168936</v>
      </c>
      <c r="BQ327"/>
      <c r="BR327"/>
      <c r="BS327"/>
      <c r="BT327"/>
      <c r="BU327"/>
      <c r="BV327">
        <v>2732096</v>
      </c>
      <c r="BW327" t="inlineStr">
        <is>
          <t>Follow Up : Lost - Free Portal</t>
        </is>
      </c>
      <c r="BX327"/>
      <c r="BY327"/>
      <c r="BZ327" s="4"/>
      <c r="CA327"/>
      <c r="CB327"/>
      <c r="CC327" s="4"/>
      <c r="CD327" t="inlineStr">
        <is>
          <t>20</t>
        </is>
      </c>
      <c r="CE327" t="inlineStr">
        <is>
          <t>0</t>
        </is>
      </c>
      <c r="CF327" t="inlineStr">
        <is>
          <t>Q2-W04</t>
        </is>
      </c>
      <c r="CG327"/>
      <c r="CH327"/>
      <c r="CI327"/>
      <c r="CJ327" t="inlineStr">
        <is>
          <t>No Paid</t>
        </is>
      </c>
      <c r="CK327" t="inlineStr">
        <is>
          <t>Not Eligible</t>
        </is>
      </c>
      <c r="CL327"/>
      <c r="CM327"/>
    </row>
    <row r="328" ht="25.5" customHeight="1">
      <c r="A328" t="inlineStr">
        <is>
          <t>4327181</t>
        </is>
      </c>
      <c r="B328" s="2"/>
      <c r="C328"/>
      <c r="D328" s="3">
        <v>46139.43140046296</v>
      </c>
      <c r="E328" t="inlineStr">
        <is>
          <t>Q2-W04</t>
        </is>
      </c>
      <c r="F328" t="inlineStr">
        <is>
          <t>Dickson</t>
        </is>
      </c>
      <c r="G328" t="inlineStr">
        <is>
          <t>Lead</t>
        </is>
      </c>
      <c r="H328" s="2" t="str">
        <f>=HYPERLINK("https://upbox.ajobthing.my/leads/4327181", "https://upbox.ajobthing.my/leads/4327181")</f>
        <v>https://upbox.ajobthing.my/leads/4327181</v>
      </c>
      <c r="I328" t="inlineStr">
        <is>
          <t>Phri Bio-Tech S/B</t>
        </is>
      </c>
      <c r="J328" t="inlineStr">
        <is>
          <t>Small Fish</t>
        </is>
      </c>
      <c r="K328" t="inlineStr">
        <is>
          <t>Dickson</t>
        </is>
      </c>
      <c r="L328" s="4"/>
      <c r="M328" s="4">
        <v>46139.65883101852</v>
      </c>
      <c r="N328"/>
      <c r="O328">
        <v>1296</v>
      </c>
      <c r="P328" s="4"/>
      <c r="Q328" s="4"/>
      <c r="R328"/>
      <c r="S328"/>
      <c r="T328" s="4"/>
      <c r="U328" s="4"/>
      <c r="V328"/>
      <c r="W328"/>
      <c r="X328"/>
      <c r="Y328" t="inlineStr">
        <is>
          <t>Pending Appointment</t>
        </is>
      </c>
      <c r="Z328" t="inlineStr">
        <is>
          <t>Hiring Now</t>
        </is>
      </c>
      <c r="AA328">
        <v>1</v>
      </c>
      <c r="AB328" t="inlineStr">
        <is>
          <t>No Appointment Made</t>
        </is>
      </c>
      <c r="AC328"/>
      <c r="AD328" t="inlineStr">
        <is>
          <t>1 beauty consultant</t>
        </is>
      </c>
      <c r="AE328"/>
      <c r="AF328"/>
      <c r="AG328" s="4"/>
      <c r="AH328" s="4"/>
      <c r="AI328"/>
      <c r="AJ328">
        <v>1</v>
      </c>
      <c r="AK328" t="inlineStr">
        <is>
          <t>No, I don't need at all</t>
        </is>
      </c>
      <c r="AL328"/>
      <c r="AM328" t="inlineStr">
        <is>
          <t>No, I don't need at all</t>
        </is>
      </c>
      <c r="AN328"/>
      <c r="AO328" t="inlineStr">
        <is>
          <t>No, I don't need at all</t>
        </is>
      </c>
      <c r="AP328" t="inlineStr">
        <is>
          <t>Once per quarter (75%)</t>
        </is>
      </c>
      <c r="AQ328"/>
      <c r="AR328"/>
      <c r="AS328" t="inlineStr">
        <is>
          <t>- Headcount: 1
- Hiring Job Details: 1 beauty consultant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328">
        <v>95</v>
      </c>
      <c r="AU328" t="inlineStr">
        <is>
          <t>0.95</t>
        </is>
      </c>
      <c r="AV328" t="inlineStr">
        <is>
          <t>5</t>
        </is>
      </c>
      <c r="AW328" t="inlineStr">
        <is>
          <t>0</t>
        </is>
      </c>
      <c r="AX328" t="inlineStr">
        <is>
          <t>Not Qualified</t>
        </is>
      </c>
      <c r="AY328" s="4"/>
      <c r="AZ328"/>
      <c r="BA328"/>
      <c r="BB328"/>
      <c r="BC328"/>
      <c r="BD328" s="4"/>
      <c r="BE328"/>
      <c r="BF328"/>
      <c r="BG328" t="inlineStr">
        <is>
          <t>Reschedule</t>
        </is>
      </c>
      <c r="BH328" t="inlineStr">
        <is>
          <t>Edward Hoo</t>
        </is>
      </c>
      <c r="BI328"/>
      <c r="BJ328" s="4">
        <v>46144.75592592593</v>
      </c>
      <c r="BK328" s="4">
        <v>46139.423784722225</v>
      </c>
      <c r="BL328" t="inlineStr">
        <is>
          <t>0.0</t>
        </is>
      </c>
      <c r="BM328" t="inlineStr">
        <is>
          <t>0.0</t>
        </is>
      </c>
      <c r="BN328"/>
      <c r="BO328" s="4"/>
      <c r="BP328">
        <v>169074</v>
      </c>
      <c r="BQ328"/>
      <c r="BR328"/>
      <c r="BS328"/>
      <c r="BT328"/>
      <c r="BU328"/>
      <c r="BV328"/>
      <c r="BW328"/>
      <c r="BX328"/>
      <c r="BY328"/>
      <c r="BZ328" s="4"/>
      <c r="CA328"/>
      <c r="CB328"/>
      <c r="CC328" s="4"/>
      <c r="CD328" t="inlineStr">
        <is>
          <t>5</t>
        </is>
      </c>
      <c r="CE328" t="inlineStr">
        <is>
          <t>0</t>
        </is>
      </c>
      <c r="CF328" t="inlineStr">
        <is>
          <t>Q2-W04</t>
        </is>
      </c>
      <c r="CG328"/>
      <c r="CH328"/>
      <c r="CI328"/>
      <c r="CJ328" t="inlineStr">
        <is>
          <t>No Paid</t>
        </is>
      </c>
      <c r="CK328" t="inlineStr">
        <is>
          <t>Not Eligible</t>
        </is>
      </c>
      <c r="CL328"/>
      <c r="CM328"/>
    </row>
    <row r="329" ht="25.5" customHeight="1">
      <c r="A329" t="inlineStr">
        <is>
          <t>203683</t>
        </is>
      </c>
      <c r="B329" s="2"/>
      <c r="C329"/>
      <c r="D329" s="3">
        <v>46139.43268518519</v>
      </c>
      <c r="E329" t="inlineStr">
        <is>
          <t>Q2-W04</t>
        </is>
      </c>
      <c r="F329" t="inlineStr">
        <is>
          <t>Alan KY</t>
        </is>
      </c>
      <c r="G329" t="inlineStr">
        <is>
          <t>Customer</t>
        </is>
      </c>
      <c r="H329" s="2" t="str">
        <f>=HYPERLINK("https://upbox.ajobthing.my/customer/203683", "https://upbox.ajobthing.my/customer/203683")</f>
        <v>https://upbox.ajobthing.my/customer/203683</v>
      </c>
      <c r="I329" t="inlineStr">
        <is>
          <t>WIN WIN CAR AUTOCARE SDN BHD</t>
        </is>
      </c>
      <c r="J329" t="inlineStr">
        <is>
          <t>Small Fish</t>
        </is>
      </c>
      <c r="K329" t="inlineStr">
        <is>
          <t>Alan KY</t>
        </is>
      </c>
      <c r="L329" s="4"/>
      <c r="M329" s="4">
        <v>46139.432118055556</v>
      </c>
      <c r="N329"/>
      <c r="O329">
        <v>3888</v>
      </c>
      <c r="P329" s="4"/>
      <c r="Q329" s="4"/>
      <c r="R329"/>
      <c r="S329"/>
      <c r="T329" s="4"/>
      <c r="U329" s="4"/>
      <c r="V329"/>
      <c r="W329"/>
      <c r="X329"/>
      <c r="Y329" t="inlineStr">
        <is>
          <t>Pending Appointment</t>
        </is>
      </c>
      <c r="Z329" t="inlineStr">
        <is>
          <t>Hiring Now</t>
        </is>
      </c>
      <c r="AA329">
        <v>4</v>
      </c>
      <c r="AB329" t="inlineStr">
        <is>
          <t>No Appointment Made</t>
        </is>
      </c>
      <c r="AC329"/>
      <c r="AD329" t="inlineStr">
        <is>
          <t xml:space="preserve">2 clerk, 2 car technician, based in Selangor </t>
        </is>
      </c>
      <c r="AE329"/>
      <c r="AF329"/>
      <c r="AG329" s="4"/>
      <c r="AH329" s="4"/>
      <c r="AI329"/>
      <c r="AJ329">
        <v>1</v>
      </c>
      <c r="AK329" t="inlineStr">
        <is>
          <t>No, I don't need at all</t>
        </is>
      </c>
      <c r="AL329"/>
      <c r="AM329" t="inlineStr">
        <is>
          <t>No, I don't need at all</t>
        </is>
      </c>
      <c r="AN329"/>
      <c r="AO329" t="inlineStr">
        <is>
          <t>No, I don't need at all</t>
        </is>
      </c>
      <c r="AP329" t="inlineStr">
        <is>
          <t>Twice a year (50%)</t>
        </is>
      </c>
      <c r="AQ329"/>
      <c r="AR329" t="inlineStr">
        <is>
          <t>Jobstreet</t>
        </is>
      </c>
      <c r="AS329" t="inlineStr">
        <is>
          <t>- Headcount: 4
- Hiring Job Details: 2 clerk, 2 car technician, based in Selangor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Jobstreet</t>
        </is>
      </c>
      <c r="AT329">
        <v>95</v>
      </c>
      <c r="AU329" t="inlineStr">
        <is>
          <t>0.95</t>
        </is>
      </c>
      <c r="AV329" t="inlineStr">
        <is>
          <t>5</t>
        </is>
      </c>
      <c r="AW329" t="inlineStr">
        <is>
          <t>0</t>
        </is>
      </c>
      <c r="AX329" t="inlineStr">
        <is>
          <t>Not Qualified</t>
        </is>
      </c>
      <c r="AY329" s="4"/>
      <c r="AZ329"/>
      <c r="BA329"/>
      <c r="BB329"/>
      <c r="BC329" t="inlineStr">
        <is>
          <t>no answer</t>
        </is>
      </c>
      <c r="BD329" s="4">
        <v>46141.750613425924</v>
      </c>
      <c r="BE329"/>
      <c r="BF329"/>
      <c r="BG329" t="inlineStr">
        <is>
          <t>Reschedule</t>
        </is>
      </c>
      <c r="BH329" t="inlineStr">
        <is>
          <t>Reagen</t>
        </is>
      </c>
      <c r="BI329"/>
      <c r="BJ329" s="4">
        <v>46144.75436342593</v>
      </c>
      <c r="BK329" s="4">
        <v>46138.8100462963</v>
      </c>
      <c r="BL329" t="inlineStr">
        <is>
          <t>0.0</t>
        </is>
      </c>
      <c r="BM329" t="inlineStr">
        <is>
          <t>0.0</t>
        </is>
      </c>
      <c r="BN329" t="inlineStr">
        <is>
          <t>Instant Register</t>
        </is>
      </c>
      <c r="BO329" s="4">
        <v>46138.8100462963</v>
      </c>
      <c r="BP329">
        <v>168943</v>
      </c>
      <c r="BQ329"/>
      <c r="BR329"/>
      <c r="BS329"/>
      <c r="BT329"/>
      <c r="BU329"/>
      <c r="BV329">
        <v>2736333</v>
      </c>
      <c r="BW329" t="inlineStr">
        <is>
          <t>No Answer : Voicemail - WA sent to customer</t>
        </is>
      </c>
      <c r="BX329"/>
      <c r="BY329"/>
      <c r="BZ329" s="4"/>
      <c r="CA329"/>
      <c r="CB329"/>
      <c r="CC329" s="4"/>
      <c r="CD329" t="inlineStr">
        <is>
          <t>5</t>
        </is>
      </c>
      <c r="CE329" t="inlineStr">
        <is>
          <t>0</t>
        </is>
      </c>
      <c r="CF329" t="inlineStr">
        <is>
          <t>Q2-W04</t>
        </is>
      </c>
      <c r="CG329"/>
      <c r="CH329"/>
      <c r="CI329"/>
      <c r="CJ329" t="inlineStr">
        <is>
          <t>No Paid</t>
        </is>
      </c>
      <c r="CK329" t="inlineStr">
        <is>
          <t>Not Eligible</t>
        </is>
      </c>
      <c r="CL329"/>
      <c r="CM329"/>
    </row>
    <row r="330" ht="25.5" customHeight="1">
      <c r="A330" t="inlineStr">
        <is>
          <t>143855</t>
        </is>
      </c>
      <c r="B330" s="2"/>
      <c r="C330"/>
      <c r="D330" s="3">
        <v>46139.437430555554</v>
      </c>
      <c r="E330" t="inlineStr">
        <is>
          <t>Q2-W04</t>
        </is>
      </c>
      <c r="F330" t="inlineStr">
        <is>
          <t>Keegan</t>
        </is>
      </c>
      <c r="G330" t="inlineStr">
        <is>
          <t>Customer</t>
        </is>
      </c>
      <c r="H330" s="2" t="str">
        <f>=HYPERLINK("https://upbox.ajobthing.my/customer/143855", "https://upbox.ajobthing.my/customer/143855")</f>
        <v>https://upbox.ajobthing.my/customer/143855</v>
      </c>
      <c r="I330" t="inlineStr">
        <is>
          <t>3Q Mrc Junior</t>
        </is>
      </c>
      <c r="J330" t="inlineStr">
        <is>
          <t>Small Fish</t>
        </is>
      </c>
      <c r="K330" t="inlineStr">
        <is>
          <t>Keegan</t>
        </is>
      </c>
      <c r="L330" s="4"/>
      <c r="M330" s="4">
        <v>46139.43817129629</v>
      </c>
      <c r="N330"/>
      <c r="O330">
        <v>6048</v>
      </c>
      <c r="P330" s="4"/>
      <c r="Q330" s="4"/>
      <c r="R330"/>
      <c r="S330"/>
      <c r="T330" s="4"/>
      <c r="U330" s="4"/>
      <c r="V330"/>
      <c r="W330"/>
      <c r="X330"/>
      <c r="Y330" t="inlineStr">
        <is>
          <t>Pending Appointment</t>
        </is>
      </c>
      <c r="Z330" t="inlineStr">
        <is>
          <t>Hiring Now</t>
        </is>
      </c>
      <c r="AA330">
        <v>3</v>
      </c>
      <c r="AB330" t="inlineStr">
        <is>
          <t>No Appointment Made</t>
        </is>
      </c>
      <c r="AC330"/>
      <c r="AD330" t="inlineStr">
        <is>
          <t xml:space="preserve">1. Admin 
2. Sales 
3. Marketing </t>
        </is>
      </c>
      <c r="AE330"/>
      <c r="AF330"/>
      <c r="AG330" s="4"/>
      <c r="AH330" s="4"/>
      <c r="AI330"/>
      <c r="AJ330">
        <v>1</v>
      </c>
      <c r="AK330" t="inlineStr">
        <is>
          <t>No, I don't need at all</t>
        </is>
      </c>
      <c r="AL330">
        <v>0</v>
      </c>
      <c r="AM330" t="inlineStr">
        <is>
          <t>No, I don't need at all</t>
        </is>
      </c>
      <c r="AN330"/>
      <c r="AO330" t="inlineStr">
        <is>
          <t>No, I don't need at all</t>
        </is>
      </c>
      <c r="AP330" t="inlineStr">
        <is>
          <t>Once per quarter (75%)</t>
        </is>
      </c>
      <c r="AQ330"/>
      <c r="AR330" t="inlineStr">
        <is>
          <t>Did not use any job portal</t>
        </is>
      </c>
      <c r="AS330" t="inlineStr">
        <is>
          <t>- Headcount: 3
- Hiring Job Details: 1. Admin 2. Sales 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330">
        <v>90</v>
      </c>
      <c r="AU330" t="inlineStr">
        <is>
          <t>0.90</t>
        </is>
      </c>
      <c r="AV330" t="inlineStr">
        <is>
          <t>5</t>
        </is>
      </c>
      <c r="AW330" t="inlineStr">
        <is>
          <t>0</t>
        </is>
      </c>
      <c r="AX330" t="inlineStr">
        <is>
          <t>Not Qualified</t>
        </is>
      </c>
      <c r="AY330" s="4"/>
      <c r="AZ330"/>
      <c r="BA330"/>
      <c r="BB330"/>
      <c r="BC330" t="inlineStr">
        <is>
          <t>- Headcount: 3
- Hiring Job Details: 1. Admin 2. Sales 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330" s="4">
        <v>46139.45847222222</v>
      </c>
      <c r="BE330"/>
      <c r="BF330"/>
      <c r="BG330" t="inlineStr">
        <is>
          <t>Reschedule</t>
        </is>
      </c>
      <c r="BH330" t="inlineStr">
        <is>
          <t>Edward Hoo</t>
        </is>
      </c>
      <c r="BI330"/>
      <c r="BJ330" s="4">
        <v>46144.75071759259</v>
      </c>
      <c r="BK330" s="4">
        <v>44516.367210648146</v>
      </c>
      <c r="BL330" t="inlineStr">
        <is>
          <t>0.0</t>
        </is>
      </c>
      <c r="BM330" t="inlineStr">
        <is>
          <t>0.0</t>
        </is>
      </c>
      <c r="BN330" t="inlineStr">
        <is>
          <t>Instant Register</t>
        </is>
      </c>
      <c r="BO330" s="4">
        <v>44516.36722222222</v>
      </c>
      <c r="BP330">
        <v>168947</v>
      </c>
      <c r="BQ330"/>
      <c r="BR330"/>
      <c r="BS330"/>
      <c r="BT330"/>
      <c r="BU330"/>
      <c r="BV330">
        <v>2728503</v>
      </c>
      <c r="BW330" t="inlineStr">
        <is>
          <t>Customer Inquiry</t>
        </is>
      </c>
      <c r="BX330"/>
      <c r="BY330"/>
      <c r="BZ330" s="4"/>
      <c r="CA330"/>
      <c r="CB330"/>
      <c r="CC330" s="4"/>
      <c r="CD330" t="inlineStr">
        <is>
          <t>5</t>
        </is>
      </c>
      <c r="CE330" t="inlineStr">
        <is>
          <t>0</t>
        </is>
      </c>
      <c r="CF330" t="inlineStr">
        <is>
          <t>Q2-W04</t>
        </is>
      </c>
      <c r="CG330"/>
      <c r="CH330"/>
      <c r="CI330"/>
      <c r="CJ330" t="inlineStr">
        <is>
          <t>No Paid</t>
        </is>
      </c>
      <c r="CK330" t="inlineStr">
        <is>
          <t>Not Eligible</t>
        </is>
      </c>
      <c r="CL330"/>
      <c r="CM330"/>
    </row>
    <row r="331" ht="25.5" customHeight="1">
      <c r="A331" t="inlineStr">
        <is>
          <t>203686</t>
        </is>
      </c>
      <c r="B331" s="2"/>
      <c r="C331"/>
      <c r="D331" s="3">
        <v>46139.44451388889</v>
      </c>
      <c r="E331" t="inlineStr">
        <is>
          <t>Q2-W04</t>
        </is>
      </c>
      <c r="F331" t="inlineStr">
        <is>
          <t>Dickson</t>
        </is>
      </c>
      <c r="G331" t="inlineStr">
        <is>
          <t>Customer</t>
        </is>
      </c>
      <c r="H331" s="2" t="str">
        <f>=HYPERLINK("https://upbox.ajobthing.my/customer/203686", "https://upbox.ajobthing.my/customer/203686")</f>
        <v>https://upbox.ajobthing.my/customer/203686</v>
      </c>
      <c r="I331" t="inlineStr">
        <is>
          <t>Sbj Infrastructure Sdn Bhd</t>
        </is>
      </c>
      <c r="J331" t="inlineStr">
        <is>
          <t>Small Fish</t>
        </is>
      </c>
      <c r="K331" t="inlineStr">
        <is>
          <t>Dickson</t>
        </is>
      </c>
      <c r="L331" s="4"/>
      <c r="M331" s="4">
        <v>46139.44510416667</v>
      </c>
      <c r="N331"/>
      <c r="O331">
        <v>3888</v>
      </c>
      <c r="P331" s="4"/>
      <c r="Q331" s="4"/>
      <c r="R331"/>
      <c r="S331"/>
      <c r="T331" s="4"/>
      <c r="U331" s="4"/>
      <c r="V331"/>
      <c r="W331"/>
      <c r="X331"/>
      <c r="Y331" t="inlineStr">
        <is>
          <t>Pending Appointment</t>
        </is>
      </c>
      <c r="Z331" t="inlineStr">
        <is>
          <t>Hiring Now</t>
        </is>
      </c>
      <c r="AA331">
        <v>4</v>
      </c>
      <c r="AB331" t="inlineStr">
        <is>
          <t>No Appointment Made</t>
        </is>
      </c>
      <c r="AC331"/>
      <c r="AD331" t="inlineStr">
        <is>
          <t>1 site surveyor, 1 chainman, 1 drafter, 1 admin</t>
        </is>
      </c>
      <c r="AE331"/>
      <c r="AF331"/>
      <c r="AG331" s="4"/>
      <c r="AH331" s="4"/>
      <c r="AI331"/>
      <c r="AJ331">
        <v>1</v>
      </c>
      <c r="AK331" t="inlineStr">
        <is>
          <t>No, I don't need at all</t>
        </is>
      </c>
      <c r="AL331"/>
      <c r="AM331" t="inlineStr">
        <is>
          <t>No, I don't need at all</t>
        </is>
      </c>
      <c r="AN331"/>
      <c r="AO331" t="inlineStr">
        <is>
          <t>No, I don't need at all</t>
        </is>
      </c>
      <c r="AP331" t="inlineStr">
        <is>
          <t>Once per quarter (75%)</t>
        </is>
      </c>
      <c r="AQ331"/>
      <c r="AR331"/>
      <c r="AS331" t="inlineStr">
        <is>
          <t>- Headcount: 4
- Hiring Job Details: 1 site surveyor, 1 chainman, 1 drafter, 1 admin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331">
        <v>95</v>
      </c>
      <c r="AU331" t="inlineStr">
        <is>
          <t>0.95</t>
        </is>
      </c>
      <c r="AV331" t="inlineStr">
        <is>
          <t>5</t>
        </is>
      </c>
      <c r="AW331" t="inlineStr">
        <is>
          <t>0</t>
        </is>
      </c>
      <c r="AX331" t="inlineStr">
        <is>
          <t>Not Qualified</t>
        </is>
      </c>
      <c r="AY331" s="4"/>
      <c r="AZ331"/>
      <c r="BA331"/>
      <c r="BB331"/>
      <c r="BC331" t="inlineStr">
        <is>
          <t>- Headcount: 4
- Hiring Job Details: 1 site surveyor, 1 chainman, 1 drafter, 1 admin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BD331" s="4">
        <v>46139.45847222222</v>
      </c>
      <c r="BE331"/>
      <c r="BF331"/>
      <c r="BG331" t="inlineStr">
        <is>
          <t>Reschedule</t>
        </is>
      </c>
      <c r="BH331" t="inlineStr">
        <is>
          <t>Edward Hoo</t>
        </is>
      </c>
      <c r="BI331"/>
      <c r="BJ331" s="4">
        <v>46144.75436342593</v>
      </c>
      <c r="BK331" s="4">
        <v>46138.89865740741</v>
      </c>
      <c r="BL331" t="inlineStr">
        <is>
          <t>0.0</t>
        </is>
      </c>
      <c r="BM331" t="inlineStr">
        <is>
          <t>0.0</t>
        </is>
      </c>
      <c r="BN331" t="inlineStr">
        <is>
          <t>View Company Page</t>
        </is>
      </c>
      <c r="BO331" s="4">
        <v>46138.90377314815</v>
      </c>
      <c r="BP331">
        <v>168951</v>
      </c>
      <c r="BQ331"/>
      <c r="BR331"/>
      <c r="BS331"/>
      <c r="BT331"/>
      <c r="BU331"/>
      <c r="BV331">
        <v>2728505</v>
      </c>
      <c r="BW331" t="inlineStr">
        <is>
          <t>Customer Inquiry</t>
        </is>
      </c>
      <c r="BX331"/>
      <c r="BY331"/>
      <c r="BZ331" s="4"/>
      <c r="CA331"/>
      <c r="CB331"/>
      <c r="CC331" s="4"/>
      <c r="CD331" t="inlineStr">
        <is>
          <t>5</t>
        </is>
      </c>
      <c r="CE331" t="inlineStr">
        <is>
          <t>0</t>
        </is>
      </c>
      <c r="CF331" t="inlineStr">
        <is>
          <t>Q2-W04</t>
        </is>
      </c>
      <c r="CG331"/>
      <c r="CH331"/>
      <c r="CI331"/>
      <c r="CJ331" t="inlineStr">
        <is>
          <t>No Paid</t>
        </is>
      </c>
      <c r="CK331" t="inlineStr">
        <is>
          <t>Not Eligible</t>
        </is>
      </c>
      <c r="CL331"/>
      <c r="CM331"/>
    </row>
    <row r="332" ht="25.5" customHeight="1">
      <c r="A332" t="inlineStr">
        <is>
          <t>203687</t>
        </is>
      </c>
      <c r="B332" s="2"/>
      <c r="C332"/>
      <c r="D332" s="3">
        <v>46139.44577546296</v>
      </c>
      <c r="E332" t="inlineStr">
        <is>
          <t>Q2-W04</t>
        </is>
      </c>
      <c r="F332" t="inlineStr">
        <is>
          <t>Lucas</t>
        </is>
      </c>
      <c r="G332" t="inlineStr">
        <is>
          <t>Customer</t>
        </is>
      </c>
      <c r="H332" s="2" t="str">
        <f>=HYPERLINK("https://upbox.ajobthing.my/customer/203687", "https://upbox.ajobthing.my/customer/203687")</f>
        <v>https://upbox.ajobthing.my/customer/203687</v>
      </c>
      <c r="I332" t="inlineStr">
        <is>
          <t>Pro-i Optometry</t>
        </is>
      </c>
      <c r="J332" t="inlineStr">
        <is>
          <t>Small Fish</t>
        </is>
      </c>
      <c r="K332" t="inlineStr">
        <is>
          <t>Lucas</t>
        </is>
      </c>
      <c r="L332" s="4"/>
      <c r="M332" s="4">
        <v>46139.44359953704</v>
      </c>
      <c r="N332"/>
      <c r="O332">
        <v>3888</v>
      </c>
      <c r="P332" s="4"/>
      <c r="Q332" s="4"/>
      <c r="R332"/>
      <c r="S332"/>
      <c r="T332" s="4"/>
      <c r="U332" s="4"/>
      <c r="V332"/>
      <c r="W332"/>
      <c r="X332"/>
      <c r="Y332" t="inlineStr">
        <is>
          <t>Pending Appointment</t>
        </is>
      </c>
      <c r="Z332" t="inlineStr">
        <is>
          <t>Hiring Now</t>
        </is>
      </c>
      <c r="AA332">
        <v>1</v>
      </c>
      <c r="AB332" t="inlineStr">
        <is>
          <t>No Appointment Made</t>
        </is>
      </c>
      <c r="AC332"/>
      <c r="AD332" t="inlineStr">
        <is>
          <t>1 branch manager</t>
        </is>
      </c>
      <c r="AE332"/>
      <c r="AF332">
        <v>0</v>
      </c>
      <c r="AG332" s="4"/>
      <c r="AH332" s="4"/>
      <c r="AI332">
        <v>0</v>
      </c>
      <c r="AJ332">
        <v>0</v>
      </c>
      <c r="AK332" t="inlineStr">
        <is>
          <t>No, I don't need at all</t>
        </is>
      </c>
      <c r="AL332">
        <v>0</v>
      </c>
      <c r="AM332" t="inlineStr">
        <is>
          <t>No, I don't need at all</t>
        </is>
      </c>
      <c r="AN332"/>
      <c r="AO332" t="inlineStr">
        <is>
          <t>No, I don't need at all</t>
        </is>
      </c>
      <c r="AP332" t="inlineStr">
        <is>
          <t>Once a year (25%)</t>
        </is>
      </c>
      <c r="AQ332">
        <v>1</v>
      </c>
      <c r="AR332" t="inlineStr">
        <is>
          <t>Did not use any job portal</t>
        </is>
      </c>
      <c r="AS332" t="inlineStr">
        <is>
          <t>- Headcount: 1
- Hiring Job Details: 1 branch manager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332">
        <v>105</v>
      </c>
      <c r="AU332" t="inlineStr">
        <is>
          <t>1.05</t>
        </is>
      </c>
      <c r="AV332" t="inlineStr">
        <is>
          <t>15</t>
        </is>
      </c>
      <c r="AW332" t="inlineStr">
        <is>
          <t>0</t>
        </is>
      </c>
      <c r="AX332" t="inlineStr">
        <is>
          <t>Not Qualified</t>
        </is>
      </c>
      <c r="AY332" s="4"/>
      <c r="AZ332"/>
      <c r="BA332"/>
      <c r="BB332"/>
      <c r="BC332" t="inlineStr">
        <is>
          <t>pending</t>
        </is>
      </c>
      <c r="BD332" s="4">
        <v>46142.61377314815</v>
      </c>
      <c r="BE332"/>
      <c r="BF332"/>
      <c r="BG332" t="inlineStr">
        <is>
          <t>Reschedule</t>
        </is>
      </c>
      <c r="BH332" t="inlineStr">
        <is>
          <t>Yee Hang</t>
        </is>
      </c>
      <c r="BI332" t="inlineStr">
        <is>
          <t>Automobile / Automotive</t>
        </is>
      </c>
      <c r="BJ332" s="4">
        <v>46144.75436342593</v>
      </c>
      <c r="BK332" s="4">
        <v>46138.912094907406</v>
      </c>
      <c r="BL332" t="inlineStr">
        <is>
          <t>0.0</t>
        </is>
      </c>
      <c r="BM332" t="inlineStr">
        <is>
          <t>0.0</t>
        </is>
      </c>
      <c r="BN332" t="inlineStr">
        <is>
          <t>View Company Page</t>
        </is>
      </c>
      <c r="BO332" s="4">
        <v>46138.92663194444</v>
      </c>
      <c r="BP332">
        <v>168950</v>
      </c>
      <c r="BQ332"/>
      <c r="BR332"/>
      <c r="BS332"/>
      <c r="BT332"/>
      <c r="BU332"/>
      <c r="BV332">
        <v>2737778</v>
      </c>
      <c r="BW332" t="inlineStr">
        <is>
          <t>Follow Up : Decision Pending</t>
        </is>
      </c>
      <c r="BX332"/>
      <c r="BY332"/>
      <c r="BZ332" s="4"/>
      <c r="CA332"/>
      <c r="CB332"/>
      <c r="CC332" s="4"/>
      <c r="CD332" t="inlineStr">
        <is>
          <t>20</t>
        </is>
      </c>
      <c r="CE332" t="inlineStr">
        <is>
          <t>0</t>
        </is>
      </c>
      <c r="CF332" t="inlineStr">
        <is>
          <t>Q2-W04</t>
        </is>
      </c>
      <c r="CG332"/>
      <c r="CH332"/>
      <c r="CI332"/>
      <c r="CJ332" t="inlineStr">
        <is>
          <t>No Paid</t>
        </is>
      </c>
      <c r="CK332" t="inlineStr">
        <is>
          <t>Not Eligible</t>
        </is>
      </c>
      <c r="CL332"/>
      <c r="CM332"/>
    </row>
    <row r="333" ht="25.5" customHeight="1">
      <c r="A333" t="inlineStr">
        <is>
          <t>203682</t>
        </is>
      </c>
      <c r="B333" s="2"/>
      <c r="C333"/>
      <c r="D333" s="3">
        <v>46139.446550925924</v>
      </c>
      <c r="E333" t="inlineStr">
        <is>
          <t>Q2-W04</t>
        </is>
      </c>
      <c r="F333" t="inlineStr">
        <is>
          <t>Chia Yee</t>
        </is>
      </c>
      <c r="G333" t="inlineStr">
        <is>
          <t>Customer</t>
        </is>
      </c>
      <c r="H333" s="2" t="str">
        <f>=HYPERLINK("https://upbox.ajobthing.my/customer/203682", "https://upbox.ajobthing.my/customer/203682")</f>
        <v>https://upbox.ajobthing.my/customer/203682</v>
      </c>
      <c r="I333" t="inlineStr">
        <is>
          <t>Agensi Pekerjaan Intellect Vast Consultant Sdn. Bhd.</t>
        </is>
      </c>
      <c r="J333" t="inlineStr">
        <is>
          <t>Small Fish</t>
        </is>
      </c>
      <c r="K333" t="inlineStr">
        <is>
          <t>Chia Yee</t>
        </is>
      </c>
      <c r="L333" s="4"/>
      <c r="M333" s="4">
        <v>46139.450162037036</v>
      </c>
      <c r="N333"/>
      <c r="O333">
        <v>10800</v>
      </c>
      <c r="P333" s="4"/>
      <c r="Q333" s="4"/>
      <c r="R333"/>
      <c r="S333"/>
      <c r="T333" s="4"/>
      <c r="U333" s="4"/>
      <c r="V333"/>
      <c r="W333"/>
      <c r="X333"/>
      <c r="Y333" t="inlineStr">
        <is>
          <t>Pending Appointment</t>
        </is>
      </c>
      <c r="Z333" t="inlineStr">
        <is>
          <t>Hiring Now</t>
        </is>
      </c>
      <c r="AA333">
        <v>501</v>
      </c>
      <c r="AB333" t="inlineStr">
        <is>
          <t>No Appointment Made</t>
        </is>
      </c>
      <c r="AC333"/>
      <c r="AD333" t="inlineStr">
        <is>
          <t>500 Production worker, and  Technician</t>
        </is>
      </c>
      <c r="AE333"/>
      <c r="AF333">
        <v>0</v>
      </c>
      <c r="AG333" s="4"/>
      <c r="AH333" s="4"/>
      <c r="AI333">
        <v>0</v>
      </c>
      <c r="AJ333">
        <v>1</v>
      </c>
      <c r="AK333" t="inlineStr">
        <is>
          <t>No, I don't need at all</t>
        </is>
      </c>
      <c r="AL333">
        <v>1</v>
      </c>
      <c r="AM333" t="inlineStr">
        <is>
          <t>No, I don't need at all</t>
        </is>
      </c>
      <c r="AN333"/>
      <c r="AO333" t="inlineStr">
        <is>
          <t>No, I don't need at all</t>
        </is>
      </c>
      <c r="AP333" t="inlineStr">
        <is>
          <t>Once a year (25%)</t>
        </is>
      </c>
      <c r="AQ333">
        <v>600</v>
      </c>
      <c r="AR333" t="inlineStr">
        <is>
          <t>Did not use any job portal</t>
        </is>
      </c>
      <c r="AS333" t="inlineStr">
        <is>
          <t>- Headcount: 501
- Hiring Job Details: 500 Production worker, and Technician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600
- Hiring frequency: Once a year (25%)
- External job portal: Did not use any job portal</t>
        </is>
      </c>
      <c r="AT333">
        <v>95</v>
      </c>
      <c r="AU333" t="inlineStr">
        <is>
          <t>0.95</t>
        </is>
      </c>
      <c r="AV333" t="inlineStr">
        <is>
          <t>35</t>
        </is>
      </c>
      <c r="AW333" t="inlineStr">
        <is>
          <t>0</t>
        </is>
      </c>
      <c r="AX333" t="inlineStr">
        <is>
          <t>Not Qualified</t>
        </is>
      </c>
      <c r="AY333" s="4"/>
      <c r="AZ333"/>
      <c r="BA333"/>
      <c r="BB333"/>
      <c r="BC333" t="inlineStr">
        <is>
          <t>Called Ram, said on hold as need define all the things. ==</t>
        </is>
      </c>
      <c r="BD333" s="4">
        <v>46141.38402777778</v>
      </c>
      <c r="BE333"/>
      <c r="BF333"/>
      <c r="BG333" t="inlineStr">
        <is>
          <t>Reschedule</t>
        </is>
      </c>
      <c r="BH333" t="inlineStr">
        <is>
          <t>Reagen</t>
        </is>
      </c>
      <c r="BI333"/>
      <c r="BJ333" s="4">
        <v>46144.75436342593</v>
      </c>
      <c r="BK333" s="4">
        <v>46138.7983912037</v>
      </c>
      <c r="BL333" t="inlineStr">
        <is>
          <t>0.0</t>
        </is>
      </c>
      <c r="BM333" t="inlineStr">
        <is>
          <t>0.0</t>
        </is>
      </c>
      <c r="BN333" t="inlineStr">
        <is>
          <t>View Create Job Page V4</t>
        </is>
      </c>
      <c r="BO333" s="4">
        <v>46138.81967592592</v>
      </c>
      <c r="BP333">
        <v>168956</v>
      </c>
      <c r="BQ333"/>
      <c r="BR333"/>
      <c r="BS333"/>
      <c r="BT333"/>
      <c r="BU333"/>
      <c r="BV333">
        <v>2734086</v>
      </c>
      <c r="BW333" t="inlineStr">
        <is>
          <t>Follow Up : Budget Concern</t>
        </is>
      </c>
      <c r="BX333"/>
      <c r="BY333"/>
      <c r="BZ333" s="4"/>
      <c r="CA333"/>
      <c r="CB333"/>
      <c r="CC333" s="4"/>
      <c r="CD333" t="inlineStr">
        <is>
          <t>50</t>
        </is>
      </c>
      <c r="CE333" t="inlineStr">
        <is>
          <t>0</t>
        </is>
      </c>
      <c r="CF333" t="inlineStr">
        <is>
          <t>Q2-W04</t>
        </is>
      </c>
      <c r="CG333"/>
      <c r="CH333"/>
      <c r="CI333"/>
      <c r="CJ333" t="inlineStr">
        <is>
          <t>No Paid</t>
        </is>
      </c>
      <c r="CK333" t="inlineStr">
        <is>
          <t>Eligible</t>
        </is>
      </c>
      <c r="CL333"/>
      <c r="CM333"/>
    </row>
    <row r="334" ht="25.5" customHeight="1">
      <c r="A334" t="inlineStr">
        <is>
          <t>188015</t>
        </is>
      </c>
      <c r="B334" s="2"/>
      <c r="C334"/>
      <c r="D334" s="3">
        <v>46139.453043981484</v>
      </c>
      <c r="E334" t="inlineStr">
        <is>
          <t>Q2-W04</t>
        </is>
      </c>
      <c r="F334" t="inlineStr">
        <is>
          <t>andy@ajobthing.com</t>
        </is>
      </c>
      <c r="G334" t="inlineStr">
        <is>
          <t>Customer</t>
        </is>
      </c>
      <c r="H334" s="2" t="str">
        <f>=HYPERLINK("https://upbox.ajobthing.my/customer/188015", "https://upbox.ajobthing.my/customer/188015")</f>
        <v>https://upbox.ajobthing.my/customer/188015</v>
      </c>
      <c r="I334" t="inlineStr">
        <is>
          <t>Agensi Pekerjaan Inter Island Sdn Bhd</t>
        </is>
      </c>
      <c r="J334" t="inlineStr">
        <is>
          <t>Small Fish</t>
        </is>
      </c>
      <c r="K334" t="inlineStr">
        <is>
          <t>Andy</t>
        </is>
      </c>
      <c r="L334" s="4"/>
      <c r="M334" s="4">
        <v>46139.453993055555</v>
      </c>
      <c r="N334"/>
      <c r="O334">
        <v>12960</v>
      </c>
      <c r="P334" s="4"/>
      <c r="Q334" s="4">
        <v>46140.38438657407</v>
      </c>
      <c r="R334"/>
      <c r="S334">
        <v>0</v>
      </c>
      <c r="T334" s="4"/>
      <c r="U334" s="4"/>
      <c r="V334"/>
      <c r="W334"/>
      <c r="X334" t="inlineStr">
        <is>
          <t>andy@ajobthing.com</t>
        </is>
      </c>
      <c r="Y334" t="inlineStr">
        <is>
          <t>Done Appointment</t>
        </is>
      </c>
      <c r="Z334" t="inlineStr">
        <is>
          <t>Continuous Hiring</t>
        </is>
      </c>
      <c r="AA334">
        <v>1</v>
      </c>
      <c r="AB334" t="inlineStr">
        <is>
          <t>Appointment Made</t>
        </is>
      </c>
      <c r="AC334" t="inlineStr">
        <is>
          <t>Mid-size (50-100 employees)</t>
        </is>
      </c>
      <c r="AD334" t="inlineStr">
        <is>
          <t>IT executives and etc</t>
        </is>
      </c>
      <c r="AE334" t="inlineStr">
        <is>
          <t>HR Director / Senior HR Lead</t>
        </is>
      </c>
      <c r="AF334">
        <v>30000</v>
      </c>
      <c r="AG334" s="4">
        <v>46139.4375</v>
      </c>
      <c r="AH334" s="4">
        <v>46139.458333333336</v>
      </c>
      <c r="AI334">
        <v>50000</v>
      </c>
      <c r="AJ334">
        <v>6</v>
      </c>
      <c r="AK334" t="inlineStr">
        <is>
          <t>Yes, I have</t>
        </is>
      </c>
      <c r="AL334">
        <v>40</v>
      </c>
      <c r="AM334" t="inlineStr">
        <is>
          <t>Yes, I have</t>
        </is>
      </c>
      <c r="AN334" t="inlineStr">
        <is>
          <t>Other</t>
        </is>
      </c>
      <c r="AO334" t="inlineStr">
        <is>
          <t>Yes, I have</t>
        </is>
      </c>
      <c r="AP334" t="inlineStr">
        <is>
          <t>Every month (100%)</t>
        </is>
      </c>
      <c r="AQ334">
        <v>1200</v>
      </c>
      <c r="AR334" t="inlineStr">
        <is>
          <t>Jobstreet, Linkedin (Paid)</t>
        </is>
      </c>
      <c r="AS334" t="inlineStr">
        <is>
          <t>- Headcount: 1
- Hiring Job Details: IT executives and etc
- Hiring Urgency: Continuous Hiring
- Number of outlets: 6
- Have recruiter team: Yes
- Number of recruiter in company: 40
- Have ATS system: Yes
- Have career website: Yes
- Current hiring budget: RM30,000
- Whole year budget: RM50,000.00
- Whole year number of vacancies: 1200
- Hiring frequency: Every month (100%)
- External job portal: Jobstreet,Linkedin (Paid)</t>
        </is>
      </c>
      <c r="AT334">
        <v>115</v>
      </c>
      <c r="AU334" t="inlineStr">
        <is>
          <t>1.15</t>
        </is>
      </c>
      <c r="AV334" t="inlineStr">
        <is>
          <t>55</t>
        </is>
      </c>
      <c r="AW334" t="inlineStr">
        <is>
          <t>0.5</t>
        </is>
      </c>
      <c r="AX334" t="inlineStr">
        <is>
          <t>Not Qualified</t>
        </is>
      </c>
      <c r="AY334" s="4">
        <v>46139.46989583333</v>
      </c>
      <c r="AZ334" t="inlineStr">
        <is>
          <t>Base Assistant</t>
        </is>
      </c>
      <c r="BA334"/>
      <c r="BB334"/>
      <c r="BC334" t="inlineStr">
        <is>
          <t>- Headcount: 1
- Hiring Job Details: IT executives and etc
- Hiring Urgency: Continuous Hiring
- Number of outlets: 6
- Have recruiter team: Yes
- Number of recruiter in company: 40
- Have ATS system: Yes
- Have career website: Yes
- Current hiring budget: RM30,000
- Whole year budget: RM50,000.00
- Whole year number of vacancies: 1200
- Hiring frequency: Every month (100%)
- External job portal: Jobstreet,Linkedin (Paid)</t>
        </is>
      </c>
      <c r="BD334" s="4">
        <v>46139.45847222222</v>
      </c>
      <c r="BE334" t="inlineStr">
        <is>
          <t>paid</t>
        </is>
      </c>
      <c r="BF334"/>
      <c r="BG334" t="inlineStr">
        <is>
          <t>Reschedule</t>
        </is>
      </c>
      <c r="BH334"/>
      <c r="BI334"/>
      <c r="BJ334" s="4">
        <v>46144.75219907407</v>
      </c>
      <c r="BK334" s="4">
        <v>45709.644108796296</v>
      </c>
      <c r="BL334" t="inlineStr">
        <is>
          <t>0.0</t>
        </is>
      </c>
      <c r="BM334" t="inlineStr">
        <is>
          <t>0.0</t>
        </is>
      </c>
      <c r="BN334" t="inlineStr">
        <is>
          <t>View Company Page</t>
        </is>
      </c>
      <c r="BO334" s="4">
        <v>46142.67427083333</v>
      </c>
      <c r="BP334">
        <v>168959</v>
      </c>
      <c r="BQ334">
        <v>123812</v>
      </c>
      <c r="BR334" t="inlineStr">
        <is>
          <t>Proforma</t>
        </is>
      </c>
      <c r="BS334" t="inlineStr">
        <is>
          <t>Free Part-Time Job</t>
        </is>
      </c>
      <c r="BT334"/>
      <c r="BU334"/>
      <c r="BV334">
        <v>2728512</v>
      </c>
      <c r="BW334" t="inlineStr">
        <is>
          <t>Customer Inquiry</t>
        </is>
      </c>
      <c r="BX334">
        <v>302</v>
      </c>
      <c r="BY334">
        <v>299</v>
      </c>
      <c r="BZ334" s="4">
        <v>46140.46221064815</v>
      </c>
      <c r="CA334"/>
      <c r="CB334"/>
      <c r="CC334" s="4"/>
      <c r="CD334" t="inlineStr">
        <is>
          <t>75</t>
        </is>
      </c>
      <c r="CE334" t="inlineStr">
        <is>
          <t>0.8</t>
        </is>
      </c>
      <c r="CF334" t="inlineStr">
        <is>
          <t>Q2-W04</t>
        </is>
      </c>
      <c r="CG334" t="inlineStr">
        <is>
          <t>Q2-W04</t>
        </is>
      </c>
      <c r="CH334"/>
      <c r="CI334" t="inlineStr">
        <is>
          <t>Q2-W04</t>
        </is>
      </c>
      <c r="CJ334" t="inlineStr">
        <is>
          <t>No Paid</t>
        </is>
      </c>
      <c r="CK334" t="inlineStr">
        <is>
          <t>Not Eligible</t>
        </is>
      </c>
      <c r="CL334"/>
      <c r="CM334" t="inlineStr">
        <is>
          <t>Q2-W04</t>
        </is>
      </c>
    </row>
    <row r="335" ht="25.5" customHeight="1">
      <c r="A335" t="inlineStr">
        <is>
          <t>48475</t>
        </is>
      </c>
      <c r="B335" s="2"/>
      <c r="C335"/>
      <c r="D335" s="3">
        <v>46139.454050925924</v>
      </c>
      <c r="E335" t="inlineStr">
        <is>
          <t>Q2-W04</t>
        </is>
      </c>
      <c r="F335" t="inlineStr">
        <is>
          <t>Chia Yee</t>
        </is>
      </c>
      <c r="G335" t="inlineStr">
        <is>
          <t>Customer</t>
        </is>
      </c>
      <c r="H335" s="2" t="str">
        <f>=HYPERLINK("https://upbox.ajobthing.my/customer/48475", "https://upbox.ajobthing.my/customer/48475")</f>
        <v>https://upbox.ajobthing.my/customer/48475</v>
      </c>
      <c r="I335" t="inlineStr">
        <is>
          <t>Natto Auto &amp; Engineering Sdn Bhd</t>
        </is>
      </c>
      <c r="J335" t="inlineStr">
        <is>
          <t>Small Fish</t>
        </is>
      </c>
      <c r="K335" t="inlineStr">
        <is>
          <t>Chia Yee</t>
        </is>
      </c>
      <c r="L335" s="4"/>
      <c r="M335" s="4">
        <v>46139.45415509259</v>
      </c>
      <c r="N335"/>
      <c r="O335">
        <v>3888</v>
      </c>
      <c r="P335" s="4"/>
      <c r="Q335" s="4"/>
      <c r="R335"/>
      <c r="S335"/>
      <c r="T335" s="4"/>
      <c r="U335" s="4"/>
      <c r="V335"/>
      <c r="W335"/>
      <c r="X335"/>
      <c r="Y335" t="inlineStr">
        <is>
          <t>Pending Appointment</t>
        </is>
      </c>
      <c r="Z335" t="inlineStr">
        <is>
          <t>Hiring Now</t>
        </is>
      </c>
      <c r="AA335">
        <v>1</v>
      </c>
      <c r="AB335" t="inlineStr">
        <is>
          <t>No Appointment Made</t>
        </is>
      </c>
      <c r="AC335"/>
      <c r="AD335" t="inlineStr">
        <is>
          <t>1 technician for wiring</t>
        </is>
      </c>
      <c r="AE335"/>
      <c r="AF335">
        <v>0</v>
      </c>
      <c r="AG335" s="4"/>
      <c r="AH335" s="4"/>
      <c r="AI335">
        <v>0</v>
      </c>
      <c r="AJ335">
        <v>1</v>
      </c>
      <c r="AK335" t="inlineStr">
        <is>
          <t>No, I don't need at all</t>
        </is>
      </c>
      <c r="AL335">
        <v>1</v>
      </c>
      <c r="AM335" t="inlineStr">
        <is>
          <t>No, I don't need at all</t>
        </is>
      </c>
      <c r="AN335"/>
      <c r="AO335" t="inlineStr">
        <is>
          <t>No, I don't need at all</t>
        </is>
      </c>
      <c r="AP335" t="inlineStr">
        <is>
          <t>Once a year (25%)</t>
        </is>
      </c>
      <c r="AQ335">
        <v>1</v>
      </c>
      <c r="AR335" t="inlineStr">
        <is>
          <t>Did not use any job portal</t>
        </is>
      </c>
      <c r="AS335" t="inlineStr">
        <is>
          <t>- Headcount: 1
- Hiring Job Details: 1 technician for wiring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335">
        <v>110</v>
      </c>
      <c r="AU335" t="inlineStr">
        <is>
          <t>1.10</t>
        </is>
      </c>
      <c r="AV335" t="inlineStr">
        <is>
          <t>15</t>
        </is>
      </c>
      <c r="AW335" t="inlineStr">
        <is>
          <t>0</t>
        </is>
      </c>
      <c r="AX335" t="inlineStr">
        <is>
          <t>Not Qualified</t>
        </is>
      </c>
      <c r="AY335" s="4"/>
      <c r="AZ335"/>
      <c r="BA335"/>
      <c r="BB335"/>
      <c r="BC335" t="inlineStr">
        <is>
          <t>Called Ms. H Oang, need ask boss first</t>
        </is>
      </c>
      <c r="BD335" s="4">
        <v>46142.48608796296</v>
      </c>
      <c r="BE335"/>
      <c r="BF335"/>
      <c r="BG335" t="inlineStr">
        <is>
          <t>Reschedule</t>
        </is>
      </c>
      <c r="BH335" t="inlineStr">
        <is>
          <t>Reagen</t>
        </is>
      </c>
      <c r="BI335" t="inlineStr">
        <is>
          <t>Automobile / Automotive</t>
        </is>
      </c>
      <c r="BJ335" s="4">
        <v>46144.75604166667</v>
      </c>
      <c r="BK335" s="4">
        <v>43225.429606481484</v>
      </c>
      <c r="BL335" t="inlineStr">
        <is>
          <t>0.0</t>
        </is>
      </c>
      <c r="BM335" t="inlineStr">
        <is>
          <t>0.0</t>
        </is>
      </c>
      <c r="BN335" t="inlineStr">
        <is>
          <t>View Applicants</t>
        </is>
      </c>
      <c r="BO335" s="4">
        <v>43357.4591087963</v>
      </c>
      <c r="BP335">
        <v>168961</v>
      </c>
      <c r="BQ335"/>
      <c r="BR335"/>
      <c r="BS335"/>
      <c r="BT335"/>
      <c r="BU335"/>
      <c r="BV335">
        <v>2737196</v>
      </c>
      <c r="BW335" t="inlineStr">
        <is>
          <t>Follow Up : Decision Pending</t>
        </is>
      </c>
      <c r="BX335"/>
      <c r="BY335"/>
      <c r="BZ335" s="4"/>
      <c r="CA335"/>
      <c r="CB335"/>
      <c r="CC335" s="4"/>
      <c r="CD335" t="inlineStr">
        <is>
          <t>20</t>
        </is>
      </c>
      <c r="CE335" t="inlineStr">
        <is>
          <t>0</t>
        </is>
      </c>
      <c r="CF335" t="inlineStr">
        <is>
          <t>Q2-W04</t>
        </is>
      </c>
      <c r="CG335"/>
      <c r="CH335"/>
      <c r="CI335"/>
      <c r="CJ335" t="inlineStr">
        <is>
          <t>No Paid</t>
        </is>
      </c>
      <c r="CK335" t="inlineStr">
        <is>
          <t>Not Eligible</t>
        </is>
      </c>
      <c r="CL335"/>
      <c r="CM335"/>
    </row>
    <row r="336" ht="25.5" customHeight="1">
      <c r="A336" t="inlineStr">
        <is>
          <t>4173472</t>
        </is>
      </c>
      <c r="B336" s="2"/>
      <c r="C336"/>
      <c r="D336" s="3">
        <v>46139.457962962966</v>
      </c>
      <c r="E336" t="inlineStr">
        <is>
          <t>Q2-W04</t>
        </is>
      </c>
      <c r="F336" t="inlineStr">
        <is>
          <t>Ken Yi</t>
        </is>
      </c>
      <c r="G336" t="inlineStr">
        <is>
          <t>Lead</t>
        </is>
      </c>
      <c r="H336" s="2" t="str">
        <f>=HYPERLINK("https://upbox.ajobthing.my/leads/4173472", "https://upbox.ajobthing.my/leads/4173472")</f>
        <v>https://upbox.ajobthing.my/leads/4173472</v>
      </c>
      <c r="I336" t="inlineStr">
        <is>
          <t>HAVANA VISTA TRADING</t>
        </is>
      </c>
      <c r="J336" t="inlineStr">
        <is>
          <t>Small Fish</t>
        </is>
      </c>
      <c r="K336" t="inlineStr">
        <is>
          <t>Kenyi</t>
        </is>
      </c>
      <c r="L336" s="4"/>
      <c r="M336" s="4">
        <v>46140.71839120371</v>
      </c>
      <c r="N336"/>
      <c r="O336">
        <v>3576.96</v>
      </c>
      <c r="P336" s="4"/>
      <c r="Q336" s="4"/>
      <c r="R336"/>
      <c r="S336"/>
      <c r="T336" s="4"/>
      <c r="U336" s="4"/>
      <c r="V336"/>
      <c r="W336"/>
      <c r="X336"/>
      <c r="Y336" t="inlineStr">
        <is>
          <t>Pending Appointment</t>
        </is>
      </c>
      <c r="Z336" t="inlineStr">
        <is>
          <t>Hiring Now</t>
        </is>
      </c>
      <c r="AA336">
        <v>0</v>
      </c>
      <c r="AB336" t="inlineStr">
        <is>
          <t>No Appointment Made</t>
        </is>
      </c>
      <c r="AC336"/>
      <c r="AD336" t="inlineStr">
        <is>
          <t>give discount 1</t>
        </is>
      </c>
      <c r="AE336"/>
      <c r="AF336">
        <v>3672</v>
      </c>
      <c r="AG336" s="4"/>
      <c r="AH336" s="4"/>
      <c r="AI336">
        <v>3672</v>
      </c>
      <c r="AJ336">
        <v>1</v>
      </c>
      <c r="AK336" t="inlineStr">
        <is>
          <t>Yes, I have</t>
        </is>
      </c>
      <c r="AL336">
        <v>1</v>
      </c>
      <c r="AM336" t="inlineStr">
        <is>
          <t>No, I don't need at all</t>
        </is>
      </c>
      <c r="AN336"/>
      <c r="AO336" t="inlineStr">
        <is>
          <t>No, I don't need at all</t>
        </is>
      </c>
      <c r="AP336" t="inlineStr">
        <is>
          <t>Every month (100%)</t>
        </is>
      </c>
      <c r="AQ336">
        <v>3</v>
      </c>
      <c r="AR336" t="inlineStr">
        <is>
          <t>Did not use any job portal</t>
        </is>
      </c>
      <c r="AS336" t="inlineStr">
        <is>
          <t>- Headcount: 0
- Hiring Job Details: give discount 1
- Hiring Urgency: Hiring Now
- Number of outlets: 1
- Have recruiter team: Yes, I have
- Number of recruiter in company: 1
- Have ATS system: No, I don't need at all
- Have career website: No, I don't need at all
- Current hiring budget: RM3,672
- Whole year budget: RM3,672.00
- Whole year number of vacancies: 3
- Hiring frequency: Every month (100%)
- External job portal: Did not use any job portal</t>
        </is>
      </c>
      <c r="AT336">
        <v>85</v>
      </c>
      <c r="AU336" t="inlineStr">
        <is>
          <t>0.85</t>
        </is>
      </c>
      <c r="AV336" t="inlineStr">
        <is>
          <t>15</t>
        </is>
      </c>
      <c r="AW336" t="inlineStr">
        <is>
          <t>0</t>
        </is>
      </c>
      <c r="AX336" t="inlineStr">
        <is>
          <t>Not Qualified</t>
        </is>
      </c>
      <c r="AY336" s="4"/>
      <c r="AZ336"/>
      <c r="BA336"/>
      <c r="BB336"/>
      <c r="BC336"/>
      <c r="BD336" s="4"/>
      <c r="BE336"/>
      <c r="BF336"/>
      <c r="BG336" t="inlineStr">
        <is>
          <t>Reschedule</t>
        </is>
      </c>
      <c r="BH336" t="inlineStr">
        <is>
          <t>Fauziah Maharan</t>
        </is>
      </c>
      <c r="BI336"/>
      <c r="BJ336" s="4">
        <v>46144.755578703705</v>
      </c>
      <c r="BK336" s="4">
        <v>46099.51804398148</v>
      </c>
      <c r="BL336" t="inlineStr">
        <is>
          <t>0.0</t>
        </is>
      </c>
      <c r="BM336" t="inlineStr">
        <is>
          <t>450.0</t>
        </is>
      </c>
      <c r="BN336"/>
      <c r="BO336" s="4"/>
      <c r="BP336">
        <v>169357</v>
      </c>
      <c r="BQ336"/>
      <c r="BR336"/>
      <c r="BS336"/>
      <c r="BT336"/>
      <c r="BU336"/>
      <c r="BV336"/>
      <c r="BW336"/>
      <c r="BX336"/>
      <c r="BY336"/>
      <c r="BZ336" s="4"/>
      <c r="CA336"/>
      <c r="CB336"/>
      <c r="CC336" s="4"/>
      <c r="CD336" t="inlineStr">
        <is>
          <t>20</t>
        </is>
      </c>
      <c r="CE336" t="inlineStr">
        <is>
          <t>0</t>
        </is>
      </c>
      <c r="CF336" t="inlineStr">
        <is>
          <t>Q2-W04</t>
        </is>
      </c>
      <c r="CG336"/>
      <c r="CH336"/>
      <c r="CI336"/>
      <c r="CJ336" t="inlineStr">
        <is>
          <t>No Paid</t>
        </is>
      </c>
      <c r="CK336" t="inlineStr">
        <is>
          <t>Not Eligible</t>
        </is>
      </c>
      <c r="CL336"/>
      <c r="CM336"/>
    </row>
    <row r="337" ht="25.5" customHeight="1">
      <c r="A337" t="inlineStr">
        <is>
          <t>4327293</t>
        </is>
      </c>
      <c r="B337" s="2"/>
      <c r="C337"/>
      <c r="D337" s="3">
        <v>46139.45806712963</v>
      </c>
      <c r="E337" t="inlineStr">
        <is>
          <t>Q2-W04</t>
        </is>
      </c>
      <c r="F337" t="inlineStr">
        <is>
          <t>Janice Yap</t>
        </is>
      </c>
      <c r="G337" t="inlineStr">
        <is>
          <t>Lead</t>
        </is>
      </c>
      <c r="H337" s="2" t="str">
        <f>=HYPERLINK("https://upbox.ajobthing.my/leads/4327293", "https://upbox.ajobthing.my/leads/4327293")</f>
        <v>https://upbox.ajobthing.my/leads/4327293</v>
      </c>
      <c r="I337" t="inlineStr">
        <is>
          <t>Wing Fook Engineering Works</t>
        </is>
      </c>
      <c r="J337" t="inlineStr">
        <is>
          <t>Small Fish</t>
        </is>
      </c>
      <c r="K337" t="inlineStr">
        <is>
          <t>Janice</t>
        </is>
      </c>
      <c r="L337" s="4"/>
      <c r="M337" s="4">
        <v>46139.456782407404</v>
      </c>
      <c r="N337"/>
      <c r="O337">
        <v>3888</v>
      </c>
      <c r="P337" s="4"/>
      <c r="Q337" s="4"/>
      <c r="R337"/>
      <c r="S337"/>
      <c r="T337" s="4"/>
      <c r="U337" s="4"/>
      <c r="V337"/>
      <c r="W337"/>
      <c r="X337"/>
      <c r="Y337" t="inlineStr">
        <is>
          <t>Pending Appointment</t>
        </is>
      </c>
      <c r="Z337" t="inlineStr">
        <is>
          <t>Hiring Now</t>
        </is>
      </c>
      <c r="AA337">
        <v>1</v>
      </c>
      <c r="AB337" t="inlineStr">
        <is>
          <t>No Appointment Made</t>
        </is>
      </c>
      <c r="AC337"/>
      <c r="AD337" t="inlineStr">
        <is>
          <t xml:space="preserve"> Site Safety Supervisor</t>
        </is>
      </c>
      <c r="AE337"/>
      <c r="AF337">
        <v>0</v>
      </c>
      <c r="AG337" s="4"/>
      <c r="AH337" s="4"/>
      <c r="AI337">
        <v>0</v>
      </c>
      <c r="AJ337"/>
      <c r="AK337" t="inlineStr">
        <is>
          <t>No, I don't need at all</t>
        </is>
      </c>
      <c r="AL337">
        <v>0</v>
      </c>
      <c r="AM337" t="inlineStr">
        <is>
          <t>No, I don't need at all</t>
        </is>
      </c>
      <c r="AN337"/>
      <c r="AO337" t="inlineStr">
        <is>
          <t>No, I don't need at all</t>
        </is>
      </c>
      <c r="AP337" t="inlineStr">
        <is>
          <t>Once a year (25%)</t>
        </is>
      </c>
      <c r="AQ337">
        <v>1</v>
      </c>
      <c r="AR337" t="inlineStr">
        <is>
          <t>Did not use any job portal</t>
        </is>
      </c>
      <c r="AS337" t="inlineStr">
        <is>
          <t>- Headcount: 1
- Hiring Job Details: Site Safety Supervisor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337">
        <v>115</v>
      </c>
      <c r="AU337" t="inlineStr">
        <is>
          <t>1.15</t>
        </is>
      </c>
      <c r="AV337" t="inlineStr">
        <is>
          <t>15</t>
        </is>
      </c>
      <c r="AW337" t="inlineStr">
        <is>
          <t>0</t>
        </is>
      </c>
      <c r="AX337" t="inlineStr">
        <is>
          <t>Not Qualified</t>
        </is>
      </c>
      <c r="AY337" s="4"/>
      <c r="AZ337"/>
      <c r="BA337"/>
      <c r="BB337"/>
      <c r="BC337"/>
      <c r="BD337" s="4"/>
      <c r="BE337"/>
      <c r="BF337"/>
      <c r="BG337" t="inlineStr">
        <is>
          <t>Reschedule</t>
        </is>
      </c>
      <c r="BH337" t="inlineStr">
        <is>
          <t>Yee Hang</t>
        </is>
      </c>
      <c r="BI337"/>
      <c r="BJ337" s="4">
        <v>46144.75592592593</v>
      </c>
      <c r="BK337" s="4">
        <v>46139.444756944446</v>
      </c>
      <c r="BL337" t="inlineStr">
        <is>
          <t>0.0</t>
        </is>
      </c>
      <c r="BM337" t="inlineStr">
        <is>
          <t>0.0</t>
        </is>
      </c>
      <c r="BN337"/>
      <c r="BO337" s="4"/>
      <c r="BP337">
        <v>168964</v>
      </c>
      <c r="BQ337"/>
      <c r="BR337"/>
      <c r="BS337"/>
      <c r="BT337"/>
      <c r="BU337"/>
      <c r="BV337"/>
      <c r="BW337"/>
      <c r="BX337"/>
      <c r="BY337"/>
      <c r="BZ337" s="4"/>
      <c r="CA337"/>
      <c r="CB337"/>
      <c r="CC337" s="4"/>
      <c r="CD337" t="inlineStr">
        <is>
          <t>20</t>
        </is>
      </c>
      <c r="CE337" t="inlineStr">
        <is>
          <t>0</t>
        </is>
      </c>
      <c r="CF337" t="inlineStr">
        <is>
          <t>Q2-W04</t>
        </is>
      </c>
      <c r="CG337"/>
      <c r="CH337"/>
      <c r="CI337"/>
      <c r="CJ337" t="inlineStr">
        <is>
          <t>No Paid</t>
        </is>
      </c>
      <c r="CK337" t="inlineStr">
        <is>
          <t>Not Eligible</t>
        </is>
      </c>
      <c r="CL337"/>
      <c r="CM337"/>
    </row>
    <row r="338" ht="25.5" customHeight="1">
      <c r="A338" t="inlineStr">
        <is>
          <t>4150585</t>
        </is>
      </c>
      <c r="B338" s="2"/>
      <c r="C338"/>
      <c r="D338" s="3">
        <v>46139.45957175926</v>
      </c>
      <c r="E338" t="inlineStr">
        <is>
          <t>Q2-W04</t>
        </is>
      </c>
      <c r="F338" t="inlineStr">
        <is>
          <t>Angel  Low</t>
        </is>
      </c>
      <c r="G338" t="inlineStr">
        <is>
          <t>Lead</t>
        </is>
      </c>
      <c r="H338" s="2" t="str">
        <f>=HYPERLINK("https://upbox.ajobthing.my/leads/4150585", "https://upbox.ajobthing.my/leads/4150585")</f>
        <v>https://upbox.ajobthing.my/leads/4150585</v>
      </c>
      <c r="I338" t="inlineStr">
        <is>
          <t>Manulife</t>
        </is>
      </c>
      <c r="J338" t="inlineStr">
        <is>
          <t>Small Fish</t>
        </is>
      </c>
      <c r="K338" t="inlineStr">
        <is>
          <t>Angel Low</t>
        </is>
      </c>
      <c r="L338" s="4"/>
      <c r="M338" s="4">
        <v>46140.48533564815</v>
      </c>
      <c r="N338"/>
      <c r="O338">
        <v>10381</v>
      </c>
      <c r="P338" s="4"/>
      <c r="Q338" s="4"/>
      <c r="R338"/>
      <c r="S338"/>
      <c r="T338" s="4"/>
      <c r="U338" s="4"/>
      <c r="V338"/>
      <c r="W338"/>
      <c r="X338"/>
      <c r="Y338" t="inlineStr">
        <is>
          <t>Pending Appointment</t>
        </is>
      </c>
      <c r="Z338"/>
      <c r="AA338">
        <v>10</v>
      </c>
      <c r="AB338" t="inlineStr">
        <is>
          <t>No Appointment Made</t>
        </is>
      </c>
      <c r="AC338"/>
      <c r="AD338" t="inlineStr">
        <is>
          <t xml:space="preserve">10 insurance agency </t>
        </is>
      </c>
      <c r="AE338"/>
      <c r="AF338"/>
      <c r="AG338" s="4"/>
      <c r="AH338" s="4"/>
      <c r="AI338"/>
      <c r="AJ338"/>
      <c r="AK338"/>
      <c r="AL338"/>
      <c r="AM338"/>
      <c r="AN338"/>
      <c r="AO338"/>
      <c r="AP338"/>
      <c r="AQ338"/>
      <c r="AR338"/>
      <c r="AS338" t="inlineStr">
        <is>
          <t>- Headcount: 10
- Hiring Job Details: 10 insurance agency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338">
        <v>20</v>
      </c>
      <c r="AU338" t="inlineStr">
        <is>
          <t>0.20</t>
        </is>
      </c>
      <c r="AV338" t="inlineStr">
        <is>
          <t>10</t>
        </is>
      </c>
      <c r="AW338" t="inlineStr">
        <is>
          <t>0</t>
        </is>
      </c>
      <c r="AX338" t="inlineStr">
        <is>
          <t>Not Qualified</t>
        </is>
      </c>
      <c r="AY338" s="4"/>
      <c r="AZ338"/>
      <c r="BA338"/>
      <c r="BB338"/>
      <c r="BC338"/>
      <c r="BD338" s="4"/>
      <c r="BE338"/>
      <c r="BF338"/>
      <c r="BG338" t="inlineStr">
        <is>
          <t>Reschedule</t>
        </is>
      </c>
      <c r="BH338" t="inlineStr">
        <is>
          <t>Fauziah Maharan</t>
        </is>
      </c>
      <c r="BI338"/>
      <c r="BJ338" s="4">
        <v>46144.75550925926</v>
      </c>
      <c r="BK338" s="4">
        <v>46092.71513888889</v>
      </c>
      <c r="BL338" t="inlineStr">
        <is>
          <t>0.0</t>
        </is>
      </c>
      <c r="BM338" t="inlineStr">
        <is>
          <t>0.0</t>
        </is>
      </c>
      <c r="BN338"/>
      <c r="BO338" s="4"/>
      <c r="BP338">
        <v>169194</v>
      </c>
      <c r="BQ338"/>
      <c r="BR338"/>
      <c r="BS338"/>
      <c r="BT338"/>
      <c r="BU338"/>
      <c r="BV338"/>
      <c r="BW338"/>
      <c r="BX338"/>
      <c r="BY338"/>
      <c r="BZ338" s="4"/>
      <c r="CA338"/>
      <c r="CB338"/>
      <c r="CC338" s="4"/>
      <c r="CD338" t="inlineStr">
        <is>
          <t>15</t>
        </is>
      </c>
      <c r="CE338" t="inlineStr">
        <is>
          <t>0</t>
        </is>
      </c>
      <c r="CF338" t="inlineStr">
        <is>
          <t>Q2-W04</t>
        </is>
      </c>
      <c r="CG338"/>
      <c r="CH338"/>
      <c r="CI338"/>
      <c r="CJ338" t="inlineStr">
        <is>
          <t>No Paid</t>
        </is>
      </c>
      <c r="CK338" t="inlineStr">
        <is>
          <t>Eligible</t>
        </is>
      </c>
      <c r="CL338"/>
      <c r="CM338"/>
    </row>
    <row r="339" ht="25.5" customHeight="1">
      <c r="A339" t="inlineStr">
        <is>
          <t>135620</t>
        </is>
      </c>
      <c r="B339" s="2"/>
      <c r="C339"/>
      <c r="D339" s="3">
        <v>46139.46078703704</v>
      </c>
      <c r="E339" t="inlineStr">
        <is>
          <t>Q2-W04</t>
        </is>
      </c>
      <c r="F339" t="inlineStr">
        <is>
          <t>Clover</t>
        </is>
      </c>
      <c r="G339" t="inlineStr">
        <is>
          <t>Customer</t>
        </is>
      </c>
      <c r="H339" s="2" t="str">
        <f>=HYPERLINK("https://upbox.ajobthing.my/customer/135620", "https://upbox.ajobthing.my/customer/135620")</f>
        <v>https://upbox.ajobthing.my/customer/135620</v>
      </c>
      <c r="I339" t="inlineStr">
        <is>
          <t xml:space="preserve">Hajat Tinggi </t>
        </is>
      </c>
      <c r="J339" t="inlineStr">
        <is>
          <t>Small Fish</t>
        </is>
      </c>
      <c r="K339" t="inlineStr">
        <is>
          <t>Clover</t>
        </is>
      </c>
      <c r="L339" s="4"/>
      <c r="M339" s="4">
        <v>46139.46398148148</v>
      </c>
      <c r="N339"/>
      <c r="O339">
        <v>3888</v>
      </c>
      <c r="P339" s="4"/>
      <c r="Q339" s="4"/>
      <c r="R339"/>
      <c r="S339"/>
      <c r="T339" s="4"/>
      <c r="U339" s="4"/>
      <c r="V339"/>
      <c r="W339"/>
      <c r="X339"/>
      <c r="Y339" t="inlineStr">
        <is>
          <t>Pending Appointment</t>
        </is>
      </c>
      <c r="Z339" t="inlineStr">
        <is>
          <t>Hiring Now</t>
        </is>
      </c>
      <c r="AA339">
        <v>4</v>
      </c>
      <c r="AB339" t="inlineStr">
        <is>
          <t>No Appointment Made</t>
        </is>
      </c>
      <c r="AC339"/>
      <c r="AD339" t="inlineStr">
        <is>
          <t>Hire technician aircond x2, clerk x2, malay, next May, staff resign, johor,  try  myfuturejob, mudah.com paid 100-200, deduct credits, suggest stand, budget concern</t>
        </is>
      </c>
      <c r="AE339"/>
      <c r="AF339">
        <v>3000</v>
      </c>
      <c r="AG339" s="4"/>
      <c r="AH339" s="4"/>
      <c r="AI339">
        <v>3000</v>
      </c>
      <c r="AJ339">
        <v>1</v>
      </c>
      <c r="AK339" t="inlineStr">
        <is>
          <t>No, but I want in future</t>
        </is>
      </c>
      <c r="AL339">
        <v>1</v>
      </c>
      <c r="AM339" t="inlineStr">
        <is>
          <t>No, but I want in future</t>
        </is>
      </c>
      <c r="AN339"/>
      <c r="AO339" t="inlineStr">
        <is>
          <t>No, but I want in future</t>
        </is>
      </c>
      <c r="AP339" t="inlineStr">
        <is>
          <t>Twice a year (50%)</t>
        </is>
      </c>
      <c r="AQ339">
        <v>2</v>
      </c>
      <c r="AR339" t="inlineStr">
        <is>
          <t>Free Job Portal</t>
        </is>
      </c>
      <c r="AS339" t="inlineStr">
        <is>
          <t>- Headcount: 4
- Hiring Job Details: 2 aircond technicians, 2 clerks (Malay, Johor, next May, staff resign; try myfuturejob, paid 100-200 RM on mudah.com, deduct credits, suggest stand, budget concern)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is>
      </c>
      <c r="AT339">
        <v>115</v>
      </c>
      <c r="AU339" t="inlineStr">
        <is>
          <t>1.15</t>
        </is>
      </c>
      <c r="AV339" t="inlineStr">
        <is>
          <t>15</t>
        </is>
      </c>
      <c r="AW339" t="inlineStr">
        <is>
          <t>0</t>
        </is>
      </c>
      <c r="AX339" t="inlineStr">
        <is>
          <t>Not Qualified</t>
        </is>
      </c>
      <c r="AY339" s="4"/>
      <c r="AZ339"/>
      <c r="BA339"/>
      <c r="BB339"/>
      <c r="BC339" t="inlineStr">
        <is>
          <t>- Headcount: 4
- Hiring Job Details: 2 aircond technicians, 2 clerks (Malay, Johor, next May, staff resign; try myfuturejob, paid 100-200 RM on mudah.com, deduct credits, suggest stand, budget concern)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is>
      </c>
      <c r="BD339" s="4">
        <v>46139.50017361111</v>
      </c>
      <c r="BE339"/>
      <c r="BF339"/>
      <c r="BG339" t="inlineStr">
        <is>
          <t>Reschedule</t>
        </is>
      </c>
      <c r="BH339" t="inlineStr">
        <is>
          <t>Reagen</t>
        </is>
      </c>
      <c r="BI339"/>
      <c r="BJ339" s="4">
        <v>46144.750555555554</v>
      </c>
      <c r="BK339" s="4">
        <v>44270.59174768518</v>
      </c>
      <c r="BL339" t="inlineStr">
        <is>
          <t>0.0</t>
        </is>
      </c>
      <c r="BM339" t="inlineStr">
        <is>
          <t>0.0</t>
        </is>
      </c>
      <c r="BN339" t="inlineStr">
        <is>
          <t>View Create Job Page</t>
        </is>
      </c>
      <c r="BO339" s="4">
        <v>45218.661828703705</v>
      </c>
      <c r="BP339">
        <v>168967</v>
      </c>
      <c r="BQ339"/>
      <c r="BR339"/>
      <c r="BS339"/>
      <c r="BT339"/>
      <c r="BU339"/>
      <c r="BV339">
        <v>2728824</v>
      </c>
      <c r="BW339" t="inlineStr">
        <is>
          <t>Customer Inquiry</t>
        </is>
      </c>
      <c r="BX339"/>
      <c r="BY339"/>
      <c r="BZ339" s="4"/>
      <c r="CA339"/>
      <c r="CB339"/>
      <c r="CC339" s="4"/>
      <c r="CD339" t="inlineStr">
        <is>
          <t>20</t>
        </is>
      </c>
      <c r="CE339" t="inlineStr">
        <is>
          <t>0</t>
        </is>
      </c>
      <c r="CF339" t="inlineStr">
        <is>
          <t>Q2-W04</t>
        </is>
      </c>
      <c r="CG339"/>
      <c r="CH339"/>
      <c r="CI339"/>
      <c r="CJ339" t="inlineStr">
        <is>
          <t>No Paid</t>
        </is>
      </c>
      <c r="CK339" t="inlineStr">
        <is>
          <t>Not Eligible</t>
        </is>
      </c>
      <c r="CL339"/>
      <c r="CM339"/>
    </row>
    <row r="340" ht="25.5" customHeight="1">
      <c r="A340" t="inlineStr">
        <is>
          <t>4327359</t>
        </is>
      </c>
      <c r="B340" s="2"/>
      <c r="C340"/>
      <c r="D340" s="3">
        <v>46139.46560185185</v>
      </c>
      <c r="E340" t="inlineStr">
        <is>
          <t>Q2-W04</t>
        </is>
      </c>
      <c r="F340" t="inlineStr">
        <is>
          <t>Chia Yee</t>
        </is>
      </c>
      <c r="G340" t="inlineStr">
        <is>
          <t>Lead</t>
        </is>
      </c>
      <c r="H340" s="2" t="str">
        <f>=HYPERLINK("https://upbox.ajobthing.my/leads/4327359", "https://upbox.ajobthing.my/leads/4327359")</f>
        <v>https://upbox.ajobthing.my/leads/4327359</v>
      </c>
      <c r="I340" t="inlineStr">
        <is>
          <t>NATTO AUTO &amp; ENGINEERING SDN BHD</t>
        </is>
      </c>
      <c r="J340" t="inlineStr">
        <is>
          <t>Small Fish</t>
        </is>
      </c>
      <c r="K340" t="inlineStr">
        <is>
          <t>Chia Yee</t>
        </is>
      </c>
      <c r="L340" s="4"/>
      <c r="M340" s="4">
        <v>46139.46717592593</v>
      </c>
      <c r="N340"/>
      <c r="O340">
        <v>3888</v>
      </c>
      <c r="P340" s="4"/>
      <c r="Q340" s="4"/>
      <c r="R340"/>
      <c r="S340"/>
      <c r="T340" s="4"/>
      <c r="U340" s="4"/>
      <c r="V340"/>
      <c r="W340"/>
      <c r="X340"/>
      <c r="Y340" t="inlineStr">
        <is>
          <t>Pending Appointment</t>
        </is>
      </c>
      <c r="Z340" t="inlineStr">
        <is>
          <t>Hiring Now</t>
        </is>
      </c>
      <c r="AA340">
        <v>1</v>
      </c>
      <c r="AB340" t="inlineStr">
        <is>
          <t>No Appointment Made</t>
        </is>
      </c>
      <c r="AC340"/>
      <c r="AD340" t="inlineStr">
        <is>
          <t>1 Technician</t>
        </is>
      </c>
      <c r="AE340"/>
      <c r="AF340">
        <v>0</v>
      </c>
      <c r="AG340" s="4"/>
      <c r="AH340" s="4"/>
      <c r="AI340">
        <v>0</v>
      </c>
      <c r="AJ340">
        <v>1</v>
      </c>
      <c r="AK340" t="inlineStr">
        <is>
          <t>No, I don't need at all</t>
        </is>
      </c>
      <c r="AL340">
        <v>1</v>
      </c>
      <c r="AM340" t="inlineStr">
        <is>
          <t>No, I don't need at all</t>
        </is>
      </c>
      <c r="AN340"/>
      <c r="AO340" t="inlineStr">
        <is>
          <t>No, I don't need at all</t>
        </is>
      </c>
      <c r="AP340" t="inlineStr">
        <is>
          <t>Once a year (25%)</t>
        </is>
      </c>
      <c r="AQ340">
        <v>1</v>
      </c>
      <c r="AR340" t="inlineStr">
        <is>
          <t>Did not use any job portal</t>
        </is>
      </c>
      <c r="AS340" t="inlineStr">
        <is>
          <t>- Headcount: 1
- Hiring Job Details: 1 Technician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340">
        <v>115</v>
      </c>
      <c r="AU340" t="inlineStr">
        <is>
          <t>1.15</t>
        </is>
      </c>
      <c r="AV340" t="inlineStr">
        <is>
          <t>15</t>
        </is>
      </c>
      <c r="AW340" t="inlineStr">
        <is>
          <t>0</t>
        </is>
      </c>
      <c r="AX340" t="inlineStr">
        <is>
          <t>Not Qualified</t>
        </is>
      </c>
      <c r="AY340" s="4"/>
      <c r="AZ340"/>
      <c r="BA340"/>
      <c r="BB340"/>
      <c r="BC340"/>
      <c r="BD340" s="4"/>
      <c r="BE340"/>
      <c r="BF340"/>
      <c r="BG340" t="inlineStr">
        <is>
          <t>Reschedule</t>
        </is>
      </c>
      <c r="BH340" t="inlineStr">
        <is>
          <t>Reagen</t>
        </is>
      </c>
      <c r="BI340"/>
      <c r="BJ340" s="4">
        <v>46144.75592592593</v>
      </c>
      <c r="BK340" s="4">
        <v>46139.4575462963</v>
      </c>
      <c r="BL340" t="inlineStr">
        <is>
          <t>0.0</t>
        </is>
      </c>
      <c r="BM340" t="inlineStr">
        <is>
          <t>0.0</t>
        </is>
      </c>
      <c r="BN340"/>
      <c r="BO340" s="4"/>
      <c r="BP340">
        <v>168969</v>
      </c>
      <c r="BQ340"/>
      <c r="BR340"/>
      <c r="BS340"/>
      <c r="BT340"/>
      <c r="BU340"/>
      <c r="BV340"/>
      <c r="BW340"/>
      <c r="BX340"/>
      <c r="BY340"/>
      <c r="BZ340" s="4"/>
      <c r="CA340"/>
      <c r="CB340"/>
      <c r="CC340" s="4"/>
      <c r="CD340" t="inlineStr">
        <is>
          <t>20</t>
        </is>
      </c>
      <c r="CE340" t="inlineStr">
        <is>
          <t>0</t>
        </is>
      </c>
      <c r="CF340" t="inlineStr">
        <is>
          <t>Q2-W04</t>
        </is>
      </c>
      <c r="CG340"/>
      <c r="CH340"/>
      <c r="CI340"/>
      <c r="CJ340" t="inlineStr">
        <is>
          <t>No Paid</t>
        </is>
      </c>
      <c r="CK340" t="inlineStr">
        <is>
          <t>Not Eligible</t>
        </is>
      </c>
      <c r="CL340"/>
      <c r="CM340"/>
    </row>
    <row r="341" ht="25.5" customHeight="1">
      <c r="A341" t="inlineStr">
        <is>
          <t>4320040</t>
        </is>
      </c>
      <c r="B341" s="2"/>
      <c r="C341"/>
      <c r="D341" s="3">
        <v>46139.466782407406</v>
      </c>
      <c r="E341" t="inlineStr">
        <is>
          <t>Q2-W04</t>
        </is>
      </c>
      <c r="F341" t="inlineStr">
        <is>
          <t>Ratha</t>
        </is>
      </c>
      <c r="G341" t="inlineStr">
        <is>
          <t>Lead</t>
        </is>
      </c>
      <c r="H341" s="2" t="str">
        <f>=HYPERLINK("https://upbox.ajobthing.my/leads/4320040", "https://upbox.ajobthing.my/leads/4320040")</f>
        <v>https://upbox.ajobthing.my/leads/4320040</v>
      </c>
      <c r="I341" t="inlineStr">
        <is>
          <t>Tektra Sdn.Bhd.</t>
        </is>
      </c>
      <c r="J341" t="inlineStr">
        <is>
          <t>Small Fish</t>
        </is>
      </c>
      <c r="K341" t="inlineStr">
        <is>
          <t>Ratha</t>
        </is>
      </c>
      <c r="L341" s="4"/>
      <c r="M341" s="4">
        <v>46139.467627314814</v>
      </c>
      <c r="N341"/>
      <c r="O341">
        <v>6048</v>
      </c>
      <c r="P341" s="4"/>
      <c r="Q341" s="4"/>
      <c r="R341"/>
      <c r="S341"/>
      <c r="T341" s="4"/>
      <c r="U341" s="4"/>
      <c r="V341"/>
      <c r="W341"/>
      <c r="X341"/>
      <c r="Y341" t="inlineStr">
        <is>
          <t>Pending Appointment</t>
        </is>
      </c>
      <c r="Z341" t="inlineStr">
        <is>
          <t>Hiring Now</t>
        </is>
      </c>
      <c r="AA341">
        <v>2</v>
      </c>
      <c r="AB341" t="inlineStr">
        <is>
          <t>No Appointment Made</t>
        </is>
      </c>
      <c r="AC341"/>
      <c r="AD341" t="inlineStr">
        <is>
          <t>Finance, Engineering
Location : Bangsar</t>
        </is>
      </c>
      <c r="AE341"/>
      <c r="AF341"/>
      <c r="AG341" s="4"/>
      <c r="AH341" s="4"/>
      <c r="AI341">
        <v>0</v>
      </c>
      <c r="AJ341">
        <v>1</v>
      </c>
      <c r="AK341" t="inlineStr">
        <is>
          <t>Yes, I have</t>
        </is>
      </c>
      <c r="AL341">
        <v>2</v>
      </c>
      <c r="AM341"/>
      <c r="AN341"/>
      <c r="AO341" t="inlineStr">
        <is>
          <t>No, I don't need at all</t>
        </is>
      </c>
      <c r="AP341" t="inlineStr">
        <is>
          <t>Once per quarter (75%)</t>
        </is>
      </c>
      <c r="AQ341"/>
      <c r="AR341" t="inlineStr">
        <is>
          <t>Did not use any job portal</t>
        </is>
      </c>
      <c r="AS341" t="inlineStr">
        <is>
          <t>- Headcount: 2
- Hiring Job Details: Finance, Engineering
- Hiring Urgency: Hiring Now
- Number of outlets: 1
- Have recruiter team: Yes, I have
- Number of recruiter in company: 2
- Have ATS system: Not specified
- Have career website: No, I don't need at all
- Current hiring budget: Not specified
- Whole year budget: RM0.00
- Whole year number of vacancies: Not specified
- Hiring frequency: Once per quarter (75%)
- External job portal: Did not use any job portal</t>
        </is>
      </c>
      <c r="AT341">
        <v>65</v>
      </c>
      <c r="AU341" t="inlineStr">
        <is>
          <t>0.65</t>
        </is>
      </c>
      <c r="AV341" t="inlineStr">
        <is>
          <t>5</t>
        </is>
      </c>
      <c r="AW341" t="inlineStr">
        <is>
          <t>0</t>
        </is>
      </c>
      <c r="AX341" t="inlineStr">
        <is>
          <t>Not Qualified</t>
        </is>
      </c>
      <c r="AY341" s="4"/>
      <c r="AZ341"/>
      <c r="BA341"/>
      <c r="BB341"/>
      <c r="BC341"/>
      <c r="BD341" s="4"/>
      <c r="BE341"/>
      <c r="BF341"/>
      <c r="BG341" t="inlineStr">
        <is>
          <t>Reschedule</t>
        </is>
      </c>
      <c r="BH341" t="inlineStr">
        <is>
          <t>Fauziah Maharan</t>
        </is>
      </c>
      <c r="BI341"/>
      <c r="BJ341" s="4">
        <v>46144.75592592593</v>
      </c>
      <c r="BK341" s="4">
        <v>46136.646898148145</v>
      </c>
      <c r="BL341" t="inlineStr">
        <is>
          <t>0.0</t>
        </is>
      </c>
      <c r="BM341" t="inlineStr">
        <is>
          <t>0.0</t>
        </is>
      </c>
      <c r="BN341"/>
      <c r="BO341" s="4"/>
      <c r="BP341">
        <v>168972</v>
      </c>
      <c r="BQ341"/>
      <c r="BR341"/>
      <c r="BS341"/>
      <c r="BT341"/>
      <c r="BU341"/>
      <c r="BV341"/>
      <c r="BW341"/>
      <c r="BX341"/>
      <c r="BY341"/>
      <c r="BZ341" s="4"/>
      <c r="CA341"/>
      <c r="CB341"/>
      <c r="CC341" s="4"/>
      <c r="CD341" t="inlineStr">
        <is>
          <t>5</t>
        </is>
      </c>
      <c r="CE341" t="inlineStr">
        <is>
          <t>0</t>
        </is>
      </c>
      <c r="CF341" t="inlineStr">
        <is>
          <t>Q2-W04</t>
        </is>
      </c>
      <c r="CG341"/>
      <c r="CH341"/>
      <c r="CI341"/>
      <c r="CJ341" t="inlineStr">
        <is>
          <t>No Paid</t>
        </is>
      </c>
      <c r="CK341" t="inlineStr">
        <is>
          <t>Not Eligible</t>
        </is>
      </c>
      <c r="CL341"/>
      <c r="CM341"/>
    </row>
    <row r="342" ht="25.5" customHeight="1">
      <c r="A342" t="inlineStr">
        <is>
          <t>161407</t>
        </is>
      </c>
      <c r="B342" s="2"/>
      <c r="C342"/>
      <c r="D342" s="3">
        <v>46139.4703125</v>
      </c>
      <c r="E342" t="inlineStr">
        <is>
          <t>Q2-W04</t>
        </is>
      </c>
      <c r="F342" t="inlineStr">
        <is>
          <t>Lucas</t>
        </is>
      </c>
      <c r="G342" t="inlineStr">
        <is>
          <t>Customer</t>
        </is>
      </c>
      <c r="H342" s="2" t="str">
        <f>=HYPERLINK("https://upbox.ajobthing.my/customer/161407", "https://upbox.ajobthing.my/customer/161407")</f>
        <v>https://upbox.ajobthing.my/customer/161407</v>
      </c>
      <c r="I342" t="inlineStr">
        <is>
          <t>Art Af Delima Service</t>
        </is>
      </c>
      <c r="J342" t="inlineStr">
        <is>
          <t>Small Fish</t>
        </is>
      </c>
      <c r="K342" t="inlineStr">
        <is>
          <t>Lucas</t>
        </is>
      </c>
      <c r="L342" s="4"/>
      <c r="M342" s="4">
        <v>46139.46885416667</v>
      </c>
      <c r="N342"/>
      <c r="O342">
        <v>3888</v>
      </c>
      <c r="P342" s="4"/>
      <c r="Q342" s="4"/>
      <c r="R342"/>
      <c r="S342"/>
      <c r="T342" s="4"/>
      <c r="U342" s="4"/>
      <c r="V342"/>
      <c r="W342"/>
      <c r="X342"/>
      <c r="Y342" t="inlineStr">
        <is>
          <t>Pending Appointment</t>
        </is>
      </c>
      <c r="Z342" t="inlineStr">
        <is>
          <t>Hiring Now</t>
        </is>
      </c>
      <c r="AA342">
        <v>2</v>
      </c>
      <c r="AB342" t="inlineStr">
        <is>
          <t>No Appointment Made</t>
        </is>
      </c>
      <c r="AC342"/>
      <c r="AD342" t="inlineStr">
        <is>
          <t xml:space="preserve">1 admin, 1qc </t>
        </is>
      </c>
      <c r="AE342"/>
      <c r="AF342">
        <v>0</v>
      </c>
      <c r="AG342" s="4"/>
      <c r="AH342" s="4"/>
      <c r="AI342">
        <v>0</v>
      </c>
      <c r="AJ342">
        <v>0</v>
      </c>
      <c r="AK342" t="inlineStr">
        <is>
          <t>No, I don't need at all</t>
        </is>
      </c>
      <c r="AL342">
        <v>0</v>
      </c>
      <c r="AM342" t="inlineStr">
        <is>
          <t>No, I don't need at all</t>
        </is>
      </c>
      <c r="AN342"/>
      <c r="AO342" t="inlineStr">
        <is>
          <t>No, I don't need at all</t>
        </is>
      </c>
      <c r="AP342" t="inlineStr">
        <is>
          <t>Once a year (25%)</t>
        </is>
      </c>
      <c r="AQ342">
        <v>2</v>
      </c>
      <c r="AR342" t="inlineStr">
        <is>
          <t>Did not use any job portal</t>
        </is>
      </c>
      <c r="AS342" t="inlineStr">
        <is>
          <t>- Headcount: 2
- Hiring Job Details: 1 admin, 1 qc
- Number of outlets: 0
- Have recruiter team: No, I don't need at all
- Number of recruiter in company: 0
- Have ATS system: No, I don't need at all
- Have career website: No, I don't need at all
- Current hiring budget: RM0.00
- Hiring frequency: Once a year (25%)
- Whole year budget: RM0.00
- Whole year number of vacancies: 2
- External job portal: Did not use any job portal
- Hiring Urgency: Hiring Now</t>
        </is>
      </c>
      <c r="AT342">
        <v>110</v>
      </c>
      <c r="AU342" t="inlineStr">
        <is>
          <t>1.10</t>
        </is>
      </c>
      <c r="AV342" t="inlineStr">
        <is>
          <t>15</t>
        </is>
      </c>
      <c r="AW342" t="inlineStr">
        <is>
          <t>0</t>
        </is>
      </c>
      <c r="AX342" t="inlineStr">
        <is>
          <t>Not Qualified</t>
        </is>
      </c>
      <c r="AY342" s="4"/>
      <c r="AZ342"/>
      <c r="BA342"/>
      <c r="BB342"/>
      <c r="BC342" t="inlineStr">
        <is>
          <t>reject</t>
        </is>
      </c>
      <c r="BD342" s="4">
        <v>46142.618576388886</v>
      </c>
      <c r="BE342"/>
      <c r="BF342"/>
      <c r="BG342" t="inlineStr">
        <is>
          <t>Reschedule</t>
        </is>
      </c>
      <c r="BH342" t="inlineStr">
        <is>
          <t>Yee Hang</t>
        </is>
      </c>
      <c r="BI342" t="inlineStr">
        <is>
          <t>Automobile / Automotive</t>
        </is>
      </c>
      <c r="BJ342" s="4">
        <v>46144.751122685186</v>
      </c>
      <c r="BK342" s="4">
        <v>44859.68918981482</v>
      </c>
      <c r="BL342" t="inlineStr">
        <is>
          <t>0.0</t>
        </is>
      </c>
      <c r="BM342" t="inlineStr">
        <is>
          <t>0.0</t>
        </is>
      </c>
      <c r="BN342" t="inlineStr">
        <is>
          <t>View Company Page</t>
        </is>
      </c>
      <c r="BO342" s="4">
        <v>45847.40152777778</v>
      </c>
      <c r="BP342">
        <v>168973</v>
      </c>
      <c r="BQ342"/>
      <c r="BR342"/>
      <c r="BS342"/>
      <c r="BT342"/>
      <c r="BU342"/>
      <c r="BV342">
        <v>2737803</v>
      </c>
      <c r="BW342" t="inlineStr">
        <is>
          <t>Follow Up : Lost - Free Portal</t>
        </is>
      </c>
      <c r="BX342"/>
      <c r="BY342"/>
      <c r="BZ342" s="4"/>
      <c r="CA342"/>
      <c r="CB342"/>
      <c r="CC342" s="4"/>
      <c r="CD342" t="inlineStr">
        <is>
          <t>20</t>
        </is>
      </c>
      <c r="CE342" t="inlineStr">
        <is>
          <t>0</t>
        </is>
      </c>
      <c r="CF342" t="inlineStr">
        <is>
          <t>Q2-W04</t>
        </is>
      </c>
      <c r="CG342"/>
      <c r="CH342"/>
      <c r="CI342"/>
      <c r="CJ342" t="inlineStr">
        <is>
          <t>No Paid</t>
        </is>
      </c>
      <c r="CK342" t="inlineStr">
        <is>
          <t>Not Eligible</t>
        </is>
      </c>
      <c r="CL342"/>
      <c r="CM342"/>
    </row>
    <row r="343" ht="25.5" customHeight="1">
      <c r="A343" t="inlineStr">
        <is>
          <t>203691</t>
        </is>
      </c>
      <c r="B343" s="2"/>
      <c r="C343"/>
      <c r="D343" s="3">
        <v>46139.471354166664</v>
      </c>
      <c r="E343" t="inlineStr">
        <is>
          <t>Q2-W04</t>
        </is>
      </c>
      <c r="F343" t="inlineStr">
        <is>
          <t>Evan</t>
        </is>
      </c>
      <c r="G343" t="inlineStr">
        <is>
          <t>Customer</t>
        </is>
      </c>
      <c r="H343" s="2" t="str">
        <f>=HYPERLINK("https://upbox.ajobthing.my/customer/203691", "https://upbox.ajobthing.my/customer/203691")</f>
        <v>https://upbox.ajobthing.my/customer/203691</v>
      </c>
      <c r="I343" t="inlineStr">
        <is>
          <t>Housesifu Sdn Bhd</t>
        </is>
      </c>
      <c r="J343" t="inlineStr">
        <is>
          <t>Small Fish</t>
        </is>
      </c>
      <c r="K343" t="inlineStr">
        <is>
          <t>Evan</t>
        </is>
      </c>
      <c r="L343" s="4"/>
      <c r="M343" s="4">
        <v>46139.471041666664</v>
      </c>
      <c r="N343"/>
      <c r="O343">
        <v>3888</v>
      </c>
      <c r="P343" s="4"/>
      <c r="Q343" s="4"/>
      <c r="R343"/>
      <c r="S343"/>
      <c r="T343" s="4"/>
      <c r="U343" s="4"/>
      <c r="V343"/>
      <c r="W343"/>
      <c r="X343"/>
      <c r="Y343" t="inlineStr">
        <is>
          <t>Pending Appointment</t>
        </is>
      </c>
      <c r="Z343" t="inlineStr">
        <is>
          <t>Hiring Now</t>
        </is>
      </c>
      <c r="AA343">
        <v>1</v>
      </c>
      <c r="AB343" t="inlineStr">
        <is>
          <t>No Appointment Made</t>
        </is>
      </c>
      <c r="AC343"/>
      <c r="AD343" t="inlineStr">
        <is>
          <t>1 account, all base in KL</t>
        </is>
      </c>
      <c r="AE343"/>
      <c r="AF343">
        <v>1</v>
      </c>
      <c r="AG343" s="4"/>
      <c r="AH343" s="4"/>
      <c r="AI343">
        <v>1</v>
      </c>
      <c r="AJ343">
        <v>1</v>
      </c>
      <c r="AK343" t="inlineStr">
        <is>
          <t>No, I don't need at all</t>
        </is>
      </c>
      <c r="AL343">
        <v>0</v>
      </c>
      <c r="AM343" t="inlineStr">
        <is>
          <t>No, I don't need at all</t>
        </is>
      </c>
      <c r="AN343"/>
      <c r="AO343" t="inlineStr">
        <is>
          <t>No, I don't need at all</t>
        </is>
      </c>
      <c r="AP343" t="inlineStr">
        <is>
          <t>Once a year (25%)</t>
        </is>
      </c>
      <c r="AQ343">
        <v>1</v>
      </c>
      <c r="AR343" t="inlineStr">
        <is>
          <t>Did not use any job portal</t>
        </is>
      </c>
      <c r="AS343" t="inlineStr">
        <is>
          <t>- Headcount: 1
- Hiring Job Details: 1 account,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343">
        <v>95</v>
      </c>
      <c r="AU343" t="inlineStr">
        <is>
          <t>0.95</t>
        </is>
      </c>
      <c r="AV343" t="inlineStr">
        <is>
          <t>15</t>
        </is>
      </c>
      <c r="AW343" t="inlineStr">
        <is>
          <t>0</t>
        </is>
      </c>
      <c r="AX343" t="inlineStr">
        <is>
          <t>Not Qualified</t>
        </is>
      </c>
      <c r="AY343" s="4"/>
      <c r="AZ343"/>
      <c r="BA343"/>
      <c r="BB343"/>
      <c r="BC343" t="inlineStr">
        <is>
          <t>- Headcount: 1
- Hiring Job Details: 1 account,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343" s="4">
        <v>46139.50017361111</v>
      </c>
      <c r="BE343"/>
      <c r="BF343"/>
      <c r="BG343" t="inlineStr">
        <is>
          <t>Reschedule</t>
        </is>
      </c>
      <c r="BH343" t="inlineStr">
        <is>
          <t>Edward Hoo</t>
        </is>
      </c>
      <c r="BI343" t="inlineStr">
        <is>
          <t>Property / Real Estate</t>
        </is>
      </c>
      <c r="BJ343" s="4">
        <v>46144.75436342593</v>
      </c>
      <c r="BK343" s="4">
        <v>46139.41269675926</v>
      </c>
      <c r="BL343" t="inlineStr">
        <is>
          <t>0.0</t>
        </is>
      </c>
      <c r="BM343" t="inlineStr">
        <is>
          <t>600.0</t>
        </is>
      </c>
      <c r="BN343" t="inlineStr">
        <is>
          <t>View Company Page</t>
        </is>
      </c>
      <c r="BO343" s="4">
        <v>46139.434907407405</v>
      </c>
      <c r="BP343">
        <v>168974</v>
      </c>
      <c r="BQ343"/>
      <c r="BR343"/>
      <c r="BS343"/>
      <c r="BT343"/>
      <c r="BU343"/>
      <c r="BV343">
        <v>2728830</v>
      </c>
      <c r="BW343" t="inlineStr">
        <is>
          <t>Customer Inquiry</t>
        </is>
      </c>
      <c r="BX343"/>
      <c r="BY343"/>
      <c r="BZ343" s="4"/>
      <c r="CA343"/>
      <c r="CB343"/>
      <c r="CC343" s="4"/>
      <c r="CD343" t="inlineStr">
        <is>
          <t>20</t>
        </is>
      </c>
      <c r="CE343" t="inlineStr">
        <is>
          <t>0</t>
        </is>
      </c>
      <c r="CF343" t="inlineStr">
        <is>
          <t>Q2-W04</t>
        </is>
      </c>
      <c r="CG343"/>
      <c r="CH343"/>
      <c r="CI343"/>
      <c r="CJ343" t="inlineStr">
        <is>
          <t>No Paid</t>
        </is>
      </c>
      <c r="CK343" t="inlineStr">
        <is>
          <t>Not Eligible</t>
        </is>
      </c>
      <c r="CL343"/>
      <c r="CM343"/>
    </row>
    <row r="344" ht="25.5" customHeight="1">
      <c r="A344" t="inlineStr">
        <is>
          <t>4320841</t>
        </is>
      </c>
      <c r="B344" s="2"/>
      <c r="C344"/>
      <c r="D344" s="3">
        <v>46139.474594907406</v>
      </c>
      <c r="E344" t="inlineStr">
        <is>
          <t>Q2-W04</t>
        </is>
      </c>
      <c r="F344" t="inlineStr">
        <is>
          <t>Chia Yee</t>
        </is>
      </c>
      <c r="G344" t="inlineStr">
        <is>
          <t>Lead</t>
        </is>
      </c>
      <c r="H344" s="2" t="str">
        <f>=HYPERLINK("https://upbox.ajobthing.my/leads/4320841", "https://upbox.ajobthing.my/leads/4320841")</f>
        <v>https://upbox.ajobthing.my/leads/4320841</v>
      </c>
      <c r="I344" t="inlineStr">
        <is>
          <t>Forfar Design Sdn Bhd</t>
        </is>
      </c>
      <c r="J344" t="inlineStr">
        <is>
          <t>Small Fish</t>
        </is>
      </c>
      <c r="K344" t="inlineStr">
        <is>
          <t>Chia Yee</t>
        </is>
      </c>
      <c r="L344" s="4"/>
      <c r="M344" s="4">
        <v>46139.4756712963</v>
      </c>
      <c r="N344"/>
      <c r="O344">
        <v>3888</v>
      </c>
      <c r="P344" s="4"/>
      <c r="Q344" s="4"/>
      <c r="R344"/>
      <c r="S344"/>
      <c r="T344" s="4"/>
      <c r="U344" s="4"/>
      <c r="V344"/>
      <c r="W344"/>
      <c r="X344"/>
      <c r="Y344" t="inlineStr">
        <is>
          <t>Pending Appointment</t>
        </is>
      </c>
      <c r="Z344" t="inlineStr">
        <is>
          <t>Hiring Now</t>
        </is>
      </c>
      <c r="AA344">
        <v>1</v>
      </c>
      <c r="AB344" t="inlineStr">
        <is>
          <t>No Appointment Made</t>
        </is>
      </c>
      <c r="AC344"/>
      <c r="AD344" t="inlineStr">
        <is>
          <t>1 Account executive</t>
        </is>
      </c>
      <c r="AE344"/>
      <c r="AF344">
        <v>0</v>
      </c>
      <c r="AG344" s="4"/>
      <c r="AH344" s="4"/>
      <c r="AI344">
        <v>0</v>
      </c>
      <c r="AJ344">
        <v>1</v>
      </c>
      <c r="AK344" t="inlineStr">
        <is>
          <t>No, I don't need at all</t>
        </is>
      </c>
      <c r="AL344">
        <v>1</v>
      </c>
      <c r="AM344" t="inlineStr">
        <is>
          <t>No, I don't need at all</t>
        </is>
      </c>
      <c r="AN344"/>
      <c r="AO344" t="inlineStr">
        <is>
          <t>No, I don't need at all</t>
        </is>
      </c>
      <c r="AP344" t="inlineStr">
        <is>
          <t>Once a year (25%)</t>
        </is>
      </c>
      <c r="AQ344">
        <v>1</v>
      </c>
      <c r="AR344" t="inlineStr">
        <is>
          <t>Did not use any job portal</t>
        </is>
      </c>
      <c r="AS344" t="inlineStr">
        <is>
          <t>- Headcount: 1
- Hiring Job Details: 1 Account executive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344">
        <v>105</v>
      </c>
      <c r="AU344" t="inlineStr">
        <is>
          <t>1.05</t>
        </is>
      </c>
      <c r="AV344" t="inlineStr">
        <is>
          <t>15</t>
        </is>
      </c>
      <c r="AW344" t="inlineStr">
        <is>
          <t>0</t>
        </is>
      </c>
      <c r="AX344" t="inlineStr">
        <is>
          <t>Not Qualified</t>
        </is>
      </c>
      <c r="AY344" s="4"/>
      <c r="AZ344"/>
      <c r="BA344"/>
      <c r="BB344"/>
      <c r="BC344"/>
      <c r="BD344" s="4"/>
      <c r="BE344"/>
      <c r="BF344"/>
      <c r="BG344" t="inlineStr">
        <is>
          <t>Reschedule</t>
        </is>
      </c>
      <c r="BH344" t="inlineStr">
        <is>
          <t>Reagen</t>
        </is>
      </c>
      <c r="BI344"/>
      <c r="BJ344" s="4">
        <v>46144.75592592593</v>
      </c>
      <c r="BK344" s="4">
        <v>46136.80451388889</v>
      </c>
      <c r="BL344" t="inlineStr">
        <is>
          <t>0.0</t>
        </is>
      </c>
      <c r="BM344" t="inlineStr">
        <is>
          <t>0.0</t>
        </is>
      </c>
      <c r="BN344"/>
      <c r="BO344" s="4"/>
      <c r="BP344">
        <v>168979</v>
      </c>
      <c r="BQ344"/>
      <c r="BR344"/>
      <c r="BS344"/>
      <c r="BT344"/>
      <c r="BU344"/>
      <c r="BV344"/>
      <c r="BW344"/>
      <c r="BX344"/>
      <c r="BY344"/>
      <c r="BZ344" s="4"/>
      <c r="CA344"/>
      <c r="CB344"/>
      <c r="CC344" s="4"/>
      <c r="CD344" t="inlineStr">
        <is>
          <t>20</t>
        </is>
      </c>
      <c r="CE344" t="inlineStr">
        <is>
          <t>0</t>
        </is>
      </c>
      <c r="CF344" t="inlineStr">
        <is>
          <t>Q2-W04</t>
        </is>
      </c>
      <c r="CG344"/>
      <c r="CH344"/>
      <c r="CI344"/>
      <c r="CJ344" t="inlineStr">
        <is>
          <t>No Paid</t>
        </is>
      </c>
      <c r="CK344" t="inlineStr">
        <is>
          <t>Not Eligible</t>
        </is>
      </c>
      <c r="CL344"/>
      <c r="CM344"/>
    </row>
    <row r="345" ht="25.5" customHeight="1">
      <c r="A345" t="inlineStr">
        <is>
          <t>203697</t>
        </is>
      </c>
      <c r="B345" s="2"/>
      <c r="C345"/>
      <c r="D345" s="3">
        <v>46139.475902777776</v>
      </c>
      <c r="E345" t="inlineStr">
        <is>
          <t>Q2-W04</t>
        </is>
      </c>
      <c r="F345" t="inlineStr">
        <is>
          <t>Fariz</t>
        </is>
      </c>
      <c r="G345" t="inlineStr">
        <is>
          <t>Customer</t>
        </is>
      </c>
      <c r="H345" s="2" t="str">
        <f>=HYPERLINK("https://upbox.ajobthing.my/customer/203697", "https://upbox.ajobthing.my/customer/203697")</f>
        <v>https://upbox.ajobthing.my/customer/203697</v>
      </c>
      <c r="I345" t="inlineStr">
        <is>
          <t>Sang Foh Engineering</t>
        </is>
      </c>
      <c r="J345" t="inlineStr">
        <is>
          <t>Small Fish</t>
        </is>
      </c>
      <c r="K345" t="inlineStr">
        <is>
          <t>Fariz</t>
        </is>
      </c>
      <c r="L345" s="4"/>
      <c r="M345" s="4">
        <v>46139.47746527778</v>
      </c>
      <c r="N345"/>
      <c r="O345">
        <v>1296</v>
      </c>
      <c r="P345" s="4"/>
      <c r="Q345" s="4"/>
      <c r="R345"/>
      <c r="S345"/>
      <c r="T345" s="4"/>
      <c r="U345" s="4"/>
      <c r="V345"/>
      <c r="W345"/>
      <c r="X345"/>
      <c r="Y345" t="inlineStr">
        <is>
          <t>Pending Appointment</t>
        </is>
      </c>
      <c r="Z345" t="inlineStr">
        <is>
          <t>Hiring Later</t>
        </is>
      </c>
      <c r="AA345">
        <v>1</v>
      </c>
      <c r="AB345" t="inlineStr">
        <is>
          <t>No Appointment Made</t>
        </is>
      </c>
      <c r="AC345"/>
      <c r="AD345" t="inlineStr">
        <is>
          <t>1 admin</t>
        </is>
      </c>
      <c r="AE345"/>
      <c r="AF345">
        <v>1200</v>
      </c>
      <c r="AG345" s="4"/>
      <c r="AH345" s="4"/>
      <c r="AI345">
        <v>1200</v>
      </c>
      <c r="AJ345"/>
      <c r="AK345" t="inlineStr">
        <is>
          <t>No, but I want in future</t>
        </is>
      </c>
      <c r="AL345">
        <v>1</v>
      </c>
      <c r="AM345" t="inlineStr">
        <is>
          <t>No, but I want in future</t>
        </is>
      </c>
      <c r="AN345"/>
      <c r="AO345" t="inlineStr">
        <is>
          <t>No, but I want in future</t>
        </is>
      </c>
      <c r="AP345" t="inlineStr">
        <is>
          <t>Once a year (25%)</t>
        </is>
      </c>
      <c r="AQ345">
        <v>1</v>
      </c>
      <c r="AR345" t="inlineStr">
        <is>
          <t>Free Job Portal</t>
        </is>
      </c>
      <c r="AS345" t="inlineStr">
        <is>
          <t>- Headcount: 1
- Hiring Job Details: 1 admin
- Hiring Urgency: Hiring Later
- Number of outlets: 
- Have recruiter team: No, but I want in future
- Number of recruiter in company: 1
- Have ATS system: No, but I want in future
- Have career website: No, but I want in future
- Current hiring budget: RM1,200
- Whole year budget: RM1,200.00
- Whole year number of vacancies: 1
- Hiring frequency: Once a year (25%)
- External job portal: Free Job Portal</t>
        </is>
      </c>
      <c r="AT345">
        <v>105</v>
      </c>
      <c r="AU345" t="inlineStr">
        <is>
          <t>1.05</t>
        </is>
      </c>
      <c r="AV345" t="inlineStr">
        <is>
          <t>15</t>
        </is>
      </c>
      <c r="AW345" t="inlineStr">
        <is>
          <t>0</t>
        </is>
      </c>
      <c r="AX345" t="inlineStr">
        <is>
          <t>Not Qualified</t>
        </is>
      </c>
      <c r="AY345" s="4"/>
      <c r="AZ345"/>
      <c r="BA345"/>
      <c r="BB345"/>
      <c r="BC345" t="inlineStr">
        <is>
          <t>client bos said they hold to advertise the vacancy at the moment. ask if they have any time line but didnt getanswer from her bos</t>
        </is>
      </c>
      <c r="BD345" s="4">
        <v>46142.5002662037</v>
      </c>
      <c r="BE345"/>
      <c r="BF345"/>
      <c r="BG345" t="inlineStr">
        <is>
          <t>Reschedule</t>
        </is>
      </c>
      <c r="BH345" t="inlineStr">
        <is>
          <t>Edward Hoo</t>
        </is>
      </c>
      <c r="BI345"/>
      <c r="BJ345" s="4">
        <v>46144.75436342593</v>
      </c>
      <c r="BK345" s="4">
        <v>46139.47398148148</v>
      </c>
      <c r="BL345" t="inlineStr">
        <is>
          <t>0.0</t>
        </is>
      </c>
      <c r="BM345" t="inlineStr">
        <is>
          <t>600.0</t>
        </is>
      </c>
      <c r="BN345"/>
      <c r="BO345" s="4"/>
      <c r="BP345">
        <v>168987</v>
      </c>
      <c r="BQ345"/>
      <c r="BR345"/>
      <c r="BS345"/>
      <c r="BT345"/>
      <c r="BU345"/>
      <c r="BV345">
        <v>2737312</v>
      </c>
      <c r="BW345" t="inlineStr">
        <is>
          <t>Follow Up : Budget Concern</t>
        </is>
      </c>
      <c r="BX345"/>
      <c r="BY345"/>
      <c r="BZ345" s="4"/>
      <c r="CA345"/>
      <c r="CB345"/>
      <c r="CC345" s="4"/>
      <c r="CD345" t="inlineStr">
        <is>
          <t>20</t>
        </is>
      </c>
      <c r="CE345" t="inlineStr">
        <is>
          <t>0</t>
        </is>
      </c>
      <c r="CF345" t="inlineStr">
        <is>
          <t>Q2-W04</t>
        </is>
      </c>
      <c r="CG345"/>
      <c r="CH345"/>
      <c r="CI345"/>
      <c r="CJ345" t="inlineStr">
        <is>
          <t>No Paid</t>
        </is>
      </c>
      <c r="CK345" t="inlineStr">
        <is>
          <t>Not Eligible</t>
        </is>
      </c>
      <c r="CL345"/>
      <c r="CM345"/>
    </row>
    <row r="346" ht="25.5" customHeight="1">
      <c r="A346" t="inlineStr">
        <is>
          <t>203669</t>
        </is>
      </c>
      <c r="B346" s="2"/>
      <c r="C346"/>
      <c r="D346" s="3">
        <v>46139.476006944446</v>
      </c>
      <c r="E346" t="inlineStr">
        <is>
          <t>Q2-W04</t>
        </is>
      </c>
      <c r="F346" t="inlineStr">
        <is>
          <t>Janice Yap</t>
        </is>
      </c>
      <c r="G346" t="inlineStr">
        <is>
          <t>Customer</t>
        </is>
      </c>
      <c r="H346" s="2" t="str">
        <f>=HYPERLINK("https://upbox.ajobthing.my/customer/203669", "https://upbox.ajobthing.my/customer/203669")</f>
        <v>https://upbox.ajobthing.my/customer/203669</v>
      </c>
      <c r="I346" t="inlineStr">
        <is>
          <t>Azifa Trading</t>
        </is>
      </c>
      <c r="J346" t="inlineStr">
        <is>
          <t>Small Fish</t>
        </is>
      </c>
      <c r="K346" t="inlineStr">
        <is>
          <t>Janice</t>
        </is>
      </c>
      <c r="L346" s="4"/>
      <c r="M346" s="4">
        <v>46139.47665509259</v>
      </c>
      <c r="N346"/>
      <c r="O346">
        <v>3888</v>
      </c>
      <c r="P346" s="4"/>
      <c r="Q346" s="4"/>
      <c r="R346"/>
      <c r="S346"/>
      <c r="T346" s="4"/>
      <c r="U346" s="4"/>
      <c r="V346"/>
      <c r="W346"/>
      <c r="X346"/>
      <c r="Y346" t="inlineStr">
        <is>
          <t>Pending Appointment</t>
        </is>
      </c>
      <c r="Z346" t="inlineStr">
        <is>
          <t>Hiring Now</t>
        </is>
      </c>
      <c r="AA346">
        <v>1</v>
      </c>
      <c r="AB346" t="inlineStr">
        <is>
          <t>No Appointment Made</t>
        </is>
      </c>
      <c r="AC346"/>
      <c r="AD346" t="inlineStr">
        <is>
          <t>1 shop assistant</t>
        </is>
      </c>
      <c r="AE346"/>
      <c r="AF346">
        <v>0</v>
      </c>
      <c r="AG346" s="4"/>
      <c r="AH346" s="4"/>
      <c r="AI346">
        <v>0</v>
      </c>
      <c r="AJ346"/>
      <c r="AK346" t="inlineStr">
        <is>
          <t>No, I don't need at all</t>
        </is>
      </c>
      <c r="AL346">
        <v>0</v>
      </c>
      <c r="AM346" t="inlineStr">
        <is>
          <t>No, I don't need at all</t>
        </is>
      </c>
      <c r="AN346"/>
      <c r="AO346" t="inlineStr">
        <is>
          <t>No, I don't need at all</t>
        </is>
      </c>
      <c r="AP346" t="inlineStr">
        <is>
          <t>Once a year (25%)</t>
        </is>
      </c>
      <c r="AQ346">
        <v>1</v>
      </c>
      <c r="AR346" t="inlineStr">
        <is>
          <t>Did not use any job portal</t>
        </is>
      </c>
      <c r="AS346" t="inlineStr">
        <is>
          <t>- Headcount: 1
- Hiring Job Details: 1 shop assistant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346">
        <v>110</v>
      </c>
      <c r="AU346" t="inlineStr">
        <is>
          <t>1.10</t>
        </is>
      </c>
      <c r="AV346" t="inlineStr">
        <is>
          <t>15</t>
        </is>
      </c>
      <c r="AW346" t="inlineStr">
        <is>
          <t>0</t>
        </is>
      </c>
      <c r="AX346" t="inlineStr">
        <is>
          <t>Not Qualified</t>
        </is>
      </c>
      <c r="AY346" s="4"/>
      <c r="AZ346"/>
      <c r="BA346"/>
      <c r="BB346"/>
      <c r="BC346" t="inlineStr">
        <is>
          <t>No answer</t>
        </is>
      </c>
      <c r="BD346" s="4">
        <v>46142.73539351852</v>
      </c>
      <c r="BE346"/>
      <c r="BF346"/>
      <c r="BG346" t="inlineStr">
        <is>
          <t>Reschedule</t>
        </is>
      </c>
      <c r="BH346" t="inlineStr">
        <is>
          <t>Yee Hang</t>
        </is>
      </c>
      <c r="BI346" t="inlineStr">
        <is>
          <t>Printing / Publishing</t>
        </is>
      </c>
      <c r="BJ346" s="4">
        <v>46144.75436342593</v>
      </c>
      <c r="BK346" s="4">
        <v>46137.65861111111</v>
      </c>
      <c r="BL346" t="inlineStr">
        <is>
          <t>0.0</t>
        </is>
      </c>
      <c r="BM346" t="inlineStr">
        <is>
          <t>0.0</t>
        </is>
      </c>
      <c r="BN346" t="inlineStr">
        <is>
          <t>View Company Page</t>
        </is>
      </c>
      <c r="BO346" s="4">
        <v>46137.676875</v>
      </c>
      <c r="BP346">
        <v>168983</v>
      </c>
      <c r="BQ346"/>
      <c r="BR346"/>
      <c r="BS346"/>
      <c r="BT346"/>
      <c r="BU346"/>
      <c r="BV346">
        <v>2738436</v>
      </c>
      <c r="BW346" t="inlineStr">
        <is>
          <t>No Answer : Voicemail - WA sent to customer</t>
        </is>
      </c>
      <c r="BX346"/>
      <c r="BY346"/>
      <c r="BZ346" s="4"/>
      <c r="CA346"/>
      <c r="CB346"/>
      <c r="CC346" s="4"/>
      <c r="CD346" t="inlineStr">
        <is>
          <t>20</t>
        </is>
      </c>
      <c r="CE346" t="inlineStr">
        <is>
          <t>0</t>
        </is>
      </c>
      <c r="CF346" t="inlineStr">
        <is>
          <t>Q2-W04</t>
        </is>
      </c>
      <c r="CG346"/>
      <c r="CH346"/>
      <c r="CI346"/>
      <c r="CJ346" t="inlineStr">
        <is>
          <t>No Paid</t>
        </is>
      </c>
      <c r="CK346" t="inlineStr">
        <is>
          <t>Not Eligible</t>
        </is>
      </c>
      <c r="CL346"/>
      <c r="CM346"/>
    </row>
    <row r="347" ht="25.5" customHeight="1">
      <c r="A347" t="inlineStr">
        <is>
          <t>33918</t>
        </is>
      </c>
      <c r="B347" s="2"/>
      <c r="C347"/>
      <c r="D347" s="3">
        <v>46139.48024305556</v>
      </c>
      <c r="E347" t="inlineStr">
        <is>
          <t>Q2-W04</t>
        </is>
      </c>
      <c r="F347" t="inlineStr">
        <is>
          <t>Chia Yee</t>
        </is>
      </c>
      <c r="G347" t="inlineStr">
        <is>
          <t>Customer</t>
        </is>
      </c>
      <c r="H347" s="2" t="str">
        <f>=HYPERLINK("https://upbox.ajobthing.my/customer/33918", "https://upbox.ajobthing.my/customer/33918")</f>
        <v>https://upbox.ajobthing.my/customer/33918</v>
      </c>
      <c r="I347" t="inlineStr">
        <is>
          <t>Eagle Chapter Learning Centre</t>
        </is>
      </c>
      <c r="J347" t="inlineStr">
        <is>
          <t>Small Fish</t>
        </is>
      </c>
      <c r="K347" t="inlineStr">
        <is>
          <t>Chia Yee</t>
        </is>
      </c>
      <c r="L347" s="4"/>
      <c r="M347" s="4">
        <v>46139.48037037037</v>
      </c>
      <c r="N347"/>
      <c r="O347">
        <v>3888</v>
      </c>
      <c r="P347" s="4"/>
      <c r="Q347" s="4"/>
      <c r="R347"/>
      <c r="S347"/>
      <c r="T347" s="4"/>
      <c r="U347" s="4"/>
      <c r="V347"/>
      <c r="W347"/>
      <c r="X347"/>
      <c r="Y347" t="inlineStr">
        <is>
          <t>Pending Appointment</t>
        </is>
      </c>
      <c r="Z347" t="inlineStr">
        <is>
          <t>Hiring Now</t>
        </is>
      </c>
      <c r="AA347">
        <v>1</v>
      </c>
      <c r="AB347" t="inlineStr">
        <is>
          <t>No Appointment Made</t>
        </is>
      </c>
      <c r="AC347"/>
      <c r="AD347" t="inlineStr">
        <is>
          <t>1 part time teacher</t>
        </is>
      </c>
      <c r="AE347"/>
      <c r="AF347">
        <v>0</v>
      </c>
      <c r="AG347" s="4"/>
      <c r="AH347" s="4"/>
      <c r="AI347">
        <v>0</v>
      </c>
      <c r="AJ347">
        <v>1</v>
      </c>
      <c r="AK347" t="inlineStr">
        <is>
          <t>No, I don't need at all</t>
        </is>
      </c>
      <c r="AL347">
        <v>1</v>
      </c>
      <c r="AM347" t="inlineStr">
        <is>
          <t>No, I don't need at all</t>
        </is>
      </c>
      <c r="AN347"/>
      <c r="AO347" t="inlineStr">
        <is>
          <t>No, I don't need at all</t>
        </is>
      </c>
      <c r="AP347" t="inlineStr">
        <is>
          <t>Once a year (25%)</t>
        </is>
      </c>
      <c r="AQ347">
        <v>1</v>
      </c>
      <c r="AR347" t="inlineStr">
        <is>
          <t>Did not use any job portal</t>
        </is>
      </c>
      <c r="AS347" t="inlineStr">
        <is>
          <t>- Headcount: 1
- Hiring Job Details: 1 part time teacher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347">
        <v>115</v>
      </c>
      <c r="AU347" t="inlineStr">
        <is>
          <t>1.15</t>
        </is>
      </c>
      <c r="AV347" t="inlineStr">
        <is>
          <t>15</t>
        </is>
      </c>
      <c r="AW347" t="inlineStr">
        <is>
          <t>0</t>
        </is>
      </c>
      <c r="AX347" t="inlineStr">
        <is>
          <t>Not Qualified</t>
        </is>
      </c>
      <c r="AY347" s="4"/>
      <c r="AZ347"/>
      <c r="BA347"/>
      <c r="BB347"/>
      <c r="BC347" t="inlineStr">
        <is>
          <t>Called Mr. Mah, not proceed, price too high, x2 than jobstreet. Want explain. Keep said too high, too high, management not agree</t>
        </is>
      </c>
      <c r="BD347" s="4">
        <v>46140.45753472222</v>
      </c>
      <c r="BE347"/>
      <c r="BF347"/>
      <c r="BG347" t="inlineStr">
        <is>
          <t>Reschedule</t>
        </is>
      </c>
      <c r="BH347" t="inlineStr">
        <is>
          <t>Reagen</t>
        </is>
      </c>
      <c r="BI347"/>
      <c r="BJ347" s="4">
        <v>46144.75457175926</v>
      </c>
      <c r="BK347" s="4">
        <v>42786.46326388889</v>
      </c>
      <c r="BL347" t="inlineStr">
        <is>
          <t>0.0</t>
        </is>
      </c>
      <c r="BM347" t="inlineStr">
        <is>
          <t>0.0</t>
        </is>
      </c>
      <c r="BN347"/>
      <c r="BO347" s="4"/>
      <c r="BP347">
        <v>168990</v>
      </c>
      <c r="BQ347"/>
      <c r="BR347"/>
      <c r="BS347"/>
      <c r="BT347"/>
      <c r="BU347"/>
      <c r="BV347">
        <v>2731980</v>
      </c>
      <c r="BW347" t="inlineStr">
        <is>
          <t>Follow Up : Budget Concern</t>
        </is>
      </c>
      <c r="BX347"/>
      <c r="BY347"/>
      <c r="BZ347" s="4"/>
      <c r="CA347"/>
      <c r="CB347"/>
      <c r="CC347" s="4"/>
      <c r="CD347" t="inlineStr">
        <is>
          <t>20</t>
        </is>
      </c>
      <c r="CE347" t="inlineStr">
        <is>
          <t>0</t>
        </is>
      </c>
      <c r="CF347" t="inlineStr">
        <is>
          <t>Q2-W04</t>
        </is>
      </c>
      <c r="CG347"/>
      <c r="CH347"/>
      <c r="CI347"/>
      <c r="CJ347" t="inlineStr">
        <is>
          <t>No Paid</t>
        </is>
      </c>
      <c r="CK347" t="inlineStr">
        <is>
          <t>Not Eligible</t>
        </is>
      </c>
      <c r="CL347"/>
      <c r="CM347"/>
    </row>
    <row r="348" ht="25.5" customHeight="1">
      <c r="A348" t="inlineStr">
        <is>
          <t>179682</t>
        </is>
      </c>
      <c r="B348" s="2"/>
      <c r="C348"/>
      <c r="D348" s="3">
        <v>46139.48138888889</v>
      </c>
      <c r="E348" t="inlineStr">
        <is>
          <t>Q2-W04</t>
        </is>
      </c>
      <c r="F348" t="inlineStr">
        <is>
          <t>Alan KY</t>
        </is>
      </c>
      <c r="G348" t="inlineStr">
        <is>
          <t>Customer</t>
        </is>
      </c>
      <c r="H348" s="2" t="str">
        <f>=HYPERLINK("https://upbox.ajobthing.my/customer/179682", "https://upbox.ajobthing.my/customer/179682")</f>
        <v>https://upbox.ajobthing.my/customer/179682</v>
      </c>
      <c r="I348" t="inlineStr">
        <is>
          <t>Leong Premier Engineering Sdn Bhd</t>
        </is>
      </c>
      <c r="J348" t="inlineStr">
        <is>
          <t>Small Fish</t>
        </is>
      </c>
      <c r="K348" t="inlineStr">
        <is>
          <t>Alan KY</t>
        </is>
      </c>
      <c r="L348" s="4"/>
      <c r="M348" s="4">
        <v>46139.47822916666</v>
      </c>
      <c r="N348"/>
      <c r="O348">
        <v>3672</v>
      </c>
      <c r="P348" s="4"/>
      <c r="Q348" s="4">
        <v>45724.412199074075</v>
      </c>
      <c r="R348"/>
      <c r="S348">
        <v>324</v>
      </c>
      <c r="T348" s="4">
        <v>45724.412199074075</v>
      </c>
      <c r="U348" s="4"/>
      <c r="V348"/>
      <c r="W348">
        <v>324</v>
      </c>
      <c r="X348"/>
      <c r="Y348" t="inlineStr">
        <is>
          <t>Pending Appointment</t>
        </is>
      </c>
      <c r="Z348" t="inlineStr">
        <is>
          <t>Hiring Now</t>
        </is>
      </c>
      <c r="AA348">
        <v>2</v>
      </c>
      <c r="AB348" t="inlineStr">
        <is>
          <t>No Appointment Made</t>
        </is>
      </c>
      <c r="AC348"/>
      <c r="AD348" t="inlineStr">
        <is>
          <t xml:space="preserve">2 qs , 1 junior engineer , in Johor </t>
        </is>
      </c>
      <c r="AE348"/>
      <c r="AF348"/>
      <c r="AG348" s="4"/>
      <c r="AH348" s="4"/>
      <c r="AI348"/>
      <c r="AJ348"/>
      <c r="AK348" t="inlineStr">
        <is>
          <t>No, I don't need at all</t>
        </is>
      </c>
      <c r="AL348"/>
      <c r="AM348" t="inlineStr">
        <is>
          <t>No, I don't need at all</t>
        </is>
      </c>
      <c r="AN348"/>
      <c r="AO348" t="inlineStr">
        <is>
          <t>No, I don't need at all</t>
        </is>
      </c>
      <c r="AP348" t="inlineStr">
        <is>
          <t>Once per quarter (75%)</t>
        </is>
      </c>
      <c r="AQ348"/>
      <c r="AR348" t="inlineStr">
        <is>
          <t>Jobstreet</t>
        </is>
      </c>
      <c r="AS348" t="inlineStr">
        <is>
          <t>- Headcount: 2
- Hiring Job Details: 2 qs, 1 junior engineer,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is>
      </c>
      <c r="AT348">
        <v>85</v>
      </c>
      <c r="AU348" t="inlineStr">
        <is>
          <t>0.85</t>
        </is>
      </c>
      <c r="AV348" t="inlineStr">
        <is>
          <t>5</t>
        </is>
      </c>
      <c r="AW348" t="inlineStr">
        <is>
          <t>0</t>
        </is>
      </c>
      <c r="AX348" t="inlineStr">
        <is>
          <t>Not Qualified</t>
        </is>
      </c>
      <c r="AY348" s="4"/>
      <c r="AZ348"/>
      <c r="BA348"/>
      <c r="BB348"/>
      <c r="BC348" t="inlineStr">
        <is>
          <t>- Headcount: 2
- Hiring Job Details: 2 qs, 1 junior engineer,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is>
      </c>
      <c r="BD348" s="4">
        <v>46139.500185185185</v>
      </c>
      <c r="BE348" t="inlineStr">
        <is>
          <t>paid</t>
        </is>
      </c>
      <c r="BF348"/>
      <c r="BG348" t="inlineStr">
        <is>
          <t>Reschedule</t>
        </is>
      </c>
      <c r="BH348" t="inlineStr">
        <is>
          <t>Reagen</t>
        </is>
      </c>
      <c r="BI348"/>
      <c r="BJ348" s="4">
        <v>46144.75178240741</v>
      </c>
      <c r="BK348" s="4">
        <v>45464.57068287037</v>
      </c>
      <c r="BL348" t="inlineStr">
        <is>
          <t>0.0</t>
        </is>
      </c>
      <c r="BM348" t="inlineStr">
        <is>
          <t>0.0</t>
        </is>
      </c>
      <c r="BN348" t="inlineStr">
        <is>
          <t>View Company Page</t>
        </is>
      </c>
      <c r="BO348" s="4">
        <v>46139.4943287037</v>
      </c>
      <c r="BP348">
        <v>168988</v>
      </c>
      <c r="BQ348">
        <v>77478</v>
      </c>
      <c r="BR348" t="inlineStr">
        <is>
          <t>Online</t>
        </is>
      </c>
      <c r="BS348"/>
      <c r="BT348">
        <v>77478</v>
      </c>
      <c r="BU348"/>
      <c r="BV348">
        <v>2728839</v>
      </c>
      <c r="BW348" t="inlineStr">
        <is>
          <t>Customer Inquiry</t>
        </is>
      </c>
      <c r="BX348"/>
      <c r="BY348"/>
      <c r="BZ348" s="4"/>
      <c r="CA348"/>
      <c r="CB348"/>
      <c r="CC348" s="4"/>
      <c r="CD348" t="inlineStr">
        <is>
          <t>5</t>
        </is>
      </c>
      <c r="CE348" t="inlineStr">
        <is>
          <t>0</t>
        </is>
      </c>
      <c r="CF348" t="inlineStr">
        <is>
          <t>Q2-W04</t>
        </is>
      </c>
      <c r="CG348"/>
      <c r="CH348"/>
      <c r="CI348"/>
      <c r="CJ348" t="inlineStr">
        <is>
          <t>Paid</t>
        </is>
      </c>
      <c r="CK348" t="inlineStr">
        <is>
          <t>Not Eligible</t>
        </is>
      </c>
      <c r="CL348"/>
      <c r="CM348"/>
    </row>
    <row r="349" ht="25.5" customHeight="1">
      <c r="A349" t="inlineStr">
        <is>
          <t>8630</t>
        </is>
      </c>
      <c r="B349" s="2"/>
      <c r="C349"/>
      <c r="D349" s="3">
        <v>46139.48320601852</v>
      </c>
      <c r="E349" t="inlineStr">
        <is>
          <t>Q2-W04</t>
        </is>
      </c>
      <c r="F349" t="inlineStr">
        <is>
          <t>Ken Yi</t>
        </is>
      </c>
      <c r="G349" t="inlineStr">
        <is>
          <t>Customer</t>
        </is>
      </c>
      <c r="H349" s="2" t="str">
        <f>=HYPERLINK("https://upbox.ajobthing.my/customer/8630", "https://upbox.ajobthing.my/customer/8630")</f>
        <v>https://upbox.ajobthing.my/customer/8630</v>
      </c>
      <c r="I349" t="inlineStr">
        <is>
          <t>Passiontree Marketing Sdn Bhd</t>
        </is>
      </c>
      <c r="J349" t="inlineStr">
        <is>
          <t>Small Fish</t>
        </is>
      </c>
      <c r="K349" t="inlineStr">
        <is>
          <t>Kenyi</t>
        </is>
      </c>
      <c r="L349" s="4"/>
      <c r="M349" s="4">
        <v>46139.48550925926</v>
      </c>
      <c r="N349"/>
      <c r="O349">
        <v>3888</v>
      </c>
      <c r="P349" s="4"/>
      <c r="Q349" s="4"/>
      <c r="R349"/>
      <c r="S349"/>
      <c r="T349" s="4"/>
      <c r="U349" s="4"/>
      <c r="V349"/>
      <c r="W349"/>
      <c r="X349"/>
      <c r="Y349" t="inlineStr">
        <is>
          <t>Pending Appointment</t>
        </is>
      </c>
      <c r="Z349" t="inlineStr">
        <is>
          <t>Hiring Now</t>
        </is>
      </c>
      <c r="AA349">
        <v>1</v>
      </c>
      <c r="AB349" t="inlineStr">
        <is>
          <t>No Appointment Made</t>
        </is>
      </c>
      <c r="AC349"/>
      <c r="AD349" t="inlineStr">
        <is>
          <t>Sales &amp; Marketing 1</t>
        </is>
      </c>
      <c r="AE349"/>
      <c r="AF349">
        <v>0</v>
      </c>
      <c r="AG349" s="4"/>
      <c r="AH349" s="4"/>
      <c r="AI349">
        <v>0</v>
      </c>
      <c r="AJ349">
        <v>1</v>
      </c>
      <c r="AK349" t="inlineStr">
        <is>
          <t>Yes, I have</t>
        </is>
      </c>
      <c r="AL349">
        <v>1</v>
      </c>
      <c r="AM349" t="inlineStr">
        <is>
          <t>No, I don't need at all</t>
        </is>
      </c>
      <c r="AN349"/>
      <c r="AO349" t="inlineStr">
        <is>
          <t>No, I don't need at all</t>
        </is>
      </c>
      <c r="AP349" t="inlineStr">
        <is>
          <t>Every month (100%)</t>
        </is>
      </c>
      <c r="AQ349">
        <v>3</v>
      </c>
      <c r="AR349" t="inlineStr">
        <is>
          <t>Did not use any job portal</t>
        </is>
      </c>
      <c r="AS349" t="inlineStr">
        <is>
          <t>- Headcount: 1
- Hiring Job Details: Sales &amp; Marketing 1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Did not use any job portal</t>
        </is>
      </c>
      <c r="AT349">
        <v>110</v>
      </c>
      <c r="AU349" t="inlineStr">
        <is>
          <t>1.10</t>
        </is>
      </c>
      <c r="AV349" t="inlineStr">
        <is>
          <t>15</t>
        </is>
      </c>
      <c r="AW349" t="inlineStr">
        <is>
          <t>0</t>
        </is>
      </c>
      <c r="AX349" t="inlineStr">
        <is>
          <t>Not Qualified</t>
        </is>
      </c>
      <c r="AY349" s="4"/>
      <c r="AZ349"/>
      <c r="BA349"/>
      <c r="BB349"/>
      <c r="BC349" t="inlineStr">
        <is>
          <t>Sales promotion</t>
        </is>
      </c>
      <c r="BD349" s="4">
        <v>46140.447488425925</v>
      </c>
      <c r="BE349"/>
      <c r="BF349"/>
      <c r="BG349" t="inlineStr">
        <is>
          <t>Reschedule</t>
        </is>
      </c>
      <c r="BH349" t="inlineStr">
        <is>
          <t>Fauziah Maharan</t>
        </is>
      </c>
      <c r="BI349"/>
      <c r="BJ349" s="4">
        <v>46144.756157407406</v>
      </c>
      <c r="BK349" s="4">
        <v>42478.856469907405</v>
      </c>
      <c r="BL349" t="inlineStr">
        <is>
          <t>0.0</t>
        </is>
      </c>
      <c r="BM349" t="inlineStr">
        <is>
          <t>600.0</t>
        </is>
      </c>
      <c r="BN349"/>
      <c r="BO349" s="4"/>
      <c r="BP349">
        <v>168993</v>
      </c>
      <c r="BQ349"/>
      <c r="BR349"/>
      <c r="BS349"/>
      <c r="BT349"/>
      <c r="BU349"/>
      <c r="BV349">
        <v>2731922</v>
      </c>
      <c r="BW349" t="inlineStr">
        <is>
          <t>Follow Up : Decision Pending</t>
        </is>
      </c>
      <c r="BX349"/>
      <c r="BY349"/>
      <c r="BZ349" s="4"/>
      <c r="CA349"/>
      <c r="CB349"/>
      <c r="CC349" s="4"/>
      <c r="CD349" t="inlineStr">
        <is>
          <t>20</t>
        </is>
      </c>
      <c r="CE349" t="inlineStr">
        <is>
          <t>0</t>
        </is>
      </c>
      <c r="CF349" t="inlineStr">
        <is>
          <t>Q2-W04</t>
        </is>
      </c>
      <c r="CG349"/>
      <c r="CH349"/>
      <c r="CI349"/>
      <c r="CJ349" t="inlineStr">
        <is>
          <t>No Paid</t>
        </is>
      </c>
      <c r="CK349" t="inlineStr">
        <is>
          <t>Not Eligible</t>
        </is>
      </c>
      <c r="CL349"/>
      <c r="CM349"/>
    </row>
    <row r="350" ht="25.5" customHeight="1">
      <c r="A350" t="inlineStr">
        <is>
          <t>132323</t>
        </is>
      </c>
      <c r="B350" s="2"/>
      <c r="C350"/>
      <c r="D350" s="3">
        <v>46139.48954861111</v>
      </c>
      <c r="E350" t="inlineStr">
        <is>
          <t>Q2-W04</t>
        </is>
      </c>
      <c r="F350" t="inlineStr">
        <is>
          <t>andy@ajobthing.com</t>
        </is>
      </c>
      <c r="G350" t="inlineStr">
        <is>
          <t>Customer</t>
        </is>
      </c>
      <c r="H350" s="2" t="str">
        <f>=HYPERLINK("https://upbox.ajobthing.my/customer/132323", "https://upbox.ajobthing.my/customer/132323")</f>
        <v>https://upbox.ajobthing.my/customer/132323</v>
      </c>
      <c r="I350" t="inlineStr">
        <is>
          <t>United Malayan Flour (1996) Sdn Bhd</t>
        </is>
      </c>
      <c r="J350" t="inlineStr">
        <is>
          <t>Small Fish</t>
        </is>
      </c>
      <c r="K350" t="inlineStr">
        <is>
          <t>Andy</t>
        </is>
      </c>
      <c r="L350" s="4"/>
      <c r="M350" s="4">
        <v>46139.49170138889</v>
      </c>
      <c r="N350"/>
      <c r="O350">
        <v>3456</v>
      </c>
      <c r="P350" s="4"/>
      <c r="Q350" s="4">
        <v>46140.406168981484</v>
      </c>
      <c r="R350"/>
      <c r="S350">
        <v>0</v>
      </c>
      <c r="T350" s="4"/>
      <c r="U350" s="4"/>
      <c r="V350"/>
      <c r="W350"/>
      <c r="X350" t="inlineStr">
        <is>
          <t>andy@ajobthing.com</t>
        </is>
      </c>
      <c r="Y350" t="inlineStr">
        <is>
          <t>Done Appointment</t>
        </is>
      </c>
      <c r="Z350" t="inlineStr">
        <is>
          <t>Continuous Hiring</t>
        </is>
      </c>
      <c r="AA350">
        <v>4</v>
      </c>
      <c r="AB350" t="inlineStr">
        <is>
          <t>Appointment Made</t>
        </is>
      </c>
      <c r="AC350" t="inlineStr">
        <is>
          <t>Large (101-300 employees)</t>
        </is>
      </c>
      <c r="AD350" t="inlineStr">
        <is>
          <t xml:space="preserve">Clerks, production supervisor, general worker, operator </t>
        </is>
      </c>
      <c r="AE350" t="inlineStr">
        <is>
          <t>HR Director / Senior HR Lead</t>
        </is>
      </c>
      <c r="AF350">
        <v>20000</v>
      </c>
      <c r="AG350" s="4">
        <v>46139.458333333336</v>
      </c>
      <c r="AH350" s="4">
        <v>46139.479166666664</v>
      </c>
      <c r="AI350">
        <v>30000</v>
      </c>
      <c r="AJ350">
        <v>4</v>
      </c>
      <c r="AK350" t="inlineStr">
        <is>
          <t>Yes, I have</t>
        </is>
      </c>
      <c r="AL350">
        <v>4</v>
      </c>
      <c r="AM350" t="inlineStr">
        <is>
          <t>No, I don't need at all</t>
        </is>
      </c>
      <c r="AN350"/>
      <c r="AO350" t="inlineStr">
        <is>
          <t>No, I don't need at all</t>
        </is>
      </c>
      <c r="AP350" t="inlineStr">
        <is>
          <t>Every month (100%)</t>
        </is>
      </c>
      <c r="AQ350">
        <v>30</v>
      </c>
      <c r="AR350" t="inlineStr">
        <is>
          <t>Jobstreet, Indeed (Paid)</t>
        </is>
      </c>
      <c r="AS350" t="inlineStr">
        <is>
          <t>- Headcount: 4
- Hiring Job Details: Clerks, production supervisor, general worker, operator
- Hiring Urgency: Continuous Hiring
- Number of outlets: 4
- Have recruiter team: Yes
- Number of recruiter in company: 4
- Have ATS system: No, I don't need at all
- Have career website: No, I don't need at all
- Current hiring budget: RM20,000
- Whole year budget: RM30,000.00
- Whole year number of vacancies: 30
- Hiring frequency: Every month (100%)
- External job portal: Jobstreet,Indeed (Paid)</t>
        </is>
      </c>
      <c r="AT350">
        <v>85</v>
      </c>
      <c r="AU350" t="inlineStr">
        <is>
          <t>0.85</t>
        </is>
      </c>
      <c r="AV350" t="inlineStr">
        <is>
          <t>50</t>
        </is>
      </c>
      <c r="AW350" t="inlineStr">
        <is>
          <t>0.5</t>
        </is>
      </c>
      <c r="AX350" t="inlineStr">
        <is>
          <t>Not Qualified</t>
        </is>
      </c>
      <c r="AY350" s="4">
        <v>46139.49072916667</v>
      </c>
      <c r="AZ350" t="inlineStr">
        <is>
          <t>Base Assistant</t>
        </is>
      </c>
      <c r="BA350"/>
      <c r="BB350"/>
      <c r="BC350" t="inlineStr">
        <is>
          <t>- Headcount: 4
- Hiring Job Details: Clerks, production supervisor, general worker, operator
- Hiring Urgency: Continuous Hiring
- Number of outlets: 4
- Have recruiter team: Yes
- Number of recruiter in company: 4
- Have ATS system: No, I don't need at all
- Have career website: No, I don't need at all
- Current hiring budget: RM20,000
- Whole year budget: RM30,000.00
- Whole year number of vacancies: 30
- Hiring frequency: Every month (100%)
- External job portal: Jobstreet,Indeed (Paid)</t>
        </is>
      </c>
      <c r="BD350" s="4">
        <v>46139.500185185185</v>
      </c>
      <c r="BE350" t="inlineStr">
        <is>
          <t>paid</t>
        </is>
      </c>
      <c r="BF350"/>
      <c r="BG350" t="inlineStr">
        <is>
          <t>Reschedule</t>
        </is>
      </c>
      <c r="BH350"/>
      <c r="BI350" t="inlineStr">
        <is>
          <t>Consumer Products / FMCG</t>
        </is>
      </c>
      <c r="BJ350" s="4">
        <v>46144.75050925926</v>
      </c>
      <c r="BK350" s="4">
        <v>44173.452673611115</v>
      </c>
      <c r="BL350" t="inlineStr">
        <is>
          <t>0.0</t>
        </is>
      </c>
      <c r="BM350" t="inlineStr">
        <is>
          <t>0.0</t>
        </is>
      </c>
      <c r="BN350" t="inlineStr">
        <is>
          <t>View Company Page</t>
        </is>
      </c>
      <c r="BO350" s="4">
        <v>46141.34034722222</v>
      </c>
      <c r="BP350">
        <v>168996</v>
      </c>
      <c r="BQ350">
        <v>123816</v>
      </c>
      <c r="BR350" t="inlineStr">
        <is>
          <t>Proforma</t>
        </is>
      </c>
      <c r="BS350" t="inlineStr">
        <is>
          <t>Free Part-Time Job</t>
        </is>
      </c>
      <c r="BT350"/>
      <c r="BU350"/>
      <c r="BV350">
        <v>2728842</v>
      </c>
      <c r="BW350" t="inlineStr">
        <is>
          <t>Customer Inquiry</t>
        </is>
      </c>
      <c r="BX350">
        <v>302</v>
      </c>
      <c r="BY350">
        <v>300</v>
      </c>
      <c r="BZ350" s="4">
        <v>46140.417604166665</v>
      </c>
      <c r="CA350"/>
      <c r="CB350"/>
      <c r="CC350" s="4"/>
      <c r="CD350" t="inlineStr">
        <is>
          <t>65</t>
        </is>
      </c>
      <c r="CE350" t="inlineStr">
        <is>
          <t>0.8</t>
        </is>
      </c>
      <c r="CF350" t="inlineStr">
        <is>
          <t>Q2-W04</t>
        </is>
      </c>
      <c r="CG350" t="inlineStr">
        <is>
          <t>Q2-W04</t>
        </is>
      </c>
      <c r="CH350"/>
      <c r="CI350" t="inlineStr">
        <is>
          <t>Q2-W04</t>
        </is>
      </c>
      <c r="CJ350" t="inlineStr">
        <is>
          <t>No Paid</t>
        </is>
      </c>
      <c r="CK350" t="inlineStr">
        <is>
          <t>Not Eligible</t>
        </is>
      </c>
      <c r="CL350"/>
      <c r="CM350" t="inlineStr">
        <is>
          <t>Q2-W04</t>
        </is>
      </c>
    </row>
    <row r="351" ht="25.5" customHeight="1">
      <c r="A351" t="inlineStr">
        <is>
          <t>200959</t>
        </is>
      </c>
      <c r="B351" s="2"/>
      <c r="C351"/>
      <c r="D351" s="3">
        <v>46139.50099537037</v>
      </c>
      <c r="E351" t="inlineStr">
        <is>
          <t>Q2-W04</t>
        </is>
      </c>
      <c r="F351" t="inlineStr">
        <is>
          <t>Chia Yee</t>
        </is>
      </c>
      <c r="G351" t="inlineStr">
        <is>
          <t>Customer</t>
        </is>
      </c>
      <c r="H351" s="2" t="str">
        <f>=HYPERLINK("https://upbox.ajobthing.my/customer/200959", "https://upbox.ajobthing.my/customer/200959")</f>
        <v>https://upbox.ajobthing.my/customer/200959</v>
      </c>
      <c r="I351" t="inlineStr">
        <is>
          <t>WeCare Allied Health Center</t>
        </is>
      </c>
      <c r="J351" t="inlineStr">
        <is>
          <t>Small Fish</t>
        </is>
      </c>
      <c r="K351" t="inlineStr">
        <is>
          <t>Chia Yee</t>
        </is>
      </c>
      <c r="L351" s="4"/>
      <c r="M351" s="4">
        <v>46139.50109953704</v>
      </c>
      <c r="N351"/>
      <c r="O351">
        <v>8208</v>
      </c>
      <c r="P351" s="4"/>
      <c r="Q351" s="4"/>
      <c r="R351"/>
      <c r="S351"/>
      <c r="T351" s="4"/>
      <c r="U351" s="4"/>
      <c r="V351"/>
      <c r="W351"/>
      <c r="X351"/>
      <c r="Y351" t="inlineStr">
        <is>
          <t>Pending Appointment</t>
        </is>
      </c>
      <c r="Z351" t="inlineStr">
        <is>
          <t>Continuous Hiring</t>
        </is>
      </c>
      <c r="AA351">
        <v>2</v>
      </c>
      <c r="AB351" t="inlineStr">
        <is>
          <t>No Appointment Made</t>
        </is>
      </c>
      <c r="AC351"/>
      <c r="AD351" t="inlineStr">
        <is>
          <t xml:space="preserve"> occupational therapist , specialist teacher. </t>
        </is>
      </c>
      <c r="AE351"/>
      <c r="AF351">
        <v>0</v>
      </c>
      <c r="AG351" s="4"/>
      <c r="AH351" s="4"/>
      <c r="AI351">
        <v>0</v>
      </c>
      <c r="AJ351">
        <v>1</v>
      </c>
      <c r="AK351" t="inlineStr">
        <is>
          <t>No, I don't need at all</t>
        </is>
      </c>
      <c r="AL351">
        <v>1</v>
      </c>
      <c r="AM351" t="inlineStr">
        <is>
          <t>No, I don't need at all</t>
        </is>
      </c>
      <c r="AN351"/>
      <c r="AO351" t="inlineStr">
        <is>
          <t>No, I don't need at all</t>
        </is>
      </c>
      <c r="AP351" t="inlineStr">
        <is>
          <t>Twice a year (50%)</t>
        </is>
      </c>
      <c r="AQ351">
        <v>3</v>
      </c>
      <c r="AR351" t="inlineStr">
        <is>
          <t>Jobstreet</t>
        </is>
      </c>
      <c r="AS351" t="inlineStr">
        <is>
          <t>- Headcount: 2
- Hiring Job Details: occupational therapist, specialist teacher
- Hiring Urgency: Continuous Hiring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Twice a year (50%)
- External job portal: Jobstreet</t>
        </is>
      </c>
      <c r="AT351">
        <v>75</v>
      </c>
      <c r="AU351" t="inlineStr">
        <is>
          <t>0.75</t>
        </is>
      </c>
      <c r="AV351" t="inlineStr">
        <is>
          <t>15</t>
        </is>
      </c>
      <c r="AW351" t="inlineStr">
        <is>
          <t>0</t>
        </is>
      </c>
      <c r="AX351" t="inlineStr">
        <is>
          <t>Not Qualified</t>
        </is>
      </c>
      <c r="AY351" s="4"/>
      <c r="AZ351"/>
      <c r="BA351"/>
      <c r="BB351"/>
      <c r="BC351" t="inlineStr">
        <is>
          <t>Called, no ans. WA</t>
        </is>
      </c>
      <c r="BD351" s="4">
        <v>46142.47980324074</v>
      </c>
      <c r="BE351"/>
      <c r="BF351"/>
      <c r="BG351" t="inlineStr">
        <is>
          <t>Reschedule</t>
        </is>
      </c>
      <c r="BH351" t="inlineStr">
        <is>
          <t>Reagen</t>
        </is>
      </c>
      <c r="BI351"/>
      <c r="BJ351" s="4">
        <v>46142.87866898148</v>
      </c>
      <c r="BK351" s="4">
        <v>46057.624027777776</v>
      </c>
      <c r="BL351" t="inlineStr">
        <is>
          <t>0.0</t>
        </is>
      </c>
      <c r="BM351" t="inlineStr">
        <is>
          <t>0.0</t>
        </is>
      </c>
      <c r="BN351" t="inlineStr">
        <is>
          <t>View Company Page</t>
        </is>
      </c>
      <c r="BO351" s="4">
        <v>46057.62701388889</v>
      </c>
      <c r="BP351">
        <v>169000</v>
      </c>
      <c r="BQ351"/>
      <c r="BR351"/>
      <c r="BS351"/>
      <c r="BT351"/>
      <c r="BU351"/>
      <c r="BV351">
        <v>2737146</v>
      </c>
      <c r="BW351" t="inlineStr">
        <is>
          <t>No Answer : Voicemail - WA sent to customer</t>
        </is>
      </c>
      <c r="BX351"/>
      <c r="BY351"/>
      <c r="BZ351" s="4"/>
      <c r="CA351"/>
      <c r="CB351"/>
      <c r="CC351" s="4"/>
      <c r="CD351" t="inlineStr">
        <is>
          <t>20</t>
        </is>
      </c>
      <c r="CE351" t="inlineStr">
        <is>
          <t>0</t>
        </is>
      </c>
      <c r="CF351" t="inlineStr">
        <is>
          <t>Q2-W04</t>
        </is>
      </c>
      <c r="CG351"/>
      <c r="CH351"/>
      <c r="CI351"/>
      <c r="CJ351" t="inlineStr">
        <is>
          <t>No Paid</t>
        </is>
      </c>
      <c r="CK351" t="inlineStr">
        <is>
          <t>Not Eligible</t>
        </is>
      </c>
      <c r="CL351"/>
      <c r="CM351"/>
    </row>
    <row r="352" ht="25.5" customHeight="1">
      <c r="A352" t="inlineStr">
        <is>
          <t>203698</t>
        </is>
      </c>
      <c r="B352" s="2"/>
      <c r="C352"/>
      <c r="D352" s="3">
        <v>46139.502905092595</v>
      </c>
      <c r="E352" t="inlineStr">
        <is>
          <t>Q2-W04</t>
        </is>
      </c>
      <c r="F352" t="inlineStr">
        <is>
          <t>Keegan</t>
        </is>
      </c>
      <c r="G352" t="inlineStr">
        <is>
          <t>Customer</t>
        </is>
      </c>
      <c r="H352" s="2" t="str">
        <f>=HYPERLINK("https://upbox.ajobthing.my/customer/203698", "https://upbox.ajobthing.my/customer/203698")</f>
        <v>https://upbox.ajobthing.my/customer/203698</v>
      </c>
      <c r="I352" t="inlineStr">
        <is>
          <t>HY CARNIVAL EMPIRE</t>
        </is>
      </c>
      <c r="J352" t="inlineStr">
        <is>
          <t>Small Fish</t>
        </is>
      </c>
      <c r="K352" t="inlineStr">
        <is>
          <t>Keegan</t>
        </is>
      </c>
      <c r="L352" s="4"/>
      <c r="M352" s="4">
        <v>46139.502974537034</v>
      </c>
      <c r="N352"/>
      <c r="O352">
        <v>6048</v>
      </c>
      <c r="P352" s="4"/>
      <c r="Q352" s="4"/>
      <c r="R352"/>
      <c r="S352"/>
      <c r="T352" s="4"/>
      <c r="U352" s="4"/>
      <c r="V352"/>
      <c r="W352"/>
      <c r="X352"/>
      <c r="Y352" t="inlineStr">
        <is>
          <t>Pending Appointment</t>
        </is>
      </c>
      <c r="Z352" t="inlineStr">
        <is>
          <t>Hiring Now</t>
        </is>
      </c>
      <c r="AA352">
        <v>3</v>
      </c>
      <c r="AB352" t="inlineStr">
        <is>
          <t>No Appointment Made</t>
        </is>
      </c>
      <c r="AC352"/>
      <c r="AD352" t="inlineStr">
        <is>
          <t xml:space="preserve">1. Carnival Manager 
2. Admin 
3. Marketing </t>
        </is>
      </c>
      <c r="AE352"/>
      <c r="AF352"/>
      <c r="AG352" s="4"/>
      <c r="AH352" s="4"/>
      <c r="AI352"/>
      <c r="AJ352">
        <v>1</v>
      </c>
      <c r="AK352" t="inlineStr">
        <is>
          <t>No, I don't need at all</t>
        </is>
      </c>
      <c r="AL352">
        <v>0</v>
      </c>
      <c r="AM352" t="inlineStr">
        <is>
          <t>No, I don't need at all</t>
        </is>
      </c>
      <c r="AN352"/>
      <c r="AO352" t="inlineStr">
        <is>
          <t>No, I don't need at all</t>
        </is>
      </c>
      <c r="AP352" t="inlineStr">
        <is>
          <t>Once per quarter (75%)</t>
        </is>
      </c>
      <c r="AQ352"/>
      <c r="AR352" t="inlineStr">
        <is>
          <t>Did not use any job portal</t>
        </is>
      </c>
      <c r="AS352" t="inlineStr">
        <is>
          <t>- Headcount: 3
- Hiring Job Details: 1. Carnival Manager 2. Admin 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352">
        <v>75</v>
      </c>
      <c r="AU352" t="inlineStr">
        <is>
          <t>0.75</t>
        </is>
      </c>
      <c r="AV352" t="inlineStr">
        <is>
          <t>5</t>
        </is>
      </c>
      <c r="AW352" t="inlineStr">
        <is>
          <t>0</t>
        </is>
      </c>
      <c r="AX352" t="inlineStr">
        <is>
          <t>Not Qualified</t>
        </is>
      </c>
      <c r="AY352" s="4"/>
      <c r="AZ352"/>
      <c r="BA352"/>
      <c r="BB352"/>
      <c r="BC352" t="inlineStr">
        <is>
          <t>Hiring plan suddenly no need for now</t>
        </is>
      </c>
      <c r="BD352" s="4">
        <v>46141.70481481482</v>
      </c>
      <c r="BE352"/>
      <c r="BF352"/>
      <c r="BG352" t="inlineStr">
        <is>
          <t>Reschedule</t>
        </is>
      </c>
      <c r="BH352" t="inlineStr">
        <is>
          <t>Edward Hoo</t>
        </is>
      </c>
      <c r="BI352"/>
      <c r="BJ352" s="4">
        <v>46144.75436342593</v>
      </c>
      <c r="BK352" s="4">
        <v>46139.501851851855</v>
      </c>
      <c r="BL352" t="inlineStr">
        <is>
          <t>0.0</t>
        </is>
      </c>
      <c r="BM352" t="inlineStr">
        <is>
          <t>0.0</t>
        </is>
      </c>
      <c r="BN352"/>
      <c r="BO352" s="4"/>
      <c r="BP352">
        <v>169003</v>
      </c>
      <c r="BQ352"/>
      <c r="BR352"/>
      <c r="BS352"/>
      <c r="BT352"/>
      <c r="BU352"/>
      <c r="BV352">
        <v>2736037</v>
      </c>
      <c r="BW352" t="inlineStr">
        <is>
          <t>Follow Up : Lost - Free Portal</t>
        </is>
      </c>
      <c r="BX352"/>
      <c r="BY352"/>
      <c r="BZ352" s="4"/>
      <c r="CA352"/>
      <c r="CB352"/>
      <c r="CC352" s="4"/>
      <c r="CD352" t="inlineStr">
        <is>
          <t>5</t>
        </is>
      </c>
      <c r="CE352" t="inlineStr">
        <is>
          <t>0</t>
        </is>
      </c>
      <c r="CF352" t="inlineStr">
        <is>
          <t>Q2-W04</t>
        </is>
      </c>
      <c r="CG352"/>
      <c r="CH352"/>
      <c r="CI352"/>
      <c r="CJ352" t="inlineStr">
        <is>
          <t>No Paid</t>
        </is>
      </c>
      <c r="CK352" t="inlineStr">
        <is>
          <t>Not Eligible</t>
        </is>
      </c>
      <c r="CL352"/>
      <c r="CM352"/>
    </row>
    <row r="353" ht="25.5" customHeight="1">
      <c r="A353" t="inlineStr">
        <is>
          <t>4327503</t>
        </is>
      </c>
      <c r="B353" s="2"/>
      <c r="C353"/>
      <c r="D353" s="3">
        <v>46139.50414351852</v>
      </c>
      <c r="E353" t="inlineStr">
        <is>
          <t>Q2-W04</t>
        </is>
      </c>
      <c r="F353" t="inlineStr">
        <is>
          <t>Jeff Lee</t>
        </is>
      </c>
      <c r="G353" t="inlineStr">
        <is>
          <t>Lead</t>
        </is>
      </c>
      <c r="H353" s="2" t="str">
        <f>=HYPERLINK("https://upbox.ajobthing.my/leads/4327503", "https://upbox.ajobthing.my/leads/4327503")</f>
        <v>https://upbox.ajobthing.my/leads/4327503</v>
      </c>
      <c r="I353" t="inlineStr">
        <is>
          <t>Winwell Contracts Sdn Bhd</t>
        </is>
      </c>
      <c r="J353" t="inlineStr">
        <is>
          <t>Small Fish</t>
        </is>
      </c>
      <c r="K353" t="inlineStr">
        <is>
          <t>Jeff Lee</t>
        </is>
      </c>
      <c r="L353" s="4"/>
      <c r="M353" s="4">
        <v>46139.50221064815</v>
      </c>
      <c r="N353"/>
      <c r="O353">
        <v>3672</v>
      </c>
      <c r="P353" s="4"/>
      <c r="Q353" s="4"/>
      <c r="R353"/>
      <c r="S353"/>
      <c r="T353" s="4"/>
      <c r="U353" s="4"/>
      <c r="V353"/>
      <c r="W353"/>
      <c r="X353"/>
      <c r="Y353" t="inlineStr">
        <is>
          <t>Pending Appointment</t>
        </is>
      </c>
      <c r="Z353" t="inlineStr">
        <is>
          <t>Hiring Now</t>
        </is>
      </c>
      <c r="AA353">
        <v>1</v>
      </c>
      <c r="AB353" t="inlineStr">
        <is>
          <t>No Appointment Made</t>
        </is>
      </c>
      <c r="AC353"/>
      <c r="AD353" t="inlineStr">
        <is>
          <t>1 mechanical engineering</t>
        </is>
      </c>
      <c r="AE353"/>
      <c r="AF353">
        <v>0</v>
      </c>
      <c r="AG353" s="4"/>
      <c r="AH353" s="4"/>
      <c r="AI353">
        <v>0</v>
      </c>
      <c r="AJ353">
        <v>0</v>
      </c>
      <c r="AK353" t="inlineStr">
        <is>
          <t>No, I don't need at all</t>
        </is>
      </c>
      <c r="AL353">
        <v>0</v>
      </c>
      <c r="AM353" t="inlineStr">
        <is>
          <t>No, I don't need at all</t>
        </is>
      </c>
      <c r="AN353"/>
      <c r="AO353" t="inlineStr">
        <is>
          <t>No, I don't need at all</t>
        </is>
      </c>
      <c r="AP353" t="inlineStr">
        <is>
          <t>Once a year (25%)</t>
        </is>
      </c>
      <c r="AQ353">
        <v>1</v>
      </c>
      <c r="AR353" t="inlineStr">
        <is>
          <t>Did not use any job portal</t>
        </is>
      </c>
      <c r="AS353" t="inlineStr">
        <is>
          <t>- Headcount: 1
- Hiring Job Details: 1 mechanical engineering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353">
        <v>115</v>
      </c>
      <c r="AU353" t="inlineStr">
        <is>
          <t>1.15</t>
        </is>
      </c>
      <c r="AV353" t="inlineStr">
        <is>
          <t>15</t>
        </is>
      </c>
      <c r="AW353" t="inlineStr">
        <is>
          <t>0</t>
        </is>
      </c>
      <c r="AX353" t="inlineStr">
        <is>
          <t>Not Qualified</t>
        </is>
      </c>
      <c r="AY353" s="4"/>
      <c r="AZ353"/>
      <c r="BA353"/>
      <c r="BB353"/>
      <c r="BC353"/>
      <c r="BD353" s="4"/>
      <c r="BE353"/>
      <c r="BF353"/>
      <c r="BG353" t="inlineStr">
        <is>
          <t>Reschedule</t>
        </is>
      </c>
      <c r="BH353" t="inlineStr">
        <is>
          <t>Yee Hang</t>
        </is>
      </c>
      <c r="BI353"/>
      <c r="BJ353" s="4">
        <v>46144.75592592593</v>
      </c>
      <c r="BK353" s="4">
        <v>46139.49012731481</v>
      </c>
      <c r="BL353" t="inlineStr">
        <is>
          <t>0.0</t>
        </is>
      </c>
      <c r="BM353" t="inlineStr">
        <is>
          <t>600.0</t>
        </is>
      </c>
      <c r="BN353"/>
      <c r="BO353" s="4"/>
      <c r="BP353">
        <v>169002</v>
      </c>
      <c r="BQ353"/>
      <c r="BR353"/>
      <c r="BS353"/>
      <c r="BT353"/>
      <c r="BU353"/>
      <c r="BV353"/>
      <c r="BW353"/>
      <c r="BX353"/>
      <c r="BY353"/>
      <c r="BZ353" s="4"/>
      <c r="CA353"/>
      <c r="CB353"/>
      <c r="CC353" s="4"/>
      <c r="CD353" t="inlineStr">
        <is>
          <t>20</t>
        </is>
      </c>
      <c r="CE353" t="inlineStr">
        <is>
          <t>0</t>
        </is>
      </c>
      <c r="CF353" t="inlineStr">
        <is>
          <t>Q2-W04</t>
        </is>
      </c>
      <c r="CG353"/>
      <c r="CH353"/>
      <c r="CI353"/>
      <c r="CJ353" t="inlineStr">
        <is>
          <t>No Paid</t>
        </is>
      </c>
      <c r="CK353" t="inlineStr">
        <is>
          <t>Not Eligible</t>
        </is>
      </c>
      <c r="CL353"/>
      <c r="CM353"/>
    </row>
    <row r="354" ht="25.5" customHeight="1">
      <c r="A354" t="inlineStr">
        <is>
          <t>124873</t>
        </is>
      </c>
      <c r="B354" s="2"/>
      <c r="C354"/>
      <c r="D354" s="3">
        <v>46139.56207175926</v>
      </c>
      <c r="E354" t="inlineStr">
        <is>
          <t>Q2-W04</t>
        </is>
      </c>
      <c r="F354" t="inlineStr">
        <is>
          <t>Fariz</t>
        </is>
      </c>
      <c r="G354" t="inlineStr">
        <is>
          <t>Customer</t>
        </is>
      </c>
      <c r="H354" s="2" t="str">
        <f>=HYPERLINK("https://upbox.ajobthing.my/customer/124873", "https://upbox.ajobthing.my/customer/124873")</f>
        <v>https://upbox.ajobthing.my/customer/124873</v>
      </c>
      <c r="I354" t="inlineStr">
        <is>
          <t xml:space="preserve">Mascool </t>
        </is>
      </c>
      <c r="J354" t="inlineStr">
        <is>
          <t>Small Fish</t>
        </is>
      </c>
      <c r="K354" t="inlineStr">
        <is>
          <t>Fariz</t>
        </is>
      </c>
      <c r="L354" s="4"/>
      <c r="M354" s="4">
        <v>46139.562268518515</v>
      </c>
      <c r="N354"/>
      <c r="O354">
        <v>1296</v>
      </c>
      <c r="P354" s="4"/>
      <c r="Q354" s="4"/>
      <c r="R354"/>
      <c r="S354"/>
      <c r="T354" s="4"/>
      <c r="U354" s="4"/>
      <c r="V354"/>
      <c r="W354"/>
      <c r="X354"/>
      <c r="Y354" t="inlineStr">
        <is>
          <t>Pending Appointment</t>
        </is>
      </c>
      <c r="Z354" t="inlineStr">
        <is>
          <t>Hiring Now</t>
        </is>
      </c>
      <c r="AA354">
        <v>1</v>
      </c>
      <c r="AB354" t="inlineStr">
        <is>
          <t>No Appointment Made</t>
        </is>
      </c>
      <c r="AC354"/>
      <c r="AD354" t="inlineStr">
        <is>
          <t>1 technician aircond</t>
        </is>
      </c>
      <c r="AE354"/>
      <c r="AF354">
        <v>1200</v>
      </c>
      <c r="AG354" s="4"/>
      <c r="AH354" s="4"/>
      <c r="AI354">
        <v>1200</v>
      </c>
      <c r="AJ354"/>
      <c r="AK354" t="inlineStr">
        <is>
          <t>No, I don't need at all</t>
        </is>
      </c>
      <c r="AL354">
        <v>1</v>
      </c>
      <c r="AM354" t="inlineStr">
        <is>
          <t>No, I don't need at all</t>
        </is>
      </c>
      <c r="AN354"/>
      <c r="AO354" t="inlineStr">
        <is>
          <t>No, I don't need at all</t>
        </is>
      </c>
      <c r="AP354" t="inlineStr">
        <is>
          <t>Once a year (25%)</t>
        </is>
      </c>
      <c r="AQ354">
        <v>1</v>
      </c>
      <c r="AR354" t="inlineStr">
        <is>
          <t>Did not use any job portal</t>
        </is>
      </c>
      <c r="AS354" t="inlineStr">
        <is>
          <t>- Headcount: 1
- Hiring Job Details: 1 technician aircond
- Hiring Urgency: Hiring Now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t>
        </is>
      </c>
      <c r="AT354">
        <v>115</v>
      </c>
      <c r="AU354" t="inlineStr">
        <is>
          <t>1.15</t>
        </is>
      </c>
      <c r="AV354" t="inlineStr">
        <is>
          <t>15</t>
        </is>
      </c>
      <c r="AW354" t="inlineStr">
        <is>
          <t>0</t>
        </is>
      </c>
      <c r="AX354" t="inlineStr">
        <is>
          <t>Not Qualified</t>
        </is>
      </c>
      <c r="AY354" s="4"/>
      <c r="AZ354"/>
      <c r="BA354"/>
      <c r="BB354"/>
      <c r="BC354" t="inlineStr">
        <is>
          <t>- Headcount: 1
- Hiring Job Details: 1 technician aircond
- Hiring Urgency: Hiring Now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t>
        </is>
      </c>
      <c r="BD354" s="4">
        <v>46139.58335648148</v>
      </c>
      <c r="BE354"/>
      <c r="BF354"/>
      <c r="BG354" t="inlineStr">
        <is>
          <t>Reschedule</t>
        </is>
      </c>
      <c r="BH354" t="inlineStr">
        <is>
          <t>Edward Hoo</t>
        </is>
      </c>
      <c r="BI354"/>
      <c r="BJ354" s="4">
        <v>46144.75033564815</v>
      </c>
      <c r="BK354" s="4">
        <v>43863.92513888889</v>
      </c>
      <c r="BL354" t="inlineStr">
        <is>
          <t>0.0</t>
        </is>
      </c>
      <c r="BM354" t="inlineStr">
        <is>
          <t>0.0</t>
        </is>
      </c>
      <c r="BN354" t="inlineStr">
        <is>
          <t>View Create Job Page</t>
        </is>
      </c>
      <c r="BO354" s="4">
        <v>45657.72856481482</v>
      </c>
      <c r="BP354">
        <v>169011</v>
      </c>
      <c r="BQ354"/>
      <c r="BR354"/>
      <c r="BS354"/>
      <c r="BT354"/>
      <c r="BU354"/>
      <c r="BV354">
        <v>2729584</v>
      </c>
      <c r="BW354" t="inlineStr">
        <is>
          <t>Customer Inquiry</t>
        </is>
      </c>
      <c r="BX354"/>
      <c r="BY354"/>
      <c r="BZ354" s="4"/>
      <c r="CA354"/>
      <c r="CB354"/>
      <c r="CC354" s="4"/>
      <c r="CD354" t="inlineStr">
        <is>
          <t>20</t>
        </is>
      </c>
      <c r="CE354" t="inlineStr">
        <is>
          <t>0</t>
        </is>
      </c>
      <c r="CF354" t="inlineStr">
        <is>
          <t>Q2-W04</t>
        </is>
      </c>
      <c r="CG354"/>
      <c r="CH354"/>
      <c r="CI354"/>
      <c r="CJ354" t="inlineStr">
        <is>
          <t>No Paid</t>
        </is>
      </c>
      <c r="CK354" t="inlineStr">
        <is>
          <t>Not Eligible</t>
        </is>
      </c>
      <c r="CL354"/>
      <c r="CM354"/>
    </row>
    <row r="355" ht="25.5" customHeight="1">
      <c r="A355" t="inlineStr">
        <is>
          <t>182828</t>
        </is>
      </c>
      <c r="B355" s="2"/>
      <c r="C355"/>
      <c r="D355" s="3">
        <v>46139.56480324074</v>
      </c>
      <c r="E355" t="inlineStr">
        <is>
          <t>Q2-W04</t>
        </is>
      </c>
      <c r="F355" t="inlineStr">
        <is>
          <t>Carmen</t>
        </is>
      </c>
      <c r="G355" t="inlineStr">
        <is>
          <t>Customer</t>
        </is>
      </c>
      <c r="H355" s="2" t="str">
        <f>=HYPERLINK("https://upbox.ajobthing.my/customer/182828", "https://upbox.ajobthing.my/customer/182828")</f>
        <v>https://upbox.ajobthing.my/customer/182828</v>
      </c>
      <c r="I355" t="inlineStr">
        <is>
          <t>G&amp;L Rental Machinery Sdn Bhd</t>
        </is>
      </c>
      <c r="J355" t="inlineStr">
        <is>
          <t>Small Fish</t>
        </is>
      </c>
      <c r="K355" t="inlineStr">
        <is>
          <t>Carmen</t>
        </is>
      </c>
      <c r="L355" s="4"/>
      <c r="M355" s="4">
        <v>46139.56303240741</v>
      </c>
      <c r="N355"/>
      <c r="O355">
        <v>3888</v>
      </c>
      <c r="P355" s="4"/>
      <c r="Q355" s="4">
        <v>45555.58484953704</v>
      </c>
      <c r="R355"/>
      <c r="S355">
        <v>756</v>
      </c>
      <c r="T355" s="4">
        <v>45555.58484953704</v>
      </c>
      <c r="U355" s="4"/>
      <c r="V355"/>
      <c r="W355">
        <v>756</v>
      </c>
      <c r="X355"/>
      <c r="Y355" t="inlineStr">
        <is>
          <t>Pending Appointment</t>
        </is>
      </c>
      <c r="Z355" t="inlineStr">
        <is>
          <t>Continuous Hiring</t>
        </is>
      </c>
      <c r="AA355">
        <v>3</v>
      </c>
      <c r="AB355" t="inlineStr">
        <is>
          <t>No Appointment Made</t>
        </is>
      </c>
      <c r="AC355"/>
      <c r="AD355" t="inlineStr">
        <is>
          <t>1 data entry, 1 sales, 1 technician</t>
        </is>
      </c>
      <c r="AE355"/>
      <c r="AF355">
        <v>0</v>
      </c>
      <c r="AG355" s="4"/>
      <c r="AH355" s="4"/>
      <c r="AI355"/>
      <c r="AJ355"/>
      <c r="AK355" t="inlineStr">
        <is>
          <t>Yes, I have</t>
        </is>
      </c>
      <c r="AL355"/>
      <c r="AM355"/>
      <c r="AN355"/>
      <c r="AO355"/>
      <c r="AP355" t="inlineStr">
        <is>
          <t>Twice a year (50%)</t>
        </is>
      </c>
      <c r="AQ355"/>
      <c r="AR355"/>
      <c r="AS355" t="inlineStr">
        <is>
          <t>- Headcount: 3
- Hiring Job Details: 1 data entry, 1 sales, 1 technician
- Hiring Urgency: Continuous Hiring
- Number of outlets: Not available
- Have recruiter team: Yes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is>
      </c>
      <c r="AT355">
        <v>75</v>
      </c>
      <c r="AU355" t="inlineStr">
        <is>
          <t>0.75</t>
        </is>
      </c>
      <c r="AV355" t="inlineStr">
        <is>
          <t>15</t>
        </is>
      </c>
      <c r="AW355" t="inlineStr">
        <is>
          <t>0</t>
        </is>
      </c>
      <c r="AX355" t="inlineStr">
        <is>
          <t>Not Qualified</t>
        </is>
      </c>
      <c r="AY355" s="4"/>
      <c r="AZ355"/>
      <c r="BA355"/>
      <c r="BB355"/>
      <c r="BC355" t="inlineStr">
        <is>
          <t>she ask for more discount</t>
        </is>
      </c>
      <c r="BD355" s="4">
        <v>46140.59438657408</v>
      </c>
      <c r="BE355" t="inlineStr">
        <is>
          <t>paid</t>
        </is>
      </c>
      <c r="BF355"/>
      <c r="BG355" t="inlineStr">
        <is>
          <t>Reschedule</t>
        </is>
      </c>
      <c r="BH355" t="inlineStr">
        <is>
          <t>Reagen</t>
        </is>
      </c>
      <c r="BI355" t="inlineStr">
        <is>
          <t>Engineering / Technical Consulting</t>
        </is>
      </c>
      <c r="BJ355" s="4">
        <v>46144.75194444445</v>
      </c>
      <c r="BK355" s="4">
        <v>45553.65258101852</v>
      </c>
      <c r="BL355" t="inlineStr">
        <is>
          <t>0.0</t>
        </is>
      </c>
      <c r="BM355" t="inlineStr">
        <is>
          <t>0.0</t>
        </is>
      </c>
      <c r="BN355" t="inlineStr">
        <is>
          <t>View Company Page</t>
        </is>
      </c>
      <c r="BO355" s="4">
        <v>46140.53331018519</v>
      </c>
      <c r="BP355">
        <v>169012</v>
      </c>
      <c r="BQ355">
        <v>73153</v>
      </c>
      <c r="BR355" t="inlineStr">
        <is>
          <t>Online</t>
        </is>
      </c>
      <c r="BS355"/>
      <c r="BT355">
        <v>73153</v>
      </c>
      <c r="BU355"/>
      <c r="BV355">
        <v>2732721</v>
      </c>
      <c r="BW355" t="inlineStr">
        <is>
          <t>Follow Up : Decision Pending</t>
        </is>
      </c>
      <c r="BX355"/>
      <c r="BY355"/>
      <c r="BZ355" s="4"/>
      <c r="CA355"/>
      <c r="CB355"/>
      <c r="CC355" s="4"/>
      <c r="CD355" t="inlineStr">
        <is>
          <t>20</t>
        </is>
      </c>
      <c r="CE355" t="inlineStr">
        <is>
          <t>0</t>
        </is>
      </c>
      <c r="CF355" t="inlineStr">
        <is>
          <t>Q2-W04</t>
        </is>
      </c>
      <c r="CG355"/>
      <c r="CH355"/>
      <c r="CI355"/>
      <c r="CJ355" t="inlineStr">
        <is>
          <t>Paid</t>
        </is>
      </c>
      <c r="CK355" t="inlineStr">
        <is>
          <t>Not Eligible</t>
        </is>
      </c>
      <c r="CL355"/>
      <c r="CM355"/>
    </row>
    <row r="356" ht="25.5" customHeight="1">
      <c r="A356" t="inlineStr">
        <is>
          <t>4319648</t>
        </is>
      </c>
      <c r="B356" s="2"/>
      <c r="C356"/>
      <c r="D356" s="3">
        <v>46139.57032407408</v>
      </c>
      <c r="E356" t="inlineStr">
        <is>
          <t>Q2-W04</t>
        </is>
      </c>
      <c r="F356" t="inlineStr">
        <is>
          <t>Janice Yap</t>
        </is>
      </c>
      <c r="G356" t="inlineStr">
        <is>
          <t>Lead</t>
        </is>
      </c>
      <c r="H356" s="2" t="str">
        <f>=HYPERLINK("https://upbox.ajobthing.my/leads/4319648", "https://upbox.ajobthing.my/leads/4319648")</f>
        <v>https://upbox.ajobthing.my/leads/4319648</v>
      </c>
      <c r="I356" t="inlineStr">
        <is>
          <t>Global Business Partners Sdn Bhd</t>
        </is>
      </c>
      <c r="J356" t="inlineStr">
        <is>
          <t>Small Fish</t>
        </is>
      </c>
      <c r="K356" t="inlineStr">
        <is>
          <t>Janice</t>
        </is>
      </c>
      <c r="L356" s="4"/>
      <c r="M356" s="4">
        <v>46139.56659722222</v>
      </c>
      <c r="N356"/>
      <c r="O356">
        <v>6048</v>
      </c>
      <c r="P356" s="4"/>
      <c r="Q356" s="4"/>
      <c r="R356"/>
      <c r="S356"/>
      <c r="T356" s="4"/>
      <c r="U356" s="4"/>
      <c r="V356"/>
      <c r="W356"/>
      <c r="X356"/>
      <c r="Y356" t="inlineStr">
        <is>
          <t>Pending Appointment</t>
        </is>
      </c>
      <c r="Z356" t="inlineStr">
        <is>
          <t>Hiring Now</t>
        </is>
      </c>
      <c r="AA356">
        <v>3</v>
      </c>
      <c r="AB356" t="inlineStr">
        <is>
          <t>No Appointment Made</t>
        </is>
      </c>
      <c r="AC356"/>
      <c r="AD356" t="inlineStr">
        <is>
          <t>2-4 social media creator</t>
        </is>
      </c>
      <c r="AE356"/>
      <c r="AF356">
        <v>0</v>
      </c>
      <c r="AG356" s="4"/>
      <c r="AH356" s="4"/>
      <c r="AI356">
        <v>0</v>
      </c>
      <c r="AJ356"/>
      <c r="AK356" t="inlineStr">
        <is>
          <t>No, I don't need at all</t>
        </is>
      </c>
      <c r="AL356">
        <v>0</v>
      </c>
      <c r="AM356" t="inlineStr">
        <is>
          <t>No, I don't need at all</t>
        </is>
      </c>
      <c r="AN356"/>
      <c r="AO356" t="inlineStr">
        <is>
          <t>No, I don't need at all</t>
        </is>
      </c>
      <c r="AP356" t="inlineStr">
        <is>
          <t>Once a year (25%)</t>
        </is>
      </c>
      <c r="AQ356">
        <v>4</v>
      </c>
      <c r="AR356"/>
      <c r="AS356" t="inlineStr">
        <is>
          <t>- Headcount: 3
- Hiring Job Details: 2-4 social media creator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N/A</t>
        </is>
      </c>
      <c r="AT356">
        <v>95</v>
      </c>
      <c r="AU356" t="inlineStr">
        <is>
          <t>0.95</t>
        </is>
      </c>
      <c r="AV356" t="inlineStr">
        <is>
          <t>15</t>
        </is>
      </c>
      <c r="AW356" t="inlineStr">
        <is>
          <t>0</t>
        </is>
      </c>
      <c r="AX356" t="inlineStr">
        <is>
          <t>Not Qualified</t>
        </is>
      </c>
      <c r="AY356" s="4"/>
      <c r="AZ356"/>
      <c r="BA356"/>
      <c r="BB356"/>
      <c r="BC356"/>
      <c r="BD356" s="4"/>
      <c r="BE356"/>
      <c r="BF356"/>
      <c r="BG356" t="inlineStr">
        <is>
          <t>Reschedule</t>
        </is>
      </c>
      <c r="BH356" t="inlineStr">
        <is>
          <t>Yee Hang</t>
        </is>
      </c>
      <c r="BI356"/>
      <c r="BJ356" s="4">
        <v>46144.75592592593</v>
      </c>
      <c r="BK356" s="4">
        <v>46136.55774305556</v>
      </c>
      <c r="BL356" t="inlineStr">
        <is>
          <t>0.0</t>
        </is>
      </c>
      <c r="BM356" t="inlineStr">
        <is>
          <t>0.0</t>
        </is>
      </c>
      <c r="BN356"/>
      <c r="BO356" s="4"/>
      <c r="BP356">
        <v>169015</v>
      </c>
      <c r="BQ356"/>
      <c r="BR356"/>
      <c r="BS356"/>
      <c r="BT356"/>
      <c r="BU356"/>
      <c r="BV356"/>
      <c r="BW356"/>
      <c r="BX356"/>
      <c r="BY356"/>
      <c r="BZ356" s="4"/>
      <c r="CA356"/>
      <c r="CB356"/>
      <c r="CC356" s="4"/>
      <c r="CD356" t="inlineStr">
        <is>
          <t>20</t>
        </is>
      </c>
      <c r="CE356" t="inlineStr">
        <is>
          <t>0</t>
        </is>
      </c>
      <c r="CF356" t="inlineStr">
        <is>
          <t>Q2-W04</t>
        </is>
      </c>
      <c r="CG356"/>
      <c r="CH356"/>
      <c r="CI356"/>
      <c r="CJ356" t="inlineStr">
        <is>
          <t>No Paid</t>
        </is>
      </c>
      <c r="CK356" t="inlineStr">
        <is>
          <t>Not Eligible</t>
        </is>
      </c>
      <c r="CL356"/>
      <c r="CM356"/>
    </row>
    <row r="357" ht="25.5" customHeight="1">
      <c r="A357" t="inlineStr">
        <is>
          <t>203679</t>
        </is>
      </c>
      <c r="B357" s="2"/>
      <c r="C357"/>
      <c r="D357" s="3">
        <v>46139.57797453704</v>
      </c>
      <c r="E357" t="inlineStr">
        <is>
          <t>Q2-W04</t>
        </is>
      </c>
      <c r="F357" t="inlineStr">
        <is>
          <t>Evan</t>
        </is>
      </c>
      <c r="G357" t="inlineStr">
        <is>
          <t>Customer</t>
        </is>
      </c>
      <c r="H357" s="2" t="str">
        <f>=HYPERLINK("https://upbox.ajobthing.my/customer/203679", "https://upbox.ajobthing.my/customer/203679")</f>
        <v>https://upbox.ajobthing.my/customer/203679</v>
      </c>
      <c r="I357" t="inlineStr">
        <is>
          <t>Lucrative Sonic Enterprise</t>
        </is>
      </c>
      <c r="J357" t="inlineStr">
        <is>
          <t>Small Fish</t>
        </is>
      </c>
      <c r="K357" t="inlineStr">
        <is>
          <t>Evan</t>
        </is>
      </c>
      <c r="L357" s="4"/>
      <c r="M357" s="4">
        <v>46139.577523148146</v>
      </c>
      <c r="N357"/>
      <c r="O357">
        <v>3888</v>
      </c>
      <c r="P357" s="4"/>
      <c r="Q357" s="4"/>
      <c r="R357"/>
      <c r="S357"/>
      <c r="T357" s="4"/>
      <c r="U357" s="4"/>
      <c r="V357"/>
      <c r="W357"/>
      <c r="X357"/>
      <c r="Y357" t="inlineStr">
        <is>
          <t>Pending Appointment</t>
        </is>
      </c>
      <c r="Z357" t="inlineStr">
        <is>
          <t>Hiring Now</t>
        </is>
      </c>
      <c r="AA357">
        <v>2</v>
      </c>
      <c r="AB357" t="inlineStr">
        <is>
          <t>No Appointment Made</t>
        </is>
      </c>
      <c r="AC357"/>
      <c r="AD357" t="inlineStr">
        <is>
          <t>1 car washer, 1 barista, all base in Kajang</t>
        </is>
      </c>
      <c r="AE357"/>
      <c r="AF357">
        <v>1</v>
      </c>
      <c r="AG357" s="4"/>
      <c r="AH357" s="4"/>
      <c r="AI357">
        <v>1</v>
      </c>
      <c r="AJ357">
        <v>1</v>
      </c>
      <c r="AK357" t="inlineStr">
        <is>
          <t>No, I don't need at all</t>
        </is>
      </c>
      <c r="AL357">
        <v>0</v>
      </c>
      <c r="AM357" t="inlineStr">
        <is>
          <t>No, I don't need at all</t>
        </is>
      </c>
      <c r="AN357"/>
      <c r="AO357" t="inlineStr">
        <is>
          <t>No, I don't need at all</t>
        </is>
      </c>
      <c r="AP357" t="inlineStr">
        <is>
          <t>Once a year (25%)</t>
        </is>
      </c>
      <c r="AQ357">
        <v>1</v>
      </c>
      <c r="AR357" t="inlineStr">
        <is>
          <t>Did not use any job portal</t>
        </is>
      </c>
      <c r="AS357" t="inlineStr">
        <is>
          <t>- Headcount: 2
- Hiring Job Details: 1 car washer, 1 barista (all base in Kajang)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357">
        <v>105</v>
      </c>
      <c r="AU357" t="inlineStr">
        <is>
          <t>1.05</t>
        </is>
      </c>
      <c r="AV357" t="inlineStr">
        <is>
          <t>15</t>
        </is>
      </c>
      <c r="AW357" t="inlineStr">
        <is>
          <t>0</t>
        </is>
      </c>
      <c r="AX357" t="inlineStr">
        <is>
          <t>Not Qualified</t>
        </is>
      </c>
      <c r="AY357" s="4"/>
      <c r="AZ357"/>
      <c r="BA357"/>
      <c r="BB357"/>
      <c r="BC357" t="inlineStr">
        <is>
          <t>pending</t>
        </is>
      </c>
      <c r="BD357" s="4">
        <v>46141.62837962963</v>
      </c>
      <c r="BE357"/>
      <c r="BF357"/>
      <c r="BG357" t="inlineStr">
        <is>
          <t>Reschedule</t>
        </is>
      </c>
      <c r="BH357" t="inlineStr">
        <is>
          <t>Edward Hoo</t>
        </is>
      </c>
      <c r="BI357"/>
      <c r="BJ357" s="4">
        <v>46144.75436342593</v>
      </c>
      <c r="BK357" s="4">
        <v>46138.63931712963</v>
      </c>
      <c r="BL357" t="inlineStr">
        <is>
          <t>0.0</t>
        </is>
      </c>
      <c r="BM357" t="inlineStr">
        <is>
          <t>0.0</t>
        </is>
      </c>
      <c r="BN357" t="inlineStr">
        <is>
          <t>View Notifications</t>
        </is>
      </c>
      <c r="BO357" s="4">
        <v>46138.7950462963</v>
      </c>
      <c r="BP357">
        <v>169020</v>
      </c>
      <c r="BQ357"/>
      <c r="BR357"/>
      <c r="BS357"/>
      <c r="BT357"/>
      <c r="BU357"/>
      <c r="BV357">
        <v>2735530</v>
      </c>
      <c r="BW357" t="inlineStr">
        <is>
          <t>Follow Up : Decision Pending</t>
        </is>
      </c>
      <c r="BX357"/>
      <c r="BY357"/>
      <c r="BZ357" s="4"/>
      <c r="CA357"/>
      <c r="CB357"/>
      <c r="CC357" s="4"/>
      <c r="CD357" t="inlineStr">
        <is>
          <t>20</t>
        </is>
      </c>
      <c r="CE357" t="inlineStr">
        <is>
          <t>0</t>
        </is>
      </c>
      <c r="CF357" t="inlineStr">
        <is>
          <t>Q2-W04</t>
        </is>
      </c>
      <c r="CG357"/>
      <c r="CH357"/>
      <c r="CI357"/>
      <c r="CJ357" t="inlineStr">
        <is>
          <t>No Paid</t>
        </is>
      </c>
      <c r="CK357" t="inlineStr">
        <is>
          <t>Not Eligible</t>
        </is>
      </c>
      <c r="CL357"/>
      <c r="CM357"/>
    </row>
    <row r="358" ht="25.5" customHeight="1">
      <c r="A358" t="inlineStr">
        <is>
          <t>4324524</t>
        </is>
      </c>
      <c r="B358" s="2"/>
      <c r="C358"/>
      <c r="D358" s="3">
        <v>46139.57990740741</v>
      </c>
      <c r="E358" t="inlineStr">
        <is>
          <t>Q2-W04</t>
        </is>
      </c>
      <c r="F358" t="inlineStr">
        <is>
          <t>Lucas</t>
        </is>
      </c>
      <c r="G358" t="inlineStr">
        <is>
          <t>Lead</t>
        </is>
      </c>
      <c r="H358" s="2" t="str">
        <f>=HYPERLINK("https://upbox.ajobthing.my/leads/4324524", "https://upbox.ajobthing.my/leads/4324524")</f>
        <v>https://upbox.ajobthing.my/leads/4324524</v>
      </c>
      <c r="I358" t="inlineStr">
        <is>
          <t>Funfluent Learning Centre</t>
        </is>
      </c>
      <c r="J358" t="inlineStr">
        <is>
          <t>Small Fish</t>
        </is>
      </c>
      <c r="K358" t="inlineStr">
        <is>
          <t>Lucas</t>
        </is>
      </c>
      <c r="L358" s="4"/>
      <c r="M358" s="4">
        <v>46139.57858796296</v>
      </c>
      <c r="N358"/>
      <c r="O358">
        <v>3888</v>
      </c>
      <c r="P358" s="4"/>
      <c r="Q358" s="4"/>
      <c r="R358"/>
      <c r="S358"/>
      <c r="T358" s="4"/>
      <c r="U358" s="4"/>
      <c r="V358"/>
      <c r="W358"/>
      <c r="X358"/>
      <c r="Y358" t="inlineStr">
        <is>
          <t>Pending Appointment</t>
        </is>
      </c>
      <c r="Z358" t="inlineStr">
        <is>
          <t>Hiring Now</t>
        </is>
      </c>
      <c r="AA358">
        <v>1</v>
      </c>
      <c r="AB358" t="inlineStr">
        <is>
          <t>No Appointment Made</t>
        </is>
      </c>
      <c r="AC358"/>
      <c r="AD358" t="inlineStr">
        <is>
          <t xml:space="preserve">1 part time teacher </t>
        </is>
      </c>
      <c r="AE358"/>
      <c r="AF358">
        <v>0</v>
      </c>
      <c r="AG358" s="4"/>
      <c r="AH358" s="4"/>
      <c r="AI358">
        <v>0</v>
      </c>
      <c r="AJ358">
        <v>0</v>
      </c>
      <c r="AK358" t="inlineStr">
        <is>
          <t>No, I don't need at all</t>
        </is>
      </c>
      <c r="AL358">
        <v>0</v>
      </c>
      <c r="AM358" t="inlineStr">
        <is>
          <t>No, I don't need at all</t>
        </is>
      </c>
      <c r="AN358"/>
      <c r="AO358" t="inlineStr">
        <is>
          <t>No, I don't need at all</t>
        </is>
      </c>
      <c r="AP358" t="inlineStr">
        <is>
          <t>Once a year (25%)</t>
        </is>
      </c>
      <c r="AQ358">
        <v>1</v>
      </c>
      <c r="AR358" t="inlineStr">
        <is>
          <t>Did not use any job portal</t>
        </is>
      </c>
      <c r="AS358" t="inlineStr">
        <is>
          <t>- Headcount: 1
- Hiring Job Details: 1 part time teacher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358">
        <v>110</v>
      </c>
      <c r="AU358" t="inlineStr">
        <is>
          <t>1.10</t>
        </is>
      </c>
      <c r="AV358" t="inlineStr">
        <is>
          <t>15</t>
        </is>
      </c>
      <c r="AW358" t="inlineStr">
        <is>
          <t>0</t>
        </is>
      </c>
      <c r="AX358" t="inlineStr">
        <is>
          <t>Not Qualified</t>
        </is>
      </c>
      <c r="AY358" s="4"/>
      <c r="AZ358"/>
      <c r="BA358"/>
      <c r="BB358"/>
      <c r="BC358"/>
      <c r="BD358" s="4"/>
      <c r="BE358"/>
      <c r="BF358"/>
      <c r="BG358" t="inlineStr">
        <is>
          <t>Reschedule</t>
        </is>
      </c>
      <c r="BH358" t="inlineStr">
        <is>
          <t>Yee Hang</t>
        </is>
      </c>
      <c r="BI358"/>
      <c r="BJ358" s="4">
        <v>46144.75592592593</v>
      </c>
      <c r="BK358" s="4">
        <v>46138.49528935185</v>
      </c>
      <c r="BL358" t="inlineStr">
        <is>
          <t>0.0</t>
        </is>
      </c>
      <c r="BM358" t="inlineStr">
        <is>
          <t>0.0</t>
        </is>
      </c>
      <c r="BN358"/>
      <c r="BO358" s="4"/>
      <c r="BP358">
        <v>169022</v>
      </c>
      <c r="BQ358"/>
      <c r="BR358"/>
      <c r="BS358"/>
      <c r="BT358"/>
      <c r="BU358"/>
      <c r="BV358"/>
      <c r="BW358"/>
      <c r="BX358"/>
      <c r="BY358"/>
      <c r="BZ358" s="4"/>
      <c r="CA358"/>
      <c r="CB358"/>
      <c r="CC358" s="4"/>
      <c r="CD358" t="inlineStr">
        <is>
          <t>20</t>
        </is>
      </c>
      <c r="CE358" t="inlineStr">
        <is>
          <t>0</t>
        </is>
      </c>
      <c r="CF358" t="inlineStr">
        <is>
          <t>Q2-W04</t>
        </is>
      </c>
      <c r="CG358"/>
      <c r="CH358"/>
      <c r="CI358"/>
      <c r="CJ358" t="inlineStr">
        <is>
          <t>No Paid</t>
        </is>
      </c>
      <c r="CK358" t="inlineStr">
        <is>
          <t>Not Eligible</t>
        </is>
      </c>
      <c r="CL358"/>
      <c r="CM358"/>
    </row>
    <row r="359" ht="25.5" customHeight="1">
      <c r="A359" t="inlineStr">
        <is>
          <t>203515</t>
        </is>
      </c>
      <c r="B359" s="2"/>
      <c r="C359"/>
      <c r="D359" s="3">
        <v>46139.58421296296</v>
      </c>
      <c r="E359" t="inlineStr">
        <is>
          <t>Q2-W04</t>
        </is>
      </c>
      <c r="F359" t="inlineStr">
        <is>
          <t>Carmen</t>
        </is>
      </c>
      <c r="G359" t="inlineStr">
        <is>
          <t>Customer</t>
        </is>
      </c>
      <c r="H359" s="2" t="str">
        <f>=HYPERLINK("https://upbox.ajobthing.my/customer/203515", "https://upbox.ajobthing.my/customer/203515")</f>
        <v>https://upbox.ajobthing.my/customer/203515</v>
      </c>
      <c r="I359" t="inlineStr">
        <is>
          <t xml:space="preserve">Bangmang Outsourcing Sdn Bhd </t>
        </is>
      </c>
      <c r="J359" t="inlineStr">
        <is>
          <t>Small Fish</t>
        </is>
      </c>
      <c r="K359" t="inlineStr">
        <is>
          <t>Carmen</t>
        </is>
      </c>
      <c r="L359" s="4"/>
      <c r="M359" s="4">
        <v>46140.50140046296</v>
      </c>
      <c r="N359"/>
      <c r="O359">
        <v>22248</v>
      </c>
      <c r="P359" s="4"/>
      <c r="Q359" s="4"/>
      <c r="R359"/>
      <c r="S359"/>
      <c r="T359" s="4"/>
      <c r="U359" s="4"/>
      <c r="V359"/>
      <c r="W359"/>
      <c r="X359" t="inlineStr">
        <is>
          <t>Dandy Liu</t>
        </is>
      </c>
      <c r="Y359" t="inlineStr">
        <is>
          <t>Done Appointment</t>
        </is>
      </c>
      <c r="Z359" t="inlineStr">
        <is>
          <t>Continuous Hiring</t>
        </is>
      </c>
      <c r="AA359">
        <v>100</v>
      </c>
      <c r="AB359" t="inlineStr">
        <is>
          <t>Appointment Made</t>
        </is>
      </c>
      <c r="AC359" t="inlineStr">
        <is>
          <t>Large (101-300 employees)</t>
        </is>
      </c>
      <c r="AD359" t="inlineStr">
        <is>
          <t>100 position</t>
        </is>
      </c>
      <c r="AE359" t="inlineStr">
        <is>
          <t>HR Director / Senior HR Lead</t>
        </is>
      </c>
      <c r="AF359">
        <v>10000</v>
      </c>
      <c r="AG359" s="4">
        <v>46140.458333333336</v>
      </c>
      <c r="AH359" s="4">
        <v>46140.479166666664</v>
      </c>
      <c r="AI359"/>
      <c r="AJ359"/>
      <c r="AK359"/>
      <c r="AL359"/>
      <c r="AM359"/>
      <c r="AN359"/>
      <c r="AO359"/>
      <c r="AP359"/>
      <c r="AQ359"/>
      <c r="AR359"/>
      <c r="AS359" t="inlineStr">
        <is>
          <t>- Headcount: 100
- Hiring Job Details: 100 positions
- Hiring Urgency: Continuous Hiring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Not available
- External job portal: Not available</t>
        </is>
      </c>
      <c r="AT359">
        <v>65</v>
      </c>
      <c r="AU359" t="inlineStr">
        <is>
          <t>0.65</t>
        </is>
      </c>
      <c r="AV359" t="inlineStr">
        <is>
          <t>65</t>
        </is>
      </c>
      <c r="AW359" t="inlineStr">
        <is>
          <t>0.8</t>
        </is>
      </c>
      <c r="AX359" t="inlineStr">
        <is>
          <t>Not Qualified</t>
        </is>
      </c>
      <c r="AY359" s="4">
        <v>46140.51384259259</v>
      </c>
      <c r="AZ359" t="inlineStr">
        <is>
          <t>Base Assistant</t>
        </is>
      </c>
      <c r="BA359"/>
      <c r="BB359"/>
      <c r="BC359" t="inlineStr">
        <is>
          <t>cosmo, ivy and thomas joining the meeting, they actually dont have the license for headhunting, they might hire for client also, current stage mostly providing payroll services ; he asked alot of questions for his services</t>
        </is>
      </c>
      <c r="BD359" s="4">
        <v>46140.58288194444</v>
      </c>
      <c r="BE359"/>
      <c r="BF359"/>
      <c r="BG359" t="inlineStr">
        <is>
          <t>Reschedule</t>
        </is>
      </c>
      <c r="BH359" t="inlineStr">
        <is>
          <t>Reagen</t>
        </is>
      </c>
      <c r="BI359" t="inlineStr">
        <is>
          <t>HR Mgmt / Consulting</t>
        </is>
      </c>
      <c r="BJ359" s="4">
        <v>46144.754328703704</v>
      </c>
      <c r="BK359" s="4">
        <v>46134.42162037037</v>
      </c>
      <c r="BL359" t="inlineStr">
        <is>
          <t>0.0</t>
        </is>
      </c>
      <c r="BM359" t="inlineStr">
        <is>
          <t>0.0</t>
        </is>
      </c>
      <c r="BN359" t="inlineStr">
        <is>
          <t>View Company Page</t>
        </is>
      </c>
      <c r="BO359" s="4">
        <v>46135.43703703704</v>
      </c>
      <c r="BP359">
        <v>169215</v>
      </c>
      <c r="BQ359"/>
      <c r="BR359"/>
      <c r="BS359"/>
      <c r="BT359"/>
      <c r="BU359"/>
      <c r="BV359">
        <v>2732655</v>
      </c>
      <c r="BW359" t="inlineStr">
        <is>
          <t>Inquire for Hiring Needs : Quotation Sent 50%</t>
        </is>
      </c>
      <c r="BX359"/>
      <c r="BY359"/>
      <c r="BZ359" s="4"/>
      <c r="CA359"/>
      <c r="CB359"/>
      <c r="CC359" s="4"/>
      <c r="CD359" t="inlineStr">
        <is>
          <t>90</t>
        </is>
      </c>
      <c r="CE359" t="inlineStr">
        <is>
          <t>1.2</t>
        </is>
      </c>
      <c r="CF359" t="inlineStr">
        <is>
          <t>Q2-W04</t>
        </is>
      </c>
      <c r="CG359"/>
      <c r="CH359"/>
      <c r="CI359" t="inlineStr">
        <is>
          <t>Q2-W04</t>
        </is>
      </c>
      <c r="CJ359" t="inlineStr">
        <is>
          <t>No Paid</t>
        </is>
      </c>
      <c r="CK359" t="inlineStr">
        <is>
          <t>Eligible</t>
        </is>
      </c>
      <c r="CL359"/>
      <c r="CM359" t="inlineStr">
        <is>
          <t>Q2-W04</t>
        </is>
      </c>
    </row>
    <row r="360" ht="25.5" customHeight="1">
      <c r="A360" t="inlineStr">
        <is>
          <t>201424</t>
        </is>
      </c>
      <c r="B360" s="2"/>
      <c r="C360"/>
      <c r="D360" s="3">
        <v>46139.5922337963</v>
      </c>
      <c r="E360" t="inlineStr">
        <is>
          <t>Q2-W04</t>
        </is>
      </c>
      <c r="F360" t="inlineStr">
        <is>
          <t>Alan KY</t>
        </is>
      </c>
      <c r="G360" t="inlineStr">
        <is>
          <t>Customer</t>
        </is>
      </c>
      <c r="H360" s="2" t="str">
        <f>=HYPERLINK("https://upbox.ajobthing.my/customer/201424", "https://upbox.ajobthing.my/customer/201424")</f>
        <v>https://upbox.ajobthing.my/customer/201424</v>
      </c>
      <c r="I360" t="inlineStr">
        <is>
          <t>Topview Logistics Sdn Bhd</t>
        </is>
      </c>
      <c r="J360" t="inlineStr">
        <is>
          <t>Small Fish</t>
        </is>
      </c>
      <c r="K360" t="inlineStr">
        <is>
          <t>Alan KY</t>
        </is>
      </c>
      <c r="L360" s="4"/>
      <c r="M360" s="4">
        <v>46139.59013888889</v>
      </c>
      <c r="N360"/>
      <c r="O360">
        <v>3672</v>
      </c>
      <c r="P360" s="4"/>
      <c r="Q360" s="4">
        <v>46078.417349537034</v>
      </c>
      <c r="R360"/>
      <c r="S360">
        <v>3576.96</v>
      </c>
      <c r="T360" s="4"/>
      <c r="U360" s="4"/>
      <c r="V360"/>
      <c r="W360"/>
      <c r="X360"/>
      <c r="Y360" t="inlineStr">
        <is>
          <t>Pending Appointment</t>
        </is>
      </c>
      <c r="Z360" t="inlineStr">
        <is>
          <t>Hiring Now</t>
        </is>
      </c>
      <c r="AA360">
        <v>3</v>
      </c>
      <c r="AB360" t="inlineStr">
        <is>
          <t>No Appointment Made</t>
        </is>
      </c>
      <c r="AC360"/>
      <c r="AD360" t="inlineStr">
        <is>
          <t xml:space="preserve">1 cs, 1 admin, 1 hr, based in selangor </t>
        </is>
      </c>
      <c r="AE360"/>
      <c r="AF360"/>
      <c r="AG360" s="4"/>
      <c r="AH360" s="4"/>
      <c r="AI360"/>
      <c r="AJ360">
        <v>1</v>
      </c>
      <c r="AK360" t="inlineStr">
        <is>
          <t>No, I don't need at all</t>
        </is>
      </c>
      <c r="AL360">
        <v>0</v>
      </c>
      <c r="AM360" t="inlineStr">
        <is>
          <t>No, I don't need at all</t>
        </is>
      </c>
      <c r="AN360"/>
      <c r="AO360" t="inlineStr">
        <is>
          <t>No, I don't need at all</t>
        </is>
      </c>
      <c r="AP360" t="inlineStr">
        <is>
          <t>Once per quarter (75%)</t>
        </is>
      </c>
      <c r="AQ360"/>
      <c r="AR360" t="inlineStr">
        <is>
          <t>Jobstreet</t>
        </is>
      </c>
      <c r="AS360" t="inlineStr">
        <is>
          <t>- Headcount: 3
- Hiring Job Details: 1 cs, 1 admin, 1 hr, based in selangor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360">
        <v>95</v>
      </c>
      <c r="AU360" t="inlineStr">
        <is>
          <t>0.95</t>
        </is>
      </c>
      <c r="AV360" t="inlineStr">
        <is>
          <t>5</t>
        </is>
      </c>
      <c r="AW360" t="inlineStr">
        <is>
          <t>0</t>
        </is>
      </c>
      <c r="AX360" t="inlineStr">
        <is>
          <t>Not Qualified</t>
        </is>
      </c>
      <c r="AY360" s="4"/>
      <c r="AZ360"/>
      <c r="BA360"/>
      <c r="BB360"/>
      <c r="BC360" t="inlineStr">
        <is>
          <t>inform further discount offer</t>
        </is>
      </c>
      <c r="BD360" s="4">
        <v>46141.648414351854</v>
      </c>
      <c r="BE360" t="inlineStr">
        <is>
          <t>pending</t>
        </is>
      </c>
      <c r="BF360"/>
      <c r="BG360" t="inlineStr">
        <is>
          <t>Reschedule</t>
        </is>
      </c>
      <c r="BH360" t="inlineStr">
        <is>
          <t>Reagen</t>
        </is>
      </c>
      <c r="BI360"/>
      <c r="BJ360" s="4">
        <v>46144.75378472222</v>
      </c>
      <c r="BK360" s="4">
        <v>46078.41612268519</v>
      </c>
      <c r="BL360" t="inlineStr">
        <is>
          <t>0.0</t>
        </is>
      </c>
      <c r="BM360" t="inlineStr">
        <is>
          <t>0.0</t>
        </is>
      </c>
      <c r="BN360" t="inlineStr">
        <is>
          <t>View Company Page</t>
        </is>
      </c>
      <c r="BO360" s="4">
        <v>46143.8052662037</v>
      </c>
      <c r="BP360">
        <v>169026</v>
      </c>
      <c r="BQ360">
        <v>115639</v>
      </c>
      <c r="BR360" t="inlineStr">
        <is>
          <t>Proforma</t>
        </is>
      </c>
      <c r="BS360" t="inlineStr">
        <is>
          <t>AI Yearly Standard Plan (CNY Promo 26) with disc</t>
        </is>
      </c>
      <c r="BT360"/>
      <c r="BU360"/>
      <c r="BV360">
        <v>2735659</v>
      </c>
      <c r="BW360" t="inlineStr">
        <is>
          <t>Follow Up : Decision Pending</t>
        </is>
      </c>
      <c r="BX360"/>
      <c r="BY360"/>
      <c r="BZ360" s="4"/>
      <c r="CA360"/>
      <c r="CB360"/>
      <c r="CC360" s="4"/>
      <c r="CD360" t="inlineStr">
        <is>
          <t>5</t>
        </is>
      </c>
      <c r="CE360" t="inlineStr">
        <is>
          <t>0</t>
        </is>
      </c>
      <c r="CF360" t="inlineStr">
        <is>
          <t>Q2-W04</t>
        </is>
      </c>
      <c r="CG360" t="inlineStr">
        <is>
          <t>Q1-W08</t>
        </is>
      </c>
      <c r="CH360"/>
      <c r="CI360"/>
      <c r="CJ360" t="inlineStr">
        <is>
          <t>No Paid</t>
        </is>
      </c>
      <c r="CK360" t="inlineStr">
        <is>
          <t>Not Eligible</t>
        </is>
      </c>
      <c r="CL360"/>
      <c r="CM360"/>
    </row>
    <row r="361" ht="25.5" customHeight="1">
      <c r="A361" t="inlineStr">
        <is>
          <t>203702</t>
        </is>
      </c>
      <c r="B361" s="2"/>
      <c r="C361"/>
      <c r="D361" s="3">
        <v>46139.59569444445</v>
      </c>
      <c r="E361" t="inlineStr">
        <is>
          <t>Q2-W04</t>
        </is>
      </c>
      <c r="F361" t="inlineStr">
        <is>
          <t>Fariz</t>
        </is>
      </c>
      <c r="G361" t="inlineStr">
        <is>
          <t>Customer</t>
        </is>
      </c>
      <c r="H361" s="2" t="str">
        <f>=HYPERLINK("https://upbox.ajobthing.my/customer/203702", "https://upbox.ajobthing.my/customer/203702")</f>
        <v>https://upbox.ajobthing.my/customer/203702</v>
      </c>
      <c r="I361" t="inlineStr">
        <is>
          <t>MESSRS ZALZALIZA &amp; CO</t>
        </is>
      </c>
      <c r="J361" t="inlineStr">
        <is>
          <t>Small Fish</t>
        </is>
      </c>
      <c r="K361" t="inlineStr">
        <is>
          <t>Fariz</t>
        </is>
      </c>
      <c r="L361" s="4"/>
      <c r="M361" s="4">
        <v>46139.59709490741</v>
      </c>
      <c r="N361"/>
      <c r="O361">
        <v>1296</v>
      </c>
      <c r="P361" s="4"/>
      <c r="Q361" s="4"/>
      <c r="R361"/>
      <c r="S361"/>
      <c r="T361" s="4"/>
      <c r="U361" s="4"/>
      <c r="V361"/>
      <c r="W361"/>
      <c r="X361"/>
      <c r="Y361" t="inlineStr">
        <is>
          <t>Pending Appointment</t>
        </is>
      </c>
      <c r="Z361" t="inlineStr">
        <is>
          <t>Hiring Later</t>
        </is>
      </c>
      <c r="AA361">
        <v>1</v>
      </c>
      <c r="AB361" t="inlineStr">
        <is>
          <t>No Appointment Made</t>
        </is>
      </c>
      <c r="AC361"/>
      <c r="AD361" t="inlineStr">
        <is>
          <t>1 junior conveyancing lawyer</t>
        </is>
      </c>
      <c r="AE361"/>
      <c r="AF361">
        <v>1200</v>
      </c>
      <c r="AG361" s="4"/>
      <c r="AH361" s="4"/>
      <c r="AI361">
        <v>1200</v>
      </c>
      <c r="AJ361"/>
      <c r="AK361" t="inlineStr">
        <is>
          <t>No, I don't need at all</t>
        </is>
      </c>
      <c r="AL361">
        <v>1</v>
      </c>
      <c r="AM361" t="inlineStr">
        <is>
          <t>No, I don't need at all</t>
        </is>
      </c>
      <c r="AN361"/>
      <c r="AO361" t="inlineStr">
        <is>
          <t>No, I don't need at all</t>
        </is>
      </c>
      <c r="AP361" t="inlineStr">
        <is>
          <t>Once a year (25%)</t>
        </is>
      </c>
      <c r="AQ361">
        <v>1</v>
      </c>
      <c r="AR361" t="inlineStr">
        <is>
          <t>Free Job Portal, Jobstreet</t>
        </is>
      </c>
      <c r="AS361" t="inlineStr">
        <is>
          <t>- Headcount: 1
- Hiring Job Details: 1 junior conveyancing lawyer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Portal,Jobstreet</t>
        </is>
      </c>
      <c r="AT361">
        <v>115</v>
      </c>
      <c r="AU361" t="inlineStr">
        <is>
          <t>1.15</t>
        </is>
      </c>
      <c r="AV361" t="inlineStr">
        <is>
          <t>15</t>
        </is>
      </c>
      <c r="AW361" t="inlineStr">
        <is>
          <t>0</t>
        </is>
      </c>
      <c r="AX361" t="inlineStr">
        <is>
          <t>Not Qualified</t>
        </is>
      </c>
      <c r="AY361" s="4"/>
      <c r="AZ361"/>
      <c r="BA361"/>
      <c r="BB361"/>
      <c r="BC361" t="inlineStr">
        <is>
          <t>FU - na - ws</t>
        </is>
      </c>
      <c r="BD361" s="4">
        <v>46142.62809027778</v>
      </c>
      <c r="BE361"/>
      <c r="BF361"/>
      <c r="BG361" t="inlineStr">
        <is>
          <t>Reschedule</t>
        </is>
      </c>
      <c r="BH361" t="inlineStr">
        <is>
          <t>Edward Hoo</t>
        </is>
      </c>
      <c r="BI361"/>
      <c r="BJ361" s="4">
        <v>46144.75436342593</v>
      </c>
      <c r="BK361" s="4">
        <v>46139.59369212963</v>
      </c>
      <c r="BL361" t="inlineStr">
        <is>
          <t>0.0</t>
        </is>
      </c>
      <c r="BM361" t="inlineStr">
        <is>
          <t>0.0</t>
        </is>
      </c>
      <c r="BN361"/>
      <c r="BO361" s="4"/>
      <c r="BP361">
        <v>169033</v>
      </c>
      <c r="BQ361"/>
      <c r="BR361"/>
      <c r="BS361"/>
      <c r="BT361"/>
      <c r="BU361"/>
      <c r="BV361">
        <v>2737885</v>
      </c>
      <c r="BW361" t="inlineStr">
        <is>
          <t>No Answer : Voicemail - WA sent to customer</t>
        </is>
      </c>
      <c r="BX361"/>
      <c r="BY361"/>
      <c r="BZ361" s="4"/>
      <c r="CA361"/>
      <c r="CB361"/>
      <c r="CC361" s="4"/>
      <c r="CD361" t="inlineStr">
        <is>
          <t>20</t>
        </is>
      </c>
      <c r="CE361" t="inlineStr">
        <is>
          <t>0</t>
        </is>
      </c>
      <c r="CF361" t="inlineStr">
        <is>
          <t>Q2-W04</t>
        </is>
      </c>
      <c r="CG361"/>
      <c r="CH361"/>
      <c r="CI361"/>
      <c r="CJ361" t="inlineStr">
        <is>
          <t>No Paid</t>
        </is>
      </c>
      <c r="CK361" t="inlineStr">
        <is>
          <t>Not Eligible</t>
        </is>
      </c>
      <c r="CL361"/>
      <c r="CM361"/>
    </row>
    <row r="362" ht="25.5" customHeight="1">
      <c r="A362" t="inlineStr">
        <is>
          <t>179877</t>
        </is>
      </c>
      <c r="B362" s="2"/>
      <c r="C362"/>
      <c r="D362" s="3">
        <v>46139.605266203704</v>
      </c>
      <c r="E362" t="inlineStr">
        <is>
          <t>Q2-W04</t>
        </is>
      </c>
      <c r="F362" t="inlineStr">
        <is>
          <t>Dickson</t>
        </is>
      </c>
      <c r="G362" t="inlineStr">
        <is>
          <t>Customer</t>
        </is>
      </c>
      <c r="H362" s="2" t="str">
        <f>=HYPERLINK("https://upbox.ajobthing.my/customer/179877", "https://upbox.ajobthing.my/customer/179877")</f>
        <v>https://upbox.ajobthing.my/customer/179877</v>
      </c>
      <c r="I362" t="inlineStr">
        <is>
          <t>Kuasa Aman Sdn Bhd</t>
        </is>
      </c>
      <c r="J362" t="inlineStr">
        <is>
          <t>Small Fish</t>
        </is>
      </c>
      <c r="K362" t="inlineStr">
        <is>
          <t>Dickson</t>
        </is>
      </c>
      <c r="L362" s="4"/>
      <c r="M362" s="4">
        <v>46139.605358796296</v>
      </c>
      <c r="N362"/>
      <c r="O362">
        <v>3888</v>
      </c>
      <c r="P362" s="4"/>
      <c r="Q362" s="4">
        <v>46139.54369212963</v>
      </c>
      <c r="R362"/>
      <c r="S362">
        <v>0</v>
      </c>
      <c r="T362" s="4"/>
      <c r="U362" s="4"/>
      <c r="V362"/>
      <c r="W362"/>
      <c r="X362"/>
      <c r="Y362" t="inlineStr">
        <is>
          <t>Pending Appointment</t>
        </is>
      </c>
      <c r="Z362" t="inlineStr">
        <is>
          <t>Hiring Now</t>
        </is>
      </c>
      <c r="AA362">
        <v>2</v>
      </c>
      <c r="AB362" t="inlineStr">
        <is>
          <t>No Appointment Made</t>
        </is>
      </c>
      <c r="AC362"/>
      <c r="AD362" t="inlineStr">
        <is>
          <t>1 for Assistant Leasing Manager
1 for Lead Cinema Supervisor</t>
        </is>
      </c>
      <c r="AE362"/>
      <c r="AF362"/>
      <c r="AG362" s="4"/>
      <c r="AH362" s="4"/>
      <c r="AI362"/>
      <c r="AJ362">
        <v>1</v>
      </c>
      <c r="AK362" t="inlineStr">
        <is>
          <t>No, I don't need at all</t>
        </is>
      </c>
      <c r="AL362"/>
      <c r="AM362" t="inlineStr">
        <is>
          <t>No, I don't need at all</t>
        </is>
      </c>
      <c r="AN362"/>
      <c r="AO362" t="inlineStr">
        <is>
          <t>No, I don't need at all</t>
        </is>
      </c>
      <c r="AP362" t="inlineStr">
        <is>
          <t>Once per quarter (75%)</t>
        </is>
      </c>
      <c r="AQ362"/>
      <c r="AR362"/>
      <c r="AS362" t="inlineStr">
        <is>
          <t>- Headcount: 2
- Hiring Job Details: 1 for Assistant Leasing Manager, 1 for Lead Cinema Supervisor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362">
        <v>95</v>
      </c>
      <c r="AU362" t="inlineStr">
        <is>
          <t>0.95</t>
        </is>
      </c>
      <c r="AV362" t="inlineStr">
        <is>
          <t>5</t>
        </is>
      </c>
      <c r="AW362" t="inlineStr">
        <is>
          <t>0</t>
        </is>
      </c>
      <c r="AX362" t="inlineStr">
        <is>
          <t>Not Qualified</t>
        </is>
      </c>
      <c r="AY362" s="4"/>
      <c r="AZ362"/>
      <c r="BA362"/>
      <c r="BB362"/>
      <c r="BC362" t="inlineStr">
        <is>
          <t>pending decision from management</t>
        </is>
      </c>
      <c r="BD362" s="4">
        <v>46142.672268518516</v>
      </c>
      <c r="BE362" t="inlineStr">
        <is>
          <t>paid</t>
        </is>
      </c>
      <c r="BF362"/>
      <c r="BG362" t="inlineStr">
        <is>
          <t>Reschedule</t>
        </is>
      </c>
      <c r="BH362" t="inlineStr">
        <is>
          <t>Edward Hoo</t>
        </is>
      </c>
      <c r="BI362" t="inlineStr">
        <is>
          <t>Other industries</t>
        </is>
      </c>
      <c r="BJ362" s="4">
        <v>46144.75181712963</v>
      </c>
      <c r="BK362" s="4">
        <v>45469.49784722222</v>
      </c>
      <c r="BL362" t="inlineStr">
        <is>
          <t>0.0</t>
        </is>
      </c>
      <c r="BM362" t="inlineStr">
        <is>
          <t>0.0</t>
        </is>
      </c>
      <c r="BN362" t="inlineStr">
        <is>
          <t>View Jobmanager Page</t>
        </is>
      </c>
      <c r="BO362" s="4">
        <v>45469.54576388889</v>
      </c>
      <c r="BP362">
        <v>169036</v>
      </c>
      <c r="BQ362">
        <v>123760</v>
      </c>
      <c r="BR362" t="inlineStr">
        <is>
          <t>Proforma</t>
        </is>
      </c>
      <c r="BS362" t="inlineStr">
        <is>
          <t>Free Freelance Job</t>
        </is>
      </c>
      <c r="BT362"/>
      <c r="BU362"/>
      <c r="BV362">
        <v>2738107</v>
      </c>
      <c r="BW362" t="inlineStr">
        <is>
          <t>Follow Up : Decision Pending</t>
        </is>
      </c>
      <c r="BX362">
        <v>3</v>
      </c>
      <c r="BY362">
        <v>3</v>
      </c>
      <c r="BZ362" s="4"/>
      <c r="CA362"/>
      <c r="CB362"/>
      <c r="CC362" s="4"/>
      <c r="CD362" t="inlineStr">
        <is>
          <t>5</t>
        </is>
      </c>
      <c r="CE362" t="inlineStr">
        <is>
          <t>0</t>
        </is>
      </c>
      <c r="CF362" t="inlineStr">
        <is>
          <t>Q2-W04</t>
        </is>
      </c>
      <c r="CG362" t="inlineStr">
        <is>
          <t>Q2-W04</t>
        </is>
      </c>
      <c r="CH362"/>
      <c r="CI362"/>
      <c r="CJ362" t="inlineStr">
        <is>
          <t>No Paid</t>
        </is>
      </c>
      <c r="CK362" t="inlineStr">
        <is>
          <t>Not Eligible</t>
        </is>
      </c>
      <c r="CL362"/>
      <c r="CM362"/>
    </row>
    <row r="363" ht="25.5" customHeight="1">
      <c r="A363" t="inlineStr">
        <is>
          <t>164381</t>
        </is>
      </c>
      <c r="B363" s="2"/>
      <c r="C363"/>
      <c r="D363" s="3">
        <v>46139.60564814815</v>
      </c>
      <c r="E363" t="inlineStr">
        <is>
          <t>Q2-W04</t>
        </is>
      </c>
      <c r="F363" t="inlineStr">
        <is>
          <t>Alan KY</t>
        </is>
      </c>
      <c r="G363" t="inlineStr">
        <is>
          <t>Customer</t>
        </is>
      </c>
      <c r="H363" s="2" t="str">
        <f>=HYPERLINK("https://upbox.ajobthing.my/customer/164381", "https://upbox.ajobthing.my/customer/164381")</f>
        <v>https://upbox.ajobthing.my/customer/164381</v>
      </c>
      <c r="I363" t="inlineStr">
        <is>
          <t>Natto Auto &amp; Engineering Sdn Bhd</t>
        </is>
      </c>
      <c r="J363" t="inlineStr">
        <is>
          <t>Small Fish</t>
        </is>
      </c>
      <c r="K363" t="inlineStr">
        <is>
          <t>Alan KY</t>
        </is>
      </c>
      <c r="L363" s="4"/>
      <c r="M363" s="4">
        <v>46139.6046412037</v>
      </c>
      <c r="N363"/>
      <c r="O363">
        <v>3672</v>
      </c>
      <c r="P363" s="4"/>
      <c r="Q363" s="4"/>
      <c r="R363"/>
      <c r="S363"/>
      <c r="T363" s="4"/>
      <c r="U363" s="4"/>
      <c r="V363"/>
      <c r="W363"/>
      <c r="X363"/>
      <c r="Y363" t="inlineStr">
        <is>
          <t>Pending Appointment</t>
        </is>
      </c>
      <c r="Z363" t="inlineStr">
        <is>
          <t>Hiring Now</t>
        </is>
      </c>
      <c r="AA363">
        <v>6</v>
      </c>
      <c r="AB363" t="inlineStr">
        <is>
          <t>No Appointment Made</t>
        </is>
      </c>
      <c r="AC363"/>
      <c r="AD363" t="inlineStr">
        <is>
          <t xml:space="preserve">2 technician - fresh grade  
1 e commerce - open to all 
3 sales rep - automotive 
Based in KL </t>
        </is>
      </c>
      <c r="AE363"/>
      <c r="AF363"/>
      <c r="AG363" s="4"/>
      <c r="AH363" s="4"/>
      <c r="AI363"/>
      <c r="AJ363">
        <v>1</v>
      </c>
      <c r="AK363" t="inlineStr">
        <is>
          <t>No, I don't need at all</t>
        </is>
      </c>
      <c r="AL363">
        <v>0</v>
      </c>
      <c r="AM363" t="inlineStr">
        <is>
          <t>No, I don't need at all</t>
        </is>
      </c>
      <c r="AN363"/>
      <c r="AO363" t="inlineStr">
        <is>
          <t>No, I don't need at all</t>
        </is>
      </c>
      <c r="AP363" t="inlineStr">
        <is>
          <t>Once per quarter (75%)</t>
        </is>
      </c>
      <c r="AQ363"/>
      <c r="AR363" t="inlineStr">
        <is>
          <t>Jobstreet</t>
        </is>
      </c>
      <c r="AS363" t="inlineStr">
        <is>
          <t>- Headcount: 6
- Hiring Job Details: 2 technician - fresh grade; 1 e commerce - open to all; 3 sales rep - automotive (Based in KL)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363">
        <v>100</v>
      </c>
      <c r="AU363" t="inlineStr">
        <is>
          <t>1.00</t>
        </is>
      </c>
      <c r="AV363" t="inlineStr">
        <is>
          <t>10</t>
        </is>
      </c>
      <c r="AW363" t="inlineStr">
        <is>
          <t>0</t>
        </is>
      </c>
      <c r="AX363" t="inlineStr">
        <is>
          <t>Not Qualified</t>
        </is>
      </c>
      <c r="AY363" s="4"/>
      <c r="AZ363"/>
      <c r="BA363"/>
      <c r="BB363"/>
      <c r="BC363" t="inlineStr">
        <is>
          <t>Already hired, no need first</t>
        </is>
      </c>
      <c r="BD363" s="4">
        <v>46142.50052083333</v>
      </c>
      <c r="BE363"/>
      <c r="BF363"/>
      <c r="BG363" t="inlineStr">
        <is>
          <t>Reschedule</t>
        </is>
      </c>
      <c r="BH363" t="inlineStr">
        <is>
          <t>Reagen</t>
        </is>
      </c>
      <c r="BI363" t="inlineStr">
        <is>
          <t>Automobile / Automotive</t>
        </is>
      </c>
      <c r="BJ363" s="4">
        <v>46144.7512037037</v>
      </c>
      <c r="BK363" s="4">
        <v>44970.539675925924</v>
      </c>
      <c r="BL363" t="inlineStr">
        <is>
          <t>0.0</t>
        </is>
      </c>
      <c r="BM363" t="inlineStr">
        <is>
          <t>0.0</t>
        </is>
      </c>
      <c r="BN363" t="inlineStr">
        <is>
          <t>View Company Page</t>
        </is>
      </c>
      <c r="BO363" s="4">
        <v>46139.453993055555</v>
      </c>
      <c r="BP363">
        <v>169035</v>
      </c>
      <c r="BQ363"/>
      <c r="BR363"/>
      <c r="BS363"/>
      <c r="BT363"/>
      <c r="BU363"/>
      <c r="BV363">
        <v>2737315</v>
      </c>
      <c r="BW363" t="inlineStr">
        <is>
          <t>Follow Up : Lost - Free Portal</t>
        </is>
      </c>
      <c r="BX363"/>
      <c r="BY363"/>
      <c r="BZ363" s="4"/>
      <c r="CA363"/>
      <c r="CB363"/>
      <c r="CC363" s="4"/>
      <c r="CD363" t="inlineStr">
        <is>
          <t>15</t>
        </is>
      </c>
      <c r="CE363" t="inlineStr">
        <is>
          <t>0</t>
        </is>
      </c>
      <c r="CF363" t="inlineStr">
        <is>
          <t>Q2-W04</t>
        </is>
      </c>
      <c r="CG363"/>
      <c r="CH363"/>
      <c r="CI363"/>
      <c r="CJ363" t="inlineStr">
        <is>
          <t>No Paid</t>
        </is>
      </c>
      <c r="CK363" t="inlineStr">
        <is>
          <t>Not Eligible</t>
        </is>
      </c>
      <c r="CL363"/>
      <c r="CM363"/>
    </row>
    <row r="364" ht="25.5" customHeight="1">
      <c r="A364" t="inlineStr">
        <is>
          <t>4328022</t>
        </is>
      </c>
      <c r="B364" s="2"/>
      <c r="C364"/>
      <c r="D364" s="3">
        <v>46139.61072916666</v>
      </c>
      <c r="E364" t="inlineStr">
        <is>
          <t>Q2-W04</t>
        </is>
      </c>
      <c r="F364" t="inlineStr">
        <is>
          <t>Jeff Lee</t>
        </is>
      </c>
      <c r="G364" t="inlineStr">
        <is>
          <t>Lead</t>
        </is>
      </c>
      <c r="H364" s="2" t="str">
        <f>=HYPERLINK("https://upbox.ajobthing.my/leads/4328022", "https://upbox.ajobthing.my/leads/4328022")</f>
        <v>https://upbox.ajobthing.my/leads/4328022</v>
      </c>
      <c r="I364" t="inlineStr">
        <is>
          <t>Juan Shop</t>
        </is>
      </c>
      <c r="J364" t="inlineStr">
        <is>
          <t>Small Fish</t>
        </is>
      </c>
      <c r="K364" t="inlineStr">
        <is>
          <t>Jeff Lee</t>
        </is>
      </c>
      <c r="L364" s="4"/>
      <c r="M364" s="4">
        <v>46139.60828703704</v>
      </c>
      <c r="N364"/>
      <c r="O364">
        <v>1296</v>
      </c>
      <c r="P364" s="4"/>
      <c r="Q364" s="4"/>
      <c r="R364"/>
      <c r="S364"/>
      <c r="T364" s="4"/>
      <c r="U364" s="4"/>
      <c r="V364"/>
      <c r="W364"/>
      <c r="X364"/>
      <c r="Y364" t="inlineStr">
        <is>
          <t>Pending Appointment</t>
        </is>
      </c>
      <c r="Z364" t="inlineStr">
        <is>
          <t>Hiring Now</t>
        </is>
      </c>
      <c r="AA364">
        <v>3</v>
      </c>
      <c r="AB364" t="inlineStr">
        <is>
          <t>No Appointment Made</t>
        </is>
      </c>
      <c r="AC364"/>
      <c r="AD364" t="inlineStr">
        <is>
          <t>3 part time event staff</t>
        </is>
      </c>
      <c r="AE364"/>
      <c r="AF364">
        <v>0</v>
      </c>
      <c r="AG364" s="4"/>
      <c r="AH364" s="4"/>
      <c r="AI364">
        <v>0</v>
      </c>
      <c r="AJ364">
        <v>0</v>
      </c>
      <c r="AK364" t="inlineStr">
        <is>
          <t>No, I don't need at all</t>
        </is>
      </c>
      <c r="AL364">
        <v>0</v>
      </c>
      <c r="AM364" t="inlineStr">
        <is>
          <t>No, I don't need at all</t>
        </is>
      </c>
      <c r="AN364"/>
      <c r="AO364" t="inlineStr">
        <is>
          <t>No, I don't need at all</t>
        </is>
      </c>
      <c r="AP364" t="inlineStr">
        <is>
          <t>Once a year (25%)</t>
        </is>
      </c>
      <c r="AQ364">
        <v>3</v>
      </c>
      <c r="AR364" t="inlineStr">
        <is>
          <t>Did not use any job portal</t>
        </is>
      </c>
      <c r="AS364" t="inlineStr">
        <is>
          <t>- Headcount: 3
- Hiring Job Details: 3 part time event staff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is>
      </c>
      <c r="AT364">
        <v>105</v>
      </c>
      <c r="AU364" t="inlineStr">
        <is>
          <t>1.05</t>
        </is>
      </c>
      <c r="AV364" t="inlineStr">
        <is>
          <t>15</t>
        </is>
      </c>
      <c r="AW364" t="inlineStr">
        <is>
          <t>0</t>
        </is>
      </c>
      <c r="AX364" t="inlineStr">
        <is>
          <t>Not Qualified</t>
        </is>
      </c>
      <c r="AY364" s="4"/>
      <c r="AZ364"/>
      <c r="BA364"/>
      <c r="BB364"/>
      <c r="BC364"/>
      <c r="BD364" s="4"/>
      <c r="BE364"/>
      <c r="BF364"/>
      <c r="BG364" t="inlineStr">
        <is>
          <t>Reschedule</t>
        </is>
      </c>
      <c r="BH364" t="inlineStr">
        <is>
          <t>Yee Hang</t>
        </is>
      </c>
      <c r="BI364"/>
      <c r="BJ364" s="4">
        <v>46144.75592592593</v>
      </c>
      <c r="BK364" s="4">
        <v>46139.593935185185</v>
      </c>
      <c r="BL364" t="inlineStr">
        <is>
          <t>0.0</t>
        </is>
      </c>
      <c r="BM364" t="inlineStr">
        <is>
          <t>0.0</t>
        </is>
      </c>
      <c r="BN364"/>
      <c r="BO364" s="4"/>
      <c r="BP364">
        <v>169038</v>
      </c>
      <c r="BQ364"/>
      <c r="BR364"/>
      <c r="BS364"/>
      <c r="BT364"/>
      <c r="BU364"/>
      <c r="BV364"/>
      <c r="BW364"/>
      <c r="BX364"/>
      <c r="BY364"/>
      <c r="BZ364" s="4"/>
      <c r="CA364"/>
      <c r="CB364"/>
      <c r="CC364" s="4"/>
      <c r="CD364" t="inlineStr">
        <is>
          <t>20</t>
        </is>
      </c>
      <c r="CE364" t="inlineStr">
        <is>
          <t>0</t>
        </is>
      </c>
      <c r="CF364" t="inlineStr">
        <is>
          <t>Q2-W04</t>
        </is>
      </c>
      <c r="CG364"/>
      <c r="CH364"/>
      <c r="CI364"/>
      <c r="CJ364" t="inlineStr">
        <is>
          <t>No Paid</t>
        </is>
      </c>
      <c r="CK364" t="inlineStr">
        <is>
          <t>Not Eligible</t>
        </is>
      </c>
      <c r="CL364"/>
      <c r="CM364"/>
    </row>
    <row r="365" ht="25.5" customHeight="1">
      <c r="A365" t="inlineStr">
        <is>
          <t>161863</t>
        </is>
      </c>
      <c r="B365" s="2"/>
      <c r="C365"/>
      <c r="D365" s="3">
        <v>46139.613599537035</v>
      </c>
      <c r="E365" t="inlineStr">
        <is>
          <t>Q2-W04</t>
        </is>
      </c>
      <c r="F365" t="inlineStr">
        <is>
          <t>Luqman</t>
        </is>
      </c>
      <c r="G365" t="inlineStr">
        <is>
          <t>Customer</t>
        </is>
      </c>
      <c r="H365" s="2" t="str">
        <f>=HYPERLINK("https://upbox.ajobthing.my/customer/161863", "https://upbox.ajobthing.my/customer/161863")</f>
        <v>https://upbox.ajobthing.my/customer/161863</v>
      </c>
      <c r="I365" t="inlineStr">
        <is>
          <t>AZ Interior Design Sdn Bhd</t>
        </is>
      </c>
      <c r="J365" t="inlineStr">
        <is>
          <t>Small Fish</t>
        </is>
      </c>
      <c r="K365" t="inlineStr">
        <is>
          <t>Luqman</t>
        </is>
      </c>
      <c r="L365" s="4"/>
      <c r="M365" s="4">
        <v>46139.61368055556</v>
      </c>
      <c r="N365"/>
      <c r="O365">
        <v>3888</v>
      </c>
      <c r="P365" s="4"/>
      <c r="Q365" s="4">
        <v>45069.31046296296</v>
      </c>
      <c r="R365"/>
      <c r="S365">
        <v>636</v>
      </c>
      <c r="T365" s="4">
        <v>45068.00001157408</v>
      </c>
      <c r="U365" s="4"/>
      <c r="V365"/>
      <c r="W365">
        <v>636</v>
      </c>
      <c r="X365"/>
      <c r="Y365" t="inlineStr">
        <is>
          <t>Pending Appointment</t>
        </is>
      </c>
      <c r="Z365" t="inlineStr">
        <is>
          <t>Hiring Later</t>
        </is>
      </c>
      <c r="AA365">
        <v>2</v>
      </c>
      <c r="AB365" t="inlineStr">
        <is>
          <t>No Appointment Made</t>
        </is>
      </c>
      <c r="AC365"/>
      <c r="AD365" t="inlineStr">
        <is>
          <t xml:space="preserve">1. Designer 
2. Admin Assistant </t>
        </is>
      </c>
      <c r="AE365"/>
      <c r="AF365">
        <v>1200</v>
      </c>
      <c r="AG365" s="4"/>
      <c r="AH365" s="4"/>
      <c r="AI365">
        <v>1200</v>
      </c>
      <c r="AJ365"/>
      <c r="AK365" t="inlineStr">
        <is>
          <t>No, but I want in future</t>
        </is>
      </c>
      <c r="AL365"/>
      <c r="AM365" t="inlineStr">
        <is>
          <t>No, I don't need at all</t>
        </is>
      </c>
      <c r="AN365"/>
      <c r="AO365" t="inlineStr">
        <is>
          <t>Yes, I have</t>
        </is>
      </c>
      <c r="AP365" t="inlineStr">
        <is>
          <t>Once a year (25%)</t>
        </is>
      </c>
      <c r="AQ365">
        <v>2</v>
      </c>
      <c r="AR365" t="inlineStr">
        <is>
          <t>Free Job Portal, Jobstreet</t>
        </is>
      </c>
      <c r="AS365" t="inlineStr">
        <is>
          <t>- Headcount: 2
- Hiring Job Details: 1. Designer 2. Admin Assistant
- Hiring Urgency: Hiring Later
- Number of outlets: N/A
- Have recruiter team: No, but want in future
- Number of recruiter in company: N/A
- Have ATS system: No, don't need at all
- Have career website: Yes
- Current hiring budget: RM1,200
- Whole year budget: RM1,200.00
- Whole year number of vacancies: 2
- Hiring frequency: Once a year (25%)
- External job portal: Free Job Portal, Jobstreet</t>
        </is>
      </c>
      <c r="AT365">
        <v>105</v>
      </c>
      <c r="AU365" t="inlineStr">
        <is>
          <t>1.05</t>
        </is>
      </c>
      <c r="AV365" t="inlineStr">
        <is>
          <t>15</t>
        </is>
      </c>
      <c r="AW365" t="inlineStr">
        <is>
          <t>0</t>
        </is>
      </c>
      <c r="AX365" t="inlineStr">
        <is>
          <t>Not Qualified</t>
        </is>
      </c>
      <c r="AY365" s="4"/>
      <c r="AZ365"/>
      <c r="BA365"/>
      <c r="BB365"/>
      <c r="BC365" t="inlineStr">
        <is>
          <t>Business hiring on hold</t>
        </is>
      </c>
      <c r="BD365" s="4">
        <v>46142.58159722222</v>
      </c>
      <c r="BE365" t="inlineStr">
        <is>
          <t>paid</t>
        </is>
      </c>
      <c r="BF365"/>
      <c r="BG365" t="inlineStr">
        <is>
          <t>Reschedule</t>
        </is>
      </c>
      <c r="BH365" t="inlineStr">
        <is>
          <t>Edward Hoo</t>
        </is>
      </c>
      <c r="BI365" t="inlineStr">
        <is>
          <t>Architecture / Interior Design</t>
        </is>
      </c>
      <c r="BJ365" s="4">
        <v>46144.751122685186</v>
      </c>
      <c r="BK365" s="4">
        <v>44873.44702546296</v>
      </c>
      <c r="BL365" t="inlineStr">
        <is>
          <t>0.0</t>
        </is>
      </c>
      <c r="BM365" t="inlineStr">
        <is>
          <t>600.0</t>
        </is>
      </c>
      <c r="BN365" t="inlineStr">
        <is>
          <t>User Login</t>
        </is>
      </c>
      <c r="BO365" s="4">
        <v>45253.63686342593</v>
      </c>
      <c r="BP365">
        <v>169041</v>
      </c>
      <c r="BQ365">
        <v>76191</v>
      </c>
      <c r="BR365" t="inlineStr">
        <is>
          <t>Proforma</t>
        </is>
      </c>
      <c r="BS365" t="inlineStr">
        <is>
          <t>A-May-Zing-Deal - Beginner Package</t>
        </is>
      </c>
      <c r="BT365">
        <v>58847</v>
      </c>
      <c r="BU365"/>
      <c r="BV365">
        <v>2737580</v>
      </c>
      <c r="BW365" t="inlineStr">
        <is>
          <t>Follow Up : Lost - Free Portal</t>
        </is>
      </c>
      <c r="BX365"/>
      <c r="BY365"/>
      <c r="BZ365" s="4"/>
      <c r="CA365"/>
      <c r="CB365"/>
      <c r="CC365" s="4"/>
      <c r="CD365" t="inlineStr">
        <is>
          <t>20</t>
        </is>
      </c>
      <c r="CE365" t="inlineStr">
        <is>
          <t>0</t>
        </is>
      </c>
      <c r="CF365" t="inlineStr">
        <is>
          <t>Q2-W04</t>
        </is>
      </c>
      <c r="CG365"/>
      <c r="CH365"/>
      <c r="CI365"/>
      <c r="CJ365" t="inlineStr">
        <is>
          <t>Paid</t>
        </is>
      </c>
      <c r="CK365" t="inlineStr">
        <is>
          <t>Not Eligible</t>
        </is>
      </c>
      <c r="CL365"/>
      <c r="CM365"/>
    </row>
    <row r="366" ht="25.5" customHeight="1">
      <c r="A366" t="inlineStr">
        <is>
          <t>4328147</t>
        </is>
      </c>
      <c r="B366" s="2"/>
      <c r="C366"/>
      <c r="D366" s="3">
        <v>46139.63255787037</v>
      </c>
      <c r="E366" t="inlineStr">
        <is>
          <t>Q2-W04</t>
        </is>
      </c>
      <c r="F366" t="inlineStr">
        <is>
          <t>Luqman</t>
        </is>
      </c>
      <c r="G366" t="inlineStr">
        <is>
          <t>Lead</t>
        </is>
      </c>
      <c r="H366" s="2" t="str">
        <f>=HYPERLINK("https://upbox.ajobthing.my/leads/4328147", "https://upbox.ajobthing.my/leads/4328147")</f>
        <v>https://upbox.ajobthing.my/leads/4328147</v>
      </c>
      <c r="I366" t="inlineStr">
        <is>
          <t>PREMISUS SDN BHD</t>
        </is>
      </c>
      <c r="J366" t="inlineStr">
        <is>
          <t>Small Fish</t>
        </is>
      </c>
      <c r="K366" t="inlineStr">
        <is>
          <t>Luqman</t>
        </is>
      </c>
      <c r="L366" s="4"/>
      <c r="M366" s="4">
        <v>46139.632835648146</v>
      </c>
      <c r="N366"/>
      <c r="O366">
        <v>3888</v>
      </c>
      <c r="P366" s="4"/>
      <c r="Q366" s="4"/>
      <c r="R366"/>
      <c r="S366"/>
      <c r="T366" s="4"/>
      <c r="U366" s="4"/>
      <c r="V366"/>
      <c r="W366"/>
      <c r="X366"/>
      <c r="Y366" t="inlineStr">
        <is>
          <t>Pending Appointment</t>
        </is>
      </c>
      <c r="Z366" t="inlineStr">
        <is>
          <t>Hiring Later</t>
        </is>
      </c>
      <c r="AA366">
        <v>1</v>
      </c>
      <c r="AB366" t="inlineStr">
        <is>
          <t>No Appointment Made</t>
        </is>
      </c>
      <c r="AC366"/>
      <c r="AD366" t="inlineStr">
        <is>
          <t xml:space="preserve">1. Admin Assistant </t>
        </is>
      </c>
      <c r="AE366"/>
      <c r="AF366">
        <v>1200</v>
      </c>
      <c r="AG366" s="4"/>
      <c r="AH366" s="4"/>
      <c r="AI366">
        <v>1200</v>
      </c>
      <c r="AJ366"/>
      <c r="AK366" t="inlineStr">
        <is>
          <t>No, I don't need at all</t>
        </is>
      </c>
      <c r="AL366">
        <v>2</v>
      </c>
      <c r="AM366" t="inlineStr">
        <is>
          <t>No, I don't need at all</t>
        </is>
      </c>
      <c r="AN366"/>
      <c r="AO366" t="inlineStr">
        <is>
          <t>No, I don't need at all</t>
        </is>
      </c>
      <c r="AP366" t="inlineStr">
        <is>
          <t>Once a year (25%)</t>
        </is>
      </c>
      <c r="AQ366">
        <v>2</v>
      </c>
      <c r="AR366" t="inlineStr">
        <is>
          <t>Free Job Portal</t>
        </is>
      </c>
      <c r="AS366" t="inlineStr">
        <is>
          <t>- Headcount: 1
- Hiring Job Details: 1 Admin Assistant
- Hiring Urgency: Hiring Later
- Number of outlets: 
- Have recruiter team: No, I don't need at all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is>
      </c>
      <c r="AT366">
        <v>100</v>
      </c>
      <c r="AU366" t="inlineStr">
        <is>
          <t>1.00</t>
        </is>
      </c>
      <c r="AV366" t="inlineStr">
        <is>
          <t>15</t>
        </is>
      </c>
      <c r="AW366" t="inlineStr">
        <is>
          <t>0</t>
        </is>
      </c>
      <c r="AX366" t="inlineStr">
        <is>
          <t>Not Qualified</t>
        </is>
      </c>
      <c r="AY366" s="4"/>
      <c r="AZ366"/>
      <c r="BA366"/>
      <c r="BB366"/>
      <c r="BC366"/>
      <c r="BD366" s="4"/>
      <c r="BE366"/>
      <c r="BF366"/>
      <c r="BG366" t="inlineStr">
        <is>
          <t>Reschedule</t>
        </is>
      </c>
      <c r="BH366" t="inlineStr">
        <is>
          <t>Edward Hoo</t>
        </is>
      </c>
      <c r="BI366"/>
      <c r="BJ366" s="4">
        <v>46144.75592592593</v>
      </c>
      <c r="BK366" s="4">
        <v>46139.61914351852</v>
      </c>
      <c r="BL366" t="inlineStr">
        <is>
          <t>0.0</t>
        </is>
      </c>
      <c r="BM366" t="inlineStr">
        <is>
          <t>0.0</t>
        </is>
      </c>
      <c r="BN366"/>
      <c r="BO366" s="4"/>
      <c r="BP366">
        <v>169051</v>
      </c>
      <c r="BQ366"/>
      <c r="BR366"/>
      <c r="BS366"/>
      <c r="BT366"/>
      <c r="BU366"/>
      <c r="BV366"/>
      <c r="BW366"/>
      <c r="BX366"/>
      <c r="BY366"/>
      <c r="BZ366" s="4"/>
      <c r="CA366"/>
      <c r="CB366"/>
      <c r="CC366" s="4"/>
      <c r="CD366" t="inlineStr">
        <is>
          <t>20</t>
        </is>
      </c>
      <c r="CE366" t="inlineStr">
        <is>
          <t>0</t>
        </is>
      </c>
      <c r="CF366" t="inlineStr">
        <is>
          <t>Q2-W04</t>
        </is>
      </c>
      <c r="CG366"/>
      <c r="CH366"/>
      <c r="CI366"/>
      <c r="CJ366" t="inlineStr">
        <is>
          <t>No Paid</t>
        </is>
      </c>
      <c r="CK366" t="inlineStr">
        <is>
          <t>Not Eligible</t>
        </is>
      </c>
      <c r="CL366"/>
      <c r="CM366"/>
    </row>
    <row r="367" ht="25.5" customHeight="1">
      <c r="A367" t="inlineStr">
        <is>
          <t>4328148</t>
        </is>
      </c>
      <c r="B367" s="2"/>
      <c r="C367"/>
      <c r="D367" s="3">
        <v>46139.63259259259</v>
      </c>
      <c r="E367" t="inlineStr">
        <is>
          <t>Q2-W04</t>
        </is>
      </c>
      <c r="F367" t="inlineStr">
        <is>
          <t>Angel  Low</t>
        </is>
      </c>
      <c r="G367" t="inlineStr">
        <is>
          <t>Lead</t>
        </is>
      </c>
      <c r="H367" s="2" t="str">
        <f>=HYPERLINK("https://upbox.ajobthing.my/leads/4328148", "https://upbox.ajobthing.my/leads/4328148")</f>
        <v>https://upbox.ajobthing.my/leads/4328148</v>
      </c>
      <c r="I367" t="inlineStr">
        <is>
          <t>KOPOK SNACK HOUSE</t>
        </is>
      </c>
      <c r="J367" t="inlineStr">
        <is>
          <t>Small Fish</t>
        </is>
      </c>
      <c r="K367" t="inlineStr">
        <is>
          <t>Angel Low</t>
        </is>
      </c>
      <c r="L367" s="4"/>
      <c r="M367" s="4">
        <v>46139.6328125</v>
      </c>
      <c r="N367"/>
      <c r="O367">
        <v>3672</v>
      </c>
      <c r="P367" s="4"/>
      <c r="Q367" s="4"/>
      <c r="R367"/>
      <c r="S367"/>
      <c r="T367" s="4"/>
      <c r="U367" s="4"/>
      <c r="V367"/>
      <c r="W367"/>
      <c r="X367"/>
      <c r="Y367" t="inlineStr">
        <is>
          <t>Pending Appointment</t>
        </is>
      </c>
      <c r="Z367"/>
      <c r="AA367">
        <v>1</v>
      </c>
      <c r="AB367" t="inlineStr">
        <is>
          <t>No Appointment Made</t>
        </is>
      </c>
      <c r="AC367"/>
      <c r="AD367" t="inlineStr">
        <is>
          <t xml:space="preserve">1 marketing intern </t>
        </is>
      </c>
      <c r="AE367"/>
      <c r="AF367"/>
      <c r="AG367" s="4"/>
      <c r="AH367" s="4"/>
      <c r="AI367"/>
      <c r="AJ367"/>
      <c r="AK367"/>
      <c r="AL367"/>
      <c r="AM367"/>
      <c r="AN367"/>
      <c r="AO367"/>
      <c r="AP367"/>
      <c r="AQ367"/>
      <c r="AR367"/>
      <c r="AS367" t="inlineStr">
        <is>
          <t>- Headcount: 1
- Hiring Job Details: 1 marketing intern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367">
        <v>60</v>
      </c>
      <c r="AU367" t="inlineStr">
        <is>
          <t>0.60</t>
        </is>
      </c>
      <c r="AV367" t="inlineStr">
        <is>
          <t>5</t>
        </is>
      </c>
      <c r="AW367" t="inlineStr">
        <is>
          <t>0</t>
        </is>
      </c>
      <c r="AX367" t="inlineStr">
        <is>
          <t>Not Qualified</t>
        </is>
      </c>
      <c r="AY367" s="4"/>
      <c r="AZ367"/>
      <c r="BA367"/>
      <c r="BB367"/>
      <c r="BC367"/>
      <c r="BD367" s="4"/>
      <c r="BE367"/>
      <c r="BF367"/>
      <c r="BG367" t="inlineStr">
        <is>
          <t>Reschedule</t>
        </is>
      </c>
      <c r="BH367" t="inlineStr">
        <is>
          <t>Fauziah Maharan</t>
        </is>
      </c>
      <c r="BI367"/>
      <c r="BJ367" s="4">
        <v>46144.75592592593</v>
      </c>
      <c r="BK367" s="4">
        <v>46139.61966435185</v>
      </c>
      <c r="BL367" t="inlineStr">
        <is>
          <t>0.0</t>
        </is>
      </c>
      <c r="BM367" t="inlineStr">
        <is>
          <t>0.0</t>
        </is>
      </c>
      <c r="BN367"/>
      <c r="BO367" s="4"/>
      <c r="BP367">
        <v>169050</v>
      </c>
      <c r="BQ367"/>
      <c r="BR367"/>
      <c r="BS367"/>
      <c r="BT367"/>
      <c r="BU367"/>
      <c r="BV367"/>
      <c r="BW367"/>
      <c r="BX367"/>
      <c r="BY367"/>
      <c r="BZ367" s="4"/>
      <c r="CA367"/>
      <c r="CB367"/>
      <c r="CC367" s="4"/>
      <c r="CD367" t="inlineStr">
        <is>
          <t>5</t>
        </is>
      </c>
      <c r="CE367" t="inlineStr">
        <is>
          <t>0</t>
        </is>
      </c>
      <c r="CF367" t="inlineStr">
        <is>
          <t>Q2-W04</t>
        </is>
      </c>
      <c r="CG367"/>
      <c r="CH367"/>
      <c r="CI367"/>
      <c r="CJ367" t="inlineStr">
        <is>
          <t>No Paid</t>
        </is>
      </c>
      <c r="CK367" t="inlineStr">
        <is>
          <t>Not Eligible</t>
        </is>
      </c>
      <c r="CL367"/>
      <c r="CM367"/>
    </row>
    <row r="368" ht="25.5" customHeight="1">
      <c r="A368" t="inlineStr">
        <is>
          <t>195951</t>
        </is>
      </c>
      <c r="B368" s="2"/>
      <c r="C368"/>
      <c r="D368" s="3">
        <v>46139.649409722224</v>
      </c>
      <c r="E368" t="inlineStr">
        <is>
          <t>Q2-W04</t>
        </is>
      </c>
      <c r="F368" t="inlineStr">
        <is>
          <t>Jeff Lee</t>
        </is>
      </c>
      <c r="G368" t="inlineStr">
        <is>
          <t>Customer</t>
        </is>
      </c>
      <c r="H368" s="2" t="str">
        <f>=HYPERLINK("https://upbox.ajobthing.my/customer/195951", "https://upbox.ajobthing.my/customer/195951")</f>
        <v>https://upbox.ajobthing.my/customer/195951</v>
      </c>
      <c r="I368" t="inlineStr">
        <is>
          <t>Primary Health Care Sdn Bhd</t>
        </is>
      </c>
      <c r="J368" t="inlineStr">
        <is>
          <t>Small Fish</t>
        </is>
      </c>
      <c r="K368" t="inlineStr">
        <is>
          <t>Jeff Lee</t>
        </is>
      </c>
      <c r="L368" s="4"/>
      <c r="M368" s="4">
        <v>46139.648564814815</v>
      </c>
      <c r="N368"/>
      <c r="O368">
        <v>3672</v>
      </c>
      <c r="P368" s="4"/>
      <c r="Q368" s="4"/>
      <c r="R368"/>
      <c r="S368"/>
      <c r="T368" s="4"/>
      <c r="U368" s="4"/>
      <c r="V368"/>
      <c r="W368"/>
      <c r="X368"/>
      <c r="Y368" t="inlineStr">
        <is>
          <t>Pending Appointment</t>
        </is>
      </c>
      <c r="Z368" t="inlineStr">
        <is>
          <t>Hiring Now</t>
        </is>
      </c>
      <c r="AA368">
        <v>2</v>
      </c>
      <c r="AB368" t="inlineStr">
        <is>
          <t>No Appointment Made</t>
        </is>
      </c>
      <c r="AC368"/>
      <c r="AD368" t="inlineStr">
        <is>
          <t>1 Pharmacy Assistant, 1 Clinic Assistant</t>
        </is>
      </c>
      <c r="AE368"/>
      <c r="AF368">
        <v>0</v>
      </c>
      <c r="AG368" s="4"/>
      <c r="AH368" s="4"/>
      <c r="AI368">
        <v>0</v>
      </c>
      <c r="AJ368">
        <v>0</v>
      </c>
      <c r="AK368" t="inlineStr">
        <is>
          <t>No, I don't need at all</t>
        </is>
      </c>
      <c r="AL368">
        <v>0</v>
      </c>
      <c r="AM368" t="inlineStr">
        <is>
          <t>No, I don't need at all</t>
        </is>
      </c>
      <c r="AN368"/>
      <c r="AO368" t="inlineStr">
        <is>
          <t>No, I don't need at all</t>
        </is>
      </c>
      <c r="AP368" t="inlineStr">
        <is>
          <t>Once a year (25%)</t>
        </is>
      </c>
      <c r="AQ368">
        <v>2</v>
      </c>
      <c r="AR368" t="inlineStr">
        <is>
          <t>Did not use any job portal</t>
        </is>
      </c>
      <c r="AS368" t="inlineStr">
        <is>
          <t>- Headcount: 2
- Hiring Job Details: 1 Pharmacy Assistant, 1 Clinic Assistant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368">
        <v>85</v>
      </c>
      <c r="AU368" t="inlineStr">
        <is>
          <t>0.85</t>
        </is>
      </c>
      <c r="AV368" t="inlineStr">
        <is>
          <t>15</t>
        </is>
      </c>
      <c r="AW368" t="inlineStr">
        <is>
          <t>0</t>
        </is>
      </c>
      <c r="AX368" t="inlineStr">
        <is>
          <t>Not Qualified</t>
        </is>
      </c>
      <c r="AY368" s="4"/>
      <c r="AZ368"/>
      <c r="BA368"/>
      <c r="BB368"/>
      <c r="BC368" t="inlineStr">
        <is>
          <t>na</t>
        </is>
      </c>
      <c r="BD368" s="4">
        <v>46141.4340625</v>
      </c>
      <c r="BE368"/>
      <c r="BF368"/>
      <c r="BG368" t="inlineStr">
        <is>
          <t>Reschedule</t>
        </is>
      </c>
      <c r="BH368" t="inlineStr">
        <is>
          <t>Yee Hang</t>
        </is>
      </c>
      <c r="BI368" t="inlineStr">
        <is>
          <t>Healthcare / Medical</t>
        </is>
      </c>
      <c r="BJ368" s="4">
        <v>46144.75278935185</v>
      </c>
      <c r="BK368" s="4">
        <v>45909.97445601852</v>
      </c>
      <c r="BL368" t="inlineStr">
        <is>
          <t>0.0</t>
        </is>
      </c>
      <c r="BM368" t="inlineStr">
        <is>
          <t>0.0</t>
        </is>
      </c>
      <c r="BN368" t="inlineStr">
        <is>
          <t>View Company Page</t>
        </is>
      </c>
      <c r="BO368" s="4">
        <v>45910.00255787037</v>
      </c>
      <c r="BP368">
        <v>169065</v>
      </c>
      <c r="BQ368"/>
      <c r="BR368"/>
      <c r="BS368"/>
      <c r="BT368"/>
      <c r="BU368"/>
      <c r="BV368">
        <v>2734409</v>
      </c>
      <c r="BW368" t="inlineStr">
        <is>
          <t>No Answer : Voicemail - WA sent to customer</t>
        </is>
      </c>
      <c r="BX368"/>
      <c r="BY368"/>
      <c r="BZ368" s="4"/>
      <c r="CA368"/>
      <c r="CB368"/>
      <c r="CC368" s="4"/>
      <c r="CD368" t="inlineStr">
        <is>
          <t>20</t>
        </is>
      </c>
      <c r="CE368" t="inlineStr">
        <is>
          <t>0</t>
        </is>
      </c>
      <c r="CF368" t="inlineStr">
        <is>
          <t>Q2-W04</t>
        </is>
      </c>
      <c r="CG368"/>
      <c r="CH368"/>
      <c r="CI368"/>
      <c r="CJ368" t="inlineStr">
        <is>
          <t>No Paid</t>
        </is>
      </c>
      <c r="CK368" t="inlineStr">
        <is>
          <t>Not Eligible</t>
        </is>
      </c>
      <c r="CL368"/>
      <c r="CM368"/>
    </row>
    <row r="369" ht="25.5" customHeight="1">
      <c r="A369" t="inlineStr">
        <is>
          <t>203707</t>
        </is>
      </c>
      <c r="B369" s="2"/>
      <c r="C369"/>
      <c r="D369" s="3">
        <v>46139.65420138889</v>
      </c>
      <c r="E369" t="inlineStr">
        <is>
          <t>Q2-W04</t>
        </is>
      </c>
      <c r="F369" t="inlineStr">
        <is>
          <t>Janice Yap</t>
        </is>
      </c>
      <c r="G369" t="inlineStr">
        <is>
          <t>Customer</t>
        </is>
      </c>
      <c r="H369" s="2" t="str">
        <f>=HYPERLINK("https://upbox.ajobthing.my/customer/203707", "https://upbox.ajobthing.my/customer/203707")</f>
        <v>https://upbox.ajobthing.my/customer/203707</v>
      </c>
      <c r="I369" t="inlineStr">
        <is>
          <t>Tpt Aircond</t>
        </is>
      </c>
      <c r="J369" t="inlineStr">
        <is>
          <t>Small Fish</t>
        </is>
      </c>
      <c r="K369" t="inlineStr">
        <is>
          <t>Janice</t>
        </is>
      </c>
      <c r="L369" s="4"/>
      <c r="M369" s="4">
        <v>46139.65195601852</v>
      </c>
      <c r="N369"/>
      <c r="O369">
        <v>3888</v>
      </c>
      <c r="P369" s="4"/>
      <c r="Q369" s="4"/>
      <c r="R369"/>
      <c r="S369"/>
      <c r="T369" s="4"/>
      <c r="U369" s="4"/>
      <c r="V369"/>
      <c r="W369"/>
      <c r="X369"/>
      <c r="Y369" t="inlineStr">
        <is>
          <t>Pending Appointment</t>
        </is>
      </c>
      <c r="Z369" t="inlineStr">
        <is>
          <t>Hiring Now</t>
        </is>
      </c>
      <c r="AA369">
        <v>1</v>
      </c>
      <c r="AB369" t="inlineStr">
        <is>
          <t>No Appointment Made</t>
        </is>
      </c>
      <c r="AC369"/>
      <c r="AD369" t="inlineStr">
        <is>
          <t>1 admin</t>
        </is>
      </c>
      <c r="AE369"/>
      <c r="AF369">
        <v>0</v>
      </c>
      <c r="AG369" s="4"/>
      <c r="AH369" s="4"/>
      <c r="AI369">
        <v>0</v>
      </c>
      <c r="AJ369"/>
      <c r="AK369" t="inlineStr">
        <is>
          <t>No, I don't need at all</t>
        </is>
      </c>
      <c r="AL369">
        <v>0</v>
      </c>
      <c r="AM369" t="inlineStr">
        <is>
          <t>No, I don't need at all</t>
        </is>
      </c>
      <c r="AN369"/>
      <c r="AO369" t="inlineStr">
        <is>
          <t>No, I don't need at all</t>
        </is>
      </c>
      <c r="AP369" t="inlineStr">
        <is>
          <t>Once a year (25%)</t>
        </is>
      </c>
      <c r="AQ369">
        <v>1</v>
      </c>
      <c r="AR369" t="inlineStr">
        <is>
          <t>Did not use any job portal</t>
        </is>
      </c>
      <c r="AS369" t="inlineStr">
        <is>
          <t>- Headcount: 1
- Hiring Job Details: 1 admin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369">
        <v>110</v>
      </c>
      <c r="AU369" t="inlineStr">
        <is>
          <t>1.10</t>
        </is>
      </c>
      <c r="AV369" t="inlineStr">
        <is>
          <t>15</t>
        </is>
      </c>
      <c r="AW369" t="inlineStr">
        <is>
          <t>0</t>
        </is>
      </c>
      <c r="AX369" t="inlineStr">
        <is>
          <t>Not Qualified</t>
        </is>
      </c>
      <c r="AY369" s="4"/>
      <c r="AZ369"/>
      <c r="BA369"/>
      <c r="BB369"/>
      <c r="BC369" t="inlineStr">
        <is>
          <t>PICgot appointment // call back // send WA</t>
        </is>
      </c>
      <c r="BD369" s="4">
        <v>46141.46518518519</v>
      </c>
      <c r="BE369"/>
      <c r="BF369"/>
      <c r="BG369" t="inlineStr">
        <is>
          <t>Reschedule</t>
        </is>
      </c>
      <c r="BH369" t="inlineStr">
        <is>
          <t>Yee Hang</t>
        </is>
      </c>
      <c r="BI369"/>
      <c r="BJ369" s="4">
        <v>46144.75436342593</v>
      </c>
      <c r="BK369" s="4">
        <v>46139.62436342592</v>
      </c>
      <c r="BL369" t="inlineStr">
        <is>
          <t>0.0</t>
        </is>
      </c>
      <c r="BM369" t="inlineStr">
        <is>
          <t>0.0</t>
        </is>
      </c>
      <c r="BN369" t="inlineStr">
        <is>
          <t>View Create Job Page V4</t>
        </is>
      </c>
      <c r="BO369" s="4">
        <v>46139.64462962963</v>
      </c>
      <c r="BP369">
        <v>169069</v>
      </c>
      <c r="BQ369"/>
      <c r="BR369"/>
      <c r="BS369"/>
      <c r="BT369"/>
      <c r="BU369"/>
      <c r="BV369">
        <v>2734625</v>
      </c>
      <c r="BW369" t="inlineStr">
        <is>
          <t>Follow Up : Decision Pending</t>
        </is>
      </c>
      <c r="BX369"/>
      <c r="BY369"/>
      <c r="BZ369" s="4"/>
      <c r="CA369"/>
      <c r="CB369"/>
      <c r="CC369" s="4"/>
      <c r="CD369" t="inlineStr">
        <is>
          <t>20</t>
        </is>
      </c>
      <c r="CE369" t="inlineStr">
        <is>
          <t>0</t>
        </is>
      </c>
      <c r="CF369" t="inlineStr">
        <is>
          <t>Q2-W04</t>
        </is>
      </c>
      <c r="CG369"/>
      <c r="CH369"/>
      <c r="CI369"/>
      <c r="CJ369" t="inlineStr">
        <is>
          <t>No Paid</t>
        </is>
      </c>
      <c r="CK369" t="inlineStr">
        <is>
          <t>Not Eligible</t>
        </is>
      </c>
      <c r="CL369"/>
      <c r="CM369"/>
    </row>
    <row r="370" ht="25.5" customHeight="1">
      <c r="A370" t="inlineStr">
        <is>
          <t>4328320</t>
        </is>
      </c>
      <c r="B370" s="2"/>
      <c r="C370"/>
      <c r="D370" s="3">
        <v>46139.66664351852</v>
      </c>
      <c r="E370" t="inlineStr">
        <is>
          <t>Q2-W04</t>
        </is>
      </c>
      <c r="F370" t="inlineStr">
        <is>
          <t>Luqman</t>
        </is>
      </c>
      <c r="G370" t="inlineStr">
        <is>
          <t>Lead</t>
        </is>
      </c>
      <c r="H370" s="2" t="str">
        <f>=HYPERLINK("https://upbox.ajobthing.my/leads/4328320", "https://upbox.ajobthing.my/leads/4328320")</f>
        <v>https://upbox.ajobthing.my/leads/4328320</v>
      </c>
      <c r="I370" t="inlineStr">
        <is>
          <t>Shieldtech Systems Sdn Bhd</t>
        </is>
      </c>
      <c r="J370" t="inlineStr">
        <is>
          <t>Small Fish</t>
        </is>
      </c>
      <c r="K370" t="inlineStr">
        <is>
          <t>Luqman</t>
        </is>
      </c>
      <c r="L370" s="4"/>
      <c r="M370" s="4">
        <v>46139.666921296295</v>
      </c>
      <c r="N370"/>
      <c r="O370">
        <v>864</v>
      </c>
      <c r="P370" s="4"/>
      <c r="Q370" s="4"/>
      <c r="R370"/>
      <c r="S370"/>
      <c r="T370" s="4"/>
      <c r="U370" s="4"/>
      <c r="V370"/>
      <c r="W370"/>
      <c r="X370"/>
      <c r="Y370" t="inlineStr">
        <is>
          <t>Pending Appointment</t>
        </is>
      </c>
      <c r="Z370" t="inlineStr">
        <is>
          <t>Hiring Later</t>
        </is>
      </c>
      <c r="AA370">
        <v>2</v>
      </c>
      <c r="AB370" t="inlineStr">
        <is>
          <t>No Appointment Made</t>
        </is>
      </c>
      <c r="AC370"/>
      <c r="AD370" t="inlineStr">
        <is>
          <t xml:space="preserve">1. Technical Sales 
2. Sales Admin </t>
        </is>
      </c>
      <c r="AE370"/>
      <c r="AF370">
        <v>800</v>
      </c>
      <c r="AG370" s="4"/>
      <c r="AH370" s="4"/>
      <c r="AI370">
        <v>800</v>
      </c>
      <c r="AJ370"/>
      <c r="AK370" t="inlineStr">
        <is>
          <t>Yes, I have</t>
        </is>
      </c>
      <c r="AL370">
        <v>2</v>
      </c>
      <c r="AM370" t="inlineStr">
        <is>
          <t>No, I don't need at all</t>
        </is>
      </c>
      <c r="AN370"/>
      <c r="AO370" t="inlineStr">
        <is>
          <t>No, but I want in future</t>
        </is>
      </c>
      <c r="AP370" t="inlineStr">
        <is>
          <t>Once a year (25%)</t>
        </is>
      </c>
      <c r="AQ370">
        <v>2</v>
      </c>
      <c r="AR370" t="inlineStr">
        <is>
          <t>Free Job Portal</t>
        </is>
      </c>
      <c r="AS370" t="inlineStr">
        <is>
          <t>- Headcount: 2
- Hiring Job Details: 1. Technical Sales\n2. Sales Admin
- Hiring Urgency: Hiring Later
- Number of outlets: 
- Have recruiter team: Yes
- Number of recruiter in company: 2
- Have ATS system: No, I don't need at all
- Have career website: No, but I want in future
- Current hiring budget: RM800
- Whole year budget: RM800.00
- Whole year number of vacancies: 2
- Hiring frequency: Once a year (25%)
- External job portal: Free Job Portal</t>
        </is>
      </c>
      <c r="AT370">
        <v>105</v>
      </c>
      <c r="AU370" t="inlineStr">
        <is>
          <t>1.05</t>
        </is>
      </c>
      <c r="AV370" t="inlineStr">
        <is>
          <t>15</t>
        </is>
      </c>
      <c r="AW370" t="inlineStr">
        <is>
          <t>0</t>
        </is>
      </c>
      <c r="AX370" t="inlineStr">
        <is>
          <t>Not Qualified</t>
        </is>
      </c>
      <c r="AY370" s="4"/>
      <c r="AZ370"/>
      <c r="BA370"/>
      <c r="BB370"/>
      <c r="BC370"/>
      <c r="BD370" s="4"/>
      <c r="BE370"/>
      <c r="BF370"/>
      <c r="BG370" t="inlineStr">
        <is>
          <t>Reschedule</t>
        </is>
      </c>
      <c r="BH370" t="inlineStr">
        <is>
          <t>Edward Hoo</t>
        </is>
      </c>
      <c r="BI370"/>
      <c r="BJ370" s="4">
        <v>46144.75592592593</v>
      </c>
      <c r="BK370" s="4">
        <v>46139.64980324074</v>
      </c>
      <c r="BL370" t="inlineStr">
        <is>
          <t>0.0</t>
        </is>
      </c>
      <c r="BM370" t="inlineStr">
        <is>
          <t>0.0</t>
        </is>
      </c>
      <c r="BN370"/>
      <c r="BO370" s="4"/>
      <c r="BP370">
        <v>169077</v>
      </c>
      <c r="BQ370"/>
      <c r="BR370"/>
      <c r="BS370"/>
      <c r="BT370"/>
      <c r="BU370"/>
      <c r="BV370"/>
      <c r="BW370"/>
      <c r="BX370"/>
      <c r="BY370"/>
      <c r="BZ370" s="4"/>
      <c r="CA370"/>
      <c r="CB370"/>
      <c r="CC370" s="4"/>
      <c r="CD370" t="inlineStr">
        <is>
          <t>20</t>
        </is>
      </c>
      <c r="CE370" t="inlineStr">
        <is>
          <t>0</t>
        </is>
      </c>
      <c r="CF370" t="inlineStr">
        <is>
          <t>Q2-W04</t>
        </is>
      </c>
      <c r="CG370"/>
      <c r="CH370"/>
      <c r="CI370"/>
      <c r="CJ370" t="inlineStr">
        <is>
          <t>No Paid</t>
        </is>
      </c>
      <c r="CK370" t="inlineStr">
        <is>
          <t>Not Eligible</t>
        </is>
      </c>
      <c r="CL370"/>
      <c r="CM370"/>
    </row>
    <row r="371" ht="25.5" customHeight="1">
      <c r="A371" t="inlineStr">
        <is>
          <t>203711</t>
        </is>
      </c>
      <c r="B371" s="2"/>
      <c r="C371"/>
      <c r="D371" s="3">
        <v>46139.68618055555</v>
      </c>
      <c r="E371" t="inlineStr">
        <is>
          <t>Q2-W04</t>
        </is>
      </c>
      <c r="F371" t="inlineStr">
        <is>
          <t>Carmen</t>
        </is>
      </c>
      <c r="G371" t="inlineStr">
        <is>
          <t>Customer</t>
        </is>
      </c>
      <c r="H371" s="2" t="str">
        <f>=HYPERLINK("https://upbox.ajobthing.my/customer/203711", "https://upbox.ajobthing.my/customer/203711")</f>
        <v>https://upbox.ajobthing.my/customer/203711</v>
      </c>
      <c r="I371" t="inlineStr">
        <is>
          <t>E-tower Sdn Bhd</t>
        </is>
      </c>
      <c r="J371" t="inlineStr">
        <is>
          <t>Small Fish</t>
        </is>
      </c>
      <c r="K371" t="inlineStr">
        <is>
          <t>Carmen</t>
        </is>
      </c>
      <c r="L371" s="4"/>
      <c r="M371" s="4">
        <v>46139.6815162037</v>
      </c>
      <c r="N371"/>
      <c r="O371">
        <v>3888</v>
      </c>
      <c r="P371" s="4"/>
      <c r="Q371" s="4"/>
      <c r="R371"/>
      <c r="S371"/>
      <c r="T371" s="4"/>
      <c r="U371" s="4"/>
      <c r="V371"/>
      <c r="W371"/>
      <c r="X371"/>
      <c r="Y371" t="inlineStr">
        <is>
          <t>Pending Appointment</t>
        </is>
      </c>
      <c r="Z371" t="inlineStr">
        <is>
          <t>Hiring Now</t>
        </is>
      </c>
      <c r="AA371">
        <v>1</v>
      </c>
      <c r="AB371" t="inlineStr">
        <is>
          <t>No Appointment Made</t>
        </is>
      </c>
      <c r="AC371"/>
      <c r="AD371" t="inlineStr">
        <is>
          <t>1 Building Maintenance Officer.</t>
        </is>
      </c>
      <c r="AE371"/>
      <c r="AF371">
        <v>0</v>
      </c>
      <c r="AG371" s="4"/>
      <c r="AH371" s="4"/>
      <c r="AI371"/>
      <c r="AJ371"/>
      <c r="AK371"/>
      <c r="AL371"/>
      <c r="AM371"/>
      <c r="AN371"/>
      <c r="AO371"/>
      <c r="AP371" t="inlineStr">
        <is>
          <t>Twice a year (50%)</t>
        </is>
      </c>
      <c r="AQ371"/>
      <c r="AR371"/>
      <c r="AS371" t="inlineStr">
        <is>
          <t>- Headcount: 1
- Hiring Job Details: 1 Building Maintenance Officer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Twice a year (50%)
- External job portal: Not provided</t>
        </is>
      </c>
      <c r="AT371">
        <v>75</v>
      </c>
      <c r="AU371" t="inlineStr">
        <is>
          <t>0.75</t>
        </is>
      </c>
      <c r="AV371" t="inlineStr">
        <is>
          <t>15</t>
        </is>
      </c>
      <c r="AW371" t="inlineStr">
        <is>
          <t>0</t>
        </is>
      </c>
      <c r="AX371" t="inlineStr">
        <is>
          <t>Not Qualified</t>
        </is>
      </c>
      <c r="AY371" s="4"/>
      <c r="AZ371"/>
      <c r="BA371"/>
      <c r="BB371"/>
      <c r="BC371" t="inlineStr">
        <is>
          <t>she said havent get answer</t>
        </is>
      </c>
      <c r="BD371" s="4">
        <v>46142.45429398148</v>
      </c>
      <c r="BE371"/>
      <c r="BF371"/>
      <c r="BG371" t="inlineStr">
        <is>
          <t>Reschedule</t>
        </is>
      </c>
      <c r="BH371" t="inlineStr">
        <is>
          <t>Reagen</t>
        </is>
      </c>
      <c r="BI371"/>
      <c r="BJ371" s="4">
        <v>46144.75436342593</v>
      </c>
      <c r="BK371" s="4">
        <v>46139.63936342593</v>
      </c>
      <c r="BL371" t="inlineStr">
        <is>
          <t>0.0</t>
        </is>
      </c>
      <c r="BM371" t="inlineStr">
        <is>
          <t>0.0</t>
        </is>
      </c>
      <c r="BN371" t="inlineStr">
        <is>
          <t>View Company Page</t>
        </is>
      </c>
      <c r="BO371" s="4">
        <v>46139.64885416667</v>
      </c>
      <c r="BP371">
        <v>169086</v>
      </c>
      <c r="BQ371"/>
      <c r="BR371"/>
      <c r="BS371"/>
      <c r="BT371"/>
      <c r="BU371"/>
      <c r="BV371">
        <v>2736913</v>
      </c>
      <c r="BW371" t="inlineStr">
        <is>
          <t>Follow Up : Decision Pending</t>
        </is>
      </c>
      <c r="BX371"/>
      <c r="BY371"/>
      <c r="BZ371" s="4"/>
      <c r="CA371"/>
      <c r="CB371"/>
      <c r="CC371" s="4"/>
      <c r="CD371" t="inlineStr">
        <is>
          <t>20</t>
        </is>
      </c>
      <c r="CE371" t="inlineStr">
        <is>
          <t>0</t>
        </is>
      </c>
      <c r="CF371" t="inlineStr">
        <is>
          <t>Q2-W04</t>
        </is>
      </c>
      <c r="CG371"/>
      <c r="CH371"/>
      <c r="CI371"/>
      <c r="CJ371" t="inlineStr">
        <is>
          <t>No Paid</t>
        </is>
      </c>
      <c r="CK371" t="inlineStr">
        <is>
          <t>Not Eligible</t>
        </is>
      </c>
      <c r="CL371"/>
      <c r="CM371"/>
    </row>
    <row r="372" ht="25.5" customHeight="1">
      <c r="A372" t="inlineStr">
        <is>
          <t>203660</t>
        </is>
      </c>
      <c r="B372" s="2"/>
      <c r="C372"/>
      <c r="D372" s="3">
        <v>46139.69087962963</v>
      </c>
      <c r="E372" t="inlineStr">
        <is>
          <t>Q2-W04</t>
        </is>
      </c>
      <c r="F372" t="inlineStr">
        <is>
          <t>Chia Yee</t>
        </is>
      </c>
      <c r="G372" t="inlineStr">
        <is>
          <t>Customer</t>
        </is>
      </c>
      <c r="H372" s="2" t="str">
        <f>=HYPERLINK("https://upbox.ajobthing.my/customer/203660", "https://upbox.ajobthing.my/customer/203660")</f>
        <v>https://upbox.ajobthing.my/customer/203660</v>
      </c>
      <c r="I372" t="inlineStr">
        <is>
          <t>Ncwautogallery</t>
        </is>
      </c>
      <c r="J372" t="inlineStr">
        <is>
          <t>Small Fish</t>
        </is>
      </c>
      <c r="K372" t="inlineStr">
        <is>
          <t>Chia Yee</t>
        </is>
      </c>
      <c r="L372" s="4"/>
      <c r="M372" s="4">
        <v>46139.69130787037</v>
      </c>
      <c r="N372"/>
      <c r="O372">
        <v>3888</v>
      </c>
      <c r="P372" s="4"/>
      <c r="Q372" s="4"/>
      <c r="R372"/>
      <c r="S372"/>
      <c r="T372" s="4"/>
      <c r="U372" s="4"/>
      <c r="V372"/>
      <c r="W372"/>
      <c r="X372"/>
      <c r="Y372" t="inlineStr">
        <is>
          <t>Pending Appointment</t>
        </is>
      </c>
      <c r="Z372" t="inlineStr">
        <is>
          <t>Hiring Now</t>
        </is>
      </c>
      <c r="AA372">
        <v>1</v>
      </c>
      <c r="AB372" t="inlineStr">
        <is>
          <t>No Appointment Made</t>
        </is>
      </c>
      <c r="AC372"/>
      <c r="AD372" t="inlineStr">
        <is>
          <t xml:space="preserve">1  Operations Assistant </t>
        </is>
      </c>
      <c r="AE372"/>
      <c r="AF372">
        <v>0</v>
      </c>
      <c r="AG372" s="4"/>
      <c r="AH372" s="4"/>
      <c r="AI372">
        <v>0</v>
      </c>
      <c r="AJ372">
        <v>1</v>
      </c>
      <c r="AK372" t="inlineStr">
        <is>
          <t>No, I don't need at all</t>
        </is>
      </c>
      <c r="AL372">
        <v>1</v>
      </c>
      <c r="AM372" t="inlineStr">
        <is>
          <t>No, I don't need at all</t>
        </is>
      </c>
      <c r="AN372"/>
      <c r="AO372" t="inlineStr">
        <is>
          <t>No, I don't need at all</t>
        </is>
      </c>
      <c r="AP372" t="inlineStr">
        <is>
          <t>Once a year (25%)</t>
        </is>
      </c>
      <c r="AQ372">
        <v>1</v>
      </c>
      <c r="AR372" t="inlineStr">
        <is>
          <t>Did not use any job portal</t>
        </is>
      </c>
      <c r="AS372" t="inlineStr">
        <is>
          <t>- Headcount: 1
- Hiring Job Details: 1 Operations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372">
        <v>110</v>
      </c>
      <c r="AU372" t="inlineStr">
        <is>
          <t>1.10</t>
        </is>
      </c>
      <c r="AV372" t="inlineStr">
        <is>
          <t>15</t>
        </is>
      </c>
      <c r="AW372" t="inlineStr">
        <is>
          <t>0</t>
        </is>
      </c>
      <c r="AX372" t="inlineStr">
        <is>
          <t>Not Qualified</t>
        </is>
      </c>
      <c r="AY372" s="4"/>
      <c r="AZ372"/>
      <c r="BA372"/>
      <c r="BB372"/>
      <c r="BC372" t="inlineStr">
        <is>
          <t>Replied: ady hire 1 guy ady</t>
        </is>
      </c>
      <c r="BD372" s="4">
        <v>46142.52008101852</v>
      </c>
      <c r="BE372"/>
      <c r="BF372"/>
      <c r="BG372" t="inlineStr">
        <is>
          <t>Reschedule</t>
        </is>
      </c>
      <c r="BH372" t="inlineStr">
        <is>
          <t>Reagen</t>
        </is>
      </c>
      <c r="BI372"/>
      <c r="BJ372" s="4">
        <v>46144.75436342593</v>
      </c>
      <c r="BK372" s="4">
        <v>46137.40300925926</v>
      </c>
      <c r="BL372" t="inlineStr">
        <is>
          <t>0.0</t>
        </is>
      </c>
      <c r="BM372" t="inlineStr">
        <is>
          <t>0.0</t>
        </is>
      </c>
      <c r="BN372" t="inlineStr">
        <is>
          <t>View Company Page</t>
        </is>
      </c>
      <c r="BO372" s="4">
        <v>46137.40310185185</v>
      </c>
      <c r="BP372">
        <v>169092</v>
      </c>
      <c r="BQ372"/>
      <c r="BR372"/>
      <c r="BS372"/>
      <c r="BT372"/>
      <c r="BU372"/>
      <c r="BV372">
        <v>2737398</v>
      </c>
      <c r="BW372" t="inlineStr">
        <is>
          <t>Inquire for Hiring Needs : No Hiring</t>
        </is>
      </c>
      <c r="BX372"/>
      <c r="BY372"/>
      <c r="BZ372" s="4"/>
      <c r="CA372"/>
      <c r="CB372"/>
      <c r="CC372" s="4"/>
      <c r="CD372" t="inlineStr">
        <is>
          <t>20</t>
        </is>
      </c>
      <c r="CE372" t="inlineStr">
        <is>
          <t>0</t>
        </is>
      </c>
      <c r="CF372" t="inlineStr">
        <is>
          <t>Q2-W04</t>
        </is>
      </c>
      <c r="CG372"/>
      <c r="CH372"/>
      <c r="CI372"/>
      <c r="CJ372" t="inlineStr">
        <is>
          <t>No Paid</t>
        </is>
      </c>
      <c r="CK372" t="inlineStr">
        <is>
          <t>Not Eligible</t>
        </is>
      </c>
      <c r="CL372"/>
      <c r="CM372"/>
    </row>
    <row r="373" ht="25.5" customHeight="1">
      <c r="A373" t="inlineStr">
        <is>
          <t>129255</t>
        </is>
      </c>
      <c r="B373" s="2"/>
      <c r="C373"/>
      <c r="D373" s="3">
        <v>46139.69565972222</v>
      </c>
      <c r="E373" t="inlineStr">
        <is>
          <t>Q2-W04</t>
        </is>
      </c>
      <c r="F373" t="inlineStr">
        <is>
          <t>Fariz</t>
        </is>
      </c>
      <c r="G373" t="inlineStr">
        <is>
          <t>Customer</t>
        </is>
      </c>
      <c r="H373" s="2" t="str">
        <f>=HYPERLINK("https://upbox.ajobthing.my/customer/129255", "https://upbox.ajobthing.my/customer/129255")</f>
        <v>https://upbox.ajobthing.my/customer/129255</v>
      </c>
      <c r="I373" t="inlineStr">
        <is>
          <t>Michi Global Sdn Bhd</t>
        </is>
      </c>
      <c r="J373" t="inlineStr">
        <is>
          <t>Small Fish</t>
        </is>
      </c>
      <c r="K373" t="inlineStr">
        <is>
          <t>Fariz</t>
        </is>
      </c>
      <c r="L373" s="4"/>
      <c r="M373" s="4">
        <v>46139.696747685186</v>
      </c>
      <c r="N373"/>
      <c r="O373">
        <v>3888</v>
      </c>
      <c r="P373" s="4"/>
      <c r="Q373" s="4">
        <v>44701.407222222224</v>
      </c>
      <c r="R373"/>
      <c r="S373">
        <v>424</v>
      </c>
      <c r="T373" s="4">
        <v>44701.407222222224</v>
      </c>
      <c r="U373" s="4"/>
      <c r="V373"/>
      <c r="W373">
        <v>424</v>
      </c>
      <c r="X373"/>
      <c r="Y373" t="inlineStr">
        <is>
          <t>Pending Appointment</t>
        </is>
      </c>
      <c r="Z373" t="inlineStr">
        <is>
          <t>Hiring Now</t>
        </is>
      </c>
      <c r="AA373">
        <v>2</v>
      </c>
      <c r="AB373" t="inlineStr">
        <is>
          <t>No Appointment Made</t>
        </is>
      </c>
      <c r="AC373"/>
      <c r="AD373" t="inlineStr">
        <is>
          <t>2 sales</t>
        </is>
      </c>
      <c r="AE373"/>
      <c r="AF373">
        <v>3600</v>
      </c>
      <c r="AG373" s="4"/>
      <c r="AH373" s="4"/>
      <c r="AI373">
        <v>3600</v>
      </c>
      <c r="AJ373"/>
      <c r="AK373" t="inlineStr">
        <is>
          <t>No, I don't need at all</t>
        </is>
      </c>
      <c r="AL373">
        <v>1</v>
      </c>
      <c r="AM373" t="inlineStr">
        <is>
          <t>No, I don't need at all</t>
        </is>
      </c>
      <c r="AN373"/>
      <c r="AO373" t="inlineStr">
        <is>
          <t>No, but I want in future</t>
        </is>
      </c>
      <c r="AP373" t="inlineStr">
        <is>
          <t>Twice a year (50%)</t>
        </is>
      </c>
      <c r="AQ373">
        <v>4</v>
      </c>
      <c r="AR373" t="inlineStr">
        <is>
          <t>Free Job Portal</t>
        </is>
      </c>
      <c r="AS373" t="inlineStr">
        <is>
          <t>- Headcount: 2
- Hiring Job Details: 2 sales
- Hiring Urgency: Hiring Now
- Number of outlets: 
- Have recruiter team: No, I don't need at all
- Number of recruiter in company: 1
- Have ATS system: No, I don't need at all
- Have career website: No, but I want in future
- Current hiring budget: RM3,600
- Whole year budget: RM3,600.00
- Whole year number of vacancies: 4
- Hiring frequency: Twice a year (50%)
- External job portal: Free Job Portal</t>
        </is>
      </c>
      <c r="AT373">
        <v>95</v>
      </c>
      <c r="AU373" t="inlineStr">
        <is>
          <t>0.95</t>
        </is>
      </c>
      <c r="AV373" t="inlineStr">
        <is>
          <t>15</t>
        </is>
      </c>
      <c r="AW373" t="inlineStr">
        <is>
          <t>0</t>
        </is>
      </c>
      <c r="AX373" t="inlineStr">
        <is>
          <t>Not Qualified</t>
        </is>
      </c>
      <c r="AY373" s="4"/>
      <c r="AZ373"/>
      <c r="BA373"/>
      <c r="BB373"/>
      <c r="BC373" t="inlineStr">
        <is>
          <t>- Headcount: 2
- Hiring Job Details: 2 sales
- Hiring Urgency: Hiring Now
- Number of outlets: 
- Have recruiter team: No, I don't need at all
- Number of recruiter in company: 1
- Have ATS system: No, I don't need at all
- Have career website: No, but I want in future
- Current hiring budget: RM3,600
- Whole year budget: RM3,600.00
- Whole year number of vacancies: 4
- Hiring frequency: Twice a year (50%)
- External job portal: Free Job Portal</t>
        </is>
      </c>
      <c r="BD373" s="4">
        <v>46139.70836805556</v>
      </c>
      <c r="BE373" t="inlineStr">
        <is>
          <t>paid</t>
        </is>
      </c>
      <c r="BF373"/>
      <c r="BG373" t="inlineStr">
        <is>
          <t>Reschedule</t>
        </is>
      </c>
      <c r="BH373" t="inlineStr">
        <is>
          <t>Edward Hoo</t>
        </is>
      </c>
      <c r="BI373" t="inlineStr">
        <is>
          <t>Education / Training</t>
        </is>
      </c>
      <c r="BJ373" s="4">
        <v>46144.75042824074</v>
      </c>
      <c r="BK373" s="4">
        <v>44076.55373842592</v>
      </c>
      <c r="BL373" t="inlineStr">
        <is>
          <t>0.0</t>
        </is>
      </c>
      <c r="BM373" t="inlineStr">
        <is>
          <t>0.0</t>
        </is>
      </c>
      <c r="BN373" t="inlineStr">
        <is>
          <t>View Company Page</t>
        </is>
      </c>
      <c r="BO373" s="4">
        <v>45495.50840277778</v>
      </c>
      <c r="BP373">
        <v>169093</v>
      </c>
      <c r="BQ373">
        <v>45121</v>
      </c>
      <c r="BR373" t="inlineStr">
        <is>
          <t>Online</t>
        </is>
      </c>
      <c r="BS373"/>
      <c r="BT373">
        <v>45121</v>
      </c>
      <c r="BU373"/>
      <c r="BV373">
        <v>2731357</v>
      </c>
      <c r="BW373" t="inlineStr">
        <is>
          <t>Customer Inquiry</t>
        </is>
      </c>
      <c r="BX373"/>
      <c r="BY373"/>
      <c r="BZ373" s="4"/>
      <c r="CA373"/>
      <c r="CB373"/>
      <c r="CC373" s="4"/>
      <c r="CD373" t="inlineStr">
        <is>
          <t>20</t>
        </is>
      </c>
      <c r="CE373" t="inlineStr">
        <is>
          <t>0</t>
        </is>
      </c>
      <c r="CF373" t="inlineStr">
        <is>
          <t>Q2-W04</t>
        </is>
      </c>
      <c r="CG373"/>
      <c r="CH373"/>
      <c r="CI373"/>
      <c r="CJ373" t="inlineStr">
        <is>
          <t>Paid</t>
        </is>
      </c>
      <c r="CK373" t="inlineStr">
        <is>
          <t>Not Eligible</t>
        </is>
      </c>
      <c r="CL373"/>
      <c r="CM373"/>
    </row>
    <row r="374" ht="25.5" customHeight="1">
      <c r="A374" t="inlineStr">
        <is>
          <t>203666</t>
        </is>
      </c>
      <c r="B374" s="2"/>
      <c r="C374"/>
      <c r="D374" s="3">
        <v>46139.70354166667</v>
      </c>
      <c r="E374" t="inlineStr">
        <is>
          <t>Q2-W04</t>
        </is>
      </c>
      <c r="F374" t="inlineStr">
        <is>
          <t>Janice Yap</t>
        </is>
      </c>
      <c r="G374" t="inlineStr">
        <is>
          <t>Customer</t>
        </is>
      </c>
      <c r="H374" s="2" t="str">
        <f>=HYPERLINK("https://upbox.ajobthing.my/customer/203666", "https://upbox.ajobthing.my/customer/203666")</f>
        <v>https://upbox.ajobthing.my/customer/203666</v>
      </c>
      <c r="I374" t="inlineStr">
        <is>
          <t xml:space="preserve">Top Cool Air Cond Engineering </t>
        </is>
      </c>
      <c r="J374" t="inlineStr">
        <is>
          <t>Small Fish</t>
        </is>
      </c>
      <c r="K374" t="inlineStr">
        <is>
          <t>Janice</t>
        </is>
      </c>
      <c r="L374" s="4"/>
      <c r="M374" s="4">
        <v>46139.70077546296</v>
      </c>
      <c r="N374"/>
      <c r="O374">
        <v>3888</v>
      </c>
      <c r="P374" s="4"/>
      <c r="Q374" s="4"/>
      <c r="R374"/>
      <c r="S374"/>
      <c r="T374" s="4"/>
      <c r="U374" s="4"/>
      <c r="V374"/>
      <c r="W374"/>
      <c r="X374"/>
      <c r="Y374" t="inlineStr">
        <is>
          <t>Pending Appointment</t>
        </is>
      </c>
      <c r="Z374" t="inlineStr">
        <is>
          <t>Hiring Now</t>
        </is>
      </c>
      <c r="AA374">
        <v>2</v>
      </c>
      <c r="AB374" t="inlineStr">
        <is>
          <t>No Appointment Made</t>
        </is>
      </c>
      <c r="AC374"/>
      <c r="AD374" t="inlineStr">
        <is>
          <t>1 technician // 1 lorry driver</t>
        </is>
      </c>
      <c r="AE374"/>
      <c r="AF374">
        <v>0</v>
      </c>
      <c r="AG374" s="4"/>
      <c r="AH374" s="4"/>
      <c r="AI374">
        <v>0</v>
      </c>
      <c r="AJ374"/>
      <c r="AK374" t="inlineStr">
        <is>
          <t>No, I don't need at all</t>
        </is>
      </c>
      <c r="AL374">
        <v>0</v>
      </c>
      <c r="AM374" t="inlineStr">
        <is>
          <t>No, I don't need at all</t>
        </is>
      </c>
      <c r="AN374"/>
      <c r="AO374" t="inlineStr">
        <is>
          <t>No, I don't need at all</t>
        </is>
      </c>
      <c r="AP374" t="inlineStr">
        <is>
          <t>Once a year (25%)</t>
        </is>
      </c>
      <c r="AQ374">
        <v>2</v>
      </c>
      <c r="AR374" t="inlineStr">
        <is>
          <t>Jobstreet, Free Job Portal, Indeed (Paid)</t>
        </is>
      </c>
      <c r="AS374" t="inlineStr">
        <is>
          <t>- Headcount: 2
- Hiring Job Details: 1 technician // 1 lorry driver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Jobstreet,Free Job Portal,Indeed (Paid)</t>
        </is>
      </c>
      <c r="AT374">
        <v>110</v>
      </c>
      <c r="AU374" t="inlineStr">
        <is>
          <t>1.10</t>
        </is>
      </c>
      <c r="AV374" t="inlineStr">
        <is>
          <t>15</t>
        </is>
      </c>
      <c r="AW374" t="inlineStr">
        <is>
          <t>0</t>
        </is>
      </c>
      <c r="AX374" t="inlineStr">
        <is>
          <t>Not Qualified</t>
        </is>
      </c>
      <c r="AY374" s="4"/>
      <c r="AZ374"/>
      <c r="BA374"/>
      <c r="BB374"/>
      <c r="BC374" t="inlineStr">
        <is>
          <t>No need hire ady // her staff agree to continue working</t>
        </is>
      </c>
      <c r="BD374" s="4">
        <v>46141.46297453704</v>
      </c>
      <c r="BE374"/>
      <c r="BF374"/>
      <c r="BG374" t="inlineStr">
        <is>
          <t>Reschedule</t>
        </is>
      </c>
      <c r="BH374" t="inlineStr">
        <is>
          <t>Yee Hang</t>
        </is>
      </c>
      <c r="BI374"/>
      <c r="BJ374" s="4">
        <v>46144.75436342593</v>
      </c>
      <c r="BK374" s="4">
        <v>46137.539560185185</v>
      </c>
      <c r="BL374" t="inlineStr">
        <is>
          <t>0.0</t>
        </is>
      </c>
      <c r="BM374" t="inlineStr">
        <is>
          <t>0.0</t>
        </is>
      </c>
      <c r="BN374" t="inlineStr">
        <is>
          <t>View Create Job Page V4</t>
        </is>
      </c>
      <c r="BO374" s="4">
        <v>46137.55559027778</v>
      </c>
      <c r="BP374">
        <v>169099</v>
      </c>
      <c r="BQ374"/>
      <c r="BR374"/>
      <c r="BS374"/>
      <c r="BT374"/>
      <c r="BU374"/>
      <c r="BV374">
        <v>2734606</v>
      </c>
      <c r="BW374" t="inlineStr">
        <is>
          <t>Follow Up : Lost - Free Portal</t>
        </is>
      </c>
      <c r="BX374"/>
      <c r="BY374"/>
      <c r="BZ374" s="4"/>
      <c r="CA374"/>
      <c r="CB374"/>
      <c r="CC374" s="4"/>
      <c r="CD374" t="inlineStr">
        <is>
          <t>20</t>
        </is>
      </c>
      <c r="CE374" t="inlineStr">
        <is>
          <t>0</t>
        </is>
      </c>
      <c r="CF374" t="inlineStr">
        <is>
          <t>Q2-W04</t>
        </is>
      </c>
      <c r="CG374"/>
      <c r="CH374"/>
      <c r="CI374"/>
      <c r="CJ374" t="inlineStr">
        <is>
          <t>No Paid</t>
        </is>
      </c>
      <c r="CK374" t="inlineStr">
        <is>
          <t>Not Eligible</t>
        </is>
      </c>
      <c r="CL374"/>
      <c r="CM374"/>
    </row>
    <row r="375" ht="25.5" customHeight="1">
      <c r="A375" t="inlineStr">
        <is>
          <t>203447</t>
        </is>
      </c>
      <c r="B375" s="2"/>
      <c r="C375"/>
      <c r="D375" s="3">
        <v>46139.70479166666</v>
      </c>
      <c r="E375" t="inlineStr">
        <is>
          <t>Q2-W04</t>
        </is>
      </c>
      <c r="F375" t="inlineStr">
        <is>
          <t>Chia Yee</t>
        </is>
      </c>
      <c r="G375" t="inlineStr">
        <is>
          <t>Customer</t>
        </is>
      </c>
      <c r="H375" s="2" t="str">
        <f>=HYPERLINK("https://upbox.ajobthing.my/customer/203447", "https://upbox.ajobthing.my/customer/203447")</f>
        <v>https://upbox.ajobthing.my/customer/203447</v>
      </c>
      <c r="I375" t="inlineStr">
        <is>
          <t>H.a.h Entertainment Pte Ltd</t>
        </is>
      </c>
      <c r="J375" t="inlineStr">
        <is>
          <t>Small Fish</t>
        </is>
      </c>
      <c r="K375" t="inlineStr">
        <is>
          <t>Chia Yee</t>
        </is>
      </c>
      <c r="L375" s="4"/>
      <c r="M375" s="4">
        <v>46139.700208333335</v>
      </c>
      <c r="N375"/>
      <c r="O375">
        <v>1944</v>
      </c>
      <c r="P375" s="4"/>
      <c r="Q375" s="4"/>
      <c r="R375"/>
      <c r="S375"/>
      <c r="T375" s="4"/>
      <c r="U375" s="4"/>
      <c r="V375"/>
      <c r="W375"/>
      <c r="X375"/>
      <c r="Y375" t="inlineStr">
        <is>
          <t>Pending Appointment</t>
        </is>
      </c>
      <c r="Z375" t="inlineStr">
        <is>
          <t>Hiring Now</t>
        </is>
      </c>
      <c r="AA375">
        <v>1</v>
      </c>
      <c r="AB375" t="inlineStr">
        <is>
          <t>No Appointment Made</t>
        </is>
      </c>
      <c r="AC375"/>
      <c r="AD375" t="inlineStr">
        <is>
          <t>1 Digital Marketing Executive</t>
        </is>
      </c>
      <c r="AE375"/>
      <c r="AF375">
        <v>0</v>
      </c>
      <c r="AG375" s="4"/>
      <c r="AH375" s="4"/>
      <c r="AI375">
        <v>0</v>
      </c>
      <c r="AJ375">
        <v>1</v>
      </c>
      <c r="AK375" t="inlineStr">
        <is>
          <t>No, I don't need at all</t>
        </is>
      </c>
      <c r="AL375">
        <v>1</v>
      </c>
      <c r="AM375" t="inlineStr">
        <is>
          <t>No, I don't need at all</t>
        </is>
      </c>
      <c r="AN375"/>
      <c r="AO375" t="inlineStr">
        <is>
          <t>Yes, I have</t>
        </is>
      </c>
      <c r="AP375" t="inlineStr">
        <is>
          <t>Once a year (25%)</t>
        </is>
      </c>
      <c r="AQ375">
        <v>1</v>
      </c>
      <c r="AR375" t="inlineStr">
        <is>
          <t>Did not use any job portal</t>
        </is>
      </c>
      <c r="AS375" t="inlineStr">
        <is>
          <t>- Headcount: 1
- Hiring Job Details: 1 Digital Marketing Executive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is>
      </c>
      <c r="AT375">
        <v>110</v>
      </c>
      <c r="AU375" t="inlineStr">
        <is>
          <t>1.10</t>
        </is>
      </c>
      <c r="AV375" t="inlineStr">
        <is>
          <t>15</t>
        </is>
      </c>
      <c r="AW375" t="inlineStr">
        <is>
          <t>0</t>
        </is>
      </c>
      <c r="AX375" t="inlineStr">
        <is>
          <t>Not Qualified</t>
        </is>
      </c>
      <c r="AY375" s="4"/>
      <c r="AZ375"/>
      <c r="BA375"/>
      <c r="BB375"/>
      <c r="BC375" t="inlineStr">
        <is>
          <t>WA</t>
        </is>
      </c>
      <c r="BD375" s="4">
        <v>46141.40908564815</v>
      </c>
      <c r="BE375"/>
      <c r="BF375"/>
      <c r="BG375" t="inlineStr">
        <is>
          <t>Reschedule</t>
        </is>
      </c>
      <c r="BH375" t="inlineStr">
        <is>
          <t>Reagen</t>
        </is>
      </c>
      <c r="BI375"/>
      <c r="BJ375" s="4">
        <v>46144.75430555556</v>
      </c>
      <c r="BK375" s="4">
        <v>46132.794490740744</v>
      </c>
      <c r="BL375" t="inlineStr">
        <is>
          <t>0.0</t>
        </is>
      </c>
      <c r="BM375" t="inlineStr">
        <is>
          <t>0.0</t>
        </is>
      </c>
      <c r="BN375" t="inlineStr">
        <is>
          <t>View Create Job Page V4</t>
        </is>
      </c>
      <c r="BO375" s="4">
        <v>46132.81009259259</v>
      </c>
      <c r="BP375">
        <v>169098</v>
      </c>
      <c r="BQ375"/>
      <c r="BR375"/>
      <c r="BS375"/>
      <c r="BT375"/>
      <c r="BU375"/>
      <c r="BV375">
        <v>2734214</v>
      </c>
      <c r="BW375" t="inlineStr">
        <is>
          <t>No Answer : Voicemail - WA sent to customer</t>
        </is>
      </c>
      <c r="BX375"/>
      <c r="BY375"/>
      <c r="BZ375" s="4"/>
      <c r="CA375"/>
      <c r="CB375"/>
      <c r="CC375" s="4"/>
      <c r="CD375" t="inlineStr">
        <is>
          <t>20</t>
        </is>
      </c>
      <c r="CE375" t="inlineStr">
        <is>
          <t>0</t>
        </is>
      </c>
      <c r="CF375" t="inlineStr">
        <is>
          <t>Q2-W04</t>
        </is>
      </c>
      <c r="CG375"/>
      <c r="CH375"/>
      <c r="CI375"/>
      <c r="CJ375" t="inlineStr">
        <is>
          <t>No Paid</t>
        </is>
      </c>
      <c r="CK375" t="inlineStr">
        <is>
          <t>Not Eligible</t>
        </is>
      </c>
      <c r="CL375"/>
      <c r="CM375"/>
    </row>
    <row r="376" ht="25.5" customHeight="1">
      <c r="A376" t="inlineStr">
        <is>
          <t>118711</t>
        </is>
      </c>
      <c r="B376" s="2"/>
      <c r="C376"/>
      <c r="D376" s="3">
        <v>46139.708391203705</v>
      </c>
      <c r="E376" t="inlineStr">
        <is>
          <t>Q2-W04</t>
        </is>
      </c>
      <c r="F376" t="inlineStr">
        <is>
          <t>Luqman</t>
        </is>
      </c>
      <c r="G376" t="inlineStr">
        <is>
          <t>Customer</t>
        </is>
      </c>
      <c r="H376" s="2" t="str">
        <f>=HYPERLINK("https://upbox.ajobthing.my/customer/118711", "https://upbox.ajobthing.my/customer/118711")</f>
        <v>https://upbox.ajobthing.my/customer/118711</v>
      </c>
      <c r="I376" t="inlineStr">
        <is>
          <t>Fujikura Kasei Malaysia Sdn. Bhd.</t>
        </is>
      </c>
      <c r="J376" t="inlineStr">
        <is>
          <t>Small Fish</t>
        </is>
      </c>
      <c r="K376" t="inlineStr">
        <is>
          <t>Luqman</t>
        </is>
      </c>
      <c r="L376" s="4"/>
      <c r="M376" s="4">
        <v>46139.70857638889</v>
      </c>
      <c r="N376"/>
      <c r="O376">
        <v>3888</v>
      </c>
      <c r="P376" s="4"/>
      <c r="Q376" s="4">
        <v>43612.51415509259</v>
      </c>
      <c r="R376"/>
      <c r="S376">
        <v>901</v>
      </c>
      <c r="T376" s="4">
        <v>43612.51415509259</v>
      </c>
      <c r="U376" s="4"/>
      <c r="V376"/>
      <c r="W376">
        <v>901</v>
      </c>
      <c r="X376"/>
      <c r="Y376" t="inlineStr">
        <is>
          <t>Pending Appointment</t>
        </is>
      </c>
      <c r="Z376" t="inlineStr">
        <is>
          <t>Hiring Later</t>
        </is>
      </c>
      <c r="AA376">
        <v>1</v>
      </c>
      <c r="AB376" t="inlineStr">
        <is>
          <t>No Appointment Made</t>
        </is>
      </c>
      <c r="AC376"/>
      <c r="AD376" t="inlineStr">
        <is>
          <t xml:space="preserve">1. QA/QC </t>
        </is>
      </c>
      <c r="AE376"/>
      <c r="AF376">
        <v>1200</v>
      </c>
      <c r="AG376" s="4"/>
      <c r="AH376" s="4"/>
      <c r="AI376">
        <v>1200</v>
      </c>
      <c r="AJ376"/>
      <c r="AK376" t="inlineStr">
        <is>
          <t>No, I don't need at all</t>
        </is>
      </c>
      <c r="AL376">
        <v>4</v>
      </c>
      <c r="AM376" t="inlineStr">
        <is>
          <t>No, I don't need at all</t>
        </is>
      </c>
      <c r="AN376"/>
      <c r="AO376" t="inlineStr">
        <is>
          <t>No, I don't need at all</t>
        </is>
      </c>
      <c r="AP376" t="inlineStr">
        <is>
          <t>Once a year (25%)</t>
        </is>
      </c>
      <c r="AQ376">
        <v>2</v>
      </c>
      <c r="AR376" t="inlineStr">
        <is>
          <t>Free Job Portal</t>
        </is>
      </c>
      <c r="AS376" t="inlineStr">
        <is>
          <t>- Headcount: 1
- Hiring Job Details: 1 QA/QC
- Hiring Urgency: Hiring Later
- Number of outlets: Not provided
- Have recruiter team: No, I don't need at all
- Number of recruiter in company: 4
- Have ATS system: No, I don't need at all
- Have career website: No, I don't need at all
- Current hiring budget: RM1,200
- Whole year budget: RM1,200.00
- Whole year number of vacancies: 2
- Hiring frequency: Once a year (25%)
- External job portal: Free Job Portal</t>
        </is>
      </c>
      <c r="AT376">
        <v>105</v>
      </c>
      <c r="AU376" t="inlineStr">
        <is>
          <t>1.05</t>
        </is>
      </c>
      <c r="AV376" t="inlineStr">
        <is>
          <t>15</t>
        </is>
      </c>
      <c r="AW376" t="inlineStr">
        <is>
          <t>0</t>
        </is>
      </c>
      <c r="AX376" t="inlineStr">
        <is>
          <t>Not Qualified</t>
        </is>
      </c>
      <c r="AY376" s="4"/>
      <c r="AZ376"/>
      <c r="BA376"/>
      <c r="BB376"/>
      <c r="BC376" t="inlineStr">
        <is>
          <t>Lost - Free portal</t>
        </is>
      </c>
      <c r="BD376" s="4">
        <v>46141.49753472222</v>
      </c>
      <c r="BE376" t="inlineStr">
        <is>
          <t>paid</t>
        </is>
      </c>
      <c r="BF376"/>
      <c r="BG376" t="inlineStr">
        <is>
          <t>Reschedule</t>
        </is>
      </c>
      <c r="BH376" t="inlineStr">
        <is>
          <t>Edward Hoo</t>
        </is>
      </c>
      <c r="BI376" t="inlineStr">
        <is>
          <t>Manufacturing / Production</t>
        </is>
      </c>
      <c r="BJ376" s="4">
        <v>46144.75019675926</v>
      </c>
      <c r="BK376" s="4">
        <v>43608.62024305556</v>
      </c>
      <c r="BL376" t="inlineStr">
        <is>
          <t>0.0</t>
        </is>
      </c>
      <c r="BM376" t="inlineStr">
        <is>
          <t>600.0</t>
        </is>
      </c>
      <c r="BN376" t="inlineStr">
        <is>
          <t>View Jobmanager Page</t>
        </is>
      </c>
      <c r="BO376" s="4">
        <v>45167.43318287037</v>
      </c>
      <c r="BP376">
        <v>169101</v>
      </c>
      <c r="BQ376">
        <v>18024</v>
      </c>
      <c r="BR376" t="inlineStr">
        <is>
          <t>Online</t>
        </is>
      </c>
      <c r="BS376"/>
      <c r="BT376">
        <v>18024</v>
      </c>
      <c r="BU376"/>
      <c r="BV376">
        <v>2734847</v>
      </c>
      <c r="BW376" t="inlineStr">
        <is>
          <t>Follow Up : Lost - Free Portal</t>
        </is>
      </c>
      <c r="BX376"/>
      <c r="BY376"/>
      <c r="BZ376" s="4"/>
      <c r="CA376"/>
      <c r="CB376"/>
      <c r="CC376" s="4"/>
      <c r="CD376" t="inlineStr">
        <is>
          <t>20</t>
        </is>
      </c>
      <c r="CE376" t="inlineStr">
        <is>
          <t>0</t>
        </is>
      </c>
      <c r="CF376" t="inlineStr">
        <is>
          <t>Q2-W04</t>
        </is>
      </c>
      <c r="CG376"/>
      <c r="CH376"/>
      <c r="CI376"/>
      <c r="CJ376" t="inlineStr">
        <is>
          <t>Paid</t>
        </is>
      </c>
      <c r="CK376" t="inlineStr">
        <is>
          <t>Not Eligible</t>
        </is>
      </c>
      <c r="CL376"/>
      <c r="CM376"/>
    </row>
    <row r="377" ht="25.5" customHeight="1">
      <c r="A377" t="inlineStr">
        <is>
          <t>27815</t>
        </is>
      </c>
      <c r="B377" s="2"/>
      <c r="C377"/>
      <c r="D377" s="3">
        <v>46139.71505787037</v>
      </c>
      <c r="E377" t="inlineStr">
        <is>
          <t>Q2-W04</t>
        </is>
      </c>
      <c r="F377" t="inlineStr">
        <is>
          <t>Janice Yap</t>
        </is>
      </c>
      <c r="G377" t="inlineStr">
        <is>
          <t>Customer</t>
        </is>
      </c>
      <c r="H377" s="2" t="str">
        <f>=HYPERLINK("https://upbox.ajobthing.my/customer/27815", "https://upbox.ajobthing.my/customer/27815")</f>
        <v>https://upbox.ajobthing.my/customer/27815</v>
      </c>
      <c r="I377" t="inlineStr">
        <is>
          <t xml:space="preserve">KC Aluminium Steel Sdn. Bhd. </t>
        </is>
      </c>
      <c r="J377" t="inlineStr">
        <is>
          <t>Small Fish</t>
        </is>
      </c>
      <c r="K377" t="inlineStr">
        <is>
          <t>Janice</t>
        </is>
      </c>
      <c r="L377" s="4"/>
      <c r="M377" s="4">
        <v>46139.71357638889</v>
      </c>
      <c r="N377"/>
      <c r="O377">
        <v>3888</v>
      </c>
      <c r="P377" s="4"/>
      <c r="Q377" s="4">
        <v>46137.837847222225</v>
      </c>
      <c r="R377"/>
      <c r="S377">
        <v>0</v>
      </c>
      <c r="T377" s="4">
        <v>45613.786307870374</v>
      </c>
      <c r="U377" s="4"/>
      <c r="V377"/>
      <c r="W377">
        <v>216</v>
      </c>
      <c r="X377"/>
      <c r="Y377" t="inlineStr">
        <is>
          <t>Pending Appointment</t>
        </is>
      </c>
      <c r="Z377" t="inlineStr">
        <is>
          <t>Hiring Now</t>
        </is>
      </c>
      <c r="AA377">
        <v>2</v>
      </c>
      <c r="AB377" t="inlineStr">
        <is>
          <t>No Appointment Made</t>
        </is>
      </c>
      <c r="AC377"/>
      <c r="AD377" t="inlineStr">
        <is>
          <t>2 sales person</t>
        </is>
      </c>
      <c r="AE377"/>
      <c r="AF377">
        <v>0</v>
      </c>
      <c r="AG377" s="4"/>
      <c r="AH377" s="4"/>
      <c r="AI377">
        <v>0</v>
      </c>
      <c r="AJ377"/>
      <c r="AK377" t="inlineStr">
        <is>
          <t>No, I don't need at all</t>
        </is>
      </c>
      <c r="AL377">
        <v>0</v>
      </c>
      <c r="AM377" t="inlineStr">
        <is>
          <t>No, I don't need at all</t>
        </is>
      </c>
      <c r="AN377"/>
      <c r="AO377" t="inlineStr">
        <is>
          <t>No, I don't need at all</t>
        </is>
      </c>
      <c r="AP377" t="inlineStr">
        <is>
          <t>Once a year (25%)</t>
        </is>
      </c>
      <c r="AQ377">
        <v>2</v>
      </c>
      <c r="AR377" t="inlineStr">
        <is>
          <t>Free Job Portal</t>
        </is>
      </c>
      <c r="AS377" t="inlineStr">
        <is>
          <t>- Headcount: 2
- Hiring Job Details: 2 sales person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AT377">
        <v>105</v>
      </c>
      <c r="AU377" t="inlineStr">
        <is>
          <t>1.05</t>
        </is>
      </c>
      <c r="AV377" t="inlineStr">
        <is>
          <t>15</t>
        </is>
      </c>
      <c r="AW377" t="inlineStr">
        <is>
          <t>0</t>
        </is>
      </c>
      <c r="AX377" t="inlineStr">
        <is>
          <t>Not Qualified</t>
        </is>
      </c>
      <c r="AY377" s="4"/>
      <c r="AZ377"/>
      <c r="BA377"/>
      <c r="BB377"/>
      <c r="BC377" t="inlineStr">
        <is>
          <t>No need to post job now // on hold sin // if needed will contact us</t>
        </is>
      </c>
      <c r="BD377" s="4">
        <v>46141.45716435185</v>
      </c>
      <c r="BE377" t="inlineStr">
        <is>
          <t>paid</t>
        </is>
      </c>
      <c r="BF377"/>
      <c r="BG377" t="inlineStr">
        <is>
          <t>Reschedule</t>
        </is>
      </c>
      <c r="BH377" t="inlineStr">
        <is>
          <t>Yee Hang</t>
        </is>
      </c>
      <c r="BI377" t="inlineStr">
        <is>
          <t>General / Wholesale Trading</t>
        </is>
      </c>
      <c r="BJ377" s="4">
        <v>46144.75451388889</v>
      </c>
      <c r="BK377" s="4">
        <v>42608.90118055556</v>
      </c>
      <c r="BL377" t="inlineStr">
        <is>
          <t>0.0</t>
        </is>
      </c>
      <c r="BM377" t="inlineStr">
        <is>
          <t>0.0</t>
        </is>
      </c>
      <c r="BN377" t="inlineStr">
        <is>
          <t>View Company Page</t>
        </is>
      </c>
      <c r="BO377" s="4">
        <v>46140.61760416667</v>
      </c>
      <c r="BP377">
        <v>169102</v>
      </c>
      <c r="BQ377">
        <v>123720</v>
      </c>
      <c r="BR377" t="inlineStr">
        <is>
          <t>Proforma</t>
        </is>
      </c>
      <c r="BS377" t="inlineStr">
        <is>
          <t>Free Part-Time Job</t>
        </is>
      </c>
      <c r="BT377">
        <v>74691</v>
      </c>
      <c r="BU377"/>
      <c r="BV377">
        <v>2734557</v>
      </c>
      <c r="BW377" t="inlineStr">
        <is>
          <t>Follow Up : Lost - Free Portal</t>
        </is>
      </c>
      <c r="BX377"/>
      <c r="BY377"/>
      <c r="BZ377" s="4"/>
      <c r="CA377"/>
      <c r="CB377"/>
      <c r="CC377" s="4"/>
      <c r="CD377" t="inlineStr">
        <is>
          <t>20</t>
        </is>
      </c>
      <c r="CE377" t="inlineStr">
        <is>
          <t>0</t>
        </is>
      </c>
      <c r="CF377" t="inlineStr">
        <is>
          <t>Q2-W04</t>
        </is>
      </c>
      <c r="CG377" t="inlineStr">
        <is>
          <t>Q2-W04</t>
        </is>
      </c>
      <c r="CH377"/>
      <c r="CI377"/>
      <c r="CJ377" t="inlineStr">
        <is>
          <t>Paid</t>
        </is>
      </c>
      <c r="CK377" t="inlineStr">
        <is>
          <t>Not Eligible</t>
        </is>
      </c>
      <c r="CL377"/>
      <c r="CM377"/>
    </row>
    <row r="378" ht="25.5" customHeight="1">
      <c r="A378" t="inlineStr">
        <is>
          <t>4328221</t>
        </is>
      </c>
      <c r="B378" s="2"/>
      <c r="C378"/>
      <c r="D378" s="3">
        <v>46139.72122685185</v>
      </c>
      <c r="E378" t="inlineStr">
        <is>
          <t>Q2-W04</t>
        </is>
      </c>
      <c r="F378" t="inlineStr">
        <is>
          <t>Dickson</t>
        </is>
      </c>
      <c r="G378" t="inlineStr">
        <is>
          <t>Lead</t>
        </is>
      </c>
      <c r="H378" s="2" t="str">
        <f>=HYPERLINK("https://upbox.ajobthing.my/leads/4328221", "https://upbox.ajobthing.my/leads/4328221")</f>
        <v>https://upbox.ajobthing.my/leads/4328221</v>
      </c>
      <c r="I378" t="inlineStr">
        <is>
          <t>Movexhealth</t>
        </is>
      </c>
      <c r="J378" t="inlineStr">
        <is>
          <t>Small Fish</t>
        </is>
      </c>
      <c r="K378" t="inlineStr">
        <is>
          <t>Dickson</t>
        </is>
      </c>
      <c r="L378" s="4"/>
      <c r="M378" s="4">
        <v>46139.72153935185</v>
      </c>
      <c r="N378"/>
      <c r="O378">
        <v>1296</v>
      </c>
      <c r="P378" s="4"/>
      <c r="Q378" s="4"/>
      <c r="R378"/>
      <c r="S378"/>
      <c r="T378" s="4"/>
      <c r="U378" s="4"/>
      <c r="V378"/>
      <c r="W378"/>
      <c r="X378"/>
      <c r="Y378" t="inlineStr">
        <is>
          <t>Pending Appointment</t>
        </is>
      </c>
      <c r="Z378" t="inlineStr">
        <is>
          <t>Hiring Now</t>
        </is>
      </c>
      <c r="AA378">
        <v>2</v>
      </c>
      <c r="AB378" t="inlineStr">
        <is>
          <t>No Appointment Made</t>
        </is>
      </c>
      <c r="AC378"/>
      <c r="AD378" t="inlineStr">
        <is>
          <t>1 personal trainer, 1 free lance trainer</t>
        </is>
      </c>
      <c r="AE378"/>
      <c r="AF378"/>
      <c r="AG378" s="4"/>
      <c r="AH378" s="4"/>
      <c r="AI378"/>
      <c r="AJ378">
        <v>1</v>
      </c>
      <c r="AK378" t="inlineStr">
        <is>
          <t>No, I don't need at all</t>
        </is>
      </c>
      <c r="AL378"/>
      <c r="AM378" t="inlineStr">
        <is>
          <t>No, I don't need at all</t>
        </is>
      </c>
      <c r="AN378"/>
      <c r="AO378" t="inlineStr">
        <is>
          <t>No, I don't need at all</t>
        </is>
      </c>
      <c r="AP378" t="inlineStr">
        <is>
          <t>Once per quarter (75%)</t>
        </is>
      </c>
      <c r="AQ378"/>
      <c r="AR378"/>
      <c r="AS378" t="inlineStr">
        <is>
          <t>- Headcount: 2
- Hiring Job Details: 1 personal trainer, 1 free lance trainer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is>
      </c>
      <c r="AT378">
        <v>95</v>
      </c>
      <c r="AU378" t="inlineStr">
        <is>
          <t>0.95</t>
        </is>
      </c>
      <c r="AV378" t="inlineStr">
        <is>
          <t>5</t>
        </is>
      </c>
      <c r="AW378" t="inlineStr">
        <is>
          <t>0</t>
        </is>
      </c>
      <c r="AX378" t="inlineStr">
        <is>
          <t>Not Qualified</t>
        </is>
      </c>
      <c r="AY378" s="4"/>
      <c r="AZ378"/>
      <c r="BA378"/>
      <c r="BB378"/>
      <c r="BC378"/>
      <c r="BD378" s="4"/>
      <c r="BE378"/>
      <c r="BF378"/>
      <c r="BG378" t="inlineStr">
        <is>
          <t>Reschedule</t>
        </is>
      </c>
      <c r="BH378" t="inlineStr">
        <is>
          <t>Edward Hoo</t>
        </is>
      </c>
      <c r="BI378"/>
      <c r="BJ378" s="4">
        <v>46144.75592592593</v>
      </c>
      <c r="BK378" s="4">
        <v>46139.63422453704</v>
      </c>
      <c r="BL378" t="inlineStr">
        <is>
          <t>0.0</t>
        </is>
      </c>
      <c r="BM378" t="inlineStr">
        <is>
          <t>0.0</t>
        </is>
      </c>
      <c r="BN378"/>
      <c r="BO378" s="4"/>
      <c r="BP378">
        <v>169105</v>
      </c>
      <c r="BQ378"/>
      <c r="BR378"/>
      <c r="BS378"/>
      <c r="BT378"/>
      <c r="BU378"/>
      <c r="BV378"/>
      <c r="BW378"/>
      <c r="BX378"/>
      <c r="BY378"/>
      <c r="BZ378" s="4"/>
      <c r="CA378"/>
      <c r="CB378"/>
      <c r="CC378" s="4"/>
      <c r="CD378" t="inlineStr">
        <is>
          <t>5</t>
        </is>
      </c>
      <c r="CE378" t="inlineStr">
        <is>
          <t>0</t>
        </is>
      </c>
      <c r="CF378" t="inlineStr">
        <is>
          <t>Q2-W04</t>
        </is>
      </c>
      <c r="CG378"/>
      <c r="CH378"/>
      <c r="CI378"/>
      <c r="CJ378" t="inlineStr">
        <is>
          <t>No Paid</t>
        </is>
      </c>
      <c r="CK378" t="inlineStr">
        <is>
          <t>Not Eligible</t>
        </is>
      </c>
      <c r="CL378"/>
      <c r="CM378"/>
    </row>
    <row r="379" ht="25.5" customHeight="1">
      <c r="A379" t="inlineStr">
        <is>
          <t>4328663</t>
        </is>
      </c>
      <c r="B379" s="2"/>
      <c r="C379"/>
      <c r="D379" s="3">
        <v>46139.72773148148</v>
      </c>
      <c r="E379" t="inlineStr">
        <is>
          <t>Q2-W04</t>
        </is>
      </c>
      <c r="F379" t="inlineStr">
        <is>
          <t>Evan</t>
        </is>
      </c>
      <c r="G379" t="inlineStr">
        <is>
          <t>Lead</t>
        </is>
      </c>
      <c r="H379" s="2" t="str">
        <f>=HYPERLINK("https://upbox.ajobthing.my/leads/4328663", "https://upbox.ajobthing.my/leads/4328663")</f>
        <v>https://upbox.ajobthing.my/leads/4328663</v>
      </c>
      <c r="I379" t="inlineStr">
        <is>
          <t>China Railway 11th Bureau Group Malaysia Sdn. Bhd.</t>
        </is>
      </c>
      <c r="J379" t="inlineStr">
        <is>
          <t>Small Fish</t>
        </is>
      </c>
      <c r="K379" t="inlineStr">
        <is>
          <t>Evan</t>
        </is>
      </c>
      <c r="L379" s="4"/>
      <c r="M379" s="4">
        <v>46139.72678240741</v>
      </c>
      <c r="N379"/>
      <c r="O379">
        <v>3888</v>
      </c>
      <c r="P379" s="4"/>
      <c r="Q379" s="4"/>
      <c r="R379"/>
      <c r="S379"/>
      <c r="T379" s="4"/>
      <c r="U379" s="4"/>
      <c r="V379"/>
      <c r="W379"/>
      <c r="X379"/>
      <c r="Y379" t="inlineStr">
        <is>
          <t>Pending Appointment</t>
        </is>
      </c>
      <c r="Z379" t="inlineStr">
        <is>
          <t>Hiring Now</t>
        </is>
      </c>
      <c r="AA379">
        <v>1</v>
      </c>
      <c r="AB379" t="inlineStr">
        <is>
          <t>No Appointment Made</t>
        </is>
      </c>
      <c r="AC379"/>
      <c r="AD379" t="inlineStr">
        <is>
          <t>1 supervisor, all base in terrenganu</t>
        </is>
      </c>
      <c r="AE379"/>
      <c r="AF379">
        <v>1</v>
      </c>
      <c r="AG379" s="4"/>
      <c r="AH379" s="4"/>
      <c r="AI379">
        <v>1</v>
      </c>
      <c r="AJ379">
        <v>1</v>
      </c>
      <c r="AK379" t="inlineStr">
        <is>
          <t>No, I don't need at all</t>
        </is>
      </c>
      <c r="AL379">
        <v>0</v>
      </c>
      <c r="AM379" t="inlineStr">
        <is>
          <t>No, I don't need at all</t>
        </is>
      </c>
      <c r="AN379"/>
      <c r="AO379" t="inlineStr">
        <is>
          <t>No, I don't need at all</t>
        </is>
      </c>
      <c r="AP379" t="inlineStr">
        <is>
          <t>Once a year (25%)</t>
        </is>
      </c>
      <c r="AQ379">
        <v>1</v>
      </c>
      <c r="AR379" t="inlineStr">
        <is>
          <t>Did not use any job portal</t>
        </is>
      </c>
      <c r="AS379" t="inlineStr">
        <is>
          <t>- Headcount: 1
- Hiring Job Details: 1 supervisor, all base in terrenganu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379">
        <v>115</v>
      </c>
      <c r="AU379" t="inlineStr">
        <is>
          <t>1.15</t>
        </is>
      </c>
      <c r="AV379" t="inlineStr">
        <is>
          <t>15</t>
        </is>
      </c>
      <c r="AW379" t="inlineStr">
        <is>
          <t>0</t>
        </is>
      </c>
      <c r="AX379" t="inlineStr">
        <is>
          <t>Not Qualified</t>
        </is>
      </c>
      <c r="AY379" s="4"/>
      <c r="AZ379"/>
      <c r="BA379"/>
      <c r="BB379"/>
      <c r="BC379"/>
      <c r="BD379" s="4"/>
      <c r="BE379"/>
      <c r="BF379"/>
      <c r="BG379" t="inlineStr">
        <is>
          <t>Reschedule</t>
        </is>
      </c>
      <c r="BH379" t="inlineStr">
        <is>
          <t>Edward Hoo</t>
        </is>
      </c>
      <c r="BI379"/>
      <c r="BJ379" s="4">
        <v>46144.75592592593</v>
      </c>
      <c r="BK379" s="4">
        <v>46139.71450231481</v>
      </c>
      <c r="BL379" t="inlineStr">
        <is>
          <t>0.0</t>
        </is>
      </c>
      <c r="BM379" t="inlineStr">
        <is>
          <t>0.0</t>
        </is>
      </c>
      <c r="BN379"/>
      <c r="BO379" s="4"/>
      <c r="BP379">
        <v>169108</v>
      </c>
      <c r="BQ379"/>
      <c r="BR379"/>
      <c r="BS379"/>
      <c r="BT379"/>
      <c r="BU379"/>
      <c r="BV379"/>
      <c r="BW379"/>
      <c r="BX379"/>
      <c r="BY379"/>
      <c r="BZ379" s="4"/>
      <c r="CA379"/>
      <c r="CB379"/>
      <c r="CC379" s="4"/>
      <c r="CD379" t="inlineStr">
        <is>
          <t>20</t>
        </is>
      </c>
      <c r="CE379" t="inlineStr">
        <is>
          <t>0</t>
        </is>
      </c>
      <c r="CF379" t="inlineStr">
        <is>
          <t>Q2-W04</t>
        </is>
      </c>
      <c r="CG379"/>
      <c r="CH379"/>
      <c r="CI379"/>
      <c r="CJ379" t="inlineStr">
        <is>
          <t>No Paid</t>
        </is>
      </c>
      <c r="CK379" t="inlineStr">
        <is>
          <t>Not Eligible</t>
        </is>
      </c>
      <c r="CL379"/>
      <c r="CM379"/>
    </row>
    <row r="380" ht="25.5" customHeight="1">
      <c r="A380" t="inlineStr">
        <is>
          <t>153466</t>
        </is>
      </c>
      <c r="B380" s="2"/>
      <c r="C380"/>
      <c r="D380" s="3">
        <v>46139.73681712963</v>
      </c>
      <c r="E380" t="inlineStr">
        <is>
          <t>Q2-W04</t>
        </is>
      </c>
      <c r="F380" t="inlineStr">
        <is>
          <t>Xin Hui</t>
        </is>
      </c>
      <c r="G380" t="inlineStr">
        <is>
          <t>Customer</t>
        </is>
      </c>
      <c r="H380" s="2" t="str">
        <f>=HYPERLINK("https://upbox.ajobthing.my/customer/153466", "https://upbox.ajobthing.my/customer/153466")</f>
        <v>https://upbox.ajobthing.my/customer/153466</v>
      </c>
      <c r="I380" t="inlineStr">
        <is>
          <t>888Co</t>
        </is>
      </c>
      <c r="J380" t="inlineStr">
        <is>
          <t>Small Fish</t>
        </is>
      </c>
      <c r="K380" t="inlineStr">
        <is>
          <t>Xin Hui</t>
        </is>
      </c>
      <c r="L380" s="4"/>
      <c r="M380" s="4">
        <v>46139.73396990741</v>
      </c>
      <c r="N380"/>
      <c r="O380">
        <v>3888</v>
      </c>
      <c r="P380" s="4"/>
      <c r="Q380" s="4"/>
      <c r="R380"/>
      <c r="S380"/>
      <c r="T380" s="4"/>
      <c r="U380" s="4"/>
      <c r="V380"/>
      <c r="W380"/>
      <c r="X380"/>
      <c r="Y380" t="inlineStr">
        <is>
          <t>Pending Appointment</t>
        </is>
      </c>
      <c r="Z380" t="inlineStr">
        <is>
          <t>Hiring Now</t>
        </is>
      </c>
      <c r="AA380">
        <v>1</v>
      </c>
      <c r="AB380" t="inlineStr">
        <is>
          <t>No Appointment Made</t>
        </is>
      </c>
      <c r="AC380"/>
      <c r="AD380" t="inlineStr">
        <is>
          <t>designer intern</t>
        </is>
      </c>
      <c r="AE380"/>
      <c r="AF380"/>
      <c r="AG380" s="4"/>
      <c r="AH380" s="4"/>
      <c r="AI380"/>
      <c r="AJ380"/>
      <c r="AK380" t="inlineStr">
        <is>
          <t>No, I don't need at all</t>
        </is>
      </c>
      <c r="AL380"/>
      <c r="AM380"/>
      <c r="AN380"/>
      <c r="AO380" t="inlineStr">
        <is>
          <t>No, I don't need at all</t>
        </is>
      </c>
      <c r="AP380" t="inlineStr">
        <is>
          <t>Once a year (25%)</t>
        </is>
      </c>
      <c r="AQ380"/>
      <c r="AR380" t="inlineStr">
        <is>
          <t>Free Job Portal</t>
        </is>
      </c>
      <c r="AS380" t="inlineStr">
        <is>
          <t>- Headcount: 1
- Hiring Job Details: designer intern
- Hiring Urgency: Hiring Now
- Number of outlets: Not provided
- Have recruiter team: No, I don't need at all
- Number of recruiter in company: Not provided
- Have ATS system: Not provided
- Have career website: No, I don't need at all
- Current hiring budget: Not provided
- Whole year budget: Not provided
- Whole year number of vacancies: Not provided
- Hiring frequency: Once a year (25%)
- External job portal: Free Job Portal</t>
        </is>
      </c>
      <c r="AT380">
        <v>75</v>
      </c>
      <c r="AU380" t="inlineStr">
        <is>
          <t>0.75</t>
        </is>
      </c>
      <c r="AV380" t="inlineStr">
        <is>
          <t>5</t>
        </is>
      </c>
      <c r="AW380" t="inlineStr">
        <is>
          <t>0</t>
        </is>
      </c>
      <c r="AX380" t="inlineStr">
        <is>
          <t>Not Qualified</t>
        </is>
      </c>
      <c r="AY380" s="4"/>
      <c r="AZ380"/>
      <c r="BA380"/>
      <c r="BB380"/>
      <c r="BC380" t="inlineStr">
        <is>
          <t>- Headcount: 1
- Hiring Job Details: designer intern
- Hiring Urgency: Hiring Now
- Number of outlets: Not provided
- Have recruiter team: No, I don't need at all
- Number of recruiter in company: Not provided
- Have ATS system: Not provided
- Have career website: No, I don't need at all
- Current hiring budget: Not provided
- Whole year budget: Not provided
- Whole year number of vacancies: Not provided
- Hiring frequency: Once a year (25%)
- External job portal: Free Job Portal</t>
        </is>
      </c>
      <c r="BD380" s="4">
        <v>46139.75015046296</v>
      </c>
      <c r="BE380"/>
      <c r="BF380"/>
      <c r="BG380" t="inlineStr">
        <is>
          <t>Reschedule</t>
        </is>
      </c>
      <c r="BH380" t="inlineStr">
        <is>
          <t>Yee Hang</t>
        </is>
      </c>
      <c r="BI380" t="inlineStr">
        <is>
          <t>Textiles / Garment</t>
        </is>
      </c>
      <c r="BJ380" s="4">
        <v>46144.7509375</v>
      </c>
      <c r="BK380" s="4">
        <v>44687.007881944446</v>
      </c>
      <c r="BL380" t="inlineStr">
        <is>
          <t>0.0</t>
        </is>
      </c>
      <c r="BM380" t="inlineStr">
        <is>
          <t>0.0</t>
        </is>
      </c>
      <c r="BN380" t="inlineStr">
        <is>
          <t>View Create Job Page</t>
        </is>
      </c>
      <c r="BO380" s="4">
        <v>45803.6641087963</v>
      </c>
      <c r="BP380">
        <v>169109</v>
      </c>
      <c r="BQ380"/>
      <c r="BR380"/>
      <c r="BS380"/>
      <c r="BT380"/>
      <c r="BU380"/>
      <c r="BV380">
        <v>2731569</v>
      </c>
      <c r="BW380" t="inlineStr">
        <is>
          <t>Customer Inquiry</t>
        </is>
      </c>
      <c r="BX380"/>
      <c r="BY380"/>
      <c r="BZ380" s="4"/>
      <c r="CA380"/>
      <c r="CB380"/>
      <c r="CC380" s="4"/>
      <c r="CD380" t="inlineStr">
        <is>
          <t>5</t>
        </is>
      </c>
      <c r="CE380" t="inlineStr">
        <is>
          <t>0</t>
        </is>
      </c>
      <c r="CF380" t="inlineStr">
        <is>
          <t>Q2-W04</t>
        </is>
      </c>
      <c r="CG380"/>
      <c r="CH380"/>
      <c r="CI380"/>
      <c r="CJ380" t="inlineStr">
        <is>
          <t>No Paid</t>
        </is>
      </c>
      <c r="CK380" t="inlineStr">
        <is>
          <t>Not Eligible</t>
        </is>
      </c>
      <c r="CL380"/>
      <c r="CM380"/>
    </row>
    <row r="381" ht="25.5" customHeight="1">
      <c r="A381" t="inlineStr">
        <is>
          <t>136594</t>
        </is>
      </c>
      <c r="B381" s="2"/>
      <c r="C381"/>
      <c r="D381" s="3">
        <v>46139.746828703705</v>
      </c>
      <c r="E381" t="inlineStr">
        <is>
          <t>Q2-W04</t>
        </is>
      </c>
      <c r="F381" t="inlineStr">
        <is>
          <t>Fariz</t>
        </is>
      </c>
      <c r="G381" t="inlineStr">
        <is>
          <t>Customer</t>
        </is>
      </c>
      <c r="H381" s="2" t="str">
        <f>=HYPERLINK("https://upbox.ajobthing.my/customer/136594", "https://upbox.ajobthing.my/customer/136594")</f>
        <v>https://upbox.ajobthing.my/customer/136594</v>
      </c>
      <c r="I381" t="inlineStr">
        <is>
          <t>Deconstbuilt Sdn Bhd</t>
        </is>
      </c>
      <c r="J381" t="inlineStr">
        <is>
          <t>Small Fish</t>
        </is>
      </c>
      <c r="K381" t="inlineStr">
        <is>
          <t>Fariz</t>
        </is>
      </c>
      <c r="L381" s="4"/>
      <c r="M381" s="4">
        <v>46139.74799768518</v>
      </c>
      <c r="N381"/>
      <c r="O381">
        <v>3888</v>
      </c>
      <c r="P381" s="4"/>
      <c r="Q381" s="4">
        <v>45365.00001157408</v>
      </c>
      <c r="R381"/>
      <c r="S381">
        <v>972</v>
      </c>
      <c r="T381" s="4">
        <v>45365.00001157408</v>
      </c>
      <c r="U381" s="4"/>
      <c r="V381"/>
      <c r="W381">
        <v>972</v>
      </c>
      <c r="X381"/>
      <c r="Y381" t="inlineStr">
        <is>
          <t>Pending Appointment</t>
        </is>
      </c>
      <c r="Z381" t="inlineStr">
        <is>
          <t>Hiring Later</t>
        </is>
      </c>
      <c r="AA381">
        <v>1</v>
      </c>
      <c r="AB381" t="inlineStr">
        <is>
          <t>No Appointment Made</t>
        </is>
      </c>
      <c r="AC381"/>
      <c r="AD381" t="inlineStr">
        <is>
          <t>1 Admin</t>
        </is>
      </c>
      <c r="AE381"/>
      <c r="AF381">
        <v>3600</v>
      </c>
      <c r="AG381" s="4"/>
      <c r="AH381" s="4"/>
      <c r="AI381">
        <v>4000</v>
      </c>
      <c r="AJ381"/>
      <c r="AK381" t="inlineStr">
        <is>
          <t>No, I don't need at all</t>
        </is>
      </c>
      <c r="AL381">
        <v>1</v>
      </c>
      <c r="AM381" t="inlineStr">
        <is>
          <t>No, I don't need at all</t>
        </is>
      </c>
      <c r="AN381"/>
      <c r="AO381" t="inlineStr">
        <is>
          <t>No, but I want in future</t>
        </is>
      </c>
      <c r="AP381" t="inlineStr">
        <is>
          <t>Once a year (25%)</t>
        </is>
      </c>
      <c r="AQ381">
        <v>2</v>
      </c>
      <c r="AR381" t="inlineStr">
        <is>
          <t>Did not use any job portal</t>
        </is>
      </c>
      <c r="AS381" t="inlineStr">
        <is>
          <t>- Headcount: 1
- Hiring Job Details: 1 Admin
- Hiring Urgency: Hiring Later
- Number of outlets: Not provided
- Have recruiter team: No, I don't need at all
- Number of recruiter in company: 1
- Have ATS system: No, I don't need at all
- Have career website: No, but I want in future
- Current hiring budget: RM3,600
- Whole year budget: RM4,000.00
- Whole year number of vacancies: 2
- Hiring frequency: Once a year (25%)
- External job portal: Did not use any job portal</t>
        </is>
      </c>
      <c r="AT381">
        <v>95</v>
      </c>
      <c r="AU381" t="inlineStr">
        <is>
          <t>0.95</t>
        </is>
      </c>
      <c r="AV381" t="inlineStr">
        <is>
          <t>15</t>
        </is>
      </c>
      <c r="AW381" t="inlineStr">
        <is>
          <t>0</t>
        </is>
      </c>
      <c r="AX381" t="inlineStr">
        <is>
          <t>Not Qualified</t>
        </is>
      </c>
      <c r="AY381" s="4"/>
      <c r="AZ381"/>
      <c r="BA381"/>
      <c r="BB381"/>
      <c r="BC381" t="inlineStr">
        <is>
          <t>- Headcount: 1
- Hiring Job Details: 1 Admin
- Hiring Urgency: Hiring Later
- Number of outlets: Not provided
- Have recruiter team: No, I don't need at all
- Number of recruiter in company: 1
- Have ATS system: No, I don't need at all
- Have career website: No, but I want in future
- Current hiring budget: RM3,600
- Whole year budget: RM4,000.00
- Whole year number of vacancies: 2
- Hiring frequency: Once a year (25%)
- External job portal: Did not use any job portal</t>
        </is>
      </c>
      <c r="BD381" s="4">
        <v>46139.75015046296</v>
      </c>
      <c r="BE381" t="inlineStr">
        <is>
          <t>paid</t>
        </is>
      </c>
      <c r="BF381"/>
      <c r="BG381" t="inlineStr">
        <is>
          <t>Reschedule</t>
        </is>
      </c>
      <c r="BH381" t="inlineStr">
        <is>
          <t>Edward Hoo</t>
        </is>
      </c>
      <c r="BI381" t="inlineStr">
        <is>
          <t>Architecture / Interior Design</t>
        </is>
      </c>
      <c r="BJ381" s="4">
        <v>46144.75059027778</v>
      </c>
      <c r="BK381" s="4">
        <v>44291.44055555556</v>
      </c>
      <c r="BL381" t="inlineStr">
        <is>
          <t>0.0</t>
        </is>
      </c>
      <c r="BM381" t="inlineStr">
        <is>
          <t>0.0</t>
        </is>
      </c>
      <c r="BN381" t="inlineStr">
        <is>
          <t>View Company Page</t>
        </is>
      </c>
      <c r="BO381" s="4">
        <v>45526.49133101852</v>
      </c>
      <c r="BP381">
        <v>169124</v>
      </c>
      <c r="BQ381">
        <v>66833</v>
      </c>
      <c r="BR381" t="inlineStr">
        <is>
          <t>Online</t>
        </is>
      </c>
      <c r="BS381"/>
      <c r="BT381">
        <v>66833</v>
      </c>
      <c r="BU381"/>
      <c r="BV381">
        <v>2731573</v>
      </c>
      <c r="BW381" t="inlineStr">
        <is>
          <t>Customer Inquiry</t>
        </is>
      </c>
      <c r="BX381"/>
      <c r="BY381"/>
      <c r="BZ381" s="4"/>
      <c r="CA381"/>
      <c r="CB381"/>
      <c r="CC381" s="4"/>
      <c r="CD381" t="inlineStr">
        <is>
          <t>20</t>
        </is>
      </c>
      <c r="CE381" t="inlineStr">
        <is>
          <t>0</t>
        </is>
      </c>
      <c r="CF381" t="inlineStr">
        <is>
          <t>Q2-W04</t>
        </is>
      </c>
      <c r="CG381"/>
      <c r="CH381"/>
      <c r="CI381"/>
      <c r="CJ381" t="inlineStr">
        <is>
          <t>Paid</t>
        </is>
      </c>
      <c r="CK381" t="inlineStr">
        <is>
          <t>Not Eligible</t>
        </is>
      </c>
      <c r="CL381"/>
      <c r="CM381"/>
    </row>
    <row r="382" ht="25.5" customHeight="1">
      <c r="A382" t="inlineStr">
        <is>
          <t>122963</t>
        </is>
      </c>
      <c r="B382" s="2"/>
      <c r="C382"/>
      <c r="D382" s="3">
        <v>46139.74958333333</v>
      </c>
      <c r="E382" t="inlineStr">
        <is>
          <t>Q2-W04</t>
        </is>
      </c>
      <c r="F382" t="inlineStr">
        <is>
          <t>Evan</t>
        </is>
      </c>
      <c r="G382" t="inlineStr">
        <is>
          <t>Customer</t>
        </is>
      </c>
      <c r="H382" s="2" t="str">
        <f>=HYPERLINK("https://upbox.ajobthing.my/customer/122963", "https://upbox.ajobthing.my/customer/122963")</f>
        <v>https://upbox.ajobthing.my/customer/122963</v>
      </c>
      <c r="I382" t="inlineStr">
        <is>
          <t>Jkaelyn Felicita Solution</t>
        </is>
      </c>
      <c r="J382" t="inlineStr">
        <is>
          <t>Small Fish</t>
        </is>
      </c>
      <c r="K382" t="inlineStr">
        <is>
          <t>Evan</t>
        </is>
      </c>
      <c r="L382" s="4"/>
      <c r="M382" s="4">
        <v>46139.74920138889</v>
      </c>
      <c r="N382"/>
      <c r="O382">
        <v>3888</v>
      </c>
      <c r="P382" s="4"/>
      <c r="Q382" s="4">
        <v>43770.810694444444</v>
      </c>
      <c r="R382"/>
      <c r="S382">
        <v>530</v>
      </c>
      <c r="T382" s="4">
        <v>43770.810694444444</v>
      </c>
      <c r="U382" s="4"/>
      <c r="V382"/>
      <c r="W382">
        <v>530</v>
      </c>
      <c r="X382"/>
      <c r="Y382" t="inlineStr">
        <is>
          <t>Pending Appointment</t>
        </is>
      </c>
      <c r="Z382" t="inlineStr">
        <is>
          <t>Hiring Now</t>
        </is>
      </c>
      <c r="AA382">
        <v>1</v>
      </c>
      <c r="AB382" t="inlineStr">
        <is>
          <t>No Appointment Made</t>
        </is>
      </c>
      <c r="AC382"/>
      <c r="AD382" t="inlineStr">
        <is>
          <t>1 admin, all base in kl</t>
        </is>
      </c>
      <c r="AE382"/>
      <c r="AF382">
        <v>1</v>
      </c>
      <c r="AG382" s="4"/>
      <c r="AH382" s="4"/>
      <c r="AI382">
        <v>1</v>
      </c>
      <c r="AJ382">
        <v>1</v>
      </c>
      <c r="AK382" t="inlineStr">
        <is>
          <t>No, I don't need at all</t>
        </is>
      </c>
      <c r="AL382">
        <v>1</v>
      </c>
      <c r="AM382" t="inlineStr">
        <is>
          <t>No, I don't need at all</t>
        </is>
      </c>
      <c r="AN382"/>
      <c r="AO382" t="inlineStr">
        <is>
          <t>No, I don't need at all</t>
        </is>
      </c>
      <c r="AP382" t="inlineStr">
        <is>
          <t>Once a year (25%)</t>
        </is>
      </c>
      <c r="AQ382">
        <v>1</v>
      </c>
      <c r="AR382" t="inlineStr">
        <is>
          <t>Did not use any job portal</t>
        </is>
      </c>
      <c r="AS382" t="inlineStr">
        <is>
          <t>- Headcount: 1
- Hiring Job Details: 1 admin,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AT382">
        <v>115</v>
      </c>
      <c r="AU382" t="inlineStr">
        <is>
          <t>1.15</t>
        </is>
      </c>
      <c r="AV382" t="inlineStr">
        <is>
          <t>15</t>
        </is>
      </c>
      <c r="AW382" t="inlineStr">
        <is>
          <t>0</t>
        </is>
      </c>
      <c r="AX382" t="inlineStr">
        <is>
          <t>Not Qualified</t>
        </is>
      </c>
      <c r="AY382" s="4"/>
      <c r="AZ382"/>
      <c r="BA382"/>
      <c r="BB382"/>
      <c r="BC382" t="inlineStr">
        <is>
          <t>- Headcount: 1
- Hiring Job Details: 1 admin,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BD382" s="4">
        <v>46139.75015046296</v>
      </c>
      <c r="BE382" t="inlineStr">
        <is>
          <t>paid</t>
        </is>
      </c>
      <c r="BF382"/>
      <c r="BG382" t="inlineStr">
        <is>
          <t>Reschedule</t>
        </is>
      </c>
      <c r="BH382" t="inlineStr">
        <is>
          <t>Edward Hoo</t>
        </is>
      </c>
      <c r="BI382" t="inlineStr">
        <is>
          <t>Banking / Finance</t>
        </is>
      </c>
      <c r="BJ382" s="4">
        <v>46144.750289351854</v>
      </c>
      <c r="BK382" s="4">
        <v>43770.73805555556</v>
      </c>
      <c r="BL382" t="inlineStr">
        <is>
          <t>0.0</t>
        </is>
      </c>
      <c r="BM382" t="inlineStr">
        <is>
          <t>0.0</t>
        </is>
      </c>
      <c r="BN382" t="inlineStr">
        <is>
          <t>View Jobmanager Page</t>
        </is>
      </c>
      <c r="BO382" s="4">
        <v>44069.74668981481</v>
      </c>
      <c r="BP382">
        <v>169125</v>
      </c>
      <c r="BQ382">
        <v>21123</v>
      </c>
      <c r="BR382" t="inlineStr">
        <is>
          <t>Online</t>
        </is>
      </c>
      <c r="BS382"/>
      <c r="BT382">
        <v>21123</v>
      </c>
      <c r="BU382"/>
      <c r="BV382">
        <v>2731575</v>
      </c>
      <c r="BW382" t="inlineStr">
        <is>
          <t>Customer Inquiry</t>
        </is>
      </c>
      <c r="BX382"/>
      <c r="BY382"/>
      <c r="BZ382" s="4"/>
      <c r="CA382"/>
      <c r="CB382"/>
      <c r="CC382" s="4"/>
      <c r="CD382" t="inlineStr">
        <is>
          <t>20</t>
        </is>
      </c>
      <c r="CE382" t="inlineStr">
        <is>
          <t>0</t>
        </is>
      </c>
      <c r="CF382" t="inlineStr">
        <is>
          <t>Q2-W04</t>
        </is>
      </c>
      <c r="CG382"/>
      <c r="CH382"/>
      <c r="CI382"/>
      <c r="CJ382" t="inlineStr">
        <is>
          <t>Paid</t>
        </is>
      </c>
      <c r="CK382" t="inlineStr">
        <is>
          <t>Not Eligible</t>
        </is>
      </c>
      <c r="CL382"/>
      <c r="CM382"/>
    </row>
    <row r="383" ht="25.5" customHeight="1">
      <c r="A383" t="inlineStr">
        <is>
          <t>4328484</t>
        </is>
      </c>
      <c r="B383" s="2"/>
      <c r="C383"/>
      <c r="D383" s="3">
        <v>46140.35674768518</v>
      </c>
      <c r="E383" t="inlineStr">
        <is>
          <t>Q2-W04</t>
        </is>
      </c>
      <c r="F383" t="inlineStr">
        <is>
          <t>Luqman</t>
        </is>
      </c>
      <c r="G383" t="inlineStr">
        <is>
          <t>Lead</t>
        </is>
      </c>
      <c r="H383" s="2" t="str">
        <f>=HYPERLINK("https://upbox.ajobthing.my/leads/4328484", "https://upbox.ajobthing.my/leads/4328484")</f>
        <v>https://upbox.ajobthing.my/leads/4328484</v>
      </c>
      <c r="I383" t="inlineStr">
        <is>
          <t>Seetharam Curry House</t>
        </is>
      </c>
      <c r="J383" t="inlineStr">
        <is>
          <t>Small Fish</t>
        </is>
      </c>
      <c r="K383" t="inlineStr">
        <is>
          <t>Luqman</t>
        </is>
      </c>
      <c r="L383" s="4"/>
      <c r="M383" s="4">
        <v>46140.35744212963</v>
      </c>
      <c r="N383"/>
      <c r="O383">
        <v>1296</v>
      </c>
      <c r="P383" s="4"/>
      <c r="Q383" s="4"/>
      <c r="R383"/>
      <c r="S383"/>
      <c r="T383" s="4"/>
      <c r="U383" s="4"/>
      <c r="V383"/>
      <c r="W383"/>
      <c r="X383"/>
      <c r="Y383" t="inlineStr">
        <is>
          <t>Pending Appointment</t>
        </is>
      </c>
      <c r="Z383" t="inlineStr">
        <is>
          <t>Hiring Later</t>
        </is>
      </c>
      <c r="AA383">
        <v>1</v>
      </c>
      <c r="AB383" t="inlineStr">
        <is>
          <t>No Appointment Made</t>
        </is>
      </c>
      <c r="AC383"/>
      <c r="AD383" t="inlineStr">
        <is>
          <t xml:space="preserve">1. Service crew </t>
        </is>
      </c>
      <c r="AE383"/>
      <c r="AF383">
        <v>800</v>
      </c>
      <c r="AG383" s="4"/>
      <c r="AH383" s="4"/>
      <c r="AI383">
        <v>800</v>
      </c>
      <c r="AJ383"/>
      <c r="AK383" t="inlineStr">
        <is>
          <t>Yes, I have</t>
        </is>
      </c>
      <c r="AL383">
        <v>2</v>
      </c>
      <c r="AM383" t="inlineStr">
        <is>
          <t>No, but I want in future</t>
        </is>
      </c>
      <c r="AN383"/>
      <c r="AO383" t="inlineStr">
        <is>
          <t>Yes, I have</t>
        </is>
      </c>
      <c r="AP383" t="inlineStr">
        <is>
          <t>Once a year (25%)</t>
        </is>
      </c>
      <c r="AQ383">
        <v>6</v>
      </c>
      <c r="AR383" t="inlineStr">
        <is>
          <t>Free Job Portal</t>
        </is>
      </c>
      <c r="AS383" t="inlineStr">
        <is>
          <t>- Headcount: 1
- Hiring Job Details: 1 service crew
- Hiring Urgency: Hiring Later
- Number of outlets: Not provided
- Have recruiter team: Yes
- Number of recruiter in company: 2
- Have ATS system: No, but want in future
- Have career website: Yes
- Current hiring budget: RM800
- Whole year budget: RM800.00
- Whole year number of vacancies: 6
- Hiring frequency: Once a year (25%)
- External job portal: Free Job Portal</t>
        </is>
      </c>
      <c r="AT383">
        <v>105</v>
      </c>
      <c r="AU383" t="inlineStr">
        <is>
          <t>1.05</t>
        </is>
      </c>
      <c r="AV383" t="inlineStr">
        <is>
          <t>15</t>
        </is>
      </c>
      <c r="AW383" t="inlineStr">
        <is>
          <t>0</t>
        </is>
      </c>
      <c r="AX383" t="inlineStr">
        <is>
          <t>Not Qualified</t>
        </is>
      </c>
      <c r="AY383" s="4"/>
      <c r="AZ383"/>
      <c r="BA383"/>
      <c r="BB383"/>
      <c r="BC383"/>
      <c r="BD383" s="4"/>
      <c r="BE383"/>
      <c r="BF383"/>
      <c r="BG383" t="inlineStr">
        <is>
          <t>Reschedule</t>
        </is>
      </c>
      <c r="BH383" t="inlineStr">
        <is>
          <t>Edward Hoo</t>
        </is>
      </c>
      <c r="BI383"/>
      <c r="BJ383" s="4">
        <v>46144.75592592593</v>
      </c>
      <c r="BK383" s="4">
        <v>46139.67800925926</v>
      </c>
      <c r="BL383" t="inlineStr">
        <is>
          <t>0.0</t>
        </is>
      </c>
      <c r="BM383" t="inlineStr">
        <is>
          <t>0.0</t>
        </is>
      </c>
      <c r="BN383"/>
      <c r="BO383" s="4"/>
      <c r="BP383">
        <v>169127</v>
      </c>
      <c r="BQ383"/>
      <c r="BR383"/>
      <c r="BS383"/>
      <c r="BT383"/>
      <c r="BU383"/>
      <c r="BV383"/>
      <c r="BW383"/>
      <c r="BX383"/>
      <c r="BY383"/>
      <c r="BZ383" s="4"/>
      <c r="CA383"/>
      <c r="CB383"/>
      <c r="CC383" s="4"/>
      <c r="CD383" t="inlineStr">
        <is>
          <t>20</t>
        </is>
      </c>
      <c r="CE383" t="inlineStr">
        <is>
          <t>0</t>
        </is>
      </c>
      <c r="CF383" t="inlineStr">
        <is>
          <t>Q2-W04</t>
        </is>
      </c>
      <c r="CG383"/>
      <c r="CH383"/>
      <c r="CI383"/>
      <c r="CJ383" t="inlineStr">
        <is>
          <t>No Paid</t>
        </is>
      </c>
      <c r="CK383" t="inlineStr">
        <is>
          <t>Not Eligible</t>
        </is>
      </c>
      <c r="CL383"/>
      <c r="CM383"/>
    </row>
    <row r="384" ht="25.5" customHeight="1">
      <c r="A384" t="inlineStr">
        <is>
          <t>193747</t>
        </is>
      </c>
      <c r="B384" s="2"/>
      <c r="C384"/>
      <c r="D384" s="3">
        <v>46140.37152777778</v>
      </c>
      <c r="E384" t="inlineStr">
        <is>
          <t>Q2-W04</t>
        </is>
      </c>
      <c r="F384" t="inlineStr">
        <is>
          <t>Chia Yee</t>
        </is>
      </c>
      <c r="G384" t="inlineStr">
        <is>
          <t>Customer</t>
        </is>
      </c>
      <c r="H384" s="2" t="str">
        <f>=HYPERLINK("https://upbox.ajobthing.my/customer/193747", "https://upbox.ajobthing.my/customer/193747")</f>
        <v>https://upbox.ajobthing.my/customer/193747</v>
      </c>
      <c r="I384" t="inlineStr">
        <is>
          <t>Yucats Marketing Sdn Bhd</t>
        </is>
      </c>
      <c r="J384" t="inlineStr">
        <is>
          <t>Small Fish</t>
        </is>
      </c>
      <c r="K384" t="inlineStr">
        <is>
          <t>Chia Yee</t>
        </is>
      </c>
      <c r="L384" s="4"/>
      <c r="M384" s="4">
        <v>46140.37165509259</v>
      </c>
      <c r="N384"/>
      <c r="O384">
        <v>864</v>
      </c>
      <c r="P384" s="4"/>
      <c r="Q384" s="4">
        <v>45869.60107638889</v>
      </c>
      <c r="R384"/>
      <c r="S384">
        <v>648</v>
      </c>
      <c r="T384" s="4">
        <v>45869.60107638889</v>
      </c>
      <c r="U384" s="4"/>
      <c r="V384"/>
      <c r="W384">
        <v>648</v>
      </c>
      <c r="X384"/>
      <c r="Y384" t="inlineStr">
        <is>
          <t>Pending Appointment</t>
        </is>
      </c>
      <c r="Z384" t="inlineStr">
        <is>
          <t>Hiring Now</t>
        </is>
      </c>
      <c r="AA384">
        <v>2</v>
      </c>
      <c r="AB384" t="inlineStr">
        <is>
          <t>No Appointment Made</t>
        </is>
      </c>
      <c r="AC384"/>
      <c r="AD384" t="inlineStr">
        <is>
          <t xml:space="preserve"> 2 Sales Advisor.</t>
        </is>
      </c>
      <c r="AE384"/>
      <c r="AF384">
        <v>0</v>
      </c>
      <c r="AG384" s="4"/>
      <c r="AH384" s="4"/>
      <c r="AI384">
        <v>0</v>
      </c>
      <c r="AJ384">
        <v>1</v>
      </c>
      <c r="AK384" t="inlineStr">
        <is>
          <t>No, I don't need at all</t>
        </is>
      </c>
      <c r="AL384">
        <v>1</v>
      </c>
      <c r="AM384" t="inlineStr">
        <is>
          <t>No, I don't need at all</t>
        </is>
      </c>
      <c r="AN384"/>
      <c r="AO384" t="inlineStr">
        <is>
          <t>Yes, I have</t>
        </is>
      </c>
      <c r="AP384" t="inlineStr">
        <is>
          <t>Once a year (25%)</t>
        </is>
      </c>
      <c r="AQ384">
        <v>2</v>
      </c>
      <c r="AR384" t="inlineStr">
        <is>
          <t>Did not use any job portal</t>
        </is>
      </c>
      <c r="AS384" t="inlineStr">
        <is>
          <t>- Headcount: 2
- Hiring Job Details: 2 Sales Advisor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2
- Hiring frequency: Once a year (25%)
- External job portal: Did not use any job portal</t>
        </is>
      </c>
      <c r="AT384">
        <v>120</v>
      </c>
      <c r="AU384" t="inlineStr">
        <is>
          <t>1.20</t>
        </is>
      </c>
      <c r="AV384" t="inlineStr">
        <is>
          <t>15</t>
        </is>
      </c>
      <c r="AW384" t="inlineStr">
        <is>
          <t>0</t>
        </is>
      </c>
      <c r="AX384" t="inlineStr">
        <is>
          <t>Not Qualified</t>
        </is>
      </c>
      <c r="AY384" s="4"/>
      <c r="AZ384"/>
      <c r="BA384"/>
      <c r="BB384"/>
      <c r="BC384" t="inlineStr">
        <is>
          <t>Ask any lower package. Share</t>
        </is>
      </c>
      <c r="BD384" s="4">
        <v>46140.50954861111</v>
      </c>
      <c r="BE384" t="inlineStr">
        <is>
          <t>paid</t>
        </is>
      </c>
      <c r="BF384"/>
      <c r="BG384" t="inlineStr">
        <is>
          <t>Reschedule</t>
        </is>
      </c>
      <c r="BH384" t="inlineStr">
        <is>
          <t>Reagen</t>
        </is>
      </c>
      <c r="BI384" t="inlineStr">
        <is>
          <t>Retail / Merchandise</t>
        </is>
      </c>
      <c r="BJ384" s="4">
        <v>46144.75263888889</v>
      </c>
      <c r="BK384" s="4">
        <v>45852.71827546296</v>
      </c>
      <c r="BL384" t="inlineStr">
        <is>
          <t>648.0</t>
        </is>
      </c>
      <c r="BM384" t="inlineStr">
        <is>
          <t>0.0</t>
        </is>
      </c>
      <c r="BN384" t="inlineStr">
        <is>
          <t>People Search Page : Unlock Candidate</t>
        </is>
      </c>
      <c r="BO384" s="4">
        <v>45893.71538194444</v>
      </c>
      <c r="BP384">
        <v>169129</v>
      </c>
      <c r="BQ384">
        <v>81198</v>
      </c>
      <c r="BR384" t="inlineStr">
        <is>
          <t>Online</t>
        </is>
      </c>
      <c r="BS384"/>
      <c r="BT384">
        <v>81198</v>
      </c>
      <c r="BU384"/>
      <c r="BV384">
        <v>2732402</v>
      </c>
      <c r="BW384" t="inlineStr">
        <is>
          <t>Follow Up : Quotation Sent 50%</t>
        </is>
      </c>
      <c r="BX384"/>
      <c r="BY384"/>
      <c r="BZ384" s="4"/>
      <c r="CA384"/>
      <c r="CB384"/>
      <c r="CC384" s="4"/>
      <c r="CD384" t="inlineStr">
        <is>
          <t>20</t>
        </is>
      </c>
      <c r="CE384" t="inlineStr">
        <is>
          <t>0</t>
        </is>
      </c>
      <c r="CF384" t="inlineStr">
        <is>
          <t>Q2-W04</t>
        </is>
      </c>
      <c r="CG384"/>
      <c r="CH384"/>
      <c r="CI384"/>
      <c r="CJ384" t="inlineStr">
        <is>
          <t>Paid</t>
        </is>
      </c>
      <c r="CK384" t="inlineStr">
        <is>
          <t>Not Eligible</t>
        </is>
      </c>
      <c r="CL384"/>
      <c r="CM384"/>
    </row>
    <row r="385" ht="25.5" customHeight="1">
      <c r="A385" t="inlineStr">
        <is>
          <t>4328937</t>
        </is>
      </c>
      <c r="B385" s="2"/>
      <c r="C385"/>
      <c r="D385" s="3">
        <v>46140.406331018516</v>
      </c>
      <c r="E385" t="inlineStr">
        <is>
          <t>Q2-W04</t>
        </is>
      </c>
      <c r="F385" t="inlineStr">
        <is>
          <t>Chia Yee</t>
        </is>
      </c>
      <c r="G385" t="inlineStr">
        <is>
          <t>Lead</t>
        </is>
      </c>
      <c r="H385" s="2" t="str">
        <f>=HYPERLINK("https://upbox.ajobthing.my/leads/4328937", "https://upbox.ajobthing.my/leads/4328937")</f>
        <v>https://upbox.ajobthing.my/leads/4328937</v>
      </c>
      <c r="I385" t="inlineStr">
        <is>
          <t>Sensory Coffee</t>
        </is>
      </c>
      <c r="J385" t="inlineStr">
        <is>
          <t>Small Fish</t>
        </is>
      </c>
      <c r="K385" t="inlineStr">
        <is>
          <t>Chia Yee</t>
        </is>
      </c>
      <c r="L385" s="4"/>
      <c r="M385" s="4">
        <v>46140.40741898148</v>
      </c>
      <c r="N385"/>
      <c r="O385">
        <v>3888</v>
      </c>
      <c r="P385" s="4"/>
      <c r="Q385" s="4"/>
      <c r="R385"/>
      <c r="S385"/>
      <c r="T385" s="4"/>
      <c r="U385" s="4"/>
      <c r="V385"/>
      <c r="W385"/>
      <c r="X385"/>
      <c r="Y385" t="inlineStr">
        <is>
          <t>Pending Appointment</t>
        </is>
      </c>
      <c r="Z385" t="inlineStr">
        <is>
          <t>Hiring Now</t>
        </is>
      </c>
      <c r="AA385">
        <v>2</v>
      </c>
      <c r="AB385" t="inlineStr">
        <is>
          <t>No Appointment Made</t>
        </is>
      </c>
      <c r="AC385"/>
      <c r="AD385" t="inlineStr">
        <is>
          <t xml:space="preserve">2 pantry service assistant </t>
        </is>
      </c>
      <c r="AE385"/>
      <c r="AF385">
        <v>0</v>
      </c>
      <c r="AG385" s="4"/>
      <c r="AH385" s="4"/>
      <c r="AI385">
        <v>0</v>
      </c>
      <c r="AJ385">
        <v>1</v>
      </c>
      <c r="AK385" t="inlineStr">
        <is>
          <t>No, I don't need at all</t>
        </is>
      </c>
      <c r="AL385">
        <v>1</v>
      </c>
      <c r="AM385" t="inlineStr">
        <is>
          <t>No, I don't need at all</t>
        </is>
      </c>
      <c r="AN385"/>
      <c r="AO385" t="inlineStr">
        <is>
          <t>Yes, I have</t>
        </is>
      </c>
      <c r="AP385" t="inlineStr">
        <is>
          <t>Once a year (25%)</t>
        </is>
      </c>
      <c r="AQ385">
        <v>2</v>
      </c>
      <c r="AR385" t="inlineStr">
        <is>
          <t>Did not use any job portal</t>
        </is>
      </c>
      <c r="AS385" t="inlineStr">
        <is>
          <t>- Headcount: 2
- Hiring Job Details: 2 pantry service assistant
- Hiring Urgency: Hiring Now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is>
      </c>
      <c r="AT385">
        <v>115</v>
      </c>
      <c r="AU385" t="inlineStr">
        <is>
          <t>1.15</t>
        </is>
      </c>
      <c r="AV385" t="inlineStr">
        <is>
          <t>15</t>
        </is>
      </c>
      <c r="AW385" t="inlineStr">
        <is>
          <t>0</t>
        </is>
      </c>
      <c r="AX385" t="inlineStr">
        <is>
          <t>Not Qualified</t>
        </is>
      </c>
      <c r="AY385" s="4"/>
      <c r="AZ385"/>
      <c r="BA385"/>
      <c r="BB385"/>
      <c r="BC385"/>
      <c r="BD385" s="4"/>
      <c r="BE385"/>
      <c r="BF385"/>
      <c r="BG385" t="inlineStr">
        <is>
          <t>Reschedule</t>
        </is>
      </c>
      <c r="BH385" t="inlineStr">
        <is>
          <t>Reagen</t>
        </is>
      </c>
      <c r="BI385"/>
      <c r="BJ385" s="4">
        <v>46144.75592592593</v>
      </c>
      <c r="BK385" s="4">
        <v>46139.969502314816</v>
      </c>
      <c r="BL385" t="inlineStr">
        <is>
          <t>0.0</t>
        </is>
      </c>
      <c r="BM385" t="inlineStr">
        <is>
          <t>0.0</t>
        </is>
      </c>
      <c r="BN385"/>
      <c r="BO385" s="4"/>
      <c r="BP385">
        <v>169133</v>
      </c>
      <c r="BQ385"/>
      <c r="BR385"/>
      <c r="BS385"/>
      <c r="BT385"/>
      <c r="BU385"/>
      <c r="BV385"/>
      <c r="BW385"/>
      <c r="BX385"/>
      <c r="BY385"/>
      <c r="BZ385" s="4"/>
      <c r="CA385"/>
      <c r="CB385"/>
      <c r="CC385" s="4"/>
      <c r="CD385" t="inlineStr">
        <is>
          <t>20</t>
        </is>
      </c>
      <c r="CE385" t="inlineStr">
        <is>
          <t>0</t>
        </is>
      </c>
      <c r="CF385" t="inlineStr">
        <is>
          <t>Q2-W04</t>
        </is>
      </c>
      <c r="CG385"/>
      <c r="CH385"/>
      <c r="CI385"/>
      <c r="CJ385" t="inlineStr">
        <is>
          <t>No Paid</t>
        </is>
      </c>
      <c r="CK385" t="inlineStr">
        <is>
          <t>Not Eligible</t>
        </is>
      </c>
      <c r="CL385"/>
      <c r="CM385"/>
    </row>
    <row r="386" ht="25.5" customHeight="1">
      <c r="A386" t="inlineStr">
        <is>
          <t>3791546</t>
        </is>
      </c>
      <c r="B386" s="2"/>
      <c r="C386"/>
      <c r="D386" s="3">
        <v>46140.42826388889</v>
      </c>
      <c r="E386" t="inlineStr">
        <is>
          <t>Q2-W04</t>
        </is>
      </c>
      <c r="F386" t="inlineStr">
        <is>
          <t>Angel  Low</t>
        </is>
      </c>
      <c r="G386" t="inlineStr">
        <is>
          <t>Lead</t>
        </is>
      </c>
      <c r="H386" s="2" t="str">
        <f>=HYPERLINK("https://upbox.ajobthing.my/leads/3791546", "https://upbox.ajobthing.my/leads/3791546")</f>
        <v>https://upbox.ajobthing.my/leads/3791546</v>
      </c>
      <c r="I386" t="inlineStr">
        <is>
          <t>International Oriental Studio SDN BHD</t>
        </is>
      </c>
      <c r="J386" t="inlineStr">
        <is>
          <t>Small Fish</t>
        </is>
      </c>
      <c r="K386" t="inlineStr">
        <is>
          <t>Angel Low</t>
        </is>
      </c>
      <c r="L386" s="4"/>
      <c r="M386" s="4">
        <v>46140.44766203704</v>
      </c>
      <c r="N386"/>
      <c r="O386">
        <v>5412.96</v>
      </c>
      <c r="P386" s="4"/>
      <c r="Q386" s="4"/>
      <c r="R386"/>
      <c r="S386"/>
      <c r="T386" s="4"/>
      <c r="U386" s="4"/>
      <c r="V386"/>
      <c r="W386"/>
      <c r="X386"/>
      <c r="Y386" t="inlineStr">
        <is>
          <t>Pending Appointment</t>
        </is>
      </c>
      <c r="Z386"/>
      <c r="AA386">
        <v>5</v>
      </c>
      <c r="AB386" t="inlineStr">
        <is>
          <t>No Appointment Made</t>
        </is>
      </c>
      <c r="AC386"/>
      <c r="AD386" t="inlineStr">
        <is>
          <t xml:space="preserve">4 service crew , 1 cahsier </t>
        </is>
      </c>
      <c r="AE386"/>
      <c r="AF386"/>
      <c r="AG386" s="4"/>
      <c r="AH386" s="4"/>
      <c r="AI386"/>
      <c r="AJ386"/>
      <c r="AK386"/>
      <c r="AL386"/>
      <c r="AM386"/>
      <c r="AN386"/>
      <c r="AO386"/>
      <c r="AP386"/>
      <c r="AQ386"/>
      <c r="AR386"/>
      <c r="AS386" t="inlineStr">
        <is>
          <t>- Headcount: 5
- Hiring Job Details: 4 service crew, 1 cashier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386">
        <v>60</v>
      </c>
      <c r="AU386" t="inlineStr">
        <is>
          <t>0.60</t>
        </is>
      </c>
      <c r="AV386" t="inlineStr">
        <is>
          <t>10</t>
        </is>
      </c>
      <c r="AW386" t="inlineStr">
        <is>
          <t>0</t>
        </is>
      </c>
      <c r="AX386" t="inlineStr">
        <is>
          <t>Not Qualified</t>
        </is>
      </c>
      <c r="AY386" s="4"/>
      <c r="AZ386"/>
      <c r="BA386"/>
      <c r="BB386"/>
      <c r="BC386"/>
      <c r="BD386" s="4"/>
      <c r="BE386"/>
      <c r="BF386"/>
      <c r="BG386" t="inlineStr">
        <is>
          <t>Reschedule</t>
        </is>
      </c>
      <c r="BH386" t="inlineStr">
        <is>
          <t>Fauziah Maharan</t>
        </is>
      </c>
      <c r="BI386"/>
      <c r="BJ386" s="4">
        <v>46144.75487268518</v>
      </c>
      <c r="BK386" s="4">
        <v>45992.436064814814</v>
      </c>
      <c r="BL386" t="inlineStr">
        <is>
          <t>0.0</t>
        </is>
      </c>
      <c r="BM386" t="inlineStr">
        <is>
          <t>0.0</t>
        </is>
      </c>
      <c r="BN386"/>
      <c r="BO386" s="4"/>
      <c r="BP386">
        <v>169154</v>
      </c>
      <c r="BQ386"/>
      <c r="BR386"/>
      <c r="BS386"/>
      <c r="BT386"/>
      <c r="BU386"/>
      <c r="BV386"/>
      <c r="BW386"/>
      <c r="BX386"/>
      <c r="BY386"/>
      <c r="BZ386" s="4"/>
      <c r="CA386"/>
      <c r="CB386"/>
      <c r="CC386" s="4"/>
      <c r="CD386" t="inlineStr">
        <is>
          <t>15</t>
        </is>
      </c>
      <c r="CE386" t="inlineStr">
        <is>
          <t>0</t>
        </is>
      </c>
      <c r="CF386" t="inlineStr">
        <is>
          <t>Q2-W04</t>
        </is>
      </c>
      <c r="CG386"/>
      <c r="CH386"/>
      <c r="CI386"/>
      <c r="CJ386" t="inlineStr">
        <is>
          <t>No Paid</t>
        </is>
      </c>
      <c r="CK386" t="inlineStr">
        <is>
          <t>Not Eligible</t>
        </is>
      </c>
      <c r="CL386"/>
      <c r="CM386"/>
    </row>
    <row r="387" ht="25.5" customHeight="1">
      <c r="A387" t="inlineStr">
        <is>
          <t>4262123</t>
        </is>
      </c>
      <c r="B387" s="2"/>
      <c r="C387"/>
      <c r="D387" s="3">
        <v>46140.43583333334</v>
      </c>
      <c r="E387" t="inlineStr">
        <is>
          <t>Q2-W04</t>
        </is>
      </c>
      <c r="F387" t="inlineStr">
        <is>
          <t>Ken Yi</t>
        </is>
      </c>
      <c r="G387" t="inlineStr">
        <is>
          <t>Lead</t>
        </is>
      </c>
      <c r="H387" s="2" t="str">
        <f>=HYPERLINK("https://upbox.ajobthing.my/leads/4262123", "https://upbox.ajobthing.my/leads/4262123")</f>
        <v>https://upbox.ajobthing.my/leads/4262123</v>
      </c>
      <c r="I387" t="inlineStr">
        <is>
          <t>REEF INTERNATIONAL RESORT &amp; SPA SDN BHD</t>
        </is>
      </c>
      <c r="J387" t="inlineStr">
        <is>
          <t>Small Fish</t>
        </is>
      </c>
      <c r="K387" t="inlineStr">
        <is>
          <t>Kenyi</t>
        </is>
      </c>
      <c r="L387" s="4"/>
      <c r="M387" s="4">
        <v>46140.42675925926</v>
      </c>
      <c r="N387"/>
      <c r="O387">
        <v>5508</v>
      </c>
      <c r="P387" s="4"/>
      <c r="Q387" s="4"/>
      <c r="R387"/>
      <c r="S387"/>
      <c r="T387" s="4"/>
      <c r="U387" s="4"/>
      <c r="V387"/>
      <c r="W387"/>
      <c r="X387"/>
      <c r="Y387" t="inlineStr">
        <is>
          <t>Pending Appointment</t>
        </is>
      </c>
      <c r="Z387" t="inlineStr">
        <is>
          <t>Hiring Now</t>
        </is>
      </c>
      <c r="AA387">
        <v>1</v>
      </c>
      <c r="AB387" t="inlineStr">
        <is>
          <t>No Appointment Made</t>
        </is>
      </c>
      <c r="AC387"/>
      <c r="AD387" t="inlineStr">
        <is>
          <t>Flash Sales Promotion sharing</t>
        </is>
      </c>
      <c r="AE387"/>
      <c r="AF387">
        <v>5508</v>
      </c>
      <c r="AG387" s="4"/>
      <c r="AH387" s="4"/>
      <c r="AI387">
        <v>0</v>
      </c>
      <c r="AJ387">
        <v>1</v>
      </c>
      <c r="AK387" t="inlineStr">
        <is>
          <t>Yes, I have</t>
        </is>
      </c>
      <c r="AL387">
        <v>1</v>
      </c>
      <c r="AM387" t="inlineStr">
        <is>
          <t>No, I don't need at all</t>
        </is>
      </c>
      <c r="AN387"/>
      <c r="AO387" t="inlineStr">
        <is>
          <t>No, I don't need at all</t>
        </is>
      </c>
      <c r="AP387" t="inlineStr">
        <is>
          <t>Every month (100%)</t>
        </is>
      </c>
      <c r="AQ387">
        <v>5</v>
      </c>
      <c r="AR387" t="inlineStr">
        <is>
          <t>Did not use any job portal</t>
        </is>
      </c>
      <c r="AS387" t="inlineStr">
        <is>
          <t>- Headcount: 1
- Hiring Job Details: Flash Sales Promotion sharing
- Hiring Urgency: Hiring Now
- Number of outlets: 1
- Have recruiter team: Yes, I have
- Number of recruiter in company: 1
- Have ATS system: No, I don't need at all
- Have career website: No, I don't need at all
- Current hiring budget: RM5,508
- Whole year budget: RM0.00
- Whole year number of vacancies: 5
- Hiring frequency: Every month (100%)
- External job portal: Did not use any job portal</t>
        </is>
      </c>
      <c r="AT387">
        <v>90</v>
      </c>
      <c r="AU387" t="inlineStr">
        <is>
          <t>0.90</t>
        </is>
      </c>
      <c r="AV387" t="inlineStr">
        <is>
          <t>15</t>
        </is>
      </c>
      <c r="AW387" t="inlineStr">
        <is>
          <t>0</t>
        </is>
      </c>
      <c r="AX387" t="inlineStr">
        <is>
          <t>Not Qualified</t>
        </is>
      </c>
      <c r="AY387" s="4"/>
      <c r="AZ387"/>
      <c r="BA387"/>
      <c r="BB387"/>
      <c r="BC387"/>
      <c r="BD387" s="4"/>
      <c r="BE387"/>
      <c r="BF387"/>
      <c r="BG387" t="inlineStr">
        <is>
          <t>Reschedule</t>
        </is>
      </c>
      <c r="BH387" t="inlineStr">
        <is>
          <t>Fauziah Maharan</t>
        </is>
      </c>
      <c r="BI387"/>
      <c r="BJ387" s="4">
        <v>46144.75576388889</v>
      </c>
      <c r="BK387" s="4">
        <v>46120.95730324074</v>
      </c>
      <c r="BL387" t="inlineStr">
        <is>
          <t>0.0</t>
        </is>
      </c>
      <c r="BM387" t="inlineStr">
        <is>
          <t>0.0</t>
        </is>
      </c>
      <c r="BN387"/>
      <c r="BO387" s="4"/>
      <c r="BP387">
        <v>169137</v>
      </c>
      <c r="BQ387"/>
      <c r="BR387"/>
      <c r="BS387"/>
      <c r="BT387"/>
      <c r="BU387"/>
      <c r="BV387"/>
      <c r="BW387"/>
      <c r="BX387"/>
      <c r="BY387"/>
      <c r="BZ387" s="4"/>
      <c r="CA387"/>
      <c r="CB387"/>
      <c r="CC387" s="4"/>
      <c r="CD387" t="inlineStr">
        <is>
          <t>20</t>
        </is>
      </c>
      <c r="CE387" t="inlineStr">
        <is>
          <t>0</t>
        </is>
      </c>
      <c r="CF387" t="inlineStr">
        <is>
          <t>Q2-W04</t>
        </is>
      </c>
      <c r="CG387"/>
      <c r="CH387"/>
      <c r="CI387"/>
      <c r="CJ387" t="inlineStr">
        <is>
          <t>No Paid</t>
        </is>
      </c>
      <c r="CK387" t="inlineStr">
        <is>
          <t>Not Eligible</t>
        </is>
      </c>
      <c r="CL387"/>
      <c r="CM387"/>
    </row>
    <row r="388" ht="25.5" customHeight="1">
      <c r="A388" t="inlineStr">
        <is>
          <t>194209</t>
        </is>
      </c>
      <c r="B388" s="2"/>
      <c r="C388"/>
      <c r="D388" s="3">
        <v>46140.44380787037</v>
      </c>
      <c r="E388" t="inlineStr">
        <is>
          <t>Q2-W04</t>
        </is>
      </c>
      <c r="F388" t="inlineStr">
        <is>
          <t>Chia Yee</t>
        </is>
      </c>
      <c r="G388" t="inlineStr">
        <is>
          <t>Customer</t>
        </is>
      </c>
      <c r="H388" s="2" t="str">
        <f>=HYPERLINK("https://upbox.ajobthing.my/customer/194209", "https://upbox.ajobthing.my/customer/194209")</f>
        <v>https://upbox.ajobthing.my/customer/194209</v>
      </c>
      <c r="I388" t="inlineStr">
        <is>
          <t>Helix Solution</t>
        </is>
      </c>
      <c r="J388" t="inlineStr">
        <is>
          <t>Small Fish</t>
        </is>
      </c>
      <c r="K388" t="inlineStr">
        <is>
          <t>Chia Yee</t>
        </is>
      </c>
      <c r="L388" s="4"/>
      <c r="M388" s="4">
        <v>46140.44568287037</v>
      </c>
      <c r="N388"/>
      <c r="O388">
        <v>5412.96</v>
      </c>
      <c r="P388" s="4"/>
      <c r="Q388" s="4"/>
      <c r="R388"/>
      <c r="S388"/>
      <c r="T388" s="4"/>
      <c r="U388" s="4"/>
      <c r="V388"/>
      <c r="W388"/>
      <c r="X388"/>
      <c r="Y388" t="inlineStr">
        <is>
          <t>Pending Appointment</t>
        </is>
      </c>
      <c r="Z388" t="inlineStr">
        <is>
          <t>Hiring Now</t>
        </is>
      </c>
      <c r="AA388">
        <v>3</v>
      </c>
      <c r="AB388" t="inlineStr">
        <is>
          <t>No Appointment Made</t>
        </is>
      </c>
      <c r="AC388"/>
      <c r="AD388" t="inlineStr">
        <is>
          <t xml:space="preserve"> 2 Technician ,  1 Admin</t>
        </is>
      </c>
      <c r="AE388"/>
      <c r="AF388">
        <v>0</v>
      </c>
      <c r="AG388" s="4"/>
      <c r="AH388" s="4"/>
      <c r="AI388">
        <v>0</v>
      </c>
      <c r="AJ388">
        <v>1</v>
      </c>
      <c r="AK388" t="inlineStr">
        <is>
          <t>No, I don't need at all</t>
        </is>
      </c>
      <c r="AL388">
        <v>1</v>
      </c>
      <c r="AM388" t="inlineStr">
        <is>
          <t>No, I don't need at all</t>
        </is>
      </c>
      <c r="AN388"/>
      <c r="AO388" t="inlineStr">
        <is>
          <t>No, I don't need at all</t>
        </is>
      </c>
      <c r="AP388" t="inlineStr">
        <is>
          <t>Once a year (25%)</t>
        </is>
      </c>
      <c r="AQ388">
        <v>3</v>
      </c>
      <c r="AR388" t="inlineStr">
        <is>
          <t>Did not use any job portal</t>
        </is>
      </c>
      <c r="AS388" t="inlineStr">
        <is>
          <t>- Headcount: 3
- Hiring Job Details: 2 Technician, 1 Admin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is>
      </c>
      <c r="AT388">
        <v>100</v>
      </c>
      <c r="AU388" t="inlineStr">
        <is>
          <t>1.00</t>
        </is>
      </c>
      <c r="AV388" t="inlineStr">
        <is>
          <t>15</t>
        </is>
      </c>
      <c r="AW388" t="inlineStr">
        <is>
          <t>0</t>
        </is>
      </c>
      <c r="AX388" t="inlineStr">
        <is>
          <t>Not Qualified</t>
        </is>
      </c>
      <c r="AY388" s="4"/>
      <c r="AZ388"/>
      <c r="BA388"/>
      <c r="BB388"/>
      <c r="BC388" t="inlineStr">
        <is>
          <t>Called Mr. Sandru, not proceed as budget. Normally use mudah, Fb only, can get</t>
        </is>
      </c>
      <c r="BD388" s="4">
        <v>46141.399097222224</v>
      </c>
      <c r="BE388"/>
      <c r="BF388"/>
      <c r="BG388" t="inlineStr">
        <is>
          <t>Reschedule</t>
        </is>
      </c>
      <c r="BH388" t="inlineStr">
        <is>
          <t>Reagen</t>
        </is>
      </c>
      <c r="BI388" t="inlineStr">
        <is>
          <t>Engineering / Technical Consulting</t>
        </is>
      </c>
      <c r="BJ388" s="4">
        <v>46144.75269675926</v>
      </c>
      <c r="BK388" s="4">
        <v>45863.51765046296</v>
      </c>
      <c r="BL388" t="inlineStr">
        <is>
          <t>0.0</t>
        </is>
      </c>
      <c r="BM388" t="inlineStr">
        <is>
          <t>0.0</t>
        </is>
      </c>
      <c r="BN388" t="inlineStr">
        <is>
          <t>View Company Page</t>
        </is>
      </c>
      <c r="BO388" s="4">
        <v>45863.52674768519</v>
      </c>
      <c r="BP388">
        <v>169147</v>
      </c>
      <c r="BQ388"/>
      <c r="BR388"/>
      <c r="BS388"/>
      <c r="BT388"/>
      <c r="BU388"/>
      <c r="BV388">
        <v>2734150</v>
      </c>
      <c r="BW388" t="inlineStr">
        <is>
          <t>Follow Up : Budget Concern</t>
        </is>
      </c>
      <c r="BX388"/>
      <c r="BY388"/>
      <c r="BZ388" s="4"/>
      <c r="CA388"/>
      <c r="CB388"/>
      <c r="CC388" s="4"/>
      <c r="CD388" t="inlineStr">
        <is>
          <t>20</t>
        </is>
      </c>
      <c r="CE388" t="inlineStr">
        <is>
          <t>0</t>
        </is>
      </c>
      <c r="CF388" t="inlineStr">
        <is>
          <t>Q2-W04</t>
        </is>
      </c>
      <c r="CG388"/>
      <c r="CH388"/>
      <c r="CI388"/>
      <c r="CJ388" t="inlineStr">
        <is>
          <t>No Paid</t>
        </is>
      </c>
      <c r="CK388" t="inlineStr">
        <is>
          <t>Not Eligible</t>
        </is>
      </c>
      <c r="CL388"/>
      <c r="CM388"/>
    </row>
    <row r="389" ht="25.5" customHeight="1">
      <c r="A389" t="inlineStr">
        <is>
          <t>4328969</t>
        </is>
      </c>
      <c r="B389" s="2"/>
      <c r="C389"/>
      <c r="D389" s="3">
        <v>46140.45243055555</v>
      </c>
      <c r="E389" t="inlineStr">
        <is>
          <t>Q2-W04</t>
        </is>
      </c>
      <c r="F389" t="inlineStr">
        <is>
          <t>Alan KY</t>
        </is>
      </c>
      <c r="G389" t="inlineStr">
        <is>
          <t>Lead</t>
        </is>
      </c>
      <c r="H389" s="2" t="str">
        <f>=HYPERLINK("https://upbox.ajobthing.my/leads/4328969", "https://upbox.ajobthing.my/leads/4328969")</f>
        <v>https://upbox.ajobthing.my/leads/4328969</v>
      </c>
      <c r="I389" t="inlineStr">
        <is>
          <t>ALIUJI ENTERPRISE</t>
        </is>
      </c>
      <c r="J389" t="inlineStr">
        <is>
          <t>Small Fish</t>
        </is>
      </c>
      <c r="K389" t="inlineStr">
        <is>
          <t>Alan KY</t>
        </is>
      </c>
      <c r="L389" s="4"/>
      <c r="M389" s="4">
        <v>46140.44583333333</v>
      </c>
      <c r="N389"/>
      <c r="O389">
        <v>3888</v>
      </c>
      <c r="P389" s="4"/>
      <c r="Q389" s="4"/>
      <c r="R389"/>
      <c r="S389"/>
      <c r="T389" s="4"/>
      <c r="U389" s="4"/>
      <c r="V389"/>
      <c r="W389"/>
      <c r="X389"/>
      <c r="Y389" t="inlineStr">
        <is>
          <t>Pending Appointment</t>
        </is>
      </c>
      <c r="Z389" t="inlineStr">
        <is>
          <t>Hiring Now</t>
        </is>
      </c>
      <c r="AA389">
        <v>2</v>
      </c>
      <c r="AB389" t="inlineStr">
        <is>
          <t>No Appointment Made</t>
        </is>
      </c>
      <c r="AC389"/>
      <c r="AD389" t="inlineStr">
        <is>
          <t>1 personal assistant , 1 admin, based in Putrajaya</t>
        </is>
      </c>
      <c r="AE389"/>
      <c r="AF389"/>
      <c r="AG389" s="4"/>
      <c r="AH389" s="4"/>
      <c r="AI389"/>
      <c r="AJ389">
        <v>2</v>
      </c>
      <c r="AK389" t="inlineStr">
        <is>
          <t>No, I don't need at all</t>
        </is>
      </c>
      <c r="AL389"/>
      <c r="AM389" t="inlineStr">
        <is>
          <t>No, I don't need at all</t>
        </is>
      </c>
      <c r="AN389"/>
      <c r="AO389" t="inlineStr">
        <is>
          <t>No, I don't need at all</t>
        </is>
      </c>
      <c r="AP389" t="inlineStr">
        <is>
          <t>Twice a year (50%)</t>
        </is>
      </c>
      <c r="AQ389"/>
      <c r="AR389" t="inlineStr">
        <is>
          <t>Did not use any job portal</t>
        </is>
      </c>
      <c r="AS389" t="inlineStr">
        <is>
          <t>- Headcount: 2
- Hiring Job Details: 1 personal assistant, 1 admin, based in Putrajaya
- Hiring Urgency: Hiring Now
- Number of outlets: 2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Did not use any job portal</t>
        </is>
      </c>
      <c r="AT389">
        <v>100</v>
      </c>
      <c r="AU389" t="inlineStr">
        <is>
          <t>1.00</t>
        </is>
      </c>
      <c r="AV389" t="inlineStr">
        <is>
          <t>5</t>
        </is>
      </c>
      <c r="AW389" t="inlineStr">
        <is>
          <t>0</t>
        </is>
      </c>
      <c r="AX389" t="inlineStr">
        <is>
          <t>Not Qualified</t>
        </is>
      </c>
      <c r="AY389" s="4"/>
      <c r="AZ389"/>
      <c r="BA389"/>
      <c r="BB389"/>
      <c r="BC389"/>
      <c r="BD389" s="4"/>
      <c r="BE389"/>
      <c r="BF389"/>
      <c r="BG389" t="inlineStr">
        <is>
          <t>Reschedule</t>
        </is>
      </c>
      <c r="BH389" t="inlineStr">
        <is>
          <t>Reagen</t>
        </is>
      </c>
      <c r="BI389"/>
      <c r="BJ389" s="4">
        <v>46144.75592592593</v>
      </c>
      <c r="BK389" s="4">
        <v>46140.38964120371</v>
      </c>
      <c r="BL389" t="inlineStr">
        <is>
          <t>0.0</t>
        </is>
      </c>
      <c r="BM389" t="inlineStr">
        <is>
          <t>0.0</t>
        </is>
      </c>
      <c r="BN389"/>
      <c r="BO389" s="4"/>
      <c r="BP389">
        <v>169148</v>
      </c>
      <c r="BQ389"/>
      <c r="BR389"/>
      <c r="BS389"/>
      <c r="BT389"/>
      <c r="BU389"/>
      <c r="BV389"/>
      <c r="BW389"/>
      <c r="BX389"/>
      <c r="BY389"/>
      <c r="BZ389" s="4"/>
      <c r="CA389"/>
      <c r="CB389"/>
      <c r="CC389" s="4"/>
      <c r="CD389" t="inlineStr">
        <is>
          <t>5</t>
        </is>
      </c>
      <c r="CE389" t="inlineStr">
        <is>
          <t>0</t>
        </is>
      </c>
      <c r="CF389" t="inlineStr">
        <is>
          <t>Q2-W04</t>
        </is>
      </c>
      <c r="CG389"/>
      <c r="CH389"/>
      <c r="CI389"/>
      <c r="CJ389" t="inlineStr">
        <is>
          <t>No Paid</t>
        </is>
      </c>
      <c r="CK389" t="inlineStr">
        <is>
          <t>Not Eligible</t>
        </is>
      </c>
      <c r="CL389"/>
      <c r="CM389"/>
    </row>
    <row r="390" ht="25.5" customHeight="1">
      <c r="A390" t="inlineStr">
        <is>
          <t>203705</t>
        </is>
      </c>
      <c r="B390" s="2"/>
      <c r="C390"/>
      <c r="D390" s="3">
        <v>46140.46175925926</v>
      </c>
      <c r="E390" t="inlineStr">
        <is>
          <t>Q2-W04</t>
        </is>
      </c>
      <c r="F390" t="inlineStr">
        <is>
          <t>Alan KY</t>
        </is>
      </c>
      <c r="G390" t="inlineStr">
        <is>
          <t>Customer</t>
        </is>
      </c>
      <c r="H390" s="2" t="str">
        <f>=HYPERLINK("https://upbox.ajobthing.my/customer/203705", "https://upbox.ajobthing.my/customer/203705")</f>
        <v>https://upbox.ajobthing.my/customer/203705</v>
      </c>
      <c r="I390" t="inlineStr">
        <is>
          <t>Pret Composites (Malaysia) Sdn Bhd</t>
        </is>
      </c>
      <c r="J390" t="inlineStr">
        <is>
          <t>Small Fish</t>
        </is>
      </c>
      <c r="K390" t="inlineStr">
        <is>
          <t>Alan KY</t>
        </is>
      </c>
      <c r="L390" s="4"/>
      <c r="M390" s="4">
        <v>46142.63371527778</v>
      </c>
      <c r="N390"/>
      <c r="O390">
        <v>1296</v>
      </c>
      <c r="P390" s="4"/>
      <c r="Q390" s="4"/>
      <c r="R390"/>
      <c r="S390"/>
      <c r="T390" s="4"/>
      <c r="U390" s="4"/>
      <c r="V390"/>
      <c r="W390"/>
      <c r="X390"/>
      <c r="Y390" t="inlineStr">
        <is>
          <t>Pending Appointment</t>
        </is>
      </c>
      <c r="Z390" t="inlineStr">
        <is>
          <t>Hiring Later</t>
        </is>
      </c>
      <c r="AA390">
        <v>2</v>
      </c>
      <c r="AB390" t="inlineStr">
        <is>
          <t>No Appointment Made</t>
        </is>
      </c>
      <c r="AC390"/>
      <c r="AD390" t="inlineStr">
        <is>
          <t xml:space="preserve">1 operation senior executive , 1 clerk, based in Subang Selangor </t>
        </is>
      </c>
      <c r="AE390"/>
      <c r="AF390"/>
      <c r="AG390" s="4"/>
      <c r="AH390" s="4"/>
      <c r="AI390"/>
      <c r="AJ390">
        <v>2</v>
      </c>
      <c r="AK390" t="inlineStr">
        <is>
          <t>No, I don't need at all</t>
        </is>
      </c>
      <c r="AL390"/>
      <c r="AM390" t="inlineStr">
        <is>
          <t>No, I don't need at all</t>
        </is>
      </c>
      <c r="AN390"/>
      <c r="AO390" t="inlineStr">
        <is>
          <t>No, I don't need at all</t>
        </is>
      </c>
      <c r="AP390" t="inlineStr">
        <is>
          <t>Once per quarter (75%)</t>
        </is>
      </c>
      <c r="AQ390"/>
      <c r="AR390" t="inlineStr">
        <is>
          <t>Jobstreet</t>
        </is>
      </c>
      <c r="AS390" t="inlineStr">
        <is>
          <t>- Headcount: 2
- Hiring Job Details: 1 operation senior executive, 1 clerk, based in Subang Selangor
- Hiring Urgency: Hiring Later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390">
        <v>95</v>
      </c>
      <c r="AU390" t="inlineStr">
        <is>
          <t>0.95</t>
        </is>
      </c>
      <c r="AV390" t="inlineStr">
        <is>
          <t>5</t>
        </is>
      </c>
      <c r="AW390" t="inlineStr">
        <is>
          <t>0</t>
        </is>
      </c>
      <c r="AX390" t="inlineStr">
        <is>
          <t>Not Qualified</t>
        </is>
      </c>
      <c r="AY390" s="4"/>
      <c r="AZ390"/>
      <c r="BA390"/>
      <c r="BB390"/>
      <c r="BC390" t="inlineStr">
        <is>
          <t>Assist on Ms Lily clarification, she reached out from WA 
+8618579918609
send quotation</t>
        </is>
      </c>
      <c r="BD390" s="4">
        <v>46142.60125</v>
      </c>
      <c r="BE390"/>
      <c r="BF390"/>
      <c r="BG390" t="inlineStr">
        <is>
          <t>Reschedule</t>
        </is>
      </c>
      <c r="BH390" t="inlineStr">
        <is>
          <t>Reagen</t>
        </is>
      </c>
      <c r="BI390" t="inlineStr">
        <is>
          <t>Manufacturing / Production</t>
        </is>
      </c>
      <c r="BJ390" s="4">
        <v>46144.75436342593</v>
      </c>
      <c r="BK390" s="4">
        <v>46139.60928240741</v>
      </c>
      <c r="BL390" t="inlineStr">
        <is>
          <t>0.0</t>
        </is>
      </c>
      <c r="BM390" t="inlineStr">
        <is>
          <t>0.0</t>
        </is>
      </c>
      <c r="BN390" t="inlineStr">
        <is>
          <t>View Company Page</t>
        </is>
      </c>
      <c r="BO390" s="4">
        <v>46142.6209375</v>
      </c>
      <c r="BP390">
        <v>169710</v>
      </c>
      <c r="BQ390"/>
      <c r="BR390"/>
      <c r="BS390"/>
      <c r="BT390"/>
      <c r="BU390"/>
      <c r="BV390">
        <v>2737684</v>
      </c>
      <c r="BW390" t="inlineStr">
        <is>
          <t>Follow Up : Decision Pending</t>
        </is>
      </c>
      <c r="BX390"/>
      <c r="BY390"/>
      <c r="BZ390" s="4"/>
      <c r="CA390"/>
      <c r="CB390"/>
      <c r="CC390" s="4"/>
      <c r="CD390" t="inlineStr">
        <is>
          <t>5</t>
        </is>
      </c>
      <c r="CE390" t="inlineStr">
        <is>
          <t>0</t>
        </is>
      </c>
      <c r="CF390" t="inlineStr">
        <is>
          <t>Q2-W04</t>
        </is>
      </c>
      <c r="CG390"/>
      <c r="CH390"/>
      <c r="CI390"/>
      <c r="CJ390" t="inlineStr">
        <is>
          <t>No Paid</t>
        </is>
      </c>
      <c r="CK390" t="inlineStr">
        <is>
          <t>Not Eligible</t>
        </is>
      </c>
      <c r="CL390"/>
      <c r="CM390"/>
    </row>
    <row r="391" ht="25.5" customHeight="1">
      <c r="A391" t="inlineStr">
        <is>
          <t>4329023</t>
        </is>
      </c>
      <c r="B391" s="2"/>
      <c r="C391"/>
      <c r="D391" s="3">
        <v>46140.47665509259</v>
      </c>
      <c r="E391" t="inlineStr">
        <is>
          <t>Q2-W04</t>
        </is>
      </c>
      <c r="F391" t="inlineStr">
        <is>
          <t>Luqman</t>
        </is>
      </c>
      <c r="G391" t="inlineStr">
        <is>
          <t>Lead</t>
        </is>
      </c>
      <c r="H391" s="2" t="str">
        <f>=HYPERLINK("https://upbox.ajobthing.my/leads/4329023", "https://upbox.ajobthing.my/leads/4329023")</f>
        <v>https://upbox.ajobthing.my/leads/4329023</v>
      </c>
      <c r="I391" t="inlineStr">
        <is>
          <t>Asia Propel Sdn Bhd</t>
        </is>
      </c>
      <c r="J391" t="inlineStr">
        <is>
          <t>Small Fish</t>
        </is>
      </c>
      <c r="K391" t="inlineStr">
        <is>
          <t>Luqman</t>
        </is>
      </c>
      <c r="L391" s="4"/>
      <c r="M391" s="4">
        <v>46140.47724537037</v>
      </c>
      <c r="N391"/>
      <c r="O391">
        <v>3888</v>
      </c>
      <c r="P391" s="4"/>
      <c r="Q391" s="4"/>
      <c r="R391"/>
      <c r="S391"/>
      <c r="T391" s="4"/>
      <c r="U391" s="4"/>
      <c r="V391"/>
      <c r="W391"/>
      <c r="X391"/>
      <c r="Y391" t="inlineStr">
        <is>
          <t>Pending Appointment</t>
        </is>
      </c>
      <c r="Z391" t="inlineStr">
        <is>
          <t>Hiring Later</t>
        </is>
      </c>
      <c r="AA391">
        <v>1</v>
      </c>
      <c r="AB391" t="inlineStr">
        <is>
          <t>No Appointment Made</t>
        </is>
      </c>
      <c r="AC391"/>
      <c r="AD391" t="inlineStr">
        <is>
          <t xml:space="preserve">1. QA/QC </t>
        </is>
      </c>
      <c r="AE391"/>
      <c r="AF391">
        <v>3600</v>
      </c>
      <c r="AG391" s="4"/>
      <c r="AH391" s="4"/>
      <c r="AI391">
        <v>3600</v>
      </c>
      <c r="AJ391"/>
      <c r="AK391" t="inlineStr">
        <is>
          <t>Yes, I have</t>
        </is>
      </c>
      <c r="AL391">
        <v>4</v>
      </c>
      <c r="AM391" t="inlineStr">
        <is>
          <t>No, I don't need at all</t>
        </is>
      </c>
      <c r="AN391"/>
      <c r="AO391" t="inlineStr">
        <is>
          <t>Yes, I have</t>
        </is>
      </c>
      <c r="AP391" t="inlineStr">
        <is>
          <t>Once a year (25%)</t>
        </is>
      </c>
      <c r="AQ391">
        <v>3</v>
      </c>
      <c r="AR391" t="inlineStr">
        <is>
          <t>Free Job Portal</t>
        </is>
      </c>
      <c r="AS391" t="inlineStr">
        <is>
          <t>- Headcount: 1
- Hiring Job Details: 1 QA/QC
- Hiring Urgency: Hiring Later
- Number of outlets: Not provided
- Have recruiter team: Yes
- Number of recruiter in company: 4
- Have ATS system: No, I don't need at all
- Have career website: Yes
- Current hiring budget: RM3,600
- Whole year budget: RM3,600.00
- Whole year number of vacancies: 3
- Hiring frequency: Once a year (25%)
- External job portal: Free Job Portal</t>
        </is>
      </c>
      <c r="AT391">
        <v>110</v>
      </c>
      <c r="AU391" t="inlineStr">
        <is>
          <t>1.10</t>
        </is>
      </c>
      <c r="AV391" t="inlineStr">
        <is>
          <t>15</t>
        </is>
      </c>
      <c r="AW391" t="inlineStr">
        <is>
          <t>0</t>
        </is>
      </c>
      <c r="AX391" t="inlineStr">
        <is>
          <t>Not Qualified</t>
        </is>
      </c>
      <c r="AY391" s="4"/>
      <c r="AZ391"/>
      <c r="BA391"/>
      <c r="BB391"/>
      <c r="BC391"/>
      <c r="BD391" s="4"/>
      <c r="BE391"/>
      <c r="BF391"/>
      <c r="BG391" t="inlineStr">
        <is>
          <t>Reschedule</t>
        </is>
      </c>
      <c r="BH391" t="inlineStr">
        <is>
          <t>Edward Hoo</t>
        </is>
      </c>
      <c r="BI391"/>
      <c r="BJ391" s="4">
        <v>46144.75592592593</v>
      </c>
      <c r="BK391" s="4">
        <v>46140.434537037036</v>
      </c>
      <c r="BL391" t="inlineStr">
        <is>
          <t>0.0</t>
        </is>
      </c>
      <c r="BM391" t="inlineStr">
        <is>
          <t>0.0</t>
        </is>
      </c>
      <c r="BN391"/>
      <c r="BO391" s="4"/>
      <c r="BP391">
        <v>169173</v>
      </c>
      <c r="BQ391"/>
      <c r="BR391"/>
      <c r="BS391"/>
      <c r="BT391"/>
      <c r="BU391"/>
      <c r="BV391"/>
      <c r="BW391"/>
      <c r="BX391"/>
      <c r="BY391"/>
      <c r="BZ391" s="4"/>
      <c r="CA391"/>
      <c r="CB391"/>
      <c r="CC391" s="4"/>
      <c r="CD391" t="inlineStr">
        <is>
          <t>20</t>
        </is>
      </c>
      <c r="CE391" t="inlineStr">
        <is>
          <t>0</t>
        </is>
      </c>
      <c r="CF391" t="inlineStr">
        <is>
          <t>Q2-W04</t>
        </is>
      </c>
      <c r="CG391"/>
      <c r="CH391"/>
      <c r="CI391"/>
      <c r="CJ391" t="inlineStr">
        <is>
          <t>No Paid</t>
        </is>
      </c>
      <c r="CK391" t="inlineStr">
        <is>
          <t>Not Eligible</t>
        </is>
      </c>
      <c r="CL391"/>
      <c r="CM391"/>
    </row>
    <row r="392" ht="25.5" customHeight="1">
      <c r="A392" t="inlineStr">
        <is>
          <t>179681</t>
        </is>
      </c>
      <c r="B392" s="2"/>
      <c r="C392"/>
      <c r="D392" s="3">
        <v>46140.50303240741</v>
      </c>
      <c r="E392" t="inlineStr">
        <is>
          <t>Q2-W04</t>
        </is>
      </c>
      <c r="F392" t="inlineStr">
        <is>
          <t>Evan</t>
        </is>
      </c>
      <c r="G392" t="inlineStr">
        <is>
          <t>Customer</t>
        </is>
      </c>
      <c r="H392" s="2" t="str">
        <f>=HYPERLINK("https://upbox.ajobthing.my/customer/179681", "https://upbox.ajobthing.my/customer/179681")</f>
        <v>https://upbox.ajobthing.my/customer/179681</v>
      </c>
      <c r="I392" t="inlineStr">
        <is>
          <t>Dr Laundry Consultancy &amp; Resources</t>
        </is>
      </c>
      <c r="J392" t="inlineStr">
        <is>
          <t>Small Fish</t>
        </is>
      </c>
      <c r="K392" t="inlineStr">
        <is>
          <t>Evan</t>
        </is>
      </c>
      <c r="L392" s="4"/>
      <c r="M392" s="4">
        <v>46140.500752314816</v>
      </c>
      <c r="N392"/>
      <c r="O392">
        <v>3576.96</v>
      </c>
      <c r="P392" s="4"/>
      <c r="Q392" s="4">
        <v>45464.64665509259</v>
      </c>
      <c r="R392"/>
      <c r="S392">
        <v>648</v>
      </c>
      <c r="T392" s="4">
        <v>45464.64665509259</v>
      </c>
      <c r="U392" s="4"/>
      <c r="V392"/>
      <c r="W392">
        <v>648</v>
      </c>
      <c r="X392"/>
      <c r="Y392" t="inlineStr">
        <is>
          <t>Pending Appointment</t>
        </is>
      </c>
      <c r="Z392" t="inlineStr">
        <is>
          <t>Hiring Now</t>
        </is>
      </c>
      <c r="AA392">
        <v>1</v>
      </c>
      <c r="AB392" t="inlineStr">
        <is>
          <t>No Appointment Made</t>
        </is>
      </c>
      <c r="AC392"/>
      <c r="AD392" t="inlineStr">
        <is>
          <t>1 tech, all base in malaysia</t>
        </is>
      </c>
      <c r="AE392"/>
      <c r="AF392">
        <v>1</v>
      </c>
      <c r="AG392" s="4"/>
      <c r="AH392" s="4"/>
      <c r="AI392">
        <v>1</v>
      </c>
      <c r="AJ392">
        <v>1</v>
      </c>
      <c r="AK392" t="inlineStr">
        <is>
          <t>No, I don't need at all</t>
        </is>
      </c>
      <c r="AL392">
        <v>0</v>
      </c>
      <c r="AM392" t="inlineStr">
        <is>
          <t>No, I don't need at all</t>
        </is>
      </c>
      <c r="AN392"/>
      <c r="AO392" t="inlineStr">
        <is>
          <t>No, I don't need at all</t>
        </is>
      </c>
      <c r="AP392" t="inlineStr">
        <is>
          <t>Once a year (25%)</t>
        </is>
      </c>
      <c r="AQ392">
        <v>1</v>
      </c>
      <c r="AR392" t="inlineStr">
        <is>
          <t>Did not use any job portal</t>
        </is>
      </c>
      <c r="AS392" t="inlineStr">
        <is>
          <t>- Headcount: 1
- Hiring Job Details: 1 tech, all base in malaysia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392">
        <v>115</v>
      </c>
      <c r="AU392" t="inlineStr">
        <is>
          <t>1.15</t>
        </is>
      </c>
      <c r="AV392" t="inlineStr">
        <is>
          <t>15</t>
        </is>
      </c>
      <c r="AW392" t="inlineStr">
        <is>
          <t>0</t>
        </is>
      </c>
      <c r="AX392" t="inlineStr">
        <is>
          <t>Not Qualified</t>
        </is>
      </c>
      <c r="AY392" s="4"/>
      <c r="AZ392"/>
      <c r="BA392"/>
      <c r="BB392"/>
      <c r="BC392" t="inlineStr">
        <is>
          <t>- Headcount: 1
- Hiring Job Details: 1 tech, all base in malaysia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392" s="4">
        <v>46140.54174768519</v>
      </c>
      <c r="BE392" t="inlineStr">
        <is>
          <t>paid</t>
        </is>
      </c>
      <c r="BF392"/>
      <c r="BG392" t="inlineStr">
        <is>
          <t>Reschedule</t>
        </is>
      </c>
      <c r="BH392" t="inlineStr">
        <is>
          <t>Edward Hoo</t>
        </is>
      </c>
      <c r="BI392"/>
      <c r="BJ392" s="4">
        <v>46144.75178240741</v>
      </c>
      <c r="BK392" s="4">
        <v>45464.552719907406</v>
      </c>
      <c r="BL392" t="inlineStr">
        <is>
          <t>0.0</t>
        </is>
      </c>
      <c r="BM392" t="inlineStr">
        <is>
          <t>0.0</t>
        </is>
      </c>
      <c r="BN392" t="inlineStr">
        <is>
          <t>User Visit(Logged In)</t>
        </is>
      </c>
      <c r="BO392" s="4">
        <v>45994.69783564815</v>
      </c>
      <c r="BP392">
        <v>169213</v>
      </c>
      <c r="BQ392">
        <v>70305</v>
      </c>
      <c r="BR392" t="inlineStr">
        <is>
          <t>Online</t>
        </is>
      </c>
      <c r="BS392"/>
      <c r="BT392">
        <v>70305</v>
      </c>
      <c r="BU392"/>
      <c r="BV392">
        <v>2732495</v>
      </c>
      <c r="BW392" t="inlineStr">
        <is>
          <t>Customer Inquiry</t>
        </is>
      </c>
      <c r="BX392"/>
      <c r="BY392"/>
      <c r="BZ392" s="4"/>
      <c r="CA392"/>
      <c r="CB392"/>
      <c r="CC392" s="4"/>
      <c r="CD392" t="inlineStr">
        <is>
          <t>20</t>
        </is>
      </c>
      <c r="CE392" t="inlineStr">
        <is>
          <t>0</t>
        </is>
      </c>
      <c r="CF392" t="inlineStr">
        <is>
          <t>Q2-W04</t>
        </is>
      </c>
      <c r="CG392"/>
      <c r="CH392"/>
      <c r="CI392"/>
      <c r="CJ392" t="inlineStr">
        <is>
          <t>Paid</t>
        </is>
      </c>
      <c r="CK392" t="inlineStr">
        <is>
          <t>Not Eligible</t>
        </is>
      </c>
      <c r="CL392"/>
      <c r="CM392"/>
    </row>
    <row r="393" ht="25.5" customHeight="1">
      <c r="A393" t="inlineStr">
        <is>
          <t>203681</t>
        </is>
      </c>
      <c r="B393" s="2"/>
      <c r="C393"/>
      <c r="D393" s="3">
        <v>46140.51278935185</v>
      </c>
      <c r="E393" t="inlineStr">
        <is>
          <t>Q2-W04</t>
        </is>
      </c>
      <c r="F393" t="inlineStr">
        <is>
          <t>Angel  Low</t>
        </is>
      </c>
      <c r="G393" t="inlineStr">
        <is>
          <t>Customer</t>
        </is>
      </c>
      <c r="H393" s="2" t="str">
        <f>=HYPERLINK("https://upbox.ajobthing.my/customer/203681", "https://upbox.ajobthing.my/customer/203681")</f>
        <v>https://upbox.ajobthing.my/customer/203681</v>
      </c>
      <c r="I393" t="inlineStr">
        <is>
          <t>Mcfarlie Consulting Sdn Bhd</t>
        </is>
      </c>
      <c r="J393" t="inlineStr">
        <is>
          <t>Small Fish</t>
        </is>
      </c>
      <c r="K393" t="inlineStr">
        <is>
          <t>Angel Low</t>
        </is>
      </c>
      <c r="L393" s="4"/>
      <c r="M393" s="4">
        <v>46140.510879629626</v>
      </c>
      <c r="N393"/>
      <c r="O393">
        <v>3576.96</v>
      </c>
      <c r="P393" s="4"/>
      <c r="Q393" s="4">
        <v>46139.718831018516</v>
      </c>
      <c r="R393"/>
      <c r="S393">
        <v>864</v>
      </c>
      <c r="T393" s="4">
        <v>46139.718831018516</v>
      </c>
      <c r="U393" s="4"/>
      <c r="V393"/>
      <c r="W393">
        <v>864</v>
      </c>
      <c r="X393"/>
      <c r="Y393" t="inlineStr">
        <is>
          <t>Pending Appointment</t>
        </is>
      </c>
      <c r="Z393"/>
      <c r="AA393">
        <v>1</v>
      </c>
      <c r="AB393" t="inlineStr">
        <is>
          <t>No Appointment Made</t>
        </is>
      </c>
      <c r="AC393"/>
      <c r="AD393" t="inlineStr">
        <is>
          <t xml:space="preserve">1 telesales </t>
        </is>
      </c>
      <c r="AE393"/>
      <c r="AF393"/>
      <c r="AG393" s="4"/>
      <c r="AH393" s="4"/>
      <c r="AI393"/>
      <c r="AJ393"/>
      <c r="AK393"/>
      <c r="AL393"/>
      <c r="AM393"/>
      <c r="AN393"/>
      <c r="AO393"/>
      <c r="AP393"/>
      <c r="AQ393"/>
      <c r="AR393"/>
      <c r="AS393" t="inlineStr">
        <is>
          <t>- Headcount: 1
- Hiring Job Details: 1 telesales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393">
        <v>60</v>
      </c>
      <c r="AU393" t="inlineStr">
        <is>
          <t>0.60</t>
        </is>
      </c>
      <c r="AV393" t="inlineStr">
        <is>
          <t>5</t>
        </is>
      </c>
      <c r="AW393" t="inlineStr">
        <is>
          <t>0</t>
        </is>
      </c>
      <c r="AX393" t="inlineStr">
        <is>
          <t>Not Qualified</t>
        </is>
      </c>
      <c r="AY393" s="4"/>
      <c r="AZ393"/>
      <c r="BA393"/>
      <c r="BB393"/>
      <c r="BC393" t="inlineStr">
        <is>
          <t>- Headcount: 1
- Hiring Job Details: 1 telesales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BD393" s="4">
        <v>46140.54174768519</v>
      </c>
      <c r="BE393" t="inlineStr">
        <is>
          <t>paid</t>
        </is>
      </c>
      <c r="BF393" t="inlineStr">
        <is>
          <t>Q2-W04</t>
        </is>
      </c>
      <c r="BG393" t="inlineStr">
        <is>
          <t>Reschedule</t>
        </is>
      </c>
      <c r="BH393" t="inlineStr">
        <is>
          <t>Fauziah Maharan</t>
        </is>
      </c>
      <c r="BI393"/>
      <c r="BJ393" s="4">
        <v>46144.75436342593</v>
      </c>
      <c r="BK393" s="4">
        <v>46138.75164351852</v>
      </c>
      <c r="BL393" t="inlineStr">
        <is>
          <t>864.0</t>
        </is>
      </c>
      <c r="BM393" t="inlineStr">
        <is>
          <t>0.0</t>
        </is>
      </c>
      <c r="BN393" t="inlineStr">
        <is>
          <t>View Jobmanager Page</t>
        </is>
      </c>
      <c r="BO393" s="4">
        <v>46143.67325231482</v>
      </c>
      <c r="BP393">
        <v>169222</v>
      </c>
      <c r="BQ393">
        <v>94831</v>
      </c>
      <c r="BR393" t="inlineStr">
        <is>
          <t>Online</t>
        </is>
      </c>
      <c r="BS393"/>
      <c r="BT393">
        <v>94831</v>
      </c>
      <c r="BU393"/>
      <c r="BV393">
        <v>2732497</v>
      </c>
      <c r="BW393" t="inlineStr">
        <is>
          <t>Customer Inquiry</t>
        </is>
      </c>
      <c r="BX393">
        <v>1</v>
      </c>
      <c r="BY393">
        <v>0</v>
      </c>
      <c r="BZ393" s="4">
        <v>46139.718831018516</v>
      </c>
      <c r="CA393">
        <v>10</v>
      </c>
      <c r="CB393">
        <v>10</v>
      </c>
      <c r="CC393" s="4"/>
      <c r="CD393" t="inlineStr">
        <is>
          <t>5</t>
        </is>
      </c>
      <c r="CE393" t="inlineStr">
        <is>
          <t>0</t>
        </is>
      </c>
      <c r="CF393" t="inlineStr">
        <is>
          <t>Q2-W04</t>
        </is>
      </c>
      <c r="CG393" t="inlineStr">
        <is>
          <t>Q2-W04</t>
        </is>
      </c>
      <c r="CH393" t="inlineStr">
        <is>
          <t>Q2-W04</t>
        </is>
      </c>
      <c r="CI393"/>
      <c r="CJ393" t="inlineStr">
        <is>
          <t>Paid</t>
        </is>
      </c>
      <c r="CK393" t="inlineStr">
        <is>
          <t>Not Eligible</t>
        </is>
      </c>
      <c r="CL393"/>
      <c r="CM393"/>
    </row>
    <row r="394" ht="25.5" customHeight="1">
      <c r="A394" t="inlineStr">
        <is>
          <t>4263644</t>
        </is>
      </c>
      <c r="B394" s="2"/>
      <c r="C394"/>
      <c r="D394" s="3">
        <v>46140.518912037034</v>
      </c>
      <c r="E394" t="inlineStr">
        <is>
          <t>Q2-W04</t>
        </is>
      </c>
      <c r="F394" t="inlineStr">
        <is>
          <t>Chia Yee</t>
        </is>
      </c>
      <c r="G394" t="inlineStr">
        <is>
          <t>Lead</t>
        </is>
      </c>
      <c r="H394" s="2" t="str">
        <f>=HYPERLINK("https://upbox.ajobthing.my/leads/4263644", "https://upbox.ajobthing.my/leads/4263644")</f>
        <v>https://upbox.ajobthing.my/leads/4263644</v>
      </c>
      <c r="I394" t="inlineStr">
        <is>
          <t>House of Ingredients Sdn Bhd</t>
        </is>
      </c>
      <c r="J394" t="inlineStr">
        <is>
          <t>Small Fish</t>
        </is>
      </c>
      <c r="K394" t="inlineStr">
        <is>
          <t>Chia Yee</t>
        </is>
      </c>
      <c r="L394" s="4"/>
      <c r="M394" s="4">
        <v>46140.519212962965</v>
      </c>
      <c r="N394"/>
      <c r="O394">
        <v>3576.96</v>
      </c>
      <c r="P394" s="4"/>
      <c r="Q394" s="4"/>
      <c r="R394"/>
      <c r="S394"/>
      <c r="T394" s="4"/>
      <c r="U394" s="4"/>
      <c r="V394"/>
      <c r="W394"/>
      <c r="X394"/>
      <c r="Y394" t="inlineStr">
        <is>
          <t>Pending Appointment</t>
        </is>
      </c>
      <c r="Z394" t="inlineStr">
        <is>
          <t>Hiring Now</t>
        </is>
      </c>
      <c r="AA394">
        <v>5</v>
      </c>
      <c r="AB394" t="inlineStr">
        <is>
          <t>No Appointment Made</t>
        </is>
      </c>
      <c r="AC394"/>
      <c r="AD394" t="inlineStr">
        <is>
          <t xml:space="preserve"> 2 Purcashing (Chinese), 2 Account (Chinese), 1 Retail Manager. 3 Outlet.</t>
        </is>
      </c>
      <c r="AE394"/>
      <c r="AF394">
        <v>0</v>
      </c>
      <c r="AG394" s="4"/>
      <c r="AH394" s="4"/>
      <c r="AI394">
        <v>0</v>
      </c>
      <c r="AJ394">
        <v>1</v>
      </c>
      <c r="AK394" t="inlineStr">
        <is>
          <t>No, I don't need at all</t>
        </is>
      </c>
      <c r="AL394">
        <v>1</v>
      </c>
      <c r="AM394" t="inlineStr">
        <is>
          <t>No, I don't need at all</t>
        </is>
      </c>
      <c r="AN394"/>
      <c r="AO394" t="inlineStr">
        <is>
          <t>No, I don't need at all</t>
        </is>
      </c>
      <c r="AP394" t="inlineStr">
        <is>
          <t>Once a year (25%)</t>
        </is>
      </c>
      <c r="AQ394">
        <v>8</v>
      </c>
      <c r="AR394" t="inlineStr">
        <is>
          <t>Did not use any job portal</t>
        </is>
      </c>
      <c r="AS394" t="inlineStr">
        <is>
          <t>- Headcount: 5
- Hiring Job Details: 2 Purchasing (Chinese), 2 Account (Chinese), 1 Retail Manager; 3 Outlet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8
- Hiring frequency: Once a year (25%)
- External job portal: Did not use any job portal</t>
        </is>
      </c>
      <c r="AT394">
        <v>85</v>
      </c>
      <c r="AU394" t="inlineStr">
        <is>
          <t>0.85</t>
        </is>
      </c>
      <c r="AV394" t="inlineStr">
        <is>
          <t>20</t>
        </is>
      </c>
      <c r="AW394" t="inlineStr">
        <is>
          <t>0</t>
        </is>
      </c>
      <c r="AX394" t="inlineStr">
        <is>
          <t>Not Qualified</t>
        </is>
      </c>
      <c r="AY394" s="4"/>
      <c r="AZ394"/>
      <c r="BA394"/>
      <c r="BB394"/>
      <c r="BC394"/>
      <c r="BD394" s="4"/>
      <c r="BE394"/>
      <c r="BF394"/>
      <c r="BG394" t="inlineStr">
        <is>
          <t>Reschedule</t>
        </is>
      </c>
      <c r="BH394" t="inlineStr">
        <is>
          <t>Reagen</t>
        </is>
      </c>
      <c r="BI394"/>
      <c r="BJ394" s="4">
        <v>46144.75576388889</v>
      </c>
      <c r="BK394" s="4">
        <v>46121.40960648148</v>
      </c>
      <c r="BL394" t="inlineStr">
        <is>
          <t>0.0</t>
        </is>
      </c>
      <c r="BM394" t="inlineStr">
        <is>
          <t>600.0</t>
        </is>
      </c>
      <c r="BN394"/>
      <c r="BO394" s="4"/>
      <c r="BP394">
        <v>169229</v>
      </c>
      <c r="BQ394"/>
      <c r="BR394"/>
      <c r="BS394"/>
      <c r="BT394"/>
      <c r="BU394"/>
      <c r="BV394"/>
      <c r="BW394"/>
      <c r="BX394"/>
      <c r="BY394"/>
      <c r="BZ394" s="4"/>
      <c r="CA394"/>
      <c r="CB394"/>
      <c r="CC394" s="4"/>
      <c r="CD394" t="inlineStr">
        <is>
          <t>30</t>
        </is>
      </c>
      <c r="CE394" t="inlineStr">
        <is>
          <t>0</t>
        </is>
      </c>
      <c r="CF394" t="inlineStr">
        <is>
          <t>Q2-W04</t>
        </is>
      </c>
      <c r="CG394"/>
      <c r="CH394"/>
      <c r="CI394"/>
      <c r="CJ394" t="inlineStr">
        <is>
          <t>No Paid</t>
        </is>
      </c>
      <c r="CK394" t="inlineStr">
        <is>
          <t>Not Eligible</t>
        </is>
      </c>
      <c r="CL394"/>
      <c r="CM394"/>
    </row>
    <row r="395" ht="25.5" customHeight="1">
      <c r="A395" t="inlineStr">
        <is>
          <t>40736</t>
        </is>
      </c>
      <c r="B395" s="2"/>
      <c r="C395"/>
      <c r="D395" s="3">
        <v>46140.574155092596</v>
      </c>
      <c r="E395" t="inlineStr">
        <is>
          <t>Q2-W04</t>
        </is>
      </c>
      <c r="F395" t="inlineStr">
        <is>
          <t>Chia Yee</t>
        </is>
      </c>
      <c r="G395" t="inlineStr">
        <is>
          <t>Customer</t>
        </is>
      </c>
      <c r="H395" s="2" t="str">
        <f>=HYPERLINK("https://upbox.ajobthing.my/customer/40736", "https://upbox.ajobthing.my/customer/40736")</f>
        <v>https://upbox.ajobthing.my/customer/40736</v>
      </c>
      <c r="I395" t="inlineStr">
        <is>
          <t>Coffee Hive</t>
        </is>
      </c>
      <c r="J395" t="inlineStr">
        <is>
          <t>Small Fish</t>
        </is>
      </c>
      <c r="K395" t="inlineStr">
        <is>
          <t>Chia Yee</t>
        </is>
      </c>
      <c r="L395" s="4"/>
      <c r="M395" s="4">
        <v>46140.58608796296</v>
      </c>
      <c r="N395"/>
      <c r="O395">
        <v>3024</v>
      </c>
      <c r="P395" s="4"/>
      <c r="Q395" s="4">
        <v>46144.48966435185</v>
      </c>
      <c r="R395"/>
      <c r="S395">
        <v>1860</v>
      </c>
      <c r="T395" s="4">
        <v>46144.48966435185</v>
      </c>
      <c r="U395" s="4"/>
      <c r="V395"/>
      <c r="W395">
        <v>1860</v>
      </c>
      <c r="X395"/>
      <c r="Y395" t="inlineStr">
        <is>
          <t>Pending Appointment</t>
        </is>
      </c>
      <c r="Z395" t="inlineStr">
        <is>
          <t>Hiring Now</t>
        </is>
      </c>
      <c r="AA395">
        <v>2</v>
      </c>
      <c r="AB395" t="inlineStr">
        <is>
          <t>No Appointment Made</t>
        </is>
      </c>
      <c r="AC395"/>
      <c r="AD395" t="inlineStr">
        <is>
          <t xml:space="preserve"> 1  Chinese restaurant chef , 1 kitchen assistant</t>
        </is>
      </c>
      <c r="AE395"/>
      <c r="AF395">
        <v>0</v>
      </c>
      <c r="AG395" s="4"/>
      <c r="AH395" s="4"/>
      <c r="AI395">
        <v>0</v>
      </c>
      <c r="AJ395">
        <v>1</v>
      </c>
      <c r="AK395" t="inlineStr">
        <is>
          <t>No, I don't need at all</t>
        </is>
      </c>
      <c r="AL395">
        <v>1</v>
      </c>
      <c r="AM395" t="inlineStr">
        <is>
          <t>No, I don't need at all</t>
        </is>
      </c>
      <c r="AN395"/>
      <c r="AO395" t="inlineStr">
        <is>
          <t>No, I don't need at all</t>
        </is>
      </c>
      <c r="AP395" t="inlineStr">
        <is>
          <t>Once a year (25%)</t>
        </is>
      </c>
      <c r="AQ395">
        <v>2</v>
      </c>
      <c r="AR395" t="inlineStr">
        <is>
          <t>Did not use any job portal</t>
        </is>
      </c>
      <c r="AS395" t="inlineStr">
        <is>
          <t>- Headcount: 2
- Hiring Job Details: 1 Chinese restaurant chef, 1 kitchen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395">
        <v>105</v>
      </c>
      <c r="AU395" t="inlineStr">
        <is>
          <t>1.05</t>
        </is>
      </c>
      <c r="AV395" t="inlineStr">
        <is>
          <t>15</t>
        </is>
      </c>
      <c r="AW395" t="inlineStr">
        <is>
          <t>0</t>
        </is>
      </c>
      <c r="AX395" t="inlineStr">
        <is>
          <t>Not Qualified</t>
        </is>
      </c>
      <c r="AY395" s="4"/>
      <c r="AZ395"/>
      <c r="BA395"/>
      <c r="BB395"/>
      <c r="BC395" t="inlineStr">
        <is>
          <t>Replied: can try 1 post . Ask doc</t>
        </is>
      </c>
      <c r="BD395" s="4">
        <v>46142.47592592592</v>
      </c>
      <c r="BE395" t="inlineStr">
        <is>
          <t>paid</t>
        </is>
      </c>
      <c r="BF395" t="inlineStr">
        <is>
          <t>Q2-W05</t>
        </is>
      </c>
      <c r="BG395" t="inlineStr">
        <is>
          <t>Reschedule</t>
        </is>
      </c>
      <c r="BH395" t="inlineStr">
        <is>
          <t>Reagen</t>
        </is>
      </c>
      <c r="BI395" t="inlineStr">
        <is>
          <t>Food / Beverage</t>
        </is>
      </c>
      <c r="BJ395" s="4">
        <v>46144.755324074074</v>
      </c>
      <c r="BK395" s="4">
        <v>42962.03525462963</v>
      </c>
      <c r="BL395" t="inlineStr">
        <is>
          <t>0.0</t>
        </is>
      </c>
      <c r="BM395" t="inlineStr">
        <is>
          <t>0.0</t>
        </is>
      </c>
      <c r="BN395" t="inlineStr">
        <is>
          <t>PA Visit - Job Card</t>
        </is>
      </c>
      <c r="BO395" s="4">
        <v>46144.55107638889</v>
      </c>
      <c r="BP395">
        <v>169245</v>
      </c>
      <c r="BQ395">
        <v>95253</v>
      </c>
      <c r="BR395" t="inlineStr">
        <is>
          <t>Online</t>
        </is>
      </c>
      <c r="BS395"/>
      <c r="BT395">
        <v>95253</v>
      </c>
      <c r="BU395"/>
      <c r="BV395">
        <v>2737125</v>
      </c>
      <c r="BW395" t="inlineStr">
        <is>
          <t>Follow Up : Decision Pending</t>
        </is>
      </c>
      <c r="BX395">
        <v>1</v>
      </c>
      <c r="BY395">
        <v>0</v>
      </c>
      <c r="BZ395" s="4">
        <v>46144.48967592593</v>
      </c>
      <c r="CA395">
        <v>10</v>
      </c>
      <c r="CB395">
        <v>9</v>
      </c>
      <c r="CC395" s="4">
        <v>46144.551828703705</v>
      </c>
      <c r="CD395" t="inlineStr">
        <is>
          <t>20</t>
        </is>
      </c>
      <c r="CE395" t="inlineStr">
        <is>
          <t>0</t>
        </is>
      </c>
      <c r="CF395" t="inlineStr">
        <is>
          <t>Q2-W04</t>
        </is>
      </c>
      <c r="CG395" t="inlineStr">
        <is>
          <t>Q2-W05</t>
        </is>
      </c>
      <c r="CH395" t="inlineStr">
        <is>
          <t>Q2-W05</t>
        </is>
      </c>
      <c r="CI395"/>
      <c r="CJ395" t="inlineStr">
        <is>
          <t>Paid</t>
        </is>
      </c>
      <c r="CK395" t="inlineStr">
        <is>
          <t>Not Eligible</t>
        </is>
      </c>
      <c r="CL395"/>
      <c r="CM395"/>
    </row>
    <row r="396" ht="25.5" customHeight="1">
      <c r="A396" t="inlineStr">
        <is>
          <t>4329038</t>
        </is>
      </c>
      <c r="B396" s="2"/>
      <c r="C396"/>
      <c r="D396" s="3">
        <v>46140.57949074074</v>
      </c>
      <c r="E396" t="inlineStr">
        <is>
          <t>Q2-W04</t>
        </is>
      </c>
      <c r="F396" t="inlineStr">
        <is>
          <t>Carmen</t>
        </is>
      </c>
      <c r="G396" t="inlineStr">
        <is>
          <t>Lead</t>
        </is>
      </c>
      <c r="H396" s="2" t="str">
        <f>=HYPERLINK("https://upbox.ajobthing.my/leads/4329038", "https://upbox.ajobthing.my/leads/4329038")</f>
        <v>https://upbox.ajobthing.my/leads/4329038</v>
      </c>
      <c r="I396" t="inlineStr">
        <is>
          <t>RIGIL SERVICES SDN. BHD.</t>
        </is>
      </c>
      <c r="J396" t="inlineStr">
        <is>
          <t>Small Fish</t>
        </is>
      </c>
      <c r="K396" t="inlineStr">
        <is>
          <t>Carmen</t>
        </is>
      </c>
      <c r="L396" s="4"/>
      <c r="M396" s="4">
        <v>46140.57979166666</v>
      </c>
      <c r="N396"/>
      <c r="O396">
        <v>3888</v>
      </c>
      <c r="P396" s="4"/>
      <c r="Q396" s="4"/>
      <c r="R396"/>
      <c r="S396"/>
      <c r="T396" s="4"/>
      <c r="U396" s="4"/>
      <c r="V396"/>
      <c r="W396"/>
      <c r="X396"/>
      <c r="Y396" t="inlineStr">
        <is>
          <t>Pending Appointment</t>
        </is>
      </c>
      <c r="Z396" t="inlineStr">
        <is>
          <t>Hiring Now</t>
        </is>
      </c>
      <c r="AA396">
        <v>2</v>
      </c>
      <c r="AB396" t="inlineStr">
        <is>
          <t>No Appointment Made</t>
        </is>
      </c>
      <c r="AC396"/>
      <c r="AD396" t="inlineStr">
        <is>
          <t>2 intern</t>
        </is>
      </c>
      <c r="AE396"/>
      <c r="AF396">
        <v>0</v>
      </c>
      <c r="AG396" s="4"/>
      <c r="AH396" s="4"/>
      <c r="AI396"/>
      <c r="AJ396"/>
      <c r="AK396"/>
      <c r="AL396"/>
      <c r="AM396"/>
      <c r="AN396"/>
      <c r="AO396"/>
      <c r="AP396" t="inlineStr">
        <is>
          <t>Once a year (25%)</t>
        </is>
      </c>
      <c r="AQ396"/>
      <c r="AR396"/>
      <c r="AS396" t="inlineStr">
        <is>
          <t>- Headcount: 2
- Hiring Job Details: 2 intern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396">
        <v>75</v>
      </c>
      <c r="AU396" t="inlineStr">
        <is>
          <t>0.75</t>
        </is>
      </c>
      <c r="AV396" t="inlineStr">
        <is>
          <t>15</t>
        </is>
      </c>
      <c r="AW396" t="inlineStr">
        <is>
          <t>0</t>
        </is>
      </c>
      <c r="AX396" t="inlineStr">
        <is>
          <t>Not Qualified</t>
        </is>
      </c>
      <c r="AY396" s="4"/>
      <c r="AZ396"/>
      <c r="BA396"/>
      <c r="BB396"/>
      <c r="BC396"/>
      <c r="BD396" s="4"/>
      <c r="BE396"/>
      <c r="BF396"/>
      <c r="BG396" t="inlineStr">
        <is>
          <t>Reschedule</t>
        </is>
      </c>
      <c r="BH396" t="inlineStr">
        <is>
          <t>Reagen</t>
        </is>
      </c>
      <c r="BI396"/>
      <c r="BJ396" s="4">
        <v>46144.75592592593</v>
      </c>
      <c r="BK396" s="4">
        <v>46140.46230324074</v>
      </c>
      <c r="BL396" t="inlineStr">
        <is>
          <t>0.0</t>
        </is>
      </c>
      <c r="BM396" t="inlineStr">
        <is>
          <t>0.0</t>
        </is>
      </c>
      <c r="BN396"/>
      <c r="BO396" s="4"/>
      <c r="BP396">
        <v>169240</v>
      </c>
      <c r="BQ396"/>
      <c r="BR396"/>
      <c r="BS396"/>
      <c r="BT396"/>
      <c r="BU396"/>
      <c r="BV396"/>
      <c r="BW396"/>
      <c r="BX396"/>
      <c r="BY396"/>
      <c r="BZ396" s="4"/>
      <c r="CA396"/>
      <c r="CB396"/>
      <c r="CC396" s="4"/>
      <c r="CD396" t="inlineStr">
        <is>
          <t>20</t>
        </is>
      </c>
      <c r="CE396" t="inlineStr">
        <is>
          <t>0</t>
        </is>
      </c>
      <c r="CF396" t="inlineStr">
        <is>
          <t>Q2-W04</t>
        </is>
      </c>
      <c r="CG396"/>
      <c r="CH396"/>
      <c r="CI396"/>
      <c r="CJ396" t="inlineStr">
        <is>
          <t>No Paid</t>
        </is>
      </c>
      <c r="CK396" t="inlineStr">
        <is>
          <t>Not Eligible</t>
        </is>
      </c>
      <c r="CL396"/>
      <c r="CM396"/>
    </row>
    <row r="397" ht="25.5" customHeight="1">
      <c r="A397" t="inlineStr">
        <is>
          <t>4329183</t>
        </is>
      </c>
      <c r="B397" s="2"/>
      <c r="C397"/>
      <c r="D397" s="3">
        <v>46140.584074074075</v>
      </c>
      <c r="E397" t="inlineStr">
        <is>
          <t>Q2-W04</t>
        </is>
      </c>
      <c r="F397" t="inlineStr">
        <is>
          <t>Janice Yap</t>
        </is>
      </c>
      <c r="G397" t="inlineStr">
        <is>
          <t>Lead</t>
        </is>
      </c>
      <c r="H397" s="2" t="str">
        <f>=HYPERLINK("https://upbox.ajobthing.my/leads/4329183", "https://upbox.ajobthing.my/leads/4329183")</f>
        <v>https://upbox.ajobthing.my/leads/4329183</v>
      </c>
      <c r="I397" t="inlineStr">
        <is>
          <t>BlueChamp Enterprise</t>
        </is>
      </c>
      <c r="J397" t="inlineStr">
        <is>
          <t>Small Fish</t>
        </is>
      </c>
      <c r="K397" t="inlineStr">
        <is>
          <t>Janice</t>
        </is>
      </c>
      <c r="L397" s="4"/>
      <c r="M397" s="4">
        <v>46140.58038194444</v>
      </c>
      <c r="N397"/>
      <c r="O397">
        <v>3888</v>
      </c>
      <c r="P397" s="4"/>
      <c r="Q397" s="4"/>
      <c r="R397"/>
      <c r="S397"/>
      <c r="T397" s="4"/>
      <c r="U397" s="4"/>
      <c r="V397"/>
      <c r="W397"/>
      <c r="X397"/>
      <c r="Y397" t="inlineStr">
        <is>
          <t>Pending Appointment</t>
        </is>
      </c>
      <c r="Z397" t="inlineStr">
        <is>
          <t>Hiring Now</t>
        </is>
      </c>
      <c r="AA397">
        <v>1</v>
      </c>
      <c r="AB397" t="inlineStr">
        <is>
          <t>No Appointment Made</t>
        </is>
      </c>
      <c r="AC397"/>
      <c r="AD397" t="inlineStr">
        <is>
          <t>1 admin</t>
        </is>
      </c>
      <c r="AE397"/>
      <c r="AF397"/>
      <c r="AG397" s="4"/>
      <c r="AH397" s="4"/>
      <c r="AI397">
        <v>0</v>
      </c>
      <c r="AJ397"/>
      <c r="AK397" t="inlineStr">
        <is>
          <t>No, I don't need at all</t>
        </is>
      </c>
      <c r="AL397">
        <v>0</v>
      </c>
      <c r="AM397" t="inlineStr">
        <is>
          <t>No, I don't need at all</t>
        </is>
      </c>
      <c r="AN397"/>
      <c r="AO397" t="inlineStr">
        <is>
          <t>No, I don't need at all</t>
        </is>
      </c>
      <c r="AP397" t="inlineStr">
        <is>
          <t>Once a year (25%)</t>
        </is>
      </c>
      <c r="AQ397">
        <v>1</v>
      </c>
      <c r="AR397" t="inlineStr">
        <is>
          <t>Free Job Portal</t>
        </is>
      </c>
      <c r="AS397"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Not provided
- Whole year budget: RM0.00
- Whole year number of vacancies: 1
- Hiring frequency: Once a year (25%)
- External job portal: Free Job Portal</t>
        </is>
      </c>
      <c r="AT397">
        <v>105</v>
      </c>
      <c r="AU397" t="inlineStr">
        <is>
          <t>1.05</t>
        </is>
      </c>
      <c r="AV397" t="inlineStr">
        <is>
          <t>5</t>
        </is>
      </c>
      <c r="AW397" t="inlineStr">
        <is>
          <t>0</t>
        </is>
      </c>
      <c r="AX397" t="inlineStr">
        <is>
          <t>Not Qualified</t>
        </is>
      </c>
      <c r="AY397" s="4"/>
      <c r="AZ397"/>
      <c r="BA397"/>
      <c r="BB397"/>
      <c r="BC397"/>
      <c r="BD397" s="4"/>
      <c r="BE397"/>
      <c r="BF397"/>
      <c r="BG397" t="inlineStr">
        <is>
          <t>Reschedule</t>
        </is>
      </c>
      <c r="BH397" t="inlineStr">
        <is>
          <t>Yee Hang</t>
        </is>
      </c>
      <c r="BI397"/>
      <c r="BJ397" s="4">
        <v>46144.75592592593</v>
      </c>
      <c r="BK397" s="4">
        <v>46140.545960648145</v>
      </c>
      <c r="BL397" t="inlineStr">
        <is>
          <t>0.0</t>
        </is>
      </c>
      <c r="BM397" t="inlineStr">
        <is>
          <t>0.0</t>
        </is>
      </c>
      <c r="BN397"/>
      <c r="BO397" s="4"/>
      <c r="BP397">
        <v>169241</v>
      </c>
      <c r="BQ397"/>
      <c r="BR397"/>
      <c r="BS397"/>
      <c r="BT397"/>
      <c r="BU397"/>
      <c r="BV397"/>
      <c r="BW397"/>
      <c r="BX397"/>
      <c r="BY397"/>
      <c r="BZ397" s="4"/>
      <c r="CA397"/>
      <c r="CB397"/>
      <c r="CC397" s="4"/>
      <c r="CD397" t="inlineStr">
        <is>
          <t>5</t>
        </is>
      </c>
      <c r="CE397" t="inlineStr">
        <is>
          <t>0</t>
        </is>
      </c>
      <c r="CF397" t="inlineStr">
        <is>
          <t>Q2-W04</t>
        </is>
      </c>
      <c r="CG397"/>
      <c r="CH397"/>
      <c r="CI397"/>
      <c r="CJ397" t="inlineStr">
        <is>
          <t>No Paid</t>
        </is>
      </c>
      <c r="CK397" t="inlineStr">
        <is>
          <t>Not Eligible</t>
        </is>
      </c>
      <c r="CL397"/>
      <c r="CM397"/>
    </row>
    <row r="398" ht="25.5" customHeight="1">
      <c r="A398" t="inlineStr">
        <is>
          <t>137541</t>
        </is>
      </c>
      <c r="B398" s="2"/>
      <c r="C398"/>
      <c r="D398" s="3">
        <v>46140.58608796296</v>
      </c>
      <c r="E398" t="inlineStr">
        <is>
          <t>Q2-W04</t>
        </is>
      </c>
      <c r="F398" t="inlineStr">
        <is>
          <t>Jeff Lee</t>
        </is>
      </c>
      <c r="G398" t="inlineStr">
        <is>
          <t>Customer</t>
        </is>
      </c>
      <c r="H398" s="2" t="str">
        <f>=HYPERLINK("https://upbox.ajobthing.my/customer/137541", "https://upbox.ajobthing.my/customer/137541")</f>
        <v>https://upbox.ajobthing.my/customer/137541</v>
      </c>
      <c r="I398" t="inlineStr">
        <is>
          <t>Breit Marketing Sdn Bhd</t>
        </is>
      </c>
      <c r="J398" t="inlineStr">
        <is>
          <t>Small Fish</t>
        </is>
      </c>
      <c r="K398" t="inlineStr">
        <is>
          <t>Jeff Lee</t>
        </is>
      </c>
      <c r="L398" s="4"/>
      <c r="M398" s="4">
        <v>46140.58189814815</v>
      </c>
      <c r="N398"/>
      <c r="O398">
        <v>3576.96</v>
      </c>
      <c r="P398" s="4"/>
      <c r="Q398" s="4">
        <v>45412.672060185185</v>
      </c>
      <c r="R398"/>
      <c r="S398">
        <v>648</v>
      </c>
      <c r="T398" s="4">
        <v>45412.672060185185</v>
      </c>
      <c r="U398" s="4"/>
      <c r="V398"/>
      <c r="W398">
        <v>648</v>
      </c>
      <c r="X398"/>
      <c r="Y398" t="inlineStr">
        <is>
          <t>Pending Appointment</t>
        </is>
      </c>
      <c r="Z398" t="inlineStr">
        <is>
          <t>Hiring Now</t>
        </is>
      </c>
      <c r="AA398">
        <v>1</v>
      </c>
      <c r="AB398" t="inlineStr">
        <is>
          <t>No Appointment Made</t>
        </is>
      </c>
      <c r="AC398"/>
      <c r="AD398" t="inlineStr">
        <is>
          <t xml:space="preserve">1 Woman Perfume Consultant </t>
        </is>
      </c>
      <c r="AE398"/>
      <c r="AF398">
        <v>0</v>
      </c>
      <c r="AG398" s="4"/>
      <c r="AH398" s="4"/>
      <c r="AI398">
        <v>0</v>
      </c>
      <c r="AJ398">
        <v>0</v>
      </c>
      <c r="AK398" t="inlineStr">
        <is>
          <t>No, I don't need at all</t>
        </is>
      </c>
      <c r="AL398">
        <v>0</v>
      </c>
      <c r="AM398" t="inlineStr">
        <is>
          <t>No, I don't need at all</t>
        </is>
      </c>
      <c r="AN398"/>
      <c r="AO398" t="inlineStr">
        <is>
          <t>No, I don't need at all</t>
        </is>
      </c>
      <c r="AP398" t="inlineStr">
        <is>
          <t>Once a year (25%)</t>
        </is>
      </c>
      <c r="AQ398">
        <v>1</v>
      </c>
      <c r="AR398" t="inlineStr">
        <is>
          <t>Did not use any job portal</t>
        </is>
      </c>
      <c r="AS398" t="inlineStr">
        <is>
          <t>- Headcount: 1
- Hiring Job Details: 1 Woman Perfume Consultant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398">
        <v>110</v>
      </c>
      <c r="AU398" t="inlineStr">
        <is>
          <t>1.10</t>
        </is>
      </c>
      <c r="AV398" t="inlineStr">
        <is>
          <t>15</t>
        </is>
      </c>
      <c r="AW398" t="inlineStr">
        <is>
          <t>0</t>
        </is>
      </c>
      <c r="AX398" t="inlineStr">
        <is>
          <t>Not Qualified</t>
        </is>
      </c>
      <c r="AY398" s="4"/>
      <c r="AZ398"/>
      <c r="BA398"/>
      <c r="BB398"/>
      <c r="BC398" t="inlineStr">
        <is>
          <t>- Headcount: 1
- Hiring Job Details: 1 Woman Perfume Consultant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BD398" s="4">
        <v>46140.625069444446</v>
      </c>
      <c r="BE398" t="inlineStr">
        <is>
          <t>paid</t>
        </is>
      </c>
      <c r="BF398"/>
      <c r="BG398" t="inlineStr">
        <is>
          <t>Reschedule</t>
        </is>
      </c>
      <c r="BH398" t="inlineStr">
        <is>
          <t>Yee Hang</t>
        </is>
      </c>
      <c r="BI398" t="inlineStr">
        <is>
          <t>Beauty / Fitness</t>
        </is>
      </c>
      <c r="BJ398" s="4">
        <v>46144.750613425924</v>
      </c>
      <c r="BK398" s="4">
        <v>44311.95668981481</v>
      </c>
      <c r="BL398" t="inlineStr">
        <is>
          <t>0.0</t>
        </is>
      </c>
      <c r="BM398" t="inlineStr">
        <is>
          <t>0.0</t>
        </is>
      </c>
      <c r="BN398" t="inlineStr">
        <is>
          <t>PA Visit - Applicant Manager</t>
        </is>
      </c>
      <c r="BO398" s="4">
        <v>45467.368842592594</v>
      </c>
      <c r="BP398">
        <v>169242</v>
      </c>
      <c r="BQ398">
        <v>68600</v>
      </c>
      <c r="BR398" t="inlineStr">
        <is>
          <t>Online</t>
        </is>
      </c>
      <c r="BS398"/>
      <c r="BT398">
        <v>68600</v>
      </c>
      <c r="BU398"/>
      <c r="BV398">
        <v>2732917</v>
      </c>
      <c r="BW398" t="inlineStr">
        <is>
          <t>Customer Inquiry</t>
        </is>
      </c>
      <c r="BX398"/>
      <c r="BY398"/>
      <c r="BZ398" s="4"/>
      <c r="CA398"/>
      <c r="CB398"/>
      <c r="CC398" s="4"/>
      <c r="CD398" t="inlineStr">
        <is>
          <t>20</t>
        </is>
      </c>
      <c r="CE398" t="inlineStr">
        <is>
          <t>0</t>
        </is>
      </c>
      <c r="CF398" t="inlineStr">
        <is>
          <t>Q2-W04</t>
        </is>
      </c>
      <c r="CG398"/>
      <c r="CH398"/>
      <c r="CI398"/>
      <c r="CJ398" t="inlineStr">
        <is>
          <t>Paid</t>
        </is>
      </c>
      <c r="CK398" t="inlineStr">
        <is>
          <t>Not Eligible</t>
        </is>
      </c>
      <c r="CL398"/>
      <c r="CM398"/>
    </row>
    <row r="399" ht="25.5" customHeight="1">
      <c r="A399" t="inlineStr">
        <is>
          <t>191050</t>
        </is>
      </c>
      <c r="B399" s="2"/>
      <c r="C399"/>
      <c r="D399" s="3">
        <v>46140.59662037037</v>
      </c>
      <c r="E399" t="inlineStr">
        <is>
          <t>Q2-W04</t>
        </is>
      </c>
      <c r="F399" t="inlineStr">
        <is>
          <t>Jeff Lee</t>
        </is>
      </c>
      <c r="G399" t="inlineStr">
        <is>
          <t>Customer</t>
        </is>
      </c>
      <c r="H399" s="2" t="str">
        <f>=HYPERLINK("https://upbox.ajobthing.my/customer/191050", "https://upbox.ajobthing.my/customer/191050")</f>
        <v>https://upbox.ajobthing.my/customer/191050</v>
      </c>
      <c r="I399" t="inlineStr">
        <is>
          <t>Studex (Malaysia) Sdn Bhd</t>
        </is>
      </c>
      <c r="J399" t="inlineStr">
        <is>
          <t>Small Fish</t>
        </is>
      </c>
      <c r="K399" t="inlineStr">
        <is>
          <t>Jeff Lee</t>
        </is>
      </c>
      <c r="L399" s="4"/>
      <c r="M399" s="4">
        <v>46140.594375</v>
      </c>
      <c r="N399"/>
      <c r="O399">
        <v>3888</v>
      </c>
      <c r="P399" s="4"/>
      <c r="Q399" s="4">
        <v>45873.38623842593</v>
      </c>
      <c r="R399"/>
      <c r="S399">
        <v>648</v>
      </c>
      <c r="T399" s="4">
        <v>45873.38623842593</v>
      </c>
      <c r="U399" s="4"/>
      <c r="V399"/>
      <c r="W399">
        <v>648</v>
      </c>
      <c r="X399"/>
      <c r="Y399" t="inlineStr">
        <is>
          <t>Pending Appointment</t>
        </is>
      </c>
      <c r="Z399" t="inlineStr">
        <is>
          <t>Hiring Now</t>
        </is>
      </c>
      <c r="AA399">
        <v>2</v>
      </c>
      <c r="AB399" t="inlineStr">
        <is>
          <t>No Appointment Made</t>
        </is>
      </c>
      <c r="AC399"/>
      <c r="AD399" t="inlineStr">
        <is>
          <t>2 Sales Person</t>
        </is>
      </c>
      <c r="AE399"/>
      <c r="AF399">
        <v>0</v>
      </c>
      <c r="AG399" s="4"/>
      <c r="AH399" s="4"/>
      <c r="AI399">
        <v>0</v>
      </c>
      <c r="AJ399">
        <v>0</v>
      </c>
      <c r="AK399" t="inlineStr">
        <is>
          <t>No, I don't need at all</t>
        </is>
      </c>
      <c r="AL399">
        <v>0</v>
      </c>
      <c r="AM399" t="inlineStr">
        <is>
          <t>No, I don't need at all</t>
        </is>
      </c>
      <c r="AN399"/>
      <c r="AO399" t="inlineStr">
        <is>
          <t>No, I don't need at all</t>
        </is>
      </c>
      <c r="AP399" t="inlineStr">
        <is>
          <t>Once a year (25%)</t>
        </is>
      </c>
      <c r="AQ399">
        <v>2</v>
      </c>
      <c r="AR399" t="inlineStr">
        <is>
          <t>Did not use any job portal</t>
        </is>
      </c>
      <c r="AS399" t="inlineStr">
        <is>
          <t>- Headcount: 2
- Hiring Job Details: 2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399">
        <v>105</v>
      </c>
      <c r="AU399" t="inlineStr">
        <is>
          <t>1.05</t>
        </is>
      </c>
      <c r="AV399" t="inlineStr">
        <is>
          <t>15</t>
        </is>
      </c>
      <c r="AW399" t="inlineStr">
        <is>
          <t>0</t>
        </is>
      </c>
      <c r="AX399" t="inlineStr">
        <is>
          <t>Not Qualified</t>
        </is>
      </c>
      <c r="AY399" s="4"/>
      <c r="AZ399"/>
      <c r="BA399"/>
      <c r="BB399"/>
      <c r="BC399" t="inlineStr">
        <is>
          <t>- Headcount: 2
- Hiring Job Details: 2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BD399" s="4">
        <v>46140.625069444446</v>
      </c>
      <c r="BE399" t="inlineStr">
        <is>
          <t>paid</t>
        </is>
      </c>
      <c r="BF399"/>
      <c r="BG399" t="inlineStr">
        <is>
          <t>Reschedule</t>
        </is>
      </c>
      <c r="BH399" t="inlineStr">
        <is>
          <t>Yee Hang</t>
        </is>
      </c>
      <c r="BI399" t="inlineStr">
        <is>
          <t>Other industries</t>
        </is>
      </c>
      <c r="BJ399" s="4">
        <v>46144.75239583333</v>
      </c>
      <c r="BK399" s="4">
        <v>45786.43665509259</v>
      </c>
      <c r="BL399" t="inlineStr">
        <is>
          <t>648.0</t>
        </is>
      </c>
      <c r="BM399" t="inlineStr">
        <is>
          <t>0.0</t>
        </is>
      </c>
      <c r="BN399" t="inlineStr">
        <is>
          <t>View Jobmanager Page</t>
        </is>
      </c>
      <c r="BO399" s="4">
        <v>45884.424259259256</v>
      </c>
      <c r="BP399">
        <v>169248</v>
      </c>
      <c r="BQ399">
        <v>81246</v>
      </c>
      <c r="BR399" t="inlineStr">
        <is>
          <t>Online</t>
        </is>
      </c>
      <c r="BS399"/>
      <c r="BT399">
        <v>81246</v>
      </c>
      <c r="BU399"/>
      <c r="BV399">
        <v>2732920</v>
      </c>
      <c r="BW399" t="inlineStr">
        <is>
          <t>Customer Inquiry</t>
        </is>
      </c>
      <c r="BX399"/>
      <c r="BY399"/>
      <c r="BZ399" s="4"/>
      <c r="CA399"/>
      <c r="CB399"/>
      <c r="CC399" s="4"/>
      <c r="CD399" t="inlineStr">
        <is>
          <t>20</t>
        </is>
      </c>
      <c r="CE399" t="inlineStr">
        <is>
          <t>0</t>
        </is>
      </c>
      <c r="CF399" t="inlineStr">
        <is>
          <t>Q2-W04</t>
        </is>
      </c>
      <c r="CG399"/>
      <c r="CH399"/>
      <c r="CI399"/>
      <c r="CJ399" t="inlineStr">
        <is>
          <t>Paid</t>
        </is>
      </c>
      <c r="CK399" t="inlineStr">
        <is>
          <t>Not Eligible</t>
        </is>
      </c>
      <c r="CL399"/>
      <c r="CM399"/>
    </row>
    <row r="400" ht="25.5" customHeight="1">
      <c r="A400" t="inlineStr">
        <is>
          <t>4329239</t>
        </is>
      </c>
      <c r="B400" s="2"/>
      <c r="C400"/>
      <c r="D400" s="3">
        <v>46140.60070601852</v>
      </c>
      <c r="E400" t="inlineStr">
        <is>
          <t>Q2-W04</t>
        </is>
      </c>
      <c r="F400" t="inlineStr">
        <is>
          <t>Evan</t>
        </is>
      </c>
      <c r="G400" t="inlineStr">
        <is>
          <t>Lead</t>
        </is>
      </c>
      <c r="H400" s="2" t="str">
        <f>=HYPERLINK("https://upbox.ajobthing.my/leads/4329239", "https://upbox.ajobthing.my/leads/4329239")</f>
        <v>https://upbox.ajobthing.my/leads/4329239</v>
      </c>
      <c r="I400" t="inlineStr">
        <is>
          <t>LEMAN DOUBLE NINE AUTO RESCUE</t>
        </is>
      </c>
      <c r="J400" t="inlineStr">
        <is>
          <t>Small Fish</t>
        </is>
      </c>
      <c r="K400" t="inlineStr">
        <is>
          <t>Evan</t>
        </is>
      </c>
      <c r="L400" s="4"/>
      <c r="M400" s="4">
        <v>46140.60246527778</v>
      </c>
      <c r="N400"/>
      <c r="O400">
        <v>3888</v>
      </c>
      <c r="P400" s="4"/>
      <c r="Q400" s="4"/>
      <c r="R400"/>
      <c r="S400"/>
      <c r="T400" s="4"/>
      <c r="U400" s="4"/>
      <c r="V400"/>
      <c r="W400"/>
      <c r="X400"/>
      <c r="Y400" t="inlineStr">
        <is>
          <t>Pending Appointment</t>
        </is>
      </c>
      <c r="Z400" t="inlineStr">
        <is>
          <t>Hiring Now</t>
        </is>
      </c>
      <c r="AA400">
        <v>1</v>
      </c>
      <c r="AB400" t="inlineStr">
        <is>
          <t>No Appointment Made</t>
        </is>
      </c>
      <c r="AC400"/>
      <c r="AD400" t="inlineStr">
        <is>
          <t>1 foreman, all base in KL</t>
        </is>
      </c>
      <c r="AE400"/>
      <c r="AF400">
        <v>1</v>
      </c>
      <c r="AG400" s="4"/>
      <c r="AH400" s="4"/>
      <c r="AI400">
        <v>1</v>
      </c>
      <c r="AJ400">
        <v>1</v>
      </c>
      <c r="AK400" t="inlineStr">
        <is>
          <t>No, I don't need at all</t>
        </is>
      </c>
      <c r="AL400">
        <v>0</v>
      </c>
      <c r="AM400" t="inlineStr">
        <is>
          <t>No, I don't need at all</t>
        </is>
      </c>
      <c r="AN400"/>
      <c r="AO400" t="inlineStr">
        <is>
          <t>No, I don't need at all</t>
        </is>
      </c>
      <c r="AP400" t="inlineStr">
        <is>
          <t>Once a year (25%)</t>
        </is>
      </c>
      <c r="AQ400">
        <v>1</v>
      </c>
      <c r="AR400" t="inlineStr">
        <is>
          <t>Did not use any job portal</t>
        </is>
      </c>
      <c r="AS400" t="inlineStr">
        <is>
          <t>- Headcount: 1
- Hiring Job Details: 1 foreman,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400">
        <v>115</v>
      </c>
      <c r="AU400" t="inlineStr">
        <is>
          <t>1.15</t>
        </is>
      </c>
      <c r="AV400" t="inlineStr">
        <is>
          <t>15</t>
        </is>
      </c>
      <c r="AW400" t="inlineStr">
        <is>
          <t>0</t>
        </is>
      </c>
      <c r="AX400" t="inlineStr">
        <is>
          <t>Not Qualified</t>
        </is>
      </c>
      <c r="AY400" s="4"/>
      <c r="AZ400"/>
      <c r="BA400"/>
      <c r="BB400"/>
      <c r="BC400"/>
      <c r="BD400" s="4"/>
      <c r="BE400"/>
      <c r="BF400"/>
      <c r="BG400" t="inlineStr">
        <is>
          <t>Reschedule</t>
        </is>
      </c>
      <c r="BH400" t="inlineStr">
        <is>
          <t>Edward Hoo</t>
        </is>
      </c>
      <c r="BI400"/>
      <c r="BJ400" s="4">
        <v>46144.75592592593</v>
      </c>
      <c r="BK400" s="4">
        <v>46140.58956018519</v>
      </c>
      <c r="BL400" t="inlineStr">
        <is>
          <t>0.0</t>
        </is>
      </c>
      <c r="BM400" t="inlineStr">
        <is>
          <t>0.0</t>
        </is>
      </c>
      <c r="BN400"/>
      <c r="BO400" s="4"/>
      <c r="BP400">
        <v>169253</v>
      </c>
      <c r="BQ400"/>
      <c r="BR400"/>
      <c r="BS400"/>
      <c r="BT400"/>
      <c r="BU400"/>
      <c r="BV400"/>
      <c r="BW400"/>
      <c r="BX400"/>
      <c r="BY400"/>
      <c r="BZ400" s="4"/>
      <c r="CA400"/>
      <c r="CB400"/>
      <c r="CC400" s="4"/>
      <c r="CD400" t="inlineStr">
        <is>
          <t>20</t>
        </is>
      </c>
      <c r="CE400" t="inlineStr">
        <is>
          <t>0</t>
        </is>
      </c>
      <c r="CF400" t="inlineStr">
        <is>
          <t>Q2-W04</t>
        </is>
      </c>
      <c r="CG400"/>
      <c r="CH400"/>
      <c r="CI400"/>
      <c r="CJ400" t="inlineStr">
        <is>
          <t>No Paid</t>
        </is>
      </c>
      <c r="CK400" t="inlineStr">
        <is>
          <t>Not Eligible</t>
        </is>
      </c>
      <c r="CL400"/>
      <c r="CM400"/>
    </row>
    <row r="401" ht="25.5" customHeight="1">
      <c r="A401" t="inlineStr">
        <is>
          <t>166856</t>
        </is>
      </c>
      <c r="B401" s="2"/>
      <c r="C401"/>
      <c r="D401" s="3">
        <v>46140.60585648148</v>
      </c>
      <c r="E401" t="inlineStr">
        <is>
          <t>Q2-W04</t>
        </is>
      </c>
      <c r="F401" t="inlineStr">
        <is>
          <t>Janice Yap</t>
        </is>
      </c>
      <c r="G401" t="inlineStr">
        <is>
          <t>Customer</t>
        </is>
      </c>
      <c r="H401" s="2" t="str">
        <f>=HYPERLINK("https://upbox.ajobthing.my/customer/166856", "https://upbox.ajobthing.my/customer/166856")</f>
        <v>https://upbox.ajobthing.my/customer/166856</v>
      </c>
      <c r="I401" t="inlineStr">
        <is>
          <t>E B Packaging Sdn,Bhd</t>
        </is>
      </c>
      <c r="J401" t="inlineStr">
        <is>
          <t>Small Fish</t>
        </is>
      </c>
      <c r="K401" t="inlineStr">
        <is>
          <t>Janice</t>
        </is>
      </c>
      <c r="L401" s="4"/>
      <c r="M401" s="4">
        <v>46140.60460648148</v>
      </c>
      <c r="N401"/>
      <c r="O401">
        <v>3888</v>
      </c>
      <c r="P401" s="4"/>
      <c r="Q401" s="4"/>
      <c r="R401"/>
      <c r="S401"/>
      <c r="T401" s="4"/>
      <c r="U401" s="4"/>
      <c r="V401"/>
      <c r="W401"/>
      <c r="X401"/>
      <c r="Y401" t="inlineStr">
        <is>
          <t>Pending Appointment</t>
        </is>
      </c>
      <c r="Z401" t="inlineStr">
        <is>
          <t>Hiring Now</t>
        </is>
      </c>
      <c r="AA401">
        <v>2</v>
      </c>
      <c r="AB401" t="inlineStr">
        <is>
          <t>No Appointment Made</t>
        </is>
      </c>
      <c r="AC401"/>
      <c r="AD401" t="inlineStr">
        <is>
          <t>2 outdoor sales</t>
        </is>
      </c>
      <c r="AE401"/>
      <c r="AF401">
        <v>0</v>
      </c>
      <c r="AG401" s="4"/>
      <c r="AH401" s="4"/>
      <c r="AI401">
        <v>0</v>
      </c>
      <c r="AJ401"/>
      <c r="AK401" t="inlineStr">
        <is>
          <t>No, I don't need at all</t>
        </is>
      </c>
      <c r="AL401">
        <v>0</v>
      </c>
      <c r="AM401" t="inlineStr">
        <is>
          <t>No, I don't need at all</t>
        </is>
      </c>
      <c r="AN401"/>
      <c r="AO401" t="inlineStr">
        <is>
          <t>No, I don't need at all</t>
        </is>
      </c>
      <c r="AP401" t="inlineStr">
        <is>
          <t>Once a year (25%)</t>
        </is>
      </c>
      <c r="AQ401">
        <v>2</v>
      </c>
      <c r="AR401" t="inlineStr">
        <is>
          <t>Did not use any job portal</t>
        </is>
      </c>
      <c r="AS401" t="inlineStr">
        <is>
          <t>- Headcount: 2
- Hiring Job Details: 2 outdoor sales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
- Hiring Urgency: Hiring Now</t>
        </is>
      </c>
      <c r="AT401">
        <v>115</v>
      </c>
      <c r="AU401" t="inlineStr">
        <is>
          <t>1.15</t>
        </is>
      </c>
      <c r="AV401" t="inlineStr">
        <is>
          <t>15</t>
        </is>
      </c>
      <c r="AW401" t="inlineStr">
        <is>
          <t>0</t>
        </is>
      </c>
      <c r="AX401" t="inlineStr">
        <is>
          <t>Not Qualified</t>
        </is>
      </c>
      <c r="AY401" s="4"/>
      <c r="AZ401"/>
      <c r="BA401"/>
      <c r="BB401"/>
      <c r="BC401" t="inlineStr">
        <is>
          <t>Pending his boss decision // WA sent</t>
        </is>
      </c>
      <c r="BD401" s="4">
        <v>46142.40688657408</v>
      </c>
      <c r="BE401"/>
      <c r="BF401"/>
      <c r="BG401" t="inlineStr">
        <is>
          <t>Reschedule</t>
        </is>
      </c>
      <c r="BH401" t="inlineStr">
        <is>
          <t>Yee Hang</t>
        </is>
      </c>
      <c r="BI401"/>
      <c r="BJ401" s="4">
        <v>46144.751296296294</v>
      </c>
      <c r="BK401" s="4">
        <v>45056.307962962965</v>
      </c>
      <c r="BL401" t="inlineStr">
        <is>
          <t>0.0</t>
        </is>
      </c>
      <c r="BM401" t="inlineStr">
        <is>
          <t>0.0</t>
        </is>
      </c>
      <c r="BN401" t="inlineStr">
        <is>
          <t>View Create Job Page</t>
        </is>
      </c>
      <c r="BO401" s="4">
        <v>45056.31564814815</v>
      </c>
      <c r="BP401">
        <v>169256</v>
      </c>
      <c r="BQ401"/>
      <c r="BR401"/>
      <c r="BS401"/>
      <c r="BT401"/>
      <c r="BU401"/>
      <c r="BV401">
        <v>2736567</v>
      </c>
      <c r="BW401" t="inlineStr">
        <is>
          <t>Inquire for Hiring Needs : Quotation Sent 50%</t>
        </is>
      </c>
      <c r="BX401"/>
      <c r="BY401"/>
      <c r="BZ401" s="4"/>
      <c r="CA401"/>
      <c r="CB401"/>
      <c r="CC401" s="4"/>
      <c r="CD401" t="inlineStr">
        <is>
          <t>20</t>
        </is>
      </c>
      <c r="CE401" t="inlineStr">
        <is>
          <t>0</t>
        </is>
      </c>
      <c r="CF401" t="inlineStr">
        <is>
          <t>Q2-W04</t>
        </is>
      </c>
      <c r="CG401"/>
      <c r="CH401"/>
      <c r="CI401"/>
      <c r="CJ401" t="inlineStr">
        <is>
          <t>No Paid</t>
        </is>
      </c>
      <c r="CK401" t="inlineStr">
        <is>
          <t>Not Eligible</t>
        </is>
      </c>
      <c r="CL401"/>
      <c r="CM401"/>
    </row>
    <row r="402" ht="25.5" customHeight="1">
      <c r="A402" t="inlineStr">
        <is>
          <t>203741</t>
        </is>
      </c>
      <c r="B402" s="2"/>
      <c r="C402"/>
      <c r="D402" s="3">
        <v>46140.60634259259</v>
      </c>
      <c r="E402" t="inlineStr">
        <is>
          <t>Q2-W04</t>
        </is>
      </c>
      <c r="F402" t="inlineStr">
        <is>
          <t>Keegan</t>
        </is>
      </c>
      <c r="G402" t="inlineStr">
        <is>
          <t>Customer</t>
        </is>
      </c>
      <c r="H402" s="2" t="str">
        <f>=HYPERLINK("https://upbox.ajobthing.my/customer/203741", "https://upbox.ajobthing.my/customer/203741")</f>
        <v>https://upbox.ajobthing.my/customer/203741</v>
      </c>
      <c r="I402" t="inlineStr">
        <is>
          <t>Arrowood International Sdn bhd</t>
        </is>
      </c>
      <c r="J402" t="inlineStr">
        <is>
          <t>Small Fish</t>
        </is>
      </c>
      <c r="K402" t="inlineStr">
        <is>
          <t>Keegan</t>
        </is>
      </c>
      <c r="L402" s="4"/>
      <c r="M402" s="4">
        <v>46140.607511574075</v>
      </c>
      <c r="N402"/>
      <c r="O402">
        <v>3576.96</v>
      </c>
      <c r="P402" s="4"/>
      <c r="Q402" s="4"/>
      <c r="R402"/>
      <c r="S402"/>
      <c r="T402" s="4"/>
      <c r="U402" s="4"/>
      <c r="V402"/>
      <c r="W402"/>
      <c r="X402"/>
      <c r="Y402" t="inlineStr">
        <is>
          <t>Pending Appointment</t>
        </is>
      </c>
      <c r="Z402" t="inlineStr">
        <is>
          <t>Hiring Now</t>
        </is>
      </c>
      <c r="AA402">
        <v>2</v>
      </c>
      <c r="AB402" t="inlineStr">
        <is>
          <t>No Appointment Made</t>
        </is>
      </c>
      <c r="AC402"/>
      <c r="AD402" t="inlineStr">
        <is>
          <t xml:space="preserve">1. Sales Executive 
2. Operation Manager </t>
        </is>
      </c>
      <c r="AE402"/>
      <c r="AF402"/>
      <c r="AG402" s="4"/>
      <c r="AH402" s="4"/>
      <c r="AI402"/>
      <c r="AJ402">
        <v>1</v>
      </c>
      <c r="AK402" t="inlineStr">
        <is>
          <t>No, I don't need at all</t>
        </is>
      </c>
      <c r="AL402">
        <v>0</v>
      </c>
      <c r="AM402" t="inlineStr">
        <is>
          <t>No, I don't need at all</t>
        </is>
      </c>
      <c r="AN402"/>
      <c r="AO402" t="inlineStr">
        <is>
          <t>No, I don't need at all</t>
        </is>
      </c>
      <c r="AP402" t="inlineStr">
        <is>
          <t>Once per quarter (75%)</t>
        </is>
      </c>
      <c r="AQ402"/>
      <c r="AR402" t="inlineStr">
        <is>
          <t>Did not use any job portal</t>
        </is>
      </c>
      <c r="AS402" t="inlineStr">
        <is>
          <t>- Headcount: 2
- Hiring Job Details: 1. Sales Executive 2. Operation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02">
        <v>75</v>
      </c>
      <c r="AU402" t="inlineStr">
        <is>
          <t>0.75</t>
        </is>
      </c>
      <c r="AV402" t="inlineStr">
        <is>
          <t>5</t>
        </is>
      </c>
      <c r="AW402" t="inlineStr">
        <is>
          <t>0</t>
        </is>
      </c>
      <c r="AX402" t="inlineStr">
        <is>
          <t>Not Qualified</t>
        </is>
      </c>
      <c r="AY402" s="4"/>
      <c r="AZ402"/>
      <c r="BA402"/>
      <c r="BB402"/>
      <c r="BC402" t="inlineStr">
        <is>
          <t>PIC informed that not proceed first for now</t>
        </is>
      </c>
      <c r="BD402" s="4">
        <v>46141.434537037036</v>
      </c>
      <c r="BE402"/>
      <c r="BF402"/>
      <c r="BG402" t="inlineStr">
        <is>
          <t>Reschedule</t>
        </is>
      </c>
      <c r="BH402" t="inlineStr">
        <is>
          <t>Edward Hoo</t>
        </is>
      </c>
      <c r="BI402"/>
      <c r="BJ402" s="4">
        <v>46144.75438657407</v>
      </c>
      <c r="BK402" s="4">
        <v>46140.605219907404</v>
      </c>
      <c r="BL402" t="inlineStr">
        <is>
          <t>0.0</t>
        </is>
      </c>
      <c r="BM402" t="inlineStr">
        <is>
          <t>0.0</t>
        </is>
      </c>
      <c r="BN402"/>
      <c r="BO402" s="4"/>
      <c r="BP402">
        <v>169258</v>
      </c>
      <c r="BQ402"/>
      <c r="BR402"/>
      <c r="BS402"/>
      <c r="BT402"/>
      <c r="BU402"/>
      <c r="BV402">
        <v>2734414</v>
      </c>
      <c r="BW402" t="inlineStr">
        <is>
          <t>Follow Up : Lost - Free Portal</t>
        </is>
      </c>
      <c r="BX402"/>
      <c r="BY402"/>
      <c r="BZ402" s="4"/>
      <c r="CA402"/>
      <c r="CB402"/>
      <c r="CC402" s="4"/>
      <c r="CD402" t="inlineStr">
        <is>
          <t>5</t>
        </is>
      </c>
      <c r="CE402" t="inlineStr">
        <is>
          <t>0</t>
        </is>
      </c>
      <c r="CF402" t="inlineStr">
        <is>
          <t>Q2-W04</t>
        </is>
      </c>
      <c r="CG402"/>
      <c r="CH402"/>
      <c r="CI402"/>
      <c r="CJ402" t="inlineStr">
        <is>
          <t>No Paid</t>
        </is>
      </c>
      <c r="CK402" t="inlineStr">
        <is>
          <t>Not Eligible</t>
        </is>
      </c>
      <c r="CL402"/>
      <c r="CM402"/>
    </row>
    <row r="403" ht="25.5" customHeight="1">
      <c r="A403" t="inlineStr">
        <is>
          <t>203741</t>
        </is>
      </c>
      <c r="B403" s="2"/>
      <c r="C403"/>
      <c r="D403" s="3">
        <v>46140.608935185184</v>
      </c>
      <c r="E403" t="inlineStr">
        <is>
          <t>Q2-W04</t>
        </is>
      </c>
      <c r="F403" t="inlineStr">
        <is>
          <t>Keegan</t>
        </is>
      </c>
      <c r="G403" t="inlineStr">
        <is>
          <t>Customer</t>
        </is>
      </c>
      <c r="H403" s="2" t="str">
        <f>=HYPERLINK("https://upbox.ajobthing.my/customer/203741", "https://upbox.ajobthing.my/customer/203741")</f>
        <v>https://upbox.ajobthing.my/customer/203741</v>
      </c>
      <c r="I403" t="inlineStr">
        <is>
          <t>Arrowood International Sdn bhd</t>
        </is>
      </c>
      <c r="J403" t="inlineStr">
        <is>
          <t>Small Fish</t>
        </is>
      </c>
      <c r="K403" t="inlineStr">
        <is>
          <t>Keegan</t>
        </is>
      </c>
      <c r="L403" s="4"/>
      <c r="M403" s="4">
        <v>46140.607511574075</v>
      </c>
      <c r="N403"/>
      <c r="O403">
        <v>3576.96</v>
      </c>
      <c r="P403" s="4"/>
      <c r="Q403" s="4"/>
      <c r="R403"/>
      <c r="S403"/>
      <c r="T403" s="4"/>
      <c r="U403" s="4"/>
      <c r="V403"/>
      <c r="W403"/>
      <c r="X403"/>
      <c r="Y403" t="inlineStr">
        <is>
          <t>Pending Appointment</t>
        </is>
      </c>
      <c r="Z403" t="inlineStr">
        <is>
          <t>Hiring Now</t>
        </is>
      </c>
      <c r="AA403">
        <v>2</v>
      </c>
      <c r="AB403" t="inlineStr">
        <is>
          <t>No Appointment Made</t>
        </is>
      </c>
      <c r="AC403"/>
      <c r="AD403" t="inlineStr">
        <is>
          <t xml:space="preserve">1. Sales Executive 
2. Operation Manager </t>
        </is>
      </c>
      <c r="AE403"/>
      <c r="AF403"/>
      <c r="AG403" s="4"/>
      <c r="AH403" s="4"/>
      <c r="AI403"/>
      <c r="AJ403">
        <v>1</v>
      </c>
      <c r="AK403" t="inlineStr">
        <is>
          <t>No, I don't need at all</t>
        </is>
      </c>
      <c r="AL403">
        <v>0</v>
      </c>
      <c r="AM403" t="inlineStr">
        <is>
          <t>No, I don't need at all</t>
        </is>
      </c>
      <c r="AN403"/>
      <c r="AO403" t="inlineStr">
        <is>
          <t>No, I don't need at all</t>
        </is>
      </c>
      <c r="AP403" t="inlineStr">
        <is>
          <t>Once per quarter (75%)</t>
        </is>
      </c>
      <c r="AQ403"/>
      <c r="AR403" t="inlineStr">
        <is>
          <t>Did not use any job portal</t>
        </is>
      </c>
      <c r="AS403" t="inlineStr">
        <is>
          <t>- Headcount: 2
- Hiring Job Details: 1. Sales Executive 2. Operation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03">
        <v>85</v>
      </c>
      <c r="AU403" t="inlineStr">
        <is>
          <t>0.85</t>
        </is>
      </c>
      <c r="AV403" t="inlineStr">
        <is>
          <t>5</t>
        </is>
      </c>
      <c r="AW403" t="inlineStr">
        <is>
          <t>0</t>
        </is>
      </c>
      <c r="AX403" t="inlineStr">
        <is>
          <t>Not Qualified</t>
        </is>
      </c>
      <c r="AY403" s="4"/>
      <c r="AZ403"/>
      <c r="BA403"/>
      <c r="BB403"/>
      <c r="BC403" t="inlineStr">
        <is>
          <t>PIC informed that not proceed first for now</t>
        </is>
      </c>
      <c r="BD403" s="4">
        <v>46141.434537037036</v>
      </c>
      <c r="BE403"/>
      <c r="BF403"/>
      <c r="BG403" t="inlineStr">
        <is>
          <t>Reschedule</t>
        </is>
      </c>
      <c r="BH403" t="inlineStr">
        <is>
          <t>Edward Hoo</t>
        </is>
      </c>
      <c r="BI403"/>
      <c r="BJ403" s="4">
        <v>46144.75438657407</v>
      </c>
      <c r="BK403" s="4">
        <v>46140.605219907404</v>
      </c>
      <c r="BL403" t="inlineStr">
        <is>
          <t>0.0</t>
        </is>
      </c>
      <c r="BM403" t="inlineStr">
        <is>
          <t>0.0</t>
        </is>
      </c>
      <c r="BN403"/>
      <c r="BO403" s="4"/>
      <c r="BP403">
        <v>169258</v>
      </c>
      <c r="BQ403"/>
      <c r="BR403"/>
      <c r="BS403"/>
      <c r="BT403"/>
      <c r="BU403"/>
      <c r="BV403">
        <v>2734414</v>
      </c>
      <c r="BW403" t="inlineStr">
        <is>
          <t>Follow Up : Lost - Free Portal</t>
        </is>
      </c>
      <c r="BX403"/>
      <c r="BY403"/>
      <c r="BZ403" s="4"/>
      <c r="CA403"/>
      <c r="CB403"/>
      <c r="CC403" s="4"/>
      <c r="CD403" t="inlineStr">
        <is>
          <t>5</t>
        </is>
      </c>
      <c r="CE403" t="inlineStr">
        <is>
          <t>0</t>
        </is>
      </c>
      <c r="CF403" t="inlineStr">
        <is>
          <t>Q2-W04</t>
        </is>
      </c>
      <c r="CG403"/>
      <c r="CH403"/>
      <c r="CI403"/>
      <c r="CJ403" t="inlineStr">
        <is>
          <t>No Paid</t>
        </is>
      </c>
      <c r="CK403" t="inlineStr">
        <is>
          <t>Not Eligible</t>
        </is>
      </c>
      <c r="CL403"/>
      <c r="CM403"/>
    </row>
    <row r="404" ht="25.5" customHeight="1">
      <c r="A404" t="inlineStr">
        <is>
          <t>4329240</t>
        </is>
      </c>
      <c r="B404" s="2"/>
      <c r="C404"/>
      <c r="D404" s="3">
        <v>46140.628599537034</v>
      </c>
      <c r="E404" t="inlineStr">
        <is>
          <t>Q2-W04</t>
        </is>
      </c>
      <c r="F404" t="inlineStr">
        <is>
          <t>Luqman</t>
        </is>
      </c>
      <c r="G404" t="inlineStr">
        <is>
          <t>Lead</t>
        </is>
      </c>
      <c r="H404" s="2" t="str">
        <f>=HYPERLINK("https://upbox.ajobthing.my/leads/4329240", "https://upbox.ajobthing.my/leads/4329240")</f>
        <v>https://upbox.ajobthing.my/leads/4329240</v>
      </c>
      <c r="I404" t="inlineStr">
        <is>
          <t>Mobius Academy</t>
        </is>
      </c>
      <c r="J404" t="inlineStr">
        <is>
          <t>Small Fish</t>
        </is>
      </c>
      <c r="K404" t="inlineStr">
        <is>
          <t>Luqman</t>
        </is>
      </c>
      <c r="L404" s="4"/>
      <c r="M404" s="4">
        <v>46140.62893518519</v>
      </c>
      <c r="N404"/>
      <c r="O404">
        <v>1296</v>
      </c>
      <c r="P404" s="4"/>
      <c r="Q404" s="4"/>
      <c r="R404"/>
      <c r="S404"/>
      <c r="T404" s="4"/>
      <c r="U404" s="4"/>
      <c r="V404"/>
      <c r="W404"/>
      <c r="X404"/>
      <c r="Y404" t="inlineStr">
        <is>
          <t>Pending Appointment</t>
        </is>
      </c>
      <c r="Z404" t="inlineStr">
        <is>
          <t>Hiring Later</t>
        </is>
      </c>
      <c r="AA404">
        <v>1</v>
      </c>
      <c r="AB404" t="inlineStr">
        <is>
          <t>No Appointment Made</t>
        </is>
      </c>
      <c r="AC404"/>
      <c r="AD404" t="inlineStr">
        <is>
          <t xml:space="preserve">1. Marketing </t>
        </is>
      </c>
      <c r="AE404"/>
      <c r="AF404">
        <v>1200</v>
      </c>
      <c r="AG404" s="4"/>
      <c r="AH404" s="4"/>
      <c r="AI404">
        <v>1200</v>
      </c>
      <c r="AJ404"/>
      <c r="AK404" t="inlineStr">
        <is>
          <t>Yes, I have</t>
        </is>
      </c>
      <c r="AL404">
        <v>2</v>
      </c>
      <c r="AM404" t="inlineStr">
        <is>
          <t>No, I don't need at all</t>
        </is>
      </c>
      <c r="AN404"/>
      <c r="AO404" t="inlineStr">
        <is>
          <t>No, but I want in future</t>
        </is>
      </c>
      <c r="AP404" t="inlineStr">
        <is>
          <t>Once a year (25%)</t>
        </is>
      </c>
      <c r="AQ404">
        <v>2</v>
      </c>
      <c r="AR404" t="inlineStr">
        <is>
          <t>Free Job Portal</t>
        </is>
      </c>
      <c r="AS404" t="inlineStr">
        <is>
          <t>- Headcount: 1
- Hiring Job Details: 1 Marketing
- Hiring Urgency: Hiring Later
- Number of outlets: Not provided
- Have recruiter team: Yes
- Number of recruiter in company: 2
- Have ATS system: No, I don't need at all
- Have career website: No, but I want in future
- Current hiring budget: RM1,200
- Whole year budget: RM1,200.00
- Whole year number of vacancies: 2
- Hiring frequency: Once a year (25%)
- External job portal: Free Job Portal</t>
        </is>
      </c>
      <c r="AT404">
        <v>115</v>
      </c>
      <c r="AU404" t="inlineStr">
        <is>
          <t>1.15</t>
        </is>
      </c>
      <c r="AV404" t="inlineStr">
        <is>
          <t>15</t>
        </is>
      </c>
      <c r="AW404" t="inlineStr">
        <is>
          <t>0</t>
        </is>
      </c>
      <c r="AX404" t="inlineStr">
        <is>
          <t>Not Qualified</t>
        </is>
      </c>
      <c r="AY404" s="4"/>
      <c r="AZ404"/>
      <c r="BA404"/>
      <c r="BB404"/>
      <c r="BC404"/>
      <c r="BD404" s="4"/>
      <c r="BE404"/>
      <c r="BF404"/>
      <c r="BG404" t="inlineStr">
        <is>
          <t>Reschedule</t>
        </is>
      </c>
      <c r="BH404" t="inlineStr">
        <is>
          <t>Edward Hoo</t>
        </is>
      </c>
      <c r="BI404"/>
      <c r="BJ404" s="4">
        <v>46144.755949074075</v>
      </c>
      <c r="BK404" s="4">
        <v>46140.59190972222</v>
      </c>
      <c r="BL404" t="inlineStr">
        <is>
          <t>0.0</t>
        </is>
      </c>
      <c r="BM404" t="inlineStr">
        <is>
          <t>0.0</t>
        </is>
      </c>
      <c r="BN404"/>
      <c r="BO404" s="4"/>
      <c r="BP404">
        <v>169273</v>
      </c>
      <c r="BQ404"/>
      <c r="BR404"/>
      <c r="BS404"/>
      <c r="BT404"/>
      <c r="BU404"/>
      <c r="BV404"/>
      <c r="BW404"/>
      <c r="BX404"/>
      <c r="BY404"/>
      <c r="BZ404" s="4"/>
      <c r="CA404"/>
      <c r="CB404"/>
      <c r="CC404" s="4"/>
      <c r="CD404" t="inlineStr">
        <is>
          <t>20</t>
        </is>
      </c>
      <c r="CE404" t="inlineStr">
        <is>
          <t>0</t>
        </is>
      </c>
      <c r="CF404" t="inlineStr">
        <is>
          <t>Q2-W04</t>
        </is>
      </c>
      <c r="CG404"/>
      <c r="CH404"/>
      <c r="CI404"/>
      <c r="CJ404" t="inlineStr">
        <is>
          <t>No Paid</t>
        </is>
      </c>
      <c r="CK404" t="inlineStr">
        <is>
          <t>Not Eligible</t>
        </is>
      </c>
      <c r="CL404"/>
      <c r="CM404"/>
    </row>
    <row r="405" ht="25.5" customHeight="1">
      <c r="A405" t="inlineStr">
        <is>
          <t>203744</t>
        </is>
      </c>
      <c r="B405" s="2"/>
      <c r="C405"/>
      <c r="D405" s="3">
        <v>46140.63141203704</v>
      </c>
      <c r="E405" t="inlineStr">
        <is>
          <t>Q2-W04</t>
        </is>
      </c>
      <c r="F405" t="inlineStr">
        <is>
          <t>Xin Hui</t>
        </is>
      </c>
      <c r="G405" t="inlineStr">
        <is>
          <t>Customer</t>
        </is>
      </c>
      <c r="H405" s="2" t="str">
        <f>=HYPERLINK("https://upbox.ajobthing.my/customer/203744", "https://upbox.ajobthing.my/customer/203744")</f>
        <v>https://upbox.ajobthing.my/customer/203744</v>
      </c>
      <c r="I405" t="inlineStr">
        <is>
          <t>Trium Biomedical Sdn Bhd</t>
        </is>
      </c>
      <c r="J405" t="inlineStr">
        <is>
          <t>Small Fish</t>
        </is>
      </c>
      <c r="K405" t="inlineStr">
        <is>
          <t>Xin Hui</t>
        </is>
      </c>
      <c r="L405" s="4"/>
      <c r="M405" s="4">
        <v>46140.641539351855</v>
      </c>
      <c r="N405"/>
      <c r="O405">
        <v>3888</v>
      </c>
      <c r="P405" s="4"/>
      <c r="Q405" s="4"/>
      <c r="R405"/>
      <c r="S405"/>
      <c r="T405" s="4"/>
      <c r="U405" s="4"/>
      <c r="V405"/>
      <c r="W405"/>
      <c r="X405"/>
      <c r="Y405" t="inlineStr">
        <is>
          <t>Pending Appointment</t>
        </is>
      </c>
      <c r="Z405"/>
      <c r="AA405">
        <v>1</v>
      </c>
      <c r="AB405" t="inlineStr">
        <is>
          <t>No Appointment Made</t>
        </is>
      </c>
      <c r="AC405"/>
      <c r="AD405" t="inlineStr">
        <is>
          <t>sales x1</t>
        </is>
      </c>
      <c r="AE405"/>
      <c r="AF405"/>
      <c r="AG405" s="4"/>
      <c r="AH405" s="4"/>
      <c r="AI405"/>
      <c r="AJ405"/>
      <c r="AK405" t="inlineStr">
        <is>
          <t>No, I don't need at all</t>
        </is>
      </c>
      <c r="AL405"/>
      <c r="AM405"/>
      <c r="AN405"/>
      <c r="AO405" t="inlineStr">
        <is>
          <t>No, I don't need at all</t>
        </is>
      </c>
      <c r="AP405" t="inlineStr">
        <is>
          <t>Once a year (25%)</t>
        </is>
      </c>
      <c r="AQ405"/>
      <c r="AR405" t="inlineStr">
        <is>
          <t>Did not use any job portal</t>
        </is>
      </c>
      <c r="AS405" t="inlineStr">
        <is>
          <t>- Headcount: 1
- Hiring Job Details: 1 sales
- Hiring Urgency: Not specified
- Number of outlets: Not specified
- Have recruiter team: No, I don't need at all
- Number of recruiter in company: Not specified
- Have ATS system: Not specified
- Have career website: No, I don't need at all
- Current hiring budget: Not specified
- Whole year budget: Not specified
- Whole year number of vacancies: Not specified
- Hiring frequency: Once a year (25%)
- External job portal: Did not use any job portal</t>
        </is>
      </c>
      <c r="AT405">
        <v>75</v>
      </c>
      <c r="AU405" t="inlineStr">
        <is>
          <t>0.75</t>
        </is>
      </c>
      <c r="AV405" t="inlineStr">
        <is>
          <t>5</t>
        </is>
      </c>
      <c r="AW405" t="inlineStr">
        <is>
          <t>0</t>
        </is>
      </c>
      <c r="AX405" t="inlineStr">
        <is>
          <t>Not Qualified</t>
        </is>
      </c>
      <c r="AY405" s="4"/>
      <c r="AZ405"/>
      <c r="BA405"/>
      <c r="BB405"/>
      <c r="BC405" t="inlineStr">
        <is>
          <t>- Headcount: 1
- Hiring Job Details: 1 sales
- Hiring Urgency: Not specified
- Number of outlets: Not specified
- Have recruiter team: No, I don't need at all
- Number of recruiter in company: Not specified
- Have ATS system: Not specified
- Have career website: No, I don't need at all
- Current hiring budget: Not specified
- Whole year budget: Not specified
- Whole year number of vacancies: Not specified
- Hiring frequency: Once a year (25%)
- External job portal: Did not use any job portal</t>
        </is>
      </c>
      <c r="BD405" s="4">
        <v>46140.66670138889</v>
      </c>
      <c r="BE405"/>
      <c r="BF405"/>
      <c r="BG405" t="inlineStr">
        <is>
          <t>Reschedule</t>
        </is>
      </c>
      <c r="BH405" t="inlineStr">
        <is>
          <t>Yee Hang</t>
        </is>
      </c>
      <c r="BI405" t="inlineStr">
        <is>
          <t>Healthcare / Medical</t>
        </is>
      </c>
      <c r="BJ405" s="4">
        <v>46144.75438657407</v>
      </c>
      <c r="BK405" s="4">
        <v>46140.61724537037</v>
      </c>
      <c r="BL405" t="inlineStr">
        <is>
          <t>0.0</t>
        </is>
      </c>
      <c r="BM405" t="inlineStr">
        <is>
          <t>0.0</t>
        </is>
      </c>
      <c r="BN405" t="inlineStr">
        <is>
          <t>View Company Page</t>
        </is>
      </c>
      <c r="BO405" s="4">
        <v>46140.62746527778</v>
      </c>
      <c r="BP405">
        <v>169281</v>
      </c>
      <c r="BQ405"/>
      <c r="BR405"/>
      <c r="BS405"/>
      <c r="BT405"/>
      <c r="BU405"/>
      <c r="BV405">
        <v>2733278</v>
      </c>
      <c r="BW405" t="inlineStr">
        <is>
          <t>Customer Inquiry</t>
        </is>
      </c>
      <c r="BX405"/>
      <c r="BY405"/>
      <c r="BZ405" s="4"/>
      <c r="CA405"/>
      <c r="CB405"/>
      <c r="CC405" s="4"/>
      <c r="CD405" t="inlineStr">
        <is>
          <t>5</t>
        </is>
      </c>
      <c r="CE405" t="inlineStr">
        <is>
          <t>0</t>
        </is>
      </c>
      <c r="CF405" t="inlineStr">
        <is>
          <t>Q2-W04</t>
        </is>
      </c>
      <c r="CG405"/>
      <c r="CH405"/>
      <c r="CI405"/>
      <c r="CJ405" t="inlineStr">
        <is>
          <t>No Paid</t>
        </is>
      </c>
      <c r="CK405" t="inlineStr">
        <is>
          <t>Not Eligible</t>
        </is>
      </c>
      <c r="CL405"/>
      <c r="CM405"/>
    </row>
    <row r="406" ht="25.5" customHeight="1">
      <c r="A406" t="inlineStr">
        <is>
          <t>4329275</t>
        </is>
      </c>
      <c r="B406" s="2"/>
      <c r="C406"/>
      <c r="D406" s="3">
        <v>46140.63927083334</v>
      </c>
      <c r="E406" t="inlineStr">
        <is>
          <t>Q2-W04</t>
        </is>
      </c>
      <c r="F406" t="inlineStr">
        <is>
          <t>Janice Yap</t>
        </is>
      </c>
      <c r="G406" t="inlineStr">
        <is>
          <t>Lead</t>
        </is>
      </c>
      <c r="H406" s="2" t="str">
        <f>=HYPERLINK("https://upbox.ajobthing.my/leads/4329275", "https://upbox.ajobthing.my/leads/4329275")</f>
        <v>https://upbox.ajobthing.my/leads/4329275</v>
      </c>
      <c r="I406" t="inlineStr">
        <is>
          <t>Meat Solutions</t>
        </is>
      </c>
      <c r="J406" t="inlineStr">
        <is>
          <t>Small Fish</t>
        </is>
      </c>
      <c r="K406" t="inlineStr">
        <is>
          <t>Janice</t>
        </is>
      </c>
      <c r="L406" s="4"/>
      <c r="M406" s="4">
        <v>46140.63625</v>
      </c>
      <c r="N406"/>
      <c r="O406">
        <v>3888</v>
      </c>
      <c r="P406" s="4"/>
      <c r="Q406" s="4"/>
      <c r="R406"/>
      <c r="S406"/>
      <c r="T406" s="4"/>
      <c r="U406" s="4"/>
      <c r="V406"/>
      <c r="W406"/>
      <c r="X406"/>
      <c r="Y406" t="inlineStr">
        <is>
          <t>Pending Appointment</t>
        </is>
      </c>
      <c r="Z406" t="inlineStr">
        <is>
          <t>Hiring Now</t>
        </is>
      </c>
      <c r="AA406">
        <v>1</v>
      </c>
      <c r="AB406" t="inlineStr">
        <is>
          <t>No Appointment Made</t>
        </is>
      </c>
      <c r="AC406"/>
      <c r="AD406" t="inlineStr">
        <is>
          <t>personal driver</t>
        </is>
      </c>
      <c r="AE406"/>
      <c r="AF406">
        <v>0</v>
      </c>
      <c r="AG406" s="4"/>
      <c r="AH406" s="4"/>
      <c r="AI406">
        <v>0</v>
      </c>
      <c r="AJ406"/>
      <c r="AK406" t="inlineStr">
        <is>
          <t>No, I don't need at all</t>
        </is>
      </c>
      <c r="AL406">
        <v>0</v>
      </c>
      <c r="AM406" t="inlineStr">
        <is>
          <t>No, I don't need at all</t>
        </is>
      </c>
      <c r="AN406"/>
      <c r="AO406" t="inlineStr">
        <is>
          <t>No, I don't need at all</t>
        </is>
      </c>
      <c r="AP406" t="inlineStr">
        <is>
          <t>Once a year (25%)</t>
        </is>
      </c>
      <c r="AQ406">
        <v>1</v>
      </c>
      <c r="AR406" t="inlineStr">
        <is>
          <t>Did not use any job portal</t>
        </is>
      </c>
      <c r="AS406" t="inlineStr">
        <is>
          <t>- Headcount: 1
- Hiring Job Details: personal driver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406">
        <v>105</v>
      </c>
      <c r="AU406" t="inlineStr">
        <is>
          <t>1.05</t>
        </is>
      </c>
      <c r="AV406" t="inlineStr">
        <is>
          <t>15</t>
        </is>
      </c>
      <c r="AW406" t="inlineStr">
        <is>
          <t>0</t>
        </is>
      </c>
      <c r="AX406" t="inlineStr">
        <is>
          <t>Not Qualified</t>
        </is>
      </c>
      <c r="AY406" s="4"/>
      <c r="AZ406"/>
      <c r="BA406"/>
      <c r="BB406"/>
      <c r="BC406"/>
      <c r="BD406" s="4"/>
      <c r="BE406"/>
      <c r="BF406"/>
      <c r="BG406" t="inlineStr">
        <is>
          <t>Reschedule</t>
        </is>
      </c>
      <c r="BH406" t="inlineStr">
        <is>
          <t>Yee Hang</t>
        </is>
      </c>
      <c r="BI406"/>
      <c r="BJ406" s="4">
        <v>46144.755949074075</v>
      </c>
      <c r="BK406" s="4">
        <v>46140.62185185185</v>
      </c>
      <c r="BL406" t="inlineStr">
        <is>
          <t>0.0</t>
        </is>
      </c>
      <c r="BM406" t="inlineStr">
        <is>
          <t>0.0</t>
        </is>
      </c>
      <c r="BN406"/>
      <c r="BO406" s="4"/>
      <c r="BP406">
        <v>169278</v>
      </c>
      <c r="BQ406"/>
      <c r="BR406"/>
      <c r="BS406"/>
      <c r="BT406"/>
      <c r="BU406"/>
      <c r="BV406"/>
      <c r="BW406"/>
      <c r="BX406"/>
      <c r="BY406"/>
      <c r="BZ406" s="4"/>
      <c r="CA406"/>
      <c r="CB406"/>
      <c r="CC406" s="4"/>
      <c r="CD406" t="inlineStr">
        <is>
          <t>20</t>
        </is>
      </c>
      <c r="CE406" t="inlineStr">
        <is>
          <t>0</t>
        </is>
      </c>
      <c r="CF406" t="inlineStr">
        <is>
          <t>Q2-W04</t>
        </is>
      </c>
      <c r="CG406"/>
      <c r="CH406"/>
      <c r="CI406"/>
      <c r="CJ406" t="inlineStr">
        <is>
          <t>No Paid</t>
        </is>
      </c>
      <c r="CK406" t="inlineStr">
        <is>
          <t>Not Eligible</t>
        </is>
      </c>
      <c r="CL406"/>
      <c r="CM406"/>
    </row>
    <row r="407" ht="25.5" customHeight="1">
      <c r="A407" t="inlineStr">
        <is>
          <t>203747</t>
        </is>
      </c>
      <c r="B407" s="2"/>
      <c r="C407"/>
      <c r="D407" s="3">
        <v>46140.64393518519</v>
      </c>
      <c r="E407" t="inlineStr">
        <is>
          <t>Q2-W04</t>
        </is>
      </c>
      <c r="F407" t="inlineStr">
        <is>
          <t>Keegan</t>
        </is>
      </c>
      <c r="G407" t="inlineStr">
        <is>
          <t>Customer</t>
        </is>
      </c>
      <c r="H407" s="2" t="str">
        <f>=HYPERLINK("https://upbox.ajobthing.my/customer/203747", "https://upbox.ajobthing.my/customer/203747")</f>
        <v>https://upbox.ajobthing.my/customer/203747</v>
      </c>
      <c r="I407" t="inlineStr">
        <is>
          <t>YS Foam Industries Sdn. Bhd.</t>
        </is>
      </c>
      <c r="J407" t="inlineStr">
        <is>
          <t>Small Fish</t>
        </is>
      </c>
      <c r="K407" t="inlineStr">
        <is>
          <t>Keegan</t>
        </is>
      </c>
      <c r="L407" s="4"/>
      <c r="M407" s="4">
        <v>46140.644282407404</v>
      </c>
      <c r="N407"/>
      <c r="O407">
        <v>3888</v>
      </c>
      <c r="P407" s="4"/>
      <c r="Q407" s="4"/>
      <c r="R407"/>
      <c r="S407"/>
      <c r="T407" s="4"/>
      <c r="U407" s="4"/>
      <c r="V407"/>
      <c r="W407"/>
      <c r="X407"/>
      <c r="Y407" t="inlineStr">
        <is>
          <t>Pending Appointment</t>
        </is>
      </c>
      <c r="Z407" t="inlineStr">
        <is>
          <t>Hiring Now</t>
        </is>
      </c>
      <c r="AA407">
        <v>3</v>
      </c>
      <c r="AB407" t="inlineStr">
        <is>
          <t>No Appointment Made</t>
        </is>
      </c>
      <c r="AC407"/>
      <c r="AD407" t="inlineStr">
        <is>
          <t>1. Executive 
2. Production Manager 
3. General Operator</t>
        </is>
      </c>
      <c r="AE407"/>
      <c r="AF407"/>
      <c r="AG407" s="4"/>
      <c r="AH407" s="4"/>
      <c r="AI407"/>
      <c r="AJ407">
        <v>1</v>
      </c>
      <c r="AK407" t="inlineStr">
        <is>
          <t>No, I don't need at all</t>
        </is>
      </c>
      <c r="AL407">
        <v>0</v>
      </c>
      <c r="AM407" t="inlineStr">
        <is>
          <t>No, I don't need at all</t>
        </is>
      </c>
      <c r="AN407"/>
      <c r="AO407" t="inlineStr">
        <is>
          <t>No, I don't need at all</t>
        </is>
      </c>
      <c r="AP407" t="inlineStr">
        <is>
          <t>Once per quarter (75%)</t>
        </is>
      </c>
      <c r="AQ407"/>
      <c r="AR407" t="inlineStr">
        <is>
          <t>Did not use any job portal</t>
        </is>
      </c>
      <c r="AS407" t="inlineStr">
        <is>
          <t>- Headcount: 3
- Hiring Job Details: 1. Executive 2. Production Manager 3. General Operator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07">
        <v>75</v>
      </c>
      <c r="AU407" t="inlineStr">
        <is>
          <t>0.75</t>
        </is>
      </c>
      <c r="AV407" t="inlineStr">
        <is>
          <t>5</t>
        </is>
      </c>
      <c r="AW407" t="inlineStr">
        <is>
          <t>0</t>
        </is>
      </c>
      <c r="AX407" t="inlineStr">
        <is>
          <t>Not Qualified</t>
        </is>
      </c>
      <c r="AY407" s="4"/>
      <c r="AZ407"/>
      <c r="BA407"/>
      <c r="BB407"/>
      <c r="BC407" t="inlineStr">
        <is>
          <t>Pending decision</t>
        </is>
      </c>
      <c r="BD407" s="4">
        <v>46141.47224537037</v>
      </c>
      <c r="BE407"/>
      <c r="BF407"/>
      <c r="BG407" t="inlineStr">
        <is>
          <t>Reschedule</t>
        </is>
      </c>
      <c r="BH407" t="inlineStr">
        <is>
          <t>Edward Hoo</t>
        </is>
      </c>
      <c r="BI407"/>
      <c r="BJ407" s="4">
        <v>46144.75438657407</v>
      </c>
      <c r="BK407" s="4">
        <v>46140.64026620371</v>
      </c>
      <c r="BL407" t="inlineStr">
        <is>
          <t>0.0</t>
        </is>
      </c>
      <c r="BM407" t="inlineStr">
        <is>
          <t>0.0</t>
        </is>
      </c>
      <c r="BN407"/>
      <c r="BO407" s="4"/>
      <c r="BP407">
        <v>169283</v>
      </c>
      <c r="BQ407"/>
      <c r="BR407"/>
      <c r="BS407"/>
      <c r="BT407"/>
      <c r="BU407"/>
      <c r="BV407">
        <v>2734694</v>
      </c>
      <c r="BW407" t="inlineStr">
        <is>
          <t>Follow Up : Decision Pending</t>
        </is>
      </c>
      <c r="BX407"/>
      <c r="BY407"/>
      <c r="BZ407" s="4"/>
      <c r="CA407"/>
      <c r="CB407"/>
      <c r="CC407" s="4"/>
      <c r="CD407" t="inlineStr">
        <is>
          <t>5</t>
        </is>
      </c>
      <c r="CE407" t="inlineStr">
        <is>
          <t>0</t>
        </is>
      </c>
      <c r="CF407" t="inlineStr">
        <is>
          <t>Q2-W04</t>
        </is>
      </c>
      <c r="CG407"/>
      <c r="CH407"/>
      <c r="CI407"/>
      <c r="CJ407" t="inlineStr">
        <is>
          <t>No Paid</t>
        </is>
      </c>
      <c r="CK407" t="inlineStr">
        <is>
          <t>Not Eligible</t>
        </is>
      </c>
      <c r="CL407"/>
      <c r="CM407"/>
    </row>
    <row r="408" ht="25.5" customHeight="1">
      <c r="A408" t="inlineStr">
        <is>
          <t>203742</t>
        </is>
      </c>
      <c r="B408" s="2"/>
      <c r="C408"/>
      <c r="D408" s="3">
        <v>46140.6450462963</v>
      </c>
      <c r="E408" t="inlineStr">
        <is>
          <t>Q2-W04</t>
        </is>
      </c>
      <c r="F408" t="inlineStr">
        <is>
          <t>Chia Yee</t>
        </is>
      </c>
      <c r="G408" t="inlineStr">
        <is>
          <t>Customer</t>
        </is>
      </c>
      <c r="H408" s="2" t="str">
        <f>=HYPERLINK("https://upbox.ajobthing.my/customer/203742", "https://upbox.ajobthing.my/customer/203742")</f>
        <v>https://upbox.ajobthing.my/customer/203742</v>
      </c>
      <c r="I408" t="inlineStr">
        <is>
          <t>Sre Commerce Sdn Bhd</t>
        </is>
      </c>
      <c r="J408" t="inlineStr">
        <is>
          <t>Small Fish</t>
        </is>
      </c>
      <c r="K408" t="inlineStr">
        <is>
          <t>Chia Yee</t>
        </is>
      </c>
      <c r="L408" s="4"/>
      <c r="M408" s="4">
        <v>46140.64512731481</v>
      </c>
      <c r="N408"/>
      <c r="O408">
        <v>3888</v>
      </c>
      <c r="P408" s="4"/>
      <c r="Q408" s="4">
        <v>46140.61502314815</v>
      </c>
      <c r="R408"/>
      <c r="S408">
        <v>0</v>
      </c>
      <c r="T408" s="4"/>
      <c r="U408" s="4"/>
      <c r="V408"/>
      <c r="W408"/>
      <c r="X408"/>
      <c r="Y408" t="inlineStr">
        <is>
          <t>Pending Appointment</t>
        </is>
      </c>
      <c r="Z408" t="inlineStr">
        <is>
          <t>Hiring Now</t>
        </is>
      </c>
      <c r="AA408">
        <v>2</v>
      </c>
      <c r="AB408" t="inlineStr">
        <is>
          <t>No Appointment Made</t>
        </is>
      </c>
      <c r="AC408"/>
      <c r="AD408" t="inlineStr">
        <is>
          <t xml:space="preserve">2 Graphic deigner </t>
        </is>
      </c>
      <c r="AE408"/>
      <c r="AF408">
        <v>0</v>
      </c>
      <c r="AG408" s="4"/>
      <c r="AH408" s="4"/>
      <c r="AI408">
        <v>0</v>
      </c>
      <c r="AJ408">
        <v>1</v>
      </c>
      <c r="AK408" t="inlineStr">
        <is>
          <t>Yes, I have</t>
        </is>
      </c>
      <c r="AL408">
        <v>1</v>
      </c>
      <c r="AM408" t="inlineStr">
        <is>
          <t>No, I don't need at all</t>
        </is>
      </c>
      <c r="AN408"/>
      <c r="AO408" t="inlineStr">
        <is>
          <t>Yes, I have</t>
        </is>
      </c>
      <c r="AP408" t="inlineStr">
        <is>
          <t>Once a year (25%)</t>
        </is>
      </c>
      <c r="AQ408">
        <v>2</v>
      </c>
      <c r="AR408" t="inlineStr">
        <is>
          <t>Did not use any job portal</t>
        </is>
      </c>
      <c r="AS408" t="inlineStr">
        <is>
          <t>- Headcount: 2
- Hiring Job Details: 2 Graphic designer
- Hiring Urgency: Hiring Now
- Number of outlets: 1
- Have recruiter team: Yes
- Number of recruiter in company: 1
- Have ATS system: No, I don't need at all
- Have career website: Yes
- Current hiring budget: RM0
- Whole year budget: RM0.00
- Whole year number of vacancies: 2
- Hiring frequency: Once a year (25%)
- External job portal: Did not use any job portal</t>
        </is>
      </c>
      <c r="AT408">
        <v>115</v>
      </c>
      <c r="AU408" t="inlineStr">
        <is>
          <t>1.15</t>
        </is>
      </c>
      <c r="AV408" t="inlineStr">
        <is>
          <t>15</t>
        </is>
      </c>
      <c r="AW408" t="inlineStr">
        <is>
          <t>0</t>
        </is>
      </c>
      <c r="AX408" t="inlineStr">
        <is>
          <t>Not Qualified</t>
        </is>
      </c>
      <c r="AY408" s="4"/>
      <c r="AZ408"/>
      <c r="BA408"/>
      <c r="BB408"/>
      <c r="BC408" t="inlineStr">
        <is>
          <t>Called, no ans. WA</t>
        </is>
      </c>
      <c r="BD408" s="4">
        <v>46141.39258101852</v>
      </c>
      <c r="BE408" t="inlineStr">
        <is>
          <t>paid</t>
        </is>
      </c>
      <c r="BF408"/>
      <c r="BG408" t="inlineStr">
        <is>
          <t>Reschedule</t>
        </is>
      </c>
      <c r="BH408" t="inlineStr">
        <is>
          <t>Reagen</t>
        </is>
      </c>
      <c r="BI408"/>
      <c r="BJ408" s="4">
        <v>46144.75438657407</v>
      </c>
      <c r="BK408" s="4">
        <v>46140.61436342593</v>
      </c>
      <c r="BL408" t="inlineStr">
        <is>
          <t>0.0</t>
        </is>
      </c>
      <c r="BM408" t="inlineStr">
        <is>
          <t>150.0</t>
        </is>
      </c>
      <c r="BN408" t="inlineStr">
        <is>
          <t>View Company Page</t>
        </is>
      </c>
      <c r="BO408" s="4">
        <v>46141.626284722224</v>
      </c>
      <c r="BP408">
        <v>169287</v>
      </c>
      <c r="BQ408">
        <v>123921</v>
      </c>
      <c r="BR408" t="inlineStr">
        <is>
          <t>Proforma</t>
        </is>
      </c>
      <c r="BS408" t="inlineStr">
        <is>
          <t>Free Internship Job</t>
        </is>
      </c>
      <c r="BT408"/>
      <c r="BU408"/>
      <c r="BV408">
        <v>2734095</v>
      </c>
      <c r="BW408" t="inlineStr">
        <is>
          <t>No Answer : Voicemail - WA sent to customer</t>
        </is>
      </c>
      <c r="BX408">
        <v>1</v>
      </c>
      <c r="BY408">
        <v>0</v>
      </c>
      <c r="BZ408" s="4">
        <v>46140.62447916667</v>
      </c>
      <c r="CA408"/>
      <c r="CB408"/>
      <c r="CC408" s="4"/>
      <c r="CD408" t="inlineStr">
        <is>
          <t>20</t>
        </is>
      </c>
      <c r="CE408" t="inlineStr">
        <is>
          <t>0</t>
        </is>
      </c>
      <c r="CF408" t="inlineStr">
        <is>
          <t>Q2-W04</t>
        </is>
      </c>
      <c r="CG408" t="inlineStr">
        <is>
          <t>Q2-W04</t>
        </is>
      </c>
      <c r="CH408"/>
      <c r="CI408"/>
      <c r="CJ408" t="inlineStr">
        <is>
          <t>No Paid</t>
        </is>
      </c>
      <c r="CK408" t="inlineStr">
        <is>
          <t>Not Eligible</t>
        </is>
      </c>
      <c r="CL408"/>
      <c r="CM408"/>
    </row>
    <row r="409" ht="25.5" customHeight="1">
      <c r="A409" t="inlineStr">
        <is>
          <t>194661</t>
        </is>
      </c>
      <c r="B409" s="2"/>
      <c r="C409"/>
      <c r="D409" s="3">
        <v>46140.65677083333</v>
      </c>
      <c r="E409" t="inlineStr">
        <is>
          <t>Q2-W04</t>
        </is>
      </c>
      <c r="F409" t="inlineStr">
        <is>
          <t>Lucas</t>
        </is>
      </c>
      <c r="G409" t="inlineStr">
        <is>
          <t>Customer</t>
        </is>
      </c>
      <c r="H409" s="2" t="str">
        <f>=HYPERLINK("https://upbox.ajobthing.my/customer/194661", "https://upbox.ajobthing.my/customer/194661")</f>
        <v>https://upbox.ajobthing.my/customer/194661</v>
      </c>
      <c r="I409" t="inlineStr">
        <is>
          <t>Little Life Kids Care Centre</t>
        </is>
      </c>
      <c r="J409" t="inlineStr">
        <is>
          <t>Small Fish</t>
        </is>
      </c>
      <c r="K409" t="inlineStr">
        <is>
          <t>Lucas</t>
        </is>
      </c>
      <c r="L409" s="4"/>
      <c r="M409" s="4">
        <v>46140.653865740744</v>
      </c>
      <c r="N409"/>
      <c r="O409">
        <v>3576.96</v>
      </c>
      <c r="P409" s="4"/>
      <c r="Q409" s="4"/>
      <c r="R409"/>
      <c r="S409"/>
      <c r="T409" s="4"/>
      <c r="U409" s="4"/>
      <c r="V409"/>
      <c r="W409"/>
      <c r="X409"/>
      <c r="Y409" t="inlineStr">
        <is>
          <t>Pending Appointment</t>
        </is>
      </c>
      <c r="Z409" t="inlineStr">
        <is>
          <t>Hiring Now</t>
        </is>
      </c>
      <c r="AA409">
        <v>2</v>
      </c>
      <c r="AB409" t="inlineStr">
        <is>
          <t>No Appointment Made</t>
        </is>
      </c>
      <c r="AC409"/>
      <c r="AD409" t="inlineStr">
        <is>
          <t xml:space="preserve">2 teacher </t>
        </is>
      </c>
      <c r="AE409"/>
      <c r="AF409">
        <v>0</v>
      </c>
      <c r="AG409" s="4"/>
      <c r="AH409" s="4"/>
      <c r="AI409">
        <v>0</v>
      </c>
      <c r="AJ409">
        <v>0</v>
      </c>
      <c r="AK409" t="inlineStr">
        <is>
          <t>No, I don't need at all</t>
        </is>
      </c>
      <c r="AL409">
        <v>0</v>
      </c>
      <c r="AM409" t="inlineStr">
        <is>
          <t>No, I don't need at all</t>
        </is>
      </c>
      <c r="AN409"/>
      <c r="AO409" t="inlineStr">
        <is>
          <t>No, I don't need at all</t>
        </is>
      </c>
      <c r="AP409" t="inlineStr">
        <is>
          <t>Once a year (25%)</t>
        </is>
      </c>
      <c r="AQ409">
        <v>2</v>
      </c>
      <c r="AR409" t="inlineStr">
        <is>
          <t>Did not use any job portal</t>
        </is>
      </c>
      <c r="AS409" t="inlineStr">
        <is>
          <t>- Headcount: 2
- Hiring Job Details: 2 teacher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409">
        <v>100</v>
      </c>
      <c r="AU409" t="inlineStr">
        <is>
          <t>1.00</t>
        </is>
      </c>
      <c r="AV409" t="inlineStr">
        <is>
          <t>15</t>
        </is>
      </c>
      <c r="AW409" t="inlineStr">
        <is>
          <t>0</t>
        </is>
      </c>
      <c r="AX409" t="inlineStr">
        <is>
          <t>Not Qualified</t>
        </is>
      </c>
      <c r="AY409" s="4"/>
      <c r="AZ409"/>
      <c r="BA409"/>
      <c r="BB409"/>
      <c r="BC409" t="inlineStr">
        <is>
          <t>pending , will text us back</t>
        </is>
      </c>
      <c r="BD409" s="4">
        <v>46142.633425925924</v>
      </c>
      <c r="BE409"/>
      <c r="BF409"/>
      <c r="BG409" t="inlineStr">
        <is>
          <t>Reschedule</t>
        </is>
      </c>
      <c r="BH409" t="inlineStr">
        <is>
          <t>Yee Hang</t>
        </is>
      </c>
      <c r="BI409"/>
      <c r="BJ409" s="4">
        <v>46144.75271990741</v>
      </c>
      <c r="BK409" s="4">
        <v>45875.50604166667</v>
      </c>
      <c r="BL409" t="inlineStr">
        <is>
          <t>0.0</t>
        </is>
      </c>
      <c r="BM409" t="inlineStr">
        <is>
          <t>0.0</t>
        </is>
      </c>
      <c r="BN409" t="inlineStr">
        <is>
          <t>Instant Register</t>
        </is>
      </c>
      <c r="BO409" s="4">
        <v>45875.50604166667</v>
      </c>
      <c r="BP409">
        <v>169297</v>
      </c>
      <c r="BQ409"/>
      <c r="BR409"/>
      <c r="BS409"/>
      <c r="BT409"/>
      <c r="BU409"/>
      <c r="BV409">
        <v>2737910</v>
      </c>
      <c r="BW409" t="inlineStr">
        <is>
          <t>Follow Up : Decision Pending</t>
        </is>
      </c>
      <c r="BX409"/>
      <c r="BY409"/>
      <c r="BZ409" s="4"/>
      <c r="CA409"/>
      <c r="CB409"/>
      <c r="CC409" s="4"/>
      <c r="CD409" t="inlineStr">
        <is>
          <t>20</t>
        </is>
      </c>
      <c r="CE409" t="inlineStr">
        <is>
          <t>0</t>
        </is>
      </c>
      <c r="CF409" t="inlineStr">
        <is>
          <t>Q2-W04</t>
        </is>
      </c>
      <c r="CG409"/>
      <c r="CH409"/>
      <c r="CI409"/>
      <c r="CJ409" t="inlineStr">
        <is>
          <t>No Paid</t>
        </is>
      </c>
      <c r="CK409" t="inlineStr">
        <is>
          <t>Not Eligible</t>
        </is>
      </c>
      <c r="CL409"/>
      <c r="CM409"/>
    </row>
    <row r="410" ht="25.5" customHeight="1">
      <c r="A410" t="inlineStr">
        <is>
          <t>190953</t>
        </is>
      </c>
      <c r="B410" s="2"/>
      <c r="C410"/>
      <c r="D410" s="3">
        <v>46140.65704861111</v>
      </c>
      <c r="E410" t="inlineStr">
        <is>
          <t>Q2-W04</t>
        </is>
      </c>
      <c r="F410" t="inlineStr">
        <is>
          <t>Jeff Lee</t>
        </is>
      </c>
      <c r="G410" t="inlineStr">
        <is>
          <t>Customer</t>
        </is>
      </c>
      <c r="H410" s="2" t="str">
        <f>=HYPERLINK("https://upbox.ajobthing.my/customer/190953", "https://upbox.ajobthing.my/customer/190953")</f>
        <v>https://upbox.ajobthing.my/customer/190953</v>
      </c>
      <c r="I410" t="inlineStr">
        <is>
          <t>Heng Mei Glass Sdn Bhd</t>
        </is>
      </c>
      <c r="J410" t="inlineStr">
        <is>
          <t>Small Fish</t>
        </is>
      </c>
      <c r="K410" t="inlineStr">
        <is>
          <t>Jeff Lee</t>
        </is>
      </c>
      <c r="L410" s="4"/>
      <c r="M410" s="4">
        <v>46140.64655092593</v>
      </c>
      <c r="N410"/>
      <c r="O410">
        <v>3888</v>
      </c>
      <c r="P410" s="4"/>
      <c r="Q410" s="4"/>
      <c r="R410"/>
      <c r="S410"/>
      <c r="T410" s="4"/>
      <c r="U410" s="4"/>
      <c r="V410"/>
      <c r="W410"/>
      <c r="X410"/>
      <c r="Y410" t="inlineStr">
        <is>
          <t>Pending Appointment</t>
        </is>
      </c>
      <c r="Z410" t="inlineStr">
        <is>
          <t>Hiring Now</t>
        </is>
      </c>
      <c r="AA410">
        <v>2</v>
      </c>
      <c r="AB410" t="inlineStr">
        <is>
          <t>No Appointment Made</t>
        </is>
      </c>
      <c r="AC410"/>
      <c r="AD410" t="inlineStr">
        <is>
          <t>1 Supervisor and 1 lorry Driver</t>
        </is>
      </c>
      <c r="AE410"/>
      <c r="AF410">
        <v>0</v>
      </c>
      <c r="AG410" s="4"/>
      <c r="AH410" s="4"/>
      <c r="AI410">
        <v>0</v>
      </c>
      <c r="AJ410">
        <v>0</v>
      </c>
      <c r="AK410" t="inlineStr">
        <is>
          <t>No, I don't need at all</t>
        </is>
      </c>
      <c r="AL410">
        <v>0</v>
      </c>
      <c r="AM410" t="inlineStr">
        <is>
          <t>No, I don't need at all</t>
        </is>
      </c>
      <c r="AN410"/>
      <c r="AO410" t="inlineStr">
        <is>
          <t>No, I don't need at all</t>
        </is>
      </c>
      <c r="AP410" t="inlineStr">
        <is>
          <t>Once a year (25%)</t>
        </is>
      </c>
      <c r="AQ410">
        <v>2</v>
      </c>
      <c r="AR410" t="inlineStr">
        <is>
          <t>Did not use any job portal</t>
        </is>
      </c>
      <c r="AS410" t="inlineStr">
        <is>
          <t>- Headcount: 2
- Hiring Job Details: 1 Supervisor and 1 lorry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410">
        <v>110</v>
      </c>
      <c r="AU410" t="inlineStr">
        <is>
          <t>1.10</t>
        </is>
      </c>
      <c r="AV410" t="inlineStr">
        <is>
          <t>15</t>
        </is>
      </c>
      <c r="AW410" t="inlineStr">
        <is>
          <t>0</t>
        </is>
      </c>
      <c r="AX410" t="inlineStr">
        <is>
          <t>Not Qualified</t>
        </is>
      </c>
      <c r="AY410" s="4"/>
      <c r="AZ410"/>
      <c r="BA410"/>
      <c r="BB410"/>
      <c r="BC410" t="inlineStr">
        <is>
          <t>- Headcount: 2
- Hiring Job Details: 1 Supervisor and 1 lorry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BD410" s="4">
        <v>46140.66670138889</v>
      </c>
      <c r="BE410"/>
      <c r="BF410"/>
      <c r="BG410" t="inlineStr">
        <is>
          <t>Reschedule</t>
        </is>
      </c>
      <c r="BH410" t="inlineStr">
        <is>
          <t>Yee Hang</t>
        </is>
      </c>
      <c r="BI410" t="inlineStr">
        <is>
          <t>Construction / Building</t>
        </is>
      </c>
      <c r="BJ410" s="4">
        <v>46144.75239583333</v>
      </c>
      <c r="BK410" s="4">
        <v>45784.611134259256</v>
      </c>
      <c r="BL410" t="inlineStr">
        <is>
          <t>0.0</t>
        </is>
      </c>
      <c r="BM410" t="inlineStr">
        <is>
          <t>0.0</t>
        </is>
      </c>
      <c r="BN410" t="inlineStr">
        <is>
          <t>View Company Page</t>
        </is>
      </c>
      <c r="BO410" s="4">
        <v>45807.49626157407</v>
      </c>
      <c r="BP410">
        <v>169290</v>
      </c>
      <c r="BQ410"/>
      <c r="BR410"/>
      <c r="BS410"/>
      <c r="BT410"/>
      <c r="BU410"/>
      <c r="BV410">
        <v>2733290</v>
      </c>
      <c r="BW410" t="inlineStr">
        <is>
          <t>Customer Inquiry</t>
        </is>
      </c>
      <c r="BX410"/>
      <c r="BY410"/>
      <c r="BZ410" s="4"/>
      <c r="CA410"/>
      <c r="CB410"/>
      <c r="CC410" s="4"/>
      <c r="CD410" t="inlineStr">
        <is>
          <t>20</t>
        </is>
      </c>
      <c r="CE410" t="inlineStr">
        <is>
          <t>0</t>
        </is>
      </c>
      <c r="CF410" t="inlineStr">
        <is>
          <t>Q2-W04</t>
        </is>
      </c>
      <c r="CG410"/>
      <c r="CH410"/>
      <c r="CI410"/>
      <c r="CJ410" t="inlineStr">
        <is>
          <t>No Paid</t>
        </is>
      </c>
      <c r="CK410" t="inlineStr">
        <is>
          <t>Not Eligible</t>
        </is>
      </c>
      <c r="CL410"/>
      <c r="CM410"/>
    </row>
    <row r="411" ht="25.5" customHeight="1">
      <c r="A411" t="inlineStr">
        <is>
          <t>4315943</t>
        </is>
      </c>
      <c r="B411" s="2"/>
      <c r="C411"/>
      <c r="D411" s="3">
        <v>46140.65991898148</v>
      </c>
      <c r="E411" t="inlineStr">
        <is>
          <t>Q2-W04</t>
        </is>
      </c>
      <c r="F411" t="inlineStr">
        <is>
          <t>Josh</t>
        </is>
      </c>
      <c r="G411" t="inlineStr">
        <is>
          <t>Lead</t>
        </is>
      </c>
      <c r="H411" s="2" t="str">
        <f>=HYPERLINK("https://upbox.ajobthing.my/leads/4315943", "https://upbox.ajobthing.my/leads/4315943")</f>
        <v>https://upbox.ajobthing.my/leads/4315943</v>
      </c>
      <c r="I411" t="inlineStr">
        <is>
          <t>Global Weighing Solutions S/B</t>
        </is>
      </c>
      <c r="J411" t="inlineStr">
        <is>
          <t>Small Fish</t>
        </is>
      </c>
      <c r="K411" t="inlineStr">
        <is>
          <t>Josh</t>
        </is>
      </c>
      <c r="L411" s="4"/>
      <c r="M411" s="4">
        <v>46140.66024305556</v>
      </c>
      <c r="N411"/>
      <c r="O411">
        <v>864</v>
      </c>
      <c r="P411" s="4"/>
      <c r="Q411" s="4"/>
      <c r="R411"/>
      <c r="S411"/>
      <c r="T411" s="4"/>
      <c r="U411" s="4"/>
      <c r="V411"/>
      <c r="W411"/>
      <c r="X411"/>
      <c r="Y411" t="inlineStr">
        <is>
          <t>Pending Appointment</t>
        </is>
      </c>
      <c r="Z411" t="inlineStr">
        <is>
          <t>Hiring Now</t>
        </is>
      </c>
      <c r="AA411">
        <v>2</v>
      </c>
      <c r="AB411" t="inlineStr">
        <is>
          <t>No Appointment Made</t>
        </is>
      </c>
      <c r="AC411"/>
      <c r="AD411" t="inlineStr">
        <is>
          <t xml:space="preserve">2 technician </t>
        </is>
      </c>
      <c r="AE411"/>
      <c r="AF411">
        <v>1000</v>
      </c>
      <c r="AG411" s="4"/>
      <c r="AH411" s="4"/>
      <c r="AI411"/>
      <c r="AJ411"/>
      <c r="AK411" t="inlineStr">
        <is>
          <t>Yes, I have</t>
        </is>
      </c>
      <c r="AL411">
        <v>1</v>
      </c>
      <c r="AM411"/>
      <c r="AN411"/>
      <c r="AO411"/>
      <c r="AP411" t="inlineStr">
        <is>
          <t>Once a year (25%)</t>
        </is>
      </c>
      <c r="AQ411"/>
      <c r="AR411"/>
      <c r="AS411" t="inlineStr">
        <is>
          <t>- Headcount: 2
- Hiring Job Details: 2 technician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is>
      </c>
      <c r="AT411">
        <v>95</v>
      </c>
      <c r="AU411" t="inlineStr">
        <is>
          <t>0.95</t>
        </is>
      </c>
      <c r="AV411" t="inlineStr">
        <is>
          <t>15</t>
        </is>
      </c>
      <c r="AW411" t="inlineStr">
        <is>
          <t>0</t>
        </is>
      </c>
      <c r="AX411" t="inlineStr">
        <is>
          <t>Not Qualified</t>
        </is>
      </c>
      <c r="AY411" s="4"/>
      <c r="AZ411"/>
      <c r="BA411"/>
      <c r="BB411"/>
      <c r="BC411"/>
      <c r="BD411" s="4"/>
      <c r="BE411"/>
      <c r="BF411"/>
      <c r="BG411" t="inlineStr">
        <is>
          <t>Reschedule</t>
        </is>
      </c>
      <c r="BH411" t="inlineStr">
        <is>
          <t>Fauziah Maharan</t>
        </is>
      </c>
      <c r="BI411"/>
      <c r="BJ411" s="4">
        <v>46144.755902777775</v>
      </c>
      <c r="BK411" s="4">
        <v>46135.83866898148</v>
      </c>
      <c r="BL411" t="inlineStr">
        <is>
          <t>0.0</t>
        </is>
      </c>
      <c r="BM411" t="inlineStr">
        <is>
          <t>0.0</t>
        </is>
      </c>
      <c r="BN411"/>
      <c r="BO411" s="4"/>
      <c r="BP411">
        <v>169304</v>
      </c>
      <c r="BQ411"/>
      <c r="BR411"/>
      <c r="BS411"/>
      <c r="BT411"/>
      <c r="BU411"/>
      <c r="BV411"/>
      <c r="BW411"/>
      <c r="BX411"/>
      <c r="BY411"/>
      <c r="BZ411" s="4"/>
      <c r="CA411"/>
      <c r="CB411"/>
      <c r="CC411" s="4"/>
      <c r="CD411" t="inlineStr">
        <is>
          <t>20</t>
        </is>
      </c>
      <c r="CE411" t="inlineStr">
        <is>
          <t>0</t>
        </is>
      </c>
      <c r="CF411" t="inlineStr">
        <is>
          <t>Q2-W04</t>
        </is>
      </c>
      <c r="CG411"/>
      <c r="CH411"/>
      <c r="CI411"/>
      <c r="CJ411" t="inlineStr">
        <is>
          <t>No Paid</t>
        </is>
      </c>
      <c r="CK411" t="inlineStr">
        <is>
          <t>Not Eligible</t>
        </is>
      </c>
      <c r="CL411"/>
      <c r="CM411"/>
    </row>
    <row r="412" ht="25.5" customHeight="1">
      <c r="A412" t="inlineStr">
        <is>
          <t>4329316</t>
        </is>
      </c>
      <c r="B412" s="2"/>
      <c r="C412"/>
      <c r="D412" s="3">
        <v>46140.660208333335</v>
      </c>
      <c r="E412" t="inlineStr">
        <is>
          <t>Q2-W04</t>
        </is>
      </c>
      <c r="F412" t="inlineStr">
        <is>
          <t>Jeff Lee</t>
        </is>
      </c>
      <c r="G412" t="inlineStr">
        <is>
          <t>Lead</t>
        </is>
      </c>
      <c r="H412" s="2" t="str">
        <f>=HYPERLINK("https://upbox.ajobthing.my/leads/4329316", "https://upbox.ajobthing.my/leads/4329316")</f>
        <v>https://upbox.ajobthing.my/leads/4329316</v>
      </c>
      <c r="I412" t="inlineStr">
        <is>
          <t>VESURE ENTERPRISE</t>
        </is>
      </c>
      <c r="J412" t="inlineStr">
        <is>
          <t>Small Fish</t>
        </is>
      </c>
      <c r="K412" t="inlineStr">
        <is>
          <t>Jeff Lee</t>
        </is>
      </c>
      <c r="L412" s="4"/>
      <c r="M412" s="4">
        <v>46140.65864583333</v>
      </c>
      <c r="N412"/>
      <c r="O412">
        <v>3888</v>
      </c>
      <c r="P412" s="4"/>
      <c r="Q412" s="4"/>
      <c r="R412"/>
      <c r="S412"/>
      <c r="T412" s="4"/>
      <c r="U412" s="4"/>
      <c r="V412"/>
      <c r="W412"/>
      <c r="X412"/>
      <c r="Y412" t="inlineStr">
        <is>
          <t>Pending Appointment</t>
        </is>
      </c>
      <c r="Z412" t="inlineStr">
        <is>
          <t>Hiring Now</t>
        </is>
      </c>
      <c r="AA412">
        <v>2</v>
      </c>
      <c r="AB412" t="inlineStr">
        <is>
          <t>No Appointment Made</t>
        </is>
      </c>
      <c r="AC412"/>
      <c r="AD412" t="inlineStr">
        <is>
          <t xml:space="preserve">1 Livehost and 1 Multimedia </t>
        </is>
      </c>
      <c r="AE412"/>
      <c r="AF412">
        <v>0</v>
      </c>
      <c r="AG412" s="4"/>
      <c r="AH412" s="4"/>
      <c r="AI412">
        <v>0</v>
      </c>
      <c r="AJ412">
        <v>0</v>
      </c>
      <c r="AK412" t="inlineStr">
        <is>
          <t>No, I don't need at all</t>
        </is>
      </c>
      <c r="AL412">
        <v>0</v>
      </c>
      <c r="AM412" t="inlineStr">
        <is>
          <t>No, I don't need at all</t>
        </is>
      </c>
      <c r="AN412"/>
      <c r="AO412" t="inlineStr">
        <is>
          <t>No, I don't need at all</t>
        </is>
      </c>
      <c r="AP412" t="inlineStr">
        <is>
          <t>Once a year (25%)</t>
        </is>
      </c>
      <c r="AQ412">
        <v>2</v>
      </c>
      <c r="AR412" t="inlineStr">
        <is>
          <t>Free Job Portal</t>
        </is>
      </c>
      <c r="AS412" t="inlineStr">
        <is>
          <t>- Headcount: 2
- Hiring Job Details: 1 Livehost and 1 Multimedia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412">
        <v>105</v>
      </c>
      <c r="AU412" t="inlineStr">
        <is>
          <t>1.05</t>
        </is>
      </c>
      <c r="AV412" t="inlineStr">
        <is>
          <t>15</t>
        </is>
      </c>
      <c r="AW412" t="inlineStr">
        <is>
          <t>0</t>
        </is>
      </c>
      <c r="AX412" t="inlineStr">
        <is>
          <t>Not Qualified</t>
        </is>
      </c>
      <c r="AY412" s="4"/>
      <c r="AZ412"/>
      <c r="BA412"/>
      <c r="BB412"/>
      <c r="BC412"/>
      <c r="BD412" s="4"/>
      <c r="BE412"/>
      <c r="BF412"/>
      <c r="BG412" t="inlineStr">
        <is>
          <t>Reschedule</t>
        </is>
      </c>
      <c r="BH412" t="inlineStr">
        <is>
          <t>Yee Hang</t>
        </is>
      </c>
      <c r="BI412"/>
      <c r="BJ412" s="4">
        <v>46144.755949074075</v>
      </c>
      <c r="BK412" s="4">
        <v>46140.645625</v>
      </c>
      <c r="BL412" t="inlineStr">
        <is>
          <t>0.0</t>
        </is>
      </c>
      <c r="BM412" t="inlineStr">
        <is>
          <t>0.0</t>
        </is>
      </c>
      <c r="BN412"/>
      <c r="BO412" s="4"/>
      <c r="BP412">
        <v>169303</v>
      </c>
      <c r="BQ412"/>
      <c r="BR412"/>
      <c r="BS412"/>
      <c r="BT412"/>
      <c r="BU412"/>
      <c r="BV412"/>
      <c r="BW412"/>
      <c r="BX412"/>
      <c r="BY412"/>
      <c r="BZ412" s="4"/>
      <c r="CA412"/>
      <c r="CB412"/>
      <c r="CC412" s="4"/>
      <c r="CD412" t="inlineStr">
        <is>
          <t>20</t>
        </is>
      </c>
      <c r="CE412" t="inlineStr">
        <is>
          <t>0</t>
        </is>
      </c>
      <c r="CF412" t="inlineStr">
        <is>
          <t>Q2-W04</t>
        </is>
      </c>
      <c r="CG412"/>
      <c r="CH412"/>
      <c r="CI412"/>
      <c r="CJ412" t="inlineStr">
        <is>
          <t>No Paid</t>
        </is>
      </c>
      <c r="CK412" t="inlineStr">
        <is>
          <t>Not Eligible</t>
        </is>
      </c>
      <c r="CL412"/>
      <c r="CM412"/>
    </row>
    <row r="413" ht="25.5" customHeight="1">
      <c r="A413" t="inlineStr">
        <is>
          <t>187194</t>
        </is>
      </c>
      <c r="B413" s="2"/>
      <c r="C413"/>
      <c r="D413" s="3">
        <v>46140.66037037037</v>
      </c>
      <c r="E413" t="inlineStr">
        <is>
          <t>Q2-W04</t>
        </is>
      </c>
      <c r="F413" t="inlineStr">
        <is>
          <t>Clover</t>
        </is>
      </c>
      <c r="G413" t="inlineStr">
        <is>
          <t>Customer</t>
        </is>
      </c>
      <c r="H413" s="2" t="str">
        <f>=HYPERLINK("https://upbox.ajobthing.my/customer/187194", "https://upbox.ajobthing.my/customer/187194")</f>
        <v>https://upbox.ajobthing.my/customer/187194</v>
      </c>
      <c r="I413" t="inlineStr">
        <is>
          <t>Aneka Publication &amp; Distributors Sdn Bhd</t>
        </is>
      </c>
      <c r="J413" t="inlineStr">
        <is>
          <t>Small Fish</t>
        </is>
      </c>
      <c r="K413" t="inlineStr">
        <is>
          <t>Clover</t>
        </is>
      </c>
      <c r="L413" s="4"/>
      <c r="M413" s="4">
        <v>46140.708506944444</v>
      </c>
      <c r="N413"/>
      <c r="O413">
        <v>3888</v>
      </c>
      <c r="P413" s="4"/>
      <c r="Q413" s="4"/>
      <c r="R413"/>
      <c r="S413"/>
      <c r="T413" s="4"/>
      <c r="U413" s="4"/>
      <c r="V413"/>
      <c r="W413"/>
      <c r="X413"/>
      <c r="Y413" t="inlineStr">
        <is>
          <t>Pending Appointment</t>
        </is>
      </c>
      <c r="Z413" t="inlineStr">
        <is>
          <t>Hiring Now</t>
        </is>
      </c>
      <c r="AA413">
        <v>2</v>
      </c>
      <c r="AB413" t="inlineStr">
        <is>
          <t>No Appointment Made</t>
        </is>
      </c>
      <c r="AC413"/>
      <c r="AD413" t="inlineStr">
        <is>
          <t>Ms Nanpa PIC, hire graphic designer intern / graphic designer x1-2 , all races, klang, suggest stand dis 288</t>
        </is>
      </c>
      <c r="AE413"/>
      <c r="AF413">
        <v>3000</v>
      </c>
      <c r="AG413" s="4"/>
      <c r="AH413" s="4"/>
      <c r="AI413">
        <v>3000</v>
      </c>
      <c r="AJ413">
        <v>1</v>
      </c>
      <c r="AK413" t="inlineStr">
        <is>
          <t>No, but I want in future</t>
        </is>
      </c>
      <c r="AL413">
        <v>1</v>
      </c>
      <c r="AM413" t="inlineStr">
        <is>
          <t>No, but I want in future</t>
        </is>
      </c>
      <c r="AN413"/>
      <c r="AO413" t="inlineStr">
        <is>
          <t>No, but I want in future</t>
        </is>
      </c>
      <c r="AP413" t="inlineStr">
        <is>
          <t>Twice a year (50%)</t>
        </is>
      </c>
      <c r="AQ413">
        <v>2</v>
      </c>
      <c r="AR413" t="inlineStr">
        <is>
          <t>Free Job Portal</t>
        </is>
      </c>
      <c r="AS413" t="inlineStr">
        <is>
          <t>- Headcount: 2
- Hiring Job Details: Ms Nanpa PIC, hire graphic designer intern/graphic designer x1-2, all races, klang, suggest stand dis 288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413">
        <v>105</v>
      </c>
      <c r="AU413" t="inlineStr">
        <is>
          <t>1.05</t>
        </is>
      </c>
      <c r="AV413" t="inlineStr">
        <is>
          <t>15</t>
        </is>
      </c>
      <c r="AW413" t="inlineStr">
        <is>
          <t>0</t>
        </is>
      </c>
      <c r="AX413" t="inlineStr">
        <is>
          <t>Not Qualified</t>
        </is>
      </c>
      <c r="AY413" s="4"/>
      <c r="AZ413"/>
      <c r="BA413"/>
      <c r="BB413"/>
      <c r="BC413" t="inlineStr">
        <is>
          <t>PIC : Natha // hiring now : position- graphic designer 3-4person // location ; bandar puteri klang // salary range : RM1900-2200 //can accept fresh grad but need design skill // all language  // posting on Indeed now</t>
        </is>
      </c>
      <c r="BD413" s="4">
        <v>46140.709548611114</v>
      </c>
      <c r="BE413"/>
      <c r="BF413"/>
      <c r="BG413" t="inlineStr">
        <is>
          <t>Reschedule</t>
        </is>
      </c>
      <c r="BH413" t="inlineStr">
        <is>
          <t>Reagen</t>
        </is>
      </c>
      <c r="BI413" t="inlineStr">
        <is>
          <t>Printing / Publishing</t>
        </is>
      </c>
      <c r="BJ413" s="4">
        <v>46144.75215277778</v>
      </c>
      <c r="BK413" s="4">
        <v>45688.63761574074</v>
      </c>
      <c r="BL413" t="inlineStr">
        <is>
          <t>0.0</t>
        </is>
      </c>
      <c r="BM413" t="inlineStr">
        <is>
          <t>0.0</t>
        </is>
      </c>
      <c r="BN413" t="inlineStr">
        <is>
          <t>View Create Job Page</t>
        </is>
      </c>
      <c r="BO413" s="4">
        <v>45688.645266203705</v>
      </c>
      <c r="BP413">
        <v>169347</v>
      </c>
      <c r="BQ413"/>
      <c r="BR413"/>
      <c r="BS413"/>
      <c r="BT413"/>
      <c r="BU413"/>
      <c r="BV413">
        <v>2733694</v>
      </c>
      <c r="BW413" t="inlineStr">
        <is>
          <t>Inquire for Hiring Needs : Quotation Sent 50%</t>
        </is>
      </c>
      <c r="BX413"/>
      <c r="BY413"/>
      <c r="BZ413" s="4"/>
      <c r="CA413"/>
      <c r="CB413"/>
      <c r="CC413" s="4"/>
      <c r="CD413" t="inlineStr">
        <is>
          <t>20</t>
        </is>
      </c>
      <c r="CE413" t="inlineStr">
        <is>
          <t>0</t>
        </is>
      </c>
      <c r="CF413" t="inlineStr">
        <is>
          <t>Q2-W04</t>
        </is>
      </c>
      <c r="CG413"/>
      <c r="CH413"/>
      <c r="CI413"/>
      <c r="CJ413" t="inlineStr">
        <is>
          <t>No Paid</t>
        </is>
      </c>
      <c r="CK413" t="inlineStr">
        <is>
          <t>Not Eligible</t>
        </is>
      </c>
      <c r="CL413"/>
      <c r="CM413"/>
    </row>
    <row r="414" ht="25.5" customHeight="1">
      <c r="A414" t="inlineStr">
        <is>
          <t>203723</t>
        </is>
      </c>
      <c r="B414" s="2"/>
      <c r="C414"/>
      <c r="D414" s="3">
        <v>46140.661412037036</v>
      </c>
      <c r="E414" t="inlineStr">
        <is>
          <t>Q2-W04</t>
        </is>
      </c>
      <c r="F414" t="inlineStr">
        <is>
          <t>Ken Yi</t>
        </is>
      </c>
      <c r="G414" t="inlineStr">
        <is>
          <t>Customer</t>
        </is>
      </c>
      <c r="H414" s="2" t="str">
        <f>=HYPERLINK("https://upbox.ajobthing.my/customer/203723", "https://upbox.ajobthing.my/customer/203723")</f>
        <v>https://upbox.ajobthing.my/customer/203723</v>
      </c>
      <c r="I414" t="inlineStr">
        <is>
          <t>Kingdomhigh</t>
        </is>
      </c>
      <c r="J414" t="inlineStr">
        <is>
          <t>Small Fish</t>
        </is>
      </c>
      <c r="K414" t="inlineStr">
        <is>
          <t>Kenyi</t>
        </is>
      </c>
      <c r="L414" s="4"/>
      <c r="M414" s="4">
        <v>46140.66339120371</v>
      </c>
      <c r="N414"/>
      <c r="O414">
        <v>3576.96</v>
      </c>
      <c r="P414" s="4"/>
      <c r="Q414" s="4"/>
      <c r="R414"/>
      <c r="S414"/>
      <c r="T414" s="4"/>
      <c r="U414" s="4"/>
      <c r="V414"/>
      <c r="W414"/>
      <c r="X414"/>
      <c r="Y414" t="inlineStr">
        <is>
          <t>Pending Appointment</t>
        </is>
      </c>
      <c r="Z414" t="inlineStr">
        <is>
          <t>Hiring Now</t>
        </is>
      </c>
      <c r="AA414">
        <v>1</v>
      </c>
      <c r="AB414" t="inlineStr">
        <is>
          <t>No Appointment Made</t>
        </is>
      </c>
      <c r="AC414"/>
      <c r="AD414" t="inlineStr">
        <is>
          <t>Therapist</t>
        </is>
      </c>
      <c r="AE414"/>
      <c r="AF414">
        <v>3600</v>
      </c>
      <c r="AG414" s="4"/>
      <c r="AH414" s="4"/>
      <c r="AI414">
        <v>0</v>
      </c>
      <c r="AJ414">
        <v>1</v>
      </c>
      <c r="AK414" t="inlineStr">
        <is>
          <t>Yes, I have</t>
        </is>
      </c>
      <c r="AL414">
        <v>1</v>
      </c>
      <c r="AM414" t="inlineStr">
        <is>
          <t>No, I don't need at all</t>
        </is>
      </c>
      <c r="AN414"/>
      <c r="AO414" t="inlineStr">
        <is>
          <t>No, I don't need at all</t>
        </is>
      </c>
      <c r="AP414" t="inlineStr">
        <is>
          <t>Every month (100%)</t>
        </is>
      </c>
      <c r="AQ414">
        <v>2</v>
      </c>
      <c r="AR414" t="inlineStr">
        <is>
          <t>Did not use any job portal</t>
        </is>
      </c>
      <c r="AS414" t="inlineStr">
        <is>
          <t>- Headcount: 1
- Hiring Job Details: 1 Therapist
- Hiring Urgency: Hiring Now
- Number of outlets: 1
- Have recruiter team: Yes, I have
- Number of recruiter in company: 1
- Have ATS system: No, I don't need at all
- Have career website: No, I don't need at all
- Current hiring budget: RM3,600.00
- Whole year budget: RM0.00
- Whole year number of vacancies: 2
- Hiring frequency: Every month (100%)
- External job portal: Did not use any job portal</t>
        </is>
      </c>
      <c r="AT414">
        <v>110</v>
      </c>
      <c r="AU414" t="inlineStr">
        <is>
          <t>1.10</t>
        </is>
      </c>
      <c r="AV414" t="inlineStr">
        <is>
          <t>15</t>
        </is>
      </c>
      <c r="AW414" t="inlineStr">
        <is>
          <t>0</t>
        </is>
      </c>
      <c r="AX414" t="inlineStr">
        <is>
          <t>Not Qualified</t>
        </is>
      </c>
      <c r="AY414" s="4"/>
      <c r="AZ414"/>
      <c r="BA414"/>
      <c r="BB414"/>
      <c r="BC414" t="inlineStr">
        <is>
          <t>- Headcount: 1
- Hiring Job Details: 1 Therapist
- Hiring Urgency: Hiring Now
- Number of outlets: 1
- Have recruiter team: Yes, I have
- Number of recruiter in company: 1
- Have ATS system: No, I don't need at all
- Have career website: No, I don't need at all
- Current hiring budget: RM3,600.00
- Whole year budget: RM0.00
- Whole year number of vacancies: 2
- Hiring frequency: Every month (100%)
- External job portal: Did not use any job portal</t>
        </is>
      </c>
      <c r="BD414" s="4">
        <v>46140.666712962964</v>
      </c>
      <c r="BE414"/>
      <c r="BF414"/>
      <c r="BG414" t="inlineStr">
        <is>
          <t>Reschedule</t>
        </is>
      </c>
      <c r="BH414" t="inlineStr">
        <is>
          <t>Fauziah Maharan</t>
        </is>
      </c>
      <c r="BI414"/>
      <c r="BJ414" s="4">
        <v>46144.75438657407</v>
      </c>
      <c r="BK414" s="4">
        <v>46140.34887731481</v>
      </c>
      <c r="BL414" t="inlineStr">
        <is>
          <t>0.0</t>
        </is>
      </c>
      <c r="BM414" t="inlineStr">
        <is>
          <t>0.0</t>
        </is>
      </c>
      <c r="BN414" t="inlineStr">
        <is>
          <t>View Candidate Search Page</t>
        </is>
      </c>
      <c r="BO414" s="4">
        <v>46140.37609953704</v>
      </c>
      <c r="BP414">
        <v>169308</v>
      </c>
      <c r="BQ414"/>
      <c r="BR414"/>
      <c r="BS414"/>
      <c r="BT414"/>
      <c r="BU414"/>
      <c r="BV414">
        <v>2733295</v>
      </c>
      <c r="BW414" t="inlineStr">
        <is>
          <t>Customer Inquiry</t>
        </is>
      </c>
      <c r="BX414"/>
      <c r="BY414"/>
      <c r="BZ414" s="4"/>
      <c r="CA414"/>
      <c r="CB414"/>
      <c r="CC414" s="4"/>
      <c r="CD414" t="inlineStr">
        <is>
          <t>20</t>
        </is>
      </c>
      <c r="CE414" t="inlineStr">
        <is>
          <t>0</t>
        </is>
      </c>
      <c r="CF414" t="inlineStr">
        <is>
          <t>Q2-W04</t>
        </is>
      </c>
      <c r="CG414"/>
      <c r="CH414"/>
      <c r="CI414"/>
      <c r="CJ414" t="inlineStr">
        <is>
          <t>No Paid</t>
        </is>
      </c>
      <c r="CK414" t="inlineStr">
        <is>
          <t>Not Eligible</t>
        </is>
      </c>
      <c r="CL414"/>
      <c r="CM414"/>
    </row>
    <row r="415" ht="25.5" customHeight="1">
      <c r="A415" t="inlineStr">
        <is>
          <t>203562</t>
        </is>
      </c>
      <c r="B415" s="2"/>
      <c r="C415"/>
      <c r="D415" s="3">
        <v>46140.66305555555</v>
      </c>
      <c r="E415" t="inlineStr">
        <is>
          <t>Q2-W04</t>
        </is>
      </c>
      <c r="F415" t="inlineStr">
        <is>
          <t>Jeff Lee</t>
        </is>
      </c>
      <c r="G415" t="inlineStr">
        <is>
          <t>Customer</t>
        </is>
      </c>
      <c r="H415" s="2" t="str">
        <f>=HYPERLINK("https://upbox.ajobthing.my/customer/203562", "https://upbox.ajobthing.my/customer/203562")</f>
        <v>https://upbox.ajobthing.my/customer/203562</v>
      </c>
      <c r="I415" t="inlineStr">
        <is>
          <t>Yong Guan Sauce Manutacturer (M) Sdn Bhd</t>
        </is>
      </c>
      <c r="J415" t="inlineStr">
        <is>
          <t>Small Fish</t>
        </is>
      </c>
      <c r="K415" t="inlineStr">
        <is>
          <t>Jeff Lee</t>
        </is>
      </c>
      <c r="L415" s="4"/>
      <c r="M415" s="4">
        <v>46135.44496527778</v>
      </c>
      <c r="N415"/>
      <c r="O415">
        <v>3888</v>
      </c>
      <c r="P415" s="4"/>
      <c r="Q415" s="4">
        <v>46140.65042824074</v>
      </c>
      <c r="R415"/>
      <c r="S415">
        <v>1296</v>
      </c>
      <c r="T415" s="4"/>
      <c r="U415" s="4"/>
      <c r="V415"/>
      <c r="W415"/>
      <c r="X415"/>
      <c r="Y415" t="inlineStr">
        <is>
          <t>Pending Appointment</t>
        </is>
      </c>
      <c r="Z415" t="inlineStr">
        <is>
          <t>Hiring Now</t>
        </is>
      </c>
      <c r="AA415">
        <v>1</v>
      </c>
      <c r="AB415" t="inlineStr">
        <is>
          <t>No Appointment Made</t>
        </is>
      </c>
      <c r="AC415"/>
      <c r="AD415" t="inlineStr">
        <is>
          <t>1 Lorry Driver</t>
        </is>
      </c>
      <c r="AE415"/>
      <c r="AF415">
        <v>1300</v>
      </c>
      <c r="AG415" s="4"/>
      <c r="AH415" s="4"/>
      <c r="AI415">
        <v>1300</v>
      </c>
      <c r="AJ415">
        <v>0</v>
      </c>
      <c r="AK415" t="inlineStr">
        <is>
          <t>No, I don't need at all</t>
        </is>
      </c>
      <c r="AL415">
        <v>0</v>
      </c>
      <c r="AM415" t="inlineStr">
        <is>
          <t>No, I don't need at all</t>
        </is>
      </c>
      <c r="AN415"/>
      <c r="AO415" t="inlineStr">
        <is>
          <t>No, I don't need at all</t>
        </is>
      </c>
      <c r="AP415" t="inlineStr">
        <is>
          <t>Once a year (25%)</t>
        </is>
      </c>
      <c r="AQ415">
        <v>1</v>
      </c>
      <c r="AR415" t="inlineStr">
        <is>
          <t>Did not use any job portal</t>
        </is>
      </c>
      <c r="AS415" t="inlineStr">
        <is>
          <t>- Headcount: 1
- Hiring Job Details: 1 Lorry Driver
- Hiring Urgency: Hiring Now
- Number of outlets: 0
- Have recruiter team: No, I don't need at all
- Number of recruiter in company: 0
- Have ATS system: No, I don't need at all
- Have career website: No, I don't need at all
- Current hiring budget: RM1,300
- Whole year budget: RM1,300.00
- Whole year number of vacancies: 1
- Hiring frequency: Once a year (25%)
- External job portal: Did not use any job portal</t>
        </is>
      </c>
      <c r="AT415">
        <v>110</v>
      </c>
      <c r="AU415" t="inlineStr">
        <is>
          <t>1.10</t>
        </is>
      </c>
      <c r="AV415" t="inlineStr">
        <is>
          <t>15</t>
        </is>
      </c>
      <c r="AW415" t="inlineStr">
        <is>
          <t>0</t>
        </is>
      </c>
      <c r="AX415" t="inlineStr">
        <is>
          <t>Not Qualified</t>
        </is>
      </c>
      <c r="AY415" s="4"/>
      <c r="AZ415"/>
      <c r="BA415"/>
      <c r="BB415"/>
      <c r="BC415" t="inlineStr">
        <is>
          <t>- Headcount: 1
- Hiring Job Details: 1 Lorry Driver
- Hiring Urgency: Hiring Now
- Number of outlets: 0
- Have recruiter team: No, I don't need at all
- Number of recruiter in company: 0
- Have ATS system: No, I don't need at all
- Have career website: No, I don't need at all
- Current hiring budget: RM1,300
- Whole year budget: RM1,300.00
- Whole year number of vacancies: 1
- Hiring frequency: Once a year (25%)
- External job portal: Did not use any job portal</t>
        </is>
      </c>
      <c r="BD415" s="4">
        <v>46140.666712962964</v>
      </c>
      <c r="BE415" t="inlineStr">
        <is>
          <t>pending</t>
        </is>
      </c>
      <c r="BF415"/>
      <c r="BG415" t="inlineStr">
        <is>
          <t>Reschedule</t>
        </is>
      </c>
      <c r="BH415" t="inlineStr">
        <is>
          <t>Yee Hang</t>
        </is>
      </c>
      <c r="BI415"/>
      <c r="BJ415" s="4">
        <v>46144.75435185185</v>
      </c>
      <c r="BK415" s="4">
        <v>46135.44244212963</v>
      </c>
      <c r="BL415" t="inlineStr">
        <is>
          <t>0.0</t>
        </is>
      </c>
      <c r="BM415" t="inlineStr">
        <is>
          <t>0.0</t>
        </is>
      </c>
      <c r="BN415"/>
      <c r="BO415" s="4"/>
      <c r="BP415">
        <v>168470</v>
      </c>
      <c r="BQ415">
        <v>123933</v>
      </c>
      <c r="BR415" t="inlineStr">
        <is>
          <t>Proforma</t>
        </is>
      </c>
      <c r="BS415" t="inlineStr">
        <is>
          <t>AI Ala Carte (Jan 26) Plus</t>
        </is>
      </c>
      <c r="BT415"/>
      <c r="BU415"/>
      <c r="BV415">
        <v>2733296</v>
      </c>
      <c r="BW415" t="inlineStr">
        <is>
          <t>Customer Inquiry</t>
        </is>
      </c>
      <c r="BX415"/>
      <c r="BY415"/>
      <c r="BZ415" s="4"/>
      <c r="CA415"/>
      <c r="CB415"/>
      <c r="CC415" s="4"/>
      <c r="CD415" t="inlineStr">
        <is>
          <t>20</t>
        </is>
      </c>
      <c r="CE415" t="inlineStr">
        <is>
          <t>0</t>
        </is>
      </c>
      <c r="CF415" t="inlineStr">
        <is>
          <t>Q2-W03</t>
        </is>
      </c>
      <c r="CG415" t="inlineStr">
        <is>
          <t>Q2-W04</t>
        </is>
      </c>
      <c r="CH415"/>
      <c r="CI415"/>
      <c r="CJ415" t="inlineStr">
        <is>
          <t>No Paid</t>
        </is>
      </c>
      <c r="CK415" t="inlineStr">
        <is>
          <t>Not Eligible</t>
        </is>
      </c>
      <c r="CL415"/>
      <c r="CM415"/>
    </row>
    <row r="416" ht="25.5" customHeight="1">
      <c r="A416" t="inlineStr">
        <is>
          <t>4329304</t>
        </is>
      </c>
      <c r="B416" s="2"/>
      <c r="C416"/>
      <c r="D416" s="3">
        <v>46140.66380787037</v>
      </c>
      <c r="E416" t="inlineStr">
        <is>
          <t>Q2-W04</t>
        </is>
      </c>
      <c r="F416" t="inlineStr">
        <is>
          <t>Ratha</t>
        </is>
      </c>
      <c r="G416" t="inlineStr">
        <is>
          <t>Lead</t>
        </is>
      </c>
      <c r="H416" s="2" t="str">
        <f>=HYPERLINK("https://upbox.ajobthing.my/leads/4329304", "https://upbox.ajobthing.my/leads/4329304")</f>
        <v>https://upbox.ajobthing.my/leads/4329304</v>
      </c>
      <c r="I416" t="inlineStr">
        <is>
          <t>GreenRoom Online Ventures (Calvin Leong)</t>
        </is>
      </c>
      <c r="J416" t="inlineStr">
        <is>
          <t>Small Fish</t>
        </is>
      </c>
      <c r="K416" t="inlineStr">
        <is>
          <t>Ratha</t>
        </is>
      </c>
      <c r="L416" s="4"/>
      <c r="M416" s="4">
        <v>46140.664189814815</v>
      </c>
      <c r="N416"/>
      <c r="O416">
        <v>3576.96</v>
      </c>
      <c r="P416" s="4"/>
      <c r="Q416" s="4"/>
      <c r="R416"/>
      <c r="S416"/>
      <c r="T416" s="4"/>
      <c r="U416" s="4"/>
      <c r="V416"/>
      <c r="W416"/>
      <c r="X416"/>
      <c r="Y416" t="inlineStr">
        <is>
          <t>Pending Appointment</t>
        </is>
      </c>
      <c r="Z416" t="inlineStr">
        <is>
          <t>Hiring Later</t>
        </is>
      </c>
      <c r="AA416">
        <v>1</v>
      </c>
      <c r="AB416" t="inlineStr">
        <is>
          <t>No Appointment Made</t>
        </is>
      </c>
      <c r="AC416"/>
      <c r="AD416" t="inlineStr">
        <is>
          <t>Social Media
Location : Subang</t>
        </is>
      </c>
      <c r="AE416"/>
      <c r="AF416"/>
      <c r="AG416" s="4"/>
      <c r="AH416" s="4"/>
      <c r="AI416">
        <v>0</v>
      </c>
      <c r="AJ416">
        <v>1</v>
      </c>
      <c r="AK416" t="inlineStr">
        <is>
          <t>Yes, I have</t>
        </is>
      </c>
      <c r="AL416">
        <v>1</v>
      </c>
      <c r="AM416" t="inlineStr">
        <is>
          <t>No, I don't need at all</t>
        </is>
      </c>
      <c r="AN416"/>
      <c r="AO416" t="inlineStr">
        <is>
          <t>No, I don't need at all</t>
        </is>
      </c>
      <c r="AP416" t="inlineStr">
        <is>
          <t>Twice a year (50%)</t>
        </is>
      </c>
      <c r="AQ416">
        <v>0</v>
      </c>
      <c r="AR416" t="inlineStr">
        <is>
          <t>Free Job Portal</t>
        </is>
      </c>
      <c r="AS416" t="inlineStr">
        <is>
          <t>- Headcount: 1
- Hiring Job Details: 1 Social Media
- Hiring Urgency: Hiring Later
- Number of outlets: 1
- Have recruiter team: Yes, I have
- Number of recruiter in company: 1
- Have ATS system: No, I don't need at all
- Have career website: No, I don't need at all
- Current hiring budget: RM
- Whole year budget: RM0.00
- Whole year number of vacancies: 0
- Hiring frequency: Twice a year (50%)
- External job portal: Free Job Portal</t>
        </is>
      </c>
      <c r="AT416">
        <v>85</v>
      </c>
      <c r="AU416" t="inlineStr">
        <is>
          <t>0.85</t>
        </is>
      </c>
      <c r="AV416" t="inlineStr">
        <is>
          <t>5</t>
        </is>
      </c>
      <c r="AW416" t="inlineStr">
        <is>
          <t>0</t>
        </is>
      </c>
      <c r="AX416" t="inlineStr">
        <is>
          <t>Not Qualified</t>
        </is>
      </c>
      <c r="AY416" s="4"/>
      <c r="AZ416"/>
      <c r="BA416"/>
      <c r="BB416"/>
      <c r="BC416"/>
      <c r="BD416" s="4"/>
      <c r="BE416"/>
      <c r="BF416"/>
      <c r="BG416" t="inlineStr">
        <is>
          <t>Reschedule</t>
        </is>
      </c>
      <c r="BH416" t="inlineStr">
        <is>
          <t>Fauziah Maharan</t>
        </is>
      </c>
      <c r="BI416"/>
      <c r="BJ416" s="4">
        <v>46144.755949074075</v>
      </c>
      <c r="BK416" s="4">
        <v>46140.63222222222</v>
      </c>
      <c r="BL416" t="inlineStr">
        <is>
          <t>0.0</t>
        </is>
      </c>
      <c r="BM416" t="inlineStr">
        <is>
          <t>300.0</t>
        </is>
      </c>
      <c r="BN416"/>
      <c r="BO416" s="4"/>
      <c r="BP416">
        <v>169309</v>
      </c>
      <c r="BQ416"/>
      <c r="BR416"/>
      <c r="BS416"/>
      <c r="BT416"/>
      <c r="BU416"/>
      <c r="BV416"/>
      <c r="BW416"/>
      <c r="BX416"/>
      <c r="BY416"/>
      <c r="BZ416" s="4"/>
      <c r="CA416"/>
      <c r="CB416"/>
      <c r="CC416" s="4"/>
      <c r="CD416" t="inlineStr">
        <is>
          <t>5</t>
        </is>
      </c>
      <c r="CE416" t="inlineStr">
        <is>
          <t>0</t>
        </is>
      </c>
      <c r="CF416" t="inlineStr">
        <is>
          <t>Q2-W04</t>
        </is>
      </c>
      <c r="CG416"/>
      <c r="CH416"/>
      <c r="CI416"/>
      <c r="CJ416" t="inlineStr">
        <is>
          <t>No Paid</t>
        </is>
      </c>
      <c r="CK416" t="inlineStr">
        <is>
          <t>Not Eligible</t>
        </is>
      </c>
      <c r="CL416"/>
      <c r="CM416"/>
    </row>
    <row r="417" ht="25.5" customHeight="1">
      <c r="A417" t="inlineStr">
        <is>
          <t>176166</t>
        </is>
      </c>
      <c r="B417" s="2"/>
      <c r="C417"/>
      <c r="D417" s="3">
        <v>46140.671423611115</v>
      </c>
      <c r="E417" t="inlineStr">
        <is>
          <t>Q2-W04</t>
        </is>
      </c>
      <c r="F417" t="inlineStr">
        <is>
          <t>Eugene</t>
        </is>
      </c>
      <c r="G417" t="inlineStr">
        <is>
          <t>Customer</t>
        </is>
      </c>
      <c r="H417" s="2" t="str">
        <f>=HYPERLINK("https://upbox.ajobthing.my/customer/176166", "https://upbox.ajobthing.my/customer/176166")</f>
        <v>https://upbox.ajobthing.my/customer/176166</v>
      </c>
      <c r="I417" t="inlineStr">
        <is>
          <t>ERS SYSTEMS (M) SDN BHD</t>
        </is>
      </c>
      <c r="J417" t="inlineStr">
        <is>
          <t>Small Fish</t>
        </is>
      </c>
      <c r="K417" t="inlineStr">
        <is>
          <t>Eugene</t>
        </is>
      </c>
      <c r="L417" s="4"/>
      <c r="M417" s="4">
        <v>46140.67303240741</v>
      </c>
      <c r="N417"/>
      <c r="O417">
        <v>1296</v>
      </c>
      <c r="P417" s="4"/>
      <c r="Q417" s="4"/>
      <c r="R417"/>
      <c r="S417"/>
      <c r="T417" s="4"/>
      <c r="U417" s="4"/>
      <c r="V417"/>
      <c r="W417"/>
      <c r="X417"/>
      <c r="Y417" t="inlineStr">
        <is>
          <t>Pending Appointment</t>
        </is>
      </c>
      <c r="Z417" t="inlineStr">
        <is>
          <t>Hiring Now</t>
        </is>
      </c>
      <c r="AA417">
        <v>1</v>
      </c>
      <c r="AB417" t="inlineStr">
        <is>
          <t>No Appointment Made</t>
        </is>
      </c>
      <c r="AC417"/>
      <c r="AD417" t="inlineStr">
        <is>
          <t>1 admin, based in Subang</t>
        </is>
      </c>
      <c r="AE417"/>
      <c r="AF417">
        <v>1200</v>
      </c>
      <c r="AG417" s="4"/>
      <c r="AH417" s="4"/>
      <c r="AI417">
        <v>1200</v>
      </c>
      <c r="AJ417">
        <v>1</v>
      </c>
      <c r="AK417" t="inlineStr">
        <is>
          <t>No, I don't need at all</t>
        </is>
      </c>
      <c r="AL417">
        <v>1</v>
      </c>
      <c r="AM417" t="inlineStr">
        <is>
          <t>No, I don't need at all</t>
        </is>
      </c>
      <c r="AN417"/>
      <c r="AO417" t="inlineStr">
        <is>
          <t>No, I don't need at all</t>
        </is>
      </c>
      <c r="AP417" t="inlineStr">
        <is>
          <t>Once a year (25%)</t>
        </is>
      </c>
      <c r="AQ417">
        <v>1200</v>
      </c>
      <c r="AR417" t="inlineStr">
        <is>
          <t>Free Job Portal</t>
        </is>
      </c>
      <c r="AS417" t="inlineStr">
        <is>
          <t>- Headcount: 1
- Hiring Job Details: 1 admin, based in Subang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1200
- Hiring frequency: Once a year (25%)
- External job portal: Free Job Portal</t>
        </is>
      </c>
      <c r="AT417">
        <v>110</v>
      </c>
      <c r="AU417" t="inlineStr">
        <is>
          <t>1.10</t>
        </is>
      </c>
      <c r="AV417" t="inlineStr">
        <is>
          <t>15</t>
        </is>
      </c>
      <c r="AW417" t="inlineStr">
        <is>
          <t>0</t>
        </is>
      </c>
      <c r="AX417" t="inlineStr">
        <is>
          <t>Not Qualified</t>
        </is>
      </c>
      <c r="AY417" s="4"/>
      <c r="AZ417"/>
      <c r="BA417"/>
      <c r="BB417"/>
      <c r="BC417" t="inlineStr">
        <is>
          <t>- Headcount: 1
- Hiring Job Details: 1 admin, based in Subang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1200
- Hiring frequency: Once a year (25%)
- External job portal: Free Job Portal</t>
        </is>
      </c>
      <c r="BD417" s="4">
        <v>46140.70853009259</v>
      </c>
      <c r="BE417"/>
      <c r="BF417"/>
      <c r="BG417" t="inlineStr">
        <is>
          <t>Reschedule</t>
        </is>
      </c>
      <c r="BH417" t="inlineStr">
        <is>
          <t>Edward Hoo</t>
        </is>
      </c>
      <c r="BI417"/>
      <c r="BJ417" s="4">
        <v>46144.75163194445</v>
      </c>
      <c r="BK417" s="4">
        <v>45358.66101851852</v>
      </c>
      <c r="BL417" t="inlineStr">
        <is>
          <t>0.0</t>
        </is>
      </c>
      <c r="BM417" t="inlineStr">
        <is>
          <t>0.0</t>
        </is>
      </c>
      <c r="BN417" t="inlineStr">
        <is>
          <t>View PeopleSearch Page</t>
        </is>
      </c>
      <c r="BO417" s="4">
        <v>45358.690347222226</v>
      </c>
      <c r="BP417">
        <v>169314</v>
      </c>
      <c r="BQ417"/>
      <c r="BR417"/>
      <c r="BS417"/>
      <c r="BT417"/>
      <c r="BU417"/>
      <c r="BV417">
        <v>2733660</v>
      </c>
      <c r="BW417" t="inlineStr">
        <is>
          <t>Customer Inquiry</t>
        </is>
      </c>
      <c r="BX417"/>
      <c r="BY417"/>
      <c r="BZ417" s="4"/>
      <c r="CA417"/>
      <c r="CB417"/>
      <c r="CC417" s="4"/>
      <c r="CD417" t="inlineStr">
        <is>
          <t>20</t>
        </is>
      </c>
      <c r="CE417" t="inlineStr">
        <is>
          <t>0</t>
        </is>
      </c>
      <c r="CF417" t="inlineStr">
        <is>
          <t>Q2-W04</t>
        </is>
      </c>
      <c r="CG417"/>
      <c r="CH417"/>
      <c r="CI417"/>
      <c r="CJ417" t="inlineStr">
        <is>
          <t>No Paid</t>
        </is>
      </c>
      <c r="CK417" t="inlineStr">
        <is>
          <t>Not Eligible</t>
        </is>
      </c>
      <c r="CL417"/>
      <c r="CM417"/>
    </row>
    <row r="418" ht="25.5" customHeight="1">
      <c r="A418" t="inlineStr">
        <is>
          <t>200402</t>
        </is>
      </c>
      <c r="B418" s="2"/>
      <c r="C418"/>
      <c r="D418" s="3">
        <v>46140.675717592596</v>
      </c>
      <c r="E418" t="inlineStr">
        <is>
          <t>Q2-W04</t>
        </is>
      </c>
      <c r="F418" t="inlineStr">
        <is>
          <t>Chia Yee</t>
        </is>
      </c>
      <c r="G418" t="inlineStr">
        <is>
          <t>Customer</t>
        </is>
      </c>
      <c r="H418" s="2" t="str">
        <f>=HYPERLINK("https://upbox.ajobthing.my/customer/200402", "https://upbox.ajobthing.my/customer/200402")</f>
        <v>https://upbox.ajobthing.my/customer/200402</v>
      </c>
      <c r="I418" t="inlineStr">
        <is>
          <t>Bright Horizon Child Care Centre</t>
        </is>
      </c>
      <c r="J418" t="inlineStr">
        <is>
          <t>Small Fish</t>
        </is>
      </c>
      <c r="K418" t="inlineStr">
        <is>
          <t>Chia Yee</t>
        </is>
      </c>
      <c r="L418" s="4"/>
      <c r="M418" s="4">
        <v>46140.67582175926</v>
      </c>
      <c r="N418"/>
      <c r="O418">
        <v>3888</v>
      </c>
      <c r="P418" s="4"/>
      <c r="Q418" s="4"/>
      <c r="R418"/>
      <c r="S418"/>
      <c r="T418" s="4"/>
      <c r="U418" s="4"/>
      <c r="V418"/>
      <c r="W418"/>
      <c r="X418"/>
      <c r="Y418" t="inlineStr">
        <is>
          <t>Pending Appointment</t>
        </is>
      </c>
      <c r="Z418" t="inlineStr">
        <is>
          <t>Hiring Later</t>
        </is>
      </c>
      <c r="AA418">
        <v>1</v>
      </c>
      <c r="AB418" t="inlineStr">
        <is>
          <t>No Appointment Made</t>
        </is>
      </c>
      <c r="AC418"/>
      <c r="AD418" t="inlineStr">
        <is>
          <t xml:space="preserve">caregiver </t>
        </is>
      </c>
      <c r="AE418"/>
      <c r="AF418">
        <v>0</v>
      </c>
      <c r="AG418" s="4"/>
      <c r="AH418" s="4"/>
      <c r="AI418">
        <v>0</v>
      </c>
      <c r="AJ418">
        <v>1</v>
      </c>
      <c r="AK418" t="inlineStr">
        <is>
          <t>No, I don't need at all</t>
        </is>
      </c>
      <c r="AL418">
        <v>1</v>
      </c>
      <c r="AM418" t="inlineStr">
        <is>
          <t>No, I don't need at all</t>
        </is>
      </c>
      <c r="AN418"/>
      <c r="AO418" t="inlineStr">
        <is>
          <t>Yes, I have</t>
        </is>
      </c>
      <c r="AP418" t="inlineStr">
        <is>
          <t>Once a year (25%)</t>
        </is>
      </c>
      <c r="AQ418">
        <v>1</v>
      </c>
      <c r="AR418" t="inlineStr">
        <is>
          <t>Did not use any job portal</t>
        </is>
      </c>
      <c r="AS418" t="inlineStr">
        <is>
          <t>- Headcount: 1
- Hiring Job Details: 1 caregiver
- Hiring Urgency: Hiring Later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418">
        <v>115</v>
      </c>
      <c r="AU418" t="inlineStr">
        <is>
          <t>1.15</t>
        </is>
      </c>
      <c r="AV418" t="inlineStr">
        <is>
          <t>15</t>
        </is>
      </c>
      <c r="AW418" t="inlineStr">
        <is>
          <t>0</t>
        </is>
      </c>
      <c r="AX418" t="inlineStr">
        <is>
          <t>Not Qualified</t>
        </is>
      </c>
      <c r="AY418" s="4"/>
      <c r="AZ418"/>
      <c r="BA418"/>
      <c r="BB418"/>
      <c r="BC418" t="inlineStr">
        <is>
          <t>-</t>
        </is>
      </c>
      <c r="BD418" s="4">
        <v>46142.402280092596</v>
      </c>
      <c r="BE418"/>
      <c r="BF418"/>
      <c r="BG418" t="inlineStr">
        <is>
          <t>Reschedule</t>
        </is>
      </c>
      <c r="BH418" t="inlineStr">
        <is>
          <t>Reagen</t>
        </is>
      </c>
      <c r="BI418" t="inlineStr">
        <is>
          <t>Education / Training</t>
        </is>
      </c>
      <c r="BJ418" s="4">
        <v>46144.75355324074</v>
      </c>
      <c r="BK418" s="4">
        <v>46040.04119212963</v>
      </c>
      <c r="BL418" t="inlineStr">
        <is>
          <t>0.0</t>
        </is>
      </c>
      <c r="BM418" t="inlineStr">
        <is>
          <t>0.0</t>
        </is>
      </c>
      <c r="BN418" t="inlineStr">
        <is>
          <t>View Jobmanager Page</t>
        </is>
      </c>
      <c r="BO418" s="4">
        <v>46043.578125</v>
      </c>
      <c r="BP418">
        <v>169316</v>
      </c>
      <c r="BQ418"/>
      <c r="BR418"/>
      <c r="BS418"/>
      <c r="BT418"/>
      <c r="BU418"/>
      <c r="BV418">
        <v>2736546</v>
      </c>
      <c r="BW418" t="inlineStr">
        <is>
          <t>No Answer : Voicemail - WA sent to customer</t>
        </is>
      </c>
      <c r="BX418"/>
      <c r="BY418"/>
      <c r="BZ418" s="4"/>
      <c r="CA418"/>
      <c r="CB418"/>
      <c r="CC418" s="4"/>
      <c r="CD418" t="inlineStr">
        <is>
          <t>20</t>
        </is>
      </c>
      <c r="CE418" t="inlineStr">
        <is>
          <t>0</t>
        </is>
      </c>
      <c r="CF418" t="inlineStr">
        <is>
          <t>Q2-W04</t>
        </is>
      </c>
      <c r="CG418"/>
      <c r="CH418"/>
      <c r="CI418"/>
      <c r="CJ418" t="inlineStr">
        <is>
          <t>No Paid</t>
        </is>
      </c>
      <c r="CK418" t="inlineStr">
        <is>
          <t>Not Eligible</t>
        </is>
      </c>
      <c r="CL418"/>
      <c r="CM418"/>
    </row>
    <row r="419" ht="25.5" customHeight="1">
      <c r="A419" t="inlineStr">
        <is>
          <t>125249</t>
        </is>
      </c>
      <c r="B419" s="2"/>
      <c r="C419"/>
      <c r="D419" s="3">
        <v>46140.68381944444</v>
      </c>
      <c r="E419" t="inlineStr">
        <is>
          <t>Q2-W04</t>
        </is>
      </c>
      <c r="F419" t="inlineStr">
        <is>
          <t>Lucas</t>
        </is>
      </c>
      <c r="G419" t="inlineStr">
        <is>
          <t>Customer</t>
        </is>
      </c>
      <c r="H419" s="2" t="str">
        <f>=HYPERLINK("https://upbox.ajobthing.my/customer/125249", "https://upbox.ajobthing.my/customer/125249")</f>
        <v>https://upbox.ajobthing.my/customer/125249</v>
      </c>
      <c r="I419" t="inlineStr">
        <is>
          <t>MC Print</t>
        </is>
      </c>
      <c r="J419" t="inlineStr">
        <is>
          <t>Small Fish</t>
        </is>
      </c>
      <c r="K419" t="inlineStr">
        <is>
          <t>Lucas</t>
        </is>
      </c>
      <c r="L419" s="4"/>
      <c r="M419" s="4">
        <v>46140.6821875</v>
      </c>
      <c r="N419"/>
      <c r="O419">
        <v>3576.96</v>
      </c>
      <c r="P419" s="4"/>
      <c r="Q419" s="4">
        <v>44548.94960648148</v>
      </c>
      <c r="R419"/>
      <c r="S419">
        <v>583</v>
      </c>
      <c r="T419" s="4">
        <v>44548.94960648148</v>
      </c>
      <c r="U419" s="4"/>
      <c r="V419"/>
      <c r="W419">
        <v>583</v>
      </c>
      <c r="X419"/>
      <c r="Y419" t="inlineStr">
        <is>
          <t>Pending Appointment</t>
        </is>
      </c>
      <c r="Z419" t="inlineStr">
        <is>
          <t>Hiring Now</t>
        </is>
      </c>
      <c r="AA419">
        <v>1</v>
      </c>
      <c r="AB419" t="inlineStr">
        <is>
          <t>No Appointment Made</t>
        </is>
      </c>
      <c r="AC419"/>
      <c r="AD419" t="inlineStr">
        <is>
          <t xml:space="preserve">1 designer </t>
        </is>
      </c>
      <c r="AE419"/>
      <c r="AF419">
        <v>0</v>
      </c>
      <c r="AG419" s="4"/>
      <c r="AH419" s="4"/>
      <c r="AI419">
        <v>0</v>
      </c>
      <c r="AJ419">
        <v>0</v>
      </c>
      <c r="AK419" t="inlineStr">
        <is>
          <t>No, I don't need at all</t>
        </is>
      </c>
      <c r="AL419">
        <v>0</v>
      </c>
      <c r="AM419" t="inlineStr">
        <is>
          <t>No, I don't need at all</t>
        </is>
      </c>
      <c r="AN419"/>
      <c r="AO419" t="inlineStr">
        <is>
          <t>No, I don't need at all</t>
        </is>
      </c>
      <c r="AP419" t="inlineStr">
        <is>
          <t>Once a year (25%)</t>
        </is>
      </c>
      <c r="AQ419">
        <v>1</v>
      </c>
      <c r="AR419" t="inlineStr">
        <is>
          <t>Did not use any job portal</t>
        </is>
      </c>
      <c r="AS419" t="inlineStr">
        <is>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419">
        <v>105</v>
      </c>
      <c r="AU419" t="inlineStr">
        <is>
          <t>1.05</t>
        </is>
      </c>
      <c r="AV419" t="inlineStr">
        <is>
          <t>15</t>
        </is>
      </c>
      <c r="AW419" t="inlineStr">
        <is>
          <t>0</t>
        </is>
      </c>
      <c r="AX419" t="inlineStr">
        <is>
          <t>Not Qualified</t>
        </is>
      </c>
      <c r="AY419" s="4"/>
      <c r="AZ419"/>
      <c r="BA419"/>
      <c r="BB419"/>
      <c r="BC419" t="inlineStr">
        <is>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419" s="4">
        <v>46140.70853009259</v>
      </c>
      <c r="BE419" t="inlineStr">
        <is>
          <t>paid</t>
        </is>
      </c>
      <c r="BF419"/>
      <c r="BG419" t="inlineStr">
        <is>
          <t>Reschedule</t>
        </is>
      </c>
      <c r="BH419" t="inlineStr">
        <is>
          <t>Yee Hang</t>
        </is>
      </c>
      <c r="BI419" t="inlineStr">
        <is>
          <t>Advertising / Marketing</t>
        </is>
      </c>
      <c r="BJ419" s="4">
        <v>46144.75033564815</v>
      </c>
      <c r="BK419" s="4">
        <v>43876.602743055555</v>
      </c>
      <c r="BL419" t="inlineStr">
        <is>
          <t>0.0</t>
        </is>
      </c>
      <c r="BM419" t="inlineStr">
        <is>
          <t>0.0</t>
        </is>
      </c>
      <c r="BN419" t="inlineStr">
        <is>
          <t>View Company Page</t>
        </is>
      </c>
      <c r="BO419" s="4">
        <v>46126.59347222222</v>
      </c>
      <c r="BP419">
        <v>169324</v>
      </c>
      <c r="BQ419">
        <v>38868</v>
      </c>
      <c r="BR419" t="inlineStr">
        <is>
          <t>Online</t>
        </is>
      </c>
      <c r="BS419"/>
      <c r="BT419">
        <v>38868</v>
      </c>
      <c r="BU419"/>
      <c r="BV419">
        <v>2733668</v>
      </c>
      <c r="BW419" t="inlineStr">
        <is>
          <t>Customer Inquiry</t>
        </is>
      </c>
      <c r="BX419"/>
      <c r="BY419"/>
      <c r="BZ419" s="4"/>
      <c r="CA419"/>
      <c r="CB419"/>
      <c r="CC419" s="4"/>
      <c r="CD419" t="inlineStr">
        <is>
          <t>20</t>
        </is>
      </c>
      <c r="CE419" t="inlineStr">
        <is>
          <t>0</t>
        </is>
      </c>
      <c r="CF419" t="inlineStr">
        <is>
          <t>Q2-W04</t>
        </is>
      </c>
      <c r="CG419"/>
      <c r="CH419"/>
      <c r="CI419"/>
      <c r="CJ419" t="inlineStr">
        <is>
          <t>Paid</t>
        </is>
      </c>
      <c r="CK419" t="inlineStr">
        <is>
          <t>Not Eligible</t>
        </is>
      </c>
      <c r="CL419"/>
      <c r="CM419"/>
    </row>
    <row r="420" ht="25.5" customHeight="1">
      <c r="A420" t="inlineStr">
        <is>
          <t>4329319</t>
        </is>
      </c>
      <c r="B420" s="2"/>
      <c r="C420"/>
      <c r="D420" s="3">
        <v>46140.68608796296</v>
      </c>
      <c r="E420" t="inlineStr">
        <is>
          <t>Q2-W04</t>
        </is>
      </c>
      <c r="F420" t="inlineStr">
        <is>
          <t>Luqman</t>
        </is>
      </c>
      <c r="G420" t="inlineStr">
        <is>
          <t>Lead</t>
        </is>
      </c>
      <c r="H420" s="2" t="str">
        <f>=HYPERLINK("https://upbox.ajobthing.my/leads/4329319", "https://upbox.ajobthing.my/leads/4329319")</f>
        <v>https://upbox.ajobthing.my/leads/4329319</v>
      </c>
      <c r="I420" t="inlineStr">
        <is>
          <t>Klinik Kucai</t>
        </is>
      </c>
      <c r="J420" t="inlineStr">
        <is>
          <t>Small Fish</t>
        </is>
      </c>
      <c r="K420" t="inlineStr">
        <is>
          <t>Luqman</t>
        </is>
      </c>
      <c r="L420" s="4"/>
      <c r="M420" s="4">
        <v>46140.68675925926</v>
      </c>
      <c r="N420"/>
      <c r="O420">
        <v>1296</v>
      </c>
      <c r="P420" s="4"/>
      <c r="Q420" s="4"/>
      <c r="R420"/>
      <c r="S420"/>
      <c r="T420" s="4"/>
      <c r="U420" s="4"/>
      <c r="V420"/>
      <c r="W420"/>
      <c r="X420"/>
      <c r="Y420" t="inlineStr">
        <is>
          <t>Pending Appointment</t>
        </is>
      </c>
      <c r="Z420" t="inlineStr">
        <is>
          <t>Hiring Later</t>
        </is>
      </c>
      <c r="AA420">
        <v>1</v>
      </c>
      <c r="AB420" t="inlineStr">
        <is>
          <t>No Appointment Made</t>
        </is>
      </c>
      <c r="AC420"/>
      <c r="AD420" t="inlineStr">
        <is>
          <t xml:space="preserve">1. Clinic Assistant </t>
        </is>
      </c>
      <c r="AE420"/>
      <c r="AF420">
        <v>1200</v>
      </c>
      <c r="AG420" s="4"/>
      <c r="AH420" s="4"/>
      <c r="AI420">
        <v>1200</v>
      </c>
      <c r="AJ420"/>
      <c r="AK420" t="inlineStr">
        <is>
          <t>Yes, I have</t>
        </is>
      </c>
      <c r="AL420">
        <v>2</v>
      </c>
      <c r="AM420" t="inlineStr">
        <is>
          <t>No, I don't need at all</t>
        </is>
      </c>
      <c r="AN420"/>
      <c r="AO420" t="inlineStr">
        <is>
          <t>No, I don't need at all</t>
        </is>
      </c>
      <c r="AP420" t="inlineStr">
        <is>
          <t>Once a year (25%)</t>
        </is>
      </c>
      <c r="AQ420">
        <v>1</v>
      </c>
      <c r="AR420" t="inlineStr">
        <is>
          <t>Free Job Portal</t>
        </is>
      </c>
      <c r="AS420" t="inlineStr">
        <is>
          <t>- Headcount: 1
- Hiring Job Details: 1 Clinic Assistant
- Hiring Urgency: Hiring Later
- Number of outlets: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Free Job Portal</t>
        </is>
      </c>
      <c r="AT420">
        <v>110</v>
      </c>
      <c r="AU420" t="inlineStr">
        <is>
          <t>1.10</t>
        </is>
      </c>
      <c r="AV420" t="inlineStr">
        <is>
          <t>15</t>
        </is>
      </c>
      <c r="AW420" t="inlineStr">
        <is>
          <t>0</t>
        </is>
      </c>
      <c r="AX420" t="inlineStr">
        <is>
          <t>Not Qualified</t>
        </is>
      </c>
      <c r="AY420" s="4"/>
      <c r="AZ420"/>
      <c r="BA420"/>
      <c r="BB420"/>
      <c r="BC420"/>
      <c r="BD420" s="4"/>
      <c r="BE420"/>
      <c r="BF420"/>
      <c r="BG420" t="inlineStr">
        <is>
          <t>Reschedule</t>
        </is>
      </c>
      <c r="BH420" t="inlineStr">
        <is>
          <t>Edward Hoo</t>
        </is>
      </c>
      <c r="BI420"/>
      <c r="BJ420" s="4">
        <v>46144.755949074075</v>
      </c>
      <c r="BK420" s="4">
        <v>46140.64730324074</v>
      </c>
      <c r="BL420" t="inlineStr">
        <is>
          <t>0.0</t>
        </is>
      </c>
      <c r="BM420" t="inlineStr">
        <is>
          <t>0.0</t>
        </is>
      </c>
      <c r="BN420"/>
      <c r="BO420" s="4"/>
      <c r="BP420">
        <v>169326</v>
      </c>
      <c r="BQ420"/>
      <c r="BR420"/>
      <c r="BS420"/>
      <c r="BT420"/>
      <c r="BU420"/>
      <c r="BV420"/>
      <c r="BW420"/>
      <c r="BX420"/>
      <c r="BY420"/>
      <c r="BZ420" s="4"/>
      <c r="CA420"/>
      <c r="CB420"/>
      <c r="CC420" s="4"/>
      <c r="CD420" t="inlineStr">
        <is>
          <t>20</t>
        </is>
      </c>
      <c r="CE420" t="inlineStr">
        <is>
          <t>0</t>
        </is>
      </c>
      <c r="CF420" t="inlineStr">
        <is>
          <t>Q2-W04</t>
        </is>
      </c>
      <c r="CG420"/>
      <c r="CH420"/>
      <c r="CI420"/>
      <c r="CJ420" t="inlineStr">
        <is>
          <t>No Paid</t>
        </is>
      </c>
      <c r="CK420" t="inlineStr">
        <is>
          <t>Not Eligible</t>
        </is>
      </c>
      <c r="CL420"/>
      <c r="CM420"/>
    </row>
    <row r="421" ht="25.5" customHeight="1">
      <c r="A421" t="inlineStr">
        <is>
          <t>199102</t>
        </is>
      </c>
      <c r="B421" s="2"/>
      <c r="C421"/>
      <c r="D421" s="3">
        <v>46140.68916666666</v>
      </c>
      <c r="E421" t="inlineStr">
        <is>
          <t>Q2-W04</t>
        </is>
      </c>
      <c r="F421" t="inlineStr">
        <is>
          <t>Chia Yee</t>
        </is>
      </c>
      <c r="G421" t="inlineStr">
        <is>
          <t>Customer</t>
        </is>
      </c>
      <c r="H421" s="2" t="str">
        <f>=HYPERLINK("https://upbox.ajobthing.my/customer/199102", "https://upbox.ajobthing.my/customer/199102")</f>
        <v>https://upbox.ajobthing.my/customer/199102</v>
      </c>
      <c r="I421" t="inlineStr">
        <is>
          <t>Hajji Bakery Holding Sdn. Bhd.</t>
        </is>
      </c>
      <c r="J421" t="inlineStr">
        <is>
          <t>Small Fish</t>
        </is>
      </c>
      <c r="K421" t="inlineStr">
        <is>
          <t>Chia Yee</t>
        </is>
      </c>
      <c r="L421" s="4"/>
      <c r="M421" s="4">
        <v>46140.689351851855</v>
      </c>
      <c r="N421"/>
      <c r="O421">
        <v>3888</v>
      </c>
      <c r="P421" s="4"/>
      <c r="Q421" s="4"/>
      <c r="R421"/>
      <c r="S421"/>
      <c r="T421" s="4"/>
      <c r="U421" s="4"/>
      <c r="V421"/>
      <c r="W421"/>
      <c r="X421"/>
      <c r="Y421" t="inlineStr">
        <is>
          <t>Pending Appointment</t>
        </is>
      </c>
      <c r="Z421" t="inlineStr">
        <is>
          <t>Hiring Later</t>
        </is>
      </c>
      <c r="AA421">
        <v>1</v>
      </c>
      <c r="AB421" t="inlineStr">
        <is>
          <t>No Appointment Made</t>
        </is>
      </c>
      <c r="AC421"/>
      <c r="AD421" t="inlineStr">
        <is>
          <t>1 Account</t>
        </is>
      </c>
      <c r="AE421"/>
      <c r="AF421">
        <v>0</v>
      </c>
      <c r="AG421" s="4"/>
      <c r="AH421" s="4"/>
      <c r="AI421">
        <v>0</v>
      </c>
      <c r="AJ421">
        <v>1</v>
      </c>
      <c r="AK421" t="inlineStr">
        <is>
          <t>No, I don't need at all</t>
        </is>
      </c>
      <c r="AL421">
        <v>1</v>
      </c>
      <c r="AM421" t="inlineStr">
        <is>
          <t>No, I don't need at all</t>
        </is>
      </c>
      <c r="AN421"/>
      <c r="AO421" t="inlineStr">
        <is>
          <t>No, I don't need at all</t>
        </is>
      </c>
      <c r="AP421" t="inlineStr">
        <is>
          <t>Once a year (25%)</t>
        </is>
      </c>
      <c r="AQ421">
        <v>1</v>
      </c>
      <c r="AR421" t="inlineStr">
        <is>
          <t>Did not use any job portal</t>
        </is>
      </c>
      <c r="AS421" t="inlineStr">
        <is>
          <t>- Headcount: 1
- Hiring Job Details: 1 Account
- Hiring Urgency: Hiring Later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421">
        <v>105</v>
      </c>
      <c r="AU421" t="inlineStr">
        <is>
          <t>1.05</t>
        </is>
      </c>
      <c r="AV421" t="inlineStr">
        <is>
          <t>15</t>
        </is>
      </c>
      <c r="AW421" t="inlineStr">
        <is>
          <t>0</t>
        </is>
      </c>
      <c r="AX421" t="inlineStr">
        <is>
          <t>Not Qualified</t>
        </is>
      </c>
      <c r="AY421" s="4"/>
      <c r="AZ421"/>
      <c r="BA421"/>
      <c r="BB421"/>
      <c r="BC421" t="inlineStr">
        <is>
          <t>Called, number is busy</t>
        </is>
      </c>
      <c r="BD421" s="4">
        <v>46142.44430555555</v>
      </c>
      <c r="BE421"/>
      <c r="BF421"/>
      <c r="BG421" t="inlineStr">
        <is>
          <t>Reschedule</t>
        </is>
      </c>
      <c r="BH421" t="inlineStr">
        <is>
          <t>Reagen</t>
        </is>
      </c>
      <c r="BI421"/>
      <c r="BJ421" s="4">
        <v>46144.75325231482</v>
      </c>
      <c r="BK421" s="4">
        <v>45996.73563657407</v>
      </c>
      <c r="BL421" t="inlineStr">
        <is>
          <t>0.0</t>
        </is>
      </c>
      <c r="BM421" t="inlineStr">
        <is>
          <t>0.0</t>
        </is>
      </c>
      <c r="BN421" t="inlineStr">
        <is>
          <t>View Candidate Search Page</t>
        </is>
      </c>
      <c r="BO421" s="4">
        <v>45996.753900462965</v>
      </c>
      <c r="BP421">
        <v>169328</v>
      </c>
      <c r="BQ421"/>
      <c r="BR421"/>
      <c r="BS421"/>
      <c r="BT421"/>
      <c r="BU421"/>
      <c r="BV421">
        <v>2736823</v>
      </c>
      <c r="BW421" t="inlineStr">
        <is>
          <t>No Answer : Voicemail - WA sent to customer</t>
        </is>
      </c>
      <c r="BX421"/>
      <c r="BY421"/>
      <c r="BZ421" s="4"/>
      <c r="CA421"/>
      <c r="CB421"/>
      <c r="CC421" s="4"/>
      <c r="CD421" t="inlineStr">
        <is>
          <t>20</t>
        </is>
      </c>
      <c r="CE421" t="inlineStr">
        <is>
          <t>0</t>
        </is>
      </c>
      <c r="CF421" t="inlineStr">
        <is>
          <t>Q2-W04</t>
        </is>
      </c>
      <c r="CG421"/>
      <c r="CH421"/>
      <c r="CI421"/>
      <c r="CJ421" t="inlineStr">
        <is>
          <t>No Paid</t>
        </is>
      </c>
      <c r="CK421" t="inlineStr">
        <is>
          <t>Not Eligible</t>
        </is>
      </c>
      <c r="CL421"/>
      <c r="CM421"/>
    </row>
    <row r="422" ht="25.5" customHeight="1">
      <c r="A422" t="inlineStr">
        <is>
          <t>202118</t>
        </is>
      </c>
      <c r="B422" s="2"/>
      <c r="C422"/>
      <c r="D422" s="3">
        <v>46140.69018518519</v>
      </c>
      <c r="E422" t="inlineStr">
        <is>
          <t>Q2-W04</t>
        </is>
      </c>
      <c r="F422" t="inlineStr">
        <is>
          <t>Angel  Low</t>
        </is>
      </c>
      <c r="G422" t="inlineStr">
        <is>
          <t>Customer</t>
        </is>
      </c>
      <c r="H422" s="2" t="str">
        <f>=HYPERLINK("https://upbox.ajobthing.my/customer/202118", "https://upbox.ajobthing.my/customer/202118")</f>
        <v>https://upbox.ajobthing.my/customer/202118</v>
      </c>
      <c r="I422" t="inlineStr">
        <is>
          <t>Nova Blix Venture</t>
        </is>
      </c>
      <c r="J422" t="inlineStr">
        <is>
          <t>Small Fish</t>
        </is>
      </c>
      <c r="K422" t="inlineStr">
        <is>
          <t>Angel Low</t>
        </is>
      </c>
      <c r="L422" s="4"/>
      <c r="M422" s="4">
        <v>46140.69092592593</v>
      </c>
      <c r="N422"/>
      <c r="O422">
        <v>3576.96</v>
      </c>
      <c r="P422" s="4"/>
      <c r="Q422" s="4">
        <v>46134.45967592593</v>
      </c>
      <c r="R422"/>
      <c r="S422">
        <v>0</v>
      </c>
      <c r="T422" s="4"/>
      <c r="U422" s="4"/>
      <c r="V422"/>
      <c r="W422"/>
      <c r="X422"/>
      <c r="Y422" t="inlineStr">
        <is>
          <t>Pending Appointment</t>
        </is>
      </c>
      <c r="Z422"/>
      <c r="AA422">
        <v>3</v>
      </c>
      <c r="AB422" t="inlineStr">
        <is>
          <t>No Appointment Made</t>
        </is>
      </c>
      <c r="AC422"/>
      <c r="AD422" t="inlineStr">
        <is>
          <t xml:space="preserve">3 retail sales </t>
        </is>
      </c>
      <c r="AE422"/>
      <c r="AF422"/>
      <c r="AG422" s="4"/>
      <c r="AH422" s="4"/>
      <c r="AI422"/>
      <c r="AJ422"/>
      <c r="AK422"/>
      <c r="AL422"/>
      <c r="AM422"/>
      <c r="AN422"/>
      <c r="AO422"/>
      <c r="AP422"/>
      <c r="AQ422"/>
      <c r="AR422"/>
      <c r="AS422" t="inlineStr">
        <is>
          <t>- Headcount: 3
- Hiring Job Details: 3 retail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422">
        <v>60</v>
      </c>
      <c r="AU422" t="inlineStr">
        <is>
          <t>0.60</t>
        </is>
      </c>
      <c r="AV422" t="inlineStr">
        <is>
          <t>5</t>
        </is>
      </c>
      <c r="AW422" t="inlineStr">
        <is>
          <t>0</t>
        </is>
      </c>
      <c r="AX422" t="inlineStr">
        <is>
          <t>Not Qualified</t>
        </is>
      </c>
      <c r="AY422" s="4"/>
      <c r="AZ422"/>
      <c r="BA422"/>
      <c r="BB422"/>
      <c r="BC422" t="inlineStr">
        <is>
          <t>- Headcount: 3
- Hiring Job Details: 3 retail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BD422" s="4">
        <v>46140.70853009259</v>
      </c>
      <c r="BE422" t="inlineStr">
        <is>
          <t>paid</t>
        </is>
      </c>
      <c r="BF422"/>
      <c r="BG422" t="inlineStr">
        <is>
          <t>Reschedule</t>
        </is>
      </c>
      <c r="BH422" t="inlineStr">
        <is>
          <t>Fauziah Maharan</t>
        </is>
      </c>
      <c r="BI422"/>
      <c r="BJ422" s="4">
        <v>46144.75394675926</v>
      </c>
      <c r="BK422" s="4">
        <v>46096.83642361111</v>
      </c>
      <c r="BL422" t="inlineStr">
        <is>
          <t>0.0</t>
        </is>
      </c>
      <c r="BM422" t="inlineStr">
        <is>
          <t>0.0</t>
        </is>
      </c>
      <c r="BN422" t="inlineStr">
        <is>
          <t>View Create Job Page V4</t>
        </is>
      </c>
      <c r="BO422" s="4">
        <v>46096.84998842593</v>
      </c>
      <c r="BP422">
        <v>169331</v>
      </c>
      <c r="BQ422">
        <v>123504</v>
      </c>
      <c r="BR422" t="inlineStr">
        <is>
          <t>Proforma</t>
        </is>
      </c>
      <c r="BS422" t="inlineStr">
        <is>
          <t>Free Internship Job</t>
        </is>
      </c>
      <c r="BT422"/>
      <c r="BU422"/>
      <c r="BV422">
        <v>2733672</v>
      </c>
      <c r="BW422" t="inlineStr">
        <is>
          <t>Customer Inquiry</t>
        </is>
      </c>
      <c r="BX422"/>
      <c r="BY422"/>
      <c r="BZ422" s="4"/>
      <c r="CA422"/>
      <c r="CB422"/>
      <c r="CC422" s="4"/>
      <c r="CD422" t="inlineStr">
        <is>
          <t>5</t>
        </is>
      </c>
      <c r="CE422" t="inlineStr">
        <is>
          <t>0</t>
        </is>
      </c>
      <c r="CF422" t="inlineStr">
        <is>
          <t>Q2-W04</t>
        </is>
      </c>
      <c r="CG422" t="inlineStr">
        <is>
          <t>Q2-W03</t>
        </is>
      </c>
      <c r="CH422"/>
      <c r="CI422"/>
      <c r="CJ422" t="inlineStr">
        <is>
          <t>No Paid</t>
        </is>
      </c>
      <c r="CK422" t="inlineStr">
        <is>
          <t>Not Eligible</t>
        </is>
      </c>
      <c r="CL422"/>
      <c r="CM422"/>
    </row>
    <row r="423" ht="25.5" customHeight="1">
      <c r="A423" t="inlineStr">
        <is>
          <t>160155</t>
        </is>
      </c>
      <c r="B423" s="2"/>
      <c r="C423"/>
      <c r="D423" s="3">
        <v>46140.69085648148</v>
      </c>
      <c r="E423" t="inlineStr">
        <is>
          <t>Q2-W04</t>
        </is>
      </c>
      <c r="F423" t="inlineStr">
        <is>
          <t>Xin Quan</t>
        </is>
      </c>
      <c r="G423" t="inlineStr">
        <is>
          <t>Customer</t>
        </is>
      </c>
      <c r="H423" s="2" t="str">
        <f>=HYPERLINK("https://upbox.ajobthing.my/customer/160155", "https://upbox.ajobthing.my/customer/160155")</f>
        <v>https://upbox.ajobthing.my/customer/160155</v>
      </c>
      <c r="I423" t="inlineStr">
        <is>
          <t>Kemet Precision (M) Sdn Bhd</t>
        </is>
      </c>
      <c r="J423" t="inlineStr">
        <is>
          <t>Small Fish</t>
        </is>
      </c>
      <c r="K423" t="inlineStr">
        <is>
          <t>Xin Quan</t>
        </is>
      </c>
      <c r="L423" s="4"/>
      <c r="M423" s="4">
        <v>46140.691030092596</v>
      </c>
      <c r="N423"/>
      <c r="O423">
        <v>3888</v>
      </c>
      <c r="P423" s="4"/>
      <c r="Q423" s="4">
        <v>45097.4312037037</v>
      </c>
      <c r="R423"/>
      <c r="S423">
        <v>954</v>
      </c>
      <c r="T423" s="4">
        <v>45097.4312037037</v>
      </c>
      <c r="U423" s="4"/>
      <c r="V423"/>
      <c r="W423">
        <v>954</v>
      </c>
      <c r="X423"/>
      <c r="Y423" t="inlineStr">
        <is>
          <t>Pending Appointment</t>
        </is>
      </c>
      <c r="Z423" t="inlineStr">
        <is>
          <t>Hiring Now</t>
        </is>
      </c>
      <c r="AA423">
        <v>1</v>
      </c>
      <c r="AB423" t="inlineStr">
        <is>
          <t>No Appointment Made</t>
        </is>
      </c>
      <c r="AC423"/>
      <c r="AD423" t="inlineStr">
        <is>
          <t>1 Admin , Base in KL</t>
        </is>
      </c>
      <c r="AE423"/>
      <c r="AF423">
        <v>2000</v>
      </c>
      <c r="AG423" s="4"/>
      <c r="AH423" s="4"/>
      <c r="AI423">
        <v>24000</v>
      </c>
      <c r="AJ423">
        <v>1</v>
      </c>
      <c r="AK423" t="inlineStr">
        <is>
          <t>No, I don't need at all</t>
        </is>
      </c>
      <c r="AL423">
        <v>1</v>
      </c>
      <c r="AM423" t="inlineStr">
        <is>
          <t>No, I don't need at all</t>
        </is>
      </c>
      <c r="AN423"/>
      <c r="AO423" t="inlineStr">
        <is>
          <t>No, I don't need at all</t>
        </is>
      </c>
      <c r="AP423" t="inlineStr">
        <is>
          <t>Once a year (25%)</t>
        </is>
      </c>
      <c r="AQ423">
        <v>1</v>
      </c>
      <c r="AR423"/>
      <c r="AS423" t="inlineStr">
        <is>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423">
        <v>110</v>
      </c>
      <c r="AU423" t="inlineStr">
        <is>
          <t>1.10</t>
        </is>
      </c>
      <c r="AV423" t="inlineStr">
        <is>
          <t>15</t>
        </is>
      </c>
      <c r="AW423" t="inlineStr">
        <is>
          <t>0</t>
        </is>
      </c>
      <c r="AX423" t="inlineStr">
        <is>
          <t>Not Qualified</t>
        </is>
      </c>
      <c r="AY423" s="4"/>
      <c r="AZ423"/>
      <c r="BA423"/>
      <c r="BB423"/>
      <c r="BC423" t="inlineStr">
        <is>
          <t>NH</t>
        </is>
      </c>
      <c r="BD423" s="4">
        <v>46141.4609837963</v>
      </c>
      <c r="BE423" t="inlineStr">
        <is>
          <t>paid</t>
        </is>
      </c>
      <c r="BF423"/>
      <c r="BG423" t="inlineStr">
        <is>
          <t>Reschedule</t>
        </is>
      </c>
      <c r="BH423" t="inlineStr">
        <is>
          <t>Edward Hoo</t>
        </is>
      </c>
      <c r="BI423" t="inlineStr">
        <is>
          <t>Manufacturing / Production</t>
        </is>
      </c>
      <c r="BJ423" s="4">
        <v>46144.75109953704</v>
      </c>
      <c r="BK423" s="4">
        <v>44826.868796296294</v>
      </c>
      <c r="BL423" t="inlineStr">
        <is>
          <t>0.0</t>
        </is>
      </c>
      <c r="BM423" t="inlineStr">
        <is>
          <t>0.0</t>
        </is>
      </c>
      <c r="BN423" t="inlineStr">
        <is>
          <t>View Company Page</t>
        </is>
      </c>
      <c r="BO423" s="4">
        <v>45581.66233796296</v>
      </c>
      <c r="BP423">
        <v>169332</v>
      </c>
      <c r="BQ423">
        <v>59734</v>
      </c>
      <c r="BR423" t="inlineStr">
        <is>
          <t>Online</t>
        </is>
      </c>
      <c r="BS423"/>
      <c r="BT423">
        <v>59734</v>
      </c>
      <c r="BU423"/>
      <c r="BV423">
        <v>2734601</v>
      </c>
      <c r="BW423" t="inlineStr">
        <is>
          <t>Inquire for Hiring Needs : No Hiring</t>
        </is>
      </c>
      <c r="BX423"/>
      <c r="BY423"/>
      <c r="BZ423" s="4"/>
      <c r="CA423"/>
      <c r="CB423"/>
      <c r="CC423" s="4"/>
      <c r="CD423" t="inlineStr">
        <is>
          <t>20</t>
        </is>
      </c>
      <c r="CE423" t="inlineStr">
        <is>
          <t>0</t>
        </is>
      </c>
      <c r="CF423" t="inlineStr">
        <is>
          <t>Q2-W04</t>
        </is>
      </c>
      <c r="CG423"/>
      <c r="CH423"/>
      <c r="CI423"/>
      <c r="CJ423" t="inlineStr">
        <is>
          <t>Paid</t>
        </is>
      </c>
      <c r="CK423" t="inlineStr">
        <is>
          <t>Not Eligible</t>
        </is>
      </c>
      <c r="CL423"/>
      <c r="CM423"/>
    </row>
    <row r="424" ht="25.5" customHeight="1">
      <c r="A424" t="inlineStr">
        <is>
          <t>190564</t>
        </is>
      </c>
      <c r="B424" s="2"/>
      <c r="C424"/>
      <c r="D424" s="3">
        <v>46140.69216435185</v>
      </c>
      <c r="E424" t="inlineStr">
        <is>
          <t>Q2-W04</t>
        </is>
      </c>
      <c r="F424" t="inlineStr">
        <is>
          <t>Jeff Lee</t>
        </is>
      </c>
      <c r="G424" t="inlineStr">
        <is>
          <t>Customer</t>
        </is>
      </c>
      <c r="H424" s="2" t="str">
        <f>=HYPERLINK("https://upbox.ajobthing.my/customer/190564", "https://upbox.ajobthing.my/customer/190564")</f>
        <v>https://upbox.ajobthing.my/customer/190564</v>
      </c>
      <c r="I424" t="inlineStr">
        <is>
          <t>LMTDS Studio Sdn Bhd</t>
        </is>
      </c>
      <c r="J424" t="inlineStr">
        <is>
          <t>Small Fish</t>
        </is>
      </c>
      <c r="K424" t="inlineStr">
        <is>
          <t>Jeff Lee</t>
        </is>
      </c>
      <c r="L424" s="4"/>
      <c r="M424" s="4">
        <v>46140.68990740741</v>
      </c>
      <c r="N424"/>
      <c r="O424">
        <v>3888</v>
      </c>
      <c r="P424" s="4"/>
      <c r="Q424" s="4"/>
      <c r="R424"/>
      <c r="S424"/>
      <c r="T424" s="4"/>
      <c r="U424" s="4"/>
      <c r="V424"/>
      <c r="W424"/>
      <c r="X424"/>
      <c r="Y424" t="inlineStr">
        <is>
          <t>Pending Appointment</t>
        </is>
      </c>
      <c r="Z424" t="inlineStr">
        <is>
          <t>Hiring Later</t>
        </is>
      </c>
      <c r="AA424">
        <v>3</v>
      </c>
      <c r="AB424" t="inlineStr">
        <is>
          <t>No Appointment Made</t>
        </is>
      </c>
      <c r="AC424"/>
      <c r="AD424" t="inlineStr">
        <is>
          <t>1executive, 1 admin, 1 designer</t>
        </is>
      </c>
      <c r="AE424"/>
      <c r="AF424">
        <v>0</v>
      </c>
      <c r="AG424" s="4"/>
      <c r="AH424" s="4"/>
      <c r="AI424">
        <v>0</v>
      </c>
      <c r="AJ424">
        <v>0</v>
      </c>
      <c r="AK424" t="inlineStr">
        <is>
          <t>No, I don't need at all</t>
        </is>
      </c>
      <c r="AL424">
        <v>0</v>
      </c>
      <c r="AM424" t="inlineStr">
        <is>
          <t>No, I don't need at all</t>
        </is>
      </c>
      <c r="AN424"/>
      <c r="AO424" t="inlineStr">
        <is>
          <t>No, I don't need at all</t>
        </is>
      </c>
      <c r="AP424" t="inlineStr">
        <is>
          <t>Once a year (25%)</t>
        </is>
      </c>
      <c r="AQ424">
        <v>3</v>
      </c>
      <c r="AR424" t="inlineStr">
        <is>
          <t>Did not use any job portal</t>
        </is>
      </c>
      <c r="AS424" t="inlineStr">
        <is>
          <t>- Headcount: 3
- Hiring Job Details: 1 executive, 1 admin, 1 designer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is>
      </c>
      <c r="AT424">
        <v>95</v>
      </c>
      <c r="AU424" t="inlineStr">
        <is>
          <t>0.95</t>
        </is>
      </c>
      <c r="AV424" t="inlineStr">
        <is>
          <t>15</t>
        </is>
      </c>
      <c r="AW424" t="inlineStr">
        <is>
          <t>0</t>
        </is>
      </c>
      <c r="AX424" t="inlineStr">
        <is>
          <t>Not Qualified</t>
        </is>
      </c>
      <c r="AY424" s="4"/>
      <c r="AZ424"/>
      <c r="BA424"/>
      <c r="BB424"/>
      <c r="BC424" t="inlineStr">
        <is>
          <t>- Headcount: 3
- Hiring Job Details: 1 executive, 1 admin, 1 designer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is>
      </c>
      <c r="BD424" s="4">
        <v>46140.70853009259</v>
      </c>
      <c r="BE424"/>
      <c r="BF424"/>
      <c r="BG424" t="inlineStr">
        <is>
          <t>Reschedule</t>
        </is>
      </c>
      <c r="BH424" t="inlineStr">
        <is>
          <t>Yee Hang</t>
        </is>
      </c>
      <c r="BI424"/>
      <c r="BJ424" s="4">
        <v>46144.75237268519</v>
      </c>
      <c r="BK424" s="4">
        <v>45772.76068287037</v>
      </c>
      <c r="BL424" t="inlineStr">
        <is>
          <t>0.0</t>
        </is>
      </c>
      <c r="BM424" t="inlineStr">
        <is>
          <t>0.0</t>
        </is>
      </c>
      <c r="BN424" t="inlineStr">
        <is>
          <t>View Create Job Page</t>
        </is>
      </c>
      <c r="BO424" s="4">
        <v>45772.76710648148</v>
      </c>
      <c r="BP424">
        <v>169330</v>
      </c>
      <c r="BQ424"/>
      <c r="BR424"/>
      <c r="BS424"/>
      <c r="BT424"/>
      <c r="BU424"/>
      <c r="BV424">
        <v>2733674</v>
      </c>
      <c r="BW424" t="inlineStr">
        <is>
          <t>Customer Inquiry</t>
        </is>
      </c>
      <c r="BX424"/>
      <c r="BY424"/>
      <c r="BZ424" s="4"/>
      <c r="CA424"/>
      <c r="CB424"/>
      <c r="CC424" s="4"/>
      <c r="CD424" t="inlineStr">
        <is>
          <t>20</t>
        </is>
      </c>
      <c r="CE424" t="inlineStr">
        <is>
          <t>0</t>
        </is>
      </c>
      <c r="CF424" t="inlineStr">
        <is>
          <t>Q2-W04</t>
        </is>
      </c>
      <c r="CG424"/>
      <c r="CH424"/>
      <c r="CI424"/>
      <c r="CJ424" t="inlineStr">
        <is>
          <t>No Paid</t>
        </is>
      </c>
      <c r="CK424" t="inlineStr">
        <is>
          <t>Not Eligible</t>
        </is>
      </c>
      <c r="CL424"/>
      <c r="CM424"/>
    </row>
    <row r="425" ht="25.5" customHeight="1">
      <c r="A425" t="inlineStr">
        <is>
          <t>187194</t>
        </is>
      </c>
      <c r="B425" s="2"/>
      <c r="C425"/>
      <c r="D425" s="3">
        <v>46140.70819444444</v>
      </c>
      <c r="E425" t="inlineStr">
        <is>
          <t>Q2-W04</t>
        </is>
      </c>
      <c r="F425" t="inlineStr">
        <is>
          <t>Xin Hui</t>
        </is>
      </c>
      <c r="G425" t="inlineStr">
        <is>
          <t>Customer</t>
        </is>
      </c>
      <c r="H425" s="2" t="str">
        <f>=HYPERLINK("https://upbox.ajobthing.my/customer/187194", "https://upbox.ajobthing.my/customer/187194")</f>
        <v>https://upbox.ajobthing.my/customer/187194</v>
      </c>
      <c r="I425" t="inlineStr">
        <is>
          <t>Aneka Publication &amp; Distributors Sdn Bhd</t>
        </is>
      </c>
      <c r="J425" t="inlineStr">
        <is>
          <t>Small Fish</t>
        </is>
      </c>
      <c r="K425" t="inlineStr">
        <is>
          <t>Xin Hui</t>
        </is>
      </c>
      <c r="L425" s="4"/>
      <c r="M425" s="4">
        <v>46140.708506944444</v>
      </c>
      <c r="N425"/>
      <c r="O425">
        <v>3888</v>
      </c>
      <c r="P425" s="4"/>
      <c r="Q425" s="4"/>
      <c r="R425"/>
      <c r="S425"/>
      <c r="T425" s="4"/>
      <c r="U425" s="4"/>
      <c r="V425"/>
      <c r="W425"/>
      <c r="X425"/>
      <c r="Y425" t="inlineStr">
        <is>
          <t>Pending Appointment</t>
        </is>
      </c>
      <c r="Z425" t="inlineStr">
        <is>
          <t>Hiring Now</t>
        </is>
      </c>
      <c r="AA425">
        <v>1</v>
      </c>
      <c r="AB425" t="inlineStr">
        <is>
          <t>No Appointment Made</t>
        </is>
      </c>
      <c r="AC425"/>
      <c r="AD425" t="inlineStr">
        <is>
          <t xml:space="preserve">graphic designer </t>
        </is>
      </c>
      <c r="AE425"/>
      <c r="AF425"/>
      <c r="AG425" s="4"/>
      <c r="AH425" s="4"/>
      <c r="AI425"/>
      <c r="AJ425"/>
      <c r="AK425" t="inlineStr">
        <is>
          <t>No, I don't need at all</t>
        </is>
      </c>
      <c r="AL425"/>
      <c r="AM425" t="inlineStr">
        <is>
          <t>No, I don't need at all</t>
        </is>
      </c>
      <c r="AN425"/>
      <c r="AO425" t="inlineStr">
        <is>
          <t>No, I don't need at all</t>
        </is>
      </c>
      <c r="AP425" t="inlineStr">
        <is>
          <t>Once a year (25%)</t>
        </is>
      </c>
      <c r="AQ425"/>
      <c r="AR425" t="inlineStr">
        <is>
          <t>Indeed (Paid)</t>
        </is>
      </c>
      <c r="AS425" t="inlineStr">
        <is>
          <t>- Headcount: 1
- Hiring Job Details: graphic designer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Indeed (Paid)</t>
        </is>
      </c>
      <c r="AT425">
        <v>75</v>
      </c>
      <c r="AU425" t="inlineStr">
        <is>
          <t>0.75</t>
        </is>
      </c>
      <c r="AV425" t="inlineStr">
        <is>
          <t>5</t>
        </is>
      </c>
      <c r="AW425" t="inlineStr">
        <is>
          <t>0</t>
        </is>
      </c>
      <c r="AX425" t="inlineStr">
        <is>
          <t>Not Qualified</t>
        </is>
      </c>
      <c r="AY425" s="4"/>
      <c r="AZ425"/>
      <c r="BA425"/>
      <c r="BB425"/>
      <c r="BC425" t="inlineStr">
        <is>
          <t>PIC : Natha // hiring now : position- graphic designer 3-4person // location ; bandar puteri klang // salary range : RM1900-2200 //can accept fresh grad but need design skill // all language  // posting on Indeed now</t>
        </is>
      </c>
      <c r="BD425" s="4">
        <v>46140.709548611114</v>
      </c>
      <c r="BE425"/>
      <c r="BF425"/>
      <c r="BG425" t="inlineStr">
        <is>
          <t>Reschedule</t>
        </is>
      </c>
      <c r="BH425" t="inlineStr">
        <is>
          <t>Yee Hang</t>
        </is>
      </c>
      <c r="BI425" t="inlineStr">
        <is>
          <t>Printing / Publishing</t>
        </is>
      </c>
      <c r="BJ425" s="4">
        <v>46144.75215277778</v>
      </c>
      <c r="BK425" s="4">
        <v>45688.63761574074</v>
      </c>
      <c r="BL425" t="inlineStr">
        <is>
          <t>0.0</t>
        </is>
      </c>
      <c r="BM425" t="inlineStr">
        <is>
          <t>0.0</t>
        </is>
      </c>
      <c r="BN425" t="inlineStr">
        <is>
          <t>View Create Job Page</t>
        </is>
      </c>
      <c r="BO425" s="4">
        <v>45688.645266203705</v>
      </c>
      <c r="BP425">
        <v>169347</v>
      </c>
      <c r="BQ425"/>
      <c r="BR425"/>
      <c r="BS425"/>
      <c r="BT425"/>
      <c r="BU425"/>
      <c r="BV425">
        <v>2733694</v>
      </c>
      <c r="BW425" t="inlineStr">
        <is>
          <t>Inquire for Hiring Needs : Quotation Sent 50%</t>
        </is>
      </c>
      <c r="BX425"/>
      <c r="BY425"/>
      <c r="BZ425" s="4"/>
      <c r="CA425"/>
      <c r="CB425"/>
      <c r="CC425" s="4"/>
      <c r="CD425" t="inlineStr">
        <is>
          <t>5</t>
        </is>
      </c>
      <c r="CE425" t="inlineStr">
        <is>
          <t>0</t>
        </is>
      </c>
      <c r="CF425" t="inlineStr">
        <is>
          <t>Q2-W04</t>
        </is>
      </c>
      <c r="CG425"/>
      <c r="CH425"/>
      <c r="CI425"/>
      <c r="CJ425" t="inlineStr">
        <is>
          <t>No Paid</t>
        </is>
      </c>
      <c r="CK425" t="inlineStr">
        <is>
          <t>Not Eligible</t>
        </is>
      </c>
      <c r="CL425"/>
      <c r="CM425"/>
    </row>
    <row r="426" ht="25.5" customHeight="1">
      <c r="A426" t="inlineStr">
        <is>
          <t>199936</t>
        </is>
      </c>
      <c r="B426" s="2"/>
      <c r="C426"/>
      <c r="D426" s="3">
        <v>46140.71</v>
      </c>
      <c r="E426" t="inlineStr">
        <is>
          <t>Q2-W04</t>
        </is>
      </c>
      <c r="F426" t="inlineStr">
        <is>
          <t>Keegan</t>
        </is>
      </c>
      <c r="G426" t="inlineStr">
        <is>
          <t>Customer</t>
        </is>
      </c>
      <c r="H426" s="2" t="str">
        <f>=HYPERLINK("https://upbox.ajobthing.my/customer/199936", "https://upbox.ajobthing.my/customer/199936")</f>
        <v>https://upbox.ajobthing.my/customer/199936</v>
      </c>
      <c r="I426" t="inlineStr">
        <is>
          <t xml:space="preserve">Diy Car Accessories </t>
        </is>
      </c>
      <c r="J426" t="inlineStr">
        <is>
          <t>Small Fish</t>
        </is>
      </c>
      <c r="K426" t="inlineStr">
        <is>
          <t>Keegan</t>
        </is>
      </c>
      <c r="L426" s="4"/>
      <c r="M426" s="4">
        <v>46140.71160879629</v>
      </c>
      <c r="N426"/>
      <c r="O426">
        <v>3576.96</v>
      </c>
      <c r="P426" s="4"/>
      <c r="Q426" s="4"/>
      <c r="R426"/>
      <c r="S426"/>
      <c r="T426" s="4"/>
      <c r="U426" s="4"/>
      <c r="V426"/>
      <c r="W426"/>
      <c r="X426"/>
      <c r="Y426" t="inlineStr">
        <is>
          <t>Pending Appointment</t>
        </is>
      </c>
      <c r="Z426" t="inlineStr">
        <is>
          <t>Hiring Now</t>
        </is>
      </c>
      <c r="AA426">
        <v>2</v>
      </c>
      <c r="AB426" t="inlineStr">
        <is>
          <t>No Appointment Made</t>
        </is>
      </c>
      <c r="AC426"/>
      <c r="AD426" t="inlineStr">
        <is>
          <t xml:space="preserve">1. Sales 
2. Marketing </t>
        </is>
      </c>
      <c r="AE426"/>
      <c r="AF426"/>
      <c r="AG426" s="4"/>
      <c r="AH426" s="4"/>
      <c r="AI426"/>
      <c r="AJ426">
        <v>1</v>
      </c>
      <c r="AK426" t="inlineStr">
        <is>
          <t>No, I don't need at all</t>
        </is>
      </c>
      <c r="AL426">
        <v>0</v>
      </c>
      <c r="AM426" t="inlineStr">
        <is>
          <t>No, I don't need at all</t>
        </is>
      </c>
      <c r="AN426"/>
      <c r="AO426" t="inlineStr">
        <is>
          <t>No, I don't need at all</t>
        </is>
      </c>
      <c r="AP426" t="inlineStr">
        <is>
          <t>Once per quarter (75%)</t>
        </is>
      </c>
      <c r="AQ426"/>
      <c r="AR426" t="inlineStr">
        <is>
          <t>Did not use any job portal</t>
        </is>
      </c>
      <c r="AS426" t="inlineStr">
        <is>
          <t>- Headcount: 2
- Hiring Job Details: 1. Sales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26">
        <v>85</v>
      </c>
      <c r="AU426" t="inlineStr">
        <is>
          <t>0.85</t>
        </is>
      </c>
      <c r="AV426" t="inlineStr">
        <is>
          <t>5</t>
        </is>
      </c>
      <c r="AW426" t="inlineStr">
        <is>
          <t>0</t>
        </is>
      </c>
      <c r="AX426" t="inlineStr">
        <is>
          <t>Not Qualified</t>
        </is>
      </c>
      <c r="AY426" s="4"/>
      <c r="AZ426"/>
      <c r="BA426"/>
      <c r="BB426"/>
      <c r="BC426" t="inlineStr">
        <is>
          <t>- Headcount: 2
- Hiring Job Details: 1. Sales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426" s="4">
        <v>46140.750231481485</v>
      </c>
      <c r="BE426"/>
      <c r="BF426"/>
      <c r="BG426" t="inlineStr">
        <is>
          <t>Reschedule</t>
        </is>
      </c>
      <c r="BH426" t="inlineStr">
        <is>
          <t>Edward Hoo</t>
        </is>
      </c>
      <c r="BI426"/>
      <c r="BJ426" s="4">
        <v>46144.75342592593</v>
      </c>
      <c r="BK426" s="4">
        <v>46025.99318287037</v>
      </c>
      <c r="BL426" t="inlineStr">
        <is>
          <t>0.0</t>
        </is>
      </c>
      <c r="BM426" t="inlineStr">
        <is>
          <t>0.0</t>
        </is>
      </c>
      <c r="BN426" t="inlineStr">
        <is>
          <t>View Company Page</t>
        </is>
      </c>
      <c r="BO426" s="4">
        <v>46140.665972222225</v>
      </c>
      <c r="BP426">
        <v>169349</v>
      </c>
      <c r="BQ426"/>
      <c r="BR426"/>
      <c r="BS426"/>
      <c r="BT426"/>
      <c r="BU426"/>
      <c r="BV426">
        <v>2733938</v>
      </c>
      <c r="BW426" t="inlineStr">
        <is>
          <t>Customer Inquiry</t>
        </is>
      </c>
      <c r="BX426"/>
      <c r="BY426"/>
      <c r="BZ426" s="4"/>
      <c r="CA426"/>
      <c r="CB426"/>
      <c r="CC426" s="4"/>
      <c r="CD426" t="inlineStr">
        <is>
          <t>5</t>
        </is>
      </c>
      <c r="CE426" t="inlineStr">
        <is>
          <t>0</t>
        </is>
      </c>
      <c r="CF426" t="inlineStr">
        <is>
          <t>Q2-W04</t>
        </is>
      </c>
      <c r="CG426"/>
      <c r="CH426"/>
      <c r="CI426"/>
      <c r="CJ426" t="inlineStr">
        <is>
          <t>No Paid</t>
        </is>
      </c>
      <c r="CK426" t="inlineStr">
        <is>
          <t>Not Eligible</t>
        </is>
      </c>
      <c r="CL426"/>
      <c r="CM426"/>
    </row>
    <row r="427" ht="25.5" customHeight="1">
      <c r="A427" t="inlineStr">
        <is>
          <t>203751</t>
        </is>
      </c>
      <c r="B427" s="2"/>
      <c r="C427"/>
      <c r="D427" s="3">
        <v>46140.71140046296</v>
      </c>
      <c r="E427" t="inlineStr">
        <is>
          <t>Q2-W04</t>
        </is>
      </c>
      <c r="F427" t="inlineStr">
        <is>
          <t>Lucas</t>
        </is>
      </c>
      <c r="G427" t="inlineStr">
        <is>
          <t>Customer</t>
        </is>
      </c>
      <c r="H427" s="2" t="str">
        <f>=HYPERLINK("https://upbox.ajobthing.my/customer/203751", "https://upbox.ajobthing.my/customer/203751")</f>
        <v>https://upbox.ajobthing.my/customer/203751</v>
      </c>
      <c r="I427" t="inlineStr">
        <is>
          <t>Ace Courier</t>
        </is>
      </c>
      <c r="J427" t="inlineStr">
        <is>
          <t>Small Fish</t>
        </is>
      </c>
      <c r="K427" t="inlineStr">
        <is>
          <t>Lucas</t>
        </is>
      </c>
      <c r="L427" s="4"/>
      <c r="M427" s="4">
        <v>46140.70774305556</v>
      </c>
      <c r="N427"/>
      <c r="O427">
        <v>3576.96</v>
      </c>
      <c r="P427" s="4"/>
      <c r="Q427" s="4"/>
      <c r="R427"/>
      <c r="S427"/>
      <c r="T427" s="4"/>
      <c r="U427" s="4"/>
      <c r="V427"/>
      <c r="W427"/>
      <c r="X427"/>
      <c r="Y427" t="inlineStr">
        <is>
          <t>Pending Appointment</t>
        </is>
      </c>
      <c r="Z427" t="inlineStr">
        <is>
          <t>Hiring Now</t>
        </is>
      </c>
      <c r="AA427">
        <v>1</v>
      </c>
      <c r="AB427" t="inlineStr">
        <is>
          <t>No Appointment Made</t>
        </is>
      </c>
      <c r="AC427"/>
      <c r="AD427" t="inlineStr">
        <is>
          <t xml:space="preserve">1 admin </t>
        </is>
      </c>
      <c r="AE427"/>
      <c r="AF427">
        <v>0</v>
      </c>
      <c r="AG427" s="4"/>
      <c r="AH427" s="4"/>
      <c r="AI427">
        <v>0</v>
      </c>
      <c r="AJ427">
        <v>0</v>
      </c>
      <c r="AK427" t="inlineStr">
        <is>
          <t>No, I don't need at all</t>
        </is>
      </c>
      <c r="AL427">
        <v>0</v>
      </c>
      <c r="AM427" t="inlineStr">
        <is>
          <t>No, I don't need at all</t>
        </is>
      </c>
      <c r="AN427"/>
      <c r="AO427" t="inlineStr">
        <is>
          <t>No, I don't need at all</t>
        </is>
      </c>
      <c r="AP427" t="inlineStr">
        <is>
          <t>Once a year (25%)</t>
        </is>
      </c>
      <c r="AQ427">
        <v>1</v>
      </c>
      <c r="AR427" t="inlineStr">
        <is>
          <t>Did not use any job portal</t>
        </is>
      </c>
      <c r="AS427"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427">
        <v>110</v>
      </c>
      <c r="AU427" t="inlineStr">
        <is>
          <t>1.10</t>
        </is>
      </c>
      <c r="AV427" t="inlineStr">
        <is>
          <t>15</t>
        </is>
      </c>
      <c r="AW427" t="inlineStr">
        <is>
          <t>0</t>
        </is>
      </c>
      <c r="AX427" t="inlineStr">
        <is>
          <t>Not Qualified</t>
        </is>
      </c>
      <c r="AY427" s="4"/>
      <c r="AZ427"/>
      <c r="BA427"/>
      <c r="BB427"/>
      <c r="BC427"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BD427" s="4">
        <v>46140.750231481485</v>
      </c>
      <c r="BE427"/>
      <c r="BF427"/>
      <c r="BG427" t="inlineStr">
        <is>
          <t>Reschedule</t>
        </is>
      </c>
      <c r="BH427" t="inlineStr">
        <is>
          <t>Yee Hang</t>
        </is>
      </c>
      <c r="BI427"/>
      <c r="BJ427" s="4">
        <v>46144.75438657407</v>
      </c>
      <c r="BK427" s="4">
        <v>46140.69761574074</v>
      </c>
      <c r="BL427" t="inlineStr">
        <is>
          <t>0.0</t>
        </is>
      </c>
      <c r="BM427" t="inlineStr">
        <is>
          <t>0.0</t>
        </is>
      </c>
      <c r="BN427" t="inlineStr">
        <is>
          <t>View Create Job Page V4</t>
        </is>
      </c>
      <c r="BO427" s="4">
        <v>46140.70528935185</v>
      </c>
      <c r="BP427">
        <v>169345</v>
      </c>
      <c r="BQ427"/>
      <c r="BR427"/>
      <c r="BS427"/>
      <c r="BT427"/>
      <c r="BU427"/>
      <c r="BV427">
        <v>2733939</v>
      </c>
      <c r="BW427" t="inlineStr">
        <is>
          <t>Customer Inquiry</t>
        </is>
      </c>
      <c r="BX427"/>
      <c r="BY427"/>
      <c r="BZ427" s="4"/>
      <c r="CA427"/>
      <c r="CB427"/>
      <c r="CC427" s="4"/>
      <c r="CD427" t="inlineStr">
        <is>
          <t>20</t>
        </is>
      </c>
      <c r="CE427" t="inlineStr">
        <is>
          <t>0</t>
        </is>
      </c>
      <c r="CF427" t="inlineStr">
        <is>
          <t>Q2-W04</t>
        </is>
      </c>
      <c r="CG427"/>
      <c r="CH427"/>
      <c r="CI427"/>
      <c r="CJ427" t="inlineStr">
        <is>
          <t>No Paid</t>
        </is>
      </c>
      <c r="CK427" t="inlineStr">
        <is>
          <t>Not Eligible</t>
        </is>
      </c>
      <c r="CL427"/>
      <c r="CM427"/>
    </row>
    <row r="428" ht="25.5" customHeight="1">
      <c r="A428" t="inlineStr">
        <is>
          <t>58431</t>
        </is>
      </c>
      <c r="B428" s="2"/>
      <c r="C428"/>
      <c r="D428" s="3">
        <v>46140.72115740741</v>
      </c>
      <c r="E428" t="inlineStr">
        <is>
          <t>Q2-W04</t>
        </is>
      </c>
      <c r="F428" t="inlineStr">
        <is>
          <t>Eugene</t>
        </is>
      </c>
      <c r="G428" t="inlineStr">
        <is>
          <t>Customer</t>
        </is>
      </c>
      <c r="H428" s="2" t="str">
        <f>=HYPERLINK("https://upbox.ajobthing.my/customer/58431", "https://upbox.ajobthing.my/customer/58431")</f>
        <v>https://upbox.ajobthing.my/customer/58431</v>
      </c>
      <c r="I428" t="inlineStr">
        <is>
          <t>VA Solutions Sdn Bhd</t>
        </is>
      </c>
      <c r="J428" t="inlineStr">
        <is>
          <t>Small Fish</t>
        </is>
      </c>
      <c r="K428" t="inlineStr">
        <is>
          <t>Eugene</t>
        </is>
      </c>
      <c r="L428" s="4"/>
      <c r="M428" s="4">
        <v>46140.72122685185</v>
      </c>
      <c r="N428"/>
      <c r="O428">
        <v>3888</v>
      </c>
      <c r="P428" s="4"/>
      <c r="Q428" s="4">
        <v>43851.39282407407</v>
      </c>
      <c r="R428"/>
      <c r="S428">
        <v>530</v>
      </c>
      <c r="T428" s="4">
        <v>43851.39282407407</v>
      </c>
      <c r="U428" s="4"/>
      <c r="V428"/>
      <c r="W428">
        <v>530</v>
      </c>
      <c r="X428"/>
      <c r="Y428" t="inlineStr">
        <is>
          <t>Pending Appointment</t>
        </is>
      </c>
      <c r="Z428" t="inlineStr">
        <is>
          <t>Hiring Now</t>
        </is>
      </c>
      <c r="AA428">
        <v>1</v>
      </c>
      <c r="AB428" t="inlineStr">
        <is>
          <t>No Appointment Made</t>
        </is>
      </c>
      <c r="AC428"/>
      <c r="AD428" t="inlineStr">
        <is>
          <t>1 admin operation, based in Penang</t>
        </is>
      </c>
      <c r="AE428"/>
      <c r="AF428">
        <v>2000</v>
      </c>
      <c r="AG428" s="4"/>
      <c r="AH428" s="4"/>
      <c r="AI428">
        <v>2000</v>
      </c>
      <c r="AJ428">
        <v>1</v>
      </c>
      <c r="AK428" t="inlineStr">
        <is>
          <t>No, I don't need at all</t>
        </is>
      </c>
      <c r="AL428">
        <v>1</v>
      </c>
      <c r="AM428" t="inlineStr">
        <is>
          <t>No, I don't need at all</t>
        </is>
      </c>
      <c r="AN428"/>
      <c r="AO428" t="inlineStr">
        <is>
          <t>No, I don't need at all</t>
        </is>
      </c>
      <c r="AP428" t="inlineStr">
        <is>
          <t>Twice a year (50%)</t>
        </is>
      </c>
      <c r="AQ428">
        <v>2</v>
      </c>
      <c r="AR428" t="inlineStr">
        <is>
          <t>Did not use any job portal</t>
        </is>
      </c>
      <c r="AS428" t="inlineStr">
        <is>
          <t>- Headcount: 1
- Hiring Job Details: 1 admin operation, based in Penang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2
- Hiring frequency: Twice a year (50%)
- External job portal: Did not use any job portal</t>
        </is>
      </c>
      <c r="AT428">
        <v>115</v>
      </c>
      <c r="AU428" t="inlineStr">
        <is>
          <t>1.15</t>
        </is>
      </c>
      <c r="AV428" t="inlineStr">
        <is>
          <t>15</t>
        </is>
      </c>
      <c r="AW428" t="inlineStr">
        <is>
          <t>0</t>
        </is>
      </c>
      <c r="AX428" t="inlineStr">
        <is>
          <t>Not Qualified</t>
        </is>
      </c>
      <c r="AY428" s="4"/>
      <c r="AZ428"/>
      <c r="BA428"/>
      <c r="BB428"/>
      <c r="BC428" t="inlineStr">
        <is>
          <t>- Headcount: 1
- Hiring Job Details: 1 admin operation, based in Penang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2
- Hiring frequency: Twice a year (50%)
- External job portal: Did not use any job portal</t>
        </is>
      </c>
      <c r="BD428" s="4">
        <v>46140.750231481485</v>
      </c>
      <c r="BE428" t="inlineStr">
        <is>
          <t>paid</t>
        </is>
      </c>
      <c r="BF428"/>
      <c r="BG428" t="inlineStr">
        <is>
          <t>Reschedule</t>
        </is>
      </c>
      <c r="BH428" t="inlineStr">
        <is>
          <t>Edward Hoo</t>
        </is>
      </c>
      <c r="BI428" t="inlineStr">
        <is>
          <t>Healthcare / Medical</t>
        </is>
      </c>
      <c r="BJ428" s="4">
        <v>46144.75609953704</v>
      </c>
      <c r="BK428" s="4">
        <v>43375.72665509259</v>
      </c>
      <c r="BL428" t="inlineStr">
        <is>
          <t>0.0</t>
        </is>
      </c>
      <c r="BM428" t="inlineStr">
        <is>
          <t>0.0</t>
        </is>
      </c>
      <c r="BN428" t="inlineStr">
        <is>
          <t>View Create Job Page</t>
        </is>
      </c>
      <c r="BO428" s="4">
        <v>45287.53618055556</v>
      </c>
      <c r="BP428">
        <v>169363</v>
      </c>
      <c r="BQ428">
        <v>22935</v>
      </c>
      <c r="BR428" t="inlineStr">
        <is>
          <t>Online</t>
        </is>
      </c>
      <c r="BS428"/>
      <c r="BT428">
        <v>22935</v>
      </c>
      <c r="BU428"/>
      <c r="BV428">
        <v>2733946</v>
      </c>
      <c r="BW428" t="inlineStr">
        <is>
          <t>Customer Inquiry</t>
        </is>
      </c>
      <c r="BX428"/>
      <c r="BY428"/>
      <c r="BZ428" s="4"/>
      <c r="CA428"/>
      <c r="CB428"/>
      <c r="CC428" s="4"/>
      <c r="CD428" t="inlineStr">
        <is>
          <t>20</t>
        </is>
      </c>
      <c r="CE428" t="inlineStr">
        <is>
          <t>0</t>
        </is>
      </c>
      <c r="CF428" t="inlineStr">
        <is>
          <t>Q2-W04</t>
        </is>
      </c>
      <c r="CG428"/>
      <c r="CH428"/>
      <c r="CI428"/>
      <c r="CJ428" t="inlineStr">
        <is>
          <t>Paid</t>
        </is>
      </c>
      <c r="CK428" t="inlineStr">
        <is>
          <t>Not Eligible</t>
        </is>
      </c>
      <c r="CL428"/>
      <c r="CM428"/>
    </row>
    <row r="429" ht="25.5" customHeight="1">
      <c r="A429" t="inlineStr">
        <is>
          <t>203622</t>
        </is>
      </c>
      <c r="B429" s="2"/>
      <c r="C429"/>
      <c r="D429" s="3">
        <v>46140.722962962966</v>
      </c>
      <c r="E429" t="inlineStr">
        <is>
          <t>Q2-W04</t>
        </is>
      </c>
      <c r="F429" t="inlineStr">
        <is>
          <t>Evan</t>
        </is>
      </c>
      <c r="G429" t="inlineStr">
        <is>
          <t>Customer</t>
        </is>
      </c>
      <c r="H429" s="2" t="str">
        <f>=HYPERLINK("https://upbox.ajobthing.my/customer/203622", "https://upbox.ajobthing.my/customer/203622")</f>
        <v>https://upbox.ajobthing.my/customer/203622</v>
      </c>
      <c r="I429" t="inlineStr">
        <is>
          <t xml:space="preserve">The Digital Leap Sdn. Bhd. </t>
        </is>
      </c>
      <c r="J429" t="inlineStr">
        <is>
          <t>Small Fish</t>
        </is>
      </c>
      <c r="K429" t="inlineStr">
        <is>
          <t>Evan</t>
        </is>
      </c>
      <c r="L429" s="4"/>
      <c r="M429" s="4">
        <v>46140.721041666664</v>
      </c>
      <c r="N429"/>
      <c r="O429">
        <v>5412.96</v>
      </c>
      <c r="P429" s="4"/>
      <c r="Q429" s="4"/>
      <c r="R429"/>
      <c r="S429"/>
      <c r="T429" s="4"/>
      <c r="U429" s="4"/>
      <c r="V429"/>
      <c r="W429"/>
      <c r="X429"/>
      <c r="Y429" t="inlineStr">
        <is>
          <t>Pending Appointment</t>
        </is>
      </c>
      <c r="Z429" t="inlineStr">
        <is>
          <t>Hiring Now</t>
        </is>
      </c>
      <c r="AA429">
        <v>5</v>
      </c>
      <c r="AB429" t="inlineStr">
        <is>
          <t>No Appointment Made</t>
        </is>
      </c>
      <c r="AC429"/>
      <c r="AD429" t="inlineStr">
        <is>
          <t>5 livehost, all base in KL</t>
        </is>
      </c>
      <c r="AE429"/>
      <c r="AF429">
        <v>1</v>
      </c>
      <c r="AG429" s="4"/>
      <c r="AH429" s="4"/>
      <c r="AI429">
        <v>1</v>
      </c>
      <c r="AJ429">
        <v>1</v>
      </c>
      <c r="AK429" t="inlineStr">
        <is>
          <t>No, I don't need at all</t>
        </is>
      </c>
      <c r="AL429">
        <v>0</v>
      </c>
      <c r="AM429" t="inlineStr">
        <is>
          <t>No, I don't need at all</t>
        </is>
      </c>
      <c r="AN429"/>
      <c r="AO429" t="inlineStr">
        <is>
          <t>No, I don't need at all</t>
        </is>
      </c>
      <c r="AP429" t="inlineStr">
        <is>
          <t>Once a year (25%)</t>
        </is>
      </c>
      <c r="AQ429">
        <v>5</v>
      </c>
      <c r="AR429" t="inlineStr">
        <is>
          <t>Did not use any job portal</t>
        </is>
      </c>
      <c r="AS429" t="inlineStr">
        <is>
          <t>- Headcount: 5
- Hiring Job Details: 5 livehost, all base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5
- Hiring frequency: Once a year (25%)
- External job portal: Did not use any job portal</t>
        </is>
      </c>
      <c r="AT429">
        <v>110</v>
      </c>
      <c r="AU429" t="inlineStr">
        <is>
          <t>1.10</t>
        </is>
      </c>
      <c r="AV429" t="inlineStr">
        <is>
          <t>20</t>
        </is>
      </c>
      <c r="AW429" t="inlineStr">
        <is>
          <t>0</t>
        </is>
      </c>
      <c r="AX429" t="inlineStr">
        <is>
          <t>Not Qualified</t>
        </is>
      </c>
      <c r="AY429" s="4"/>
      <c r="AZ429"/>
      <c r="BA429"/>
      <c r="BB429"/>
      <c r="BC429" t="inlineStr">
        <is>
          <t>- Headcount: 5
- Hiring Job Details: 5 livehost, all base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5
- Hiring frequency: Once a year (25%)
- External job portal: Did not use any job portal</t>
        </is>
      </c>
      <c r="BD429" s="4">
        <v>46140.750231481485</v>
      </c>
      <c r="BE429"/>
      <c r="BF429"/>
      <c r="BG429" t="inlineStr">
        <is>
          <t>Reschedule</t>
        </is>
      </c>
      <c r="BH429" t="inlineStr">
        <is>
          <t>Edward Hoo</t>
        </is>
      </c>
      <c r="BI429"/>
      <c r="BJ429" s="4">
        <v>46144.75436342593</v>
      </c>
      <c r="BK429" s="4">
        <v>46136.533541666664</v>
      </c>
      <c r="BL429" t="inlineStr">
        <is>
          <t>0.0</t>
        </is>
      </c>
      <c r="BM429" t="inlineStr">
        <is>
          <t>0.0</t>
        </is>
      </c>
      <c r="BN429" t="inlineStr">
        <is>
          <t>View Company Page</t>
        </is>
      </c>
      <c r="BO429" s="4">
        <v>46136.793599537035</v>
      </c>
      <c r="BP429">
        <v>169361</v>
      </c>
      <c r="BQ429"/>
      <c r="BR429"/>
      <c r="BS429"/>
      <c r="BT429"/>
      <c r="BU429"/>
      <c r="BV429">
        <v>2733947</v>
      </c>
      <c r="BW429" t="inlineStr">
        <is>
          <t>Customer Inquiry</t>
        </is>
      </c>
      <c r="BX429"/>
      <c r="BY429"/>
      <c r="BZ429" s="4"/>
      <c r="CA429"/>
      <c r="CB429"/>
      <c r="CC429" s="4"/>
      <c r="CD429" t="inlineStr">
        <is>
          <t>30</t>
        </is>
      </c>
      <c r="CE429" t="inlineStr">
        <is>
          <t>0</t>
        </is>
      </c>
      <c r="CF429" t="inlineStr">
        <is>
          <t>Q2-W04</t>
        </is>
      </c>
      <c r="CG429"/>
      <c r="CH429"/>
      <c r="CI429"/>
      <c r="CJ429" t="inlineStr">
        <is>
          <t>No Paid</t>
        </is>
      </c>
      <c r="CK429" t="inlineStr">
        <is>
          <t>Not Eligible</t>
        </is>
      </c>
      <c r="CL429"/>
      <c r="CM429"/>
    </row>
    <row r="430" ht="25.5" customHeight="1">
      <c r="A430" t="inlineStr">
        <is>
          <t>203755</t>
        </is>
      </c>
      <c r="B430" s="2"/>
      <c r="C430"/>
      <c r="D430" s="3">
        <v>46140.726643518516</v>
      </c>
      <c r="E430" t="inlineStr">
        <is>
          <t>Q2-W04</t>
        </is>
      </c>
      <c r="F430" t="inlineStr">
        <is>
          <t>Keegan</t>
        </is>
      </c>
      <c r="G430" t="inlineStr">
        <is>
          <t>Customer</t>
        </is>
      </c>
      <c r="H430" s="2" t="str">
        <f>=HYPERLINK("https://upbox.ajobthing.my/customer/203755", "https://upbox.ajobthing.my/customer/203755")</f>
        <v>https://upbox.ajobthing.my/customer/203755</v>
      </c>
      <c r="I430" t="inlineStr">
        <is>
          <t>Talent pioneer consulting</t>
        </is>
      </c>
      <c r="J430" t="inlineStr">
        <is>
          <t>Small Fish</t>
        </is>
      </c>
      <c r="K430" t="inlineStr">
        <is>
          <t>Keegan</t>
        </is>
      </c>
      <c r="L430" s="4"/>
      <c r="M430" s="4">
        <v>46140.72715277778</v>
      </c>
      <c r="N430"/>
      <c r="O430">
        <v>3576.96</v>
      </c>
      <c r="P430" s="4"/>
      <c r="Q430" s="4"/>
      <c r="R430"/>
      <c r="S430"/>
      <c r="T430" s="4"/>
      <c r="U430" s="4"/>
      <c r="V430"/>
      <c r="W430"/>
      <c r="X430"/>
      <c r="Y430" t="inlineStr">
        <is>
          <t>Pending Appointment</t>
        </is>
      </c>
      <c r="Z430" t="inlineStr">
        <is>
          <t>Hiring Now</t>
        </is>
      </c>
      <c r="AA430">
        <v>1</v>
      </c>
      <c r="AB430" t="inlineStr">
        <is>
          <t>No Appointment Made</t>
        </is>
      </c>
      <c r="AC430"/>
      <c r="AD430" t="inlineStr">
        <is>
          <t xml:space="preserve">1. Sales Support </t>
        </is>
      </c>
      <c r="AE430"/>
      <c r="AF430"/>
      <c r="AG430" s="4"/>
      <c r="AH430" s="4"/>
      <c r="AI430"/>
      <c r="AJ430">
        <v>1</v>
      </c>
      <c r="AK430" t="inlineStr">
        <is>
          <t>No, I don't need at all</t>
        </is>
      </c>
      <c r="AL430">
        <v>0</v>
      </c>
      <c r="AM430" t="inlineStr">
        <is>
          <t>No, I don't need at all</t>
        </is>
      </c>
      <c r="AN430"/>
      <c r="AO430" t="inlineStr">
        <is>
          <t>No, I don't need at all</t>
        </is>
      </c>
      <c r="AP430" t="inlineStr">
        <is>
          <t>Once per quarter (75%)</t>
        </is>
      </c>
      <c r="AQ430"/>
      <c r="AR430" t="inlineStr">
        <is>
          <t>Did not use any job portal</t>
        </is>
      </c>
      <c r="AS430" t="inlineStr">
        <is>
          <t>- Headcount: 1
- Hiring Job Details: 1 Sales Support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30">
        <v>95</v>
      </c>
      <c r="AU430" t="inlineStr">
        <is>
          <t>0.95</t>
        </is>
      </c>
      <c r="AV430" t="inlineStr">
        <is>
          <t>5</t>
        </is>
      </c>
      <c r="AW430" t="inlineStr">
        <is>
          <t>0</t>
        </is>
      </c>
      <c r="AX430" t="inlineStr">
        <is>
          <t>Not Qualified</t>
        </is>
      </c>
      <c r="AY430" s="4"/>
      <c r="AZ430"/>
      <c r="BA430"/>
      <c r="BB430"/>
      <c r="BC430" t="inlineStr">
        <is>
          <t>- Headcount: 1
- Hiring Job Details: 1 Sales Support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430" s="4">
        <v>46140.750231481485</v>
      </c>
      <c r="BE430"/>
      <c r="BF430"/>
      <c r="BG430" t="inlineStr">
        <is>
          <t>Reschedule</t>
        </is>
      </c>
      <c r="BH430" t="inlineStr">
        <is>
          <t>Edward Hoo</t>
        </is>
      </c>
      <c r="BI430"/>
      <c r="BJ430" s="4">
        <v>46144.75438657407</v>
      </c>
      <c r="BK430" s="4">
        <v>46140.725960648146</v>
      </c>
      <c r="BL430" t="inlineStr">
        <is>
          <t>0.0</t>
        </is>
      </c>
      <c r="BM430" t="inlineStr">
        <is>
          <t>0.0</t>
        </is>
      </c>
      <c r="BN430"/>
      <c r="BO430" s="4"/>
      <c r="BP430">
        <v>169368</v>
      </c>
      <c r="BQ430"/>
      <c r="BR430"/>
      <c r="BS430"/>
      <c r="BT430"/>
      <c r="BU430"/>
      <c r="BV430">
        <v>2733949</v>
      </c>
      <c r="BW430" t="inlineStr">
        <is>
          <t>Customer Inquiry</t>
        </is>
      </c>
      <c r="BX430"/>
      <c r="BY430"/>
      <c r="BZ430" s="4"/>
      <c r="CA430"/>
      <c r="CB430"/>
      <c r="CC430" s="4"/>
      <c r="CD430" t="inlineStr">
        <is>
          <t>5</t>
        </is>
      </c>
      <c r="CE430" t="inlineStr">
        <is>
          <t>0</t>
        </is>
      </c>
      <c r="CF430" t="inlineStr">
        <is>
          <t>Q2-W04</t>
        </is>
      </c>
      <c r="CG430"/>
      <c r="CH430"/>
      <c r="CI430"/>
      <c r="CJ430" t="inlineStr">
        <is>
          <t>No Paid</t>
        </is>
      </c>
      <c r="CK430" t="inlineStr">
        <is>
          <t>Not Eligible</t>
        </is>
      </c>
      <c r="CL430"/>
      <c r="CM430"/>
    </row>
    <row r="431" ht="25.5" customHeight="1">
      <c r="A431" t="inlineStr">
        <is>
          <t>196867</t>
        </is>
      </c>
      <c r="B431" s="2"/>
      <c r="C431"/>
      <c r="D431" s="3">
        <v>46140.72707175926</v>
      </c>
      <c r="E431" t="inlineStr">
        <is>
          <t>Q2-W04</t>
        </is>
      </c>
      <c r="F431" t="inlineStr">
        <is>
          <t>Chia Yee</t>
        </is>
      </c>
      <c r="G431" t="inlineStr">
        <is>
          <t>Customer</t>
        </is>
      </c>
      <c r="H431" s="2" t="str">
        <f>=HYPERLINK("https://upbox.ajobthing.my/customer/196867", "https://upbox.ajobthing.my/customer/196867")</f>
        <v>https://upbox.ajobthing.my/customer/196867</v>
      </c>
      <c r="I431" t="inlineStr">
        <is>
          <t>Emam Futsal Kajang</t>
        </is>
      </c>
      <c r="J431" t="inlineStr">
        <is>
          <t>Small Fish</t>
        </is>
      </c>
      <c r="K431" t="inlineStr">
        <is>
          <t>Chia Yee</t>
        </is>
      </c>
      <c r="L431" s="4"/>
      <c r="M431" s="4">
        <v>46140.72733796296</v>
      </c>
      <c r="N431"/>
      <c r="O431">
        <v>1296</v>
      </c>
      <c r="P431" s="4"/>
      <c r="Q431" s="4"/>
      <c r="R431"/>
      <c r="S431"/>
      <c r="T431" s="4"/>
      <c r="U431" s="4"/>
      <c r="V431"/>
      <c r="W431"/>
      <c r="X431"/>
      <c r="Y431" t="inlineStr">
        <is>
          <t>Pending Appointment</t>
        </is>
      </c>
      <c r="Z431" t="inlineStr">
        <is>
          <t>Hiring Now</t>
        </is>
      </c>
      <c r="AA431">
        <v>1</v>
      </c>
      <c r="AB431" t="inlineStr">
        <is>
          <t>No Appointment Made</t>
        </is>
      </c>
      <c r="AC431"/>
      <c r="AD431" t="inlineStr">
        <is>
          <t xml:space="preserve">1 Live host </t>
        </is>
      </c>
      <c r="AE431"/>
      <c r="AF431">
        <v>0</v>
      </c>
      <c r="AG431" s="4"/>
      <c r="AH431" s="4"/>
      <c r="AI431">
        <v>0</v>
      </c>
      <c r="AJ431">
        <v>1</v>
      </c>
      <c r="AK431" t="inlineStr">
        <is>
          <t>No, I don't need at all</t>
        </is>
      </c>
      <c r="AL431">
        <v>1</v>
      </c>
      <c r="AM431" t="inlineStr">
        <is>
          <t>No, I don't need at all</t>
        </is>
      </c>
      <c r="AN431"/>
      <c r="AO431" t="inlineStr">
        <is>
          <t>Yes, I have</t>
        </is>
      </c>
      <c r="AP431" t="inlineStr">
        <is>
          <t>Once a year (25%)</t>
        </is>
      </c>
      <c r="AQ431">
        <v>1</v>
      </c>
      <c r="AR431" t="inlineStr">
        <is>
          <t>Did not use any job portal</t>
        </is>
      </c>
      <c r="AS431" t="inlineStr">
        <is>
          <t>- Headcount: 1
- Hiring Job Details: 1 Live host
- Hiring Urgency: Hiring Now
- Number of outlets: 1
- Have recruiter team: No, I don't need at all
- Number of recruiter in company: 1
- Have ATS system: No, I don't need at all
- Have career website: Yes
- Current hiring budget: RM0
- Whole year budget: RM0.00
- Whole year number of vacancies: 1
- Hiring frequency: Once a year (25%)
- External job portal: Did not use any job portal</t>
        </is>
      </c>
      <c r="AT431">
        <v>120</v>
      </c>
      <c r="AU431" t="inlineStr">
        <is>
          <t>1.20</t>
        </is>
      </c>
      <c r="AV431" t="inlineStr">
        <is>
          <t>15</t>
        </is>
      </c>
      <c r="AW431" t="inlineStr">
        <is>
          <t>0</t>
        </is>
      </c>
      <c r="AX431" t="inlineStr">
        <is>
          <t>Not Qualified</t>
        </is>
      </c>
      <c r="AY431" s="4"/>
      <c r="AZ431"/>
      <c r="BA431"/>
      <c r="BB431"/>
      <c r="BC431" t="inlineStr">
        <is>
          <t>Called, said very expensive. he can find himself</t>
        </is>
      </c>
      <c r="BD431" s="4">
        <v>46141.41200231481</v>
      </c>
      <c r="BE431"/>
      <c r="BF431"/>
      <c r="BG431" t="inlineStr">
        <is>
          <t>Reschedule</t>
        </is>
      </c>
      <c r="BH431" t="inlineStr">
        <is>
          <t>Reagen</t>
        </is>
      </c>
      <c r="BI431" t="inlineStr">
        <is>
          <t>Sports</t>
        </is>
      </c>
      <c r="BJ431" s="4">
        <v>46144.752858796295</v>
      </c>
      <c r="BK431" s="4">
        <v>45934.02391203704</v>
      </c>
      <c r="BL431" t="inlineStr">
        <is>
          <t>0.0</t>
        </is>
      </c>
      <c r="BM431" t="inlineStr">
        <is>
          <t>0.0</t>
        </is>
      </c>
      <c r="BN431" t="inlineStr">
        <is>
          <t>View Company Page</t>
        </is>
      </c>
      <c r="BO431" s="4">
        <v>45934.03822916667</v>
      </c>
      <c r="BP431">
        <v>169369</v>
      </c>
      <c r="BQ431"/>
      <c r="BR431"/>
      <c r="BS431"/>
      <c r="BT431"/>
      <c r="BU431"/>
      <c r="BV431">
        <v>2734228</v>
      </c>
      <c r="BW431" t="inlineStr">
        <is>
          <t>Follow Up : Budget Concern</t>
        </is>
      </c>
      <c r="BX431"/>
      <c r="BY431"/>
      <c r="BZ431" s="4"/>
      <c r="CA431"/>
      <c r="CB431"/>
      <c r="CC431" s="4"/>
      <c r="CD431" t="inlineStr">
        <is>
          <t>20</t>
        </is>
      </c>
      <c r="CE431" t="inlineStr">
        <is>
          <t>0</t>
        </is>
      </c>
      <c r="CF431" t="inlineStr">
        <is>
          <t>Q2-W04</t>
        </is>
      </c>
      <c r="CG431"/>
      <c r="CH431"/>
      <c r="CI431"/>
      <c r="CJ431" t="inlineStr">
        <is>
          <t>No Paid</t>
        </is>
      </c>
      <c r="CK431" t="inlineStr">
        <is>
          <t>Not Eligible</t>
        </is>
      </c>
      <c r="CL431"/>
      <c r="CM431"/>
    </row>
    <row r="432" ht="25.5" customHeight="1">
      <c r="A432" t="inlineStr">
        <is>
          <t>4329456</t>
        </is>
      </c>
      <c r="B432" s="2"/>
      <c r="C432"/>
      <c r="D432" s="3">
        <v>46140.76592592592</v>
      </c>
      <c r="E432" t="inlineStr">
        <is>
          <t>Q2-W04</t>
        </is>
      </c>
      <c r="F432" t="inlineStr">
        <is>
          <t>Dickson</t>
        </is>
      </c>
      <c r="G432" t="inlineStr">
        <is>
          <t>Lead</t>
        </is>
      </c>
      <c r="H432" s="2" t="str">
        <f>=HYPERLINK("https://upbox.ajobthing.my/leads/4329456", "https://upbox.ajobthing.my/leads/4329456")</f>
        <v>https://upbox.ajobthing.my/leads/4329456</v>
      </c>
      <c r="I432" t="inlineStr">
        <is>
          <t>Linayz enterprise</t>
        </is>
      </c>
      <c r="J432" t="inlineStr">
        <is>
          <t>Small Fish</t>
        </is>
      </c>
      <c r="K432" t="inlineStr">
        <is>
          <t>Dickson</t>
        </is>
      </c>
      <c r="L432" s="4"/>
      <c r="M432" s="4">
        <v>46140.766226851854</v>
      </c>
      <c r="N432"/>
      <c r="O432">
        <v>3888</v>
      </c>
      <c r="P432" s="4"/>
      <c r="Q432" s="4"/>
      <c r="R432"/>
      <c r="S432"/>
      <c r="T432" s="4"/>
      <c r="U432" s="4"/>
      <c r="V432"/>
      <c r="W432"/>
      <c r="X432"/>
      <c r="Y432" t="inlineStr">
        <is>
          <t>Pending Appointment</t>
        </is>
      </c>
      <c r="Z432" t="inlineStr">
        <is>
          <t>Hiring Now</t>
        </is>
      </c>
      <c r="AA432">
        <v>1</v>
      </c>
      <c r="AB432" t="inlineStr">
        <is>
          <t>No Appointment Made</t>
        </is>
      </c>
      <c r="AC432"/>
      <c r="AD432" t="inlineStr">
        <is>
          <t>1 retail worker</t>
        </is>
      </c>
      <c r="AE432"/>
      <c r="AF432"/>
      <c r="AG432" s="4"/>
      <c r="AH432" s="4"/>
      <c r="AI432"/>
      <c r="AJ432">
        <v>1</v>
      </c>
      <c r="AK432" t="inlineStr">
        <is>
          <t>No, I don't need at all</t>
        </is>
      </c>
      <c r="AL432"/>
      <c r="AM432" t="inlineStr">
        <is>
          <t>No, I don't need at all</t>
        </is>
      </c>
      <c r="AN432"/>
      <c r="AO432" t="inlineStr">
        <is>
          <t>No, I don't need at all</t>
        </is>
      </c>
      <c r="AP432" t="inlineStr">
        <is>
          <t>Once per quarter (75%)</t>
        </is>
      </c>
      <c r="AQ432"/>
      <c r="AR432"/>
      <c r="AS432" t="inlineStr">
        <is>
          <t>- Headcount: 1
- Hiring Job Details: 1 retail worker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432">
        <v>95</v>
      </c>
      <c r="AU432" t="inlineStr">
        <is>
          <t>0.95</t>
        </is>
      </c>
      <c r="AV432" t="inlineStr">
        <is>
          <t>5</t>
        </is>
      </c>
      <c r="AW432" t="inlineStr">
        <is>
          <t>0</t>
        </is>
      </c>
      <c r="AX432" t="inlineStr">
        <is>
          <t>Not Qualified</t>
        </is>
      </c>
      <c r="AY432" s="4"/>
      <c r="AZ432"/>
      <c r="BA432"/>
      <c r="BB432"/>
      <c r="BC432"/>
      <c r="BD432" s="4"/>
      <c r="BE432"/>
      <c r="BF432"/>
      <c r="BG432" t="inlineStr">
        <is>
          <t>Reschedule</t>
        </is>
      </c>
      <c r="BH432" t="inlineStr">
        <is>
          <t>Edward Hoo</t>
        </is>
      </c>
      <c r="BI432"/>
      <c r="BJ432" s="4">
        <v>46144.755949074075</v>
      </c>
      <c r="BK432" s="4">
        <v>46140.7544212963</v>
      </c>
      <c r="BL432" t="inlineStr">
        <is>
          <t>0.0</t>
        </is>
      </c>
      <c r="BM432" t="inlineStr">
        <is>
          <t>0.0</t>
        </is>
      </c>
      <c r="BN432"/>
      <c r="BO432" s="4"/>
      <c r="BP432">
        <v>169377</v>
      </c>
      <c r="BQ432"/>
      <c r="BR432"/>
      <c r="BS432"/>
      <c r="BT432"/>
      <c r="BU432"/>
      <c r="BV432"/>
      <c r="BW432"/>
      <c r="BX432"/>
      <c r="BY432"/>
      <c r="BZ432" s="4"/>
      <c r="CA432"/>
      <c r="CB432"/>
      <c r="CC432" s="4"/>
      <c r="CD432" t="inlineStr">
        <is>
          <t>5</t>
        </is>
      </c>
      <c r="CE432" t="inlineStr">
        <is>
          <t>0</t>
        </is>
      </c>
      <c r="CF432" t="inlineStr">
        <is>
          <t>Q2-W04</t>
        </is>
      </c>
      <c r="CG432"/>
      <c r="CH432"/>
      <c r="CI432"/>
      <c r="CJ432" t="inlineStr">
        <is>
          <t>No Paid</t>
        </is>
      </c>
      <c r="CK432" t="inlineStr">
        <is>
          <t>Not Eligible</t>
        </is>
      </c>
      <c r="CL432"/>
      <c r="CM432"/>
    </row>
    <row r="433" ht="25.5" customHeight="1">
      <c r="A433" t="inlineStr">
        <is>
          <t>194284</t>
        </is>
      </c>
      <c r="B433" s="2"/>
      <c r="C433"/>
      <c r="D433" s="3">
        <v>46140.77695601852</v>
      </c>
      <c r="E433" t="inlineStr">
        <is>
          <t>Q2-W04</t>
        </is>
      </c>
      <c r="F433" t="inlineStr">
        <is>
          <t>Chia Yee</t>
        </is>
      </c>
      <c r="G433" t="inlineStr">
        <is>
          <t>Customer</t>
        </is>
      </c>
      <c r="H433" s="2" t="str">
        <f>=HYPERLINK("https://upbox.ajobthing.my/customer/194284", "https://upbox.ajobthing.my/customer/194284")</f>
        <v>https://upbox.ajobthing.my/customer/194284</v>
      </c>
      <c r="I433" t="inlineStr">
        <is>
          <t>Gosportz Sdn Bhd</t>
        </is>
      </c>
      <c r="J433" t="inlineStr">
        <is>
          <t>Small Fish</t>
        </is>
      </c>
      <c r="K433" t="inlineStr">
        <is>
          <t>Chia Yee</t>
        </is>
      </c>
      <c r="L433" s="4"/>
      <c r="M433" s="4">
        <v>46140.77707175926</v>
      </c>
      <c r="N433"/>
      <c r="O433">
        <v>4968</v>
      </c>
      <c r="P433" s="4"/>
      <c r="Q433" s="4">
        <v>45867.683703703704</v>
      </c>
      <c r="R433"/>
      <c r="S433">
        <v>864</v>
      </c>
      <c r="T433" s="4">
        <v>45867.683703703704</v>
      </c>
      <c r="U433" s="4"/>
      <c r="V433"/>
      <c r="W433">
        <v>864</v>
      </c>
      <c r="X433"/>
      <c r="Y433" t="inlineStr">
        <is>
          <t>Pending Appointment</t>
        </is>
      </c>
      <c r="Z433" t="inlineStr">
        <is>
          <t>Hiring Later</t>
        </is>
      </c>
      <c r="AA433">
        <v>0</v>
      </c>
      <c r="AB433" t="inlineStr">
        <is>
          <t>No Appointment Made</t>
        </is>
      </c>
      <c r="AC433"/>
      <c r="AD433" t="inlineStr">
        <is>
          <t>-</t>
        </is>
      </c>
      <c r="AE433"/>
      <c r="AF433">
        <v>0</v>
      </c>
      <c r="AG433" s="4"/>
      <c r="AH433" s="4"/>
      <c r="AI433">
        <v>0</v>
      </c>
      <c r="AJ433">
        <v>1</v>
      </c>
      <c r="AK433" t="inlineStr">
        <is>
          <t>No, I don't need at all</t>
        </is>
      </c>
      <c r="AL433">
        <v>1</v>
      </c>
      <c r="AM433" t="inlineStr">
        <is>
          <t>No, I don't need at all</t>
        </is>
      </c>
      <c r="AN433"/>
      <c r="AO433" t="inlineStr">
        <is>
          <t>Yes, I have</t>
        </is>
      </c>
      <c r="AP433" t="inlineStr">
        <is>
          <t>Once a year (25%)</t>
        </is>
      </c>
      <c r="AQ433">
        <v>0</v>
      </c>
      <c r="AR433" t="inlineStr">
        <is>
          <t>Did not use any job portal</t>
        </is>
      </c>
      <c r="AS433" t="inlineStr">
        <is>
          <t>- Headcount: 0
- Hiring Job Details: -
- Hiring Urgency: Hiring Later
- Number of outlets: 1
- Have recruiter team: No, I don't need at all
- Number of recruiter in company: 1
- Have ATS system: No, I don't need at all
- Have career website: Yes
- Current hiring budget: RM0
- Whole year budget: RM0.00
- Whole year number of vacancies: 0
- Hiring frequency: Once a year (25%)
- External job portal: Did not use any job portal</t>
        </is>
      </c>
      <c r="AT433">
        <v>75</v>
      </c>
      <c r="AU433" t="inlineStr">
        <is>
          <t>0.75</t>
        </is>
      </c>
      <c r="AV433" t="inlineStr">
        <is>
          <t>15</t>
        </is>
      </c>
      <c r="AW433" t="inlineStr">
        <is>
          <t>0</t>
        </is>
      </c>
      <c r="AX433" t="inlineStr">
        <is>
          <t>Not Qualified</t>
        </is>
      </c>
      <c r="AY433" s="4"/>
      <c r="AZ433"/>
      <c r="BA433"/>
      <c r="BB433"/>
      <c r="BC433" t="inlineStr">
        <is>
          <t>-</t>
        </is>
      </c>
      <c r="BD433" s="4">
        <v>46142.39219907407</v>
      </c>
      <c r="BE433" t="inlineStr">
        <is>
          <t>paid</t>
        </is>
      </c>
      <c r="BF433"/>
      <c r="BG433" t="inlineStr">
        <is>
          <t>Reschedule</t>
        </is>
      </c>
      <c r="BH433" t="inlineStr">
        <is>
          <t>Reagen</t>
        </is>
      </c>
      <c r="BI433"/>
      <c r="BJ433" s="4">
        <v>46144.75269675926</v>
      </c>
      <c r="BK433" s="4">
        <v>45866.4915625</v>
      </c>
      <c r="BL433" t="inlineStr">
        <is>
          <t>864.0</t>
        </is>
      </c>
      <c r="BM433" t="inlineStr">
        <is>
          <t>0.0</t>
        </is>
      </c>
      <c r="BN433" t="inlineStr">
        <is>
          <t>View Jobmanager Page</t>
        </is>
      </c>
      <c r="BO433" s="4">
        <v>45895.74732638889</v>
      </c>
      <c r="BP433">
        <v>169379</v>
      </c>
      <c r="BQ433">
        <v>81131</v>
      </c>
      <c r="BR433" t="inlineStr">
        <is>
          <t>Online</t>
        </is>
      </c>
      <c r="BS433"/>
      <c r="BT433">
        <v>81131</v>
      </c>
      <c r="BU433"/>
      <c r="BV433">
        <v>2736463</v>
      </c>
      <c r="BW433" t="inlineStr">
        <is>
          <t>No Answer : Voicemail - WA sent to customer</t>
        </is>
      </c>
      <c r="BX433"/>
      <c r="BY433"/>
      <c r="BZ433" s="4"/>
      <c r="CA433"/>
      <c r="CB433"/>
      <c r="CC433" s="4"/>
      <c r="CD433" t="inlineStr">
        <is>
          <t>20</t>
        </is>
      </c>
      <c r="CE433" t="inlineStr">
        <is>
          <t>0</t>
        </is>
      </c>
      <c r="CF433" t="inlineStr">
        <is>
          <t>Q2-W04</t>
        </is>
      </c>
      <c r="CG433"/>
      <c r="CH433"/>
      <c r="CI433"/>
      <c r="CJ433" t="inlineStr">
        <is>
          <t>Paid</t>
        </is>
      </c>
      <c r="CK433" t="inlineStr">
        <is>
          <t>Not Eligible</t>
        </is>
      </c>
      <c r="CL433"/>
      <c r="CM433"/>
    </row>
    <row r="434" ht="25.5" customHeight="1">
      <c r="A434" t="inlineStr">
        <is>
          <t>193161</t>
        </is>
      </c>
      <c r="B434" s="2"/>
      <c r="C434"/>
      <c r="D434" s="3">
        <v>46140.79821759259</v>
      </c>
      <c r="E434" t="inlineStr">
        <is>
          <t>Q2-W04</t>
        </is>
      </c>
      <c r="F434" t="inlineStr">
        <is>
          <t>Chia Yee</t>
        </is>
      </c>
      <c r="G434" t="inlineStr">
        <is>
          <t>Customer</t>
        </is>
      </c>
      <c r="H434" s="2" t="str">
        <f>=HYPERLINK("https://upbox.ajobthing.my/customer/193161", "https://upbox.ajobthing.my/customer/193161")</f>
        <v>https://upbox.ajobthing.my/customer/193161</v>
      </c>
      <c r="I434" t="inlineStr">
        <is>
          <t>Cloutcanvas Communications</t>
        </is>
      </c>
      <c r="J434" t="inlineStr">
        <is>
          <t>Small Fish</t>
        </is>
      </c>
      <c r="K434" t="inlineStr">
        <is>
          <t>Chia Yee</t>
        </is>
      </c>
      <c r="L434" s="4"/>
      <c r="M434" s="4">
        <v>46140.79875</v>
      </c>
      <c r="N434"/>
      <c r="O434">
        <v>5412.96</v>
      </c>
      <c r="P434" s="4"/>
      <c r="Q434" s="4"/>
      <c r="R434"/>
      <c r="S434"/>
      <c r="T434" s="4"/>
      <c r="U434" s="4"/>
      <c r="V434"/>
      <c r="W434"/>
      <c r="X434"/>
      <c r="Y434" t="inlineStr">
        <is>
          <t>Pending Appointment</t>
        </is>
      </c>
      <c r="Z434" t="inlineStr">
        <is>
          <t>Hiring Now</t>
        </is>
      </c>
      <c r="AA434">
        <v>5</v>
      </c>
      <c r="AB434" t="inlineStr">
        <is>
          <t>No Appointment Made</t>
        </is>
      </c>
      <c r="AC434"/>
      <c r="AD434" t="inlineStr">
        <is>
          <t xml:space="preserve"> store assistant, sales manager, marketing manager, social media executive , 1 admin. </t>
        </is>
      </c>
      <c r="AE434"/>
      <c r="AF434">
        <v>0</v>
      </c>
      <c r="AG434" s="4"/>
      <c r="AH434" s="4"/>
      <c r="AI434">
        <v>0</v>
      </c>
      <c r="AJ434">
        <v>1</v>
      </c>
      <c r="AK434" t="inlineStr">
        <is>
          <t>No, I don't need at all</t>
        </is>
      </c>
      <c r="AL434">
        <v>1</v>
      </c>
      <c r="AM434" t="inlineStr">
        <is>
          <t>No, I don't need at all</t>
        </is>
      </c>
      <c r="AN434"/>
      <c r="AO434" t="inlineStr">
        <is>
          <t>Yes, I have</t>
        </is>
      </c>
      <c r="AP434" t="inlineStr">
        <is>
          <t>Once a year (25%)</t>
        </is>
      </c>
      <c r="AQ434">
        <v>6</v>
      </c>
      <c r="AR434" t="inlineStr">
        <is>
          <t>Did not use any job portal</t>
        </is>
      </c>
      <c r="AS434" t="inlineStr">
        <is>
          <t>- Headcount: 5
- Hiring Job Details: store assistant, sales manager, marketing manager, social media executive, 1 admin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6
- Hiring frequency: Once a year (25%)
- External job portal: Did not use any job portal</t>
        </is>
      </c>
      <c r="AT434">
        <v>75</v>
      </c>
      <c r="AU434" t="inlineStr">
        <is>
          <t>0.75</t>
        </is>
      </c>
      <c r="AV434" t="inlineStr">
        <is>
          <t>20</t>
        </is>
      </c>
      <c r="AW434" t="inlineStr">
        <is>
          <t>0</t>
        </is>
      </c>
      <c r="AX434" t="inlineStr">
        <is>
          <t>Not Qualified</t>
        </is>
      </c>
      <c r="AY434" s="4"/>
      <c r="AZ434"/>
      <c r="BA434"/>
      <c r="BB434"/>
      <c r="BC434" t="inlineStr">
        <is>
          <t>Called Raimi, not proceed</t>
        </is>
      </c>
      <c r="BD434" s="4">
        <v>46142.428449074076</v>
      </c>
      <c r="BE434"/>
      <c r="BF434"/>
      <c r="BG434" t="inlineStr">
        <is>
          <t>Reschedule</t>
        </is>
      </c>
      <c r="BH434" t="inlineStr">
        <is>
          <t>Reagen</t>
        </is>
      </c>
      <c r="BI434" t="inlineStr">
        <is>
          <t>Advertising / Marketing</t>
        </is>
      </c>
      <c r="BJ434" s="4">
        <v>46144.75261574074</v>
      </c>
      <c r="BK434" s="4">
        <v>45837.49321759259</v>
      </c>
      <c r="BL434" t="inlineStr">
        <is>
          <t>0.0</t>
        </is>
      </c>
      <c r="BM434" t="inlineStr">
        <is>
          <t>0.0</t>
        </is>
      </c>
      <c r="BN434" t="inlineStr">
        <is>
          <t>User Login</t>
        </is>
      </c>
      <c r="BO434" s="4">
        <v>46041.5415625</v>
      </c>
      <c r="BP434">
        <v>169382</v>
      </c>
      <c r="BQ434"/>
      <c r="BR434"/>
      <c r="BS434"/>
      <c r="BT434"/>
      <c r="BU434"/>
      <c r="BV434">
        <v>2736686</v>
      </c>
      <c r="BW434" t="inlineStr">
        <is>
          <t>Follow Up : Budget Concern</t>
        </is>
      </c>
      <c r="BX434"/>
      <c r="BY434"/>
      <c r="BZ434" s="4"/>
      <c r="CA434"/>
      <c r="CB434"/>
      <c r="CC434" s="4"/>
      <c r="CD434" t="inlineStr">
        <is>
          <t>30</t>
        </is>
      </c>
      <c r="CE434" t="inlineStr">
        <is>
          <t>0</t>
        </is>
      </c>
      <c r="CF434" t="inlineStr">
        <is>
          <t>Q2-W04</t>
        </is>
      </c>
      <c r="CG434"/>
      <c r="CH434"/>
      <c r="CI434"/>
      <c r="CJ434" t="inlineStr">
        <is>
          <t>No Paid</t>
        </is>
      </c>
      <c r="CK434" t="inlineStr">
        <is>
          <t>Not Eligible</t>
        </is>
      </c>
      <c r="CL434"/>
      <c r="CM434"/>
    </row>
    <row r="435" ht="25.5" customHeight="1">
      <c r="A435" t="inlineStr">
        <is>
          <t>203761</t>
        </is>
      </c>
      <c r="B435" s="2"/>
      <c r="C435"/>
      <c r="D435" s="3">
        <v>46140.891377314816</v>
      </c>
      <c r="E435" t="inlineStr">
        <is>
          <t>Q2-W04</t>
        </is>
      </c>
      <c r="F435" t="inlineStr">
        <is>
          <t>Angel  Low</t>
        </is>
      </c>
      <c r="G435" t="inlineStr">
        <is>
          <t>Customer</t>
        </is>
      </c>
      <c r="H435" s="2" t="str">
        <f>=HYPERLINK("https://upbox.ajobthing.my/customer/203761", "https://upbox.ajobthing.my/customer/203761")</f>
        <v>https://upbox.ajobthing.my/customer/203761</v>
      </c>
      <c r="I435" t="inlineStr">
        <is>
          <t>Manulife</t>
        </is>
      </c>
      <c r="J435" t="inlineStr">
        <is>
          <t>Small Fish</t>
        </is>
      </c>
      <c r="K435" t="inlineStr">
        <is>
          <t>Angel Low</t>
        </is>
      </c>
      <c r="L435" s="4"/>
      <c r="M435" s="4">
        <v>46140.54891203704</v>
      </c>
      <c r="N435"/>
      <c r="O435">
        <v>5508</v>
      </c>
      <c r="P435" s="4"/>
      <c r="Q435" s="4">
        <v>46140.88517361111</v>
      </c>
      <c r="R435"/>
      <c r="S435">
        <v>5832</v>
      </c>
      <c r="T435" s="4"/>
      <c r="U435" s="4"/>
      <c r="V435"/>
      <c r="W435"/>
      <c r="X435"/>
      <c r="Y435" t="inlineStr">
        <is>
          <t>Pending Appointment</t>
        </is>
      </c>
      <c r="Z435"/>
      <c r="AA435">
        <v>10</v>
      </c>
      <c r="AB435" t="inlineStr">
        <is>
          <t>No Appointment Made</t>
        </is>
      </c>
      <c r="AC435"/>
      <c r="AD435" t="inlineStr">
        <is>
          <t xml:space="preserve">10 insurance agency </t>
        </is>
      </c>
      <c r="AE435"/>
      <c r="AF435"/>
      <c r="AG435" s="4"/>
      <c r="AH435" s="4"/>
      <c r="AI435"/>
      <c r="AJ435"/>
      <c r="AK435"/>
      <c r="AL435"/>
      <c r="AM435"/>
      <c r="AN435"/>
      <c r="AO435"/>
      <c r="AP435"/>
      <c r="AQ435"/>
      <c r="AR435"/>
      <c r="AS435" t="inlineStr">
        <is>
          <t>- Headcount: 10
- Hiring Job Details: 10 insurance agency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435">
        <v>20</v>
      </c>
      <c r="AU435" t="inlineStr">
        <is>
          <t>0.20</t>
        </is>
      </c>
      <c r="AV435" t="inlineStr">
        <is>
          <t>10</t>
        </is>
      </c>
      <c r="AW435" t="inlineStr">
        <is>
          <t>0</t>
        </is>
      </c>
      <c r="AX435" t="inlineStr">
        <is>
          <t>Not Qualified</t>
        </is>
      </c>
      <c r="AY435" s="4"/>
      <c r="AZ435"/>
      <c r="BA435"/>
      <c r="BB435"/>
      <c r="BC435" t="inlineStr">
        <is>
          <t>- Headcount: 10
- Hiring Job Details: 10 insurance agency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BD435" s="4">
        <v>46140.91673611111</v>
      </c>
      <c r="BE435" t="inlineStr">
        <is>
          <t>pending</t>
        </is>
      </c>
      <c r="BF435"/>
      <c r="BG435" t="inlineStr">
        <is>
          <t>Reschedule</t>
        </is>
      </c>
      <c r="BH435" t="inlineStr">
        <is>
          <t>Fauziah Maharan</t>
        </is>
      </c>
      <c r="BI435"/>
      <c r="BJ435" s="4">
        <v>46144.75438657407</v>
      </c>
      <c r="BK435" s="4">
        <v>46140.8822337963</v>
      </c>
      <c r="BL435" t="inlineStr">
        <is>
          <t>0.0</t>
        </is>
      </c>
      <c r="BM435" t="inlineStr">
        <is>
          <t>150.0</t>
        </is>
      </c>
      <c r="BN435"/>
      <c r="BO435" s="4"/>
      <c r="BP435">
        <v>169384</v>
      </c>
      <c r="BQ435">
        <v>7742</v>
      </c>
      <c r="BR435" t="inlineStr">
        <is>
          <t>Manual</t>
        </is>
      </c>
      <c r="BS435" t="inlineStr">
        <is>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*Free 1 Walk-in interview banner</t>
        </is>
      </c>
      <c r="BT435"/>
      <c r="BU435"/>
      <c r="BV435">
        <v>2734074</v>
      </c>
      <c r="BW435" t="inlineStr">
        <is>
          <t>Customer Inquiry</t>
        </is>
      </c>
      <c r="BX435"/>
      <c r="BY435"/>
      <c r="BZ435" s="4"/>
      <c r="CA435"/>
      <c r="CB435"/>
      <c r="CC435" s="4"/>
      <c r="CD435" t="inlineStr">
        <is>
          <t>15</t>
        </is>
      </c>
      <c r="CE435" t="inlineStr">
        <is>
          <t>0</t>
        </is>
      </c>
      <c r="CF435" t="inlineStr">
        <is>
          <t>Q2-W04</t>
        </is>
      </c>
      <c r="CG435" t="inlineStr">
        <is>
          <t>Q2-W04</t>
        </is>
      </c>
      <c r="CH435"/>
      <c r="CI435"/>
      <c r="CJ435" t="inlineStr">
        <is>
          <t>No Paid</t>
        </is>
      </c>
      <c r="CK435" t="inlineStr">
        <is>
          <t>Eligible</t>
        </is>
      </c>
      <c r="CL435"/>
      <c r="CM435"/>
    </row>
    <row r="436" ht="25.5" customHeight="1">
      <c r="A436" t="inlineStr">
        <is>
          <t>188278</t>
        </is>
      </c>
      <c r="B436" s="2"/>
      <c r="C436"/>
      <c r="D436" s="3">
        <v>46141.40659722222</v>
      </c>
      <c r="E436" t="inlineStr">
        <is>
          <t>Q2-W04</t>
        </is>
      </c>
      <c r="F436" t="inlineStr">
        <is>
          <t>Ken Yi</t>
        </is>
      </c>
      <c r="G436" t="inlineStr">
        <is>
          <t>Customer</t>
        </is>
      </c>
      <c r="H436" s="2" t="str">
        <f>=HYPERLINK("https://upbox.ajobthing.my/customer/188278", "https://upbox.ajobthing.my/customer/188278")</f>
        <v>https://upbox.ajobthing.my/customer/188278</v>
      </c>
      <c r="I436" t="inlineStr">
        <is>
          <t>Centro Iron Construction &amp; Engineering</t>
        </is>
      </c>
      <c r="J436" t="inlineStr">
        <is>
          <t>Small Fish</t>
        </is>
      </c>
      <c r="K436" t="inlineStr">
        <is>
          <t>Kenyi</t>
        </is>
      </c>
      <c r="L436" s="4"/>
      <c r="M436" s="4">
        <v>46141.408900462964</v>
      </c>
      <c r="N436"/>
      <c r="O436">
        <v>5412.96</v>
      </c>
      <c r="P436" s="4"/>
      <c r="Q436" s="4"/>
      <c r="R436"/>
      <c r="S436"/>
      <c r="T436" s="4"/>
      <c r="U436" s="4"/>
      <c r="V436"/>
      <c r="W436"/>
      <c r="X436"/>
      <c r="Y436" t="inlineStr">
        <is>
          <t>Pending Appointment</t>
        </is>
      </c>
      <c r="Z436" t="inlineStr">
        <is>
          <t>Hiring Now</t>
        </is>
      </c>
      <c r="AA436">
        <v>1</v>
      </c>
      <c r="AB436" t="inlineStr">
        <is>
          <t>No Appointment Made</t>
        </is>
      </c>
      <c r="AC436"/>
      <c r="AD436" t="inlineStr">
        <is>
          <t xml:space="preserve">Admin </t>
        </is>
      </c>
      <c r="AE436"/>
      <c r="AF436">
        <v>0</v>
      </c>
      <c r="AG436" s="4"/>
      <c r="AH436" s="4"/>
      <c r="AI436">
        <v>0</v>
      </c>
      <c r="AJ436">
        <v>1</v>
      </c>
      <c r="AK436" t="inlineStr">
        <is>
          <t>No, I don't need at all</t>
        </is>
      </c>
      <c r="AL436">
        <v>1</v>
      </c>
      <c r="AM436" t="inlineStr">
        <is>
          <t>No, I don't need at all</t>
        </is>
      </c>
      <c r="AN436"/>
      <c r="AO436" t="inlineStr">
        <is>
          <t>No, I don't need at all</t>
        </is>
      </c>
      <c r="AP436" t="inlineStr">
        <is>
          <t>Every month (100%)</t>
        </is>
      </c>
      <c r="AQ436">
        <v>1</v>
      </c>
      <c r="AR436" t="inlineStr">
        <is>
          <t>Did not use any job portal</t>
        </is>
      </c>
      <c r="AS436" t="inlineStr">
        <is>
          <t>- Headcount: 1
- Hiring Job Details: 1 Admin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436">
        <v>105</v>
      </c>
      <c r="AU436" t="inlineStr">
        <is>
          <t>1.05</t>
        </is>
      </c>
      <c r="AV436" t="inlineStr">
        <is>
          <t>15</t>
        </is>
      </c>
      <c r="AW436" t="inlineStr">
        <is>
          <t>0</t>
        </is>
      </c>
      <c r="AX436" t="inlineStr">
        <is>
          <t>Not Qualified</t>
        </is>
      </c>
      <c r="AY436" s="4"/>
      <c r="AZ436"/>
      <c r="BA436"/>
      <c r="BB436"/>
      <c r="BC436" t="inlineStr">
        <is>
          <t>help to follow up with the client about the promotion</t>
        </is>
      </c>
      <c r="BD436" s="4">
        <v>46142.463796296295</v>
      </c>
      <c r="BE436"/>
      <c r="BF436"/>
      <c r="BG436" t="inlineStr">
        <is>
          <t>Reschedule</t>
        </is>
      </c>
      <c r="BH436" t="inlineStr">
        <is>
          <t>Fauziah Maharan</t>
        </is>
      </c>
      <c r="BI436" t="inlineStr">
        <is>
          <t>Construction / Building</t>
        </is>
      </c>
      <c r="BJ436" s="4">
        <v>46144.752222222225</v>
      </c>
      <c r="BK436" s="4">
        <v>45716.42644675926</v>
      </c>
      <c r="BL436" t="inlineStr">
        <is>
          <t>0.0</t>
        </is>
      </c>
      <c r="BM436" t="inlineStr">
        <is>
          <t>0.0</t>
        </is>
      </c>
      <c r="BN436" t="inlineStr">
        <is>
          <t>View Company Page</t>
        </is>
      </c>
      <c r="BO436" s="4">
        <v>46142.37469907408</v>
      </c>
      <c r="BP436">
        <v>169395</v>
      </c>
      <c r="BQ436"/>
      <c r="BR436"/>
      <c r="BS436"/>
      <c r="BT436"/>
      <c r="BU436"/>
      <c r="BV436">
        <v>2737012</v>
      </c>
      <c r="BW436" t="inlineStr">
        <is>
          <t>Follow Up : Decision Pending</t>
        </is>
      </c>
      <c r="BX436"/>
      <c r="BY436"/>
      <c r="BZ436" s="4"/>
      <c r="CA436"/>
      <c r="CB436"/>
      <c r="CC436" s="4"/>
      <c r="CD436" t="inlineStr">
        <is>
          <t>20</t>
        </is>
      </c>
      <c r="CE436" t="inlineStr">
        <is>
          <t>0</t>
        </is>
      </c>
      <c r="CF436" t="inlineStr">
        <is>
          <t>Q2-W04</t>
        </is>
      </c>
      <c r="CG436"/>
      <c r="CH436"/>
      <c r="CI436"/>
      <c r="CJ436" t="inlineStr">
        <is>
          <t>No Paid</t>
        </is>
      </c>
      <c r="CK436" t="inlineStr">
        <is>
          <t>Not Eligible</t>
        </is>
      </c>
      <c r="CL436"/>
      <c r="CM436"/>
    </row>
    <row r="437" ht="25.5" customHeight="1">
      <c r="A437" t="inlineStr">
        <is>
          <t>203771</t>
        </is>
      </c>
      <c r="B437" s="2"/>
      <c r="C437"/>
      <c r="D437" s="3">
        <v>46141.41914351852</v>
      </c>
      <c r="E437" t="inlineStr">
        <is>
          <t>Q2-W04</t>
        </is>
      </c>
      <c r="F437" t="inlineStr">
        <is>
          <t>Xin Quan</t>
        </is>
      </c>
      <c r="G437" t="inlineStr">
        <is>
          <t>Customer</t>
        </is>
      </c>
      <c r="H437" s="2" t="str">
        <f>=HYPERLINK("https://upbox.ajobthing.my/customer/203771", "https://upbox.ajobthing.my/customer/203771")</f>
        <v>https://upbox.ajobthing.my/customer/203771</v>
      </c>
      <c r="I437" t="inlineStr">
        <is>
          <t>BDARLIFE</t>
        </is>
      </c>
      <c r="J437" t="inlineStr">
        <is>
          <t>Small Fish</t>
        </is>
      </c>
      <c r="K437" t="inlineStr">
        <is>
          <t>Xin Quan</t>
        </is>
      </c>
      <c r="L437" s="4"/>
      <c r="M437" s="4">
        <v>46141.41924768518</v>
      </c>
      <c r="N437"/>
      <c r="O437">
        <v>3888</v>
      </c>
      <c r="P437" s="4"/>
      <c r="Q437" s="4"/>
      <c r="R437"/>
      <c r="S437"/>
      <c r="T437" s="4"/>
      <c r="U437" s="4"/>
      <c r="V437"/>
      <c r="W437"/>
      <c r="X437"/>
      <c r="Y437" t="inlineStr">
        <is>
          <t>Pending Appointment</t>
        </is>
      </c>
      <c r="Z437" t="inlineStr">
        <is>
          <t>Hiring Now</t>
        </is>
      </c>
      <c r="AA437">
        <v>5</v>
      </c>
      <c r="AB437" t="inlineStr">
        <is>
          <t>No Appointment Made</t>
        </is>
      </c>
      <c r="AC437"/>
      <c r="AD437" t="inlineStr">
        <is>
          <t>5 Live Host , Base in KL</t>
        </is>
      </c>
      <c r="AE437"/>
      <c r="AF437">
        <v>10000</v>
      </c>
      <c r="AG437" s="4"/>
      <c r="AH437" s="4"/>
      <c r="AI437">
        <v>120000</v>
      </c>
      <c r="AJ437">
        <v>1</v>
      </c>
      <c r="AK437" t="inlineStr">
        <is>
          <t>No, I don't need at all</t>
        </is>
      </c>
      <c r="AL437">
        <v>1</v>
      </c>
      <c r="AM437" t="inlineStr">
        <is>
          <t>No, I don't need at all</t>
        </is>
      </c>
      <c r="AN437"/>
      <c r="AO437" t="inlineStr">
        <is>
          <t>No, I don't need at all</t>
        </is>
      </c>
      <c r="AP437" t="inlineStr">
        <is>
          <t>Once a year (25%)</t>
        </is>
      </c>
      <c r="AQ437">
        <v>6</v>
      </c>
      <c r="AR437"/>
      <c r="AS437" t="inlineStr">
        <is>
          <t>- Headcount: 5
- Hiring Job Details: 5 Live Host, Base in KL
- Hiring Urgency: Hiring Now
- Number of outlets: 1
- Have recruiter team: No, I don't need at all
- Number of recruiter in company: 1
- Have ATS system: No, I don't need at all
- Have career website: No, I don't need at all
- Current hiring budget: RM10,000
- Whole year budget: RM120,000.00
- Whole year number of vacancies: 6
- Hiring frequency: Once a year (25%)
- External job portal: None</t>
        </is>
      </c>
      <c r="AT437">
        <v>115</v>
      </c>
      <c r="AU437" t="inlineStr">
        <is>
          <t>1.15</t>
        </is>
      </c>
      <c r="AV437" t="inlineStr">
        <is>
          <t>20</t>
        </is>
      </c>
      <c r="AW437" t="inlineStr">
        <is>
          <t>0</t>
        </is>
      </c>
      <c r="AX437" t="inlineStr">
        <is>
          <t>Not Qualified</t>
        </is>
      </c>
      <c r="AY437" s="4"/>
      <c r="AZ437"/>
      <c r="BA437"/>
      <c r="BB437"/>
      <c r="BC437" t="inlineStr">
        <is>
          <t>- Headcount: 5
- Hiring Job Details: 5 Live Host, Base in KL
- Hiring Urgency: Hiring Now
- Number of outlets: 1
- Have recruiter team: No, I don't need at all
- Number of recruiter in company: 1
- Have ATS system: No, I don't need at all
- Have career website: No, I don't need at all
- Current hiring budget: RM10,000
- Whole year budget: RM120,000.00
- Whole year number of vacancies: 6
- Hiring frequency: Once a year (25%)
- External job portal: None</t>
        </is>
      </c>
      <c r="BD437" s="4">
        <v>46141.45837962963</v>
      </c>
      <c r="BE437"/>
      <c r="BF437"/>
      <c r="BG437" t="inlineStr">
        <is>
          <t>Reschedule</t>
        </is>
      </c>
      <c r="BH437" t="inlineStr">
        <is>
          <t>Edward Hoo</t>
        </is>
      </c>
      <c r="BI437"/>
      <c r="BJ437" s="4">
        <v>46144.75438657407</v>
      </c>
      <c r="BK437" s="4">
        <v>46141.41719907407</v>
      </c>
      <c r="BL437" t="inlineStr">
        <is>
          <t>0.0</t>
        </is>
      </c>
      <c r="BM437" t="inlineStr">
        <is>
          <t>0.0</t>
        </is>
      </c>
      <c r="BN437"/>
      <c r="BO437" s="4"/>
      <c r="BP437">
        <v>169404</v>
      </c>
      <c r="BQ437"/>
      <c r="BR437"/>
      <c r="BS437"/>
      <c r="BT437"/>
      <c r="BU437"/>
      <c r="BV437">
        <v>2734563</v>
      </c>
      <c r="BW437" t="inlineStr">
        <is>
          <t>Customer Inquiry</t>
        </is>
      </c>
      <c r="BX437"/>
      <c r="BY437"/>
      <c r="BZ437" s="4"/>
      <c r="CA437"/>
      <c r="CB437"/>
      <c r="CC437" s="4"/>
      <c r="CD437" t="inlineStr">
        <is>
          <t>30</t>
        </is>
      </c>
      <c r="CE437" t="inlineStr">
        <is>
          <t>0</t>
        </is>
      </c>
      <c r="CF437" t="inlineStr">
        <is>
          <t>Q2-W04</t>
        </is>
      </c>
      <c r="CG437"/>
      <c r="CH437"/>
      <c r="CI437"/>
      <c r="CJ437" t="inlineStr">
        <is>
          <t>No Paid</t>
        </is>
      </c>
      <c r="CK437" t="inlineStr">
        <is>
          <t>Not Eligible</t>
        </is>
      </c>
      <c r="CL437"/>
      <c r="CM437"/>
    </row>
    <row r="438" ht="25.5" customHeight="1">
      <c r="A438" t="inlineStr">
        <is>
          <t>116225</t>
        </is>
      </c>
      <c r="B438" s="2"/>
      <c r="C438"/>
      <c r="D438" s="3">
        <v>46141.42420138889</v>
      </c>
      <c r="E438" t="inlineStr">
        <is>
          <t>Q2-W04</t>
        </is>
      </c>
      <c r="F438" t="inlineStr">
        <is>
          <t>Lucas</t>
        </is>
      </c>
      <c r="G438" t="inlineStr">
        <is>
          <t>Customer</t>
        </is>
      </c>
      <c r="H438" s="2" t="str">
        <f>=HYPERLINK("https://upbox.ajobthing.my/customer/116225", "https://upbox.ajobthing.my/customer/116225")</f>
        <v>https://upbox.ajobthing.my/customer/116225</v>
      </c>
      <c r="I438" t="inlineStr">
        <is>
          <t>Hoe &amp; Moira</t>
        </is>
      </c>
      <c r="J438" t="inlineStr">
        <is>
          <t>Small Fish</t>
        </is>
      </c>
      <c r="K438" t="inlineStr">
        <is>
          <t>Lucas</t>
        </is>
      </c>
      <c r="L438" s="4"/>
      <c r="M438" s="4">
        <v>46141.42340277778</v>
      </c>
      <c r="N438"/>
      <c r="O438">
        <v>3576.96</v>
      </c>
      <c r="P438" s="4"/>
      <c r="Q438" s="4"/>
      <c r="R438"/>
      <c r="S438"/>
      <c r="T438" s="4"/>
      <c r="U438" s="4"/>
      <c r="V438"/>
      <c r="W438"/>
      <c r="X438"/>
      <c r="Y438" t="inlineStr">
        <is>
          <t>Pending Appointment</t>
        </is>
      </c>
      <c r="Z438" t="inlineStr">
        <is>
          <t>Hiring Now</t>
        </is>
      </c>
      <c r="AA438">
        <v>1</v>
      </c>
      <c r="AB438" t="inlineStr">
        <is>
          <t>No Appointment Made</t>
        </is>
      </c>
      <c r="AC438"/>
      <c r="AD438" t="inlineStr">
        <is>
          <t xml:space="preserve">1 admin cum account </t>
        </is>
      </c>
      <c r="AE438"/>
      <c r="AF438">
        <v>0</v>
      </c>
      <c r="AG438" s="4"/>
      <c r="AH438" s="4"/>
      <c r="AI438">
        <v>0</v>
      </c>
      <c r="AJ438">
        <v>0</v>
      </c>
      <c r="AK438" t="inlineStr">
        <is>
          <t>No, I don't need at all</t>
        </is>
      </c>
      <c r="AL438">
        <v>0</v>
      </c>
      <c r="AM438" t="inlineStr">
        <is>
          <t>No, I don't need at all</t>
        </is>
      </c>
      <c r="AN438"/>
      <c r="AO438" t="inlineStr">
        <is>
          <t>No, I don't need at all</t>
        </is>
      </c>
      <c r="AP438" t="inlineStr">
        <is>
          <t>Once a year (25%)</t>
        </is>
      </c>
      <c r="AQ438">
        <v>1</v>
      </c>
      <c r="AR438" t="inlineStr">
        <is>
          <t>Did not use any job portal</t>
        </is>
      </c>
      <c r="AS438" t="inlineStr">
        <is>
          <t>- Headcount: 1
- Hiring Job Details: 1 admin cum account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438">
        <v>105</v>
      </c>
      <c r="AU438" t="inlineStr">
        <is>
          <t>1.05</t>
        </is>
      </c>
      <c r="AV438" t="inlineStr">
        <is>
          <t>15</t>
        </is>
      </c>
      <c r="AW438" t="inlineStr">
        <is>
          <t>0</t>
        </is>
      </c>
      <c r="AX438" t="inlineStr">
        <is>
          <t>Not Qualified</t>
        </is>
      </c>
      <c r="AY438" s="4"/>
      <c r="AZ438"/>
      <c r="BA438"/>
      <c r="BB438"/>
      <c r="BC438" t="inlineStr">
        <is>
          <t>- Headcount: 1
- Hiring Job Details: 1 admin cum account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438" s="4">
        <v>46141.45837962963</v>
      </c>
      <c r="BE438"/>
      <c r="BF438"/>
      <c r="BG438" t="inlineStr">
        <is>
          <t>Reschedule</t>
        </is>
      </c>
      <c r="BH438" t="inlineStr">
        <is>
          <t>Yee Hang</t>
        </is>
      </c>
      <c r="BI438"/>
      <c r="BJ438" s="4">
        <v>46144.75016203704</v>
      </c>
      <c r="BK438" s="4">
        <v>43522.42077546296</v>
      </c>
      <c r="BL438" t="inlineStr">
        <is>
          <t>0.0</t>
        </is>
      </c>
      <c r="BM438" t="inlineStr">
        <is>
          <t>0.0</t>
        </is>
      </c>
      <c r="BN438" t="inlineStr">
        <is>
          <t>View Company Page</t>
        </is>
      </c>
      <c r="BO438" s="4">
        <v>43522.42082175926</v>
      </c>
      <c r="BP438">
        <v>169406</v>
      </c>
      <c r="BQ438"/>
      <c r="BR438"/>
      <c r="BS438"/>
      <c r="BT438"/>
      <c r="BU438"/>
      <c r="BV438">
        <v>2734566</v>
      </c>
      <c r="BW438" t="inlineStr">
        <is>
          <t>Customer Inquiry</t>
        </is>
      </c>
      <c r="BX438"/>
      <c r="BY438"/>
      <c r="BZ438" s="4"/>
      <c r="CA438"/>
      <c r="CB438"/>
      <c r="CC438" s="4"/>
      <c r="CD438" t="inlineStr">
        <is>
          <t>20</t>
        </is>
      </c>
      <c r="CE438" t="inlineStr">
        <is>
          <t>0</t>
        </is>
      </c>
      <c r="CF438" t="inlineStr">
        <is>
          <t>Q2-W04</t>
        </is>
      </c>
      <c r="CG438"/>
      <c r="CH438"/>
      <c r="CI438"/>
      <c r="CJ438" t="inlineStr">
        <is>
          <t>No Paid</t>
        </is>
      </c>
      <c r="CK438" t="inlineStr">
        <is>
          <t>Not Eligible</t>
        </is>
      </c>
      <c r="CL438"/>
      <c r="CM438"/>
    </row>
    <row r="439" ht="25.5" customHeight="1">
      <c r="A439" t="inlineStr">
        <is>
          <t>190684</t>
        </is>
      </c>
      <c r="B439" s="2"/>
      <c r="C439"/>
      <c r="D439" s="3">
        <v>46141.42778935185</v>
      </c>
      <c r="E439" t="inlineStr">
        <is>
          <t>Q2-W04</t>
        </is>
      </c>
      <c r="F439" t="inlineStr">
        <is>
          <t>Keegan</t>
        </is>
      </c>
      <c r="G439" t="inlineStr">
        <is>
          <t>Customer</t>
        </is>
      </c>
      <c r="H439" s="2" t="str">
        <f>=HYPERLINK("https://upbox.ajobthing.my/customer/190684", "https://upbox.ajobthing.my/customer/190684")</f>
        <v>https://upbox.ajobthing.my/customer/190684</v>
      </c>
      <c r="I439" t="inlineStr">
        <is>
          <t>Gabode Sdn Bhd</t>
        </is>
      </c>
      <c r="J439" t="inlineStr">
        <is>
          <t>Small Fish</t>
        </is>
      </c>
      <c r="K439" t="inlineStr">
        <is>
          <t>Keegan</t>
        </is>
      </c>
      <c r="L439" s="4"/>
      <c r="M439" s="4">
        <v>46141.49215277778</v>
      </c>
      <c r="N439"/>
      <c r="O439">
        <v>3576.96</v>
      </c>
      <c r="P439" s="4"/>
      <c r="Q439" s="4">
        <v>46140.75116898148</v>
      </c>
      <c r="R439"/>
      <c r="S439">
        <v>0</v>
      </c>
      <c r="T439" s="4"/>
      <c r="U439" s="4"/>
      <c r="V439"/>
      <c r="W439"/>
      <c r="X439"/>
      <c r="Y439" t="inlineStr">
        <is>
          <t>Pending Appointment</t>
        </is>
      </c>
      <c r="Z439" t="inlineStr">
        <is>
          <t>Hiring Now</t>
        </is>
      </c>
      <c r="AA439">
        <v>3</v>
      </c>
      <c r="AB439" t="inlineStr">
        <is>
          <t>No Appointment Made</t>
        </is>
      </c>
      <c r="AC439"/>
      <c r="AD439" t="inlineStr">
        <is>
          <t xml:space="preserve">1. Sales Designer
2. Manager 
3. Admin </t>
        </is>
      </c>
      <c r="AE439"/>
      <c r="AF439"/>
      <c r="AG439" s="4"/>
      <c r="AH439" s="4"/>
      <c r="AI439"/>
      <c r="AJ439">
        <v>1</v>
      </c>
      <c r="AK439" t="inlineStr">
        <is>
          <t>No, I don't need at all</t>
        </is>
      </c>
      <c r="AL439">
        <v>0</v>
      </c>
      <c r="AM439" t="inlineStr">
        <is>
          <t>No, I don't need at all</t>
        </is>
      </c>
      <c r="AN439"/>
      <c r="AO439" t="inlineStr">
        <is>
          <t>No, I don't need at all</t>
        </is>
      </c>
      <c r="AP439" t="inlineStr">
        <is>
          <t>Once per quarter (75%)</t>
        </is>
      </c>
      <c r="AQ439"/>
      <c r="AR439" t="inlineStr">
        <is>
          <t>Did not use any job portal</t>
        </is>
      </c>
      <c r="AS439" t="inlineStr">
        <is>
          <t>- Headcount: 3
- Hiring Job Details: 1. Sales Designer 2. Manager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39">
        <v>75</v>
      </c>
      <c r="AU439" t="inlineStr">
        <is>
          <t>0.75</t>
        </is>
      </c>
      <c r="AV439" t="inlineStr">
        <is>
          <t>5</t>
        </is>
      </c>
      <c r="AW439" t="inlineStr">
        <is>
          <t>0</t>
        </is>
      </c>
      <c r="AX439" t="inlineStr">
        <is>
          <t>Not Qualified</t>
        </is>
      </c>
      <c r="AY439" s="4"/>
      <c r="AZ439"/>
      <c r="BA439"/>
      <c r="BB439"/>
      <c r="BC439" t="inlineStr">
        <is>
          <t>- Headcount: 3
- Hiring Job Details: 1. Sales Designer 2. Manager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439" s="4">
        <v>46141.45837962963</v>
      </c>
      <c r="BE439" t="inlineStr">
        <is>
          <t>paid</t>
        </is>
      </c>
      <c r="BF439"/>
      <c r="BG439" t="inlineStr">
        <is>
          <t>Reschedule</t>
        </is>
      </c>
      <c r="BH439" t="inlineStr">
        <is>
          <t>Edward Hoo</t>
        </is>
      </c>
      <c r="BI439"/>
      <c r="BJ439" s="4">
        <v>46144.75237268519</v>
      </c>
      <c r="BK439" s="4">
        <v>45776.69501157408</v>
      </c>
      <c r="BL439" t="inlineStr">
        <is>
          <t>0.0</t>
        </is>
      </c>
      <c r="BM439" t="inlineStr">
        <is>
          <t>0.0</t>
        </is>
      </c>
      <c r="BN439" t="inlineStr">
        <is>
          <t>View Account User</t>
        </is>
      </c>
      <c r="BO439" s="4">
        <v>46141.42695601852</v>
      </c>
      <c r="BP439">
        <v>169457</v>
      </c>
      <c r="BQ439">
        <v>123961</v>
      </c>
      <c r="BR439" t="inlineStr">
        <is>
          <t>Proforma</t>
        </is>
      </c>
      <c r="BS439" t="inlineStr">
        <is>
          <t>Free Part-Time Job</t>
        </is>
      </c>
      <c r="BT439"/>
      <c r="BU439"/>
      <c r="BV439">
        <v>2734568</v>
      </c>
      <c r="BW439" t="inlineStr">
        <is>
          <t>Customer Inquiry</t>
        </is>
      </c>
      <c r="BX439">
        <v>2</v>
      </c>
      <c r="BY439">
        <v>2</v>
      </c>
      <c r="BZ439" s="4"/>
      <c r="CA439"/>
      <c r="CB439"/>
      <c r="CC439" s="4"/>
      <c r="CD439" t="inlineStr">
        <is>
          <t>5</t>
        </is>
      </c>
      <c r="CE439" t="inlineStr">
        <is>
          <t>0</t>
        </is>
      </c>
      <c r="CF439" t="inlineStr">
        <is>
          <t>Q2-W04</t>
        </is>
      </c>
      <c r="CG439" t="inlineStr">
        <is>
          <t>Q2-W04</t>
        </is>
      </c>
      <c r="CH439"/>
      <c r="CI439"/>
      <c r="CJ439" t="inlineStr">
        <is>
          <t>No Paid</t>
        </is>
      </c>
      <c r="CK439" t="inlineStr">
        <is>
          <t>Not Eligible</t>
        </is>
      </c>
      <c r="CL439"/>
      <c r="CM439"/>
    </row>
    <row r="440" ht="25.5" customHeight="1">
      <c r="A440" t="inlineStr">
        <is>
          <t>163945</t>
        </is>
      </c>
      <c r="B440" s="2"/>
      <c r="C440"/>
      <c r="D440" s="3">
        <v>46141.43429398148</v>
      </c>
      <c r="E440" t="inlineStr">
        <is>
          <t>Q2-W04</t>
        </is>
      </c>
      <c r="F440" t="inlineStr">
        <is>
          <t>Xin Hui</t>
        </is>
      </c>
      <c r="G440" t="inlineStr">
        <is>
          <t>Customer</t>
        </is>
      </c>
      <c r="H440" s="2" t="str">
        <f>=HYPERLINK("https://upbox.ajobthing.my/customer/163945", "https://upbox.ajobthing.my/customer/163945")</f>
        <v>https://upbox.ajobthing.my/customer/163945</v>
      </c>
      <c r="I440" t="inlineStr">
        <is>
          <t>Physio Hut Enterprise</t>
        </is>
      </c>
      <c r="J440" t="inlineStr">
        <is>
          <t>Small Fish</t>
        </is>
      </c>
      <c r="K440" t="inlineStr">
        <is>
          <t>Xin Hui</t>
        </is>
      </c>
      <c r="L440" s="4"/>
      <c r="M440" s="4">
        <v>46141.432534722226</v>
      </c>
      <c r="N440"/>
      <c r="O440">
        <v>3888</v>
      </c>
      <c r="P440" s="4"/>
      <c r="Q440" s="4">
        <v>45405.40976851852</v>
      </c>
      <c r="R440"/>
      <c r="S440">
        <v>648</v>
      </c>
      <c r="T440" s="4">
        <v>45405.40976851852</v>
      </c>
      <c r="U440" s="4"/>
      <c r="V440"/>
      <c r="W440">
        <v>648</v>
      </c>
      <c r="X440"/>
      <c r="Y440" t="inlineStr">
        <is>
          <t>Pending Appointment</t>
        </is>
      </c>
      <c r="Z440" t="inlineStr">
        <is>
          <t>Hiring Now</t>
        </is>
      </c>
      <c r="AA440">
        <v>1</v>
      </c>
      <c r="AB440" t="inlineStr">
        <is>
          <t>No Appointment Made</t>
        </is>
      </c>
      <c r="AC440"/>
      <c r="AD440" t="inlineStr">
        <is>
          <t>Physiotherapist</t>
        </is>
      </c>
      <c r="AE440"/>
      <c r="AF440"/>
      <c r="AG440" s="4"/>
      <c r="AH440" s="4"/>
      <c r="AI440"/>
      <c r="AJ440"/>
      <c r="AK440" t="inlineStr">
        <is>
          <t>No, I don't need at all</t>
        </is>
      </c>
      <c r="AL440"/>
      <c r="AM440" t="inlineStr">
        <is>
          <t>No, I don't need at all</t>
        </is>
      </c>
      <c r="AN440"/>
      <c r="AO440" t="inlineStr">
        <is>
          <t>No, I don't need at all</t>
        </is>
      </c>
      <c r="AP440" t="inlineStr">
        <is>
          <t>Once a year (25%)</t>
        </is>
      </c>
      <c r="AQ440"/>
      <c r="AR440"/>
      <c r="AS440" t="inlineStr">
        <is>
          <t>- Headcount: 1
- Hiring Job Details: Physiotherapist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AT440">
        <v>75</v>
      </c>
      <c r="AU440" t="inlineStr">
        <is>
          <t>0.75</t>
        </is>
      </c>
      <c r="AV440" t="inlineStr">
        <is>
          <t>5</t>
        </is>
      </c>
      <c r="AW440" t="inlineStr">
        <is>
          <t>0</t>
        </is>
      </c>
      <c r="AX440" t="inlineStr">
        <is>
          <t>Not Qualified</t>
        </is>
      </c>
      <c r="AY440" s="4"/>
      <c r="AZ440"/>
      <c r="BA440"/>
      <c r="BB440"/>
      <c r="BC440" t="inlineStr">
        <is>
          <t>- Headcount: 1
- Hiring Job Details: Physiotherapist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BD440" s="4">
        <v>46141.45837962963</v>
      </c>
      <c r="BE440" t="inlineStr">
        <is>
          <t>paid</t>
        </is>
      </c>
      <c r="BF440"/>
      <c r="BG440" t="inlineStr">
        <is>
          <t>Reschedule</t>
        </is>
      </c>
      <c r="BH440" t="inlineStr">
        <is>
          <t>Yee Hang</t>
        </is>
      </c>
      <c r="BI440" t="inlineStr">
        <is>
          <t>Environment / Health / Safety</t>
        </is>
      </c>
      <c r="BJ440" s="4">
        <v>46144.7512037037</v>
      </c>
      <c r="BK440" s="4">
        <v>44955.4916087963</v>
      </c>
      <c r="BL440" t="inlineStr">
        <is>
          <t>0.0</t>
        </is>
      </c>
      <c r="BM440" t="inlineStr">
        <is>
          <t>0.0</t>
        </is>
      </c>
      <c r="BN440" t="inlineStr">
        <is>
          <t>Talent Search : Send Invitation</t>
        </is>
      </c>
      <c r="BO440" s="4">
        <v>45420.771875</v>
      </c>
      <c r="BP440">
        <v>169415</v>
      </c>
      <c r="BQ440">
        <v>68256</v>
      </c>
      <c r="BR440" t="inlineStr">
        <is>
          <t>Online</t>
        </is>
      </c>
      <c r="BS440"/>
      <c r="BT440">
        <v>68256</v>
      </c>
      <c r="BU440"/>
      <c r="BV440">
        <v>2734571</v>
      </c>
      <c r="BW440" t="inlineStr">
        <is>
          <t>Customer Inquiry</t>
        </is>
      </c>
      <c r="BX440"/>
      <c r="BY440"/>
      <c r="BZ440" s="4"/>
      <c r="CA440"/>
      <c r="CB440"/>
      <c r="CC440" s="4"/>
      <c r="CD440" t="inlineStr">
        <is>
          <t>5</t>
        </is>
      </c>
      <c r="CE440" t="inlineStr">
        <is>
          <t>0</t>
        </is>
      </c>
      <c r="CF440" t="inlineStr">
        <is>
          <t>Q2-W04</t>
        </is>
      </c>
      <c r="CG440"/>
      <c r="CH440"/>
      <c r="CI440"/>
      <c r="CJ440" t="inlineStr">
        <is>
          <t>Paid</t>
        </is>
      </c>
      <c r="CK440" t="inlineStr">
        <is>
          <t>Not Eligible</t>
        </is>
      </c>
      <c r="CL440"/>
      <c r="CM440"/>
    </row>
    <row r="441" ht="25.5" customHeight="1">
      <c r="A441" t="inlineStr">
        <is>
          <t>203776</t>
        </is>
      </c>
      <c r="B441" s="2"/>
      <c r="C441"/>
      <c r="D441" s="3">
        <v>46141.43664351852</v>
      </c>
      <c r="E441" t="inlineStr">
        <is>
          <t>Q2-W04</t>
        </is>
      </c>
      <c r="F441" t="inlineStr">
        <is>
          <t>Lucas</t>
        </is>
      </c>
      <c r="G441" t="inlineStr">
        <is>
          <t>Customer</t>
        </is>
      </c>
      <c r="H441" s="2" t="str">
        <f>=HYPERLINK("https://upbox.ajobthing.my/customer/203776", "https://upbox.ajobthing.my/customer/203776")</f>
        <v>https://upbox.ajobthing.my/customer/203776</v>
      </c>
      <c r="I441" t="inlineStr">
        <is>
          <t>KINTA PRESS &amp; PACKAGING (M) SDN.BHD.</t>
        </is>
      </c>
      <c r="J441" t="inlineStr">
        <is>
          <t>Small Fish</t>
        </is>
      </c>
      <c r="K441" t="inlineStr">
        <is>
          <t>Lucas</t>
        </is>
      </c>
      <c r="L441" s="4"/>
      <c r="M441" s="4">
        <v>46141.100497685184</v>
      </c>
      <c r="N441"/>
      <c r="O441"/>
      <c r="P441" s="4"/>
      <c r="Q441" s="4">
        <v>46141.55373842592</v>
      </c>
      <c r="R441"/>
      <c r="S441">
        <v>3576.96</v>
      </c>
      <c r="T441" s="4"/>
      <c r="U441" s="4"/>
      <c r="V441"/>
      <c r="W441"/>
      <c r="X441"/>
      <c r="Y441" t="inlineStr">
        <is>
          <t>Pending Appointment</t>
        </is>
      </c>
      <c r="Z441" t="inlineStr">
        <is>
          <t>Hiring Now</t>
        </is>
      </c>
      <c r="AA441">
        <v>2</v>
      </c>
      <c r="AB441" t="inlineStr">
        <is>
          <t>No Appointment Made</t>
        </is>
      </c>
      <c r="AC441"/>
      <c r="AD441" t="inlineStr">
        <is>
          <t xml:space="preserve">1 sale , 1 qc </t>
        </is>
      </c>
      <c r="AE441"/>
      <c r="AF441">
        <v>0</v>
      </c>
      <c r="AG441" s="4"/>
      <c r="AH441" s="4"/>
      <c r="AI441">
        <v>0</v>
      </c>
      <c r="AJ441">
        <v>0</v>
      </c>
      <c r="AK441" t="inlineStr">
        <is>
          <t>No, I don't need at all</t>
        </is>
      </c>
      <c r="AL441">
        <v>0</v>
      </c>
      <c r="AM441" t="inlineStr">
        <is>
          <t>No, I don't need at all</t>
        </is>
      </c>
      <c r="AN441"/>
      <c r="AO441" t="inlineStr">
        <is>
          <t>No, I don't need at all</t>
        </is>
      </c>
      <c r="AP441" t="inlineStr">
        <is>
          <t>Once a year (25%)</t>
        </is>
      </c>
      <c r="AQ441">
        <v>2</v>
      </c>
      <c r="AR441" t="inlineStr">
        <is>
          <t>Did not use any job portal</t>
        </is>
      </c>
      <c r="AS441" t="inlineStr">
        <is>
          <t>- Headcount: 2
- Hiring Job Details: 1 sale, 1 qc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441">
        <v>95</v>
      </c>
      <c r="AU441" t="inlineStr">
        <is>
          <t>0.95</t>
        </is>
      </c>
      <c r="AV441" t="inlineStr">
        <is>
          <t>15</t>
        </is>
      </c>
      <c r="AW441" t="inlineStr">
        <is>
          <t>0</t>
        </is>
      </c>
      <c r="AX441" t="inlineStr">
        <is>
          <t>Not Qualified</t>
        </is>
      </c>
      <c r="AY441" s="4"/>
      <c r="AZ441"/>
      <c r="BA441"/>
      <c r="BB441"/>
      <c r="BC441" t="inlineStr">
        <is>
          <t>- Headcount: 2
- Hiring Job Details: 1 sale, 1 qc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BD441" s="4">
        <v>46141.45837962963</v>
      </c>
      <c r="BE441" t="inlineStr">
        <is>
          <t>pending</t>
        </is>
      </c>
      <c r="BF441"/>
      <c r="BG441" t="inlineStr">
        <is>
          <t>Reschedule</t>
        </is>
      </c>
      <c r="BH441" t="inlineStr">
        <is>
          <t>Yee Hang</t>
        </is>
      </c>
      <c r="BI441"/>
      <c r="BJ441" s="4">
        <v>46144.75438657407</v>
      </c>
      <c r="BK441" s="4">
        <v>46141.43380787037</v>
      </c>
      <c r="BL441" t="inlineStr">
        <is>
          <t>0.0</t>
        </is>
      </c>
      <c r="BM441" t="inlineStr">
        <is>
          <t>0.0</t>
        </is>
      </c>
      <c r="BN441"/>
      <c r="BO441" s="4"/>
      <c r="BP441">
        <v>169416</v>
      </c>
      <c r="BQ441">
        <v>124060</v>
      </c>
      <c r="BR441" t="inlineStr">
        <is>
          <t>Proforma</t>
        </is>
      </c>
      <c r="BS441" t="inlineStr">
        <is>
          <t>AI Yearly Standard Plan (Jan 26)</t>
        </is>
      </c>
      <c r="BT441"/>
      <c r="BU441"/>
      <c r="BV441">
        <v>2734573</v>
      </c>
      <c r="BW441" t="inlineStr">
        <is>
          <t>Customer Inquiry</t>
        </is>
      </c>
      <c r="BX441"/>
      <c r="BY441"/>
      <c r="BZ441" s="4"/>
      <c r="CA441"/>
      <c r="CB441"/>
      <c r="CC441" s="4"/>
      <c r="CD441" t="inlineStr">
        <is>
          <t>20</t>
        </is>
      </c>
      <c r="CE441" t="inlineStr">
        <is>
          <t>0</t>
        </is>
      </c>
      <c r="CF441" t="inlineStr">
        <is>
          <t>Q2-W04</t>
        </is>
      </c>
      <c r="CG441" t="inlineStr">
        <is>
          <t>Q2-W04</t>
        </is>
      </c>
      <c r="CH441"/>
      <c r="CI441"/>
      <c r="CJ441" t="inlineStr">
        <is>
          <t>No Paid</t>
        </is>
      </c>
      <c r="CK441" t="inlineStr">
        <is>
          <t>Not Eligible</t>
        </is>
      </c>
      <c r="CL441"/>
      <c r="CM441"/>
    </row>
    <row r="442" ht="25.5" customHeight="1">
      <c r="A442" t="inlineStr">
        <is>
          <t>4330983</t>
        </is>
      </c>
      <c r="B442" s="2"/>
      <c r="C442"/>
      <c r="D442" s="3">
        <v>46141.45349537037</v>
      </c>
      <c r="E442" t="inlineStr">
        <is>
          <t>Q2-W04</t>
        </is>
      </c>
      <c r="F442" t="inlineStr">
        <is>
          <t>Janice Yap</t>
        </is>
      </c>
      <c r="G442" t="inlineStr">
        <is>
          <t>Lead</t>
        </is>
      </c>
      <c r="H442" s="2" t="str">
        <f>=HYPERLINK("https://upbox.ajobthing.my/leads/4330983", "https://upbox.ajobthing.my/leads/4330983")</f>
        <v>https://upbox.ajobthing.my/leads/4330983</v>
      </c>
      <c r="I442" t="inlineStr">
        <is>
          <t>SUNRISE COMMUNICATION (M) SDN BHD</t>
        </is>
      </c>
      <c r="J442" t="inlineStr">
        <is>
          <t>Small Fish</t>
        </is>
      </c>
      <c r="K442" t="inlineStr">
        <is>
          <t>Janice</t>
        </is>
      </c>
      <c r="L442" s="4"/>
      <c r="M442" s="4">
        <v>46141.4503125</v>
      </c>
      <c r="N442"/>
      <c r="O442">
        <v>3888</v>
      </c>
      <c r="P442" s="4"/>
      <c r="Q442" s="4"/>
      <c r="R442"/>
      <c r="S442"/>
      <c r="T442" s="4"/>
      <c r="U442" s="4"/>
      <c r="V442"/>
      <c r="W442"/>
      <c r="X442"/>
      <c r="Y442" t="inlineStr">
        <is>
          <t>Pending Appointment</t>
        </is>
      </c>
      <c r="Z442" t="inlineStr">
        <is>
          <t>Hiring Now</t>
        </is>
      </c>
      <c r="AA442">
        <v>2</v>
      </c>
      <c r="AB442" t="inlineStr">
        <is>
          <t>No Appointment Made</t>
        </is>
      </c>
      <c r="AC442"/>
      <c r="AD442" t="inlineStr">
        <is>
          <t>2 engineer</t>
        </is>
      </c>
      <c r="AE442"/>
      <c r="AF442">
        <v>0</v>
      </c>
      <c r="AG442" s="4"/>
      <c r="AH442" s="4"/>
      <c r="AI442">
        <v>0</v>
      </c>
      <c r="AJ442"/>
      <c r="AK442" t="inlineStr">
        <is>
          <t>No, I don't need at all</t>
        </is>
      </c>
      <c r="AL442">
        <v>0</v>
      </c>
      <c r="AM442" t="inlineStr">
        <is>
          <t>No, I don't need at all</t>
        </is>
      </c>
      <c r="AN442"/>
      <c r="AO442" t="inlineStr">
        <is>
          <t>No, I don't need at all</t>
        </is>
      </c>
      <c r="AP442" t="inlineStr">
        <is>
          <t>Once a year (25%)</t>
        </is>
      </c>
      <c r="AQ442">
        <v>2</v>
      </c>
      <c r="AR442" t="inlineStr">
        <is>
          <t>Jobstreet</t>
        </is>
      </c>
      <c r="AS442" t="inlineStr">
        <is>
          <t>- Headcount: 2
- Hiring Job Details: 2 engineer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
- Hiring Urgency: Hiring Now</t>
        </is>
      </c>
      <c r="AT442">
        <v>105</v>
      </c>
      <c r="AU442" t="inlineStr">
        <is>
          <t>1.05</t>
        </is>
      </c>
      <c r="AV442" t="inlineStr">
        <is>
          <t>15</t>
        </is>
      </c>
      <c r="AW442" t="inlineStr">
        <is>
          <t>0</t>
        </is>
      </c>
      <c r="AX442" t="inlineStr">
        <is>
          <t>Not Qualified</t>
        </is>
      </c>
      <c r="AY442" s="4"/>
      <c r="AZ442"/>
      <c r="BA442"/>
      <c r="BB442"/>
      <c r="BC442"/>
      <c r="BD442" s="4"/>
      <c r="BE442"/>
      <c r="BF442"/>
      <c r="BG442" t="inlineStr">
        <is>
          <t>Reschedule</t>
        </is>
      </c>
      <c r="BH442" t="inlineStr">
        <is>
          <t>Yee Hang</t>
        </is>
      </c>
      <c r="BI442"/>
      <c r="BJ442" s="4">
        <v>46144.755949074075</v>
      </c>
      <c r="BK442" s="4">
        <v>46141.441458333335</v>
      </c>
      <c r="BL442" t="inlineStr">
        <is>
          <t>0.0</t>
        </is>
      </c>
      <c r="BM442" t="inlineStr">
        <is>
          <t>0.0</t>
        </is>
      </c>
      <c r="BN442"/>
      <c r="BO442" s="4"/>
      <c r="BP442">
        <v>169425</v>
      </c>
      <c r="BQ442"/>
      <c r="BR442"/>
      <c r="BS442"/>
      <c r="BT442"/>
      <c r="BU442"/>
      <c r="BV442"/>
      <c r="BW442"/>
      <c r="BX442"/>
      <c r="BY442"/>
      <c r="BZ442" s="4"/>
      <c r="CA442"/>
      <c r="CB442"/>
      <c r="CC442" s="4"/>
      <c r="CD442" t="inlineStr">
        <is>
          <t>20</t>
        </is>
      </c>
      <c r="CE442" t="inlineStr">
        <is>
          <t>0</t>
        </is>
      </c>
      <c r="CF442" t="inlineStr">
        <is>
          <t>Q2-W04</t>
        </is>
      </c>
      <c r="CG442"/>
      <c r="CH442"/>
      <c r="CI442"/>
      <c r="CJ442" t="inlineStr">
        <is>
          <t>No Paid</t>
        </is>
      </c>
      <c r="CK442" t="inlineStr">
        <is>
          <t>Not Eligible</t>
        </is>
      </c>
      <c r="CL442"/>
      <c r="CM442"/>
    </row>
    <row r="443" ht="25.5" customHeight="1">
      <c r="A443" t="inlineStr">
        <is>
          <t>35780</t>
        </is>
      </c>
      <c r="B443" s="2"/>
      <c r="C443"/>
      <c r="D443" s="3">
        <v>46141.463321759256</v>
      </c>
      <c r="E443" t="inlineStr">
        <is>
          <t>Q2-W04</t>
        </is>
      </c>
      <c r="F443" t="inlineStr">
        <is>
          <t>Keegan</t>
        </is>
      </c>
      <c r="G443" t="inlineStr">
        <is>
          <t>Customer</t>
        </is>
      </c>
      <c r="H443" s="2" t="str">
        <f>=HYPERLINK("https://upbox.ajobthing.my/customer/35780", "https://upbox.ajobthing.my/customer/35780")</f>
        <v>https://upbox.ajobthing.my/customer/35780</v>
      </c>
      <c r="I443" t="inlineStr">
        <is>
          <t>LNP Management Services</t>
        </is>
      </c>
      <c r="J443" t="inlineStr">
        <is>
          <t>Small Fish</t>
        </is>
      </c>
      <c r="K443" t="inlineStr">
        <is>
          <t>Keegan</t>
        </is>
      </c>
      <c r="L443" s="4"/>
      <c r="M443" s="4">
        <v>46141.463796296295</v>
      </c>
      <c r="N443"/>
      <c r="O443">
        <v>3576.96</v>
      </c>
      <c r="P443" s="4"/>
      <c r="Q443" s="4"/>
      <c r="R443"/>
      <c r="S443"/>
      <c r="T443" s="4"/>
      <c r="U443" s="4"/>
      <c r="V443"/>
      <c r="W443"/>
      <c r="X443"/>
      <c r="Y443" t="inlineStr">
        <is>
          <t>Pending Appointment</t>
        </is>
      </c>
      <c r="Z443" t="inlineStr">
        <is>
          <t>Hiring Now</t>
        </is>
      </c>
      <c r="AA443">
        <v>2</v>
      </c>
      <c r="AB443" t="inlineStr">
        <is>
          <t>No Appointment Made</t>
        </is>
      </c>
      <c r="AC443"/>
      <c r="AD443" t="inlineStr">
        <is>
          <t xml:space="preserve">1. Account Assistant 
2. Internship  </t>
        </is>
      </c>
      <c r="AE443"/>
      <c r="AF443"/>
      <c r="AG443" s="4"/>
      <c r="AH443" s="4"/>
      <c r="AI443"/>
      <c r="AJ443">
        <v>1</v>
      </c>
      <c r="AK443" t="inlineStr">
        <is>
          <t>No, I don't need at all</t>
        </is>
      </c>
      <c r="AL443">
        <v>0</v>
      </c>
      <c r="AM443" t="inlineStr">
        <is>
          <t>No, I don't need at all</t>
        </is>
      </c>
      <c r="AN443"/>
      <c r="AO443" t="inlineStr">
        <is>
          <t>No, I don't need at all</t>
        </is>
      </c>
      <c r="AP443" t="inlineStr">
        <is>
          <t>Once per quarter (75%)</t>
        </is>
      </c>
      <c r="AQ443"/>
      <c r="AR443" t="inlineStr">
        <is>
          <t>Did not use any job portal</t>
        </is>
      </c>
      <c r="AS443" t="inlineStr">
        <is>
          <t>- Headcount: 2
- Hiring Job Details: 1. Account Assistant 2. Internship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43">
        <v>55</v>
      </c>
      <c r="AU443" t="inlineStr">
        <is>
          <t>0.55</t>
        </is>
      </c>
      <c r="AV443" t="inlineStr">
        <is>
          <t>5</t>
        </is>
      </c>
      <c r="AW443" t="inlineStr">
        <is>
          <t>0</t>
        </is>
      </c>
      <c r="AX443" t="inlineStr">
        <is>
          <t>Not Qualified</t>
        </is>
      </c>
      <c r="AY443" s="4"/>
      <c r="AZ443"/>
      <c r="BA443"/>
      <c r="BB443"/>
      <c r="BC443" t="inlineStr">
        <is>
          <t>- Headcount: 2
- Hiring Job Details: 1. Account Assistant 2. Internship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443" s="4">
        <v>46141.500023148146</v>
      </c>
      <c r="BE443"/>
      <c r="BF443"/>
      <c r="BG443" t="inlineStr">
        <is>
          <t>Reschedule</t>
        </is>
      </c>
      <c r="BH443" t="inlineStr">
        <is>
          <t>Edward Hoo</t>
        </is>
      </c>
      <c r="BI443" t="inlineStr">
        <is>
          <t>Accounting / Tax Services</t>
        </is>
      </c>
      <c r="BJ443" s="4">
        <v>46144.75461805556</v>
      </c>
      <c r="BK443" s="4">
        <v>42831.408217592594</v>
      </c>
      <c r="BL443" t="inlineStr">
        <is>
          <t>0.0</t>
        </is>
      </c>
      <c r="BM443" t="inlineStr">
        <is>
          <t>0.0</t>
        </is>
      </c>
      <c r="BN443" t="inlineStr">
        <is>
          <t>View Company Page</t>
        </is>
      </c>
      <c r="BO443" s="4">
        <v>45586.540868055556</v>
      </c>
      <c r="BP443">
        <v>169432</v>
      </c>
      <c r="BQ443"/>
      <c r="BR443"/>
      <c r="BS443"/>
      <c r="BT443"/>
      <c r="BU443"/>
      <c r="BV443">
        <v>2734862</v>
      </c>
      <c r="BW443" t="inlineStr">
        <is>
          <t>Customer Inquiry</t>
        </is>
      </c>
      <c r="BX443"/>
      <c r="BY443"/>
      <c r="BZ443" s="4"/>
      <c r="CA443"/>
      <c r="CB443"/>
      <c r="CC443" s="4"/>
      <c r="CD443" t="inlineStr">
        <is>
          <t>5</t>
        </is>
      </c>
      <c r="CE443" t="inlineStr">
        <is>
          <t>0</t>
        </is>
      </c>
      <c r="CF443" t="inlineStr">
        <is>
          <t>Q2-W04</t>
        </is>
      </c>
      <c r="CG443"/>
      <c r="CH443"/>
      <c r="CI443"/>
      <c r="CJ443" t="inlineStr">
        <is>
          <t>No Paid</t>
        </is>
      </c>
      <c r="CK443" t="inlineStr">
        <is>
          <t>Not Eligible</t>
        </is>
      </c>
      <c r="CL443"/>
      <c r="CM443"/>
    </row>
    <row r="444" ht="25.5" customHeight="1">
      <c r="A444" t="inlineStr">
        <is>
          <t>4331063</t>
        </is>
      </c>
      <c r="B444" s="2"/>
      <c r="C444"/>
      <c r="D444" s="3">
        <v>46141.464907407404</v>
      </c>
      <c r="E444" t="inlineStr">
        <is>
          <t>Q2-W04</t>
        </is>
      </c>
      <c r="F444" t="inlineStr">
        <is>
          <t>Chia Yee</t>
        </is>
      </c>
      <c r="G444" t="inlineStr">
        <is>
          <t>Lead</t>
        </is>
      </c>
      <c r="H444" s="2" t="str">
        <f>=HYPERLINK("https://upbox.ajobthing.my/leads/4331063", "https://upbox.ajobthing.my/leads/4331063")</f>
        <v>https://upbox.ajobthing.my/leads/4331063</v>
      </c>
      <c r="I444" t="inlineStr">
        <is>
          <t>United zone</t>
        </is>
      </c>
      <c r="J444" t="inlineStr">
        <is>
          <t>Small Fish</t>
        </is>
      </c>
      <c r="K444" t="inlineStr">
        <is>
          <t>Chia Yee</t>
        </is>
      </c>
      <c r="L444" s="4"/>
      <c r="M444" s="4">
        <v>46141.46444444444</v>
      </c>
      <c r="N444"/>
      <c r="O444">
        <v>1296</v>
      </c>
      <c r="P444" s="4"/>
      <c r="Q444" s="4"/>
      <c r="R444"/>
      <c r="S444"/>
      <c r="T444" s="4"/>
      <c r="U444" s="4"/>
      <c r="V444"/>
      <c r="W444"/>
      <c r="X444"/>
      <c r="Y444" t="inlineStr">
        <is>
          <t>Pending Appointment</t>
        </is>
      </c>
      <c r="Z444" t="inlineStr">
        <is>
          <t>Hiring Now</t>
        </is>
      </c>
      <c r="AA444">
        <v>1</v>
      </c>
      <c r="AB444" t="inlineStr">
        <is>
          <t>No Appointment Made</t>
        </is>
      </c>
      <c r="AC444"/>
      <c r="AD444" t="inlineStr">
        <is>
          <t>1 Clerk</t>
        </is>
      </c>
      <c r="AE444"/>
      <c r="AF444">
        <v>0</v>
      </c>
      <c r="AG444" s="4"/>
      <c r="AH444" s="4"/>
      <c r="AI444">
        <v>0</v>
      </c>
      <c r="AJ444">
        <v>1</v>
      </c>
      <c r="AK444" t="inlineStr">
        <is>
          <t>No, I don't need at all</t>
        </is>
      </c>
      <c r="AL444">
        <v>1</v>
      </c>
      <c r="AM444" t="inlineStr">
        <is>
          <t>No, I don't need at all</t>
        </is>
      </c>
      <c r="AN444"/>
      <c r="AO444" t="inlineStr">
        <is>
          <t>No, I don't need at all</t>
        </is>
      </c>
      <c r="AP444" t="inlineStr">
        <is>
          <t>Once a year (25%)</t>
        </is>
      </c>
      <c r="AQ444">
        <v>1</v>
      </c>
      <c r="AR444" t="inlineStr">
        <is>
          <t>Did not use any job portal</t>
        </is>
      </c>
      <c r="AS444" t="inlineStr">
        <is>
          <t>- Headcount: 1
- Hiring Job Details: 1 Clerk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444">
        <v>120</v>
      </c>
      <c r="AU444" t="inlineStr">
        <is>
          <t>1.20</t>
        </is>
      </c>
      <c r="AV444" t="inlineStr">
        <is>
          <t>15</t>
        </is>
      </c>
      <c r="AW444" t="inlineStr">
        <is>
          <t>0</t>
        </is>
      </c>
      <c r="AX444" t="inlineStr">
        <is>
          <t>Not Qualified</t>
        </is>
      </c>
      <c r="AY444" s="4"/>
      <c r="AZ444"/>
      <c r="BA444"/>
      <c r="BB444"/>
      <c r="BC444"/>
      <c r="BD444" s="4"/>
      <c r="BE444"/>
      <c r="BF444"/>
      <c r="BG444" t="inlineStr">
        <is>
          <t>Reschedule</t>
        </is>
      </c>
      <c r="BH444" t="inlineStr">
        <is>
          <t>Reagen</t>
        </is>
      </c>
      <c r="BI444"/>
      <c r="BJ444" s="4">
        <v>46144.755949074075</v>
      </c>
      <c r="BK444" s="4">
        <v>46141.454375</v>
      </c>
      <c r="BL444" t="inlineStr">
        <is>
          <t>0.0</t>
        </is>
      </c>
      <c r="BM444" t="inlineStr">
        <is>
          <t>0.0</t>
        </is>
      </c>
      <c r="BN444"/>
      <c r="BO444" s="4"/>
      <c r="BP444">
        <v>169434</v>
      </c>
      <c r="BQ444"/>
      <c r="BR444"/>
      <c r="BS444"/>
      <c r="BT444"/>
      <c r="BU444"/>
      <c r="BV444"/>
      <c r="BW444"/>
      <c r="BX444"/>
      <c r="BY444"/>
      <c r="BZ444" s="4"/>
      <c r="CA444"/>
      <c r="CB444"/>
      <c r="CC444" s="4"/>
      <c r="CD444" t="inlineStr">
        <is>
          <t>20</t>
        </is>
      </c>
      <c r="CE444" t="inlineStr">
        <is>
          <t>0</t>
        </is>
      </c>
      <c r="CF444" t="inlineStr">
        <is>
          <t>Q2-W04</t>
        </is>
      </c>
      <c r="CG444"/>
      <c r="CH444"/>
      <c r="CI444"/>
      <c r="CJ444" t="inlineStr">
        <is>
          <t>No Paid</t>
        </is>
      </c>
      <c r="CK444" t="inlineStr">
        <is>
          <t>Not Eligible</t>
        </is>
      </c>
      <c r="CL444"/>
      <c r="CM444"/>
    </row>
    <row r="445" ht="25.5" customHeight="1">
      <c r="A445" t="inlineStr">
        <is>
          <t>4331192</t>
        </is>
      </c>
      <c r="B445" s="2"/>
      <c r="C445"/>
      <c r="D445" s="3">
        <v>46141.48076388889</v>
      </c>
      <c r="E445" t="inlineStr">
        <is>
          <t>Q2-W04</t>
        </is>
      </c>
      <c r="F445" t="inlineStr">
        <is>
          <t>Chia Yee</t>
        </is>
      </c>
      <c r="G445" t="inlineStr">
        <is>
          <t>Lead</t>
        </is>
      </c>
      <c r="H445" s="2" t="str">
        <f>=HYPERLINK("https://upbox.ajobthing.my/leads/4331192", "https://upbox.ajobthing.my/leads/4331192")</f>
        <v>https://upbox.ajobthing.my/leads/4331192</v>
      </c>
      <c r="I445" t="inlineStr">
        <is>
          <t>SIS BEAUTY SDN BHD</t>
        </is>
      </c>
      <c r="J445" t="inlineStr">
        <is>
          <t>Small Fish</t>
        </is>
      </c>
      <c r="K445" t="inlineStr">
        <is>
          <t>Chia Yee</t>
        </is>
      </c>
      <c r="L445" s="4"/>
      <c r="M445" s="4">
        <v>46141.48099537037</v>
      </c>
      <c r="N445"/>
      <c r="O445">
        <v>4968</v>
      </c>
      <c r="P445" s="4"/>
      <c r="Q445" s="4"/>
      <c r="R445"/>
      <c r="S445"/>
      <c r="T445" s="4"/>
      <c r="U445" s="4"/>
      <c r="V445"/>
      <c r="W445"/>
      <c r="X445"/>
      <c r="Y445" t="inlineStr">
        <is>
          <t>Pending Appointment</t>
        </is>
      </c>
      <c r="Z445" t="inlineStr">
        <is>
          <t>Hiring Now</t>
        </is>
      </c>
      <c r="AA445">
        <v>7</v>
      </c>
      <c r="AB445" t="inlineStr">
        <is>
          <t>No Appointment Made</t>
        </is>
      </c>
      <c r="AC445"/>
      <c r="AD445" t="inlineStr">
        <is>
          <t>6 Sales exeutive (Long term hiring), 1 Admin.</t>
        </is>
      </c>
      <c r="AE445"/>
      <c r="AF445">
        <v>0</v>
      </c>
      <c r="AG445" s="4"/>
      <c r="AH445" s="4"/>
      <c r="AI445">
        <v>0</v>
      </c>
      <c r="AJ445">
        <v>1</v>
      </c>
      <c r="AK445" t="inlineStr">
        <is>
          <t>No, I don't need at all</t>
        </is>
      </c>
      <c r="AL445">
        <v>1</v>
      </c>
      <c r="AM445" t="inlineStr">
        <is>
          <t>No, I don't need at all</t>
        </is>
      </c>
      <c r="AN445"/>
      <c r="AO445" t="inlineStr">
        <is>
          <t>No, I don't need at all</t>
        </is>
      </c>
      <c r="AP445" t="inlineStr">
        <is>
          <t>Once a year (25%)</t>
        </is>
      </c>
      <c r="AQ445">
        <v>7</v>
      </c>
      <c r="AR445" t="inlineStr">
        <is>
          <t>Did not use any job portal</t>
        </is>
      </c>
      <c r="AS445" t="inlineStr">
        <is>
          <t>- Headcount: 7
- Hiring Job Details: 6 Sales executive (Long term hiring), 1 Admin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7
- Hiring frequency: Once a year (25%)
- External job portal: Did not use any job portal</t>
        </is>
      </c>
      <c r="AT445">
        <v>95</v>
      </c>
      <c r="AU445" t="inlineStr">
        <is>
          <t>0.95</t>
        </is>
      </c>
      <c r="AV445" t="inlineStr">
        <is>
          <t>20</t>
        </is>
      </c>
      <c r="AW445" t="inlineStr">
        <is>
          <t>0</t>
        </is>
      </c>
      <c r="AX445" t="inlineStr">
        <is>
          <t>Not Qualified</t>
        </is>
      </c>
      <c r="AY445" s="4"/>
      <c r="AZ445"/>
      <c r="BA445"/>
      <c r="BB445"/>
      <c r="BC445"/>
      <c r="BD445" s="4"/>
      <c r="BE445"/>
      <c r="BF445"/>
      <c r="BG445" t="inlineStr">
        <is>
          <t>Reschedule</t>
        </is>
      </c>
      <c r="BH445" t="inlineStr">
        <is>
          <t>Reagen</t>
        </is>
      </c>
      <c r="BI445"/>
      <c r="BJ445" s="4">
        <v>46144.755949074075</v>
      </c>
      <c r="BK445" s="4">
        <v>46141.473032407404</v>
      </c>
      <c r="BL445" t="inlineStr">
        <is>
          <t>0.0</t>
        </is>
      </c>
      <c r="BM445" t="inlineStr">
        <is>
          <t>0.0</t>
        </is>
      </c>
      <c r="BN445"/>
      <c r="BO445" s="4"/>
      <c r="BP445">
        <v>169445</v>
      </c>
      <c r="BQ445"/>
      <c r="BR445"/>
      <c r="BS445"/>
      <c r="BT445"/>
      <c r="BU445"/>
      <c r="BV445"/>
      <c r="BW445"/>
      <c r="BX445"/>
      <c r="BY445"/>
      <c r="BZ445" s="4"/>
      <c r="CA445"/>
      <c r="CB445"/>
      <c r="CC445" s="4"/>
      <c r="CD445" t="inlineStr">
        <is>
          <t>30</t>
        </is>
      </c>
      <c r="CE445" t="inlineStr">
        <is>
          <t>0</t>
        </is>
      </c>
      <c r="CF445" t="inlineStr">
        <is>
          <t>Q2-W04</t>
        </is>
      </c>
      <c r="CG445"/>
      <c r="CH445"/>
      <c r="CI445"/>
      <c r="CJ445" t="inlineStr">
        <is>
          <t>No Paid</t>
        </is>
      </c>
      <c r="CK445" t="inlineStr">
        <is>
          <t>Not Eligible</t>
        </is>
      </c>
      <c r="CL445"/>
      <c r="CM445"/>
    </row>
    <row r="446" ht="25.5" customHeight="1">
      <c r="A446" t="inlineStr">
        <is>
          <t>142421</t>
        </is>
      </c>
      <c r="B446" s="2"/>
      <c r="C446"/>
      <c r="D446" s="3">
        <v>46141.48689814815</v>
      </c>
      <c r="E446" t="inlineStr">
        <is>
          <t>Q2-W04</t>
        </is>
      </c>
      <c r="F446" t="inlineStr">
        <is>
          <t>Fariz</t>
        </is>
      </c>
      <c r="G446" t="inlineStr">
        <is>
          <t>Customer</t>
        </is>
      </c>
      <c r="H446" s="2" t="str">
        <f>=HYPERLINK("https://upbox.ajobthing.my/customer/142421", "https://upbox.ajobthing.my/customer/142421")</f>
        <v>https://upbox.ajobthing.my/customer/142421</v>
      </c>
      <c r="I446" t="inlineStr">
        <is>
          <t>Sundaydo Kitchen</t>
        </is>
      </c>
      <c r="J446" t="inlineStr">
        <is>
          <t>Small Fish</t>
        </is>
      </c>
      <c r="K446" t="inlineStr">
        <is>
          <t>Fariz</t>
        </is>
      </c>
      <c r="L446" s="4"/>
      <c r="M446" s="4">
        <v>46141.487708333334</v>
      </c>
      <c r="N446"/>
      <c r="O446">
        <v>3888</v>
      </c>
      <c r="P446" s="4"/>
      <c r="Q446" s="4">
        <v>45428.564363425925</v>
      </c>
      <c r="R446"/>
      <c r="S446">
        <v>378</v>
      </c>
      <c r="T446" s="4">
        <v>45428.564363425925</v>
      </c>
      <c r="U446" s="4"/>
      <c r="V446"/>
      <c r="W446">
        <v>378</v>
      </c>
      <c r="X446"/>
      <c r="Y446" t="inlineStr">
        <is>
          <t>Pending Appointment</t>
        </is>
      </c>
      <c r="Z446" t="inlineStr">
        <is>
          <t>Hiring Later</t>
        </is>
      </c>
      <c r="AA446">
        <v>1</v>
      </c>
      <c r="AB446" t="inlineStr">
        <is>
          <t>No Appointment Made</t>
        </is>
      </c>
      <c r="AC446"/>
      <c r="AD446" t="inlineStr">
        <is>
          <t>1 kitchen helper</t>
        </is>
      </c>
      <c r="AE446"/>
      <c r="AF446">
        <v>3600</v>
      </c>
      <c r="AG446" s="4"/>
      <c r="AH446" s="4"/>
      <c r="AI446">
        <v>3600</v>
      </c>
      <c r="AJ446"/>
      <c r="AK446" t="inlineStr">
        <is>
          <t>No, I don't need at all</t>
        </is>
      </c>
      <c r="AL446">
        <v>1</v>
      </c>
      <c r="AM446" t="inlineStr">
        <is>
          <t>No, I don't need at all</t>
        </is>
      </c>
      <c r="AN446"/>
      <c r="AO446" t="inlineStr">
        <is>
          <t>No, I don't need at all</t>
        </is>
      </c>
      <c r="AP446" t="inlineStr">
        <is>
          <t>Once a year (25%)</t>
        </is>
      </c>
      <c r="AQ446">
        <v>1</v>
      </c>
      <c r="AR446" t="inlineStr">
        <is>
          <t>Free Job Portal</t>
        </is>
      </c>
      <c r="AS446" t="inlineStr">
        <is>
          <t>- Headcount: 1
- Hiring Job Details: 1 kitchen helper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AT446">
        <v>115</v>
      </c>
      <c r="AU446" t="inlineStr">
        <is>
          <t>1.15</t>
        </is>
      </c>
      <c r="AV446" t="inlineStr">
        <is>
          <t>15</t>
        </is>
      </c>
      <c r="AW446" t="inlineStr">
        <is>
          <t>0</t>
        </is>
      </c>
      <c r="AX446" t="inlineStr">
        <is>
          <t>Not Qualified</t>
        </is>
      </c>
      <c r="AY446" s="4"/>
      <c r="AZ446"/>
      <c r="BA446"/>
      <c r="BB446"/>
      <c r="BC446" t="inlineStr">
        <is>
          <t>- Headcount: 1
- Hiring Job Details: 1 kitchen helper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BD446" s="4">
        <v>46141.50003472222</v>
      </c>
      <c r="BE446" t="inlineStr">
        <is>
          <t>paid</t>
        </is>
      </c>
      <c r="BF446"/>
      <c r="BG446" t="inlineStr">
        <is>
          <t>Reschedule</t>
        </is>
      </c>
      <c r="BH446" t="inlineStr">
        <is>
          <t>Edward Hoo</t>
        </is>
      </c>
      <c r="BI446" t="inlineStr">
        <is>
          <t>Food / Beverage</t>
        </is>
      </c>
      <c r="BJ446" s="4">
        <v>46144.75069444445</v>
      </c>
      <c r="BK446" s="4">
        <v>44488.50833333333</v>
      </c>
      <c r="BL446" t="inlineStr">
        <is>
          <t>0.0</t>
        </is>
      </c>
      <c r="BM446" t="inlineStr">
        <is>
          <t>0.0</t>
        </is>
      </c>
      <c r="BN446" t="inlineStr">
        <is>
          <t>PA Visit - Applicant Manager</t>
        </is>
      </c>
      <c r="BO446" s="4">
        <v>45484.7377662037</v>
      </c>
      <c r="BP446">
        <v>169452</v>
      </c>
      <c r="BQ446">
        <v>69225</v>
      </c>
      <c r="BR446" t="inlineStr">
        <is>
          <t>Online</t>
        </is>
      </c>
      <c r="BS446"/>
      <c r="BT446">
        <v>69225</v>
      </c>
      <c r="BU446"/>
      <c r="BV446">
        <v>2734873</v>
      </c>
      <c r="BW446" t="inlineStr">
        <is>
          <t>Customer Inquiry</t>
        </is>
      </c>
      <c r="BX446"/>
      <c r="BY446"/>
      <c r="BZ446" s="4"/>
      <c r="CA446"/>
      <c r="CB446"/>
      <c r="CC446" s="4"/>
      <c r="CD446" t="inlineStr">
        <is>
          <t>20</t>
        </is>
      </c>
      <c r="CE446" t="inlineStr">
        <is>
          <t>0</t>
        </is>
      </c>
      <c r="CF446" t="inlineStr">
        <is>
          <t>Q2-W04</t>
        </is>
      </c>
      <c r="CG446"/>
      <c r="CH446"/>
      <c r="CI446"/>
      <c r="CJ446" t="inlineStr">
        <is>
          <t>Paid</t>
        </is>
      </c>
      <c r="CK446" t="inlineStr">
        <is>
          <t>Not Eligible</t>
        </is>
      </c>
      <c r="CL446"/>
      <c r="CM446"/>
    </row>
    <row r="447" ht="25.5" customHeight="1">
      <c r="A447" t="inlineStr">
        <is>
          <t>203781</t>
        </is>
      </c>
      <c r="B447" s="2"/>
      <c r="C447"/>
      <c r="D447" s="3">
        <v>46141.49763888889</v>
      </c>
      <c r="E447" t="inlineStr">
        <is>
          <t>Q2-W04</t>
        </is>
      </c>
      <c r="F447" t="inlineStr">
        <is>
          <t>Carmen</t>
        </is>
      </c>
      <c r="G447" t="inlineStr">
        <is>
          <t>Customer</t>
        </is>
      </c>
      <c r="H447" s="2" t="str">
        <f>=HYPERLINK("https://upbox.ajobthing.my/customer/203781", "https://upbox.ajobthing.my/customer/203781")</f>
        <v>https://upbox.ajobthing.my/customer/203781</v>
      </c>
      <c r="I447" t="inlineStr">
        <is>
          <t>RAHMAT D ENTERPRISE</t>
        </is>
      </c>
      <c r="J447" t="inlineStr">
        <is>
          <t>Small Fish</t>
        </is>
      </c>
      <c r="K447" t="inlineStr">
        <is>
          <t>Carmen</t>
        </is>
      </c>
      <c r="L447" s="4"/>
      <c r="M447" s="4">
        <v>46141.49596064815</v>
      </c>
      <c r="N447"/>
      <c r="O447">
        <v>3576.96</v>
      </c>
      <c r="P447" s="4"/>
      <c r="Q447" s="4"/>
      <c r="R447"/>
      <c r="S447"/>
      <c r="T447" s="4"/>
      <c r="U447" s="4"/>
      <c r="V447"/>
      <c r="W447"/>
      <c r="X447"/>
      <c r="Y447" t="inlineStr">
        <is>
          <t>Pending Appointment</t>
        </is>
      </c>
      <c r="Z447" t="inlineStr">
        <is>
          <t>Hiring Now</t>
        </is>
      </c>
      <c r="AA447">
        <v>3</v>
      </c>
      <c r="AB447" t="inlineStr">
        <is>
          <t>No Appointment Made</t>
        </is>
      </c>
      <c r="AC447"/>
      <c r="AD447" t="inlineStr">
        <is>
          <t>2 x aircond technician ; admin</t>
        </is>
      </c>
      <c r="AE447"/>
      <c r="AF447">
        <v>0</v>
      </c>
      <c r="AG447" s="4"/>
      <c r="AH447" s="4"/>
      <c r="AI447"/>
      <c r="AJ447"/>
      <c r="AK447"/>
      <c r="AL447"/>
      <c r="AM447"/>
      <c r="AN447"/>
      <c r="AO447"/>
      <c r="AP447" t="inlineStr">
        <is>
          <t>Once a year (25%)</t>
        </is>
      </c>
      <c r="AQ447"/>
      <c r="AR447"/>
      <c r="AS447" t="inlineStr">
        <is>
          <t>- Headcount: 3
- Hiring Job Details: 2 x aircond technician ; admin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447">
        <v>75</v>
      </c>
      <c r="AU447" t="inlineStr">
        <is>
          <t>0.75</t>
        </is>
      </c>
      <c r="AV447" t="inlineStr">
        <is>
          <t>15</t>
        </is>
      </c>
      <c r="AW447" t="inlineStr">
        <is>
          <t>0</t>
        </is>
      </c>
      <c r="AX447" t="inlineStr">
        <is>
          <t>Not Qualified</t>
        </is>
      </c>
      <c r="AY447" s="4"/>
      <c r="AZ447"/>
      <c r="BA447"/>
      <c r="BB447"/>
      <c r="BC447" t="inlineStr">
        <is>
          <t>- Headcount: 3
- Hiring Job Details: 2 x aircond technician ; admin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BD447" s="4">
        <v>46141.50003472222</v>
      </c>
      <c r="BE447"/>
      <c r="BF447"/>
      <c r="BG447" t="inlineStr">
        <is>
          <t>Reschedule</t>
        </is>
      </c>
      <c r="BH447" t="inlineStr">
        <is>
          <t>Reagen</t>
        </is>
      </c>
      <c r="BI447"/>
      <c r="BJ447" s="4">
        <v>46144.75438657407</v>
      </c>
      <c r="BK447" s="4">
        <v>46141.49561342593</v>
      </c>
      <c r="BL447" t="inlineStr">
        <is>
          <t>0.0</t>
        </is>
      </c>
      <c r="BM447" t="inlineStr">
        <is>
          <t>0.0</t>
        </is>
      </c>
      <c r="BN447"/>
      <c r="BO447" s="4"/>
      <c r="BP447">
        <v>169460</v>
      </c>
      <c r="BQ447"/>
      <c r="BR447"/>
      <c r="BS447"/>
      <c r="BT447"/>
      <c r="BU447"/>
      <c r="BV447">
        <v>2734879</v>
      </c>
      <c r="BW447" t="inlineStr">
        <is>
          <t>Customer Inquiry</t>
        </is>
      </c>
      <c r="BX447"/>
      <c r="BY447"/>
      <c r="BZ447" s="4"/>
      <c r="CA447"/>
      <c r="CB447"/>
      <c r="CC447" s="4"/>
      <c r="CD447" t="inlineStr">
        <is>
          <t>20</t>
        </is>
      </c>
      <c r="CE447" t="inlineStr">
        <is>
          <t>0</t>
        </is>
      </c>
      <c r="CF447" t="inlineStr">
        <is>
          <t>Q2-W04</t>
        </is>
      </c>
      <c r="CG447"/>
      <c r="CH447"/>
      <c r="CI447"/>
      <c r="CJ447" t="inlineStr">
        <is>
          <t>No Paid</t>
        </is>
      </c>
      <c r="CK447" t="inlineStr">
        <is>
          <t>Not Eligible</t>
        </is>
      </c>
      <c r="CL447"/>
      <c r="CM447"/>
    </row>
    <row r="448" ht="25.5" customHeight="1">
      <c r="A448" t="inlineStr">
        <is>
          <t>203782</t>
        </is>
      </c>
      <c r="B448" s="2"/>
      <c r="C448"/>
      <c r="D448" s="3">
        <v>46141.50417824074</v>
      </c>
      <c r="E448" t="inlineStr">
        <is>
          <t>Q2-W04</t>
        </is>
      </c>
      <c r="F448" t="inlineStr">
        <is>
          <t>Keegan</t>
        </is>
      </c>
      <c r="G448" t="inlineStr">
        <is>
          <t>Customer</t>
        </is>
      </c>
      <c r="H448" s="2" t="str">
        <f>=HYPERLINK("https://upbox.ajobthing.my/customer/203782", "https://upbox.ajobthing.my/customer/203782")</f>
        <v>https://upbox.ajobthing.my/customer/203782</v>
      </c>
      <c r="I448" t="inlineStr">
        <is>
          <t>Trinity J Borneo</t>
        </is>
      </c>
      <c r="J448" t="inlineStr">
        <is>
          <t>Small Fish</t>
        </is>
      </c>
      <c r="K448" t="inlineStr">
        <is>
          <t>Keegan</t>
        </is>
      </c>
      <c r="L448" s="4"/>
      <c r="M448" s="4">
        <v>46141.504328703704</v>
      </c>
      <c r="N448"/>
      <c r="O448">
        <v>6048</v>
      </c>
      <c r="P448" s="4"/>
      <c r="Q448" s="4"/>
      <c r="R448"/>
      <c r="S448"/>
      <c r="T448" s="4"/>
      <c r="U448" s="4"/>
      <c r="V448"/>
      <c r="W448"/>
      <c r="X448"/>
      <c r="Y448" t="inlineStr">
        <is>
          <t>Pending Appointment</t>
        </is>
      </c>
      <c r="Z448" t="inlineStr">
        <is>
          <t>Hiring Now</t>
        </is>
      </c>
      <c r="AA448">
        <v>2</v>
      </c>
      <c r="AB448" t="inlineStr">
        <is>
          <t>No Appointment Made</t>
        </is>
      </c>
      <c r="AC448"/>
      <c r="AD448" t="inlineStr">
        <is>
          <t xml:space="preserve">1. Admin 
2. Architect </t>
        </is>
      </c>
      <c r="AE448"/>
      <c r="AF448"/>
      <c r="AG448" s="4"/>
      <c r="AH448" s="4"/>
      <c r="AI448"/>
      <c r="AJ448">
        <v>1</v>
      </c>
      <c r="AK448" t="inlineStr">
        <is>
          <t>No, I don't need at all</t>
        </is>
      </c>
      <c r="AL448">
        <v>0</v>
      </c>
      <c r="AM448" t="inlineStr">
        <is>
          <t>No, I don't need at all</t>
        </is>
      </c>
      <c r="AN448"/>
      <c r="AO448" t="inlineStr">
        <is>
          <t>No, I don't need at all</t>
        </is>
      </c>
      <c r="AP448" t="inlineStr">
        <is>
          <t>Once per quarter (75%)</t>
        </is>
      </c>
      <c r="AQ448"/>
      <c r="AR448" t="inlineStr">
        <is>
          <t>Indeed (Paid)</t>
        </is>
      </c>
      <c r="AS448" t="inlineStr">
        <is>
          <t>- Headcount: 2
- Hiring Job Details: 1. Admin\n2. Architect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Indeed (Paid)</t>
        </is>
      </c>
      <c r="AT448">
        <v>75</v>
      </c>
      <c r="AU448" t="inlineStr">
        <is>
          <t>0.75</t>
        </is>
      </c>
      <c r="AV448" t="inlineStr">
        <is>
          <t>5</t>
        </is>
      </c>
      <c r="AW448" t="inlineStr">
        <is>
          <t>0</t>
        </is>
      </c>
      <c r="AX448" t="inlineStr">
        <is>
          <t>Not Qualified</t>
        </is>
      </c>
      <c r="AY448" s="4"/>
      <c r="AZ448"/>
      <c r="BA448"/>
      <c r="BB448"/>
      <c r="BC448" t="inlineStr">
        <is>
          <t>- Headcount: 2
- Hiring Job Details: 1. Admin\n2. Architect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Indeed (Paid)</t>
        </is>
      </c>
      <c r="BD448" s="4">
        <v>46141.54168981482</v>
      </c>
      <c r="BE448"/>
      <c r="BF448"/>
      <c r="BG448" t="inlineStr">
        <is>
          <t>Reschedule</t>
        </is>
      </c>
      <c r="BH448" t="inlineStr">
        <is>
          <t>Edward Hoo</t>
        </is>
      </c>
      <c r="BI448"/>
      <c r="BJ448" s="4">
        <v>46144.75438657407</v>
      </c>
      <c r="BK448" s="4">
        <v>46141.50267361111</v>
      </c>
      <c r="BL448" t="inlineStr">
        <is>
          <t>0.0</t>
        </is>
      </c>
      <c r="BM448" t="inlineStr">
        <is>
          <t>0.0</t>
        </is>
      </c>
      <c r="BN448"/>
      <c r="BO448" s="4"/>
      <c r="BP448">
        <v>169467</v>
      </c>
      <c r="BQ448"/>
      <c r="BR448"/>
      <c r="BS448"/>
      <c r="BT448"/>
      <c r="BU448"/>
      <c r="BV448">
        <v>2735000</v>
      </c>
      <c r="BW448" t="inlineStr">
        <is>
          <t>Customer Inquiry</t>
        </is>
      </c>
      <c r="BX448"/>
      <c r="BY448"/>
      <c r="BZ448" s="4"/>
      <c r="CA448"/>
      <c r="CB448"/>
      <c r="CC448" s="4"/>
      <c r="CD448" t="inlineStr">
        <is>
          <t>5</t>
        </is>
      </c>
      <c r="CE448" t="inlineStr">
        <is>
          <t>0</t>
        </is>
      </c>
      <c r="CF448" t="inlineStr">
        <is>
          <t>Q2-W04</t>
        </is>
      </c>
      <c r="CG448"/>
      <c r="CH448"/>
      <c r="CI448"/>
      <c r="CJ448" t="inlineStr">
        <is>
          <t>No Paid</t>
        </is>
      </c>
      <c r="CK448" t="inlineStr">
        <is>
          <t>Not Eligible</t>
        </is>
      </c>
      <c r="CL448"/>
      <c r="CM448"/>
    </row>
    <row r="449" ht="25.5" customHeight="1">
      <c r="A449" t="inlineStr">
        <is>
          <t>145740</t>
        </is>
      </c>
      <c r="B449" s="2"/>
      <c r="C449"/>
      <c r="D449" s="3">
        <v>46141.51513888889</v>
      </c>
      <c r="E449" t="inlineStr">
        <is>
          <t>Q2-W04</t>
        </is>
      </c>
      <c r="F449" t="inlineStr">
        <is>
          <t>Fariz</t>
        </is>
      </c>
      <c r="G449" t="inlineStr">
        <is>
          <t>Customer</t>
        </is>
      </c>
      <c r="H449" s="2" t="str">
        <f>=HYPERLINK("https://upbox.ajobthing.my/customer/145740", "https://upbox.ajobthing.my/customer/145740")</f>
        <v>https://upbox.ajobthing.my/customer/145740</v>
      </c>
      <c r="I449" t="inlineStr">
        <is>
          <t>Maorich Beauty &amp; Spa</t>
        </is>
      </c>
      <c r="J449" t="inlineStr">
        <is>
          <t>Small Fish</t>
        </is>
      </c>
      <c r="K449" t="inlineStr">
        <is>
          <t>Fariz</t>
        </is>
      </c>
      <c r="L449" s="4"/>
      <c r="M449" s="4">
        <v>46141.51526620371</v>
      </c>
      <c r="N449"/>
      <c r="O449">
        <v>3888</v>
      </c>
      <c r="P449" s="4"/>
      <c r="Q449" s="4">
        <v>44548.43991898148</v>
      </c>
      <c r="R449"/>
      <c r="S449">
        <v>583</v>
      </c>
      <c r="T449" s="4">
        <v>44548.43991898148</v>
      </c>
      <c r="U449" s="4"/>
      <c r="V449"/>
      <c r="W449">
        <v>583</v>
      </c>
      <c r="X449"/>
      <c r="Y449" t="inlineStr">
        <is>
          <t>Pending Appointment</t>
        </is>
      </c>
      <c r="Z449" t="inlineStr">
        <is>
          <t>Hiring Later</t>
        </is>
      </c>
      <c r="AA449">
        <v>1</v>
      </c>
      <c r="AB449" t="inlineStr">
        <is>
          <t>No Appointment Made</t>
        </is>
      </c>
      <c r="AC449"/>
      <c r="AD449" t="inlineStr">
        <is>
          <t>1 beautician</t>
        </is>
      </c>
      <c r="AE449"/>
      <c r="AF449">
        <v>3600</v>
      </c>
      <c r="AG449" s="4"/>
      <c r="AH449" s="4"/>
      <c r="AI449">
        <v>3600</v>
      </c>
      <c r="AJ449"/>
      <c r="AK449" t="inlineStr">
        <is>
          <t>No, I don't need at all</t>
        </is>
      </c>
      <c r="AL449">
        <v>1</v>
      </c>
      <c r="AM449" t="inlineStr">
        <is>
          <t>No, I don't need at all</t>
        </is>
      </c>
      <c r="AN449"/>
      <c r="AO449" t="inlineStr">
        <is>
          <t>No, I don't need at all</t>
        </is>
      </c>
      <c r="AP449" t="inlineStr">
        <is>
          <t>Once a year (25%)</t>
        </is>
      </c>
      <c r="AQ449">
        <v>1</v>
      </c>
      <c r="AR449" t="inlineStr">
        <is>
          <t>Free Job Portal</t>
        </is>
      </c>
      <c r="AS449" t="inlineStr">
        <is>
          <t>- Headcount: 1
- Hiring Job Details: 1 beautician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AT449">
        <v>110</v>
      </c>
      <c r="AU449" t="inlineStr">
        <is>
          <t>1.10</t>
        </is>
      </c>
      <c r="AV449" t="inlineStr">
        <is>
          <t>15</t>
        </is>
      </c>
      <c r="AW449" t="inlineStr">
        <is>
          <t>0</t>
        </is>
      </c>
      <c r="AX449" t="inlineStr">
        <is>
          <t>Not Qualified</t>
        </is>
      </c>
      <c r="AY449" s="4"/>
      <c r="AZ449"/>
      <c r="BA449"/>
      <c r="BB449"/>
      <c r="BC449" t="inlineStr">
        <is>
          <t>- Headcount: 1
- Hiring Job Details: 1 beautician
- Hiring Urgency: Hiring Later
- Number of outlets: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BD449" s="4">
        <v>46141.54168981482</v>
      </c>
      <c r="BE449" t="inlineStr">
        <is>
          <t>paid</t>
        </is>
      </c>
      <c r="BF449"/>
      <c r="BG449" t="inlineStr">
        <is>
          <t>Reschedule</t>
        </is>
      </c>
      <c r="BH449" t="inlineStr">
        <is>
          <t>Edward Hoo</t>
        </is>
      </c>
      <c r="BI449" t="inlineStr">
        <is>
          <t>Beauty / Fitness</t>
        </is>
      </c>
      <c r="BJ449" s="4">
        <v>46144.75074074074</v>
      </c>
      <c r="BK449" s="4">
        <v>44548.42251157408</v>
      </c>
      <c r="BL449" t="inlineStr">
        <is>
          <t>0.0</t>
        </is>
      </c>
      <c r="BM449" t="inlineStr">
        <is>
          <t>0.0</t>
        </is>
      </c>
      <c r="BN449" t="inlineStr">
        <is>
          <t>View Create Job Page</t>
        </is>
      </c>
      <c r="BO449" s="4">
        <v>45328.39928240741</v>
      </c>
      <c r="BP449">
        <v>169473</v>
      </c>
      <c r="BQ449">
        <v>38861</v>
      </c>
      <c r="BR449" t="inlineStr">
        <is>
          <t>Online</t>
        </is>
      </c>
      <c r="BS449"/>
      <c r="BT449">
        <v>38861</v>
      </c>
      <c r="BU449"/>
      <c r="BV449">
        <v>2735003</v>
      </c>
      <c r="BW449" t="inlineStr">
        <is>
          <t>Customer Inquiry</t>
        </is>
      </c>
      <c r="BX449"/>
      <c r="BY449"/>
      <c r="BZ449" s="4"/>
      <c r="CA449"/>
      <c r="CB449"/>
      <c r="CC449" s="4"/>
      <c r="CD449" t="inlineStr">
        <is>
          <t>20</t>
        </is>
      </c>
      <c r="CE449" t="inlineStr">
        <is>
          <t>0</t>
        </is>
      </c>
      <c r="CF449" t="inlineStr">
        <is>
          <t>Q2-W04</t>
        </is>
      </c>
      <c r="CG449"/>
      <c r="CH449"/>
      <c r="CI449"/>
      <c r="CJ449" t="inlineStr">
        <is>
          <t>Paid</t>
        </is>
      </c>
      <c r="CK449" t="inlineStr">
        <is>
          <t>Not Eligible</t>
        </is>
      </c>
      <c r="CL449"/>
      <c r="CM449"/>
    </row>
    <row r="450" ht="25.5" customHeight="1">
      <c r="A450" t="inlineStr">
        <is>
          <t>93081</t>
        </is>
      </c>
      <c r="B450" s="2"/>
      <c r="C450"/>
      <c r="D450" s="3">
        <v>46141.524375</v>
      </c>
      <c r="E450" t="inlineStr">
        <is>
          <t>Q2-W04</t>
        </is>
      </c>
      <c r="F450" t="inlineStr">
        <is>
          <t>Chia Yee</t>
        </is>
      </c>
      <c r="G450" t="inlineStr">
        <is>
          <t>Customer</t>
        </is>
      </c>
      <c r="H450" s="2" t="str">
        <f>=HYPERLINK("https://upbox.ajobthing.my/customer/93081", "https://upbox.ajobthing.my/customer/93081")</f>
        <v>https://upbox.ajobthing.my/customer/93081</v>
      </c>
      <c r="I450" t="inlineStr">
        <is>
          <t>STANDARD TYRE (P.J.) SDN BHD</t>
        </is>
      </c>
      <c r="J450" t="inlineStr">
        <is>
          <t>Small Fish</t>
        </is>
      </c>
      <c r="K450" t="inlineStr">
        <is>
          <t>Chia Yee</t>
        </is>
      </c>
      <c r="L450" s="4"/>
      <c r="M450" s="4">
        <v>46141.525416666664</v>
      </c>
      <c r="N450"/>
      <c r="O450">
        <v>5412.96</v>
      </c>
      <c r="P450" s="4"/>
      <c r="Q450" s="4">
        <v>44606.05368055555</v>
      </c>
      <c r="R450"/>
      <c r="S450">
        <v>636</v>
      </c>
      <c r="T450" s="4">
        <v>44603.00001157408</v>
      </c>
      <c r="U450" s="4"/>
      <c r="V450"/>
      <c r="W450">
        <v>636</v>
      </c>
      <c r="X450"/>
      <c r="Y450" t="inlineStr">
        <is>
          <t>Pending Appointment</t>
        </is>
      </c>
      <c r="Z450" t="inlineStr">
        <is>
          <t>Hiring Now</t>
        </is>
      </c>
      <c r="AA450">
        <v>3</v>
      </c>
      <c r="AB450" t="inlineStr">
        <is>
          <t>No Appointment Made</t>
        </is>
      </c>
      <c r="AC450"/>
      <c r="AD450" t="inlineStr">
        <is>
          <t>2 Mechanic, 1 Advisor</t>
        </is>
      </c>
      <c r="AE450"/>
      <c r="AF450">
        <v>0</v>
      </c>
      <c r="AG450" s="4"/>
      <c r="AH450" s="4"/>
      <c r="AI450">
        <v>0</v>
      </c>
      <c r="AJ450">
        <v>1</v>
      </c>
      <c r="AK450" t="inlineStr">
        <is>
          <t>No, I don't need at all</t>
        </is>
      </c>
      <c r="AL450">
        <v>1</v>
      </c>
      <c r="AM450" t="inlineStr">
        <is>
          <t>No, I don't need at all</t>
        </is>
      </c>
      <c r="AN450"/>
      <c r="AO450" t="inlineStr">
        <is>
          <t>No, I don't need at all</t>
        </is>
      </c>
      <c r="AP450" t="inlineStr">
        <is>
          <t>Once a year (25%)</t>
        </is>
      </c>
      <c r="AQ450">
        <v>3</v>
      </c>
      <c r="AR450" t="inlineStr">
        <is>
          <t>Did not use any job portal</t>
        </is>
      </c>
      <c r="AS450" t="inlineStr">
        <is>
          <t>- Headcount: 3
- Hiring Job Details: 2 Mechanic, 1 Advisor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is>
      </c>
      <c r="AT450">
        <v>110</v>
      </c>
      <c r="AU450" t="inlineStr">
        <is>
          <t>1.10</t>
        </is>
      </c>
      <c r="AV450" t="inlineStr">
        <is>
          <t>15</t>
        </is>
      </c>
      <c r="AW450" t="inlineStr">
        <is>
          <t>0</t>
        </is>
      </c>
      <c r="AX450" t="inlineStr">
        <is>
          <t>Not Qualified</t>
        </is>
      </c>
      <c r="AY450" s="4"/>
      <c r="AZ450"/>
      <c r="BA450"/>
      <c r="BB450"/>
      <c r="BC450" t="inlineStr">
        <is>
          <t>Called Terence, not atm. Will use social media try first.</t>
        </is>
      </c>
      <c r="BD450" s="4">
        <v>46142.47366898148</v>
      </c>
      <c r="BE450" t="inlineStr">
        <is>
          <t>pending</t>
        </is>
      </c>
      <c r="BF450"/>
      <c r="BG450" t="inlineStr">
        <is>
          <t>Reschedule</t>
        </is>
      </c>
      <c r="BH450" t="inlineStr">
        <is>
          <t>Reagen</t>
        </is>
      </c>
      <c r="BI450" t="inlineStr">
        <is>
          <t>Automobile / Automotive</t>
        </is>
      </c>
      <c r="BJ450" s="4">
        <v>46144.756157407406</v>
      </c>
      <c r="BK450" s="4">
        <v>43418.57052083333</v>
      </c>
      <c r="BL450" t="inlineStr">
        <is>
          <t>0.0</t>
        </is>
      </c>
      <c r="BM450" t="inlineStr">
        <is>
          <t>0.0</t>
        </is>
      </c>
      <c r="BN450" t="inlineStr">
        <is>
          <t>View Create Job Page V4</t>
        </is>
      </c>
      <c r="BO450" s="4">
        <v>46141.51962962963</v>
      </c>
      <c r="BP450">
        <v>169478</v>
      </c>
      <c r="BQ450">
        <v>54161</v>
      </c>
      <c r="BR450" t="inlineStr">
        <is>
          <t>Proforma</t>
        </is>
      </c>
      <c r="BS450" t="inlineStr">
        <is>
          <t>GLFB Gold Package</t>
        </is>
      </c>
      <c r="BT450">
        <v>40647</v>
      </c>
      <c r="BU450"/>
      <c r="BV450">
        <v>2737119</v>
      </c>
      <c r="BW450" t="inlineStr">
        <is>
          <t>Follow Up : Budget Concern</t>
        </is>
      </c>
      <c r="BX450"/>
      <c r="BY450"/>
      <c r="BZ450" s="4"/>
      <c r="CA450"/>
      <c r="CB450"/>
      <c r="CC450" s="4"/>
      <c r="CD450" t="inlineStr">
        <is>
          <t>20</t>
        </is>
      </c>
      <c r="CE450" t="inlineStr">
        <is>
          <t>0</t>
        </is>
      </c>
      <c r="CF450" t="inlineStr">
        <is>
          <t>Q2-W04</t>
        </is>
      </c>
      <c r="CG450"/>
      <c r="CH450"/>
      <c r="CI450"/>
      <c r="CJ450" t="inlineStr">
        <is>
          <t>Paid</t>
        </is>
      </c>
      <c r="CK450" t="inlineStr">
        <is>
          <t>Not Eligible</t>
        </is>
      </c>
      <c r="CL450"/>
      <c r="CM450"/>
    </row>
    <row r="451" ht="25.5" customHeight="1">
      <c r="A451" t="inlineStr">
        <is>
          <t>194058</t>
        </is>
      </c>
      <c r="B451" s="2"/>
      <c r="C451"/>
      <c r="D451" s="3">
        <v>46141.560949074075</v>
      </c>
      <c r="E451" t="inlineStr">
        <is>
          <t>Q2-W04</t>
        </is>
      </c>
      <c r="F451" t="inlineStr">
        <is>
          <t>Lucas</t>
        </is>
      </c>
      <c r="G451" t="inlineStr">
        <is>
          <t>Customer</t>
        </is>
      </c>
      <c r="H451" s="2" t="str">
        <f>=HYPERLINK("https://upbox.ajobthing.my/customer/194058", "https://upbox.ajobthing.my/customer/194058")</f>
        <v>https://upbox.ajobthing.my/customer/194058</v>
      </c>
      <c r="I451" t="inlineStr">
        <is>
          <t>SY Marketing &amp; Creatives</t>
        </is>
      </c>
      <c r="J451" t="inlineStr">
        <is>
          <t>Small Fish</t>
        </is>
      </c>
      <c r="K451" t="inlineStr">
        <is>
          <t>Lucas</t>
        </is>
      </c>
      <c r="L451" s="4"/>
      <c r="M451" s="4">
        <v>46141.55777777778</v>
      </c>
      <c r="N451"/>
      <c r="O451">
        <v>3576.96</v>
      </c>
      <c r="P451" s="4"/>
      <c r="Q451" s="4">
        <v>45860.41510416667</v>
      </c>
      <c r="R451"/>
      <c r="S451">
        <v>3888</v>
      </c>
      <c r="T451" s="4"/>
      <c r="U451" s="4"/>
      <c r="V451"/>
      <c r="W451"/>
      <c r="X451"/>
      <c r="Y451" t="inlineStr">
        <is>
          <t>Pending Appointment</t>
        </is>
      </c>
      <c r="Z451" t="inlineStr">
        <is>
          <t>Hiring Now</t>
        </is>
      </c>
      <c r="AA451">
        <v>2</v>
      </c>
      <c r="AB451" t="inlineStr">
        <is>
          <t>No Appointment Made</t>
        </is>
      </c>
      <c r="AC451"/>
      <c r="AD451" t="inlineStr">
        <is>
          <t xml:space="preserve"> 1Content marketing or social media specialist and  1 graphic designer</t>
        </is>
      </c>
      <c r="AE451"/>
      <c r="AF451">
        <v>0</v>
      </c>
      <c r="AG451" s="4"/>
      <c r="AH451" s="4"/>
      <c r="AI451">
        <v>0</v>
      </c>
      <c r="AJ451">
        <v>0</v>
      </c>
      <c r="AK451" t="inlineStr">
        <is>
          <t>No, I don't need at all</t>
        </is>
      </c>
      <c r="AL451">
        <v>0</v>
      </c>
      <c r="AM451" t="inlineStr">
        <is>
          <t>No, I don't need at all</t>
        </is>
      </c>
      <c r="AN451"/>
      <c r="AO451" t="inlineStr">
        <is>
          <t>No, I don't need at all</t>
        </is>
      </c>
      <c r="AP451" t="inlineStr">
        <is>
          <t>Once a year (25%)</t>
        </is>
      </c>
      <c r="AQ451">
        <v>2</v>
      </c>
      <c r="AR451" t="inlineStr">
        <is>
          <t>Did not use any job portal</t>
        </is>
      </c>
      <c r="AS451" t="inlineStr">
        <is>
          <t>- Headcount: 2 (1 content marketing or social media specialist, 1 graphic designer)
- Hiring Job Details: 1 content marketing or social media specialist and 1 graphic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451">
        <v>95</v>
      </c>
      <c r="AU451" t="inlineStr">
        <is>
          <t>0.95</t>
        </is>
      </c>
      <c r="AV451" t="inlineStr">
        <is>
          <t>15</t>
        </is>
      </c>
      <c r="AW451" t="inlineStr">
        <is>
          <t>0</t>
        </is>
      </c>
      <c r="AX451" t="inlineStr">
        <is>
          <t>Not Qualified</t>
        </is>
      </c>
      <c r="AY451" s="4"/>
      <c r="AZ451"/>
      <c r="BA451"/>
      <c r="BB451"/>
      <c r="BC451" t="inlineStr">
        <is>
          <t>- Headcount: 2 (1 content marketing or social media specialist, 1 graphic designer)
- Hiring Job Details: 1 content marketing or social media specialist and 1 graphic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BD451" s="4">
        <v>46141.58335648148</v>
      </c>
      <c r="BE451" t="inlineStr">
        <is>
          <t>pending</t>
        </is>
      </c>
      <c r="BF451"/>
      <c r="BG451" t="inlineStr">
        <is>
          <t>Reschedule</t>
        </is>
      </c>
      <c r="BH451" t="inlineStr">
        <is>
          <t>Yee Hang</t>
        </is>
      </c>
      <c r="BI451"/>
      <c r="BJ451" s="4">
        <v>46144.75267361111</v>
      </c>
      <c r="BK451" s="4">
        <v>45860.414675925924</v>
      </c>
      <c r="BL451" t="inlineStr">
        <is>
          <t>0.0</t>
        </is>
      </c>
      <c r="BM451" t="inlineStr">
        <is>
          <t>0.0</t>
        </is>
      </c>
      <c r="BN451" t="inlineStr">
        <is>
          <t>View Account User</t>
        </is>
      </c>
      <c r="BO451" s="4">
        <v>46141.56738425926</v>
      </c>
      <c r="BP451">
        <v>169480</v>
      </c>
      <c r="BQ451">
        <v>107020</v>
      </c>
      <c r="BR451" t="inlineStr">
        <is>
          <t>Proforma</t>
        </is>
      </c>
      <c r="BS451" t="inlineStr">
        <is>
          <t>AI Yearly Standard Plan</t>
        </is>
      </c>
      <c r="BT451"/>
      <c r="BU451"/>
      <c r="BV451">
        <v>2735156</v>
      </c>
      <c r="BW451" t="inlineStr">
        <is>
          <t>Customer Inquiry</t>
        </is>
      </c>
      <c r="BX451"/>
      <c r="BY451"/>
      <c r="BZ451" s="4"/>
      <c r="CA451"/>
      <c r="CB451"/>
      <c r="CC451" s="4"/>
      <c r="CD451" t="inlineStr">
        <is>
          <t>20</t>
        </is>
      </c>
      <c r="CE451" t="inlineStr">
        <is>
          <t>0</t>
        </is>
      </c>
      <c r="CF451" t="inlineStr">
        <is>
          <t>Q2-W04</t>
        </is>
      </c>
      <c r="CG451"/>
      <c r="CH451"/>
      <c r="CI451"/>
      <c r="CJ451" t="inlineStr">
        <is>
          <t>No Paid</t>
        </is>
      </c>
      <c r="CK451" t="inlineStr">
        <is>
          <t>Not Eligible</t>
        </is>
      </c>
      <c r="CL451"/>
      <c r="CM451"/>
    </row>
    <row r="452" ht="25.5" customHeight="1">
      <c r="A452" t="inlineStr">
        <is>
          <t>4275817</t>
        </is>
      </c>
      <c r="B452" s="2"/>
      <c r="C452"/>
      <c r="D452" s="3">
        <v>46141.56291666667</v>
      </c>
      <c r="E452" t="inlineStr">
        <is>
          <t>Q2-W04</t>
        </is>
      </c>
      <c r="F452" t="inlineStr">
        <is>
          <t>Janice Yap</t>
        </is>
      </c>
      <c r="G452" t="inlineStr">
        <is>
          <t>Lead</t>
        </is>
      </c>
      <c r="H452" s="2" t="str">
        <f>=HYPERLINK("https://upbox.ajobthing.my/leads/4275817", "https://upbox.ajobthing.my/leads/4275817")</f>
        <v>https://upbox.ajobthing.my/leads/4275817</v>
      </c>
      <c r="I452" t="inlineStr">
        <is>
          <t>3A United Sdn Bhd</t>
        </is>
      </c>
      <c r="J452" t="inlineStr">
        <is>
          <t>Small Fish</t>
        </is>
      </c>
      <c r="K452" t="inlineStr">
        <is>
          <t>Janice</t>
        </is>
      </c>
      <c r="L452" s="4"/>
      <c r="M452" s="4">
        <v>46141.55739583333</v>
      </c>
      <c r="N452"/>
      <c r="O452">
        <v>10800</v>
      </c>
      <c r="P452" s="4"/>
      <c r="Q452" s="4"/>
      <c r="R452"/>
      <c r="S452"/>
      <c r="T452" s="4"/>
      <c r="U452" s="4"/>
      <c r="V452"/>
      <c r="W452"/>
      <c r="X452"/>
      <c r="Y452" t="inlineStr">
        <is>
          <t>Pending Appointment</t>
        </is>
      </c>
      <c r="Z452" t="inlineStr">
        <is>
          <t>Hiring Now</t>
        </is>
      </c>
      <c r="AA452">
        <v>3</v>
      </c>
      <c r="AB452" t="inlineStr">
        <is>
          <t>No Appointment Made</t>
        </is>
      </c>
      <c r="AC452"/>
      <c r="AD452" t="inlineStr">
        <is>
          <t>account assist // marketing // customer service</t>
        </is>
      </c>
      <c r="AE452"/>
      <c r="AF452">
        <v>0</v>
      </c>
      <c r="AG452" s="4"/>
      <c r="AH452" s="4"/>
      <c r="AI452">
        <v>0</v>
      </c>
      <c r="AJ452"/>
      <c r="AK452" t="inlineStr">
        <is>
          <t>No, I don't need at all</t>
        </is>
      </c>
      <c r="AL452">
        <v>0</v>
      </c>
      <c r="AM452" t="inlineStr">
        <is>
          <t>No, I don't need at all</t>
        </is>
      </c>
      <c r="AN452"/>
      <c r="AO452" t="inlineStr">
        <is>
          <t>No, I don't need at all</t>
        </is>
      </c>
      <c r="AP452" t="inlineStr">
        <is>
          <t>Twice a year (50%)</t>
        </is>
      </c>
      <c r="AQ452">
        <v>6</v>
      </c>
      <c r="AR452" t="inlineStr">
        <is>
          <t>Free Job Portal</t>
        </is>
      </c>
      <c r="AS452" t="inlineStr">
        <is>
          <t>- Headcount: 3
- Hiring Job Details: account assist, marketing, customer service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6
- Hiring frequency: Twice a year (50%)
- External job portal: Free Job Portal</t>
        </is>
      </c>
      <c r="AT452">
        <v>65</v>
      </c>
      <c r="AU452" t="inlineStr">
        <is>
          <t>0.65</t>
        </is>
      </c>
      <c r="AV452" t="inlineStr">
        <is>
          <t>15</t>
        </is>
      </c>
      <c r="AW452" t="inlineStr">
        <is>
          <t>0</t>
        </is>
      </c>
      <c r="AX452" t="inlineStr">
        <is>
          <t>Not Qualified</t>
        </is>
      </c>
      <c r="AY452" s="4"/>
      <c r="AZ452"/>
      <c r="BA452"/>
      <c r="BB452"/>
      <c r="BC452"/>
      <c r="BD452" s="4"/>
      <c r="BE452"/>
      <c r="BF452"/>
      <c r="BG452" t="inlineStr">
        <is>
          <t>Reschedule</t>
        </is>
      </c>
      <c r="BH452" t="inlineStr">
        <is>
          <t>Yee Hang</t>
        </is>
      </c>
      <c r="BI452"/>
      <c r="BJ452" s="4">
        <v>46144.75581018518</v>
      </c>
      <c r="BK452" s="4">
        <v>46125.46907407408</v>
      </c>
      <c r="BL452" t="inlineStr">
        <is>
          <t>0.0</t>
        </is>
      </c>
      <c r="BM452" t="inlineStr">
        <is>
          <t>0.0</t>
        </is>
      </c>
      <c r="BN452"/>
      <c r="BO452" s="4"/>
      <c r="BP452">
        <v>169479</v>
      </c>
      <c r="BQ452"/>
      <c r="BR452"/>
      <c r="BS452"/>
      <c r="BT452"/>
      <c r="BU452"/>
      <c r="BV452"/>
      <c r="BW452"/>
      <c r="BX452"/>
      <c r="BY452"/>
      <c r="BZ452" s="4"/>
      <c r="CA452"/>
      <c r="CB452"/>
      <c r="CC452" s="4"/>
      <c r="CD452" t="inlineStr">
        <is>
          <t>20</t>
        </is>
      </c>
      <c r="CE452" t="inlineStr">
        <is>
          <t>0</t>
        </is>
      </c>
      <c r="CF452" t="inlineStr">
        <is>
          <t>Q2-W04</t>
        </is>
      </c>
      <c r="CG452"/>
      <c r="CH452"/>
      <c r="CI452"/>
      <c r="CJ452" t="inlineStr">
        <is>
          <t>No Paid</t>
        </is>
      </c>
      <c r="CK452" t="inlineStr">
        <is>
          <t>Not Eligible</t>
        </is>
      </c>
      <c r="CL452"/>
      <c r="CM452"/>
    </row>
    <row r="453" ht="25.5" customHeight="1">
      <c r="A453" t="inlineStr">
        <is>
          <t>4331624</t>
        </is>
      </c>
      <c r="B453" s="2"/>
      <c r="C453"/>
      <c r="D453" s="3">
        <v>46141.57545138889</v>
      </c>
      <c r="E453" t="inlineStr">
        <is>
          <t>Q2-W04</t>
        </is>
      </c>
      <c r="F453" t="inlineStr">
        <is>
          <t>Dickson</t>
        </is>
      </c>
      <c r="G453" t="inlineStr">
        <is>
          <t>Lead</t>
        </is>
      </c>
      <c r="H453" s="2" t="str">
        <f>=HYPERLINK("https://upbox.ajobthing.my/leads/4331624", "https://upbox.ajobthing.my/leads/4331624")</f>
        <v>https://upbox.ajobthing.my/leads/4331624</v>
      </c>
      <c r="I453" t="inlineStr">
        <is>
          <t>CY LOGISTICS SDN BHD</t>
        </is>
      </c>
      <c r="J453" t="inlineStr">
        <is>
          <t>Small Fish</t>
        </is>
      </c>
      <c r="K453" t="inlineStr">
        <is>
          <t>Dickson</t>
        </is>
      </c>
      <c r="L453" s="4"/>
      <c r="M453" s="4">
        <v>46141.57596064815</v>
      </c>
      <c r="N453"/>
      <c r="O453">
        <v>3888</v>
      </c>
      <c r="P453" s="4"/>
      <c r="Q453" s="4"/>
      <c r="R453"/>
      <c r="S453"/>
      <c r="T453" s="4"/>
      <c r="U453" s="4"/>
      <c r="V453"/>
      <c r="W453"/>
      <c r="X453"/>
      <c r="Y453" t="inlineStr">
        <is>
          <t>Pending Appointment</t>
        </is>
      </c>
      <c r="Z453" t="inlineStr">
        <is>
          <t>Hiring Now</t>
        </is>
      </c>
      <c r="AA453">
        <v>2</v>
      </c>
      <c r="AB453" t="inlineStr">
        <is>
          <t>No Appointment Made</t>
        </is>
      </c>
      <c r="AC453"/>
      <c r="AD453" t="inlineStr">
        <is>
          <t>1 junior account assistant, 1 customer service</t>
        </is>
      </c>
      <c r="AE453"/>
      <c r="AF453"/>
      <c r="AG453" s="4"/>
      <c r="AH453" s="4"/>
      <c r="AI453"/>
      <c r="AJ453">
        <v>1</v>
      </c>
      <c r="AK453" t="inlineStr">
        <is>
          <t>No, I don't need at all</t>
        </is>
      </c>
      <c r="AL453"/>
      <c r="AM453" t="inlineStr">
        <is>
          <t>No, I don't need at all</t>
        </is>
      </c>
      <c r="AN453"/>
      <c r="AO453" t="inlineStr">
        <is>
          <t>No, I don't need at all</t>
        </is>
      </c>
      <c r="AP453" t="inlineStr">
        <is>
          <t>Once per quarter (75%)</t>
        </is>
      </c>
      <c r="AQ453"/>
      <c r="AR453" t="inlineStr">
        <is>
          <t>Did not use any job portal</t>
        </is>
      </c>
      <c r="AS453" t="inlineStr">
        <is>
          <t>- Headcount: 2
- Hiring Job Details: 1 junior account assistant, 1 customer service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53">
        <v>95</v>
      </c>
      <c r="AU453" t="inlineStr">
        <is>
          <t>0.95</t>
        </is>
      </c>
      <c r="AV453" t="inlineStr">
        <is>
          <t>5</t>
        </is>
      </c>
      <c r="AW453" t="inlineStr">
        <is>
          <t>0</t>
        </is>
      </c>
      <c r="AX453" t="inlineStr">
        <is>
          <t>Not Qualified</t>
        </is>
      </c>
      <c r="AY453" s="4"/>
      <c r="AZ453"/>
      <c r="BA453"/>
      <c r="BB453"/>
      <c r="BC453"/>
      <c r="BD453" s="4"/>
      <c r="BE453"/>
      <c r="BF453"/>
      <c r="BG453" t="inlineStr">
        <is>
          <t>Reschedule</t>
        </is>
      </c>
      <c r="BH453" t="inlineStr">
        <is>
          <t>Edward Hoo</t>
        </is>
      </c>
      <c r="BI453"/>
      <c r="BJ453" s="4">
        <v>46144.755949074075</v>
      </c>
      <c r="BK453" s="4">
        <v>46141.56008101852</v>
      </c>
      <c r="BL453" t="inlineStr">
        <is>
          <t>0.0</t>
        </is>
      </c>
      <c r="BM453" t="inlineStr">
        <is>
          <t>0.0</t>
        </is>
      </c>
      <c r="BN453"/>
      <c r="BO453" s="4"/>
      <c r="BP453">
        <v>169483</v>
      </c>
      <c r="BQ453"/>
      <c r="BR453"/>
      <c r="BS453"/>
      <c r="BT453"/>
      <c r="BU453"/>
      <c r="BV453"/>
      <c r="BW453"/>
      <c r="BX453"/>
      <c r="BY453"/>
      <c r="BZ453" s="4"/>
      <c r="CA453"/>
      <c r="CB453"/>
      <c r="CC453" s="4"/>
      <c r="CD453" t="inlineStr">
        <is>
          <t>5</t>
        </is>
      </c>
      <c r="CE453" t="inlineStr">
        <is>
          <t>0</t>
        </is>
      </c>
      <c r="CF453" t="inlineStr">
        <is>
          <t>Q2-W04</t>
        </is>
      </c>
      <c r="CG453"/>
      <c r="CH453"/>
      <c r="CI453"/>
      <c r="CJ453" t="inlineStr">
        <is>
          <t>No Paid</t>
        </is>
      </c>
      <c r="CK453" t="inlineStr">
        <is>
          <t>Not Eligible</t>
        </is>
      </c>
      <c r="CL453"/>
      <c r="CM453"/>
    </row>
    <row r="454" ht="25.5" customHeight="1">
      <c r="A454" t="inlineStr">
        <is>
          <t>196621</t>
        </is>
      </c>
      <c r="B454" s="2"/>
      <c r="C454"/>
      <c r="D454" s="3">
        <v>46141.58326388889</v>
      </c>
      <c r="E454" t="inlineStr">
        <is>
          <t>Q2-W04</t>
        </is>
      </c>
      <c r="F454" t="inlineStr">
        <is>
          <t>Xin Hui</t>
        </is>
      </c>
      <c r="G454" t="inlineStr">
        <is>
          <t>Customer</t>
        </is>
      </c>
      <c r="H454" s="2" t="str">
        <f>=HYPERLINK("https://upbox.ajobthing.my/customer/196621", "https://upbox.ajobthing.my/customer/196621")</f>
        <v>https://upbox.ajobthing.my/customer/196621</v>
      </c>
      <c r="I454" t="inlineStr">
        <is>
          <t>Era-biz Corporation Sdn Bhd</t>
        </is>
      </c>
      <c r="J454" t="inlineStr">
        <is>
          <t>Small Fish</t>
        </is>
      </c>
      <c r="K454" t="inlineStr">
        <is>
          <t>Xin Hui</t>
        </is>
      </c>
      <c r="L454" s="4"/>
      <c r="M454" s="4">
        <v>46141.579780092594</v>
      </c>
      <c r="N454"/>
      <c r="O454">
        <v>1296</v>
      </c>
      <c r="P454" s="4"/>
      <c r="Q454" s="4">
        <v>46142.66888888889</v>
      </c>
      <c r="R454"/>
      <c r="S454">
        <v>864</v>
      </c>
      <c r="T454" s="4">
        <v>45928.00277777778</v>
      </c>
      <c r="U454" s="4"/>
      <c r="V454"/>
      <c r="W454">
        <v>648</v>
      </c>
      <c r="X454"/>
      <c r="Y454" t="inlineStr">
        <is>
          <t>Pending Appointment</t>
        </is>
      </c>
      <c r="Z454" t="inlineStr">
        <is>
          <t>Hiring Now</t>
        </is>
      </c>
      <c r="AA454">
        <v>1</v>
      </c>
      <c r="AB454" t="inlineStr">
        <is>
          <t>No Appointment Made</t>
        </is>
      </c>
      <c r="AC454"/>
      <c r="AD454" t="inlineStr">
        <is>
          <t>site supervisor</t>
        </is>
      </c>
      <c r="AE454"/>
      <c r="AF454"/>
      <c r="AG454" s="4"/>
      <c r="AH454" s="4"/>
      <c r="AI454"/>
      <c r="AJ454"/>
      <c r="AK454" t="inlineStr">
        <is>
          <t>No, I don't need at all</t>
        </is>
      </c>
      <c r="AL454"/>
      <c r="AM454" t="inlineStr">
        <is>
          <t>No, I don't need at all</t>
        </is>
      </c>
      <c r="AN454"/>
      <c r="AO454" t="inlineStr">
        <is>
          <t>No, I don't need at all</t>
        </is>
      </c>
      <c r="AP454" t="inlineStr">
        <is>
          <t>Once a year (25%)</t>
        </is>
      </c>
      <c r="AQ454"/>
      <c r="AR454"/>
      <c r="AS454" t="inlineStr">
        <is>
          <t>- Headcount: 1
- Hiring Job Details: site supervisor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454">
        <v>75</v>
      </c>
      <c r="AU454" t="inlineStr">
        <is>
          <t>0.75</t>
        </is>
      </c>
      <c r="AV454" t="inlineStr">
        <is>
          <t>5</t>
        </is>
      </c>
      <c r="AW454" t="inlineStr">
        <is>
          <t>0</t>
        </is>
      </c>
      <c r="AX454" t="inlineStr">
        <is>
          <t>Not Qualified</t>
        </is>
      </c>
      <c r="AY454" s="4"/>
      <c r="AZ454"/>
      <c r="BA454"/>
      <c r="BB454"/>
      <c r="BC454" t="inlineStr">
        <is>
          <t>send invoice // call through WA</t>
        </is>
      </c>
      <c r="BD454" s="4">
        <v>46142.67332175926</v>
      </c>
      <c r="BE454" t="inlineStr">
        <is>
          <t>pending</t>
        </is>
      </c>
      <c r="BF454"/>
      <c r="BG454" t="inlineStr">
        <is>
          <t>Reschedule</t>
        </is>
      </c>
      <c r="BH454" t="inlineStr">
        <is>
          <t>Yee Hang</t>
        </is>
      </c>
      <c r="BI454" t="inlineStr">
        <is>
          <t>Construction / Building</t>
        </is>
      </c>
      <c r="BJ454" s="4">
        <v>46144.75283564815</v>
      </c>
      <c r="BK454" s="4">
        <v>45927.96356481482</v>
      </c>
      <c r="BL454" t="inlineStr">
        <is>
          <t>648.0</t>
        </is>
      </c>
      <c r="BM454" t="inlineStr">
        <is>
          <t>0.0</t>
        </is>
      </c>
      <c r="BN454" t="inlineStr">
        <is>
          <t>User Visit(Logged In)</t>
        </is>
      </c>
      <c r="BO454" s="4">
        <v>45957.62326388889</v>
      </c>
      <c r="BP454">
        <v>169490</v>
      </c>
      <c r="BQ454">
        <v>124210</v>
      </c>
      <c r="BR454" t="inlineStr">
        <is>
          <t>Proforma</t>
        </is>
      </c>
      <c r="BS454" t="inlineStr">
        <is>
          <t>AI Ala Carte (Jan 26)</t>
        </is>
      </c>
      <c r="BT454">
        <v>82783</v>
      </c>
      <c r="BU454"/>
      <c r="BV454">
        <v>2738112</v>
      </c>
      <c r="BW454" t="inlineStr">
        <is>
          <t>Inquire for Hiring Needs : Invoice Sent 75%</t>
        </is>
      </c>
      <c r="BX454"/>
      <c r="BY454"/>
      <c r="BZ454" s="4"/>
      <c r="CA454"/>
      <c r="CB454"/>
      <c r="CC454" s="4"/>
      <c r="CD454" t="inlineStr">
        <is>
          <t>5</t>
        </is>
      </c>
      <c r="CE454" t="inlineStr">
        <is>
          <t>0</t>
        </is>
      </c>
      <c r="CF454" t="inlineStr">
        <is>
          <t>Q2-W04</t>
        </is>
      </c>
      <c r="CG454" t="inlineStr">
        <is>
          <t>Q2-W04</t>
        </is>
      </c>
      <c r="CH454"/>
      <c r="CI454"/>
      <c r="CJ454" t="inlineStr">
        <is>
          <t>Paid</t>
        </is>
      </c>
      <c r="CK454" t="inlineStr">
        <is>
          <t>Not Eligible</t>
        </is>
      </c>
      <c r="CL454"/>
      <c r="CM454"/>
    </row>
    <row r="455" ht="25.5" customHeight="1">
      <c r="A455" t="inlineStr">
        <is>
          <t>203786</t>
        </is>
      </c>
      <c r="B455" s="2"/>
      <c r="C455"/>
      <c r="D455" s="3">
        <v>46141.58490740741</v>
      </c>
      <c r="E455" t="inlineStr">
        <is>
          <t>Q2-W04</t>
        </is>
      </c>
      <c r="F455" t="inlineStr">
        <is>
          <t>Janice Yap</t>
        </is>
      </c>
      <c r="G455" t="inlineStr">
        <is>
          <t>Customer</t>
        </is>
      </c>
      <c r="H455" s="2" t="str">
        <f>=HYPERLINK("https://upbox.ajobthing.my/customer/203786", "https://upbox.ajobthing.my/customer/203786")</f>
        <v>https://upbox.ajobthing.my/customer/203786</v>
      </c>
      <c r="I455" t="inlineStr">
        <is>
          <t>Mvc Group Sdn. Bhd.</t>
        </is>
      </c>
      <c r="J455" t="inlineStr">
        <is>
          <t>Small Fish</t>
        </is>
      </c>
      <c r="K455" t="inlineStr">
        <is>
          <t>Janice</t>
        </is>
      </c>
      <c r="L455" s="4"/>
      <c r="M455" s="4">
        <v>46141.57733796296</v>
      </c>
      <c r="N455"/>
      <c r="O455">
        <v>3888</v>
      </c>
      <c r="P455" s="4"/>
      <c r="Q455" s="4"/>
      <c r="R455"/>
      <c r="S455"/>
      <c r="T455" s="4"/>
      <c r="U455" s="4"/>
      <c r="V455"/>
      <c r="W455"/>
      <c r="X455"/>
      <c r="Y455" t="inlineStr">
        <is>
          <t>Pending Appointment</t>
        </is>
      </c>
      <c r="Z455" t="inlineStr">
        <is>
          <t>Hiring Now</t>
        </is>
      </c>
      <c r="AA455">
        <v>2</v>
      </c>
      <c r="AB455" t="inlineStr">
        <is>
          <t>No Appointment Made</t>
        </is>
      </c>
      <c r="AC455"/>
      <c r="AD455" t="inlineStr">
        <is>
          <t>2 interior design</t>
        </is>
      </c>
      <c r="AE455"/>
      <c r="AF455">
        <v>0</v>
      </c>
      <c r="AG455" s="4"/>
      <c r="AH455" s="4"/>
      <c r="AI455">
        <v>0</v>
      </c>
      <c r="AJ455"/>
      <c r="AK455" t="inlineStr">
        <is>
          <t>No, I don't need at all</t>
        </is>
      </c>
      <c r="AL455">
        <v>0</v>
      </c>
      <c r="AM455" t="inlineStr">
        <is>
          <t>No, I don't need at all</t>
        </is>
      </c>
      <c r="AN455"/>
      <c r="AO455" t="inlineStr">
        <is>
          <t>No, I don't need at all</t>
        </is>
      </c>
      <c r="AP455" t="inlineStr">
        <is>
          <t>Once a year (25%)</t>
        </is>
      </c>
      <c r="AQ455">
        <v>2</v>
      </c>
      <c r="AR455" t="inlineStr">
        <is>
          <t>Jobstreet</t>
        </is>
      </c>
      <c r="AS455" t="inlineStr">
        <is>
          <t>- Headcount: 2
- Hiring Job Details: 2 interior design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is>
      </c>
      <c r="AT455">
        <v>105</v>
      </c>
      <c r="AU455" t="inlineStr">
        <is>
          <t>1.05</t>
        </is>
      </c>
      <c r="AV455" t="inlineStr">
        <is>
          <t>15</t>
        </is>
      </c>
      <c r="AW455" t="inlineStr">
        <is>
          <t>0</t>
        </is>
      </c>
      <c r="AX455" t="inlineStr">
        <is>
          <t>Not Qualified</t>
        </is>
      </c>
      <c r="AY455" s="4"/>
      <c r="AZ455"/>
      <c r="BA455"/>
      <c r="BB455"/>
      <c r="BC455" t="inlineStr">
        <is>
          <t>- Headcount: 2
- Hiring Job Details: 2 interior design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is>
      </c>
      <c r="BD455" s="4">
        <v>46141.625023148146</v>
      </c>
      <c r="BE455"/>
      <c r="BF455"/>
      <c r="BG455" t="inlineStr">
        <is>
          <t>Reschedule</t>
        </is>
      </c>
      <c r="BH455" t="inlineStr">
        <is>
          <t>Yee Hang</t>
        </is>
      </c>
      <c r="BI455"/>
      <c r="BJ455" s="4">
        <v>46144.75438657407</v>
      </c>
      <c r="BK455" s="4">
        <v>46141.55907407407</v>
      </c>
      <c r="BL455" t="inlineStr">
        <is>
          <t>0.0</t>
        </is>
      </c>
      <c r="BM455" t="inlineStr">
        <is>
          <t>0.0</t>
        </is>
      </c>
      <c r="BN455" t="inlineStr">
        <is>
          <t>User Visit(Logged In)</t>
        </is>
      </c>
      <c r="BO455" s="4">
        <v>46141.5591087963</v>
      </c>
      <c r="BP455">
        <v>169486</v>
      </c>
      <c r="BQ455"/>
      <c r="BR455"/>
      <c r="BS455"/>
      <c r="BT455"/>
      <c r="BU455"/>
      <c r="BV455">
        <v>2735473</v>
      </c>
      <c r="BW455" t="inlineStr">
        <is>
          <t>Customer Inquiry</t>
        </is>
      </c>
      <c r="BX455"/>
      <c r="BY455"/>
      <c r="BZ455" s="4"/>
      <c r="CA455"/>
      <c r="CB455"/>
      <c r="CC455" s="4"/>
      <c r="CD455" t="inlineStr">
        <is>
          <t>20</t>
        </is>
      </c>
      <c r="CE455" t="inlineStr">
        <is>
          <t>0</t>
        </is>
      </c>
      <c r="CF455" t="inlineStr">
        <is>
          <t>Q2-W04</t>
        </is>
      </c>
      <c r="CG455"/>
      <c r="CH455"/>
      <c r="CI455"/>
      <c r="CJ455" t="inlineStr">
        <is>
          <t>No Paid</t>
        </is>
      </c>
      <c r="CK455" t="inlineStr">
        <is>
          <t>Not Eligible</t>
        </is>
      </c>
      <c r="CL455"/>
      <c r="CM455"/>
    </row>
    <row r="456" ht="25.5" customHeight="1">
      <c r="A456" t="inlineStr">
        <is>
          <t>4331368</t>
        </is>
      </c>
      <c r="B456" s="2"/>
      <c r="C456"/>
      <c r="D456" s="3">
        <v>46141.590266203704</v>
      </c>
      <c r="E456" t="inlineStr">
        <is>
          <t>Q2-W04</t>
        </is>
      </c>
      <c r="F456" t="inlineStr">
        <is>
          <t>Keegan</t>
        </is>
      </c>
      <c r="G456" t="inlineStr">
        <is>
          <t>Lead</t>
        </is>
      </c>
      <c r="H456" s="2" t="str">
        <f>=HYPERLINK("https://upbox.ajobthing.my/leads/4331368", "https://upbox.ajobthing.my/leads/4331368")</f>
        <v>https://upbox.ajobthing.my/leads/4331368</v>
      </c>
      <c r="I456" t="inlineStr">
        <is>
          <t>Freelance Consultant</t>
        </is>
      </c>
      <c r="J456" t="inlineStr">
        <is>
          <t>Small Fish</t>
        </is>
      </c>
      <c r="K456" t="inlineStr">
        <is>
          <t>Keegan</t>
        </is>
      </c>
      <c r="L456" s="4"/>
      <c r="M456" s="4">
        <v>46141.58934027778</v>
      </c>
      <c r="N456"/>
      <c r="O456">
        <v>3576.96</v>
      </c>
      <c r="P456" s="4"/>
      <c r="Q456" s="4"/>
      <c r="R456"/>
      <c r="S456"/>
      <c r="T456" s="4"/>
      <c r="U456" s="4"/>
      <c r="V456"/>
      <c r="W456"/>
      <c r="X456"/>
      <c r="Y456" t="inlineStr">
        <is>
          <t>Pending Appointment</t>
        </is>
      </c>
      <c r="Z456" t="inlineStr">
        <is>
          <t>Hiring Now</t>
        </is>
      </c>
      <c r="AA456">
        <v>1</v>
      </c>
      <c r="AB456" t="inlineStr">
        <is>
          <t>No Appointment Made</t>
        </is>
      </c>
      <c r="AC456"/>
      <c r="AD456" t="inlineStr">
        <is>
          <t xml:space="preserve">1. Recruiter </t>
        </is>
      </c>
      <c r="AE456"/>
      <c r="AF456"/>
      <c r="AG456" s="4"/>
      <c r="AH456" s="4"/>
      <c r="AI456"/>
      <c r="AJ456">
        <v>1</v>
      </c>
      <c r="AK456" t="inlineStr">
        <is>
          <t>No, I don't need at all</t>
        </is>
      </c>
      <c r="AL456">
        <v>0</v>
      </c>
      <c r="AM456" t="inlineStr">
        <is>
          <t>No, I don't need at all</t>
        </is>
      </c>
      <c r="AN456"/>
      <c r="AO456" t="inlineStr">
        <is>
          <t>No, I don't need at all</t>
        </is>
      </c>
      <c r="AP456" t="inlineStr">
        <is>
          <t>Once per quarter (75%)</t>
        </is>
      </c>
      <c r="AQ456"/>
      <c r="AR456" t="inlineStr">
        <is>
          <t>Did not use any job portal</t>
        </is>
      </c>
      <c r="AS456" t="inlineStr">
        <is>
          <t>- Headcount: 1
- Hiring Job Details: 1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56">
        <v>85</v>
      </c>
      <c r="AU456" t="inlineStr">
        <is>
          <t>0.85</t>
        </is>
      </c>
      <c r="AV456" t="inlineStr">
        <is>
          <t>5</t>
        </is>
      </c>
      <c r="AW456" t="inlineStr">
        <is>
          <t>0</t>
        </is>
      </c>
      <c r="AX456" t="inlineStr">
        <is>
          <t>Not Qualified</t>
        </is>
      </c>
      <c r="AY456" s="4"/>
      <c r="AZ456"/>
      <c r="BA456"/>
      <c r="BB456"/>
      <c r="BC456"/>
      <c r="BD456" s="4"/>
      <c r="BE456"/>
      <c r="BF456"/>
      <c r="BG456" t="inlineStr">
        <is>
          <t>Reschedule</t>
        </is>
      </c>
      <c r="BH456" t="inlineStr">
        <is>
          <t>Edward Hoo</t>
        </is>
      </c>
      <c r="BI456"/>
      <c r="BJ456" s="4">
        <v>46144.755949074075</v>
      </c>
      <c r="BK456" s="4">
        <v>46141.50313657407</v>
      </c>
      <c r="BL456" t="inlineStr">
        <is>
          <t>0.0</t>
        </is>
      </c>
      <c r="BM456" t="inlineStr">
        <is>
          <t>0.0</t>
        </is>
      </c>
      <c r="BN456"/>
      <c r="BO456" s="4"/>
      <c r="BP456">
        <v>169493</v>
      </c>
      <c r="BQ456"/>
      <c r="BR456"/>
      <c r="BS456"/>
      <c r="BT456"/>
      <c r="BU456"/>
      <c r="BV456"/>
      <c r="BW456"/>
      <c r="BX456"/>
      <c r="BY456"/>
      <c r="BZ456" s="4"/>
      <c r="CA456"/>
      <c r="CB456"/>
      <c r="CC456" s="4"/>
      <c r="CD456" t="inlineStr">
        <is>
          <t>5</t>
        </is>
      </c>
      <c r="CE456" t="inlineStr">
        <is>
          <t>0</t>
        </is>
      </c>
      <c r="CF456" t="inlineStr">
        <is>
          <t>Q2-W04</t>
        </is>
      </c>
      <c r="CG456"/>
      <c r="CH456"/>
      <c r="CI456"/>
      <c r="CJ456" t="inlineStr">
        <is>
          <t>No Paid</t>
        </is>
      </c>
      <c r="CK456" t="inlineStr">
        <is>
          <t>Not Eligible</t>
        </is>
      </c>
      <c r="CL456"/>
      <c r="CM456"/>
    </row>
    <row r="457" ht="25.5" customHeight="1">
      <c r="A457" t="inlineStr">
        <is>
          <t>203792</t>
        </is>
      </c>
      <c r="B457" s="2"/>
      <c r="C457"/>
      <c r="D457" s="3">
        <v>46141.592210648145</v>
      </c>
      <c r="E457" t="inlineStr">
        <is>
          <t>Q2-W04</t>
        </is>
      </c>
      <c r="F457" t="inlineStr">
        <is>
          <t>Fariz</t>
        </is>
      </c>
      <c r="G457" t="inlineStr">
        <is>
          <t>Customer</t>
        </is>
      </c>
      <c r="H457" s="2" t="str">
        <f>=HYPERLINK("https://upbox.ajobthing.my/customer/203792", "https://upbox.ajobthing.my/customer/203792")</f>
        <v>https://upbox.ajobthing.my/customer/203792</v>
      </c>
      <c r="I457" t="inlineStr">
        <is>
          <t>Sunshine Kids</t>
        </is>
      </c>
      <c r="J457" t="inlineStr">
        <is>
          <t>Small Fish</t>
        </is>
      </c>
      <c r="K457" t="inlineStr">
        <is>
          <t>Fariz</t>
        </is>
      </c>
      <c r="L457" s="4"/>
      <c r="M457" s="4">
        <v>46141.59388888889</v>
      </c>
      <c r="N457"/>
      <c r="O457">
        <v>1296</v>
      </c>
      <c r="P457" s="4"/>
      <c r="Q457" s="4"/>
      <c r="R457"/>
      <c r="S457"/>
      <c r="T457" s="4"/>
      <c r="U457" s="4"/>
      <c r="V457"/>
      <c r="W457"/>
      <c r="X457"/>
      <c r="Y457" t="inlineStr">
        <is>
          <t>Pending Appointment</t>
        </is>
      </c>
      <c r="Z457" t="inlineStr">
        <is>
          <t>Hiring Now</t>
        </is>
      </c>
      <c r="AA457">
        <v>2</v>
      </c>
      <c r="AB457" t="inlineStr">
        <is>
          <t>No Appointment Made</t>
        </is>
      </c>
      <c r="AC457"/>
      <c r="AD457" t="inlineStr">
        <is>
          <t>2 preshool teacher</t>
        </is>
      </c>
      <c r="AE457"/>
      <c r="AF457">
        <v>1200</v>
      </c>
      <c r="AG457" s="4"/>
      <c r="AH457" s="4"/>
      <c r="AI457">
        <v>1200</v>
      </c>
      <c r="AJ457"/>
      <c r="AK457" t="inlineStr">
        <is>
          <t>No, I don't need at all</t>
        </is>
      </c>
      <c r="AL457">
        <v>1</v>
      </c>
      <c r="AM457" t="inlineStr">
        <is>
          <t>No, I don't need at all</t>
        </is>
      </c>
      <c r="AN457"/>
      <c r="AO457" t="inlineStr">
        <is>
          <t>No, but I want in future</t>
        </is>
      </c>
      <c r="AP457" t="inlineStr">
        <is>
          <t>Once a year (25%)</t>
        </is>
      </c>
      <c r="AQ457">
        <v>2</v>
      </c>
      <c r="AR457" t="inlineStr">
        <is>
          <t>Free Job Portal</t>
        </is>
      </c>
      <c r="AS457" t="inlineStr">
        <is>
          <t>- Headcount: 2
- Hiring Job Details: 2 preshool teacher
- Hiring Urgency: Hiring Now
- Number of outlets: 
- Have recruiter team: No, I don't need at all
- Number of recruiter in company: 1
- Have ATS system: No, I don't need at all
- Have career website: No, but I want in future
- Current hiring budget: RM1,200
- Whole year budget: RM1,200.00
- Whole year number of vacancies: 2
- Hiring frequency: Once a year (25%)
- External job portal: Free Job Portal</t>
        </is>
      </c>
      <c r="AT457">
        <v>115</v>
      </c>
      <c r="AU457" t="inlineStr">
        <is>
          <t>1.15</t>
        </is>
      </c>
      <c r="AV457" t="inlineStr">
        <is>
          <t>15</t>
        </is>
      </c>
      <c r="AW457" t="inlineStr">
        <is>
          <t>0</t>
        </is>
      </c>
      <c r="AX457" t="inlineStr">
        <is>
          <t>Not Qualified</t>
        </is>
      </c>
      <c r="AY457" s="4"/>
      <c r="AZ457"/>
      <c r="BA457"/>
      <c r="BB457"/>
      <c r="BC457" t="inlineStr">
        <is>
          <t>still discuss with her partner. price to high. consider</t>
        </is>
      </c>
      <c r="BD457" s="4">
        <v>46142.62662037037</v>
      </c>
      <c r="BE457"/>
      <c r="BF457"/>
      <c r="BG457" t="inlineStr">
        <is>
          <t>Reschedule</t>
        </is>
      </c>
      <c r="BH457" t="inlineStr">
        <is>
          <t>Edward Hoo</t>
        </is>
      </c>
      <c r="BI457"/>
      <c r="BJ457" s="4">
        <v>46144.75438657407</v>
      </c>
      <c r="BK457" s="4">
        <v>46141.588738425926</v>
      </c>
      <c r="BL457" t="inlineStr">
        <is>
          <t>0.0</t>
        </is>
      </c>
      <c r="BM457" t="inlineStr">
        <is>
          <t>0.0</t>
        </is>
      </c>
      <c r="BN457"/>
      <c r="BO457" s="4"/>
      <c r="BP457">
        <v>169496</v>
      </c>
      <c r="BQ457"/>
      <c r="BR457"/>
      <c r="BS457"/>
      <c r="BT457"/>
      <c r="BU457"/>
      <c r="BV457">
        <v>2737875</v>
      </c>
      <c r="BW457" t="inlineStr">
        <is>
          <t>Follow Up : Decision Pending</t>
        </is>
      </c>
      <c r="BX457"/>
      <c r="BY457"/>
      <c r="BZ457" s="4"/>
      <c r="CA457"/>
      <c r="CB457"/>
      <c r="CC457" s="4"/>
      <c r="CD457" t="inlineStr">
        <is>
          <t>20</t>
        </is>
      </c>
      <c r="CE457" t="inlineStr">
        <is>
          <t>0</t>
        </is>
      </c>
      <c r="CF457" t="inlineStr">
        <is>
          <t>Q2-W04</t>
        </is>
      </c>
      <c r="CG457"/>
      <c r="CH457"/>
      <c r="CI457"/>
      <c r="CJ457" t="inlineStr">
        <is>
          <t>No Paid</t>
        </is>
      </c>
      <c r="CK457" t="inlineStr">
        <is>
          <t>Not Eligible</t>
        </is>
      </c>
      <c r="CL457"/>
      <c r="CM457"/>
    </row>
    <row r="458" ht="25.5" customHeight="1">
      <c r="A458" t="inlineStr">
        <is>
          <t>4331368</t>
        </is>
      </c>
      <c r="B458" s="2"/>
      <c r="C458"/>
      <c r="D458" s="3">
        <v>46141.59273148148</v>
      </c>
      <c r="E458" t="inlineStr">
        <is>
          <t>Q2-W04</t>
        </is>
      </c>
      <c r="F458" t="inlineStr">
        <is>
          <t>Keegan</t>
        </is>
      </c>
      <c r="G458" t="inlineStr">
        <is>
          <t>Lead</t>
        </is>
      </c>
      <c r="H458" s="2" t="str">
        <f>=HYPERLINK("https://upbox.ajobthing.my/leads/4331368", "https://upbox.ajobthing.my/leads/4331368")</f>
        <v>https://upbox.ajobthing.my/leads/4331368</v>
      </c>
      <c r="I458" t="inlineStr">
        <is>
          <t>Freelance Consultant</t>
        </is>
      </c>
      <c r="J458" t="inlineStr">
        <is>
          <t>Small Fish</t>
        </is>
      </c>
      <c r="K458" t="inlineStr">
        <is>
          <t>Keegan</t>
        </is>
      </c>
      <c r="L458" s="4"/>
      <c r="M458" s="4">
        <v>46141.58934027778</v>
      </c>
      <c r="N458"/>
      <c r="O458">
        <v>3576.96</v>
      </c>
      <c r="P458" s="4"/>
      <c r="Q458" s="4"/>
      <c r="R458"/>
      <c r="S458"/>
      <c r="T458" s="4"/>
      <c r="U458" s="4"/>
      <c r="V458"/>
      <c r="W458"/>
      <c r="X458"/>
      <c r="Y458" t="inlineStr">
        <is>
          <t>Pending Appointment</t>
        </is>
      </c>
      <c r="Z458" t="inlineStr">
        <is>
          <t>Hiring Now</t>
        </is>
      </c>
      <c r="AA458">
        <v>1</v>
      </c>
      <c r="AB458" t="inlineStr">
        <is>
          <t>No Appointment Made</t>
        </is>
      </c>
      <c r="AC458"/>
      <c r="AD458" t="inlineStr">
        <is>
          <t xml:space="preserve">1. Recruiter </t>
        </is>
      </c>
      <c r="AE458"/>
      <c r="AF458"/>
      <c r="AG458" s="4"/>
      <c r="AH458" s="4"/>
      <c r="AI458"/>
      <c r="AJ458">
        <v>1</v>
      </c>
      <c r="AK458" t="inlineStr">
        <is>
          <t>No, I don't need at all</t>
        </is>
      </c>
      <c r="AL458">
        <v>0</v>
      </c>
      <c r="AM458" t="inlineStr">
        <is>
          <t>No, I don't need at all</t>
        </is>
      </c>
      <c r="AN458"/>
      <c r="AO458" t="inlineStr">
        <is>
          <t>No, I don't need at all</t>
        </is>
      </c>
      <c r="AP458" t="inlineStr">
        <is>
          <t>Once per quarter (75%)</t>
        </is>
      </c>
      <c r="AQ458"/>
      <c r="AR458" t="inlineStr">
        <is>
          <t>Did not use any job portal</t>
        </is>
      </c>
      <c r="AS458" t="inlineStr">
        <is>
          <t>- Headcount: 1
- Hiring Job Details: 1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58">
        <v>75</v>
      </c>
      <c r="AU458" t="inlineStr">
        <is>
          <t>0.75</t>
        </is>
      </c>
      <c r="AV458" t="inlineStr">
        <is>
          <t>5</t>
        </is>
      </c>
      <c r="AW458" t="inlineStr">
        <is>
          <t>0</t>
        </is>
      </c>
      <c r="AX458" t="inlineStr">
        <is>
          <t>Not Qualified</t>
        </is>
      </c>
      <c r="AY458" s="4"/>
      <c r="AZ458"/>
      <c r="BA458"/>
      <c r="BB458"/>
      <c r="BC458"/>
      <c r="BD458" s="4"/>
      <c r="BE458"/>
      <c r="BF458"/>
      <c r="BG458" t="inlineStr">
        <is>
          <t>Reschedule</t>
        </is>
      </c>
      <c r="BH458" t="inlineStr">
        <is>
          <t>Edward Hoo</t>
        </is>
      </c>
      <c r="BI458"/>
      <c r="BJ458" s="4">
        <v>46144.755949074075</v>
      </c>
      <c r="BK458" s="4">
        <v>46141.50313657407</v>
      </c>
      <c r="BL458" t="inlineStr">
        <is>
          <t>0.0</t>
        </is>
      </c>
      <c r="BM458" t="inlineStr">
        <is>
          <t>0.0</t>
        </is>
      </c>
      <c r="BN458"/>
      <c r="BO458" s="4"/>
      <c r="BP458">
        <v>169493</v>
      </c>
      <c r="BQ458"/>
      <c r="BR458"/>
      <c r="BS458"/>
      <c r="BT458"/>
      <c r="BU458"/>
      <c r="BV458"/>
      <c r="BW458"/>
      <c r="BX458"/>
      <c r="BY458"/>
      <c r="BZ458" s="4"/>
      <c r="CA458"/>
      <c r="CB458"/>
      <c r="CC458" s="4"/>
      <c r="CD458" t="inlineStr">
        <is>
          <t>5</t>
        </is>
      </c>
      <c r="CE458" t="inlineStr">
        <is>
          <t>0</t>
        </is>
      </c>
      <c r="CF458" t="inlineStr">
        <is>
          <t>Q2-W04</t>
        </is>
      </c>
      <c r="CG458"/>
      <c r="CH458"/>
      <c r="CI458"/>
      <c r="CJ458" t="inlineStr">
        <is>
          <t>No Paid</t>
        </is>
      </c>
      <c r="CK458" t="inlineStr">
        <is>
          <t>Not Eligible</t>
        </is>
      </c>
      <c r="CL458"/>
      <c r="CM458"/>
    </row>
    <row r="459" ht="25.5" customHeight="1">
      <c r="A459" t="inlineStr">
        <is>
          <t>175193</t>
        </is>
      </c>
      <c r="B459" s="2"/>
      <c r="C459"/>
      <c r="D459" s="3">
        <v>46141.59341435185</v>
      </c>
      <c r="E459" t="inlineStr">
        <is>
          <t>Q2-W04</t>
        </is>
      </c>
      <c r="F459" t="inlineStr">
        <is>
          <t>Jeff Lee</t>
        </is>
      </c>
      <c r="G459" t="inlineStr">
        <is>
          <t>Customer</t>
        </is>
      </c>
      <c r="H459" s="2" t="str">
        <f>=HYPERLINK("https://upbox.ajobthing.my/customer/175193", "https://upbox.ajobthing.my/customer/175193")</f>
        <v>https://upbox.ajobthing.my/customer/175193</v>
      </c>
      <c r="I459" t="inlineStr">
        <is>
          <t>Drybox My Sdn. Bhd.</t>
        </is>
      </c>
      <c r="J459" t="inlineStr">
        <is>
          <t>Small Fish</t>
        </is>
      </c>
      <c r="K459" t="inlineStr">
        <is>
          <t>Jeff Lee</t>
        </is>
      </c>
      <c r="L459" s="4"/>
      <c r="M459" s="4">
        <v>46141.590995370374</v>
      </c>
      <c r="N459"/>
      <c r="O459">
        <v>3888</v>
      </c>
      <c r="P459" s="4"/>
      <c r="Q459" s="4">
        <v>45350.59206018518</v>
      </c>
      <c r="R459"/>
      <c r="S459">
        <v>31.8</v>
      </c>
      <c r="T459" s="4">
        <v>45350.59206018518</v>
      </c>
      <c r="U459" s="4"/>
      <c r="V459"/>
      <c r="W459">
        <v>31.8</v>
      </c>
      <c r="X459"/>
      <c r="Y459" t="inlineStr">
        <is>
          <t>Pending Appointment</t>
        </is>
      </c>
      <c r="Z459" t="inlineStr">
        <is>
          <t>Hiring Now</t>
        </is>
      </c>
      <c r="AA459">
        <v>2</v>
      </c>
      <c r="AB459" t="inlineStr">
        <is>
          <t>No Appointment Made</t>
        </is>
      </c>
      <c r="AC459"/>
      <c r="AD459" t="inlineStr">
        <is>
          <t>2 Sales person</t>
        </is>
      </c>
      <c r="AE459"/>
      <c r="AF459">
        <v>0</v>
      </c>
      <c r="AG459" s="4"/>
      <c r="AH459" s="4"/>
      <c r="AI459">
        <v>0</v>
      </c>
      <c r="AJ459">
        <v>0</v>
      </c>
      <c r="AK459" t="inlineStr">
        <is>
          <t>No, I don't need at all</t>
        </is>
      </c>
      <c r="AL459">
        <v>0</v>
      </c>
      <c r="AM459" t="inlineStr">
        <is>
          <t>No, I don't need at all</t>
        </is>
      </c>
      <c r="AN459"/>
      <c r="AO459" t="inlineStr">
        <is>
          <t>No, I don't need at all</t>
        </is>
      </c>
      <c r="AP459" t="inlineStr">
        <is>
          <t>Once a year (25%)</t>
        </is>
      </c>
      <c r="AQ459">
        <v>2</v>
      </c>
      <c r="AR459" t="inlineStr">
        <is>
          <t>Indeed (Paid)</t>
        </is>
      </c>
      <c r="AS459" t="inlineStr">
        <is>
          <t>- Headcount: 2
- Hiring Job Details: 2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Indeed (Paid)</t>
        </is>
      </c>
      <c r="AT459">
        <v>110</v>
      </c>
      <c r="AU459" t="inlineStr">
        <is>
          <t>1.10</t>
        </is>
      </c>
      <c r="AV459" t="inlineStr">
        <is>
          <t>15</t>
        </is>
      </c>
      <c r="AW459" t="inlineStr">
        <is>
          <t>0</t>
        </is>
      </c>
      <c r="AX459" t="inlineStr">
        <is>
          <t>Not Qualified</t>
        </is>
      </c>
      <c r="AY459" s="4"/>
      <c r="AZ459"/>
      <c r="BA459"/>
      <c r="BB459"/>
      <c r="BC459" t="inlineStr">
        <is>
          <t>- Headcount: 2
- Hiring Job Details: 2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Indeed (Paid)</t>
        </is>
      </c>
      <c r="BD459" s="4">
        <v>46141.62503472222</v>
      </c>
      <c r="BE459" t="inlineStr">
        <is>
          <t>paid</t>
        </is>
      </c>
      <c r="BF459"/>
      <c r="BG459" t="inlineStr">
        <is>
          <t>Reschedule</t>
        </is>
      </c>
      <c r="BH459" t="inlineStr">
        <is>
          <t>Yee Hang</t>
        </is>
      </c>
      <c r="BI459" t="inlineStr">
        <is>
          <t>Electrical / Electronics</t>
        </is>
      </c>
      <c r="BJ459" s="4">
        <v>46144.751608796294</v>
      </c>
      <c r="BK459" s="4">
        <v>45327.461122685185</v>
      </c>
      <c r="BL459" t="inlineStr">
        <is>
          <t>0.0</t>
        </is>
      </c>
      <c r="BM459" t="inlineStr">
        <is>
          <t>0.0</t>
        </is>
      </c>
      <c r="BN459" t="inlineStr">
        <is>
          <t>View Company Page</t>
        </is>
      </c>
      <c r="BO459" s="4">
        <v>45814.6787962963</v>
      </c>
      <c r="BP459">
        <v>169495</v>
      </c>
      <c r="BQ459">
        <v>66334</v>
      </c>
      <c r="BR459" t="inlineStr">
        <is>
          <t>Online</t>
        </is>
      </c>
      <c r="BS459"/>
      <c r="BT459">
        <v>66334</v>
      </c>
      <c r="BU459"/>
      <c r="BV459">
        <v>2735480</v>
      </c>
      <c r="BW459" t="inlineStr">
        <is>
          <t>Customer Inquiry</t>
        </is>
      </c>
      <c r="BX459"/>
      <c r="BY459"/>
      <c r="BZ459" s="4"/>
      <c r="CA459"/>
      <c r="CB459"/>
      <c r="CC459" s="4"/>
      <c r="CD459" t="inlineStr">
        <is>
          <t>20</t>
        </is>
      </c>
      <c r="CE459" t="inlineStr">
        <is>
          <t>0</t>
        </is>
      </c>
      <c r="CF459" t="inlineStr">
        <is>
          <t>Q2-W04</t>
        </is>
      </c>
      <c r="CG459"/>
      <c r="CH459"/>
      <c r="CI459"/>
      <c r="CJ459" t="inlineStr">
        <is>
          <t>Paid</t>
        </is>
      </c>
      <c r="CK459" t="inlineStr">
        <is>
          <t>Not Eligible</t>
        </is>
      </c>
      <c r="CL459"/>
      <c r="CM459"/>
    </row>
    <row r="460" ht="25.5" customHeight="1">
      <c r="A460" t="inlineStr">
        <is>
          <t>202627</t>
        </is>
      </c>
      <c r="B460" s="2"/>
      <c r="C460"/>
      <c r="D460" s="3">
        <v>46141.593831018516</v>
      </c>
      <c r="E460" t="inlineStr">
        <is>
          <t>Q2-W04</t>
        </is>
      </c>
      <c r="F460" t="inlineStr">
        <is>
          <t>Keegan</t>
        </is>
      </c>
      <c r="G460" t="inlineStr">
        <is>
          <t>Customer</t>
        </is>
      </c>
      <c r="H460" s="2" t="str">
        <f>=HYPERLINK("https://upbox.ajobthing.my/customer/202627", "https://upbox.ajobthing.my/customer/202627")</f>
        <v>https://upbox.ajobthing.my/customer/202627</v>
      </c>
      <c r="I460" t="inlineStr">
        <is>
          <t>Vertenz International Sdn Bhd</t>
        </is>
      </c>
      <c r="J460" t="inlineStr">
        <is>
          <t>Small Fish</t>
        </is>
      </c>
      <c r="K460" t="inlineStr">
        <is>
          <t>Keegan</t>
        </is>
      </c>
      <c r="L460" s="4"/>
      <c r="M460" s="4">
        <v>46141.59483796296</v>
      </c>
      <c r="N460"/>
      <c r="O460">
        <v>3888</v>
      </c>
      <c r="P460" s="4"/>
      <c r="Q460" s="4">
        <v>46113.397361111114</v>
      </c>
      <c r="R460"/>
      <c r="S460">
        <v>0</v>
      </c>
      <c r="T460" s="4"/>
      <c r="U460" s="4"/>
      <c r="V460"/>
      <c r="W460"/>
      <c r="X460"/>
      <c r="Y460" t="inlineStr">
        <is>
          <t>Pending Appointment</t>
        </is>
      </c>
      <c r="Z460" t="inlineStr">
        <is>
          <t>Hiring Now</t>
        </is>
      </c>
      <c r="AA460">
        <v>2</v>
      </c>
      <c r="AB460" t="inlineStr">
        <is>
          <t>No Appointment Made</t>
        </is>
      </c>
      <c r="AC460"/>
      <c r="AD460" t="inlineStr">
        <is>
          <t xml:space="preserve">1. Admin 
2. Sales </t>
        </is>
      </c>
      <c r="AE460"/>
      <c r="AF460"/>
      <c r="AG460" s="4"/>
      <c r="AH460" s="4"/>
      <c r="AI460"/>
      <c r="AJ460">
        <v>1</v>
      </c>
      <c r="AK460" t="inlineStr">
        <is>
          <t>No, I don't need at all</t>
        </is>
      </c>
      <c r="AL460">
        <v>0</v>
      </c>
      <c r="AM460" t="inlineStr">
        <is>
          <t>No, I don't need at all</t>
        </is>
      </c>
      <c r="AN460"/>
      <c r="AO460" t="inlineStr">
        <is>
          <t>No, I don't need at all</t>
        </is>
      </c>
      <c r="AP460" t="inlineStr">
        <is>
          <t>Once per quarter (75%)</t>
        </is>
      </c>
      <c r="AQ460"/>
      <c r="AR460" t="inlineStr">
        <is>
          <t>Did not use any job portal</t>
        </is>
      </c>
      <c r="AS460" t="inlineStr">
        <is>
          <t>- Headcount: 2
- Hiring Job Details: 1. Admin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460">
        <v>85</v>
      </c>
      <c r="AU460" t="inlineStr">
        <is>
          <t>0.85</t>
        </is>
      </c>
      <c r="AV460" t="inlineStr">
        <is>
          <t>5</t>
        </is>
      </c>
      <c r="AW460" t="inlineStr">
        <is>
          <t>0</t>
        </is>
      </c>
      <c r="AX460" t="inlineStr">
        <is>
          <t>Not Qualified</t>
        </is>
      </c>
      <c r="AY460" s="4"/>
      <c r="AZ460"/>
      <c r="BA460"/>
      <c r="BB460"/>
      <c r="BC460" t="inlineStr">
        <is>
          <t>- Headcount: 2
- Hiring Job Details: 1. Admin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460" s="4">
        <v>46141.62503472222</v>
      </c>
      <c r="BE460" t="inlineStr">
        <is>
          <t>paid</t>
        </is>
      </c>
      <c r="BF460"/>
      <c r="BG460" t="inlineStr">
        <is>
          <t>Reschedule</t>
        </is>
      </c>
      <c r="BH460" t="inlineStr">
        <is>
          <t>Edward Hoo</t>
        </is>
      </c>
      <c r="BI460" t="inlineStr">
        <is>
          <t>Retail / Merchandise</t>
        </is>
      </c>
      <c r="BJ460" s="4">
        <v>46144.75407407407</v>
      </c>
      <c r="BK460" s="4">
        <v>46112.58274305556</v>
      </c>
      <c r="BL460" t="inlineStr">
        <is>
          <t>0.0</t>
        </is>
      </c>
      <c r="BM460" t="inlineStr">
        <is>
          <t>450.0</t>
        </is>
      </c>
      <c r="BN460" t="inlineStr">
        <is>
          <t>User Visit(Logged In)</t>
        </is>
      </c>
      <c r="BO460" s="4">
        <v>46129.56873842593</v>
      </c>
      <c r="BP460">
        <v>169497</v>
      </c>
      <c r="BQ460">
        <v>119143</v>
      </c>
      <c r="BR460" t="inlineStr">
        <is>
          <t>Proforma</t>
        </is>
      </c>
      <c r="BS460" t="inlineStr">
        <is>
          <t>Free Internship Job</t>
        </is>
      </c>
      <c r="BT460"/>
      <c r="BU460"/>
      <c r="BV460">
        <v>2735481</v>
      </c>
      <c r="BW460" t="inlineStr">
        <is>
          <t>Customer Inquiry</t>
        </is>
      </c>
      <c r="BX460"/>
      <c r="BY460"/>
      <c r="BZ460" s="4"/>
      <c r="CA460"/>
      <c r="CB460"/>
      <c r="CC460" s="4"/>
      <c r="CD460" t="inlineStr">
        <is>
          <t>5</t>
        </is>
      </c>
      <c r="CE460" t="inlineStr">
        <is>
          <t>0</t>
        </is>
      </c>
      <c r="CF460" t="inlineStr">
        <is>
          <t>Q2-W04</t>
        </is>
      </c>
      <c r="CG460" t="inlineStr">
        <is>
          <t>Q1-W13</t>
        </is>
      </c>
      <c r="CH460"/>
      <c r="CI460"/>
      <c r="CJ460" t="inlineStr">
        <is>
          <t>No Paid</t>
        </is>
      </c>
      <c r="CK460" t="inlineStr">
        <is>
          <t>Not Eligible</t>
        </is>
      </c>
      <c r="CL460"/>
      <c r="CM460"/>
    </row>
    <row r="461" ht="25.5" customHeight="1">
      <c r="A461" t="inlineStr">
        <is>
          <t>184894</t>
        </is>
      </c>
      <c r="B461" s="2"/>
      <c r="C461"/>
      <c r="D461" s="3">
        <v>46141.596666666665</v>
      </c>
      <c r="E461" t="inlineStr">
        <is>
          <t>Q2-W04</t>
        </is>
      </c>
      <c r="F461" t="inlineStr">
        <is>
          <t>Xin Quan</t>
        </is>
      </c>
      <c r="G461" t="inlineStr">
        <is>
          <t>Customer</t>
        </is>
      </c>
      <c r="H461" s="2" t="str">
        <f>=HYPERLINK("https://upbox.ajobthing.my/customer/184894", "https://upbox.ajobthing.my/customer/184894")</f>
        <v>https://upbox.ajobthing.my/customer/184894</v>
      </c>
      <c r="I461" t="inlineStr">
        <is>
          <t>Blue I Solutions (M) Sdn Bhd</t>
        </is>
      </c>
      <c r="J461" t="inlineStr">
        <is>
          <t>Small Fish</t>
        </is>
      </c>
      <c r="K461" t="inlineStr">
        <is>
          <t>Xin Quan</t>
        </is>
      </c>
      <c r="L461" s="4"/>
      <c r="M461" s="4">
        <v>46141.596863425926</v>
      </c>
      <c r="N461"/>
      <c r="O461">
        <v>6048</v>
      </c>
      <c r="P461" s="4"/>
      <c r="Q461" s="4"/>
      <c r="R461"/>
      <c r="S461"/>
      <c r="T461" s="4"/>
      <c r="U461" s="4"/>
      <c r="V461"/>
      <c r="W461"/>
      <c r="X461"/>
      <c r="Y461" t="inlineStr">
        <is>
          <t>Pending Appointment</t>
        </is>
      </c>
      <c r="Z461" t="inlineStr">
        <is>
          <t>Hiring Now</t>
        </is>
      </c>
      <c r="AA461">
        <v>10</v>
      </c>
      <c r="AB461" t="inlineStr">
        <is>
          <t>No Appointment Made</t>
        </is>
      </c>
      <c r="AC461"/>
      <c r="AD461" t="inlineStr">
        <is>
          <t xml:space="preserve">10 worker , Base in East Malaysia </t>
        </is>
      </c>
      <c r="AE461"/>
      <c r="AF461">
        <v>6000</v>
      </c>
      <c r="AG461" s="4"/>
      <c r="AH461" s="4"/>
      <c r="AI461">
        <v>120000</v>
      </c>
      <c r="AJ461">
        <v>2</v>
      </c>
      <c r="AK461" t="inlineStr">
        <is>
          <t>No, I don't need at all</t>
        </is>
      </c>
      <c r="AL461">
        <v>1</v>
      </c>
      <c r="AM461" t="inlineStr">
        <is>
          <t>No, I don't need at all</t>
        </is>
      </c>
      <c r="AN461"/>
      <c r="AO461" t="inlineStr">
        <is>
          <t>No, I don't need at all</t>
        </is>
      </c>
      <c r="AP461" t="inlineStr">
        <is>
          <t>Once a year (25%)</t>
        </is>
      </c>
      <c r="AQ461">
        <v>16</v>
      </c>
      <c r="AR461"/>
      <c r="AS461" t="inlineStr">
        <is>
          <t>- Headcount: 10
- Hiring Job Details: 10 workers, base in East Malaysia
- Hiring Urgency: Hiring Now
- Number of outlets: 2
- Have recruiter team: No, I don't need at all
- Number of recruiter in company: 1
- Have ATS system: No, I don't need at all
- Have career website: No, I don't need at all
- Current hiring budget: RM6,000
- Whole year budget: RM120,000.00
- Whole year number of vacancies: 16
- Hiring frequency: Once a year (25%)
- External job portal: None</t>
        </is>
      </c>
      <c r="AT461">
        <v>85</v>
      </c>
      <c r="AU461" t="inlineStr">
        <is>
          <t>0.85</t>
        </is>
      </c>
      <c r="AV461" t="inlineStr">
        <is>
          <t>20</t>
        </is>
      </c>
      <c r="AW461" t="inlineStr">
        <is>
          <t>0</t>
        </is>
      </c>
      <c r="AX461" t="inlineStr">
        <is>
          <t>Not Qualified</t>
        </is>
      </c>
      <c r="AY461" s="4"/>
      <c r="AZ461"/>
      <c r="BA461"/>
      <c r="BB461"/>
      <c r="BC461" t="inlineStr">
        <is>
          <t>Call NA</t>
        </is>
      </c>
      <c r="BD461" s="4">
        <v>46142.45894675926</v>
      </c>
      <c r="BE461"/>
      <c r="BF461"/>
      <c r="BG461" t="inlineStr">
        <is>
          <t>Reschedule</t>
        </is>
      </c>
      <c r="BH461" t="inlineStr">
        <is>
          <t>Edward Hoo</t>
        </is>
      </c>
      <c r="BI461" t="inlineStr">
        <is>
          <t>HR Mgmt / Consulting</t>
        </is>
      </c>
      <c r="BJ461" s="4">
        <v>46144.75204861111</v>
      </c>
      <c r="BK461" s="4">
        <v>45612.75456018518</v>
      </c>
      <c r="BL461" t="inlineStr">
        <is>
          <t>0.0</t>
        </is>
      </c>
      <c r="BM461" t="inlineStr">
        <is>
          <t>0.0</t>
        </is>
      </c>
      <c r="BN461" t="inlineStr">
        <is>
          <t>View Company Page</t>
        </is>
      </c>
      <c r="BO461" s="4">
        <v>45614.507731481484</v>
      </c>
      <c r="BP461">
        <v>169498</v>
      </c>
      <c r="BQ461"/>
      <c r="BR461"/>
      <c r="BS461"/>
      <c r="BT461"/>
      <c r="BU461"/>
      <c r="BV461">
        <v>2736936</v>
      </c>
      <c r="BW461" t="inlineStr">
        <is>
          <t>Inquire for Hiring Needs : No Hiring</t>
        </is>
      </c>
      <c r="BX461"/>
      <c r="BY461"/>
      <c r="BZ461" s="4"/>
      <c r="CA461"/>
      <c r="CB461"/>
      <c r="CC461" s="4"/>
      <c r="CD461" t="inlineStr">
        <is>
          <t>30</t>
        </is>
      </c>
      <c r="CE461" t="inlineStr">
        <is>
          <t>0</t>
        </is>
      </c>
      <c r="CF461" t="inlineStr">
        <is>
          <t>Q2-W04</t>
        </is>
      </c>
      <c r="CG461"/>
      <c r="CH461"/>
      <c r="CI461"/>
      <c r="CJ461" t="inlineStr">
        <is>
          <t>No Paid</t>
        </is>
      </c>
      <c r="CK461" t="inlineStr">
        <is>
          <t>Eligible</t>
        </is>
      </c>
      <c r="CL461"/>
      <c r="CM461"/>
    </row>
    <row r="462" ht="25.5" customHeight="1">
      <c r="A462" t="inlineStr">
        <is>
          <t>184091</t>
        </is>
      </c>
      <c r="B462" s="2"/>
      <c r="C462"/>
      <c r="D462" s="3">
        <v>46141.60543981481</v>
      </c>
      <c r="E462" t="inlineStr">
        <is>
          <t>Q2-W04</t>
        </is>
      </c>
      <c r="F462" t="inlineStr">
        <is>
          <t>Clover</t>
        </is>
      </c>
      <c r="G462" t="inlineStr">
        <is>
          <t>Customer</t>
        </is>
      </c>
      <c r="H462" s="2" t="str">
        <f>=HYPERLINK("https://upbox.ajobthing.my/customer/184091", "https://upbox.ajobthing.my/customer/184091")</f>
        <v>https://upbox.ajobthing.my/customer/184091</v>
      </c>
      <c r="I462" t="inlineStr">
        <is>
          <t>Kobeco Machine Tools Sdn Bhd</t>
        </is>
      </c>
      <c r="J462" t="inlineStr">
        <is>
          <t>Small Fish</t>
        </is>
      </c>
      <c r="K462" t="inlineStr">
        <is>
          <t>Clover</t>
        </is>
      </c>
      <c r="L462" s="4"/>
      <c r="M462" s="4">
        <v>46142.64586805556</v>
      </c>
      <c r="N462"/>
      <c r="O462">
        <v>3576.96</v>
      </c>
      <c r="P462" s="4"/>
      <c r="Q462" s="4"/>
      <c r="R462"/>
      <c r="S462"/>
      <c r="T462" s="4"/>
      <c r="U462" s="4"/>
      <c r="V462"/>
      <c r="W462"/>
      <c r="X462"/>
      <c r="Y462" t="inlineStr">
        <is>
          <t>Pending Appointment</t>
        </is>
      </c>
      <c r="Z462" t="inlineStr">
        <is>
          <t>Hiring Later</t>
        </is>
      </c>
      <c r="AA462">
        <v>2</v>
      </c>
      <c r="AB462" t="inlineStr">
        <is>
          <t>No Appointment Made</t>
        </is>
      </c>
      <c r="AC462"/>
      <c r="AD462" t="inlineStr">
        <is>
          <t>Hire general clerk x1, account assistant x1, pre chi, manufacturing,   Stamping &amp; Plastic Mould, suggest stand</t>
        </is>
      </c>
      <c r="AE462"/>
      <c r="AF462">
        <v>3000</v>
      </c>
      <c r="AG462" s="4"/>
      <c r="AH462" s="4"/>
      <c r="AI462">
        <v>3000</v>
      </c>
      <c r="AJ462">
        <v>1</v>
      </c>
      <c r="AK462" t="inlineStr">
        <is>
          <t>No, but I want in future</t>
        </is>
      </c>
      <c r="AL462">
        <v>1</v>
      </c>
      <c r="AM462" t="inlineStr">
        <is>
          <t>No, but I want in future</t>
        </is>
      </c>
      <c r="AN462"/>
      <c r="AO462" t="inlineStr">
        <is>
          <t>No, but I want in future</t>
        </is>
      </c>
      <c r="AP462" t="inlineStr">
        <is>
          <t>Once per quarter (75%)</t>
        </is>
      </c>
      <c r="AQ462">
        <v>2</v>
      </c>
      <c r="AR462" t="inlineStr">
        <is>
          <t>Indeed (Paid)</t>
        </is>
      </c>
      <c r="AS462" t="inlineStr">
        <is>
          <t>- Headcount: 2
- Hiring Job Details: Hire general clerk x1, account assistant x1, pre chi, manufacturing, Stamping &amp; Plastic Mould,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Indeed (Paid)</t>
        </is>
      </c>
      <c r="AT462">
        <v>105</v>
      </c>
      <c r="AU462" t="inlineStr">
        <is>
          <t>1.05</t>
        </is>
      </c>
      <c r="AV462" t="inlineStr">
        <is>
          <t>15</t>
        </is>
      </c>
      <c r="AW462" t="inlineStr">
        <is>
          <t>0</t>
        </is>
      </c>
      <c r="AX462" t="inlineStr">
        <is>
          <t>Not Qualified</t>
        </is>
      </c>
      <c r="AY462" s="4"/>
      <c r="AZ462"/>
      <c r="BA462"/>
      <c r="BB462"/>
      <c r="BC462" t="inlineStr">
        <is>
          <t>PIC npu, Call office 045888899 , lost bos want free</t>
        </is>
      </c>
      <c r="BD462" s="4">
        <v>46142.6469212963</v>
      </c>
      <c r="BE462"/>
      <c r="BF462"/>
      <c r="BG462" t="inlineStr">
        <is>
          <t>Reschedule</t>
        </is>
      </c>
      <c r="BH462" t="inlineStr">
        <is>
          <t>Reagen</t>
        </is>
      </c>
      <c r="BI462" t="inlineStr">
        <is>
          <t>Heavy Industrial / Machinery</t>
        </is>
      </c>
      <c r="BJ462" s="4">
        <v>46144.75199074074</v>
      </c>
      <c r="BK462" s="4">
        <v>45588.40094907407</v>
      </c>
      <c r="BL462" t="inlineStr">
        <is>
          <t>0.0</t>
        </is>
      </c>
      <c r="BM462" t="inlineStr">
        <is>
          <t>0.0</t>
        </is>
      </c>
      <c r="BN462" t="inlineStr">
        <is>
          <t>View Company Page</t>
        </is>
      </c>
      <c r="BO462" s="4">
        <v>45588.40693287037</v>
      </c>
      <c r="BP462">
        <v>169717</v>
      </c>
      <c r="BQ462"/>
      <c r="BR462"/>
      <c r="BS462"/>
      <c r="BT462"/>
      <c r="BU462"/>
      <c r="BV462">
        <v>2737982</v>
      </c>
      <c r="BW462" t="inlineStr">
        <is>
          <t>Follow Up : Lost - Free Portal</t>
        </is>
      </c>
      <c r="BX462"/>
      <c r="BY462"/>
      <c r="BZ462" s="4"/>
      <c r="CA462"/>
      <c r="CB462"/>
      <c r="CC462" s="4"/>
      <c r="CD462" t="inlineStr">
        <is>
          <t>20</t>
        </is>
      </c>
      <c r="CE462" t="inlineStr">
        <is>
          <t>0</t>
        </is>
      </c>
      <c r="CF462" t="inlineStr">
        <is>
          <t>Q2-W04</t>
        </is>
      </c>
      <c r="CG462"/>
      <c r="CH462"/>
      <c r="CI462"/>
      <c r="CJ462" t="inlineStr">
        <is>
          <t>No Paid</t>
        </is>
      </c>
      <c r="CK462" t="inlineStr">
        <is>
          <t>Not Eligible</t>
        </is>
      </c>
      <c r="CL462"/>
      <c r="CM462"/>
    </row>
    <row r="463" ht="25.5" customHeight="1">
      <c r="A463" t="inlineStr">
        <is>
          <t>203794</t>
        </is>
      </c>
      <c r="B463" s="2"/>
      <c r="C463"/>
      <c r="D463" s="3">
        <v>46141.61325231481</v>
      </c>
      <c r="E463" t="inlineStr">
        <is>
          <t>Q2-W04</t>
        </is>
      </c>
      <c r="F463" t="inlineStr">
        <is>
          <t>Angel  Low</t>
        </is>
      </c>
      <c r="G463" t="inlineStr">
        <is>
          <t>Customer</t>
        </is>
      </c>
      <c r="H463" s="2" t="str">
        <f>=HYPERLINK("https://upbox.ajobthing.my/customer/203794", "https://upbox.ajobthing.my/customer/203794")</f>
        <v>https://upbox.ajobthing.my/customer/203794</v>
      </c>
      <c r="I463" t="inlineStr">
        <is>
          <t>My Car Enterprise</t>
        </is>
      </c>
      <c r="J463" t="inlineStr">
        <is>
          <t>Small Fish</t>
        </is>
      </c>
      <c r="K463" t="inlineStr">
        <is>
          <t>Angel Low</t>
        </is>
      </c>
      <c r="L463" s="4"/>
      <c r="M463" s="4">
        <v>46141.61409722222</v>
      </c>
      <c r="N463"/>
      <c r="O463">
        <v>5412.96</v>
      </c>
      <c r="P463" s="4"/>
      <c r="Q463" s="4"/>
      <c r="R463"/>
      <c r="S463"/>
      <c r="T463" s="4"/>
      <c r="U463" s="4"/>
      <c r="V463"/>
      <c r="W463"/>
      <c r="X463"/>
      <c r="Y463" t="inlineStr">
        <is>
          <t>Pending Appointment</t>
        </is>
      </c>
      <c r="Z463"/>
      <c r="AA463">
        <v>3</v>
      </c>
      <c r="AB463" t="inlineStr">
        <is>
          <t>No Appointment Made</t>
        </is>
      </c>
      <c r="AC463"/>
      <c r="AD463" t="inlineStr">
        <is>
          <t>3 sales kl</t>
        </is>
      </c>
      <c r="AE463"/>
      <c r="AF463"/>
      <c r="AG463" s="4"/>
      <c r="AH463" s="4"/>
      <c r="AI463"/>
      <c r="AJ463"/>
      <c r="AK463"/>
      <c r="AL463"/>
      <c r="AM463"/>
      <c r="AN463"/>
      <c r="AO463"/>
      <c r="AP463"/>
      <c r="AQ463"/>
      <c r="AR463"/>
      <c r="AS463" t="inlineStr">
        <is>
          <t>- Headcount: 3
- Hiring Job Details: 3 sales kl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463">
        <v>60</v>
      </c>
      <c r="AU463" t="inlineStr">
        <is>
          <t>0.60</t>
        </is>
      </c>
      <c r="AV463" t="inlineStr">
        <is>
          <t>5</t>
        </is>
      </c>
      <c r="AW463" t="inlineStr">
        <is>
          <t>0</t>
        </is>
      </c>
      <c r="AX463" t="inlineStr">
        <is>
          <t>Not Qualified</t>
        </is>
      </c>
      <c r="AY463" s="4"/>
      <c r="AZ463"/>
      <c r="BA463"/>
      <c r="BB463"/>
      <c r="BC463" t="inlineStr">
        <is>
          <t>- Headcount: 3
- Hiring Job Details: 3 sales kl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BD463" s="4">
        <v>46141.62503472222</v>
      </c>
      <c r="BE463"/>
      <c r="BF463"/>
      <c r="BG463" t="inlineStr">
        <is>
          <t>Reschedule</t>
        </is>
      </c>
      <c r="BH463" t="inlineStr">
        <is>
          <t>Fauziah Maharan</t>
        </is>
      </c>
      <c r="BI463"/>
      <c r="BJ463" s="4">
        <v>46144.75438657407</v>
      </c>
      <c r="BK463" s="4">
        <v>46141.597604166665</v>
      </c>
      <c r="BL463" t="inlineStr">
        <is>
          <t>0.0</t>
        </is>
      </c>
      <c r="BM463" t="inlineStr">
        <is>
          <t>0.0</t>
        </is>
      </c>
      <c r="BN463" t="inlineStr">
        <is>
          <t>View Create Job Page V4</t>
        </is>
      </c>
      <c r="BO463" s="4">
        <v>46141.60625</v>
      </c>
      <c r="BP463">
        <v>169517</v>
      </c>
      <c r="BQ463"/>
      <c r="BR463"/>
      <c r="BS463"/>
      <c r="BT463"/>
      <c r="BU463"/>
      <c r="BV463">
        <v>2735489</v>
      </c>
      <c r="BW463" t="inlineStr">
        <is>
          <t>Customer Inquiry</t>
        </is>
      </c>
      <c r="BX463"/>
      <c r="BY463"/>
      <c r="BZ463" s="4"/>
      <c r="CA463"/>
      <c r="CB463"/>
      <c r="CC463" s="4"/>
      <c r="CD463" t="inlineStr">
        <is>
          <t>5</t>
        </is>
      </c>
      <c r="CE463" t="inlineStr">
        <is>
          <t>0</t>
        </is>
      </c>
      <c r="CF463" t="inlineStr">
        <is>
          <t>Q2-W04</t>
        </is>
      </c>
      <c r="CG463"/>
      <c r="CH463"/>
      <c r="CI463"/>
      <c r="CJ463" t="inlineStr">
        <is>
          <t>No Paid</t>
        </is>
      </c>
      <c r="CK463" t="inlineStr">
        <is>
          <t>Not Eligible</t>
        </is>
      </c>
      <c r="CL463"/>
      <c r="CM463"/>
    </row>
    <row r="464" ht="25.5" customHeight="1">
      <c r="A464" t="inlineStr">
        <is>
          <t>4330501</t>
        </is>
      </c>
      <c r="B464" s="2"/>
      <c r="C464"/>
      <c r="D464" s="3">
        <v>46141.6134375</v>
      </c>
      <c r="E464" t="inlineStr">
        <is>
          <t>Q2-W04</t>
        </is>
      </c>
      <c r="F464" t="inlineStr">
        <is>
          <t>Evan</t>
        </is>
      </c>
      <c r="G464" t="inlineStr">
        <is>
          <t>Lead</t>
        </is>
      </c>
      <c r="H464" s="2" t="str">
        <f>=HYPERLINK("https://upbox.ajobthing.my/leads/4330501", "https://upbox.ajobthing.my/leads/4330501")</f>
        <v>https://upbox.ajobthing.my/leads/4330501</v>
      </c>
      <c r="I464" t="inlineStr">
        <is>
          <t>Home Bliss Sdn Bhd</t>
        </is>
      </c>
      <c r="J464" t="inlineStr">
        <is>
          <t>Small Fish</t>
        </is>
      </c>
      <c r="K464" t="inlineStr">
        <is>
          <t>Evan</t>
        </is>
      </c>
      <c r="L464" s="4"/>
      <c r="M464" s="4">
        <v>46141.612337962964</v>
      </c>
      <c r="N464"/>
      <c r="O464">
        <v>3576.96</v>
      </c>
      <c r="P464" s="4"/>
      <c r="Q464" s="4"/>
      <c r="R464"/>
      <c r="S464"/>
      <c r="T464" s="4"/>
      <c r="U464" s="4"/>
      <c r="V464"/>
      <c r="W464"/>
      <c r="X464"/>
      <c r="Y464" t="inlineStr">
        <is>
          <t>Pending Appointment</t>
        </is>
      </c>
      <c r="Z464" t="inlineStr">
        <is>
          <t>Hiring Now</t>
        </is>
      </c>
      <c r="AA464">
        <v>1</v>
      </c>
      <c r="AB464" t="inlineStr">
        <is>
          <t>No Appointment Made</t>
        </is>
      </c>
      <c r="AC464"/>
      <c r="AD464" t="inlineStr">
        <is>
          <t>1 marketing, all base in JB</t>
        </is>
      </c>
      <c r="AE464"/>
      <c r="AF464">
        <v>1</v>
      </c>
      <c r="AG464" s="4"/>
      <c r="AH464" s="4"/>
      <c r="AI464">
        <v>1</v>
      </c>
      <c r="AJ464">
        <v>1</v>
      </c>
      <c r="AK464" t="inlineStr">
        <is>
          <t>No, I don't need at all</t>
        </is>
      </c>
      <c r="AL464">
        <v>0</v>
      </c>
      <c r="AM464" t="inlineStr">
        <is>
          <t>No, I don't need at all</t>
        </is>
      </c>
      <c r="AN464"/>
      <c r="AO464" t="inlineStr">
        <is>
          <t>No, I don't need at all</t>
        </is>
      </c>
      <c r="AP464" t="inlineStr">
        <is>
          <t>Once a year (25%)</t>
        </is>
      </c>
      <c r="AQ464">
        <v>1</v>
      </c>
      <c r="AR464" t="inlineStr">
        <is>
          <t>Did not use any job portal</t>
        </is>
      </c>
      <c r="AS464" t="inlineStr">
        <is>
          <t>- Headcount: 1
- Hiring Job Details: 1 marketing, all base in JB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464">
        <v>115</v>
      </c>
      <c r="AU464" t="inlineStr">
        <is>
          <t>1.15</t>
        </is>
      </c>
      <c r="AV464" t="inlineStr">
        <is>
          <t>15</t>
        </is>
      </c>
      <c r="AW464" t="inlineStr">
        <is>
          <t>0</t>
        </is>
      </c>
      <c r="AX464" t="inlineStr">
        <is>
          <t>Not Qualified</t>
        </is>
      </c>
      <c r="AY464" s="4"/>
      <c r="AZ464"/>
      <c r="BA464"/>
      <c r="BB464"/>
      <c r="BC464"/>
      <c r="BD464" s="4"/>
      <c r="BE464"/>
      <c r="BF464"/>
      <c r="BG464" t="inlineStr">
        <is>
          <t>Reschedule</t>
        </is>
      </c>
      <c r="BH464" t="inlineStr">
        <is>
          <t>Edward Hoo</t>
        </is>
      </c>
      <c r="BI464"/>
      <c r="BJ464" s="4">
        <v>46144.755949074075</v>
      </c>
      <c r="BK464" s="4">
        <v>46141.35758101852</v>
      </c>
      <c r="BL464" t="inlineStr">
        <is>
          <t>0.0</t>
        </is>
      </c>
      <c r="BM464" t="inlineStr">
        <is>
          <t>0.0</t>
        </is>
      </c>
      <c r="BN464"/>
      <c r="BO464" s="4"/>
      <c r="BP464">
        <v>169514</v>
      </c>
      <c r="BQ464"/>
      <c r="BR464"/>
      <c r="BS464"/>
      <c r="BT464"/>
      <c r="BU464"/>
      <c r="BV464"/>
      <c r="BW464"/>
      <c r="BX464"/>
      <c r="BY464"/>
      <c r="BZ464" s="4"/>
      <c r="CA464"/>
      <c r="CB464"/>
      <c r="CC464" s="4"/>
      <c r="CD464" t="inlineStr">
        <is>
          <t>20</t>
        </is>
      </c>
      <c r="CE464" t="inlineStr">
        <is>
          <t>0</t>
        </is>
      </c>
      <c r="CF464" t="inlineStr">
        <is>
          <t>Q2-W04</t>
        </is>
      </c>
      <c r="CG464"/>
      <c r="CH464"/>
      <c r="CI464"/>
      <c r="CJ464" t="inlineStr">
        <is>
          <t>No Paid</t>
        </is>
      </c>
      <c r="CK464" t="inlineStr">
        <is>
          <t>Not Eligible</t>
        </is>
      </c>
      <c r="CL464"/>
      <c r="CM464"/>
    </row>
    <row r="465" ht="25.5" customHeight="1">
      <c r="A465" t="inlineStr">
        <is>
          <t>203785</t>
        </is>
      </c>
      <c r="B465" s="2"/>
      <c r="C465"/>
      <c r="D465" s="3">
        <v>46141.61430555556</v>
      </c>
      <c r="E465" t="inlineStr">
        <is>
          <t>Q2-W04</t>
        </is>
      </c>
      <c r="F465" t="inlineStr">
        <is>
          <t>Jeff Lee</t>
        </is>
      </c>
      <c r="G465" t="inlineStr">
        <is>
          <t>Customer</t>
        </is>
      </c>
      <c r="H465" s="2" t="str">
        <f>=HYPERLINK("https://upbox.ajobthing.my/customer/203785", "https://upbox.ajobthing.my/customer/203785")</f>
        <v>https://upbox.ajobthing.my/customer/203785</v>
      </c>
      <c r="I465" t="inlineStr">
        <is>
          <t>Ewins Pte Ltd</t>
        </is>
      </c>
      <c r="J465" t="inlineStr">
        <is>
          <t>Small Fish</t>
        </is>
      </c>
      <c r="K465" t="inlineStr">
        <is>
          <t>Jeff Lee</t>
        </is>
      </c>
      <c r="L465" s="4"/>
      <c r="M465" s="4">
        <v>46141.61251157407</v>
      </c>
      <c r="N465"/>
      <c r="O465">
        <v>3576.96</v>
      </c>
      <c r="P465" s="4"/>
      <c r="Q465" s="4"/>
      <c r="R465"/>
      <c r="S465"/>
      <c r="T465" s="4"/>
      <c r="U465" s="4"/>
      <c r="V465"/>
      <c r="W465"/>
      <c r="X465"/>
      <c r="Y465" t="inlineStr">
        <is>
          <t>Pending Appointment</t>
        </is>
      </c>
      <c r="Z465" t="inlineStr">
        <is>
          <t>Hiring Now</t>
        </is>
      </c>
      <c r="AA465">
        <v>1</v>
      </c>
      <c r="AB465" t="inlineStr">
        <is>
          <t>No Appointment Made</t>
        </is>
      </c>
      <c r="AC465"/>
      <c r="AD465" t="inlineStr">
        <is>
          <t>1 installer/technician</t>
        </is>
      </c>
      <c r="AE465"/>
      <c r="AF465">
        <v>0</v>
      </c>
      <c r="AG465" s="4"/>
      <c r="AH465" s="4"/>
      <c r="AI465">
        <v>0</v>
      </c>
      <c r="AJ465">
        <v>0</v>
      </c>
      <c r="AK465" t="inlineStr">
        <is>
          <t>No, I don't need at all</t>
        </is>
      </c>
      <c r="AL465">
        <v>0</v>
      </c>
      <c r="AM465" t="inlineStr">
        <is>
          <t>No, I don't need at all</t>
        </is>
      </c>
      <c r="AN465"/>
      <c r="AO465" t="inlineStr">
        <is>
          <t>No, I don't need at all</t>
        </is>
      </c>
      <c r="AP465" t="inlineStr">
        <is>
          <t>Once a year (25%)</t>
        </is>
      </c>
      <c r="AQ465">
        <v>1</v>
      </c>
      <c r="AR465" t="inlineStr">
        <is>
          <t>Did not use any job portal</t>
        </is>
      </c>
      <c r="AS465" t="inlineStr">
        <is>
          <t>- Headcount: 1
- Hiring Job Details: 1 installer/technician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465">
        <v>105</v>
      </c>
      <c r="AU465" t="inlineStr">
        <is>
          <t>1.05</t>
        </is>
      </c>
      <c r="AV465" t="inlineStr">
        <is>
          <t>15</t>
        </is>
      </c>
      <c r="AW465" t="inlineStr">
        <is>
          <t>0</t>
        </is>
      </c>
      <c r="AX465" t="inlineStr">
        <is>
          <t>Not Qualified</t>
        </is>
      </c>
      <c r="AY465" s="4"/>
      <c r="AZ465"/>
      <c r="BA465"/>
      <c r="BB465"/>
      <c r="BC465" t="inlineStr">
        <is>
          <t>- Headcount: 1
- Hiring Job Details: 1 installer/technician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465" s="4">
        <v>46141.62503472222</v>
      </c>
      <c r="BE465"/>
      <c r="BF465"/>
      <c r="BG465" t="inlineStr">
        <is>
          <t>Reschedule</t>
        </is>
      </c>
      <c r="BH465" t="inlineStr">
        <is>
          <t>Yee Hang</t>
        </is>
      </c>
      <c r="BI465"/>
      <c r="BJ465" s="4">
        <v>46144.75438657407</v>
      </c>
      <c r="BK465" s="4">
        <v>46141.55296296296</v>
      </c>
      <c r="BL465" t="inlineStr">
        <is>
          <t>0.0</t>
        </is>
      </c>
      <c r="BM465" t="inlineStr">
        <is>
          <t>0.0</t>
        </is>
      </c>
      <c r="BN465" t="inlineStr">
        <is>
          <t>View Company Page</t>
        </is>
      </c>
      <c r="BO465" s="4">
        <v>46141.622777777775</v>
      </c>
      <c r="BP465">
        <v>169515</v>
      </c>
      <c r="BQ465"/>
      <c r="BR465"/>
      <c r="BS465"/>
      <c r="BT465"/>
      <c r="BU465"/>
      <c r="BV465">
        <v>2735494</v>
      </c>
      <c r="BW465" t="inlineStr">
        <is>
          <t>Customer Inquiry</t>
        </is>
      </c>
      <c r="BX465"/>
      <c r="BY465"/>
      <c r="BZ465" s="4"/>
      <c r="CA465"/>
      <c r="CB465"/>
      <c r="CC465" s="4"/>
      <c r="CD465" t="inlineStr">
        <is>
          <t>20</t>
        </is>
      </c>
      <c r="CE465" t="inlineStr">
        <is>
          <t>0</t>
        </is>
      </c>
      <c r="CF465" t="inlineStr">
        <is>
          <t>Q2-W04</t>
        </is>
      </c>
      <c r="CG465"/>
      <c r="CH465"/>
      <c r="CI465"/>
      <c r="CJ465" t="inlineStr">
        <is>
          <t>No Paid</t>
        </is>
      </c>
      <c r="CK465" t="inlineStr">
        <is>
          <t>Not Eligible</t>
        </is>
      </c>
      <c r="CL465"/>
      <c r="CM465"/>
    </row>
    <row r="466" ht="25.5" customHeight="1">
      <c r="A466" t="inlineStr">
        <is>
          <t>26780</t>
        </is>
      </c>
      <c r="B466" s="2"/>
      <c r="C466"/>
      <c r="D466" s="3">
        <v>46141.61709490741</v>
      </c>
      <c r="E466" t="inlineStr">
        <is>
          <t>Q2-W04</t>
        </is>
      </c>
      <c r="F466" t="inlineStr">
        <is>
          <t>Ken Yi</t>
        </is>
      </c>
      <c r="G466" t="inlineStr">
        <is>
          <t>Customer</t>
        </is>
      </c>
      <c r="H466" s="2" t="str">
        <f>=HYPERLINK("https://upbox.ajobthing.my/customer/26780", "https://upbox.ajobthing.my/customer/26780")</f>
        <v>https://upbox.ajobthing.my/customer/26780</v>
      </c>
      <c r="I466" t="inlineStr">
        <is>
          <t>Stat Mart Sdn Bhd</t>
        </is>
      </c>
      <c r="J466" t="inlineStr">
        <is>
          <t>Small Fish</t>
        </is>
      </c>
      <c r="K466" t="inlineStr">
        <is>
          <t>Kenyi</t>
        </is>
      </c>
      <c r="L466" s="4"/>
      <c r="M466" s="4">
        <v>46141.61628472222</v>
      </c>
      <c r="N466"/>
      <c r="O466">
        <v>3576.96</v>
      </c>
      <c r="P466" s="4"/>
      <c r="Q466" s="4"/>
      <c r="R466"/>
      <c r="S466"/>
      <c r="T466" s="4"/>
      <c r="U466" s="4"/>
      <c r="V466"/>
      <c r="W466"/>
      <c r="X466"/>
      <c r="Y466" t="inlineStr">
        <is>
          <t>Pending Appointment</t>
        </is>
      </c>
      <c r="Z466" t="inlineStr">
        <is>
          <t>Hiring Now</t>
        </is>
      </c>
      <c r="AA466">
        <v>1</v>
      </c>
      <c r="AB466" t="inlineStr">
        <is>
          <t>No Appointment Made</t>
        </is>
      </c>
      <c r="AC466"/>
      <c r="AD466" t="inlineStr">
        <is>
          <t>Share promotion, hiring for online marketing 1</t>
        </is>
      </c>
      <c r="AE466"/>
      <c r="AF466">
        <v>0</v>
      </c>
      <c r="AG466" s="4"/>
      <c r="AH466" s="4"/>
      <c r="AI466">
        <v>0</v>
      </c>
      <c r="AJ466">
        <v>1</v>
      </c>
      <c r="AK466" t="inlineStr">
        <is>
          <t>Yes, I have</t>
        </is>
      </c>
      <c r="AL466">
        <v>1</v>
      </c>
      <c r="AM466" t="inlineStr">
        <is>
          <t>No, I don't need at all</t>
        </is>
      </c>
      <c r="AN466"/>
      <c r="AO466" t="inlineStr">
        <is>
          <t>No, I don't need at all</t>
        </is>
      </c>
      <c r="AP466" t="inlineStr">
        <is>
          <t>Every month (100%)</t>
        </is>
      </c>
      <c r="AQ466">
        <v>1</v>
      </c>
      <c r="AR466" t="inlineStr">
        <is>
          <t>Did not use any job portal</t>
        </is>
      </c>
      <c r="AS466" t="inlineStr">
        <is>
          <t>- Headcount: 1
- Hiring Job Details: Share promotion, 1 online marketing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466">
        <v>110</v>
      </c>
      <c r="AU466" t="inlineStr">
        <is>
          <t>1.10</t>
        </is>
      </c>
      <c r="AV466" t="inlineStr">
        <is>
          <t>15</t>
        </is>
      </c>
      <c r="AW466" t="inlineStr">
        <is>
          <t>0</t>
        </is>
      </c>
      <c r="AX466" t="inlineStr">
        <is>
          <t>Not Qualified</t>
        </is>
      </c>
      <c r="AY466" s="4"/>
      <c r="AZ466"/>
      <c r="BA466"/>
      <c r="BB466"/>
      <c r="BC466" t="inlineStr">
        <is>
          <t>- Headcount: 1
- Hiring Job Details: Share promotion, 1 online marketing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BD466" s="4">
        <v>46141.6250462963</v>
      </c>
      <c r="BE466"/>
      <c r="BF466"/>
      <c r="BG466" t="inlineStr">
        <is>
          <t>Reschedule</t>
        </is>
      </c>
      <c r="BH466" t="inlineStr">
        <is>
          <t>Fauziah Maharan</t>
        </is>
      </c>
      <c r="BI466"/>
      <c r="BJ466" s="4">
        <v>46144.75449074074</v>
      </c>
      <c r="BK466" s="4">
        <v>42587.77378472222</v>
      </c>
      <c r="BL466" t="inlineStr">
        <is>
          <t>0.0</t>
        </is>
      </c>
      <c r="BM466" t="inlineStr">
        <is>
          <t>0.0</t>
        </is>
      </c>
      <c r="BN466"/>
      <c r="BO466" s="4"/>
      <c r="BP466">
        <v>169519</v>
      </c>
      <c r="BQ466"/>
      <c r="BR466"/>
      <c r="BS466"/>
      <c r="BT466"/>
      <c r="BU466"/>
      <c r="BV466">
        <v>2735495</v>
      </c>
      <c r="BW466" t="inlineStr">
        <is>
          <t>Customer Inquiry</t>
        </is>
      </c>
      <c r="BX466"/>
      <c r="BY466"/>
      <c r="BZ466" s="4"/>
      <c r="CA466"/>
      <c r="CB466"/>
      <c r="CC466" s="4"/>
      <c r="CD466" t="inlineStr">
        <is>
          <t>20</t>
        </is>
      </c>
      <c r="CE466" t="inlineStr">
        <is>
          <t>0</t>
        </is>
      </c>
      <c r="CF466" t="inlineStr">
        <is>
          <t>Q2-W04</t>
        </is>
      </c>
      <c r="CG466"/>
      <c r="CH466"/>
      <c r="CI466"/>
      <c r="CJ466" t="inlineStr">
        <is>
          <t>No Paid</t>
        </is>
      </c>
      <c r="CK466" t="inlineStr">
        <is>
          <t>Not Eligible</t>
        </is>
      </c>
      <c r="CL466"/>
      <c r="CM466"/>
    </row>
    <row r="467" ht="25.5" customHeight="1">
      <c r="A467" t="inlineStr">
        <is>
          <t>187963</t>
        </is>
      </c>
      <c r="B467" s="2"/>
      <c r="C467"/>
      <c r="D467" s="3">
        <v>46141.61802083333</v>
      </c>
      <c r="E467" t="inlineStr">
        <is>
          <t>Q2-W04</t>
        </is>
      </c>
      <c r="F467" t="inlineStr">
        <is>
          <t>Chia Yee</t>
        </is>
      </c>
      <c r="G467" t="inlineStr">
        <is>
          <t>Customer</t>
        </is>
      </c>
      <c r="H467" s="2" t="str">
        <f>=HYPERLINK("https://upbox.ajobthing.my/customer/187963", "https://upbox.ajobthing.my/customer/187963")</f>
        <v>https://upbox.ajobthing.my/customer/187963</v>
      </c>
      <c r="I467" t="inlineStr">
        <is>
          <t>KLINIK HEALTH 360 24JAM</t>
        </is>
      </c>
      <c r="J467" t="inlineStr">
        <is>
          <t>Small Fish</t>
        </is>
      </c>
      <c r="K467" t="inlineStr">
        <is>
          <t>Chia Yee</t>
        </is>
      </c>
      <c r="L467" s="4"/>
      <c r="M467" s="4">
        <v>46141.61833333333</v>
      </c>
      <c r="N467"/>
      <c r="O467">
        <v>1296</v>
      </c>
      <c r="P467" s="4"/>
      <c r="Q467" s="4"/>
      <c r="R467"/>
      <c r="S467"/>
      <c r="T467" s="4"/>
      <c r="U467" s="4"/>
      <c r="V467"/>
      <c r="W467"/>
      <c r="X467"/>
      <c r="Y467" t="inlineStr">
        <is>
          <t>Pending Appointment</t>
        </is>
      </c>
      <c r="Z467" t="inlineStr">
        <is>
          <t>Hiring Now</t>
        </is>
      </c>
      <c r="AA467">
        <v>1</v>
      </c>
      <c r="AB467" t="inlineStr">
        <is>
          <t>No Appointment Made</t>
        </is>
      </c>
      <c r="AC467"/>
      <c r="AD467" t="inlineStr">
        <is>
          <t>1 Radiographer</t>
        </is>
      </c>
      <c r="AE467"/>
      <c r="AF467">
        <v>0</v>
      </c>
      <c r="AG467" s="4"/>
      <c r="AH467" s="4"/>
      <c r="AI467">
        <v>0</v>
      </c>
      <c r="AJ467">
        <v>1</v>
      </c>
      <c r="AK467" t="inlineStr">
        <is>
          <t>No, I don't need at all</t>
        </is>
      </c>
      <c r="AL467">
        <v>1</v>
      </c>
      <c r="AM467" t="inlineStr">
        <is>
          <t>No, I don't need at all</t>
        </is>
      </c>
      <c r="AN467"/>
      <c r="AO467" t="inlineStr">
        <is>
          <t>No, I don't need at all</t>
        </is>
      </c>
      <c r="AP467" t="inlineStr">
        <is>
          <t>Once a year (25%)</t>
        </is>
      </c>
      <c r="AQ467">
        <v>1</v>
      </c>
      <c r="AR467" t="inlineStr">
        <is>
          <t>Did not use any job portal</t>
        </is>
      </c>
      <c r="AS467" t="inlineStr">
        <is>
          <t>- Headcount: 1
- Hiring Job Details: 1 Radiographer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467">
        <v>110</v>
      </c>
      <c r="AU467" t="inlineStr">
        <is>
          <t>1.10</t>
        </is>
      </c>
      <c r="AV467" t="inlineStr">
        <is>
          <t>15</t>
        </is>
      </c>
      <c r="AW467" t="inlineStr">
        <is>
          <t>0</t>
        </is>
      </c>
      <c r="AX467" t="inlineStr">
        <is>
          <t>Not Qualified</t>
        </is>
      </c>
      <c r="AY467" s="4"/>
      <c r="AZ467"/>
      <c r="BA467"/>
      <c r="BB467"/>
      <c r="BC467" t="inlineStr">
        <is>
          <t>Called, no ans</t>
        </is>
      </c>
      <c r="BD467" s="4">
        <v>46142.46408564815</v>
      </c>
      <c r="BE467"/>
      <c r="BF467"/>
      <c r="BG467" t="inlineStr">
        <is>
          <t>Reschedule</t>
        </is>
      </c>
      <c r="BH467" t="inlineStr">
        <is>
          <t>Reagen</t>
        </is>
      </c>
      <c r="BI467"/>
      <c r="BJ467" s="4">
        <v>46144.75219907407</v>
      </c>
      <c r="BK467" s="4">
        <v>45708.639756944445</v>
      </c>
      <c r="BL467" t="inlineStr">
        <is>
          <t>0.0</t>
        </is>
      </c>
      <c r="BM467" t="inlineStr">
        <is>
          <t>0.0</t>
        </is>
      </c>
      <c r="BN467" t="inlineStr">
        <is>
          <t>View Create Job Page</t>
        </is>
      </c>
      <c r="BO467" s="4">
        <v>45708.641805555555</v>
      </c>
      <c r="BP467">
        <v>169525</v>
      </c>
      <c r="BQ467"/>
      <c r="BR467"/>
      <c r="BS467"/>
      <c r="BT467"/>
      <c r="BU467"/>
      <c r="BV467">
        <v>2737013</v>
      </c>
      <c r="BW467" t="inlineStr">
        <is>
          <t>No Answer : Voicemail - Email sent to customer</t>
        </is>
      </c>
      <c r="BX467"/>
      <c r="BY467"/>
      <c r="BZ467" s="4"/>
      <c r="CA467"/>
      <c r="CB467"/>
      <c r="CC467" s="4"/>
      <c r="CD467" t="inlineStr">
        <is>
          <t>20</t>
        </is>
      </c>
      <c r="CE467" t="inlineStr">
        <is>
          <t>0</t>
        </is>
      </c>
      <c r="CF467" t="inlineStr">
        <is>
          <t>Q2-W04</t>
        </is>
      </c>
      <c r="CG467"/>
      <c r="CH467"/>
      <c r="CI467"/>
      <c r="CJ467" t="inlineStr">
        <is>
          <t>No Paid</t>
        </is>
      </c>
      <c r="CK467" t="inlineStr">
        <is>
          <t>Not Eligible</t>
        </is>
      </c>
      <c r="CL467"/>
      <c r="CM467"/>
    </row>
    <row r="468" ht="25.5" customHeight="1">
      <c r="A468" t="inlineStr">
        <is>
          <t>202345</t>
        </is>
      </c>
      <c r="B468" s="2"/>
      <c r="C468"/>
      <c r="D468" s="3">
        <v>46141.62452546296</v>
      </c>
      <c r="E468" t="inlineStr">
        <is>
          <t>Q2-W04</t>
        </is>
      </c>
      <c r="F468" t="inlineStr">
        <is>
          <t>Lucas</t>
        </is>
      </c>
      <c r="G468" t="inlineStr">
        <is>
          <t>Customer</t>
        </is>
      </c>
      <c r="H468" s="2" t="str">
        <f>=HYPERLINK("https://upbox.ajobthing.my/customer/202345", "https://upbox.ajobthing.my/customer/202345")</f>
        <v>https://upbox.ajobthing.my/customer/202345</v>
      </c>
      <c r="I468" t="inlineStr">
        <is>
          <t xml:space="preserve">Inch Graphics (M) Sdn Bhd </t>
        </is>
      </c>
      <c r="J468" t="inlineStr">
        <is>
          <t>Small Fish</t>
        </is>
      </c>
      <c r="K468" t="inlineStr">
        <is>
          <t>Lucas</t>
        </is>
      </c>
      <c r="L468" s="4"/>
      <c r="M468" s="4">
        <v>46141.622615740744</v>
      </c>
      <c r="N468"/>
      <c r="O468">
        <v>3576.96</v>
      </c>
      <c r="P468" s="4"/>
      <c r="Q468" s="4"/>
      <c r="R468"/>
      <c r="S468"/>
      <c r="T468" s="4"/>
      <c r="U468" s="4"/>
      <c r="V468"/>
      <c r="W468"/>
      <c r="X468"/>
      <c r="Y468" t="inlineStr">
        <is>
          <t>Pending Appointment</t>
        </is>
      </c>
      <c r="Z468" t="inlineStr">
        <is>
          <t>Hiring Now</t>
        </is>
      </c>
      <c r="AA468">
        <v>1</v>
      </c>
      <c r="AB468" t="inlineStr">
        <is>
          <t>No Appointment Made</t>
        </is>
      </c>
      <c r="AC468"/>
      <c r="AD468" t="inlineStr">
        <is>
          <t xml:space="preserve">1 designer </t>
        </is>
      </c>
      <c r="AE468"/>
      <c r="AF468">
        <v>0</v>
      </c>
      <c r="AG468" s="4"/>
      <c r="AH468" s="4"/>
      <c r="AI468">
        <v>0</v>
      </c>
      <c r="AJ468">
        <v>0</v>
      </c>
      <c r="AK468" t="inlineStr">
        <is>
          <t>No, I don't need at all</t>
        </is>
      </c>
      <c r="AL468">
        <v>0</v>
      </c>
      <c r="AM468" t="inlineStr">
        <is>
          <t>No, I don't need at all</t>
        </is>
      </c>
      <c r="AN468"/>
      <c r="AO468" t="inlineStr">
        <is>
          <t>No, I don't need at all</t>
        </is>
      </c>
      <c r="AP468" t="inlineStr">
        <is>
          <t>Once a year (25%)</t>
        </is>
      </c>
      <c r="AQ468">
        <v>1</v>
      </c>
      <c r="AR468" t="inlineStr">
        <is>
          <t>Did not use any job portal</t>
        </is>
      </c>
      <c r="AS468" t="inlineStr">
        <is>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468">
        <v>110</v>
      </c>
      <c r="AU468" t="inlineStr">
        <is>
          <t>1.10</t>
        </is>
      </c>
      <c r="AV468" t="inlineStr">
        <is>
          <t>15</t>
        </is>
      </c>
      <c r="AW468" t="inlineStr">
        <is>
          <t>0</t>
        </is>
      </c>
      <c r="AX468" t="inlineStr">
        <is>
          <t>Not Qualified</t>
        </is>
      </c>
      <c r="AY468" s="4"/>
      <c r="AZ468"/>
      <c r="BA468"/>
      <c r="BB468"/>
      <c r="BC468" t="inlineStr">
        <is>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468" s="4">
        <v>46141.6250462963</v>
      </c>
      <c r="BE468"/>
      <c r="BF468"/>
      <c r="BG468" t="inlineStr">
        <is>
          <t>Reschedule</t>
        </is>
      </c>
      <c r="BH468" t="inlineStr">
        <is>
          <t>Yee Hang</t>
        </is>
      </c>
      <c r="BI468"/>
      <c r="BJ468" s="4">
        <v>46144.75400462963</v>
      </c>
      <c r="BK468" s="4">
        <v>46104.6459375</v>
      </c>
      <c r="BL468" t="inlineStr">
        <is>
          <t>0.0</t>
        </is>
      </c>
      <c r="BM468" t="inlineStr">
        <is>
          <t>0.0</t>
        </is>
      </c>
      <c r="BN468" t="inlineStr">
        <is>
          <t>View Company Page</t>
        </is>
      </c>
      <c r="BO468" s="4">
        <v>46104.79980324074</v>
      </c>
      <c r="BP468">
        <v>169526</v>
      </c>
      <c r="BQ468"/>
      <c r="BR468"/>
      <c r="BS468"/>
      <c r="BT468"/>
      <c r="BU468"/>
      <c r="BV468">
        <v>2735498</v>
      </c>
      <c r="BW468" t="inlineStr">
        <is>
          <t>Customer Inquiry</t>
        </is>
      </c>
      <c r="BX468"/>
      <c r="BY468"/>
      <c r="BZ468" s="4"/>
      <c r="CA468"/>
      <c r="CB468"/>
      <c r="CC468" s="4"/>
      <c r="CD468" t="inlineStr">
        <is>
          <t>20</t>
        </is>
      </c>
      <c r="CE468" t="inlineStr">
        <is>
          <t>0</t>
        </is>
      </c>
      <c r="CF468" t="inlineStr">
        <is>
          <t>Q2-W04</t>
        </is>
      </c>
      <c r="CG468"/>
      <c r="CH468"/>
      <c r="CI468"/>
      <c r="CJ468" t="inlineStr">
        <is>
          <t>No Paid</t>
        </is>
      </c>
      <c r="CK468" t="inlineStr">
        <is>
          <t>Not Eligible</t>
        </is>
      </c>
      <c r="CL468"/>
      <c r="CM468"/>
    </row>
    <row r="469" ht="25.5" customHeight="1">
      <c r="A469" t="inlineStr">
        <is>
          <t>4329397</t>
        </is>
      </c>
      <c r="B469" s="2"/>
      <c r="C469"/>
      <c r="D469" s="3">
        <v>46141.63912037037</v>
      </c>
      <c r="E469" t="inlineStr">
        <is>
          <t>Q2-W04</t>
        </is>
      </c>
      <c r="F469" t="inlineStr">
        <is>
          <t>Janice Yap</t>
        </is>
      </c>
      <c r="G469" t="inlineStr">
        <is>
          <t>Lead</t>
        </is>
      </c>
      <c r="H469" s="2" t="str">
        <f>=HYPERLINK("https://upbox.ajobthing.my/leads/4329397", "https://upbox.ajobthing.my/leads/4329397")</f>
        <v>https://upbox.ajobthing.my/leads/4329397</v>
      </c>
      <c r="I469" t="inlineStr">
        <is>
          <t>Campus Rangers International School</t>
        </is>
      </c>
      <c r="J469" t="inlineStr">
        <is>
          <t>Small Fish</t>
        </is>
      </c>
      <c r="K469" t="inlineStr">
        <is>
          <t>Janice</t>
        </is>
      </c>
      <c r="L469" s="4"/>
      <c r="M469" s="4">
        <v>46141.416134259256</v>
      </c>
      <c r="N469"/>
      <c r="O469">
        <v>3888</v>
      </c>
      <c r="P469" s="4"/>
      <c r="Q469" s="4"/>
      <c r="R469"/>
      <c r="S469"/>
      <c r="T469" s="4"/>
      <c r="U469" s="4"/>
      <c r="V469"/>
      <c r="W469"/>
      <c r="X469"/>
      <c r="Y469" t="inlineStr">
        <is>
          <t>Pending Appointment</t>
        </is>
      </c>
      <c r="Z469" t="inlineStr">
        <is>
          <t>Hiring Now</t>
        </is>
      </c>
      <c r="AA469">
        <v>1</v>
      </c>
      <c r="AB469" t="inlineStr">
        <is>
          <t>No Appointment Made</t>
        </is>
      </c>
      <c r="AC469"/>
      <c r="AD469" t="inlineStr">
        <is>
          <t>1 teacher primary</t>
        </is>
      </c>
      <c r="AE469"/>
      <c r="AF469">
        <v>0</v>
      </c>
      <c r="AG469" s="4"/>
      <c r="AH469" s="4"/>
      <c r="AI469">
        <v>0</v>
      </c>
      <c r="AJ469"/>
      <c r="AK469" t="inlineStr">
        <is>
          <t>No, I don't need at all</t>
        </is>
      </c>
      <c r="AL469">
        <v>0</v>
      </c>
      <c r="AM469" t="inlineStr">
        <is>
          <t>No, I don't need at all</t>
        </is>
      </c>
      <c r="AN469"/>
      <c r="AO469" t="inlineStr">
        <is>
          <t>No, I don't need at all</t>
        </is>
      </c>
      <c r="AP469" t="inlineStr">
        <is>
          <t>Once a year (25%)</t>
        </is>
      </c>
      <c r="AQ469">
        <v>1</v>
      </c>
      <c r="AR469"/>
      <c r="AS469" t="inlineStr">
        <is>
          <t>- Headcount: 1
- Hiring Job Details: 1 teacher primary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None</t>
        </is>
      </c>
      <c r="AT469">
        <v>110</v>
      </c>
      <c r="AU469" t="inlineStr">
        <is>
          <t>1.10</t>
        </is>
      </c>
      <c r="AV469" t="inlineStr">
        <is>
          <t>15</t>
        </is>
      </c>
      <c r="AW469" t="inlineStr">
        <is>
          <t>0</t>
        </is>
      </c>
      <c r="AX469" t="inlineStr">
        <is>
          <t>Not Qualified</t>
        </is>
      </c>
      <c r="AY469" s="4"/>
      <c r="AZ469"/>
      <c r="BA469"/>
      <c r="BB469"/>
      <c r="BC469"/>
      <c r="BD469" s="4"/>
      <c r="BE469"/>
      <c r="BF469"/>
      <c r="BG469" t="inlineStr">
        <is>
          <t>Reschedule</t>
        </is>
      </c>
      <c r="BH469" t="inlineStr">
        <is>
          <t>Yee Hang</t>
        </is>
      </c>
      <c r="BI469"/>
      <c r="BJ469" s="4">
        <v>46144.755949074075</v>
      </c>
      <c r="BK469" s="4">
        <v>46140.704976851855</v>
      </c>
      <c r="BL469" t="inlineStr">
        <is>
          <t>0.0</t>
        </is>
      </c>
      <c r="BM469" t="inlineStr">
        <is>
          <t>0.0</t>
        </is>
      </c>
      <c r="BN469"/>
      <c r="BO469" s="4"/>
      <c r="BP469">
        <v>169401</v>
      </c>
      <c r="BQ469"/>
      <c r="BR469"/>
      <c r="BS469"/>
      <c r="BT469"/>
      <c r="BU469"/>
      <c r="BV469"/>
      <c r="BW469"/>
      <c r="BX469"/>
      <c r="BY469"/>
      <c r="BZ469" s="4"/>
      <c r="CA469"/>
      <c r="CB469"/>
      <c r="CC469" s="4"/>
      <c r="CD469" t="inlineStr">
        <is>
          <t>20</t>
        </is>
      </c>
      <c r="CE469" t="inlineStr">
        <is>
          <t>0</t>
        </is>
      </c>
      <c r="CF469" t="inlineStr">
        <is>
          <t>Q2-W04</t>
        </is>
      </c>
      <c r="CG469"/>
      <c r="CH469"/>
      <c r="CI469"/>
      <c r="CJ469" t="inlineStr">
        <is>
          <t>No Paid</t>
        </is>
      </c>
      <c r="CK469" t="inlineStr">
        <is>
          <t>Not Eligible</t>
        </is>
      </c>
      <c r="CL469"/>
      <c r="CM469"/>
    </row>
    <row r="470" ht="25.5" customHeight="1">
      <c r="A470" t="inlineStr">
        <is>
          <t>192330</t>
        </is>
      </c>
      <c r="B470" s="2"/>
      <c r="C470"/>
      <c r="D470" s="3">
        <v>46141.64</v>
      </c>
      <c r="E470" t="inlineStr">
        <is>
          <t>Q2-W04</t>
        </is>
      </c>
      <c r="F470" t="inlineStr">
        <is>
          <t>Janice Yap</t>
        </is>
      </c>
      <c r="G470" t="inlineStr">
        <is>
          <t>Customer</t>
        </is>
      </c>
      <c r="H470" s="2" t="str">
        <f>=HYPERLINK("https://upbox.ajobthing.my/customer/192330", "https://upbox.ajobthing.my/customer/192330")</f>
        <v>https://upbox.ajobthing.my/customer/192330</v>
      </c>
      <c r="I470" t="inlineStr">
        <is>
          <t>Eastwest Eats Group Plt</t>
        </is>
      </c>
      <c r="J470" t="inlineStr">
        <is>
          <t>Small Fish</t>
        </is>
      </c>
      <c r="K470" t="inlineStr">
        <is>
          <t>Janice</t>
        </is>
      </c>
      <c r="L470" s="4"/>
      <c r="M470" s="4">
        <v>46141.63957175926</v>
      </c>
      <c r="N470"/>
      <c r="O470">
        <v>3888</v>
      </c>
      <c r="P470" s="4"/>
      <c r="Q470" s="4">
        <v>45819.418645833335</v>
      </c>
      <c r="R470"/>
      <c r="S470">
        <v>648</v>
      </c>
      <c r="T470" s="4">
        <v>45819.418645833335</v>
      </c>
      <c r="U470" s="4"/>
      <c r="V470"/>
      <c r="W470">
        <v>648</v>
      </c>
      <c r="X470"/>
      <c r="Y470" t="inlineStr">
        <is>
          <t>Pending Appointment</t>
        </is>
      </c>
      <c r="Z470" t="inlineStr">
        <is>
          <t>Hiring Now</t>
        </is>
      </c>
      <c r="AA470">
        <v>2</v>
      </c>
      <c r="AB470" t="inlineStr">
        <is>
          <t>No Appointment Made</t>
        </is>
      </c>
      <c r="AC470"/>
      <c r="AD470" t="inlineStr">
        <is>
          <t>2 shop assistant</t>
        </is>
      </c>
      <c r="AE470"/>
      <c r="AF470">
        <v>0</v>
      </c>
      <c r="AG470" s="4"/>
      <c r="AH470" s="4"/>
      <c r="AI470">
        <v>0</v>
      </c>
      <c r="AJ470"/>
      <c r="AK470" t="inlineStr">
        <is>
          <t>No, I don't need at all</t>
        </is>
      </c>
      <c r="AL470">
        <v>0</v>
      </c>
      <c r="AM470" t="inlineStr">
        <is>
          <t>No, I don't need at all</t>
        </is>
      </c>
      <c r="AN470"/>
      <c r="AO470" t="inlineStr">
        <is>
          <t>No, I don't need at all</t>
        </is>
      </c>
      <c r="AP470" t="inlineStr">
        <is>
          <t>Once a year (25%)</t>
        </is>
      </c>
      <c r="AQ470">
        <v>2</v>
      </c>
      <c r="AR470"/>
      <c r="AS470" t="inlineStr">
        <is>
          <t>- Headcount: 2
- Hiring Job Details: 2 shop assistant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t>
        </is>
      </c>
      <c r="AT470">
        <v>110</v>
      </c>
      <c r="AU470" t="inlineStr">
        <is>
          <t>1.10</t>
        </is>
      </c>
      <c r="AV470" t="inlineStr">
        <is>
          <t>15</t>
        </is>
      </c>
      <c r="AW470" t="inlineStr">
        <is>
          <t>0</t>
        </is>
      </c>
      <c r="AX470" t="inlineStr">
        <is>
          <t>Not Qualified</t>
        </is>
      </c>
      <c r="AY470" s="4"/>
      <c r="AZ470"/>
      <c r="BA470"/>
      <c r="BB470"/>
      <c r="BC470" t="inlineStr">
        <is>
          <t>- Headcount: 2
- Hiring Job Details: 2 shop assistant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t>
        </is>
      </c>
      <c r="BD470" s="4">
        <v>46141.66670138889</v>
      </c>
      <c r="BE470" t="inlineStr">
        <is>
          <t>paid</t>
        </is>
      </c>
      <c r="BF470"/>
      <c r="BG470" t="inlineStr">
        <is>
          <t>Reschedule</t>
        </is>
      </c>
      <c r="BH470" t="inlineStr">
        <is>
          <t>Yee Hang</t>
        </is>
      </c>
      <c r="BI470" t="inlineStr">
        <is>
          <t>Food / Beverage</t>
        </is>
      </c>
      <c r="BJ470" s="4">
        <v>46144.752546296295</v>
      </c>
      <c r="BK470" s="4">
        <v>45817.651284722226</v>
      </c>
      <c r="BL470" t="inlineStr">
        <is>
          <t>648.0</t>
        </is>
      </c>
      <c r="BM470" t="inlineStr">
        <is>
          <t>0.0</t>
        </is>
      </c>
      <c r="BN470" t="inlineStr">
        <is>
          <t>View Jobmanager Page</t>
        </is>
      </c>
      <c r="BO470" s="4">
        <v>45866.318136574075</v>
      </c>
      <c r="BP470">
        <v>169535</v>
      </c>
      <c r="BQ470">
        <v>79988</v>
      </c>
      <c r="BR470" t="inlineStr">
        <is>
          <t>Online</t>
        </is>
      </c>
      <c r="BS470"/>
      <c r="BT470">
        <v>79988</v>
      </c>
      <c r="BU470"/>
      <c r="BV470">
        <v>2735778</v>
      </c>
      <c r="BW470" t="inlineStr">
        <is>
          <t>Customer Inquiry</t>
        </is>
      </c>
      <c r="BX470"/>
      <c r="BY470"/>
      <c r="BZ470" s="4"/>
      <c r="CA470"/>
      <c r="CB470"/>
      <c r="CC470" s="4"/>
      <c r="CD470" t="inlineStr">
        <is>
          <t>20</t>
        </is>
      </c>
      <c r="CE470" t="inlineStr">
        <is>
          <t>0</t>
        </is>
      </c>
      <c r="CF470" t="inlineStr">
        <is>
          <t>Q2-W04</t>
        </is>
      </c>
      <c r="CG470"/>
      <c r="CH470"/>
      <c r="CI470"/>
      <c r="CJ470" t="inlineStr">
        <is>
          <t>Paid</t>
        </is>
      </c>
      <c r="CK470" t="inlineStr">
        <is>
          <t>Not Eligible</t>
        </is>
      </c>
      <c r="CL470"/>
      <c r="CM470"/>
    </row>
    <row r="471" ht="25.5" customHeight="1">
      <c r="A471" t="inlineStr">
        <is>
          <t>4329236</t>
        </is>
      </c>
      <c r="B471" s="2"/>
      <c r="C471"/>
      <c r="D471" s="3">
        <v>46141.64527777778</v>
      </c>
      <c r="E471" t="inlineStr">
        <is>
          <t>Q2-W04</t>
        </is>
      </c>
      <c r="F471" t="inlineStr">
        <is>
          <t>Evan</t>
        </is>
      </c>
      <c r="G471" t="inlineStr">
        <is>
          <t>Lead</t>
        </is>
      </c>
      <c r="H471" s="2" t="str">
        <f>=HYPERLINK("https://upbox.ajobthing.my/leads/4329236", "https://upbox.ajobthing.my/leads/4329236")</f>
        <v>https://upbox.ajobthing.my/leads/4329236</v>
      </c>
      <c r="I471" t="inlineStr">
        <is>
          <t>Lividea Lifestyle PLT</t>
        </is>
      </c>
      <c r="J471" t="inlineStr">
        <is>
          <t>Small Fish</t>
        </is>
      </c>
      <c r="K471" t="inlineStr">
        <is>
          <t>Evan</t>
        </is>
      </c>
      <c r="L471" s="4"/>
      <c r="M471" s="4">
        <v>46141.64561342593</v>
      </c>
      <c r="N471"/>
      <c r="O471">
        <v>3576.96</v>
      </c>
      <c r="P471" s="4"/>
      <c r="Q471" s="4"/>
      <c r="R471"/>
      <c r="S471"/>
      <c r="T471" s="4"/>
      <c r="U471" s="4"/>
      <c r="V471"/>
      <c r="W471"/>
      <c r="X471"/>
      <c r="Y471" t="inlineStr">
        <is>
          <t>Pending Appointment</t>
        </is>
      </c>
      <c r="Z471" t="inlineStr">
        <is>
          <t>Hiring Now</t>
        </is>
      </c>
      <c r="AA471">
        <v>5</v>
      </c>
      <c r="AB471" t="inlineStr">
        <is>
          <t>No Appointment Made</t>
        </is>
      </c>
      <c r="AC471"/>
      <c r="AD471" t="inlineStr">
        <is>
          <t>5 crew, all base in KL</t>
        </is>
      </c>
      <c r="AE471"/>
      <c r="AF471">
        <v>1</v>
      </c>
      <c r="AG471" s="4"/>
      <c r="AH471" s="4"/>
      <c r="AI471">
        <v>1</v>
      </c>
      <c r="AJ471">
        <v>2</v>
      </c>
      <c r="AK471" t="inlineStr">
        <is>
          <t>No, I don't need at all</t>
        </is>
      </c>
      <c r="AL471">
        <v>0</v>
      </c>
      <c r="AM471" t="inlineStr">
        <is>
          <t>No, I don't need at all</t>
        </is>
      </c>
      <c r="AN471"/>
      <c r="AO471" t="inlineStr">
        <is>
          <t>No, I don't need at all</t>
        </is>
      </c>
      <c r="AP471" t="inlineStr">
        <is>
          <t>Once a year (25%)</t>
        </is>
      </c>
      <c r="AQ471">
        <v>5</v>
      </c>
      <c r="AR471" t="inlineStr">
        <is>
          <t>Did not use any job portal</t>
        </is>
      </c>
      <c r="AS471" t="inlineStr">
        <is>
          <t>- Headcount: 5
- Hiring Job Details: 5 crew, all base in KL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5
- Hiring frequency: Once a year (25%)
- External job portal: Did not use any job portal</t>
        </is>
      </c>
      <c r="AT471">
        <v>85</v>
      </c>
      <c r="AU471" t="inlineStr">
        <is>
          <t>0.85</t>
        </is>
      </c>
      <c r="AV471" t="inlineStr">
        <is>
          <t>20</t>
        </is>
      </c>
      <c r="AW471" t="inlineStr">
        <is>
          <t>0</t>
        </is>
      </c>
      <c r="AX471" t="inlineStr">
        <is>
          <t>Not Qualified</t>
        </is>
      </c>
      <c r="AY471" s="4"/>
      <c r="AZ471"/>
      <c r="BA471"/>
      <c r="BB471"/>
      <c r="BC471"/>
      <c r="BD471" s="4"/>
      <c r="BE471"/>
      <c r="BF471"/>
      <c r="BG471" t="inlineStr">
        <is>
          <t>Reschedule</t>
        </is>
      </c>
      <c r="BH471" t="inlineStr">
        <is>
          <t>Edward Hoo</t>
        </is>
      </c>
      <c r="BI471"/>
      <c r="BJ471" s="4">
        <v>46144.75592592593</v>
      </c>
      <c r="BK471" s="4">
        <v>46140.587592592594</v>
      </c>
      <c r="BL471" t="inlineStr">
        <is>
          <t>0.0</t>
        </is>
      </c>
      <c r="BM471" t="inlineStr">
        <is>
          <t>0.0</t>
        </is>
      </c>
      <c r="BN471"/>
      <c r="BO471" s="4"/>
      <c r="BP471">
        <v>169537</v>
      </c>
      <c r="BQ471"/>
      <c r="BR471"/>
      <c r="BS471"/>
      <c r="BT471"/>
      <c r="BU471"/>
      <c r="BV471"/>
      <c r="BW471"/>
      <c r="BX471"/>
      <c r="BY471"/>
      <c r="BZ471" s="4"/>
      <c r="CA471"/>
      <c r="CB471"/>
      <c r="CC471" s="4"/>
      <c r="CD471" t="inlineStr">
        <is>
          <t>30</t>
        </is>
      </c>
      <c r="CE471" t="inlineStr">
        <is>
          <t>0</t>
        </is>
      </c>
      <c r="CF471" t="inlineStr">
        <is>
          <t>Q2-W04</t>
        </is>
      </c>
      <c r="CG471"/>
      <c r="CH471"/>
      <c r="CI471"/>
      <c r="CJ471" t="inlineStr">
        <is>
          <t>No Paid</t>
        </is>
      </c>
      <c r="CK471" t="inlineStr">
        <is>
          <t>Not Eligible</t>
        </is>
      </c>
      <c r="CL471"/>
      <c r="CM471"/>
    </row>
    <row r="472" ht="25.5" customHeight="1">
      <c r="A472" t="inlineStr">
        <is>
          <t>203800</t>
        </is>
      </c>
      <c r="B472" s="2"/>
      <c r="C472"/>
      <c r="D472" s="3">
        <v>46141.654386574075</v>
      </c>
      <c r="E472" t="inlineStr">
        <is>
          <t>Q2-W04</t>
        </is>
      </c>
      <c r="F472" t="inlineStr">
        <is>
          <t>Derek Lim</t>
        </is>
      </c>
      <c r="G472" t="inlineStr">
        <is>
          <t>Customer</t>
        </is>
      </c>
      <c r="H472" s="2" t="str">
        <f>=HYPERLINK("https://upbox.ajobthing.my/customer/203800", "https://upbox.ajobthing.my/customer/203800")</f>
        <v>https://upbox.ajobthing.my/customer/203800</v>
      </c>
      <c r="I472" t="inlineStr">
        <is>
          <t>Ytg</t>
        </is>
      </c>
      <c r="J472" t="inlineStr">
        <is>
          <t>Small Fish</t>
        </is>
      </c>
      <c r="K472" t="inlineStr">
        <is>
          <t>Derek Lim</t>
        </is>
      </c>
      <c r="L472" s="4"/>
      <c r="M472" s="4">
        <v>46141.65451388889</v>
      </c>
      <c r="N472"/>
      <c r="O472">
        <v>6048</v>
      </c>
      <c r="P472" s="4"/>
      <c r="Q472" s="4"/>
      <c r="R472"/>
      <c r="S472"/>
      <c r="T472" s="4"/>
      <c r="U472" s="4"/>
      <c r="V472"/>
      <c r="W472"/>
      <c r="X472"/>
      <c r="Y472" t="inlineStr">
        <is>
          <t>Pending Appointment</t>
        </is>
      </c>
      <c r="Z472" t="inlineStr">
        <is>
          <t>Hiring Now</t>
        </is>
      </c>
      <c r="AA472">
        <v>5</v>
      </c>
      <c r="AB472" t="inlineStr">
        <is>
          <t>No Appointment Made</t>
        </is>
      </c>
      <c r="AC472"/>
      <c r="AD472" t="inlineStr">
        <is>
          <t>Sales Agent - 5</t>
        </is>
      </c>
      <c r="AE472"/>
      <c r="AF472">
        <v>0</v>
      </c>
      <c r="AG472" s="4"/>
      <c r="AH472" s="4"/>
      <c r="AI472">
        <v>0</v>
      </c>
      <c r="AJ472">
        <v>1</v>
      </c>
      <c r="AK472" t="inlineStr">
        <is>
          <t>No, I don't need at all</t>
        </is>
      </c>
      <c r="AL472">
        <v>0</v>
      </c>
      <c r="AM472" t="inlineStr">
        <is>
          <t>No, I don't need at all</t>
        </is>
      </c>
      <c r="AN472"/>
      <c r="AO472" t="inlineStr">
        <is>
          <t>No, I don't need at all</t>
        </is>
      </c>
      <c r="AP472" t="inlineStr">
        <is>
          <t>Twice a year (50%)</t>
        </is>
      </c>
      <c r="AQ472">
        <v>10</v>
      </c>
      <c r="AR472" t="inlineStr">
        <is>
          <t>Jobstreet</t>
        </is>
      </c>
      <c r="AS472" t="inlineStr">
        <is>
          <t>- Headcount: 5
- Hiring Job Details: 5 Sales Agent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10
- Hiring frequency: Twice a year (50%)
- External job portal: Jobstreet</t>
        </is>
      </c>
      <c r="AT472">
        <v>110</v>
      </c>
      <c r="AU472" t="inlineStr">
        <is>
          <t>1.10</t>
        </is>
      </c>
      <c r="AV472" t="inlineStr">
        <is>
          <t>20</t>
        </is>
      </c>
      <c r="AW472" t="inlineStr">
        <is>
          <t>0</t>
        </is>
      </c>
      <c r="AX472" t="inlineStr">
        <is>
          <t>Not Qualified</t>
        </is>
      </c>
      <c r="AY472" s="4"/>
      <c r="AZ472"/>
      <c r="BA472"/>
      <c r="BB472"/>
      <c r="BC472" t="inlineStr">
        <is>
          <t>- Headcount: 5
- Hiring Job Details: 5 Sales Agent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10
- Hiring frequency: Twice a year (50%)
- External job portal: Jobstreet</t>
        </is>
      </c>
      <c r="BD472" s="4">
        <v>46141.66670138889</v>
      </c>
      <c r="BE472"/>
      <c r="BF472"/>
      <c r="BG472" t="inlineStr">
        <is>
          <t>Reschedule</t>
        </is>
      </c>
      <c r="BH472" t="inlineStr">
        <is>
          <t>Edward Hoo</t>
        </is>
      </c>
      <c r="BI472"/>
      <c r="BJ472" s="4">
        <v>46144.75438657407</v>
      </c>
      <c r="BK472" s="4">
        <v>46141.64142361111</v>
      </c>
      <c r="BL472" t="inlineStr">
        <is>
          <t>0.0</t>
        </is>
      </c>
      <c r="BM472" t="inlineStr">
        <is>
          <t>0.0</t>
        </is>
      </c>
      <c r="BN472" t="inlineStr">
        <is>
          <t>View Company Page</t>
        </is>
      </c>
      <c r="BO472" s="4">
        <v>46141.664618055554</v>
      </c>
      <c r="BP472">
        <v>169539</v>
      </c>
      <c r="BQ472"/>
      <c r="BR472"/>
      <c r="BS472"/>
      <c r="BT472"/>
      <c r="BU472"/>
      <c r="BV472">
        <v>2735782</v>
      </c>
      <c r="BW472" t="inlineStr">
        <is>
          <t>Customer Inquiry</t>
        </is>
      </c>
      <c r="BX472"/>
      <c r="BY472"/>
      <c r="BZ472" s="4"/>
      <c r="CA472"/>
      <c r="CB472"/>
      <c r="CC472" s="4"/>
      <c r="CD472" t="inlineStr">
        <is>
          <t>30</t>
        </is>
      </c>
      <c r="CE472" t="inlineStr">
        <is>
          <t>0</t>
        </is>
      </c>
      <c r="CF472" t="inlineStr">
        <is>
          <t>Q2-W04</t>
        </is>
      </c>
      <c r="CG472"/>
      <c r="CH472"/>
      <c r="CI472"/>
      <c r="CJ472" t="inlineStr">
        <is>
          <t>No Paid</t>
        </is>
      </c>
      <c r="CK472" t="inlineStr">
        <is>
          <t>Not Eligible</t>
        </is>
      </c>
      <c r="CL472"/>
      <c r="CM472"/>
    </row>
    <row r="473" ht="25.5" customHeight="1">
      <c r="A473" t="inlineStr">
        <is>
          <t>186392</t>
        </is>
      </c>
      <c r="B473" s="2"/>
      <c r="C473"/>
      <c r="D473" s="3">
        <v>46141.66039351852</v>
      </c>
      <c r="E473" t="inlineStr">
        <is>
          <t>Q2-W04</t>
        </is>
      </c>
      <c r="F473" t="inlineStr">
        <is>
          <t>Clover</t>
        </is>
      </c>
      <c r="G473" t="inlineStr">
        <is>
          <t>Customer</t>
        </is>
      </c>
      <c r="H473" s="2" t="str">
        <f>=HYPERLINK("https://upbox.ajobthing.my/customer/186392", "https://upbox.ajobthing.my/customer/186392")</f>
        <v>https://upbox.ajobthing.my/customer/186392</v>
      </c>
      <c r="I473" t="inlineStr">
        <is>
          <t xml:space="preserve">FiqSara </t>
        </is>
      </c>
      <c r="J473" t="inlineStr">
        <is>
          <t>Small Fish</t>
        </is>
      </c>
      <c r="K473" t="inlineStr">
        <is>
          <t>Clover</t>
        </is>
      </c>
      <c r="L473" s="4"/>
      <c r="M473" s="4">
        <v>46141.66068287037</v>
      </c>
      <c r="N473"/>
      <c r="O473">
        <v>3888</v>
      </c>
      <c r="P473" s="4"/>
      <c r="Q473" s="4"/>
      <c r="R473"/>
      <c r="S473"/>
      <c r="T473" s="4"/>
      <c r="U473" s="4"/>
      <c r="V473"/>
      <c r="W473"/>
      <c r="X473"/>
      <c r="Y473" t="inlineStr">
        <is>
          <t>Pending Appointment</t>
        </is>
      </c>
      <c r="Z473" t="inlineStr">
        <is>
          <t>Hiring Later</t>
        </is>
      </c>
      <c r="AA473">
        <v>2</v>
      </c>
      <c r="AB473" t="inlineStr">
        <is>
          <t>No Appointment Made</t>
        </is>
      </c>
      <c r="AC473"/>
      <c r="AD473" t="inlineStr">
        <is>
          <t>Survey now, hire later, cashier x1, retail assistant x1, all races, kl, suggest stand</t>
        </is>
      </c>
      <c r="AE473"/>
      <c r="AF473">
        <v>3000</v>
      </c>
      <c r="AG473" s="4"/>
      <c r="AH473" s="4"/>
      <c r="AI473">
        <v>300</v>
      </c>
      <c r="AJ473">
        <v>1</v>
      </c>
      <c r="AK473" t="inlineStr">
        <is>
          <t>No, but I want in future</t>
        </is>
      </c>
      <c r="AL473">
        <v>1</v>
      </c>
      <c r="AM473" t="inlineStr">
        <is>
          <t>No, but I want in future</t>
        </is>
      </c>
      <c r="AN473"/>
      <c r="AO473" t="inlineStr">
        <is>
          <t>No, but I want in future</t>
        </is>
      </c>
      <c r="AP473" t="inlineStr">
        <is>
          <t>Twice a year (50%)</t>
        </is>
      </c>
      <c r="AQ473">
        <v>2</v>
      </c>
      <c r="AR473" t="inlineStr">
        <is>
          <t>Did not use any job portal</t>
        </is>
      </c>
      <c r="AS473" t="inlineStr">
        <is>
          <t>- Headcount: 2
- Hiring Job Details: Survey now, hire later, cashier x1, retail assistant x1, all races, kl,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
- Whole year number of vacancies: 2
- Hiring frequency: Twice a year (50%)
- External job portal: Did not use any</t>
        </is>
      </c>
      <c r="AT473">
        <v>110</v>
      </c>
      <c r="AU473" t="inlineStr">
        <is>
          <t>1.10</t>
        </is>
      </c>
      <c r="AV473" t="inlineStr">
        <is>
          <t>15</t>
        </is>
      </c>
      <c r="AW473" t="inlineStr">
        <is>
          <t>0</t>
        </is>
      </c>
      <c r="AX473" t="inlineStr">
        <is>
          <t>Not Qualified</t>
        </is>
      </c>
      <c r="AY473" s="4"/>
      <c r="AZ473"/>
      <c r="BA473"/>
      <c r="BB473"/>
      <c r="BC473" t="inlineStr">
        <is>
          <t>- Headcount: 2
- Hiring Job Details: Survey now, hire later, cashier x1, retail assistant x1, all races, kl,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
- Whole year number of vacancies: 2
- Hiring frequency: Twice a year (50%)
- External job portal: Did not use any</t>
        </is>
      </c>
      <c r="BD473" s="4">
        <v>46141.66670138889</v>
      </c>
      <c r="BE473"/>
      <c r="BF473"/>
      <c r="BG473" t="inlineStr">
        <is>
          <t>Reschedule</t>
        </is>
      </c>
      <c r="BH473" t="inlineStr">
        <is>
          <t>Reagen</t>
        </is>
      </c>
      <c r="BI473" t="inlineStr">
        <is>
          <t>Food / Beverage</t>
        </is>
      </c>
      <c r="BJ473" s="4">
        <v>46144.75209490741</v>
      </c>
      <c r="BK473" s="4">
        <v>45661.031168981484</v>
      </c>
      <c r="BL473" t="inlineStr">
        <is>
          <t>0.0</t>
        </is>
      </c>
      <c r="BM473" t="inlineStr">
        <is>
          <t>0.0</t>
        </is>
      </c>
      <c r="BN473" t="inlineStr">
        <is>
          <t>View Jobmanager Page</t>
        </is>
      </c>
      <c r="BO473" s="4">
        <v>45661.04099537037</v>
      </c>
      <c r="BP473">
        <v>169541</v>
      </c>
      <c r="BQ473"/>
      <c r="BR473"/>
      <c r="BS473"/>
      <c r="BT473"/>
      <c r="BU473"/>
      <c r="BV473">
        <v>2735784</v>
      </c>
      <c r="BW473" t="inlineStr">
        <is>
          <t>Customer Inquiry</t>
        </is>
      </c>
      <c r="BX473"/>
      <c r="BY473"/>
      <c r="BZ473" s="4"/>
      <c r="CA473"/>
      <c r="CB473"/>
      <c r="CC473" s="4"/>
      <c r="CD473" t="inlineStr">
        <is>
          <t>20</t>
        </is>
      </c>
      <c r="CE473" t="inlineStr">
        <is>
          <t>0</t>
        </is>
      </c>
      <c r="CF473" t="inlineStr">
        <is>
          <t>Q2-W04</t>
        </is>
      </c>
      <c r="CG473"/>
      <c r="CH473"/>
      <c r="CI473"/>
      <c r="CJ473" t="inlineStr">
        <is>
          <t>No Paid</t>
        </is>
      </c>
      <c r="CK473" t="inlineStr">
        <is>
          <t>Not Eligible</t>
        </is>
      </c>
      <c r="CL473"/>
      <c r="CM473"/>
    </row>
    <row r="474" ht="25.5" customHeight="1">
      <c r="A474" t="inlineStr">
        <is>
          <t>179208</t>
        </is>
      </c>
      <c r="B474" s="2"/>
      <c r="C474"/>
      <c r="D474" s="3">
        <v>46141.660474537035</v>
      </c>
      <c r="E474" t="inlineStr">
        <is>
          <t>Q2-W04</t>
        </is>
      </c>
      <c r="F474" t="inlineStr">
        <is>
          <t>Eugene</t>
        </is>
      </c>
      <c r="G474" t="inlineStr">
        <is>
          <t>Customer</t>
        </is>
      </c>
      <c r="H474" s="2" t="str">
        <f>=HYPERLINK("https://upbox.ajobthing.my/customer/179208", "https://upbox.ajobthing.my/customer/179208")</f>
        <v>https://upbox.ajobthing.my/customer/179208</v>
      </c>
      <c r="I474" t="inlineStr">
        <is>
          <t>Crest Management &amp; Consultancy</t>
        </is>
      </c>
      <c r="J474" t="inlineStr">
        <is>
          <t>Small Fish</t>
        </is>
      </c>
      <c r="K474" t="inlineStr">
        <is>
          <t>Eugene</t>
        </is>
      </c>
      <c r="L474" s="4"/>
      <c r="M474" s="4">
        <v>46141.661145833335</v>
      </c>
      <c r="N474"/>
      <c r="O474">
        <v>3576.96</v>
      </c>
      <c r="P474" s="4"/>
      <c r="Q474" s="4">
        <v>45453.59488425926</v>
      </c>
      <c r="R474"/>
      <c r="S474">
        <v>648</v>
      </c>
      <c r="T474" s="4">
        <v>45453.59488425926</v>
      </c>
      <c r="U474" s="4"/>
      <c r="V474"/>
      <c r="W474">
        <v>648</v>
      </c>
      <c r="X474"/>
      <c r="Y474" t="inlineStr">
        <is>
          <t>Pending Appointment</t>
        </is>
      </c>
      <c r="Z474" t="inlineStr">
        <is>
          <t>Continuous Hiring</t>
        </is>
      </c>
      <c r="AA474">
        <v>6</v>
      </c>
      <c r="AB474" t="inlineStr">
        <is>
          <t>No Appointment Made</t>
        </is>
      </c>
      <c r="AC474"/>
      <c r="AD474" t="inlineStr">
        <is>
          <t>6 telemarketing, based in KL</t>
        </is>
      </c>
      <c r="AE474"/>
      <c r="AF474">
        <v>3000</v>
      </c>
      <c r="AG474" s="4"/>
      <c r="AH474" s="4"/>
      <c r="AI474">
        <v>3000</v>
      </c>
      <c r="AJ474">
        <v>1</v>
      </c>
      <c r="AK474" t="inlineStr">
        <is>
          <t>No, I don't need at all</t>
        </is>
      </c>
      <c r="AL474">
        <v>1</v>
      </c>
      <c r="AM474" t="inlineStr">
        <is>
          <t>No, I don't need at all</t>
        </is>
      </c>
      <c r="AN474"/>
      <c r="AO474" t="inlineStr">
        <is>
          <t>No, I don't need at all</t>
        </is>
      </c>
      <c r="AP474" t="inlineStr">
        <is>
          <t>Once per quarter (75%)</t>
        </is>
      </c>
      <c r="AQ474">
        <v>6</v>
      </c>
      <c r="AR474" t="inlineStr">
        <is>
          <t>Indeed (Paid), Free Job Portal</t>
        </is>
      </c>
      <c r="AS474" t="inlineStr">
        <is>
          <t>- Headcount: 6
- Hiring Job Details: 6 telemarketing, based in KL
- Hiring Urgency: Continuous Hiring
- Number of outlets: 1
- Have recruiter team: No, I don't need at all
- Number of recruiter in company: 1
- Have ATS system: No, I don't need at all
- Have career website: No, I don't need at all
- Current hiring budget: RM3,000
- Whole year budget: RM3,000.00
- Whole year number of vacancies: 6
- Hiring frequency: Once per quarter (75%)
- External job portal: Indeed (Paid), Free Job Portal</t>
        </is>
      </c>
      <c r="AT474">
        <v>115</v>
      </c>
      <c r="AU474" t="inlineStr">
        <is>
          <t>1.15</t>
        </is>
      </c>
      <c r="AV474" t="inlineStr">
        <is>
          <t>20</t>
        </is>
      </c>
      <c r="AW474" t="inlineStr">
        <is>
          <t>0</t>
        </is>
      </c>
      <c r="AX474" t="inlineStr">
        <is>
          <t>Not Qualified</t>
        </is>
      </c>
      <c r="AY474" s="4"/>
      <c r="AZ474"/>
      <c r="BA474"/>
      <c r="BB474"/>
      <c r="BC474" t="inlineStr">
        <is>
          <t>- Headcount: 6
- Hiring Job Details: 6 telemarketing, based in KL
- Hiring Urgency: Continuous Hiring
- Number of outlets: 1
- Have recruiter team: No, I don't need at all
- Number of recruiter in company: 1
- Have ATS system: No, I don't need at all
- Have career website: No, I don't need at all
- Current hiring budget: RM3,000
- Whole year budget: RM3,000.00
- Whole year number of vacancies: 6
- Hiring frequency: Once per quarter (75%)
- External job portal: Indeed (Paid), Free Job Portal</t>
        </is>
      </c>
      <c r="BD474" s="4">
        <v>46141.66670138889</v>
      </c>
      <c r="BE474" t="inlineStr">
        <is>
          <t>paid</t>
        </is>
      </c>
      <c r="BF474"/>
      <c r="BG474" t="inlineStr">
        <is>
          <t>Reschedule</t>
        </is>
      </c>
      <c r="BH474" t="inlineStr">
        <is>
          <t>Edward Hoo</t>
        </is>
      </c>
      <c r="BI474" t="inlineStr">
        <is>
          <t>Business / Mgmt Consulting</t>
        </is>
      </c>
      <c r="BJ474" s="4">
        <v>46144.75178240741</v>
      </c>
      <c r="BK474" s="4">
        <v>45450.62157407407</v>
      </c>
      <c r="BL474" t="inlineStr">
        <is>
          <t>0.0</t>
        </is>
      </c>
      <c r="BM474" t="inlineStr">
        <is>
          <t>0.0</t>
        </is>
      </c>
      <c r="BN474" t="inlineStr">
        <is>
          <t>View Company Page</t>
        </is>
      </c>
      <c r="BO474" s="4">
        <v>45506.77354166667</v>
      </c>
      <c r="BP474">
        <v>169542</v>
      </c>
      <c r="BQ474">
        <v>69942</v>
      </c>
      <c r="BR474" t="inlineStr">
        <is>
          <t>Online</t>
        </is>
      </c>
      <c r="BS474"/>
      <c r="BT474">
        <v>69942</v>
      </c>
      <c r="BU474"/>
      <c r="BV474">
        <v>2735785</v>
      </c>
      <c r="BW474" t="inlineStr">
        <is>
          <t>Customer Inquiry</t>
        </is>
      </c>
      <c r="BX474"/>
      <c r="BY474"/>
      <c r="BZ474" s="4"/>
      <c r="CA474"/>
      <c r="CB474"/>
      <c r="CC474" s="4"/>
      <c r="CD474" t="inlineStr">
        <is>
          <t>30</t>
        </is>
      </c>
      <c r="CE474" t="inlineStr">
        <is>
          <t>0</t>
        </is>
      </c>
      <c r="CF474" t="inlineStr">
        <is>
          <t>Q2-W04</t>
        </is>
      </c>
      <c r="CG474"/>
      <c r="CH474"/>
      <c r="CI474"/>
      <c r="CJ474" t="inlineStr">
        <is>
          <t>Paid</t>
        </is>
      </c>
      <c r="CK474" t="inlineStr">
        <is>
          <t>Not Eligible</t>
        </is>
      </c>
      <c r="CL474"/>
      <c r="CM474"/>
    </row>
    <row r="475" ht="25.5" customHeight="1">
      <c r="A475" t="inlineStr">
        <is>
          <t>194395</t>
        </is>
      </c>
      <c r="B475" s="2"/>
      <c r="C475"/>
      <c r="D475" s="3">
        <v>46141.667546296296</v>
      </c>
      <c r="E475" t="inlineStr">
        <is>
          <t>Q2-W04</t>
        </is>
      </c>
      <c r="F475" t="inlineStr">
        <is>
          <t>Fariz</t>
        </is>
      </c>
      <c r="G475" t="inlineStr">
        <is>
          <t>Customer</t>
        </is>
      </c>
      <c r="H475" s="2" t="str">
        <f>=HYPERLINK("https://upbox.ajobthing.my/customer/194395", "https://upbox.ajobthing.my/customer/194395")</f>
        <v>https://upbox.ajobthing.my/customer/194395</v>
      </c>
      <c r="I475" t="inlineStr">
        <is>
          <t xml:space="preserve">Procems Asia-pacific Pte Ltd </t>
        </is>
      </c>
      <c r="J475" t="inlineStr">
        <is>
          <t>Small Fish</t>
        </is>
      </c>
      <c r="K475" t="inlineStr">
        <is>
          <t>Fariz</t>
        </is>
      </c>
      <c r="L475" s="4"/>
      <c r="M475" s="4">
        <v>46141.667662037034</v>
      </c>
      <c r="N475"/>
      <c r="O475">
        <v>3888</v>
      </c>
      <c r="P475" s="4"/>
      <c r="Q475" s="4"/>
      <c r="R475"/>
      <c r="S475"/>
      <c r="T475" s="4"/>
      <c r="U475" s="4"/>
      <c r="V475"/>
      <c r="W475"/>
      <c r="X475"/>
      <c r="Y475" t="inlineStr">
        <is>
          <t>Pending Appointment</t>
        </is>
      </c>
      <c r="Z475" t="inlineStr">
        <is>
          <t>Hiring Now</t>
        </is>
      </c>
      <c r="AA475">
        <v>2</v>
      </c>
      <c r="AB475" t="inlineStr">
        <is>
          <t>No Appointment Made</t>
        </is>
      </c>
      <c r="AC475"/>
      <c r="AD475" t="inlineStr">
        <is>
          <t>2 service</t>
        </is>
      </c>
      <c r="AE475"/>
      <c r="AF475">
        <v>3600</v>
      </c>
      <c r="AG475" s="4"/>
      <c r="AH475" s="4"/>
      <c r="AI475">
        <v>3600</v>
      </c>
      <c r="AJ475"/>
      <c r="AK475" t="inlineStr">
        <is>
          <t>No, I don't need at all</t>
        </is>
      </c>
      <c r="AL475">
        <v>1</v>
      </c>
      <c r="AM475" t="inlineStr">
        <is>
          <t>No, I don't need at all</t>
        </is>
      </c>
      <c r="AN475"/>
      <c r="AO475" t="inlineStr">
        <is>
          <t>No, I don't need at all</t>
        </is>
      </c>
      <c r="AP475" t="inlineStr">
        <is>
          <t>Once a year (25%)</t>
        </is>
      </c>
      <c r="AQ475">
        <v>3</v>
      </c>
      <c r="AR475" t="inlineStr">
        <is>
          <t>Jobstreet</t>
        </is>
      </c>
      <c r="AS475" t="inlineStr">
        <is>
          <t>- Headcount: 2
- Hiring Job Details: 2 service
- Hiring Urgency: Hiring Now
- Number of outlets: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Jobstreet</t>
        </is>
      </c>
      <c r="AT475">
        <v>95</v>
      </c>
      <c r="AU475" t="inlineStr">
        <is>
          <t>0.95</t>
        </is>
      </c>
      <c r="AV475" t="inlineStr">
        <is>
          <t>15</t>
        </is>
      </c>
      <c r="AW475" t="inlineStr">
        <is>
          <t>0</t>
        </is>
      </c>
      <c r="AX475" t="inlineStr">
        <is>
          <t>Not Qualified</t>
        </is>
      </c>
      <c r="AY475" s="4"/>
      <c r="AZ475"/>
      <c r="BA475"/>
      <c r="BB475"/>
      <c r="BC475" t="inlineStr">
        <is>
          <t>- Headcount: 2
- Hiring Job Details: 2 service
- Hiring Urgency: Hiring Now
- Number of outlets: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Jobstreet</t>
        </is>
      </c>
      <c r="BD475" s="4">
        <v>46141.70837962963</v>
      </c>
      <c r="BE475"/>
      <c r="BF475"/>
      <c r="BG475" t="inlineStr">
        <is>
          <t>Reschedule</t>
        </is>
      </c>
      <c r="BH475" t="inlineStr">
        <is>
          <t>Edward Hoo</t>
        </is>
      </c>
      <c r="BI475" t="inlineStr">
        <is>
          <t>Repair / Maintenance</t>
        </is>
      </c>
      <c r="BJ475" s="4">
        <v>46144.75269675926</v>
      </c>
      <c r="BK475" s="4">
        <v>45868.447962962964</v>
      </c>
      <c r="BL475" t="inlineStr">
        <is>
          <t>0.0</t>
        </is>
      </c>
      <c r="BM475" t="inlineStr">
        <is>
          <t>0.0</t>
        </is>
      </c>
      <c r="BN475" t="inlineStr">
        <is>
          <t>User Visit(Logged In)</t>
        </is>
      </c>
      <c r="BO475" s="4">
        <v>45877.52077546297</v>
      </c>
      <c r="BP475">
        <v>169546</v>
      </c>
      <c r="BQ475"/>
      <c r="BR475"/>
      <c r="BS475"/>
      <c r="BT475"/>
      <c r="BU475"/>
      <c r="BV475">
        <v>2736059</v>
      </c>
      <c r="BW475" t="inlineStr">
        <is>
          <t>Customer Inquiry</t>
        </is>
      </c>
      <c r="BX475"/>
      <c r="BY475"/>
      <c r="BZ475" s="4"/>
      <c r="CA475"/>
      <c r="CB475"/>
      <c r="CC475" s="4"/>
      <c r="CD475" t="inlineStr">
        <is>
          <t>20</t>
        </is>
      </c>
      <c r="CE475" t="inlineStr">
        <is>
          <t>0</t>
        </is>
      </c>
      <c r="CF475" t="inlineStr">
        <is>
          <t>Q2-W04</t>
        </is>
      </c>
      <c r="CG475"/>
      <c r="CH475"/>
      <c r="CI475"/>
      <c r="CJ475" t="inlineStr">
        <is>
          <t>No Paid</t>
        </is>
      </c>
      <c r="CK475" t="inlineStr">
        <is>
          <t>Not Eligible</t>
        </is>
      </c>
      <c r="CL475"/>
      <c r="CM475"/>
    </row>
    <row r="476" ht="25.5" customHeight="1">
      <c r="A476" t="inlineStr">
        <is>
          <t>4332009</t>
        </is>
      </c>
      <c r="B476" s="2"/>
      <c r="C476"/>
      <c r="D476" s="3">
        <v>46141.67265046296</v>
      </c>
      <c r="E476" t="inlineStr">
        <is>
          <t>Q2-W04</t>
        </is>
      </c>
      <c r="F476" t="inlineStr">
        <is>
          <t>Luqman</t>
        </is>
      </c>
      <c r="G476" t="inlineStr">
        <is>
          <t>Lead</t>
        </is>
      </c>
      <c r="H476" s="2" t="str">
        <f>=HYPERLINK("https://upbox.ajobthing.my/leads/4332009", "https://upbox.ajobthing.my/leads/4332009")</f>
        <v>https://upbox.ajobthing.my/leads/4332009</v>
      </c>
      <c r="I476" t="inlineStr">
        <is>
          <t>Ayam Hebat Poultry Sdn Bhd</t>
        </is>
      </c>
      <c r="J476" t="inlineStr">
        <is>
          <t>Small Fish</t>
        </is>
      </c>
      <c r="K476" t="inlineStr">
        <is>
          <t>Luqman</t>
        </is>
      </c>
      <c r="L476" s="4"/>
      <c r="M476" s="4">
        <v>46141.67304398148</v>
      </c>
      <c r="N476"/>
      <c r="O476">
        <v>864</v>
      </c>
      <c r="P476" s="4"/>
      <c r="Q476" s="4"/>
      <c r="R476"/>
      <c r="S476"/>
      <c r="T476" s="4"/>
      <c r="U476" s="4"/>
      <c r="V476"/>
      <c r="W476"/>
      <c r="X476"/>
      <c r="Y476" t="inlineStr">
        <is>
          <t>Pending Appointment</t>
        </is>
      </c>
      <c r="Z476" t="inlineStr">
        <is>
          <t>Hiring Now</t>
        </is>
      </c>
      <c r="AA476">
        <v>1</v>
      </c>
      <c r="AB476" t="inlineStr">
        <is>
          <t>No Appointment Made</t>
        </is>
      </c>
      <c r="AC476"/>
      <c r="AD476" t="inlineStr">
        <is>
          <t xml:space="preserve">1. Sales </t>
        </is>
      </c>
      <c r="AE476"/>
      <c r="AF476">
        <v>800</v>
      </c>
      <c r="AG476" s="4"/>
      <c r="AH476" s="4"/>
      <c r="AI476">
        <v>800</v>
      </c>
      <c r="AJ476"/>
      <c r="AK476" t="inlineStr">
        <is>
          <t>Yes, I have</t>
        </is>
      </c>
      <c r="AL476">
        <v>2</v>
      </c>
      <c r="AM476" t="inlineStr">
        <is>
          <t>No, I don't need at all</t>
        </is>
      </c>
      <c r="AN476"/>
      <c r="AO476" t="inlineStr">
        <is>
          <t>No, I don't need at all</t>
        </is>
      </c>
      <c r="AP476" t="inlineStr">
        <is>
          <t>Once a year (25%)</t>
        </is>
      </c>
      <c r="AQ476">
        <v>2</v>
      </c>
      <c r="AR476" t="inlineStr">
        <is>
          <t>Free Job Portal</t>
        </is>
      </c>
      <c r="AS476" t="inlineStr">
        <is>
          <t>- Headcount: 1
- Hiring Job Details: 1 Sales
- Hiring Urgency: Hiring Now
- Number of outlets: N/A
- Have recruiter team: Yes
- Number of recruiter in company: 2
- Have ATS system: No, I don't need at all
- Have career website: No, I don't need at all
- Current hiring budget: RM800
- Whole year budget: RM800.00
- Whole year number of vacancies: 2
- Hiring frequency: Once a year (25%)
- External job portal: Free Job Portal</t>
        </is>
      </c>
      <c r="AT476">
        <v>115</v>
      </c>
      <c r="AU476" t="inlineStr">
        <is>
          <t>1.15</t>
        </is>
      </c>
      <c r="AV476" t="inlineStr">
        <is>
          <t>15</t>
        </is>
      </c>
      <c r="AW476" t="inlineStr">
        <is>
          <t>0</t>
        </is>
      </c>
      <c r="AX476" t="inlineStr">
        <is>
          <t>Not Qualified</t>
        </is>
      </c>
      <c r="AY476" s="4"/>
      <c r="AZ476"/>
      <c r="BA476"/>
      <c r="BB476"/>
      <c r="BC476"/>
      <c r="BD476" s="4"/>
      <c r="BE476"/>
      <c r="BF476"/>
      <c r="BG476" t="inlineStr">
        <is>
          <t>Reschedule</t>
        </is>
      </c>
      <c r="BH476" t="inlineStr">
        <is>
          <t>Edward Hoo</t>
        </is>
      </c>
      <c r="BI476"/>
      <c r="BJ476" s="4">
        <v>46144.755949074075</v>
      </c>
      <c r="BK476" s="4">
        <v>46141.64465277778</v>
      </c>
      <c r="BL476" t="inlineStr">
        <is>
          <t>0.0</t>
        </is>
      </c>
      <c r="BM476" t="inlineStr">
        <is>
          <t>0.0</t>
        </is>
      </c>
      <c r="BN476"/>
      <c r="BO476" s="4"/>
      <c r="BP476">
        <v>169551</v>
      </c>
      <c r="BQ476"/>
      <c r="BR476"/>
      <c r="BS476"/>
      <c r="BT476"/>
      <c r="BU476"/>
      <c r="BV476"/>
      <c r="BW476"/>
      <c r="BX476"/>
      <c r="BY476"/>
      <c r="BZ476" s="4"/>
      <c r="CA476"/>
      <c r="CB476"/>
      <c r="CC476" s="4"/>
      <c r="CD476" t="inlineStr">
        <is>
          <t>20</t>
        </is>
      </c>
      <c r="CE476" t="inlineStr">
        <is>
          <t>0</t>
        </is>
      </c>
      <c r="CF476" t="inlineStr">
        <is>
          <t>Q2-W04</t>
        </is>
      </c>
      <c r="CG476"/>
      <c r="CH476"/>
      <c r="CI476"/>
      <c r="CJ476" t="inlineStr">
        <is>
          <t>No Paid</t>
        </is>
      </c>
      <c r="CK476" t="inlineStr">
        <is>
          <t>Not Eligible</t>
        </is>
      </c>
      <c r="CL476"/>
      <c r="CM476"/>
    </row>
    <row r="477" ht="25.5" customHeight="1">
      <c r="A477" t="inlineStr">
        <is>
          <t>192498</t>
        </is>
      </c>
      <c r="B477" s="2"/>
      <c r="C477"/>
      <c r="D477" s="3">
        <v>46141.68368055556</v>
      </c>
      <c r="E477" t="inlineStr">
        <is>
          <t>Q2-W04</t>
        </is>
      </c>
      <c r="F477" t="inlineStr">
        <is>
          <t>Chia Yee</t>
        </is>
      </c>
      <c r="G477" t="inlineStr">
        <is>
          <t>Customer</t>
        </is>
      </c>
      <c r="H477" s="2" t="str">
        <f>=HYPERLINK("https://upbox.ajobthing.my/customer/192498", "https://upbox.ajobthing.my/customer/192498")</f>
        <v>https://upbox.ajobthing.my/customer/192498</v>
      </c>
      <c r="I477" t="inlineStr">
        <is>
          <t>Carmel Delight Sdn Bhd</t>
        </is>
      </c>
      <c r="J477" t="inlineStr">
        <is>
          <t>Small Fish</t>
        </is>
      </c>
      <c r="K477" t="inlineStr">
        <is>
          <t>Chia Yee</t>
        </is>
      </c>
      <c r="L477" s="4"/>
      <c r="M477" s="4">
        <v>46141.68105324074</v>
      </c>
      <c r="N477"/>
      <c r="O477">
        <v>3576.96</v>
      </c>
      <c r="P477" s="4"/>
      <c r="Q477" s="4">
        <v>45861.40813657407</v>
      </c>
      <c r="R477"/>
      <c r="S477">
        <v>324</v>
      </c>
      <c r="T477" s="4">
        <v>45861.40813657407</v>
      </c>
      <c r="U477" s="4"/>
      <c r="V477"/>
      <c r="W477">
        <v>324</v>
      </c>
      <c r="X477"/>
      <c r="Y477" t="inlineStr">
        <is>
          <t>Pending Appointment</t>
        </is>
      </c>
      <c r="Z477" t="inlineStr">
        <is>
          <t>Hiring Later</t>
        </is>
      </c>
      <c r="AA477">
        <v>1</v>
      </c>
      <c r="AB477" t="inlineStr">
        <is>
          <t>No Appointment Made</t>
        </is>
      </c>
      <c r="AC477"/>
      <c r="AD477" t="inlineStr">
        <is>
          <t>Maybe operator</t>
        </is>
      </c>
      <c r="AE477"/>
      <c r="AF477">
        <v>0</v>
      </c>
      <c r="AG477" s="4"/>
      <c r="AH477" s="4"/>
      <c r="AI477">
        <v>0</v>
      </c>
      <c r="AJ477">
        <v>1</v>
      </c>
      <c r="AK477" t="inlineStr">
        <is>
          <t>No, I don't need at all</t>
        </is>
      </c>
      <c r="AL477">
        <v>1</v>
      </c>
      <c r="AM477" t="inlineStr">
        <is>
          <t>No, I don't need at all</t>
        </is>
      </c>
      <c r="AN477"/>
      <c r="AO477" t="inlineStr">
        <is>
          <t>No, I don't need at all</t>
        </is>
      </c>
      <c r="AP477" t="inlineStr">
        <is>
          <t>Once a year (25%)</t>
        </is>
      </c>
      <c r="AQ477">
        <v>1</v>
      </c>
      <c r="AR477" t="inlineStr">
        <is>
          <t>Did not use any job portal</t>
        </is>
      </c>
      <c r="AS477" t="inlineStr">
        <is>
          <t>- Headcount: 1
- Hiring Job Details: Maybe operator
- Hiring Urgency: Hiring Later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477">
        <v>75</v>
      </c>
      <c r="AU477" t="inlineStr">
        <is>
          <t>0.75</t>
        </is>
      </c>
      <c r="AV477" t="inlineStr">
        <is>
          <t>15</t>
        </is>
      </c>
      <c r="AW477" t="inlineStr">
        <is>
          <t>0</t>
        </is>
      </c>
      <c r="AX477" t="inlineStr">
        <is>
          <t>Not Qualified</t>
        </is>
      </c>
      <c r="AY477" s="4"/>
      <c r="AZ477"/>
      <c r="BA477"/>
      <c r="BB477"/>
      <c r="BC477" t="inlineStr">
        <is>
          <t>- Headcount: 1
- Hiring Job Details: Maybe operator
- Hiring Urgency: Hiring Later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BD477" s="4">
        <v>46141.70837962963</v>
      </c>
      <c r="BE477" t="inlineStr">
        <is>
          <t>paid</t>
        </is>
      </c>
      <c r="BF477"/>
      <c r="BG477" t="inlineStr">
        <is>
          <t>Reschedule</t>
        </is>
      </c>
      <c r="BH477" t="inlineStr">
        <is>
          <t>Reagen</t>
        </is>
      </c>
      <c r="BI477"/>
      <c r="BJ477" s="4">
        <v>46144.75256944444</v>
      </c>
      <c r="BK477" s="4">
        <v>45820.58006944445</v>
      </c>
      <c r="BL477" t="inlineStr">
        <is>
          <t>324.0</t>
        </is>
      </c>
      <c r="BM477" t="inlineStr">
        <is>
          <t>0.0</t>
        </is>
      </c>
      <c r="BN477" t="inlineStr">
        <is>
          <t>View Candidate Search Page</t>
        </is>
      </c>
      <c r="BO477" s="4">
        <v>45892.39895833333</v>
      </c>
      <c r="BP477">
        <v>169554</v>
      </c>
      <c r="BQ477">
        <v>80959</v>
      </c>
      <c r="BR477" t="inlineStr">
        <is>
          <t>Online</t>
        </is>
      </c>
      <c r="BS477"/>
      <c r="BT477">
        <v>80959</v>
      </c>
      <c r="BU477"/>
      <c r="BV477">
        <v>2736064</v>
      </c>
      <c r="BW477" t="inlineStr">
        <is>
          <t>Customer Inquiry</t>
        </is>
      </c>
      <c r="BX477"/>
      <c r="BY477"/>
      <c r="BZ477" s="4"/>
      <c r="CA477"/>
      <c r="CB477"/>
      <c r="CC477" s="4"/>
      <c r="CD477" t="inlineStr">
        <is>
          <t>20</t>
        </is>
      </c>
      <c r="CE477" t="inlineStr">
        <is>
          <t>0</t>
        </is>
      </c>
      <c r="CF477" t="inlineStr">
        <is>
          <t>Q2-W04</t>
        </is>
      </c>
      <c r="CG477"/>
      <c r="CH477"/>
      <c r="CI477"/>
      <c r="CJ477" t="inlineStr">
        <is>
          <t>Paid</t>
        </is>
      </c>
      <c r="CK477" t="inlineStr">
        <is>
          <t>Not Eligible</t>
        </is>
      </c>
      <c r="CL477"/>
      <c r="CM477"/>
    </row>
    <row r="478" ht="25.5" customHeight="1">
      <c r="A478" t="inlineStr">
        <is>
          <t>199502</t>
        </is>
      </c>
      <c r="B478" s="2"/>
      <c r="C478"/>
      <c r="D478" s="3">
        <v>46141.691828703704</v>
      </c>
      <c r="E478" t="inlineStr">
        <is>
          <t>Q2-W04</t>
        </is>
      </c>
      <c r="F478" t="inlineStr">
        <is>
          <t>Xin Hui</t>
        </is>
      </c>
      <c r="G478" t="inlineStr">
        <is>
          <t>Customer</t>
        </is>
      </c>
      <c r="H478" s="2" t="str">
        <f>=HYPERLINK("https://upbox.ajobthing.my/customer/199502", "https://upbox.ajobthing.my/customer/199502")</f>
        <v>https://upbox.ajobthing.my/customer/199502</v>
      </c>
      <c r="I478" t="inlineStr">
        <is>
          <t>AirTouch (M) Sdn Bhd</t>
        </is>
      </c>
      <c r="J478" t="inlineStr">
        <is>
          <t>Small Fish</t>
        </is>
      </c>
      <c r="K478" t="inlineStr">
        <is>
          <t>Xin Hui</t>
        </is>
      </c>
      <c r="L478" s="4"/>
      <c r="M478" s="4">
        <v>46141.6940625</v>
      </c>
      <c r="N478"/>
      <c r="O478">
        <v>3888</v>
      </c>
      <c r="P478" s="4"/>
      <c r="Q478" s="4"/>
      <c r="R478"/>
      <c r="S478"/>
      <c r="T478" s="4"/>
      <c r="U478" s="4"/>
      <c r="V478"/>
      <c r="W478"/>
      <c r="X478"/>
      <c r="Y478" t="inlineStr">
        <is>
          <t>Pending Appointment</t>
        </is>
      </c>
      <c r="Z478" t="inlineStr">
        <is>
          <t>Hiring Later</t>
        </is>
      </c>
      <c r="AA478">
        <v>1</v>
      </c>
      <c r="AB478" t="inlineStr">
        <is>
          <t>No Appointment Made</t>
        </is>
      </c>
      <c r="AC478"/>
      <c r="AD478" t="inlineStr">
        <is>
          <t>engineering</t>
        </is>
      </c>
      <c r="AE478"/>
      <c r="AF478"/>
      <c r="AG478" s="4"/>
      <c r="AH478" s="4"/>
      <c r="AI478"/>
      <c r="AJ478"/>
      <c r="AK478" t="inlineStr">
        <is>
          <t>No, I don't need at all</t>
        </is>
      </c>
      <c r="AL478"/>
      <c r="AM478" t="inlineStr">
        <is>
          <t>No, I don't need at all</t>
        </is>
      </c>
      <c r="AN478"/>
      <c r="AO478" t="inlineStr">
        <is>
          <t>No, I don't need at all</t>
        </is>
      </c>
      <c r="AP478" t="inlineStr">
        <is>
          <t>Once a year (25%)</t>
        </is>
      </c>
      <c r="AQ478"/>
      <c r="AR478"/>
      <c r="AS478" t="inlineStr">
        <is>
          <t>- Headcount: 1
- Hiring Job Details: engineering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478">
        <v>75</v>
      </c>
      <c r="AU478" t="inlineStr">
        <is>
          <t>0.75</t>
        </is>
      </c>
      <c r="AV478" t="inlineStr">
        <is>
          <t>5</t>
        </is>
      </c>
      <c r="AW478" t="inlineStr">
        <is>
          <t>0</t>
        </is>
      </c>
      <c r="AX478" t="inlineStr">
        <is>
          <t>Not Qualified</t>
        </is>
      </c>
      <c r="AY478" s="4"/>
      <c r="AZ478"/>
      <c r="BA478"/>
      <c r="BB478"/>
      <c r="BC478" t="inlineStr">
        <is>
          <t>- Headcount: 1
- Hiring Job Details: engineering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BD478" s="4">
        <v>46141.70837962963</v>
      </c>
      <c r="BE478"/>
      <c r="BF478"/>
      <c r="BG478" t="inlineStr">
        <is>
          <t>Reschedule</t>
        </is>
      </c>
      <c r="BH478" t="inlineStr">
        <is>
          <t>Yee Hang</t>
        </is>
      </c>
      <c r="BI478" t="inlineStr">
        <is>
          <t>Telecommunication</t>
        </is>
      </c>
      <c r="BJ478" s="4">
        <v>46144.75332175926</v>
      </c>
      <c r="BK478" s="4">
        <v>46008.66175925926</v>
      </c>
      <c r="BL478" t="inlineStr">
        <is>
          <t>0.0</t>
        </is>
      </c>
      <c r="BM478" t="inlineStr">
        <is>
          <t>0.0</t>
        </is>
      </c>
      <c r="BN478" t="inlineStr">
        <is>
          <t>View Jobmanager Page</t>
        </is>
      </c>
      <c r="BO478" s="4">
        <v>46042.690567129626</v>
      </c>
      <c r="BP478">
        <v>169564</v>
      </c>
      <c r="BQ478"/>
      <c r="BR478"/>
      <c r="BS478"/>
      <c r="BT478"/>
      <c r="BU478"/>
      <c r="BV478">
        <v>2736071</v>
      </c>
      <c r="BW478" t="inlineStr">
        <is>
          <t>Customer Inquiry</t>
        </is>
      </c>
      <c r="BX478"/>
      <c r="BY478"/>
      <c r="BZ478" s="4"/>
      <c r="CA478"/>
      <c r="CB478"/>
      <c r="CC478" s="4"/>
      <c r="CD478" t="inlineStr">
        <is>
          <t>5</t>
        </is>
      </c>
      <c r="CE478" t="inlineStr">
        <is>
          <t>0</t>
        </is>
      </c>
      <c r="CF478" t="inlineStr">
        <is>
          <t>Q2-W04</t>
        </is>
      </c>
      <c r="CG478"/>
      <c r="CH478"/>
      <c r="CI478"/>
      <c r="CJ478" t="inlineStr">
        <is>
          <t>No Paid</t>
        </is>
      </c>
      <c r="CK478" t="inlineStr">
        <is>
          <t>Not Eligible</t>
        </is>
      </c>
      <c r="CL478"/>
      <c r="CM478"/>
    </row>
    <row r="479" ht="25.5" customHeight="1">
      <c r="A479" t="inlineStr">
        <is>
          <t>4315827</t>
        </is>
      </c>
      <c r="B479" s="2"/>
      <c r="C479"/>
      <c r="D479" s="3">
        <v>46141.69467592592</v>
      </c>
      <c r="E479" t="inlineStr">
        <is>
          <t>Q2-W04</t>
        </is>
      </c>
      <c r="F479" t="inlineStr">
        <is>
          <t>Angel  Low</t>
        </is>
      </c>
      <c r="G479" t="inlineStr">
        <is>
          <t>Lead</t>
        </is>
      </c>
      <c r="H479" s="2" t="str">
        <f>=HYPERLINK("https://upbox.ajobthing.my/leads/4315827", "https://upbox.ajobthing.my/leads/4315827")</f>
        <v>https://upbox.ajobthing.my/leads/4315827</v>
      </c>
      <c r="I479" t="inlineStr">
        <is>
          <t>DC Corporate Solutions</t>
        </is>
      </c>
      <c r="J479" t="inlineStr">
        <is>
          <t>Small Fish</t>
        </is>
      </c>
      <c r="K479" t="inlineStr">
        <is>
          <t>Angel Low</t>
        </is>
      </c>
      <c r="L479" s="4"/>
      <c r="M479" s="4">
        <v>46141.695543981485</v>
      </c>
      <c r="N479"/>
      <c r="O479">
        <v>3576.96</v>
      </c>
      <c r="P479" s="4"/>
      <c r="Q479" s="4"/>
      <c r="R479"/>
      <c r="S479"/>
      <c r="T479" s="4"/>
      <c r="U479" s="4"/>
      <c r="V479"/>
      <c r="W479"/>
      <c r="X479"/>
      <c r="Y479" t="inlineStr">
        <is>
          <t>Pending Appointment</t>
        </is>
      </c>
      <c r="Z479"/>
      <c r="AA479">
        <v>1</v>
      </c>
      <c r="AB479" t="inlineStr">
        <is>
          <t>No Appointment Made</t>
        </is>
      </c>
      <c r="AC479"/>
      <c r="AD479" t="inlineStr">
        <is>
          <t xml:space="preserve">1 account assosiates putraheight </t>
        </is>
      </c>
      <c r="AE479"/>
      <c r="AF479"/>
      <c r="AG479" s="4"/>
      <c r="AH479" s="4"/>
      <c r="AI479"/>
      <c r="AJ479"/>
      <c r="AK479"/>
      <c r="AL479"/>
      <c r="AM479"/>
      <c r="AN479"/>
      <c r="AO479"/>
      <c r="AP479"/>
      <c r="AQ479"/>
      <c r="AR479"/>
      <c r="AS479" t="inlineStr">
        <is>
          <t>- Headcount: 1
- Hiring Job Details: 1 account assosiates putraheight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479">
        <v>65</v>
      </c>
      <c r="AU479" t="inlineStr">
        <is>
          <t>0.65</t>
        </is>
      </c>
      <c r="AV479" t="inlineStr">
        <is>
          <t>5</t>
        </is>
      </c>
      <c r="AW479" t="inlineStr">
        <is>
          <t>0</t>
        </is>
      </c>
      <c r="AX479" t="inlineStr">
        <is>
          <t>Not Qualified</t>
        </is>
      </c>
      <c r="AY479" s="4"/>
      <c r="AZ479"/>
      <c r="BA479"/>
      <c r="BB479"/>
      <c r="BC479"/>
      <c r="BD479" s="4"/>
      <c r="BE479"/>
      <c r="BF479"/>
      <c r="BG479" t="inlineStr">
        <is>
          <t>Reschedule</t>
        </is>
      </c>
      <c r="BH479" t="inlineStr">
        <is>
          <t>Fauziah Maharan</t>
        </is>
      </c>
      <c r="BI479"/>
      <c r="BJ479" s="4">
        <v>46144.755902777775</v>
      </c>
      <c r="BK479" s="4">
        <v>46135.69872685185</v>
      </c>
      <c r="BL479" t="inlineStr">
        <is>
          <t>0.0</t>
        </is>
      </c>
      <c r="BM479" t="inlineStr">
        <is>
          <t>0.0</t>
        </is>
      </c>
      <c r="BN479"/>
      <c r="BO479" s="4"/>
      <c r="BP479">
        <v>169566</v>
      </c>
      <c r="BQ479"/>
      <c r="BR479"/>
      <c r="BS479"/>
      <c r="BT479"/>
      <c r="BU479"/>
      <c r="BV479"/>
      <c r="BW479"/>
      <c r="BX479"/>
      <c r="BY479"/>
      <c r="BZ479" s="4"/>
      <c r="CA479"/>
      <c r="CB479"/>
      <c r="CC479" s="4"/>
      <c r="CD479" t="inlineStr">
        <is>
          <t>5</t>
        </is>
      </c>
      <c r="CE479" t="inlineStr">
        <is>
          <t>0</t>
        </is>
      </c>
      <c r="CF479" t="inlineStr">
        <is>
          <t>Q2-W04</t>
        </is>
      </c>
      <c r="CG479"/>
      <c r="CH479"/>
      <c r="CI479"/>
      <c r="CJ479" t="inlineStr">
        <is>
          <t>No Paid</t>
        </is>
      </c>
      <c r="CK479" t="inlineStr">
        <is>
          <t>Not Eligible</t>
        </is>
      </c>
      <c r="CL479"/>
      <c r="CM479"/>
    </row>
    <row r="480" ht="25.5" customHeight="1">
      <c r="A480" t="inlineStr">
        <is>
          <t>203802</t>
        </is>
      </c>
      <c r="B480" s="2"/>
      <c r="C480"/>
      <c r="D480" s="3">
        <v>46141.70329861111</v>
      </c>
      <c r="E480" t="inlineStr">
        <is>
          <t>Q2-W04</t>
        </is>
      </c>
      <c r="F480" t="inlineStr">
        <is>
          <t>Lucas</t>
        </is>
      </c>
      <c r="G480" t="inlineStr">
        <is>
          <t>Customer</t>
        </is>
      </c>
      <c r="H480" s="2" t="str">
        <f>=HYPERLINK("https://upbox.ajobthing.my/customer/203802", "https://upbox.ajobthing.my/customer/203802")</f>
        <v>https://upbox.ajobthing.my/customer/203802</v>
      </c>
      <c r="I480" t="inlineStr">
        <is>
          <t>Nael Marketing(m) Sdn.bhd</t>
        </is>
      </c>
      <c r="J480" t="inlineStr">
        <is>
          <t>Small Fish</t>
        </is>
      </c>
      <c r="K480" t="inlineStr">
        <is>
          <t>Lucas</t>
        </is>
      </c>
      <c r="L480" s="4"/>
      <c r="M480" s="4">
        <v>46141.70135416667</v>
      </c>
      <c r="N480"/>
      <c r="O480">
        <v>3576.96</v>
      </c>
      <c r="P480" s="4"/>
      <c r="Q480" s="4"/>
      <c r="R480"/>
      <c r="S480"/>
      <c r="T480" s="4"/>
      <c r="U480" s="4"/>
      <c r="V480"/>
      <c r="W480"/>
      <c r="X480"/>
      <c r="Y480" t="inlineStr">
        <is>
          <t>Pending Appointment</t>
        </is>
      </c>
      <c r="Z480" t="inlineStr">
        <is>
          <t>Hiring Now</t>
        </is>
      </c>
      <c r="AA480">
        <v>1</v>
      </c>
      <c r="AB480" t="inlineStr">
        <is>
          <t>No Appointment Made</t>
        </is>
      </c>
      <c r="AC480"/>
      <c r="AD480" t="inlineStr">
        <is>
          <t>1 sale and marketing</t>
        </is>
      </c>
      <c r="AE480"/>
      <c r="AF480">
        <v>0</v>
      </c>
      <c r="AG480" s="4"/>
      <c r="AH480" s="4"/>
      <c r="AI480">
        <v>0</v>
      </c>
      <c r="AJ480">
        <v>0</v>
      </c>
      <c r="AK480" t="inlineStr">
        <is>
          <t>No, I don't need at all</t>
        </is>
      </c>
      <c r="AL480">
        <v>0</v>
      </c>
      <c r="AM480" t="inlineStr">
        <is>
          <t>No, I don't need at all</t>
        </is>
      </c>
      <c r="AN480"/>
      <c r="AO480" t="inlineStr">
        <is>
          <t>No, I don't need at all</t>
        </is>
      </c>
      <c r="AP480" t="inlineStr">
        <is>
          <t>Once a year (25%)</t>
        </is>
      </c>
      <c r="AQ480">
        <v>1</v>
      </c>
      <c r="AR480" t="inlineStr">
        <is>
          <t>Did not use any job portal</t>
        </is>
      </c>
      <c r="AS480" t="inlineStr">
        <is>
          <t>- Headcount: 1
- Hiring Job Details: 1 sale and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480">
        <v>95</v>
      </c>
      <c r="AU480" t="inlineStr">
        <is>
          <t>0.95</t>
        </is>
      </c>
      <c r="AV480" t="inlineStr">
        <is>
          <t>15</t>
        </is>
      </c>
      <c r="AW480" t="inlineStr">
        <is>
          <t>0</t>
        </is>
      </c>
      <c r="AX480" t="inlineStr">
        <is>
          <t>Not Qualified</t>
        </is>
      </c>
      <c r="AY480" s="4"/>
      <c r="AZ480"/>
      <c r="BA480"/>
      <c r="BB480"/>
      <c r="BC480" t="inlineStr">
        <is>
          <t>- Headcount: 1
- Hiring Job Details: 1 sale and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480" s="4">
        <v>46141.70837962963</v>
      </c>
      <c r="BE480"/>
      <c r="BF480"/>
      <c r="BG480" t="inlineStr">
        <is>
          <t>Reschedule</t>
        </is>
      </c>
      <c r="BH480" t="inlineStr">
        <is>
          <t>Yee Hang</t>
        </is>
      </c>
      <c r="BI480"/>
      <c r="BJ480" s="4">
        <v>46144.75438657407</v>
      </c>
      <c r="BK480" s="4">
        <v>46141.68634259259</v>
      </c>
      <c r="BL480" t="inlineStr">
        <is>
          <t>0.0</t>
        </is>
      </c>
      <c r="BM480" t="inlineStr">
        <is>
          <t>0.0</t>
        </is>
      </c>
      <c r="BN480" t="inlineStr">
        <is>
          <t>User Visit(Logged In)</t>
        </is>
      </c>
      <c r="BO480" s="4">
        <v>46141.686423611114</v>
      </c>
      <c r="BP480">
        <v>169569</v>
      </c>
      <c r="BQ480"/>
      <c r="BR480"/>
      <c r="BS480"/>
      <c r="BT480"/>
      <c r="BU480"/>
      <c r="BV480">
        <v>2736075</v>
      </c>
      <c r="BW480" t="inlineStr">
        <is>
          <t>Customer Inquiry</t>
        </is>
      </c>
      <c r="BX480"/>
      <c r="BY480"/>
      <c r="BZ480" s="4"/>
      <c r="CA480"/>
      <c r="CB480"/>
      <c r="CC480" s="4"/>
      <c r="CD480" t="inlineStr">
        <is>
          <t>20</t>
        </is>
      </c>
      <c r="CE480" t="inlineStr">
        <is>
          <t>0</t>
        </is>
      </c>
      <c r="CF480" t="inlineStr">
        <is>
          <t>Q2-W04</t>
        </is>
      </c>
      <c r="CG480"/>
      <c r="CH480"/>
      <c r="CI480"/>
      <c r="CJ480" t="inlineStr">
        <is>
          <t>No Paid</t>
        </is>
      </c>
      <c r="CK480" t="inlineStr">
        <is>
          <t>Not Eligible</t>
        </is>
      </c>
      <c r="CL480"/>
      <c r="CM480"/>
    </row>
    <row r="481" ht="25.5" customHeight="1">
      <c r="A481" t="inlineStr">
        <is>
          <t>193278</t>
        </is>
      </c>
      <c r="B481" s="2"/>
      <c r="C481"/>
      <c r="D481" s="3">
        <v>46141.705555555556</v>
      </c>
      <c r="E481" t="inlineStr">
        <is>
          <t>Q2-W04</t>
        </is>
      </c>
      <c r="F481" t="inlineStr">
        <is>
          <t>Janice Yap</t>
        </is>
      </c>
      <c r="G481" t="inlineStr">
        <is>
          <t>Customer</t>
        </is>
      </c>
      <c r="H481" s="2" t="str">
        <f>=HYPERLINK("https://upbox.ajobthing.my/customer/193278", "https://upbox.ajobthing.my/customer/193278")</f>
        <v>https://upbox.ajobthing.my/customer/193278</v>
      </c>
      <c r="I481" t="inlineStr">
        <is>
          <t xml:space="preserve">TICP Kindergarten </t>
        </is>
      </c>
      <c r="J481" t="inlineStr">
        <is>
          <t>Small Fish</t>
        </is>
      </c>
      <c r="K481" t="inlineStr">
        <is>
          <t>Janice</t>
        </is>
      </c>
      <c r="L481" s="4"/>
      <c r="M481" s="4">
        <v>46141.70474537037</v>
      </c>
      <c r="N481"/>
      <c r="O481">
        <v>3888</v>
      </c>
      <c r="P481" s="4"/>
      <c r="Q481" s="4">
        <v>46110.83393518518</v>
      </c>
      <c r="R481"/>
      <c r="S481">
        <v>0</v>
      </c>
      <c r="T481" s="4"/>
      <c r="U481" s="4"/>
      <c r="V481"/>
      <c r="W481"/>
      <c r="X481"/>
      <c r="Y481" t="inlineStr">
        <is>
          <t>Pending Appointment</t>
        </is>
      </c>
      <c r="Z481" t="inlineStr">
        <is>
          <t>Hiring Now</t>
        </is>
      </c>
      <c r="AA481">
        <v>1</v>
      </c>
      <c r="AB481" t="inlineStr">
        <is>
          <t>No Appointment Made</t>
        </is>
      </c>
      <c r="AC481"/>
      <c r="AD481" t="inlineStr">
        <is>
          <t>1 kindergarden teacher</t>
        </is>
      </c>
      <c r="AE481"/>
      <c r="AF481">
        <v>0</v>
      </c>
      <c r="AG481" s="4"/>
      <c r="AH481" s="4"/>
      <c r="AI481">
        <v>0</v>
      </c>
      <c r="AJ481"/>
      <c r="AK481" t="inlineStr">
        <is>
          <t>No, I don't need at all</t>
        </is>
      </c>
      <c r="AL481">
        <v>0</v>
      </c>
      <c r="AM481" t="inlineStr">
        <is>
          <t>No, I don't need at all</t>
        </is>
      </c>
      <c r="AN481"/>
      <c r="AO481" t="inlineStr">
        <is>
          <t>No, I don't need at all</t>
        </is>
      </c>
      <c r="AP481" t="inlineStr">
        <is>
          <t>Once a year (25%)</t>
        </is>
      </c>
      <c r="AQ481">
        <v>1</v>
      </c>
      <c r="AR481" t="inlineStr">
        <is>
          <t>Free Job Portal</t>
        </is>
      </c>
      <c r="AS481" t="inlineStr">
        <is>
          <t>- Headcount: 1
- Hiring Job Details: 1 kindergarten teacher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is>
      </c>
      <c r="AT481">
        <v>100</v>
      </c>
      <c r="AU481" t="inlineStr">
        <is>
          <t>1.00</t>
        </is>
      </c>
      <c r="AV481" t="inlineStr">
        <is>
          <t>15</t>
        </is>
      </c>
      <c r="AW481" t="inlineStr">
        <is>
          <t>0</t>
        </is>
      </c>
      <c r="AX481" t="inlineStr">
        <is>
          <t>Not Qualified</t>
        </is>
      </c>
      <c r="AY481" s="4"/>
      <c r="AZ481"/>
      <c r="BA481"/>
      <c r="BB481"/>
      <c r="BC481" t="inlineStr">
        <is>
          <t>- Headcount: 1
- Hiring Job Details: 1 kindergarten teacher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is>
      </c>
      <c r="BD481" s="4">
        <v>46141.70837962963</v>
      </c>
      <c r="BE481" t="inlineStr">
        <is>
          <t>paid</t>
        </is>
      </c>
      <c r="BF481"/>
      <c r="BG481" t="inlineStr">
        <is>
          <t>Reschedule</t>
        </is>
      </c>
      <c r="BH481" t="inlineStr">
        <is>
          <t>Yee Hang</t>
        </is>
      </c>
      <c r="BI481"/>
      <c r="BJ481" s="4">
        <v>46144.75261574074</v>
      </c>
      <c r="BK481" s="4">
        <v>45839.94982638889</v>
      </c>
      <c r="BL481" t="inlineStr">
        <is>
          <t>0.0</t>
        </is>
      </c>
      <c r="BM481" t="inlineStr">
        <is>
          <t>0.0</t>
        </is>
      </c>
      <c r="BN481" t="inlineStr">
        <is>
          <t>View Create Job Page</t>
        </is>
      </c>
      <c r="BO481" s="4">
        <v>45839.95789351852</v>
      </c>
      <c r="BP481">
        <v>169571</v>
      </c>
      <c r="BQ481">
        <v>118380</v>
      </c>
      <c r="BR481" t="inlineStr">
        <is>
          <t>Proforma</t>
        </is>
      </c>
      <c r="BS481" t="inlineStr">
        <is>
          <t>Free Internship Job</t>
        </is>
      </c>
      <c r="BT481"/>
      <c r="BU481"/>
      <c r="BV481">
        <v>2736076</v>
      </c>
      <c r="BW481" t="inlineStr">
        <is>
          <t>Customer Inquiry</t>
        </is>
      </c>
      <c r="BX481"/>
      <c r="BY481"/>
      <c r="BZ481" s="4"/>
      <c r="CA481"/>
      <c r="CB481"/>
      <c r="CC481" s="4"/>
      <c r="CD481" t="inlineStr">
        <is>
          <t>20</t>
        </is>
      </c>
      <c r="CE481" t="inlineStr">
        <is>
          <t>0</t>
        </is>
      </c>
      <c r="CF481" t="inlineStr">
        <is>
          <t>Q2-W04</t>
        </is>
      </c>
      <c r="CG481" t="inlineStr">
        <is>
          <t>Q1-W13</t>
        </is>
      </c>
      <c r="CH481"/>
      <c r="CI481"/>
      <c r="CJ481" t="inlineStr">
        <is>
          <t>No Paid</t>
        </is>
      </c>
      <c r="CK481" t="inlineStr">
        <is>
          <t>Not Eligible</t>
        </is>
      </c>
      <c r="CL481"/>
      <c r="CM481"/>
    </row>
    <row r="482" ht="25.5" customHeight="1">
      <c r="A482" t="inlineStr">
        <is>
          <t>175716</t>
        </is>
      </c>
      <c r="B482" s="2"/>
      <c r="C482"/>
      <c r="D482" s="3">
        <v>46141.712233796294</v>
      </c>
      <c r="E482" t="inlineStr">
        <is>
          <t>Q2-W04</t>
        </is>
      </c>
      <c r="F482" t="inlineStr">
        <is>
          <t>Luqman</t>
        </is>
      </c>
      <c r="G482" t="inlineStr">
        <is>
          <t>Customer</t>
        </is>
      </c>
      <c r="H482" s="2" t="str">
        <f>=HYPERLINK("https://upbox.ajobthing.my/customer/175716", "https://upbox.ajobthing.my/customer/175716")</f>
        <v>https://upbox.ajobthing.my/customer/175716</v>
      </c>
      <c r="I482" t="inlineStr">
        <is>
          <t>Evertek Construction Sdn. Bhd.</t>
        </is>
      </c>
      <c r="J482" t="inlineStr">
        <is>
          <t>Small Fish</t>
        </is>
      </c>
      <c r="K482" t="inlineStr">
        <is>
          <t>Luqman</t>
        </is>
      </c>
      <c r="L482" s="4"/>
      <c r="M482" s="4">
        <v>46141.714050925926</v>
      </c>
      <c r="N482"/>
      <c r="O482">
        <v>1296</v>
      </c>
      <c r="P482" s="4"/>
      <c r="Q482" s="4"/>
      <c r="R482"/>
      <c r="S482"/>
      <c r="T482" s="4"/>
      <c r="U482" s="4"/>
      <c r="V482"/>
      <c r="W482"/>
      <c r="X482"/>
      <c r="Y482" t="inlineStr">
        <is>
          <t>Pending Appointment</t>
        </is>
      </c>
      <c r="Z482" t="inlineStr">
        <is>
          <t>Hiring Now</t>
        </is>
      </c>
      <c r="AA482">
        <v>1</v>
      </c>
      <c r="AB482" t="inlineStr">
        <is>
          <t>No Appointment Made</t>
        </is>
      </c>
      <c r="AC482"/>
      <c r="AD482" t="inlineStr">
        <is>
          <t xml:space="preserve">1. Surveyor </t>
        </is>
      </c>
      <c r="AE482"/>
      <c r="AF482">
        <v>1200</v>
      </c>
      <c r="AG482" s="4"/>
      <c r="AH482" s="4"/>
      <c r="AI482">
        <v>1200</v>
      </c>
      <c r="AJ482"/>
      <c r="AK482" t="inlineStr">
        <is>
          <t>Yes, I have</t>
        </is>
      </c>
      <c r="AL482">
        <v>2</v>
      </c>
      <c r="AM482" t="inlineStr">
        <is>
          <t>No, I don't need at all</t>
        </is>
      </c>
      <c r="AN482"/>
      <c r="AO482" t="inlineStr">
        <is>
          <t>No, I don't need at all</t>
        </is>
      </c>
      <c r="AP482" t="inlineStr">
        <is>
          <t>Once a year (25%)</t>
        </is>
      </c>
      <c r="AQ482">
        <v>1</v>
      </c>
      <c r="AR482" t="inlineStr">
        <is>
          <t>Jobstreet</t>
        </is>
      </c>
      <c r="AS482" t="inlineStr">
        <is>
          <t>- Headcount: 1
- Hiring Job Details: 1 Surveyor
- Hiring Urgency: Hiring Now
- Number of outlets: N/A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Jobstreet</t>
        </is>
      </c>
      <c r="AT482">
        <v>110</v>
      </c>
      <c r="AU482" t="inlineStr">
        <is>
          <t>1.10</t>
        </is>
      </c>
      <c r="AV482" t="inlineStr">
        <is>
          <t>15</t>
        </is>
      </c>
      <c r="AW482" t="inlineStr">
        <is>
          <t>0</t>
        </is>
      </c>
      <c r="AX482" t="inlineStr">
        <is>
          <t>Not Qualified</t>
        </is>
      </c>
      <c r="AY482" s="4"/>
      <c r="AZ482"/>
      <c r="BA482"/>
      <c r="BB482"/>
      <c r="BC482" t="inlineStr">
        <is>
          <t>- Headcount: 1
- Hiring Job Details: 1 Surveyor
- Hiring Urgency: Hiring Now
- Number of outlets: N/A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Jobstreet</t>
        </is>
      </c>
      <c r="BD482" s="4">
        <v>46141.75015046296</v>
      </c>
      <c r="BE482"/>
      <c r="BF482"/>
      <c r="BG482" t="inlineStr">
        <is>
          <t>Reschedule</t>
        </is>
      </c>
      <c r="BH482" t="inlineStr">
        <is>
          <t>Edward Hoo</t>
        </is>
      </c>
      <c r="BI482"/>
      <c r="BJ482" s="4">
        <v>46144.751608796294</v>
      </c>
      <c r="BK482" s="4">
        <v>45345.72369212963</v>
      </c>
      <c r="BL482" t="inlineStr">
        <is>
          <t>0.0</t>
        </is>
      </c>
      <c r="BM482" t="inlineStr">
        <is>
          <t>0.0</t>
        </is>
      </c>
      <c r="BN482" t="inlineStr">
        <is>
          <t>User Visit(Logged In)</t>
        </is>
      </c>
      <c r="BO482" s="4">
        <v>46141.697222222225</v>
      </c>
      <c r="BP482">
        <v>169574</v>
      </c>
      <c r="BQ482"/>
      <c r="BR482"/>
      <c r="BS482"/>
      <c r="BT482"/>
      <c r="BU482"/>
      <c r="BV482">
        <v>2736316</v>
      </c>
      <c r="BW482" t="inlineStr">
        <is>
          <t>Customer Inquiry</t>
        </is>
      </c>
      <c r="BX482"/>
      <c r="BY482"/>
      <c r="BZ482" s="4"/>
      <c r="CA482"/>
      <c r="CB482"/>
      <c r="CC482" s="4"/>
      <c r="CD482" t="inlineStr">
        <is>
          <t>20</t>
        </is>
      </c>
      <c r="CE482" t="inlineStr">
        <is>
          <t>0</t>
        </is>
      </c>
      <c r="CF482" t="inlineStr">
        <is>
          <t>Q2-W04</t>
        </is>
      </c>
      <c r="CG482"/>
      <c r="CH482"/>
      <c r="CI482"/>
      <c r="CJ482" t="inlineStr">
        <is>
          <t>No Paid</t>
        </is>
      </c>
      <c r="CK482" t="inlineStr">
        <is>
          <t>Not Eligible</t>
        </is>
      </c>
      <c r="CL482"/>
      <c r="CM482"/>
    </row>
    <row r="483" ht="25.5" customHeight="1">
      <c r="A483" t="inlineStr">
        <is>
          <t>203790</t>
        </is>
      </c>
      <c r="B483" s="2"/>
      <c r="C483"/>
      <c r="D483" s="3">
        <v>46141.71251157407</v>
      </c>
      <c r="E483" t="inlineStr">
        <is>
          <t>Q2-W04</t>
        </is>
      </c>
      <c r="F483" t="inlineStr">
        <is>
          <t>Lucas</t>
        </is>
      </c>
      <c r="G483" t="inlineStr">
        <is>
          <t>Customer</t>
        </is>
      </c>
      <c r="H483" s="2" t="str">
        <f>=HYPERLINK("https://upbox.ajobthing.my/customer/203790", "https://upbox.ajobthing.my/customer/203790")</f>
        <v>https://upbox.ajobthing.my/customer/203790</v>
      </c>
      <c r="I483" t="inlineStr">
        <is>
          <t>Webcog Sdn Bhd</t>
        </is>
      </c>
      <c r="J483" t="inlineStr">
        <is>
          <t>Small Fish</t>
        </is>
      </c>
      <c r="K483" t="inlineStr">
        <is>
          <t>Lucas</t>
        </is>
      </c>
      <c r="L483" s="4"/>
      <c r="M483" s="4">
        <v>46141.71003472222</v>
      </c>
      <c r="N483"/>
      <c r="O483">
        <v>3576.96</v>
      </c>
      <c r="P483" s="4"/>
      <c r="Q483" s="4"/>
      <c r="R483"/>
      <c r="S483"/>
      <c r="T483" s="4"/>
      <c r="U483" s="4"/>
      <c r="V483"/>
      <c r="W483"/>
      <c r="X483"/>
      <c r="Y483" t="inlineStr">
        <is>
          <t>Pending Appointment</t>
        </is>
      </c>
      <c r="Z483" t="inlineStr">
        <is>
          <t>Hiring Now</t>
        </is>
      </c>
      <c r="AA483">
        <v>1</v>
      </c>
      <c r="AB483" t="inlineStr">
        <is>
          <t>No Appointment Made</t>
        </is>
      </c>
      <c r="AC483"/>
      <c r="AD483" t="inlineStr">
        <is>
          <t xml:space="preserve">1 customer service for mandarin speaker </t>
        </is>
      </c>
      <c r="AE483"/>
      <c r="AF483">
        <v>0</v>
      </c>
      <c r="AG483" s="4"/>
      <c r="AH483" s="4"/>
      <c r="AI483">
        <v>0</v>
      </c>
      <c r="AJ483">
        <v>0</v>
      </c>
      <c r="AK483" t="inlineStr">
        <is>
          <t>No, I don't need at all</t>
        </is>
      </c>
      <c r="AL483">
        <v>0</v>
      </c>
      <c r="AM483" t="inlineStr">
        <is>
          <t>No, I don't need at all</t>
        </is>
      </c>
      <c r="AN483"/>
      <c r="AO483" t="inlineStr">
        <is>
          <t>No, I don't need at all</t>
        </is>
      </c>
      <c r="AP483" t="inlineStr">
        <is>
          <t>Once a year (25%)</t>
        </is>
      </c>
      <c r="AQ483">
        <v>1</v>
      </c>
      <c r="AR483" t="inlineStr">
        <is>
          <t>Did not use any job portal</t>
        </is>
      </c>
      <c r="AS483" t="inlineStr">
        <is>
          <t>- Headcount: 1
- Hiring Job Details: 1 customer service for mandarin speaker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483">
        <v>105</v>
      </c>
      <c r="AU483" t="inlineStr">
        <is>
          <t>1.05</t>
        </is>
      </c>
      <c r="AV483" t="inlineStr">
        <is>
          <t>15</t>
        </is>
      </c>
      <c r="AW483" t="inlineStr">
        <is>
          <t>0</t>
        </is>
      </c>
      <c r="AX483" t="inlineStr">
        <is>
          <t>Not Qualified</t>
        </is>
      </c>
      <c r="AY483" s="4"/>
      <c r="AZ483"/>
      <c r="BA483"/>
      <c r="BB483"/>
      <c r="BC483" t="inlineStr">
        <is>
          <t>whatsapp call</t>
        </is>
      </c>
      <c r="BD483" s="4">
        <v>46142.45469907407</v>
      </c>
      <c r="BE483"/>
      <c r="BF483"/>
      <c r="BG483" t="inlineStr">
        <is>
          <t>Reschedule</t>
        </is>
      </c>
      <c r="BH483" t="inlineStr">
        <is>
          <t>Yee Hang</t>
        </is>
      </c>
      <c r="BI483" t="inlineStr">
        <is>
          <t>Advertising / Marketing</t>
        </is>
      </c>
      <c r="BJ483" s="4">
        <v>46144.75438657407</v>
      </c>
      <c r="BK483" s="4">
        <v>46141.57842592592</v>
      </c>
      <c r="BL483" t="inlineStr">
        <is>
          <t>0.0</t>
        </is>
      </c>
      <c r="BM483" t="inlineStr">
        <is>
          <t>0.0</t>
        </is>
      </c>
      <c r="BN483" t="inlineStr">
        <is>
          <t>View Company Page</t>
        </is>
      </c>
      <c r="BO483" s="4">
        <v>46142.46902777778</v>
      </c>
      <c r="BP483">
        <v>169572</v>
      </c>
      <c r="BQ483"/>
      <c r="BR483"/>
      <c r="BS483"/>
      <c r="BT483"/>
      <c r="BU483"/>
      <c r="BV483">
        <v>2736916</v>
      </c>
      <c r="BW483" t="inlineStr">
        <is>
          <t>Follow Up : Decision Pending</t>
        </is>
      </c>
      <c r="BX483"/>
      <c r="BY483"/>
      <c r="BZ483" s="4"/>
      <c r="CA483"/>
      <c r="CB483"/>
      <c r="CC483" s="4"/>
      <c r="CD483" t="inlineStr">
        <is>
          <t>20</t>
        </is>
      </c>
      <c r="CE483" t="inlineStr">
        <is>
          <t>0</t>
        </is>
      </c>
      <c r="CF483" t="inlineStr">
        <is>
          <t>Q2-W04</t>
        </is>
      </c>
      <c r="CG483"/>
      <c r="CH483"/>
      <c r="CI483"/>
      <c r="CJ483" t="inlineStr">
        <is>
          <t>No Paid</t>
        </is>
      </c>
      <c r="CK483" t="inlineStr">
        <is>
          <t>Not Eligible</t>
        </is>
      </c>
      <c r="CL483"/>
      <c r="CM483"/>
    </row>
    <row r="484" ht="25.5" customHeight="1">
      <c r="A484" t="inlineStr">
        <is>
          <t>203796</t>
        </is>
      </c>
      <c r="B484" s="2"/>
      <c r="C484"/>
      <c r="D484" s="3">
        <v>46141.71800925926</v>
      </c>
      <c r="E484" t="inlineStr">
        <is>
          <t>Q2-W04</t>
        </is>
      </c>
      <c r="F484" t="inlineStr">
        <is>
          <t>Alan KY</t>
        </is>
      </c>
      <c r="G484" t="inlineStr">
        <is>
          <t>Customer</t>
        </is>
      </c>
      <c r="H484" s="2" t="str">
        <f>=HYPERLINK("https://upbox.ajobthing.my/customer/203796", "https://upbox.ajobthing.my/customer/203796")</f>
        <v>https://upbox.ajobthing.my/customer/203796</v>
      </c>
      <c r="I484" t="inlineStr">
        <is>
          <t>Cupana Trading (m) Sdn. Bhd.</t>
        </is>
      </c>
      <c r="J484" t="inlineStr">
        <is>
          <t>Small Fish</t>
        </is>
      </c>
      <c r="K484" t="inlineStr">
        <is>
          <t>Alan KY</t>
        </is>
      </c>
      <c r="L484" s="4"/>
      <c r="M484" s="4">
        <v>46141.71855324074</v>
      </c>
      <c r="N484"/>
      <c r="O484">
        <v>3576.96</v>
      </c>
      <c r="P484" s="4"/>
      <c r="Q484" s="4"/>
      <c r="R484"/>
      <c r="S484"/>
      <c r="T484" s="4"/>
      <c r="U484" s="4"/>
      <c r="V484"/>
      <c r="W484"/>
      <c r="X484"/>
      <c r="Y484" t="inlineStr">
        <is>
          <t>Pending Appointment</t>
        </is>
      </c>
      <c r="Z484" t="inlineStr">
        <is>
          <t>Hiring Now</t>
        </is>
      </c>
      <c r="AA484">
        <v>32</v>
      </c>
      <c r="AB484" t="inlineStr">
        <is>
          <t>No Appointment Made</t>
        </is>
      </c>
      <c r="AC484"/>
      <c r="AD484" t="inlineStr">
        <is>
          <t xml:space="preserve">1 admin clerk 1 fresh
sales advisor - 30 on going hire 
based in johor  </t>
        </is>
      </c>
      <c r="AE484"/>
      <c r="AF484"/>
      <c r="AG484" s="4"/>
      <c r="AH484" s="4"/>
      <c r="AI484"/>
      <c r="AJ484">
        <v>1</v>
      </c>
      <c r="AK484" t="inlineStr">
        <is>
          <t>No, I don't need at all</t>
        </is>
      </c>
      <c r="AL484"/>
      <c r="AM484" t="inlineStr">
        <is>
          <t>No, I don't need at all</t>
        </is>
      </c>
      <c r="AN484"/>
      <c r="AO484" t="inlineStr">
        <is>
          <t>No, I don't need at all</t>
        </is>
      </c>
      <c r="AP484" t="inlineStr">
        <is>
          <t>Once per quarter (75%)</t>
        </is>
      </c>
      <c r="AQ484"/>
      <c r="AR484" t="inlineStr">
        <is>
          <t>Free Job Portal</t>
        </is>
      </c>
      <c r="AS484" t="inlineStr">
        <is>
          <t>- Headcount: 32
- Hiring Job Details: 1 admin clerk, 1 fresh sales advisor, 30 ongoing hires based in johor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Free Job Portal</t>
        </is>
      </c>
      <c r="AT484">
        <v>75</v>
      </c>
      <c r="AU484" t="inlineStr">
        <is>
          <t>0.75</t>
        </is>
      </c>
      <c r="AV484" t="inlineStr">
        <is>
          <t>25</t>
        </is>
      </c>
      <c r="AW484" t="inlineStr">
        <is>
          <t>0</t>
        </is>
      </c>
      <c r="AX484" t="inlineStr">
        <is>
          <t>Not Qualified</t>
        </is>
      </c>
      <c r="AY484" s="4"/>
      <c r="AZ484"/>
      <c r="BA484"/>
      <c r="BB484"/>
      <c r="BC484" t="inlineStr">
        <is>
          <t>- Headcount: 32
- Hiring Job Details: 1 admin clerk, 1 fresh sales advisor, 30 ongoing hires based in johor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Free Job Portal</t>
        </is>
      </c>
      <c r="BD484" s="4">
        <v>46141.75015046296</v>
      </c>
      <c r="BE484"/>
      <c r="BF484"/>
      <c r="BG484" t="inlineStr">
        <is>
          <t>Reschedule</t>
        </is>
      </c>
      <c r="BH484" t="inlineStr">
        <is>
          <t>Reagen</t>
        </is>
      </c>
      <c r="BI484"/>
      <c r="BJ484" s="4">
        <v>46144.75438657407</v>
      </c>
      <c r="BK484" s="4">
        <v>46141.608877314815</v>
      </c>
      <c r="BL484" t="inlineStr">
        <is>
          <t>0.0</t>
        </is>
      </c>
      <c r="BM484" t="inlineStr">
        <is>
          <t>0.0</t>
        </is>
      </c>
      <c r="BN484" t="inlineStr">
        <is>
          <t>View Create Job Page V4</t>
        </is>
      </c>
      <c r="BO484" s="4">
        <v>46141.6199537037</v>
      </c>
      <c r="BP484">
        <v>169578</v>
      </c>
      <c r="BQ484"/>
      <c r="BR484"/>
      <c r="BS484"/>
      <c r="BT484"/>
      <c r="BU484"/>
      <c r="BV484">
        <v>2736319</v>
      </c>
      <c r="BW484" t="inlineStr">
        <is>
          <t>Customer Inquiry</t>
        </is>
      </c>
      <c r="BX484"/>
      <c r="BY484"/>
      <c r="BZ484" s="4"/>
      <c r="CA484"/>
      <c r="CB484"/>
      <c r="CC484" s="4"/>
      <c r="CD484" t="inlineStr">
        <is>
          <t>35</t>
        </is>
      </c>
      <c r="CE484" t="inlineStr">
        <is>
          <t>0</t>
        </is>
      </c>
      <c r="CF484" t="inlineStr">
        <is>
          <t>Q2-W04</t>
        </is>
      </c>
      <c r="CG484"/>
      <c r="CH484"/>
      <c r="CI484"/>
      <c r="CJ484" t="inlineStr">
        <is>
          <t>No Paid</t>
        </is>
      </c>
      <c r="CK484" t="inlineStr">
        <is>
          <t>Eligible</t>
        </is>
      </c>
      <c r="CL484"/>
      <c r="CM484"/>
    </row>
    <row r="485" ht="25.5" customHeight="1">
      <c r="A485" t="inlineStr">
        <is>
          <t>203784</t>
        </is>
      </c>
      <c r="B485" s="2"/>
      <c r="C485"/>
      <c r="D485" s="3">
        <v>46141.718148148146</v>
      </c>
      <c r="E485" t="inlineStr">
        <is>
          <t>Q2-W04</t>
        </is>
      </c>
      <c r="F485" t="inlineStr">
        <is>
          <t>Dickson</t>
        </is>
      </c>
      <c r="G485" t="inlineStr">
        <is>
          <t>Customer</t>
        </is>
      </c>
      <c r="H485" s="2" t="str">
        <f>=HYPERLINK("https://upbox.ajobthing.my/customer/203784", "https://upbox.ajobthing.my/customer/203784")</f>
        <v>https://upbox.ajobthing.my/customer/203784</v>
      </c>
      <c r="I485" t="inlineStr">
        <is>
          <t>Greenroom Online Ventures</t>
        </is>
      </c>
      <c r="J485" t="inlineStr">
        <is>
          <t>Small Fish</t>
        </is>
      </c>
      <c r="K485" t="inlineStr">
        <is>
          <t>Dickson</t>
        </is>
      </c>
      <c r="L485" s="4"/>
      <c r="M485" s="4">
        <v>46141.71821759259</v>
      </c>
      <c r="N485"/>
      <c r="O485">
        <v>1296</v>
      </c>
      <c r="P485" s="4"/>
      <c r="Q485" s="4"/>
      <c r="R485"/>
      <c r="S485"/>
      <c r="T485" s="4"/>
      <c r="U485" s="4"/>
      <c r="V485"/>
      <c r="W485"/>
      <c r="X485"/>
      <c r="Y485" t="inlineStr">
        <is>
          <t>Pending Appointment</t>
        </is>
      </c>
      <c r="Z485" t="inlineStr">
        <is>
          <t>Hiring Now</t>
        </is>
      </c>
      <c r="AA485">
        <v>3</v>
      </c>
      <c r="AB485" t="inlineStr">
        <is>
          <t>No Appointment Made</t>
        </is>
      </c>
      <c r="AC485"/>
      <c r="AD485" t="inlineStr">
        <is>
          <t>3 storekeeper</t>
        </is>
      </c>
      <c r="AE485"/>
      <c r="AF485"/>
      <c r="AG485" s="4"/>
      <c r="AH485" s="4"/>
      <c r="AI485"/>
      <c r="AJ485">
        <v>1</v>
      </c>
      <c r="AK485" t="inlineStr">
        <is>
          <t>No, I don't need at all</t>
        </is>
      </c>
      <c r="AL485"/>
      <c r="AM485" t="inlineStr">
        <is>
          <t>No, I don't need at all</t>
        </is>
      </c>
      <c r="AN485"/>
      <c r="AO485" t="inlineStr">
        <is>
          <t>No, I don't need at all</t>
        </is>
      </c>
      <c r="AP485" t="inlineStr">
        <is>
          <t>Once per quarter (75%)</t>
        </is>
      </c>
      <c r="AQ485"/>
      <c r="AR485"/>
      <c r="AS485" t="inlineStr">
        <is>
          <t>- Headcount: 3
- Hiring Job Details: 3 storekeeper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485">
        <v>95</v>
      </c>
      <c r="AU485" t="inlineStr">
        <is>
          <t>0.95</t>
        </is>
      </c>
      <c r="AV485" t="inlineStr">
        <is>
          <t>5</t>
        </is>
      </c>
      <c r="AW485" t="inlineStr">
        <is>
          <t>0</t>
        </is>
      </c>
      <c r="AX485" t="inlineStr">
        <is>
          <t>Not Qualified</t>
        </is>
      </c>
      <c r="AY485" s="4"/>
      <c r="AZ485"/>
      <c r="BA485"/>
      <c r="BB485"/>
      <c r="BC485" t="inlineStr">
        <is>
          <t>- Headcount: 3
- Hiring Job Details: 3 storekeeper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BD485" s="4">
        <v>46141.75015046296</v>
      </c>
      <c r="BE485"/>
      <c r="BF485"/>
      <c r="BG485" t="inlineStr">
        <is>
          <t>Reschedule</t>
        </is>
      </c>
      <c r="BH485" t="inlineStr">
        <is>
          <t>Edward Hoo</t>
        </is>
      </c>
      <c r="BI485"/>
      <c r="BJ485" s="4">
        <v>46144.75438657407</v>
      </c>
      <c r="BK485" s="4">
        <v>46141.55152777778</v>
      </c>
      <c r="BL485" t="inlineStr">
        <is>
          <t>0.0</t>
        </is>
      </c>
      <c r="BM485" t="inlineStr">
        <is>
          <t>300.0</t>
        </is>
      </c>
      <c r="BN485" t="inlineStr">
        <is>
          <t>View Create Job Page V4</t>
        </is>
      </c>
      <c r="BO485" s="4">
        <v>46141.5625</v>
      </c>
      <c r="BP485">
        <v>169577</v>
      </c>
      <c r="BQ485"/>
      <c r="BR485"/>
      <c r="BS485"/>
      <c r="BT485"/>
      <c r="BU485"/>
      <c r="BV485">
        <v>2736320</v>
      </c>
      <c r="BW485" t="inlineStr">
        <is>
          <t>Customer Inquiry</t>
        </is>
      </c>
      <c r="BX485"/>
      <c r="BY485"/>
      <c r="BZ485" s="4"/>
      <c r="CA485"/>
      <c r="CB485"/>
      <c r="CC485" s="4"/>
      <c r="CD485" t="inlineStr">
        <is>
          <t>5</t>
        </is>
      </c>
      <c r="CE485" t="inlineStr">
        <is>
          <t>0</t>
        </is>
      </c>
      <c r="CF485" t="inlineStr">
        <is>
          <t>Q2-W04</t>
        </is>
      </c>
      <c r="CG485"/>
      <c r="CH485"/>
      <c r="CI485"/>
      <c r="CJ485" t="inlineStr">
        <is>
          <t>No Paid</t>
        </is>
      </c>
      <c r="CK485" t="inlineStr">
        <is>
          <t>Not Eligible</t>
        </is>
      </c>
      <c r="CL485"/>
      <c r="CM485"/>
    </row>
    <row r="486" ht="25.5" customHeight="1">
      <c r="A486" t="inlineStr">
        <is>
          <t>193861</t>
        </is>
      </c>
      <c r="B486" s="2"/>
      <c r="C486"/>
      <c r="D486" s="3">
        <v>46141.71957175926</v>
      </c>
      <c r="E486" t="inlineStr">
        <is>
          <t>Q2-W04</t>
        </is>
      </c>
      <c r="F486" t="inlineStr">
        <is>
          <t>Xin Hui</t>
        </is>
      </c>
      <c r="G486" t="inlineStr">
        <is>
          <t>Customer</t>
        </is>
      </c>
      <c r="H486" s="2" t="str">
        <f>=HYPERLINK("https://upbox.ajobthing.my/customer/193861", "https://upbox.ajobthing.my/customer/193861")</f>
        <v>https://upbox.ajobthing.my/customer/193861</v>
      </c>
      <c r="I486" t="inlineStr">
        <is>
          <t>Altra Base Builder Sdn Bhd</t>
        </is>
      </c>
      <c r="J486" t="inlineStr">
        <is>
          <t>Small Fish</t>
        </is>
      </c>
      <c r="K486" t="inlineStr">
        <is>
          <t>Xin Hui</t>
        </is>
      </c>
      <c r="L486" s="4"/>
      <c r="M486" s="4">
        <v>46141.716157407405</v>
      </c>
      <c r="N486"/>
      <c r="O486">
        <v>3888</v>
      </c>
      <c r="P486" s="4"/>
      <c r="Q486" s="4"/>
      <c r="R486"/>
      <c r="S486"/>
      <c r="T486" s="4"/>
      <c r="U486" s="4"/>
      <c r="V486"/>
      <c r="W486"/>
      <c r="X486"/>
      <c r="Y486" t="inlineStr">
        <is>
          <t>Pending Appointment</t>
        </is>
      </c>
      <c r="Z486" t="inlineStr">
        <is>
          <t>Hiring Now</t>
        </is>
      </c>
      <c r="AA486">
        <v>2</v>
      </c>
      <c r="AB486" t="inlineStr">
        <is>
          <t>No Appointment Made</t>
        </is>
      </c>
      <c r="AC486"/>
      <c r="AD486" t="inlineStr">
        <is>
          <t>QS / interior designer</t>
        </is>
      </c>
      <c r="AE486"/>
      <c r="AF486"/>
      <c r="AG486" s="4"/>
      <c r="AH486" s="4"/>
      <c r="AI486"/>
      <c r="AJ486"/>
      <c r="AK486" t="inlineStr">
        <is>
          <t>No, I don't need at all</t>
        </is>
      </c>
      <c r="AL486"/>
      <c r="AM486" t="inlineStr">
        <is>
          <t>No, I don't need at all</t>
        </is>
      </c>
      <c r="AN486"/>
      <c r="AO486" t="inlineStr">
        <is>
          <t>No, I don't need at all</t>
        </is>
      </c>
      <c r="AP486" t="inlineStr">
        <is>
          <t>Once a year (25%)</t>
        </is>
      </c>
      <c r="AQ486"/>
      <c r="AR486"/>
      <c r="AS486" t="inlineStr">
        <is>
          <t>- Headcount: 2
- Hiring Job Details: QS / interior designer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AT486">
        <v>75</v>
      </c>
      <c r="AU486" t="inlineStr">
        <is>
          <t>0.75</t>
        </is>
      </c>
      <c r="AV486" t="inlineStr">
        <is>
          <t>5</t>
        </is>
      </c>
      <c r="AW486" t="inlineStr">
        <is>
          <t>0</t>
        </is>
      </c>
      <c r="AX486" t="inlineStr">
        <is>
          <t>Not Qualified</t>
        </is>
      </c>
      <c r="AY486" s="4"/>
      <c r="AZ486"/>
      <c r="BA486"/>
      <c r="BB486"/>
      <c r="BC486" t="inlineStr">
        <is>
          <t>- Headcount: 2
- Hiring Job Details: QS / interior designer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BD486" s="4">
        <v>46141.75015046296</v>
      </c>
      <c r="BE486"/>
      <c r="BF486"/>
      <c r="BG486" t="inlineStr">
        <is>
          <t>Reschedule</t>
        </is>
      </c>
      <c r="BH486" t="inlineStr">
        <is>
          <t>Yee Hang</t>
        </is>
      </c>
      <c r="BI486" t="inlineStr">
        <is>
          <t>Construction / Building</t>
        </is>
      </c>
      <c r="BJ486" s="4">
        <v>46144.75267361111</v>
      </c>
      <c r="BK486" s="4">
        <v>45854.7715625</v>
      </c>
      <c r="BL486" t="inlineStr">
        <is>
          <t>0.0</t>
        </is>
      </c>
      <c r="BM486" t="inlineStr">
        <is>
          <t>0.0</t>
        </is>
      </c>
      <c r="BN486" t="inlineStr">
        <is>
          <t>View Jobmanager Page</t>
        </is>
      </c>
      <c r="BO486" s="4">
        <v>45854.80243055556</v>
      </c>
      <c r="BP486">
        <v>169576</v>
      </c>
      <c r="BQ486"/>
      <c r="BR486"/>
      <c r="BS486"/>
      <c r="BT486"/>
      <c r="BU486"/>
      <c r="BV486">
        <v>2736322</v>
      </c>
      <c r="BW486" t="inlineStr">
        <is>
          <t>Customer Inquiry</t>
        </is>
      </c>
      <c r="BX486"/>
      <c r="BY486"/>
      <c r="BZ486" s="4"/>
      <c r="CA486"/>
      <c r="CB486"/>
      <c r="CC486" s="4"/>
      <c r="CD486" t="inlineStr">
        <is>
          <t>5</t>
        </is>
      </c>
      <c r="CE486" t="inlineStr">
        <is>
          <t>0</t>
        </is>
      </c>
      <c r="CF486" t="inlineStr">
        <is>
          <t>Q2-W04</t>
        </is>
      </c>
      <c r="CG486"/>
      <c r="CH486"/>
      <c r="CI486"/>
      <c r="CJ486" t="inlineStr">
        <is>
          <t>No Paid</t>
        </is>
      </c>
      <c r="CK486" t="inlineStr">
        <is>
          <t>Not Eligible</t>
        </is>
      </c>
      <c r="CL486"/>
      <c r="CM486"/>
    </row>
    <row r="487" ht="25.5" customHeight="1">
      <c r="A487" t="inlineStr">
        <is>
          <t>200898</t>
        </is>
      </c>
      <c r="B487" s="2"/>
      <c r="C487"/>
      <c r="D487" s="3">
        <v>46141.73527777778</v>
      </c>
      <c r="E487" t="inlineStr">
        <is>
          <t>Q2-W04</t>
        </is>
      </c>
      <c r="F487" t="inlineStr">
        <is>
          <t>Clover</t>
        </is>
      </c>
      <c r="G487" t="inlineStr">
        <is>
          <t>Customer</t>
        </is>
      </c>
      <c r="H487" s="2" t="str">
        <f>=HYPERLINK("https://upbox.ajobthing.my/customer/200898", "https://upbox.ajobthing.my/customer/200898")</f>
        <v>https://upbox.ajobthing.my/customer/200898</v>
      </c>
      <c r="I487" t="inlineStr">
        <is>
          <t>Spellworks Studio</t>
        </is>
      </c>
      <c r="J487" t="inlineStr">
        <is>
          <t>Small Fish</t>
        </is>
      </c>
      <c r="K487" t="inlineStr">
        <is>
          <t>Clover</t>
        </is>
      </c>
      <c r="L487" s="4"/>
      <c r="M487" s="4">
        <v>46141.73548611111</v>
      </c>
      <c r="N487"/>
      <c r="O487">
        <v>3888</v>
      </c>
      <c r="P487" s="4"/>
      <c r="Q487" s="4"/>
      <c r="R487"/>
      <c r="S487"/>
      <c r="T487" s="4"/>
      <c r="U487" s="4"/>
      <c r="V487"/>
      <c r="W487"/>
      <c r="X487"/>
      <c r="Y487" t="inlineStr">
        <is>
          <t>Pending Appointment</t>
        </is>
      </c>
      <c r="Z487" t="inlineStr">
        <is>
          <t>Hiring Later</t>
        </is>
      </c>
      <c r="AA487">
        <v>2</v>
      </c>
      <c r="AB487" t="inlineStr">
        <is>
          <t>No Appointment Made</t>
        </is>
      </c>
      <c r="AC487"/>
      <c r="AD487" t="inlineStr">
        <is>
          <t>finance exec / account exec x1-2, chi,  fully remote, penang, suggest stand 288</t>
        </is>
      </c>
      <c r="AE487"/>
      <c r="AF487">
        <v>3000</v>
      </c>
      <c r="AG487" s="4"/>
      <c r="AH487" s="4"/>
      <c r="AI487">
        <v>3000</v>
      </c>
      <c r="AJ487">
        <v>1</v>
      </c>
      <c r="AK487" t="inlineStr">
        <is>
          <t>No, but I want in future</t>
        </is>
      </c>
      <c r="AL487">
        <v>1</v>
      </c>
      <c r="AM487" t="inlineStr">
        <is>
          <t>No, but I want in future</t>
        </is>
      </c>
      <c r="AN487"/>
      <c r="AO487" t="inlineStr">
        <is>
          <t>No, but I want in future</t>
        </is>
      </c>
      <c r="AP487" t="inlineStr">
        <is>
          <t>Twice a year (50%)</t>
        </is>
      </c>
      <c r="AQ487">
        <v>2</v>
      </c>
      <c r="AR487" t="inlineStr">
        <is>
          <t>Did not use any job portal</t>
        </is>
      </c>
      <c r="AS487" t="inlineStr">
        <is>
          <t>- Headcount: 2
- Hiring Job Details: finance exec / account exec x1-2, chi, fully remote, penang, suggest stand 288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 job portal</t>
        </is>
      </c>
      <c r="AT487">
        <v>105</v>
      </c>
      <c r="AU487" t="inlineStr">
        <is>
          <t>1.05</t>
        </is>
      </c>
      <c r="AV487" t="inlineStr">
        <is>
          <t>15</t>
        </is>
      </c>
      <c r="AW487" t="inlineStr">
        <is>
          <t>0</t>
        </is>
      </c>
      <c r="AX487" t="inlineStr">
        <is>
          <t>Not Qualified</t>
        </is>
      </c>
      <c r="AY487" s="4"/>
      <c r="AZ487"/>
      <c r="BA487"/>
      <c r="BB487"/>
      <c r="BC487" t="inlineStr">
        <is>
          <t>- Headcount: 2
- Hiring Job Details: finance exec / account exec x1-2, chi, fully remote, penang, suggest stand 288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 job portal</t>
        </is>
      </c>
      <c r="BD487" s="4">
        <v>46141.75015046296</v>
      </c>
      <c r="BE487"/>
      <c r="BF487"/>
      <c r="BG487" t="inlineStr">
        <is>
          <t>Reschedule</t>
        </is>
      </c>
      <c r="BH487" t="inlineStr">
        <is>
          <t>Reagen</t>
        </is>
      </c>
      <c r="BI487"/>
      <c r="BJ487" s="4">
        <v>46144.75368055556</v>
      </c>
      <c r="BK487" s="4">
        <v>46056.413194444445</v>
      </c>
      <c r="BL487" t="inlineStr">
        <is>
          <t>0.0</t>
        </is>
      </c>
      <c r="BM487" t="inlineStr">
        <is>
          <t>0.0</t>
        </is>
      </c>
      <c r="BN487"/>
      <c r="BO487" s="4"/>
      <c r="BP487">
        <v>169587</v>
      </c>
      <c r="BQ487"/>
      <c r="BR487"/>
      <c r="BS487"/>
      <c r="BT487"/>
      <c r="BU487"/>
      <c r="BV487">
        <v>2736328</v>
      </c>
      <c r="BW487" t="inlineStr">
        <is>
          <t>Customer Inquiry</t>
        </is>
      </c>
      <c r="BX487"/>
      <c r="BY487"/>
      <c r="BZ487" s="4"/>
      <c r="CA487"/>
      <c r="CB487"/>
      <c r="CC487" s="4"/>
      <c r="CD487" t="inlineStr">
        <is>
          <t>20</t>
        </is>
      </c>
      <c r="CE487" t="inlineStr">
        <is>
          <t>0</t>
        </is>
      </c>
      <c r="CF487" t="inlineStr">
        <is>
          <t>Q2-W04</t>
        </is>
      </c>
      <c r="CG487"/>
      <c r="CH487"/>
      <c r="CI487"/>
      <c r="CJ487" t="inlineStr">
        <is>
          <t>No Paid</t>
        </is>
      </c>
      <c r="CK487" t="inlineStr">
        <is>
          <t>Not Eligible</t>
        </is>
      </c>
      <c r="CL487"/>
      <c r="CM487"/>
    </row>
    <row r="488" ht="25.5" customHeight="1">
      <c r="A488" t="inlineStr">
        <is>
          <t>38861</t>
        </is>
      </c>
      <c r="B488" s="2"/>
      <c r="C488"/>
      <c r="D488" s="3">
        <v>46141.75146990741</v>
      </c>
      <c r="E488" t="inlineStr">
        <is>
          <t>Q2-W04</t>
        </is>
      </c>
      <c r="F488" t="inlineStr">
        <is>
          <t>Janice Yap</t>
        </is>
      </c>
      <c r="G488" t="inlineStr">
        <is>
          <t>Customer</t>
        </is>
      </c>
      <c r="H488" s="2" t="str">
        <f>=HYPERLINK("https://upbox.ajobthing.my/customer/38861", "https://upbox.ajobthing.my/customer/38861")</f>
        <v>https://upbox.ajobthing.my/customer/38861</v>
      </c>
      <c r="I488" t="inlineStr">
        <is>
          <t>Meri Beau Harmony Sdn Bhd</t>
        </is>
      </c>
      <c r="J488" t="inlineStr">
        <is>
          <t>Small Fish</t>
        </is>
      </c>
      <c r="K488" t="inlineStr">
        <is>
          <t>Janice</t>
        </is>
      </c>
      <c r="L488" s="4"/>
      <c r="M488" s="4">
        <v>46141.74806712963</v>
      </c>
      <c r="N488"/>
      <c r="O488">
        <v>3888</v>
      </c>
      <c r="P488" s="4"/>
      <c r="Q488" s="4"/>
      <c r="R488"/>
      <c r="S488"/>
      <c r="T488" s="4"/>
      <c r="U488" s="4"/>
      <c r="V488"/>
      <c r="W488"/>
      <c r="X488"/>
      <c r="Y488" t="inlineStr">
        <is>
          <t>Pending Appointment</t>
        </is>
      </c>
      <c r="Z488" t="inlineStr">
        <is>
          <t>Hiring Now</t>
        </is>
      </c>
      <c r="AA488">
        <v>1</v>
      </c>
      <c r="AB488" t="inlineStr">
        <is>
          <t>No Appointment Made</t>
        </is>
      </c>
      <c r="AC488"/>
      <c r="AD488" t="inlineStr">
        <is>
          <t>1 admin</t>
        </is>
      </c>
      <c r="AE488"/>
      <c r="AF488">
        <v>0</v>
      </c>
      <c r="AG488" s="4"/>
      <c r="AH488" s="4"/>
      <c r="AI488">
        <v>0</v>
      </c>
      <c r="AJ488"/>
      <c r="AK488" t="inlineStr">
        <is>
          <t>No, I don't need at all</t>
        </is>
      </c>
      <c r="AL488">
        <v>0</v>
      </c>
      <c r="AM488" t="inlineStr">
        <is>
          <t>No, I don't need at all</t>
        </is>
      </c>
      <c r="AN488"/>
      <c r="AO488" t="inlineStr">
        <is>
          <t>No, I don't need at all</t>
        </is>
      </c>
      <c r="AP488" t="inlineStr">
        <is>
          <t>Once a year (25%)</t>
        </is>
      </c>
      <c r="AQ488">
        <v>1</v>
      </c>
      <c r="AR488" t="inlineStr">
        <is>
          <t>Jobstreet</t>
        </is>
      </c>
      <c r="AS488" t="inlineStr">
        <is>
          <t>- Headcount: 1
- Hiring Job Details: 1 admin
- Hiring Urgency: Hiring Now
- Number of outlets: Not specified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Jobstreet</t>
        </is>
      </c>
      <c r="AT488">
        <v>105</v>
      </c>
      <c r="AU488" t="inlineStr">
        <is>
          <t>1.05</t>
        </is>
      </c>
      <c r="AV488" t="inlineStr">
        <is>
          <t>15</t>
        </is>
      </c>
      <c r="AW488" t="inlineStr">
        <is>
          <t>0</t>
        </is>
      </c>
      <c r="AX488" t="inlineStr">
        <is>
          <t>Not Qualified</t>
        </is>
      </c>
      <c r="AY488" s="4"/>
      <c r="AZ488"/>
      <c r="BA488"/>
      <c r="BB488"/>
      <c r="BC488" t="inlineStr">
        <is>
          <t>- Headcount: 1
- Hiring Job Details: 1 admin
- Hiring Urgency: Hiring Now
- Number of outlets: Not specified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Jobstreet</t>
        </is>
      </c>
      <c r="BD488" s="4">
        <v>46141.79170138889</v>
      </c>
      <c r="BE488"/>
      <c r="BF488"/>
      <c r="BG488" t="inlineStr">
        <is>
          <t>Reschedule</t>
        </is>
      </c>
      <c r="BH488" t="inlineStr">
        <is>
          <t>Yee Hang</t>
        </is>
      </c>
      <c r="BI488" t="inlineStr">
        <is>
          <t>Beauty / Fitness</t>
        </is>
      </c>
      <c r="BJ488" s="4">
        <v>46144.755</v>
      </c>
      <c r="BK488" s="4">
        <v>42911.4871875</v>
      </c>
      <c r="BL488" t="inlineStr">
        <is>
          <t>0.0</t>
        </is>
      </c>
      <c r="BM488" t="inlineStr">
        <is>
          <t>0.0</t>
        </is>
      </c>
      <c r="BN488" t="inlineStr">
        <is>
          <t>View Jobmanager Page</t>
        </is>
      </c>
      <c r="BO488" s="4">
        <v>45090.52122685185</v>
      </c>
      <c r="BP488">
        <v>169591</v>
      </c>
      <c r="BQ488"/>
      <c r="BR488"/>
      <c r="BS488"/>
      <c r="BT488"/>
      <c r="BU488"/>
      <c r="BV488">
        <v>2736400</v>
      </c>
      <c r="BW488" t="inlineStr">
        <is>
          <t>Customer Inquiry</t>
        </is>
      </c>
      <c r="BX488"/>
      <c r="BY488"/>
      <c r="BZ488" s="4"/>
      <c r="CA488"/>
      <c r="CB488"/>
      <c r="CC488" s="4"/>
      <c r="CD488" t="inlineStr">
        <is>
          <t>20</t>
        </is>
      </c>
      <c r="CE488" t="inlineStr">
        <is>
          <t>0</t>
        </is>
      </c>
      <c r="CF488" t="inlineStr">
        <is>
          <t>Q2-W04</t>
        </is>
      </c>
      <c r="CG488"/>
      <c r="CH488"/>
      <c r="CI488"/>
      <c r="CJ488" t="inlineStr">
        <is>
          <t>No Paid</t>
        </is>
      </c>
      <c r="CK488" t="inlineStr">
        <is>
          <t>Not Eligible</t>
        </is>
      </c>
      <c r="CL488"/>
      <c r="CM488"/>
    </row>
    <row r="489" ht="25.5" customHeight="1">
      <c r="A489" t="inlineStr">
        <is>
          <t>203813</t>
        </is>
      </c>
      <c r="B489" s="2"/>
      <c r="C489"/>
      <c r="D489" s="3">
        <v>46142.41239583334</v>
      </c>
      <c r="E489" t="inlineStr">
        <is>
          <t>Q2-W04</t>
        </is>
      </c>
      <c r="F489" t="inlineStr">
        <is>
          <t>Xin Quan</t>
        </is>
      </c>
      <c r="G489" t="inlineStr">
        <is>
          <t>Customer</t>
        </is>
      </c>
      <c r="H489" s="2" t="str">
        <f>=HYPERLINK("https://upbox.ajobthing.my/customer/203813", "https://upbox.ajobthing.my/customer/203813")</f>
        <v>https://upbox.ajobthing.my/customer/203813</v>
      </c>
      <c r="I489" t="inlineStr">
        <is>
          <t>GTH VENTURE SB</t>
        </is>
      </c>
      <c r="J489" t="inlineStr">
        <is>
          <t>Small Fish</t>
        </is>
      </c>
      <c r="K489" t="inlineStr">
        <is>
          <t>Xin Quan</t>
        </is>
      </c>
      <c r="L489" s="4"/>
      <c r="M489" s="4">
        <v>46142.412511574075</v>
      </c>
      <c r="N489"/>
      <c r="O489">
        <v>3888</v>
      </c>
      <c r="P489" s="4"/>
      <c r="Q489" s="4"/>
      <c r="R489"/>
      <c r="S489"/>
      <c r="T489" s="4"/>
      <c r="U489" s="4"/>
      <c r="V489"/>
      <c r="W489"/>
      <c r="X489"/>
      <c r="Y489" t="inlineStr">
        <is>
          <t>Pending Appointment</t>
        </is>
      </c>
      <c r="Z489" t="inlineStr">
        <is>
          <t>Hiring Now</t>
        </is>
      </c>
      <c r="AA489">
        <v>1</v>
      </c>
      <c r="AB489" t="inlineStr">
        <is>
          <t>No Appointment Made</t>
        </is>
      </c>
      <c r="AC489"/>
      <c r="AD489" t="inlineStr">
        <is>
          <t>1 Senior ID Designer , Base in KL</t>
        </is>
      </c>
      <c r="AE489"/>
      <c r="AF489">
        <v>2000</v>
      </c>
      <c r="AG489" s="4"/>
      <c r="AH489" s="4"/>
      <c r="AI489">
        <v>24000</v>
      </c>
      <c r="AJ489">
        <v>1</v>
      </c>
      <c r="AK489" t="inlineStr">
        <is>
          <t>No, I don't need at all</t>
        </is>
      </c>
      <c r="AL489">
        <v>1</v>
      </c>
      <c r="AM489" t="inlineStr">
        <is>
          <t>No, I don't need at all</t>
        </is>
      </c>
      <c r="AN489"/>
      <c r="AO489" t="inlineStr">
        <is>
          <t>No, I don't need at all</t>
        </is>
      </c>
      <c r="AP489" t="inlineStr">
        <is>
          <t>Once a year (25%)</t>
        </is>
      </c>
      <c r="AQ489">
        <v>1</v>
      </c>
      <c r="AR489"/>
      <c r="AS489" t="inlineStr">
        <is>
          <t>- Headcount: 1
- Hiring Job Details: 1 Senior ID Designer,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489">
        <v>115</v>
      </c>
      <c r="AU489" t="inlineStr">
        <is>
          <t>1.15</t>
        </is>
      </c>
      <c r="AV489" t="inlineStr">
        <is>
          <t>15</t>
        </is>
      </c>
      <c r="AW489" t="inlineStr">
        <is>
          <t>0</t>
        </is>
      </c>
      <c r="AX489" t="inlineStr">
        <is>
          <t>Not Qualified</t>
        </is>
      </c>
      <c r="AY489" s="4"/>
      <c r="AZ489"/>
      <c r="BA489"/>
      <c r="BB489"/>
      <c r="BC489" t="inlineStr">
        <is>
          <t>NA</t>
        </is>
      </c>
      <c r="BD489" s="4">
        <v>46142.6144212963</v>
      </c>
      <c r="BE489"/>
      <c r="BF489"/>
      <c r="BG489" t="inlineStr">
        <is>
          <t>Reschedule</t>
        </is>
      </c>
      <c r="BH489" t="inlineStr">
        <is>
          <t>Edward Hoo</t>
        </is>
      </c>
      <c r="BI489"/>
      <c r="BJ489" s="4">
        <v>46144.7544212963</v>
      </c>
      <c r="BK489" s="4">
        <v>46142.41096064815</v>
      </c>
      <c r="BL489" t="inlineStr">
        <is>
          <t>0.0</t>
        </is>
      </c>
      <c r="BM489" t="inlineStr">
        <is>
          <t>0.0</t>
        </is>
      </c>
      <c r="BN489"/>
      <c r="BO489" s="4"/>
      <c r="BP489">
        <v>169602</v>
      </c>
      <c r="BQ489"/>
      <c r="BR489"/>
      <c r="BS489"/>
      <c r="BT489"/>
      <c r="BU489"/>
      <c r="BV489">
        <v>2737780</v>
      </c>
      <c r="BW489" t="inlineStr">
        <is>
          <t>No Answer : Voicemail - WA sent to customer</t>
        </is>
      </c>
      <c r="BX489"/>
      <c r="BY489"/>
      <c r="BZ489" s="4"/>
      <c r="CA489"/>
      <c r="CB489"/>
      <c r="CC489" s="4"/>
      <c r="CD489" t="inlineStr">
        <is>
          <t>20</t>
        </is>
      </c>
      <c r="CE489" t="inlineStr">
        <is>
          <t>0</t>
        </is>
      </c>
      <c r="CF489" t="inlineStr">
        <is>
          <t>Q2-W04</t>
        </is>
      </c>
      <c r="CG489"/>
      <c r="CH489"/>
      <c r="CI489"/>
      <c r="CJ489" t="inlineStr">
        <is>
          <t>No Paid</t>
        </is>
      </c>
      <c r="CK489" t="inlineStr">
        <is>
          <t>Not Eligible</t>
        </is>
      </c>
      <c r="CL489"/>
      <c r="CM489"/>
    </row>
    <row r="490" ht="25.5" customHeight="1">
      <c r="A490" t="inlineStr">
        <is>
          <t>171600</t>
        </is>
      </c>
      <c r="B490" s="2"/>
      <c r="C490"/>
      <c r="D490" s="3">
        <v>46142.416400462964</v>
      </c>
      <c r="E490" t="inlineStr">
        <is>
          <t>Q2-W04</t>
        </is>
      </c>
      <c r="F490" t="inlineStr">
        <is>
          <t>Guest User 68828</t>
        </is>
      </c>
      <c r="G490" t="inlineStr">
        <is>
          <t>Customer</t>
        </is>
      </c>
      <c r="H490" s="2" t="str">
        <f>=HYPERLINK("https://upbox.ajobthing.my/customer/171600", "https://upbox.ajobthing.my/customer/171600")</f>
        <v>https://upbox.ajobthing.my/customer/171600</v>
      </c>
      <c r="I490" t="inlineStr">
        <is>
          <t>Persatuan Kanak Kanak Istimewa Kajang Selangor</t>
        </is>
      </c>
      <c r="J490" t="inlineStr">
        <is>
          <t>Small Fish</t>
        </is>
      </c>
      <c r="K490" t="inlineStr">
        <is>
          <t>Jia Hui</t>
        </is>
      </c>
      <c r="L490" s="4"/>
      <c r="M490" s="4">
        <v>46142.41710648148</v>
      </c>
      <c r="N490"/>
      <c r="O490">
        <v>3888</v>
      </c>
      <c r="P490" s="4"/>
      <c r="Q490" s="4"/>
      <c r="R490"/>
      <c r="S490"/>
      <c r="T490" s="4"/>
      <c r="U490" s="4"/>
      <c r="V490"/>
      <c r="W490"/>
      <c r="X490"/>
      <c r="Y490" t="inlineStr">
        <is>
          <t>Pending Appointment</t>
        </is>
      </c>
      <c r="Z490" t="inlineStr">
        <is>
          <t>Hiring Now</t>
        </is>
      </c>
      <c r="AA490">
        <v>1</v>
      </c>
      <c r="AB490" t="inlineStr">
        <is>
          <t>No Appointment Made</t>
        </is>
      </c>
      <c r="AC490"/>
      <c r="AD490" t="inlineStr">
        <is>
          <t>1 teacher for special kids</t>
        </is>
      </c>
      <c r="AE490"/>
      <c r="AF490">
        <v>500</v>
      </c>
      <c r="AG490" s="4"/>
      <c r="AH490" s="4"/>
      <c r="AI490"/>
      <c r="AJ490"/>
      <c r="AK490" t="inlineStr">
        <is>
          <t>No, but I want in future</t>
        </is>
      </c>
      <c r="AL490"/>
      <c r="AM490"/>
      <c r="AN490"/>
      <c r="AO490"/>
      <c r="AP490" t="inlineStr">
        <is>
          <t>Once a year (25%)</t>
        </is>
      </c>
      <c r="AQ490"/>
      <c r="AR490"/>
      <c r="AS490" t="inlineStr">
        <is>
          <t>- Headcount: 1
- Hiring Job Details: 1 teacher for special kids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490">
        <v>75</v>
      </c>
      <c r="AU490" t="inlineStr">
        <is>
          <t>0.75</t>
        </is>
      </c>
      <c r="AV490" t="inlineStr">
        <is>
          <t>15</t>
        </is>
      </c>
      <c r="AW490" t="inlineStr">
        <is>
          <t>0</t>
        </is>
      </c>
      <c r="AX490" t="inlineStr">
        <is>
          <t>Not Qualified</t>
        </is>
      </c>
      <c r="AY490" s="4"/>
      <c r="AZ490"/>
      <c r="BA490"/>
      <c r="BB490"/>
      <c r="BC490" t="inlineStr">
        <is>
          <t>prefer free portal, want to hire 1 teacher for special kids, location at kajang, near ktm, sent quotation for reference</t>
        </is>
      </c>
      <c r="BD490" s="4">
        <v>46142.41951388889</v>
      </c>
      <c r="BE490"/>
      <c r="BF490"/>
      <c r="BG490" t="inlineStr">
        <is>
          <t>Reschedule</t>
        </is>
      </c>
      <c r="BH490"/>
      <c r="BI490" t="inlineStr">
        <is>
          <t>Social Services / NGO</t>
        </is>
      </c>
      <c r="BJ490" s="4">
        <v>46144.75144675926</v>
      </c>
      <c r="BK490" s="4">
        <v>45202.477013888885</v>
      </c>
      <c r="BL490" t="inlineStr">
        <is>
          <t>0.0</t>
        </is>
      </c>
      <c r="BM490" t="inlineStr">
        <is>
          <t>0.0</t>
        </is>
      </c>
      <c r="BN490" t="inlineStr">
        <is>
          <t>View Create Job Page</t>
        </is>
      </c>
      <c r="BO490" s="4">
        <v>45212.63266203704</v>
      </c>
      <c r="BP490">
        <v>169607</v>
      </c>
      <c r="BQ490"/>
      <c r="BR490"/>
      <c r="BS490"/>
      <c r="BT490"/>
      <c r="BU490"/>
      <c r="BV490">
        <v>2736645</v>
      </c>
      <c r="BW490" t="inlineStr">
        <is>
          <t>Inquire for Hiring Needs : Quotation Sent 50%</t>
        </is>
      </c>
      <c r="BX490"/>
      <c r="BY490"/>
      <c r="BZ490" s="4"/>
      <c r="CA490"/>
      <c r="CB490"/>
      <c r="CC490" s="4"/>
      <c r="CD490" t="inlineStr">
        <is>
          <t>20</t>
        </is>
      </c>
      <c r="CE490" t="inlineStr">
        <is>
          <t>0</t>
        </is>
      </c>
      <c r="CF490" t="inlineStr">
        <is>
          <t>Q2-W04</t>
        </is>
      </c>
      <c r="CG490"/>
      <c r="CH490"/>
      <c r="CI490"/>
      <c r="CJ490" t="inlineStr">
        <is>
          <t>No Paid</t>
        </is>
      </c>
      <c r="CK490" t="inlineStr">
        <is>
          <t>Not Eligible</t>
        </is>
      </c>
      <c r="CL490"/>
      <c r="CM490"/>
    </row>
    <row r="491" ht="25.5" customHeight="1">
      <c r="A491" t="inlineStr">
        <is>
          <t>182451</t>
        </is>
      </c>
      <c r="B491" s="2"/>
      <c r="C491"/>
      <c r="D491" s="3">
        <v>46142.417592592596</v>
      </c>
      <c r="E491" t="inlineStr">
        <is>
          <t>Q2-W04</t>
        </is>
      </c>
      <c r="F491" t="inlineStr">
        <is>
          <t>Lucas</t>
        </is>
      </c>
      <c r="G491" t="inlineStr">
        <is>
          <t>Customer</t>
        </is>
      </c>
      <c r="H491" s="2" t="str">
        <f>=HYPERLINK("https://upbox.ajobthing.my/customer/182451", "https://upbox.ajobthing.my/customer/182451")</f>
        <v>https://upbox.ajobthing.my/customer/182451</v>
      </c>
      <c r="I491" t="inlineStr">
        <is>
          <t>EE Life Design Sdn Bhd</t>
        </is>
      </c>
      <c r="J491" t="inlineStr">
        <is>
          <t>Small Fish</t>
        </is>
      </c>
      <c r="K491" t="inlineStr">
        <is>
          <t>Lucas</t>
        </is>
      </c>
      <c r="L491" s="4"/>
      <c r="M491" s="4">
        <v>46142.415601851855</v>
      </c>
      <c r="N491"/>
      <c r="O491">
        <v>3576.96</v>
      </c>
      <c r="P491" s="4"/>
      <c r="Q491" s="4">
        <v>46142.65074074074</v>
      </c>
      <c r="R491"/>
      <c r="S491">
        <v>3576.96</v>
      </c>
      <c r="T491" s="4">
        <v>45555.93241898148</v>
      </c>
      <c r="U491" s="4"/>
      <c r="V491"/>
      <c r="W491">
        <v>648</v>
      </c>
      <c r="X491"/>
      <c r="Y491" t="inlineStr">
        <is>
          <t>Pending Appointment</t>
        </is>
      </c>
      <c r="Z491" t="inlineStr">
        <is>
          <t>Hiring Now</t>
        </is>
      </c>
      <c r="AA491">
        <v>2</v>
      </c>
      <c r="AB491" t="inlineStr">
        <is>
          <t>No Appointment Made</t>
        </is>
      </c>
      <c r="AC491"/>
      <c r="AD491" t="inlineStr">
        <is>
          <t xml:space="preserve">1 sale , 1 freelance marketing </t>
        </is>
      </c>
      <c r="AE491"/>
      <c r="AF491">
        <v>0</v>
      </c>
      <c r="AG491" s="4"/>
      <c r="AH491" s="4"/>
      <c r="AI491">
        <v>0</v>
      </c>
      <c r="AJ491">
        <v>0</v>
      </c>
      <c r="AK491" t="inlineStr">
        <is>
          <t>No, I don't need at all</t>
        </is>
      </c>
      <c r="AL491">
        <v>0</v>
      </c>
      <c r="AM491" t="inlineStr">
        <is>
          <t>No, I don't need at all</t>
        </is>
      </c>
      <c r="AN491"/>
      <c r="AO491" t="inlineStr">
        <is>
          <t>No, I don't need at all</t>
        </is>
      </c>
      <c r="AP491" t="inlineStr">
        <is>
          <t>Once a year (25%)</t>
        </is>
      </c>
      <c r="AQ491">
        <v>2</v>
      </c>
      <c r="AR491" t="inlineStr">
        <is>
          <t>Did not use any job portal</t>
        </is>
      </c>
      <c r="AS491" t="inlineStr">
        <is>
          <t>- Headcount: 2
- Hiring Job Details: 1 sale, 1 freelance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491">
        <v>95</v>
      </c>
      <c r="AU491" t="inlineStr">
        <is>
          <t>0.95</t>
        </is>
      </c>
      <c r="AV491" t="inlineStr">
        <is>
          <t>15</t>
        </is>
      </c>
      <c r="AW491" t="inlineStr">
        <is>
          <t>0</t>
        </is>
      </c>
      <c r="AX491" t="inlineStr">
        <is>
          <t>Not Qualified</t>
        </is>
      </c>
      <c r="AY491" s="4"/>
      <c r="AZ491"/>
      <c r="BA491"/>
      <c r="BB491"/>
      <c r="BC491" t="inlineStr">
        <is>
          <t>invoice send</t>
        </is>
      </c>
      <c r="BD491" s="4">
        <v>46142.65224537037</v>
      </c>
      <c r="BE491" t="inlineStr">
        <is>
          <t>pending</t>
        </is>
      </c>
      <c r="BF491"/>
      <c r="BG491" t="inlineStr">
        <is>
          <t>Reschedule</t>
        </is>
      </c>
      <c r="BH491" t="inlineStr">
        <is>
          <t>Yee Hang</t>
        </is>
      </c>
      <c r="BI491" t="inlineStr">
        <is>
          <t>Architecture / Interior Design</t>
        </is>
      </c>
      <c r="BJ491" s="4">
        <v>46144.751921296294</v>
      </c>
      <c r="BK491" s="4">
        <v>45541.45788194444</v>
      </c>
      <c r="BL491" t="inlineStr">
        <is>
          <t>0.0</t>
        </is>
      </c>
      <c r="BM491" t="inlineStr">
        <is>
          <t>0.0</t>
        </is>
      </c>
      <c r="BN491" t="inlineStr">
        <is>
          <t>User Visit(Logged In)</t>
        </is>
      </c>
      <c r="BO491" s="4">
        <v>46142.75104166667</v>
      </c>
      <c r="BP491">
        <v>169606</v>
      </c>
      <c r="BQ491">
        <v>124206</v>
      </c>
      <c r="BR491" t="inlineStr">
        <is>
          <t>Proforma</t>
        </is>
      </c>
      <c r="BS491" t="inlineStr">
        <is>
          <t>AI Yearly Standard Plan (Jan 26)</t>
        </is>
      </c>
      <c r="BT491">
        <v>73173</v>
      </c>
      <c r="BU491"/>
      <c r="BV491">
        <v>2738000</v>
      </c>
      <c r="BW491" t="inlineStr">
        <is>
          <t>Follow Up : Invoice Sent 75%</t>
        </is>
      </c>
      <c r="BX491"/>
      <c r="BY491"/>
      <c r="BZ491" s="4"/>
      <c r="CA491"/>
      <c r="CB491"/>
      <c r="CC491" s="4"/>
      <c r="CD491" t="inlineStr">
        <is>
          <t>20</t>
        </is>
      </c>
      <c r="CE491" t="inlineStr">
        <is>
          <t>0</t>
        </is>
      </c>
      <c r="CF491" t="inlineStr">
        <is>
          <t>Q2-W04</t>
        </is>
      </c>
      <c r="CG491" t="inlineStr">
        <is>
          <t>Q2-W04</t>
        </is>
      </c>
      <c r="CH491"/>
      <c r="CI491"/>
      <c r="CJ491" t="inlineStr">
        <is>
          <t>Paid</t>
        </is>
      </c>
      <c r="CK491" t="inlineStr">
        <is>
          <t>Not Eligible</t>
        </is>
      </c>
      <c r="CL491"/>
      <c r="CM491"/>
    </row>
    <row r="492" ht="25.5" customHeight="1">
      <c r="A492" t="inlineStr">
        <is>
          <t>4332618</t>
        </is>
      </c>
      <c r="B492" s="2"/>
      <c r="C492"/>
      <c r="D492" s="3">
        <v>46142.4203587963</v>
      </c>
      <c r="E492" t="inlineStr">
        <is>
          <t>Q2-W04</t>
        </is>
      </c>
      <c r="F492" t="inlineStr">
        <is>
          <t>Xin Hui</t>
        </is>
      </c>
      <c r="G492" t="inlineStr">
        <is>
          <t>Lead</t>
        </is>
      </c>
      <c r="H492" s="2" t="str">
        <f>=HYPERLINK("https://upbox.ajobthing.my/leads/4332618", "https://upbox.ajobthing.my/leads/4332618")</f>
        <v>https://upbox.ajobthing.my/leads/4332618</v>
      </c>
      <c r="I492" t="inlineStr">
        <is>
          <t>Value Food Sdn Bhd</t>
        </is>
      </c>
      <c r="J492" t="inlineStr">
        <is>
          <t>Small Fish</t>
        </is>
      </c>
      <c r="K492" t="inlineStr">
        <is>
          <t>Xin Hui</t>
        </is>
      </c>
      <c r="L492" s="4"/>
      <c r="M492" s="4">
        <v>46142.41483796296</v>
      </c>
      <c r="N492"/>
      <c r="O492">
        <v>3888</v>
      </c>
      <c r="P492" s="4"/>
      <c r="Q492" s="4"/>
      <c r="R492"/>
      <c r="S492"/>
      <c r="T492" s="4"/>
      <c r="U492" s="4"/>
      <c r="V492"/>
      <c r="W492"/>
      <c r="X492"/>
      <c r="Y492" t="inlineStr">
        <is>
          <t>Pending Appointment</t>
        </is>
      </c>
      <c r="Z492" t="inlineStr">
        <is>
          <t>Hiring Now</t>
        </is>
      </c>
      <c r="AA492">
        <v>1</v>
      </c>
      <c r="AB492" t="inlineStr">
        <is>
          <t>No Appointment Made</t>
        </is>
      </c>
      <c r="AC492"/>
      <c r="AD492" t="inlineStr">
        <is>
          <t>sales</t>
        </is>
      </c>
      <c r="AE492"/>
      <c r="AF492"/>
      <c r="AG492" s="4"/>
      <c r="AH492" s="4"/>
      <c r="AI492"/>
      <c r="AJ492"/>
      <c r="AK492" t="inlineStr">
        <is>
          <t>No, I don't need at all</t>
        </is>
      </c>
      <c r="AL492"/>
      <c r="AM492" t="inlineStr">
        <is>
          <t>No, I don't need at all</t>
        </is>
      </c>
      <c r="AN492"/>
      <c r="AO492" t="inlineStr">
        <is>
          <t>No, I don't need at all</t>
        </is>
      </c>
      <c r="AP492" t="inlineStr">
        <is>
          <t>Once a year (25%)</t>
        </is>
      </c>
      <c r="AQ492"/>
      <c r="AR492" t="inlineStr">
        <is>
          <t>Indeed (Paid)</t>
        </is>
      </c>
      <c r="AS492" t="inlineStr">
        <is>
          <t>- Headcount: 1
- Hiring Job Details: sales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Indeed (Paid)</t>
        </is>
      </c>
      <c r="AT492">
        <v>75</v>
      </c>
      <c r="AU492" t="inlineStr">
        <is>
          <t>0.75</t>
        </is>
      </c>
      <c r="AV492" t="inlineStr">
        <is>
          <t>5</t>
        </is>
      </c>
      <c r="AW492" t="inlineStr">
        <is>
          <t>0</t>
        </is>
      </c>
      <c r="AX492" t="inlineStr">
        <is>
          <t>Not Qualified</t>
        </is>
      </c>
      <c r="AY492" s="4"/>
      <c r="AZ492"/>
      <c r="BA492"/>
      <c r="BB492"/>
      <c r="BC492"/>
      <c r="BD492" s="4"/>
      <c r="BE492"/>
      <c r="BF492"/>
      <c r="BG492" t="inlineStr">
        <is>
          <t>Reschedule</t>
        </is>
      </c>
      <c r="BH492" t="inlineStr">
        <is>
          <t>Yee Hang</t>
        </is>
      </c>
      <c r="BI492"/>
      <c r="BJ492" s="4">
        <v>46144.755949074075</v>
      </c>
      <c r="BK492" s="4">
        <v>46141.76219907407</v>
      </c>
      <c r="BL492" t="inlineStr">
        <is>
          <t>0.0</t>
        </is>
      </c>
      <c r="BM492" t="inlineStr">
        <is>
          <t>0.0</t>
        </is>
      </c>
      <c r="BN492"/>
      <c r="BO492" s="4"/>
      <c r="BP492">
        <v>169603</v>
      </c>
      <c r="BQ492"/>
      <c r="BR492"/>
      <c r="BS492"/>
      <c r="BT492"/>
      <c r="BU492"/>
      <c r="BV492"/>
      <c r="BW492"/>
      <c r="BX492"/>
      <c r="BY492"/>
      <c r="BZ492" s="4"/>
      <c r="CA492"/>
      <c r="CB492"/>
      <c r="CC492" s="4"/>
      <c r="CD492" t="inlineStr">
        <is>
          <t>5</t>
        </is>
      </c>
      <c r="CE492" t="inlineStr">
        <is>
          <t>0</t>
        </is>
      </c>
      <c r="CF492" t="inlineStr">
        <is>
          <t>Q2-W04</t>
        </is>
      </c>
      <c r="CG492"/>
      <c r="CH492"/>
      <c r="CI492"/>
      <c r="CJ492" t="inlineStr">
        <is>
          <t>No Paid</t>
        </is>
      </c>
      <c r="CK492" t="inlineStr">
        <is>
          <t>Not Eligible</t>
        </is>
      </c>
      <c r="CL492"/>
      <c r="CM492"/>
    </row>
    <row r="493" ht="25.5" customHeight="1">
      <c r="A493" t="inlineStr">
        <is>
          <t>203816</t>
        </is>
      </c>
      <c r="B493" s="2"/>
      <c r="C493"/>
      <c r="D493" s="3">
        <v>46142.434953703705</v>
      </c>
      <c r="E493" t="inlineStr">
        <is>
          <t>Q2-W04</t>
        </is>
      </c>
      <c r="F493" t="inlineStr">
        <is>
          <t>Carmen</t>
        </is>
      </c>
      <c r="G493" t="inlineStr">
        <is>
          <t>Customer</t>
        </is>
      </c>
      <c r="H493" s="2" t="str">
        <f>=HYPERLINK("https://upbox.ajobthing.my/customer/203816", "https://upbox.ajobthing.my/customer/203816")</f>
        <v>https://upbox.ajobthing.my/customer/203816</v>
      </c>
      <c r="I493" t="inlineStr">
        <is>
          <t>VigoHomes Realty Sdn Bhd</t>
        </is>
      </c>
      <c r="J493" t="inlineStr">
        <is>
          <t>Small Fish</t>
        </is>
      </c>
      <c r="K493" t="inlineStr">
        <is>
          <t>Carmen</t>
        </is>
      </c>
      <c r="L493" s="4"/>
      <c r="M493" s="4">
        <v>46142.09846064815</v>
      </c>
      <c r="N493"/>
      <c r="O493">
        <v>3888</v>
      </c>
      <c r="P493" s="4"/>
      <c r="Q493" s="4"/>
      <c r="R493"/>
      <c r="S493"/>
      <c r="T493" s="4"/>
      <c r="U493" s="4"/>
      <c r="V493"/>
      <c r="W493"/>
      <c r="X493"/>
      <c r="Y493" t="inlineStr">
        <is>
          <t>Pending Appointment</t>
        </is>
      </c>
      <c r="Z493" t="inlineStr">
        <is>
          <t>Hiring Now</t>
        </is>
      </c>
      <c r="AA493">
        <v>12</v>
      </c>
      <c r="AB493" t="inlineStr">
        <is>
          <t>No Appointment Made</t>
        </is>
      </c>
      <c r="AC493"/>
      <c r="AD493" t="inlineStr">
        <is>
          <t>2 admin + customer support ; 10 property agent</t>
        </is>
      </c>
      <c r="AE493"/>
      <c r="AF493">
        <v>0</v>
      </c>
      <c r="AG493" s="4"/>
      <c r="AH493" s="4"/>
      <c r="AI493"/>
      <c r="AJ493"/>
      <c r="AK493"/>
      <c r="AL493"/>
      <c r="AM493"/>
      <c r="AN493"/>
      <c r="AO493"/>
      <c r="AP493"/>
      <c r="AQ493"/>
      <c r="AR493"/>
      <c r="AS493" t="inlineStr">
        <is>
          <t>- Headcount: 12
- Hiring Job Details: 2 admin + customer support ; 10 property agent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493">
        <v>75</v>
      </c>
      <c r="AU493" t="inlineStr">
        <is>
          <t>0.75</t>
        </is>
      </c>
      <c r="AV493" t="inlineStr">
        <is>
          <t>25</t>
        </is>
      </c>
      <c r="AW493" t="inlineStr">
        <is>
          <t>0</t>
        </is>
      </c>
      <c r="AX493" t="inlineStr">
        <is>
          <t>Not Qualified</t>
        </is>
      </c>
      <c r="AY493" s="4"/>
      <c r="AZ493"/>
      <c r="BA493"/>
      <c r="BB493"/>
      <c r="BC493" t="inlineStr">
        <is>
          <t>- Headcount: 12
- Hiring Job Details: 2 admin + customer support ; 10 property agent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BD493" s="4">
        <v>46142.458969907406</v>
      </c>
      <c r="BE493"/>
      <c r="BF493"/>
      <c r="BG493" t="inlineStr">
        <is>
          <t>Reschedule</t>
        </is>
      </c>
      <c r="BH493" t="inlineStr">
        <is>
          <t>Reagen</t>
        </is>
      </c>
      <c r="BI493"/>
      <c r="BJ493" s="4">
        <v>46144.7544212963</v>
      </c>
      <c r="BK493" s="4">
        <v>46142.43177083333</v>
      </c>
      <c r="BL493" t="inlineStr">
        <is>
          <t>0.0</t>
        </is>
      </c>
      <c r="BM493" t="inlineStr">
        <is>
          <t>0.0</t>
        </is>
      </c>
      <c r="BN493"/>
      <c r="BO493" s="4"/>
      <c r="BP493">
        <v>169612</v>
      </c>
      <c r="BQ493"/>
      <c r="BR493"/>
      <c r="BS493"/>
      <c r="BT493"/>
      <c r="BU493"/>
      <c r="BV493">
        <v>2736944</v>
      </c>
      <c r="BW493" t="inlineStr">
        <is>
          <t>Customer Inquiry</t>
        </is>
      </c>
      <c r="BX493"/>
      <c r="BY493"/>
      <c r="BZ493" s="4"/>
      <c r="CA493"/>
      <c r="CB493"/>
      <c r="CC493" s="4"/>
      <c r="CD493" t="inlineStr">
        <is>
          <t>35</t>
        </is>
      </c>
      <c r="CE493" t="inlineStr">
        <is>
          <t>0</t>
        </is>
      </c>
      <c r="CF493" t="inlineStr">
        <is>
          <t>Q2-W04</t>
        </is>
      </c>
      <c r="CG493"/>
      <c r="CH493"/>
      <c r="CI493"/>
      <c r="CJ493" t="inlineStr">
        <is>
          <t>No Paid</t>
        </is>
      </c>
      <c r="CK493" t="inlineStr">
        <is>
          <t>Eligible</t>
        </is>
      </c>
      <c r="CL493"/>
      <c r="CM493"/>
    </row>
    <row r="494" ht="25.5" customHeight="1">
      <c r="A494" t="inlineStr">
        <is>
          <t>162895</t>
        </is>
      </c>
      <c r="B494" s="2"/>
      <c r="C494"/>
      <c r="D494" s="3">
        <v>46142.4452662037</v>
      </c>
      <c r="E494" t="inlineStr">
        <is>
          <t>Q2-W04</t>
        </is>
      </c>
      <c r="F494" t="inlineStr">
        <is>
          <t>Guest User 68828</t>
        </is>
      </c>
      <c r="G494" t="inlineStr">
        <is>
          <t>Customer</t>
        </is>
      </c>
      <c r="H494" s="2" t="str">
        <f>=HYPERLINK("https://upbox.ajobthing.my/customer/162895", "https://upbox.ajobthing.my/customer/162895")</f>
        <v>https://upbox.ajobthing.my/customer/162895</v>
      </c>
      <c r="I494" t="inlineStr">
        <is>
          <t xml:space="preserve"> mifb Consultant</t>
        </is>
      </c>
      <c r="J494" t="inlineStr">
        <is>
          <t>Small Fish</t>
        </is>
      </c>
      <c r="K494" t="inlineStr">
        <is>
          <t>Jia Hui</t>
        </is>
      </c>
      <c r="L494" s="4"/>
      <c r="M494" s="4">
        <v>46142.44534722222</v>
      </c>
      <c r="N494"/>
      <c r="O494">
        <v>3888</v>
      </c>
      <c r="P494" s="4"/>
      <c r="Q494" s="4"/>
      <c r="R494"/>
      <c r="S494"/>
      <c r="T494" s="4"/>
      <c r="U494" s="4"/>
      <c r="V494"/>
      <c r="W494"/>
      <c r="X494"/>
      <c r="Y494" t="inlineStr">
        <is>
          <t>Pending Appointment</t>
        </is>
      </c>
      <c r="Z494" t="inlineStr">
        <is>
          <t>Hiring Now</t>
        </is>
      </c>
      <c r="AA494">
        <v>2</v>
      </c>
      <c r="AB494" t="inlineStr">
        <is>
          <t>No Appointment Made</t>
        </is>
      </c>
      <c r="AC494"/>
      <c r="AD494" t="inlineStr">
        <is>
          <t>1 finance executive, 1 supermarket supervisor</t>
        </is>
      </c>
      <c r="AE494"/>
      <c r="AF494">
        <v>500</v>
      </c>
      <c r="AG494" s="4"/>
      <c r="AH494" s="4"/>
      <c r="AI494"/>
      <c r="AJ494"/>
      <c r="AK494" t="inlineStr">
        <is>
          <t>Yes, I have</t>
        </is>
      </c>
      <c r="AL494"/>
      <c r="AM494"/>
      <c r="AN494"/>
      <c r="AO494"/>
      <c r="AP494" t="inlineStr">
        <is>
          <t>Once a year (25%)</t>
        </is>
      </c>
      <c r="AQ494"/>
      <c r="AR494"/>
      <c r="AS494" t="inlineStr">
        <is>
          <t>- Headcount: 2
- Hiring Job Details: 1 finance executive, 1 supermarket supervisor
- Hiring Urgency: Hiring Now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494">
        <v>95</v>
      </c>
      <c r="AU494" t="inlineStr">
        <is>
          <t>0.95</t>
        </is>
      </c>
      <c r="AV494" t="inlineStr">
        <is>
          <t>15</t>
        </is>
      </c>
      <c r="AW494" t="inlineStr">
        <is>
          <t>0</t>
        </is>
      </c>
      <c r="AX494" t="inlineStr">
        <is>
          <t>Not Qualified</t>
        </is>
      </c>
      <c r="AY494" s="4"/>
      <c r="AZ494"/>
      <c r="BA494"/>
      <c r="BB494"/>
      <c r="BC494" t="inlineStr">
        <is>
          <t>- Headcount: 2
- Hiring Job Details: 1 finance executive, 1 supermarket supervisor
- Hiring Urgency: Hiring Now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BD494" s="4">
        <v>46142.45898148148</v>
      </c>
      <c r="BE494"/>
      <c r="BF494"/>
      <c r="BG494" t="inlineStr">
        <is>
          <t>Reschedule</t>
        </is>
      </c>
      <c r="BH494"/>
      <c r="BI494"/>
      <c r="BJ494" s="4">
        <v>46144.751180555555</v>
      </c>
      <c r="BK494" s="4">
        <v>44909.46364583333</v>
      </c>
      <c r="BL494" t="inlineStr">
        <is>
          <t>0.0</t>
        </is>
      </c>
      <c r="BM494" t="inlineStr">
        <is>
          <t>0.0</t>
        </is>
      </c>
      <c r="BN494" t="inlineStr">
        <is>
          <t>User Register</t>
        </is>
      </c>
      <c r="BO494" s="4">
        <v>44909.46366898148</v>
      </c>
      <c r="BP494">
        <v>169625</v>
      </c>
      <c r="BQ494"/>
      <c r="BR494"/>
      <c r="BS494"/>
      <c r="BT494"/>
      <c r="BU494"/>
      <c r="BV494">
        <v>2736954</v>
      </c>
      <c r="BW494" t="inlineStr">
        <is>
          <t>Customer Inquiry</t>
        </is>
      </c>
      <c r="BX494"/>
      <c r="BY494"/>
      <c r="BZ494" s="4"/>
      <c r="CA494"/>
      <c r="CB494"/>
      <c r="CC494" s="4"/>
      <c r="CD494" t="inlineStr">
        <is>
          <t>20</t>
        </is>
      </c>
      <c r="CE494" t="inlineStr">
        <is>
          <t>0</t>
        </is>
      </c>
      <c r="CF494" t="inlineStr">
        <is>
          <t>Q2-W04</t>
        </is>
      </c>
      <c r="CG494"/>
      <c r="CH494"/>
      <c r="CI494"/>
      <c r="CJ494" t="inlineStr">
        <is>
          <t>No Paid</t>
        </is>
      </c>
      <c r="CK494" t="inlineStr">
        <is>
          <t>Not Eligible</t>
        </is>
      </c>
      <c r="CL494"/>
      <c r="CM494"/>
    </row>
    <row r="495" ht="25.5" customHeight="1">
      <c r="A495" t="inlineStr">
        <is>
          <t>4334644</t>
        </is>
      </c>
      <c r="B495" s="2"/>
      <c r="C495"/>
      <c r="D495" s="3">
        <v>46142.45570601852</v>
      </c>
      <c r="E495" t="inlineStr">
        <is>
          <t>Q2-W04</t>
        </is>
      </c>
      <c r="F495" t="inlineStr">
        <is>
          <t>Dickson</t>
        </is>
      </c>
      <c r="G495" t="inlineStr">
        <is>
          <t>Lead</t>
        </is>
      </c>
      <c r="H495" s="2" t="str">
        <f>=HYPERLINK("https://upbox.ajobthing.my/leads/4334644", "https://upbox.ajobthing.my/leads/4334644")</f>
        <v>https://upbox.ajobthing.my/leads/4334644</v>
      </c>
      <c r="I495" t="inlineStr">
        <is>
          <t>Altos Recruitment</t>
        </is>
      </c>
      <c r="J495" t="inlineStr">
        <is>
          <t>Small Fish</t>
        </is>
      </c>
      <c r="K495" t="inlineStr">
        <is>
          <t>Dickson</t>
        </is>
      </c>
      <c r="L495" s="4"/>
      <c r="M495" s="4">
        <v>46142.45637731482</v>
      </c>
      <c r="N495"/>
      <c r="O495">
        <v>3456</v>
      </c>
      <c r="P495" s="4"/>
      <c r="Q495" s="4"/>
      <c r="R495"/>
      <c r="S495"/>
      <c r="T495" s="4"/>
      <c r="U495" s="4"/>
      <c r="V495"/>
      <c r="W495"/>
      <c r="X495"/>
      <c r="Y495" t="inlineStr">
        <is>
          <t>Pending Appointment</t>
        </is>
      </c>
      <c r="Z495" t="inlineStr">
        <is>
          <t>Hiring Now</t>
        </is>
      </c>
      <c r="AA495">
        <v>10</v>
      </c>
      <c r="AB495" t="inlineStr">
        <is>
          <t>No Appointment Made</t>
        </is>
      </c>
      <c r="AC495"/>
      <c r="AD495" t="inlineStr">
        <is>
          <t>10 digital marketing executive but customer prefer candidate searching</t>
        </is>
      </c>
      <c r="AE495"/>
      <c r="AF495"/>
      <c r="AG495" s="4"/>
      <c r="AH495" s="4"/>
      <c r="AI495"/>
      <c r="AJ495">
        <v>1</v>
      </c>
      <c r="AK495" t="inlineStr">
        <is>
          <t>No, I don't need at all</t>
        </is>
      </c>
      <c r="AL495"/>
      <c r="AM495" t="inlineStr">
        <is>
          <t>No, I don't need at all</t>
        </is>
      </c>
      <c r="AN495"/>
      <c r="AO495" t="inlineStr">
        <is>
          <t>No, I don't need at all</t>
        </is>
      </c>
      <c r="AP495" t="inlineStr">
        <is>
          <t>Once per quarter (75%)</t>
        </is>
      </c>
      <c r="AQ495"/>
      <c r="AR495" t="inlineStr">
        <is>
          <t>Jobstreet, Free Job Portal</t>
        </is>
      </c>
      <c r="AS495" t="inlineStr">
        <is>
          <t>- Headcount: 10
- Hiring Job Details: 10 digital marketing executive but customer prefer candidate searching
- Hiring Urgency: Hiring Now
- Number of outlets: 1
- Have recruiter team: No, I don't need at all
- Number of recruiter in company: None
- Have ATS system: No, I don't need at all
- Have career website: No, I don't need at all
- Current hiring budget: None
- Whole year budget: None
- Whole year number of vacancies: None
- Hiring frequency: Once per quarter (75%)
- External job portal: Jobstreet, Free Job Portal</t>
        </is>
      </c>
      <c r="AT495">
        <v>95</v>
      </c>
      <c r="AU495" t="inlineStr">
        <is>
          <t>0.95</t>
        </is>
      </c>
      <c r="AV495" t="inlineStr">
        <is>
          <t>10</t>
        </is>
      </c>
      <c r="AW495" t="inlineStr">
        <is>
          <t>0</t>
        </is>
      </c>
      <c r="AX495" t="inlineStr">
        <is>
          <t>Not Qualified</t>
        </is>
      </c>
      <c r="AY495" s="4"/>
      <c r="AZ495"/>
      <c r="BA495"/>
      <c r="BB495"/>
      <c r="BC495"/>
      <c r="BD495" s="4"/>
      <c r="BE495"/>
      <c r="BF495"/>
      <c r="BG495" t="inlineStr">
        <is>
          <t>Reschedule</t>
        </is>
      </c>
      <c r="BH495" t="inlineStr">
        <is>
          <t>Edward Hoo</t>
        </is>
      </c>
      <c r="BI495"/>
      <c r="BJ495" s="4">
        <v>46144.755949074075</v>
      </c>
      <c r="BK495" s="4">
        <v>46142.35855324074</v>
      </c>
      <c r="BL495" t="inlineStr">
        <is>
          <t>0.0</t>
        </is>
      </c>
      <c r="BM495" t="inlineStr">
        <is>
          <t>0.0</t>
        </is>
      </c>
      <c r="BN495"/>
      <c r="BO495" s="4"/>
      <c r="BP495">
        <v>169637</v>
      </c>
      <c r="BQ495"/>
      <c r="BR495"/>
      <c r="BS495"/>
      <c r="BT495"/>
      <c r="BU495"/>
      <c r="BV495"/>
      <c r="BW495"/>
      <c r="BX495"/>
      <c r="BY495"/>
      <c r="BZ495" s="4"/>
      <c r="CA495"/>
      <c r="CB495"/>
      <c r="CC495" s="4"/>
      <c r="CD495" t="inlineStr">
        <is>
          <t>15</t>
        </is>
      </c>
      <c r="CE495" t="inlineStr">
        <is>
          <t>0</t>
        </is>
      </c>
      <c r="CF495" t="inlineStr">
        <is>
          <t>Q2-W04</t>
        </is>
      </c>
      <c r="CG495"/>
      <c r="CH495"/>
      <c r="CI495"/>
      <c r="CJ495" t="inlineStr">
        <is>
          <t>No Paid</t>
        </is>
      </c>
      <c r="CK495" t="inlineStr">
        <is>
          <t>Eligible</t>
        </is>
      </c>
      <c r="CL495"/>
      <c r="CM495"/>
    </row>
    <row r="496" ht="25.5" customHeight="1">
      <c r="A496" t="inlineStr">
        <is>
          <t>203822</t>
        </is>
      </c>
      <c r="B496" s="2"/>
      <c r="C496"/>
      <c r="D496" s="3">
        <v>46142.4634375</v>
      </c>
      <c r="E496" t="inlineStr">
        <is>
          <t>Q2-W04</t>
        </is>
      </c>
      <c r="F496" t="inlineStr">
        <is>
          <t>Clover</t>
        </is>
      </c>
      <c r="G496" t="inlineStr">
        <is>
          <t>Customer</t>
        </is>
      </c>
      <c r="H496" s="2" t="str">
        <f>=HYPERLINK("https://upbox.ajobthing.my/customer/203822", "https://upbox.ajobthing.my/customer/203822")</f>
        <v>https://upbox.ajobthing.my/customer/203822</v>
      </c>
      <c r="I496" t="inlineStr">
        <is>
          <t>Lacta</t>
        </is>
      </c>
      <c r="J496" t="inlineStr">
        <is>
          <t>Small Fish</t>
        </is>
      </c>
      <c r="K496" t="inlineStr">
        <is>
          <t>Clover</t>
        </is>
      </c>
      <c r="L496" s="4"/>
      <c r="M496" s="4">
        <v>46142.46388888889</v>
      </c>
      <c r="N496"/>
      <c r="O496">
        <v>5412.96</v>
      </c>
      <c r="P496" s="4"/>
      <c r="Q496" s="4"/>
      <c r="R496"/>
      <c r="S496"/>
      <c r="T496" s="4"/>
      <c r="U496" s="4"/>
      <c r="V496"/>
      <c r="W496"/>
      <c r="X496"/>
      <c r="Y496" t="inlineStr">
        <is>
          <t>Pending Appointment</t>
        </is>
      </c>
      <c r="Z496" t="inlineStr">
        <is>
          <t>Hiring Later</t>
        </is>
      </c>
      <c r="AA496">
        <v>6</v>
      </c>
      <c r="AB496" t="inlineStr">
        <is>
          <t>No Appointment Made</t>
        </is>
      </c>
      <c r="AC496"/>
      <c r="AD496" t="inlineStr">
        <is>
          <t>hi re selsas exec x1-2, sales manager x1-2, marketing exec x1-2, chi only,  wholesale kl, suggest pro</t>
        </is>
      </c>
      <c r="AE496"/>
      <c r="AF496">
        <v>5000</v>
      </c>
      <c r="AG496" s="4"/>
      <c r="AH496" s="4"/>
      <c r="AI496">
        <v>5000</v>
      </c>
      <c r="AJ496">
        <v>1</v>
      </c>
      <c r="AK496" t="inlineStr">
        <is>
          <t>No, but I want in future</t>
        </is>
      </c>
      <c r="AL496">
        <v>1</v>
      </c>
      <c r="AM496" t="inlineStr">
        <is>
          <t>No, but I want in future</t>
        </is>
      </c>
      <c r="AN496"/>
      <c r="AO496" t="inlineStr">
        <is>
          <t>No, but I want in future</t>
        </is>
      </c>
      <c r="AP496" t="inlineStr">
        <is>
          <t>Once per quarter (75%)</t>
        </is>
      </c>
      <c r="AQ496">
        <v>5</v>
      </c>
      <c r="AR496" t="inlineStr">
        <is>
          <t>Did not use any job portal</t>
        </is>
      </c>
      <c r="AS496" t="inlineStr">
        <is>
          <t>- Headcount: Not specified
- Hiring job details: hi re selsas exec x1-2, marketing exec x1-2, wholesale kl only
- Number of outlets: 1
- Have recruiter team: No, but want in future
- Number of recruiters: 1
- Have ATS system: No, but want in future
- Have career website: No, but want in future
- Current hiring budget: RM1,0:0,02-.:
-:
--:
-:
-:
-
-: 5:
-:
-:
-
-:
-
-:
-
-:
-::This is a multiple-choice of for example, if the job is completed by: we need to write a summary.
Here's the formatted output:
- Headcount: Not specified
- Number of outlets: 1
- Have a recruiter: No (since the recruiter is not specified, but the context is not specified.
- Number of recruiter: 1
- Current Hiring: 1
- Current hiring status: 1
- Current hiring budget: 5000
- Total hiring budget: 5000
- Hiring frequency: 1
- Hiring status: 1
- Hiring time: 300
- Hiring status: Hiring Later
Wait, no, the user's format is fixed. Let's correct:
- Headcount: Not specified
- Hiring Job Details: hi re selsas exec x1-2, sales manager x1-2, marketing exec x1-2, chi only, wholesale kl,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Once per quarter (75%)
- External job portal: Did not use any
Wait, the user's example has specific labels. Let's adjust to match the example's</t>
        </is>
      </c>
      <c r="AT496">
        <v>35</v>
      </c>
      <c r="AU496" t="inlineStr">
        <is>
          <t>0.35</t>
        </is>
      </c>
      <c r="AV496" t="inlineStr">
        <is>
          <t>20</t>
        </is>
      </c>
      <c r="AW496" t="inlineStr">
        <is>
          <t>0</t>
        </is>
      </c>
      <c r="AX496" t="inlineStr">
        <is>
          <t>Not Qualified</t>
        </is>
      </c>
      <c r="AY496" s="4"/>
      <c r="AZ496"/>
      <c r="BA496"/>
      <c r="BB496"/>
      <c r="BC496" t="inlineStr">
        <is>
          <t>- Headcount: Not specified
- Hiring job details: hi re selsas exec x1-2, marketing exec x1-2, wholesale kl only
- Number of outlets: 1
- Have recruiter team: No, but want in future
- Number of recruiters: 1
- Have ATS system: No, but want in future
- Have career website: No, but want in future
- Current hiring budget: RM1,0:0,02-.:
-:
--:
-:
-:
-
-: 5:
-:
-:
-
-:
-
-:
-
-:
-::This is a multiple-choice of for example, if the job is completed by: we need to write a summary.
Here's the formatted output:
- Headcount: Not specified
- Number of outlets: 1
- Have a recruiter: No (since the recruiter is not specified, but the context is not specified.
- Number of recruiter: 1
- Current Hiring: 1
- Current hiring status: 1
- Current hiring budget: 5000
- Total hiring budget: 5000
- Hiring frequency: 1
- Hiring status: 1
- Hiring time: 300
- Hiring status: Hiring Later
Wait, no, the user's format is fixed. Let's correct:
- Headcount: Not specified
- Hiring Job Details: hi re selsas exec x1-2, sales manager x1-2, marketing exec x1-2, chi only, wholesale kl,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Once per quarter (75%)
- External job portal: Did not use any
Wait, the user's example has specific labels. Let's adjust to match the example's</t>
        </is>
      </c>
      <c r="BD496" s="4">
        <v>46142.500023148146</v>
      </c>
      <c r="BE496"/>
      <c r="BF496"/>
      <c r="BG496" t="inlineStr">
        <is>
          <t>Reschedule</t>
        </is>
      </c>
      <c r="BH496" t="inlineStr">
        <is>
          <t>Reagen</t>
        </is>
      </c>
      <c r="BI496"/>
      <c r="BJ496" s="4">
        <v>46144.7544212963</v>
      </c>
      <c r="BK496" s="4">
        <v>46142.459444444445</v>
      </c>
      <c r="BL496" t="inlineStr">
        <is>
          <t>0.0</t>
        </is>
      </c>
      <c r="BM496" t="inlineStr">
        <is>
          <t>0.0</t>
        </is>
      </c>
      <c r="BN496"/>
      <c r="BO496" s="4"/>
      <c r="BP496">
        <v>169641</v>
      </c>
      <c r="BQ496"/>
      <c r="BR496"/>
      <c r="BS496"/>
      <c r="BT496"/>
      <c r="BU496"/>
      <c r="BV496">
        <v>2737290</v>
      </c>
      <c r="BW496" t="inlineStr">
        <is>
          <t>Customer Inquiry</t>
        </is>
      </c>
      <c r="BX496"/>
      <c r="BY496"/>
      <c r="BZ496" s="4"/>
      <c r="CA496"/>
      <c r="CB496"/>
      <c r="CC496" s="4"/>
      <c r="CD496" t="inlineStr">
        <is>
          <t>30</t>
        </is>
      </c>
      <c r="CE496" t="inlineStr">
        <is>
          <t>0</t>
        </is>
      </c>
      <c r="CF496" t="inlineStr">
        <is>
          <t>Q2-W04</t>
        </is>
      </c>
      <c r="CG496"/>
      <c r="CH496"/>
      <c r="CI496"/>
      <c r="CJ496" t="inlineStr">
        <is>
          <t>No Paid</t>
        </is>
      </c>
      <c r="CK496" t="inlineStr">
        <is>
          <t>Not Eligible</t>
        </is>
      </c>
      <c r="CL496"/>
      <c r="CM496"/>
    </row>
    <row r="497" ht="25.5" customHeight="1">
      <c r="A497" t="inlineStr">
        <is>
          <t>4334955</t>
        </is>
      </c>
      <c r="B497" s="2"/>
      <c r="C497"/>
      <c r="D497" s="3">
        <v>46142.46773148148</v>
      </c>
      <c r="E497" t="inlineStr">
        <is>
          <t>Q2-W04</t>
        </is>
      </c>
      <c r="F497" t="inlineStr">
        <is>
          <t>Lucas</t>
        </is>
      </c>
      <c r="G497" t="inlineStr">
        <is>
          <t>Lead</t>
        </is>
      </c>
      <c r="H497" s="2" t="str">
        <f>=HYPERLINK("https://upbox.ajobthing.my/leads/4334955", "https://upbox.ajobthing.my/leads/4334955")</f>
        <v>https://upbox.ajobthing.my/leads/4334955</v>
      </c>
      <c r="I497" t="inlineStr">
        <is>
          <t>ETRA POWER SDN BHD</t>
        </is>
      </c>
      <c r="J497" t="inlineStr">
        <is>
          <t>Small Fish</t>
        </is>
      </c>
      <c r="K497" t="inlineStr">
        <is>
          <t>Lucas</t>
        </is>
      </c>
      <c r="L497" s="4"/>
      <c r="M497" s="4">
        <v>46142.46665509259</v>
      </c>
      <c r="N497"/>
      <c r="O497">
        <v>3576.96</v>
      </c>
      <c r="P497" s="4"/>
      <c r="Q497" s="4"/>
      <c r="R497"/>
      <c r="S497"/>
      <c r="T497" s="4"/>
      <c r="U497" s="4"/>
      <c r="V497"/>
      <c r="W497"/>
      <c r="X497"/>
      <c r="Y497" t="inlineStr">
        <is>
          <t>Pending Appointment</t>
        </is>
      </c>
      <c r="Z497" t="inlineStr">
        <is>
          <t>Hiring Now</t>
        </is>
      </c>
      <c r="AA497">
        <v>1</v>
      </c>
      <c r="AB497" t="inlineStr">
        <is>
          <t>No Appointment Made</t>
        </is>
      </c>
      <c r="AC497"/>
      <c r="AD497" t="inlineStr">
        <is>
          <t xml:space="preserve">1 accountant </t>
        </is>
      </c>
      <c r="AE497"/>
      <c r="AF497">
        <v>0</v>
      </c>
      <c r="AG497" s="4"/>
      <c r="AH497" s="4"/>
      <c r="AI497">
        <v>0</v>
      </c>
      <c r="AJ497">
        <v>0</v>
      </c>
      <c r="AK497" t="inlineStr">
        <is>
          <t>No, I don't need at all</t>
        </is>
      </c>
      <c r="AL497">
        <v>0</v>
      </c>
      <c r="AM497" t="inlineStr">
        <is>
          <t>No, I don't need at all</t>
        </is>
      </c>
      <c r="AN497"/>
      <c r="AO497" t="inlineStr">
        <is>
          <t>No, I don't need at all</t>
        </is>
      </c>
      <c r="AP497" t="inlineStr">
        <is>
          <t>Once a year (25%)</t>
        </is>
      </c>
      <c r="AQ497">
        <v>1</v>
      </c>
      <c r="AR497" t="inlineStr">
        <is>
          <t>Did not use any job portal</t>
        </is>
      </c>
      <c r="AS497" t="inlineStr">
        <is>
          <t>- Headcount: 1
- Hiring Job Details: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497">
        <v>105</v>
      </c>
      <c r="AU497" t="inlineStr">
        <is>
          <t>1.05</t>
        </is>
      </c>
      <c r="AV497" t="inlineStr">
        <is>
          <t>15</t>
        </is>
      </c>
      <c r="AW497" t="inlineStr">
        <is>
          <t>0</t>
        </is>
      </c>
      <c r="AX497" t="inlineStr">
        <is>
          <t>Not Qualified</t>
        </is>
      </c>
      <c r="AY497" s="4"/>
      <c r="AZ497"/>
      <c r="BA497"/>
      <c r="BB497"/>
      <c r="BC497"/>
      <c r="BD497" s="4"/>
      <c r="BE497"/>
      <c r="BF497"/>
      <c r="BG497" t="inlineStr">
        <is>
          <t>Reschedule</t>
        </is>
      </c>
      <c r="BH497" t="inlineStr">
        <is>
          <t>Yee Hang</t>
        </is>
      </c>
      <c r="BI497"/>
      <c r="BJ497" s="4">
        <v>46144.755949074075</v>
      </c>
      <c r="BK497" s="4">
        <v>46142.40887731482</v>
      </c>
      <c r="BL497" t="inlineStr">
        <is>
          <t>0.0</t>
        </is>
      </c>
      <c r="BM497" t="inlineStr">
        <is>
          <t>0.0</t>
        </is>
      </c>
      <c r="BN497"/>
      <c r="BO497" s="4"/>
      <c r="BP497">
        <v>169646</v>
      </c>
      <c r="BQ497"/>
      <c r="BR497"/>
      <c r="BS497"/>
      <c r="BT497"/>
      <c r="BU497"/>
      <c r="BV497"/>
      <c r="BW497"/>
      <c r="BX497"/>
      <c r="BY497"/>
      <c r="BZ497" s="4"/>
      <c r="CA497"/>
      <c r="CB497"/>
      <c r="CC497" s="4"/>
      <c r="CD497" t="inlineStr">
        <is>
          <t>20</t>
        </is>
      </c>
      <c r="CE497" t="inlineStr">
        <is>
          <t>0</t>
        </is>
      </c>
      <c r="CF497" t="inlineStr">
        <is>
          <t>Q2-W04</t>
        </is>
      </c>
      <c r="CG497"/>
      <c r="CH497"/>
      <c r="CI497"/>
      <c r="CJ497" t="inlineStr">
        <is>
          <t>No Paid</t>
        </is>
      </c>
      <c r="CK497" t="inlineStr">
        <is>
          <t>Not Eligible</t>
        </is>
      </c>
      <c r="CL497"/>
      <c r="CM497"/>
    </row>
    <row r="498" ht="25.5" customHeight="1">
      <c r="A498" t="inlineStr">
        <is>
          <t>47185</t>
        </is>
      </c>
      <c r="B498" s="2"/>
      <c r="C498"/>
      <c r="D498" s="3">
        <v>46142.46896990741</v>
      </c>
      <c r="E498" t="inlineStr">
        <is>
          <t>Q2-W04</t>
        </is>
      </c>
      <c r="F498" t="inlineStr">
        <is>
          <t>Dickson</t>
        </is>
      </c>
      <c r="G498" t="inlineStr">
        <is>
          <t>Customer</t>
        </is>
      </c>
      <c r="H498" s="2" t="str">
        <f>=HYPERLINK("https://upbox.ajobthing.my/customer/47185", "https://upbox.ajobthing.my/customer/47185")</f>
        <v>https://upbox.ajobthing.my/customer/47185</v>
      </c>
      <c r="I498" t="inlineStr">
        <is>
          <t>TECHNOHOUSE(M) Sdn Bhd</t>
        </is>
      </c>
      <c r="J498" t="inlineStr">
        <is>
          <t>Small Fish</t>
        </is>
      </c>
      <c r="K498" t="inlineStr">
        <is>
          <t>Dickson</t>
        </is>
      </c>
      <c r="L498" s="4"/>
      <c r="M498" s="4">
        <v>46142.469143518516</v>
      </c>
      <c r="N498"/>
      <c r="O498">
        <v>1296</v>
      </c>
      <c r="P498" s="4"/>
      <c r="Q498" s="4"/>
      <c r="R498"/>
      <c r="S498"/>
      <c r="T498" s="4"/>
      <c r="U498" s="4"/>
      <c r="V498"/>
      <c r="W498"/>
      <c r="X498"/>
      <c r="Y498" t="inlineStr">
        <is>
          <t>Pending Appointment</t>
        </is>
      </c>
      <c r="Z498" t="inlineStr">
        <is>
          <t>Hiring Now</t>
        </is>
      </c>
      <c r="AA498">
        <v>1</v>
      </c>
      <c r="AB498" t="inlineStr">
        <is>
          <t>No Appointment Made</t>
        </is>
      </c>
      <c r="AC498"/>
      <c r="AD498" t="inlineStr">
        <is>
          <t>1 operation assistant</t>
        </is>
      </c>
      <c r="AE498"/>
      <c r="AF498"/>
      <c r="AG498" s="4"/>
      <c r="AH498" s="4"/>
      <c r="AI498"/>
      <c r="AJ498">
        <v>1</v>
      </c>
      <c r="AK498" t="inlineStr">
        <is>
          <t>No, I don't need at all</t>
        </is>
      </c>
      <c r="AL498"/>
      <c r="AM498" t="inlineStr">
        <is>
          <t>No, I don't need at all</t>
        </is>
      </c>
      <c r="AN498"/>
      <c r="AO498" t="inlineStr">
        <is>
          <t>No, I don't need at all</t>
        </is>
      </c>
      <c r="AP498" t="inlineStr">
        <is>
          <t>Once per quarter (75%)</t>
        </is>
      </c>
      <c r="AQ498"/>
      <c r="AR498"/>
      <c r="AS498" t="inlineStr">
        <is>
          <t>- Headcount: 1
- Hiring Job Details: 1 operation assistant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498">
        <v>95</v>
      </c>
      <c r="AU498" t="inlineStr">
        <is>
          <t>0.95</t>
        </is>
      </c>
      <c r="AV498" t="inlineStr">
        <is>
          <t>5</t>
        </is>
      </c>
      <c r="AW498" t="inlineStr">
        <is>
          <t>0</t>
        </is>
      </c>
      <c r="AX498" t="inlineStr">
        <is>
          <t>Not Qualified</t>
        </is>
      </c>
      <c r="AY498" s="4"/>
      <c r="AZ498"/>
      <c r="BA498"/>
      <c r="BB498"/>
      <c r="BC498" t="inlineStr">
        <is>
          <t>- Headcount: 1
- Hiring Job Details: 1 operation assistant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BD498" s="4">
        <v>46142.500023148146</v>
      </c>
      <c r="BE498"/>
      <c r="BF498"/>
      <c r="BG498" t="inlineStr">
        <is>
          <t>Reschedule</t>
        </is>
      </c>
      <c r="BH498" t="inlineStr">
        <is>
          <t>Edward Hoo</t>
        </is>
      </c>
      <c r="BI498"/>
      <c r="BJ498" s="4">
        <v>46144.756006944444</v>
      </c>
      <c r="BK498" s="4">
        <v>43182.608923611115</v>
      </c>
      <c r="BL498" t="inlineStr">
        <is>
          <t>0.0</t>
        </is>
      </c>
      <c r="BM498" t="inlineStr">
        <is>
          <t>0.0</t>
        </is>
      </c>
      <c r="BN498"/>
      <c r="BO498" s="4"/>
      <c r="BP498">
        <v>169647</v>
      </c>
      <c r="BQ498"/>
      <c r="BR498"/>
      <c r="BS498"/>
      <c r="BT498"/>
      <c r="BU498"/>
      <c r="BV498">
        <v>2737294</v>
      </c>
      <c r="BW498" t="inlineStr">
        <is>
          <t>Customer Inquiry</t>
        </is>
      </c>
      <c r="BX498"/>
      <c r="BY498"/>
      <c r="BZ498" s="4"/>
      <c r="CA498"/>
      <c r="CB498"/>
      <c r="CC498" s="4"/>
      <c r="CD498" t="inlineStr">
        <is>
          <t>5</t>
        </is>
      </c>
      <c r="CE498" t="inlineStr">
        <is>
          <t>0</t>
        </is>
      </c>
      <c r="CF498" t="inlineStr">
        <is>
          <t>Q2-W04</t>
        </is>
      </c>
      <c r="CG498"/>
      <c r="CH498"/>
      <c r="CI498"/>
      <c r="CJ498" t="inlineStr">
        <is>
          <t>No Paid</t>
        </is>
      </c>
      <c r="CK498" t="inlineStr">
        <is>
          <t>Not Eligible</t>
        </is>
      </c>
      <c r="CL498"/>
      <c r="CM498"/>
    </row>
    <row r="499" ht="25.5" customHeight="1">
      <c r="A499" t="inlineStr">
        <is>
          <t>186610</t>
        </is>
      </c>
      <c r="B499" s="2"/>
      <c r="C499"/>
      <c r="D499" s="3">
        <v>46142.476273148146</v>
      </c>
      <c r="E499" t="inlineStr">
        <is>
          <t>Q2-W04</t>
        </is>
      </c>
      <c r="F499" t="inlineStr">
        <is>
          <t>Xin Quan</t>
        </is>
      </c>
      <c r="G499" t="inlineStr">
        <is>
          <t>Customer</t>
        </is>
      </c>
      <c r="H499" s="2" t="str">
        <f>=HYPERLINK("https://upbox.ajobthing.my/customer/186610", "https://upbox.ajobthing.my/customer/186610")</f>
        <v>https://upbox.ajobthing.my/customer/186610</v>
      </c>
      <c r="I499" t="inlineStr">
        <is>
          <t>Amazing Sino (Kl) Sdn Bhd</t>
        </is>
      </c>
      <c r="J499" t="inlineStr">
        <is>
          <t>Small Fish</t>
        </is>
      </c>
      <c r="K499" t="inlineStr">
        <is>
          <t>Xin Quan</t>
        </is>
      </c>
      <c r="L499" s="4"/>
      <c r="M499" s="4">
        <v>46142.47650462963</v>
      </c>
      <c r="N499"/>
      <c r="O499">
        <v>3888</v>
      </c>
      <c r="P499" s="4"/>
      <c r="Q499" s="4"/>
      <c r="R499"/>
      <c r="S499"/>
      <c r="T499" s="4"/>
      <c r="U499" s="4"/>
      <c r="V499"/>
      <c r="W499"/>
      <c r="X499"/>
      <c r="Y499" t="inlineStr">
        <is>
          <t>Pending Appointment</t>
        </is>
      </c>
      <c r="Z499" t="inlineStr">
        <is>
          <t>Hiring Now</t>
        </is>
      </c>
      <c r="AA499">
        <v>1</v>
      </c>
      <c r="AB499" t="inlineStr">
        <is>
          <t>No Appointment Made</t>
        </is>
      </c>
      <c r="AC499"/>
      <c r="AD499" t="inlineStr">
        <is>
          <t>1 Admin , Base in KL</t>
        </is>
      </c>
      <c r="AE499"/>
      <c r="AF499">
        <v>2000</v>
      </c>
      <c r="AG499" s="4"/>
      <c r="AH499" s="4"/>
      <c r="AI499">
        <v>24000</v>
      </c>
      <c r="AJ499">
        <v>1</v>
      </c>
      <c r="AK499" t="inlineStr">
        <is>
          <t>No, I don't need at all</t>
        </is>
      </c>
      <c r="AL499">
        <v>1</v>
      </c>
      <c r="AM499" t="inlineStr">
        <is>
          <t>No, I don't need at all</t>
        </is>
      </c>
      <c r="AN499"/>
      <c r="AO499" t="inlineStr">
        <is>
          <t>No, I don't need at all</t>
        </is>
      </c>
      <c r="AP499" t="inlineStr">
        <is>
          <t>Once a year (25%)</t>
        </is>
      </c>
      <c r="AQ499">
        <v>1</v>
      </c>
      <c r="AR499"/>
      <c r="AS499" t="inlineStr">
        <is>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499">
        <v>115</v>
      </c>
      <c r="AU499" t="inlineStr">
        <is>
          <t>1.15</t>
        </is>
      </c>
      <c r="AV499" t="inlineStr">
        <is>
          <t>15</t>
        </is>
      </c>
      <c r="AW499" t="inlineStr">
        <is>
          <t>0</t>
        </is>
      </c>
      <c r="AX499" t="inlineStr">
        <is>
          <t>Not Qualified</t>
        </is>
      </c>
      <c r="AY499" s="4"/>
      <c r="AZ499"/>
      <c r="BA499"/>
      <c r="BB499"/>
      <c r="BC499" t="inlineStr">
        <is>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BD499" s="4">
        <v>46142.50003472222</v>
      </c>
      <c r="BE499"/>
      <c r="BF499"/>
      <c r="BG499" t="inlineStr">
        <is>
          <t>Reschedule</t>
        </is>
      </c>
      <c r="BH499" t="inlineStr">
        <is>
          <t>Edward Hoo</t>
        </is>
      </c>
      <c r="BI499"/>
      <c r="BJ499" s="4">
        <v>46144.752118055556</v>
      </c>
      <c r="BK499" s="4">
        <v>45666.45726851852</v>
      </c>
      <c r="BL499" t="inlineStr">
        <is>
          <t>0.0</t>
        </is>
      </c>
      <c r="BM499" t="inlineStr">
        <is>
          <t>0.0</t>
        </is>
      </c>
      <c r="BN499" t="inlineStr">
        <is>
          <t>View Company Page</t>
        </is>
      </c>
      <c r="BO499" s="4">
        <v>46035.68767361111</v>
      </c>
      <c r="BP499">
        <v>169651</v>
      </c>
      <c r="BQ499"/>
      <c r="BR499"/>
      <c r="BS499"/>
      <c r="BT499"/>
      <c r="BU499"/>
      <c r="BV499">
        <v>2737297</v>
      </c>
      <c r="BW499" t="inlineStr">
        <is>
          <t>Customer Inquiry</t>
        </is>
      </c>
      <c r="BX499"/>
      <c r="BY499"/>
      <c r="BZ499" s="4"/>
      <c r="CA499"/>
      <c r="CB499"/>
      <c r="CC499" s="4"/>
      <c r="CD499" t="inlineStr">
        <is>
          <t>20</t>
        </is>
      </c>
      <c r="CE499" t="inlineStr">
        <is>
          <t>0</t>
        </is>
      </c>
      <c r="CF499" t="inlineStr">
        <is>
          <t>Q2-W04</t>
        </is>
      </c>
      <c r="CG499"/>
      <c r="CH499"/>
      <c r="CI499"/>
      <c r="CJ499" t="inlineStr">
        <is>
          <t>No Paid</t>
        </is>
      </c>
      <c r="CK499" t="inlineStr">
        <is>
          <t>Not Eligible</t>
        </is>
      </c>
      <c r="CL499"/>
      <c r="CM499"/>
    </row>
    <row r="500" ht="25.5" customHeight="1">
      <c r="A500" t="inlineStr">
        <is>
          <t>203806</t>
        </is>
      </c>
      <c r="B500" s="2"/>
      <c r="C500"/>
      <c r="D500" s="3">
        <v>46142.47824074074</v>
      </c>
      <c r="E500" t="inlineStr">
        <is>
          <t>Q2-W04</t>
        </is>
      </c>
      <c r="F500" t="inlineStr">
        <is>
          <t>Josh</t>
        </is>
      </c>
      <c r="G500" t="inlineStr">
        <is>
          <t>Customer</t>
        </is>
      </c>
      <c r="H500" s="2" t="str">
        <f>=HYPERLINK("https://upbox.ajobthing.my/customer/203806", "https://upbox.ajobthing.my/customer/203806")</f>
        <v>https://upbox.ajobthing.my/customer/203806</v>
      </c>
      <c r="I500" t="inlineStr">
        <is>
          <t xml:space="preserve">Smart Reader Kids Taman Bukit Serdang </t>
        </is>
      </c>
      <c r="J500" t="inlineStr">
        <is>
          <t>Small Fish</t>
        </is>
      </c>
      <c r="K500" t="inlineStr">
        <is>
          <t>Josh</t>
        </is>
      </c>
      <c r="L500" s="4"/>
      <c r="M500" s="4">
        <v>46142.478472222225</v>
      </c>
      <c r="N500"/>
      <c r="O500">
        <v>864</v>
      </c>
      <c r="P500" s="4"/>
      <c r="Q500" s="4"/>
      <c r="R500"/>
      <c r="S500"/>
      <c r="T500" s="4"/>
      <c r="U500" s="4"/>
      <c r="V500"/>
      <c r="W500"/>
      <c r="X500"/>
      <c r="Y500" t="inlineStr">
        <is>
          <t>Pending Appointment</t>
        </is>
      </c>
      <c r="Z500" t="inlineStr">
        <is>
          <t>Hiring Now</t>
        </is>
      </c>
      <c r="AA500">
        <v>1</v>
      </c>
      <c r="AB500" t="inlineStr">
        <is>
          <t>No Appointment Made</t>
        </is>
      </c>
      <c r="AC500"/>
      <c r="AD500" t="inlineStr">
        <is>
          <t xml:space="preserve">1 teacher </t>
        </is>
      </c>
      <c r="AE500"/>
      <c r="AF500">
        <v>1000</v>
      </c>
      <c r="AG500" s="4"/>
      <c r="AH500" s="4"/>
      <c r="AI500"/>
      <c r="AJ500"/>
      <c r="AK500" t="inlineStr">
        <is>
          <t>Yes, I have</t>
        </is>
      </c>
      <c r="AL500"/>
      <c r="AM500"/>
      <c r="AN500"/>
      <c r="AO500"/>
      <c r="AP500" t="inlineStr">
        <is>
          <t>Once a year (25%)</t>
        </is>
      </c>
      <c r="AQ500"/>
      <c r="AR500"/>
      <c r="AS500" t="inlineStr">
        <is>
          <t>- Headcount: 1
- Hiring Job Details: 1 teacher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500">
        <v>70</v>
      </c>
      <c r="AU500" t="inlineStr">
        <is>
          <t>0.70</t>
        </is>
      </c>
      <c r="AV500" t="inlineStr">
        <is>
          <t>15</t>
        </is>
      </c>
      <c r="AW500" t="inlineStr">
        <is>
          <t>0</t>
        </is>
      </c>
      <c r="AX500" t="inlineStr">
        <is>
          <t>Not Qualified</t>
        </is>
      </c>
      <c r="AY500" s="4"/>
      <c r="AZ500"/>
      <c r="BA500"/>
      <c r="BB500"/>
      <c r="BC500" t="inlineStr">
        <is>
          <t>- Headcount: 1
- Hiring Job Details: 1 teacher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BD500" s="4">
        <v>46142.50003472222</v>
      </c>
      <c r="BE500"/>
      <c r="BF500"/>
      <c r="BG500" t="inlineStr">
        <is>
          <t>Reschedule</t>
        </is>
      </c>
      <c r="BH500" t="inlineStr">
        <is>
          <t>Fauziah Maharan</t>
        </is>
      </c>
      <c r="BI500"/>
      <c r="BJ500" s="4">
        <v>46144.75438657407</v>
      </c>
      <c r="BK500" s="4">
        <v>46141.95459490741</v>
      </c>
      <c r="BL500" t="inlineStr">
        <is>
          <t>0.0</t>
        </is>
      </c>
      <c r="BM500" t="inlineStr">
        <is>
          <t>0.0</t>
        </is>
      </c>
      <c r="BN500" t="inlineStr">
        <is>
          <t>View Account User</t>
        </is>
      </c>
      <c r="BO500" s="4">
        <v>46142.409097222226</v>
      </c>
      <c r="BP500">
        <v>169653</v>
      </c>
      <c r="BQ500"/>
      <c r="BR500"/>
      <c r="BS500"/>
      <c r="BT500"/>
      <c r="BU500"/>
      <c r="BV500">
        <v>2737299</v>
      </c>
      <c r="BW500" t="inlineStr">
        <is>
          <t>Customer Inquiry</t>
        </is>
      </c>
      <c r="BX500"/>
      <c r="BY500"/>
      <c r="BZ500" s="4"/>
      <c r="CA500"/>
      <c r="CB500"/>
      <c r="CC500" s="4"/>
      <c r="CD500" t="inlineStr">
        <is>
          <t>20</t>
        </is>
      </c>
      <c r="CE500" t="inlineStr">
        <is>
          <t>0</t>
        </is>
      </c>
      <c r="CF500" t="inlineStr">
        <is>
          <t>Q2-W04</t>
        </is>
      </c>
      <c r="CG500"/>
      <c r="CH500"/>
      <c r="CI500"/>
      <c r="CJ500" t="inlineStr">
        <is>
          <t>No Paid</t>
        </is>
      </c>
      <c r="CK500" t="inlineStr">
        <is>
          <t>Not Eligible</t>
        </is>
      </c>
      <c r="CL500"/>
      <c r="CM500"/>
    </row>
    <row r="501" ht="25.5" customHeight="1">
      <c r="A501" t="inlineStr">
        <is>
          <t>203812</t>
        </is>
      </c>
      <c r="B501" s="2"/>
      <c r="C501"/>
      <c r="D501" s="3">
        <v>46142.48028935185</v>
      </c>
      <c r="E501" t="inlineStr">
        <is>
          <t>Q2-W04</t>
        </is>
      </c>
      <c r="F501" t="inlineStr">
        <is>
          <t>Carmen</t>
        </is>
      </c>
      <c r="G501" t="inlineStr">
        <is>
          <t>Customer</t>
        </is>
      </c>
      <c r="H501" s="2" t="str">
        <f>=HYPERLINK("https://upbox.ajobthing.my/customer/203812", "https://upbox.ajobthing.my/customer/203812")</f>
        <v>https://upbox.ajobthing.my/customer/203812</v>
      </c>
      <c r="I501" t="inlineStr">
        <is>
          <t>Adeptura Training</t>
        </is>
      </c>
      <c r="J501" t="inlineStr">
        <is>
          <t>Small Fish</t>
        </is>
      </c>
      <c r="K501" t="inlineStr">
        <is>
          <t>Carmen</t>
        </is>
      </c>
      <c r="L501" s="4"/>
      <c r="M501" s="4">
        <v>46142.48038194444</v>
      </c>
      <c r="N501"/>
      <c r="O501">
        <v>3888</v>
      </c>
      <c r="P501" s="4"/>
      <c r="Q501" s="4">
        <v>46142.4083912037</v>
      </c>
      <c r="R501"/>
      <c r="S501">
        <v>0</v>
      </c>
      <c r="T501" s="4"/>
      <c r="U501" s="4"/>
      <c r="V501"/>
      <c r="W501"/>
      <c r="X501"/>
      <c r="Y501" t="inlineStr">
        <is>
          <t>Pending Appointment</t>
        </is>
      </c>
      <c r="Z501" t="inlineStr">
        <is>
          <t>Hiring Now</t>
        </is>
      </c>
      <c r="AA501">
        <v>2</v>
      </c>
      <c r="AB501" t="inlineStr">
        <is>
          <t>No Appointment Made</t>
        </is>
      </c>
      <c r="AC501"/>
      <c r="AD501" t="inlineStr">
        <is>
          <t>2 business development</t>
        </is>
      </c>
      <c r="AE501"/>
      <c r="AF501">
        <v>0</v>
      </c>
      <c r="AG501" s="4"/>
      <c r="AH501" s="4"/>
      <c r="AI501"/>
      <c r="AJ501"/>
      <c r="AK501"/>
      <c r="AL501"/>
      <c r="AM501"/>
      <c r="AN501"/>
      <c r="AO501"/>
      <c r="AP501" t="inlineStr">
        <is>
          <t>Twice a year (50%)</t>
        </is>
      </c>
      <c r="AQ501"/>
      <c r="AR501"/>
      <c r="AS501" t="inlineStr">
        <is>
          <t>- Headcount: 2
- Hiring Job Details: 2 business development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is>
      </c>
      <c r="AT501">
        <v>75</v>
      </c>
      <c r="AU501" t="inlineStr">
        <is>
          <t>0.75</t>
        </is>
      </c>
      <c r="AV501" t="inlineStr">
        <is>
          <t>15</t>
        </is>
      </c>
      <c r="AW501" t="inlineStr">
        <is>
          <t>0</t>
        </is>
      </c>
      <c r="AX501" t="inlineStr">
        <is>
          <t>Not Qualified</t>
        </is>
      </c>
      <c r="AY501" s="4"/>
      <c r="AZ501"/>
      <c r="BA501"/>
      <c r="BB501"/>
      <c r="BC501" t="inlineStr">
        <is>
          <t>- Headcount: 2
- Hiring Job Details: 2 business development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is>
      </c>
      <c r="BD501" s="4">
        <v>46142.50003472222</v>
      </c>
      <c r="BE501" t="inlineStr">
        <is>
          <t>paid</t>
        </is>
      </c>
      <c r="BF501"/>
      <c r="BG501" t="inlineStr">
        <is>
          <t>Reschedule</t>
        </is>
      </c>
      <c r="BH501" t="inlineStr">
        <is>
          <t>Reagen</t>
        </is>
      </c>
      <c r="BI501" t="inlineStr">
        <is>
          <t>Education / Training</t>
        </is>
      </c>
      <c r="BJ501" s="4">
        <v>46144.75438657407</v>
      </c>
      <c r="BK501" s="4">
        <v>46142.4077662037</v>
      </c>
      <c r="BL501" t="inlineStr">
        <is>
          <t>0.0</t>
        </is>
      </c>
      <c r="BM501" t="inlineStr">
        <is>
          <t>0.0</t>
        </is>
      </c>
      <c r="BN501" t="inlineStr">
        <is>
          <t>User Login</t>
        </is>
      </c>
      <c r="BO501" s="4">
        <v>46142.81836805555</v>
      </c>
      <c r="BP501">
        <v>169654</v>
      </c>
      <c r="BQ501">
        <v>124142</v>
      </c>
      <c r="BR501" t="inlineStr">
        <is>
          <t>Proforma</t>
        </is>
      </c>
      <c r="BS501" t="inlineStr">
        <is>
          <t>Free Freelance Job</t>
        </is>
      </c>
      <c r="BT501"/>
      <c r="BU501"/>
      <c r="BV501">
        <v>2737301</v>
      </c>
      <c r="BW501" t="inlineStr">
        <is>
          <t>Customer Inquiry</t>
        </is>
      </c>
      <c r="BX501">
        <v>2</v>
      </c>
      <c r="BY501">
        <v>2</v>
      </c>
      <c r="BZ501" s="4"/>
      <c r="CA501"/>
      <c r="CB501"/>
      <c r="CC501" s="4"/>
      <c r="CD501" t="inlineStr">
        <is>
          <t>20</t>
        </is>
      </c>
      <c r="CE501" t="inlineStr">
        <is>
          <t>0</t>
        </is>
      </c>
      <c r="CF501" t="inlineStr">
        <is>
          <t>Q2-W04</t>
        </is>
      </c>
      <c r="CG501" t="inlineStr">
        <is>
          <t>Q2-W04</t>
        </is>
      </c>
      <c r="CH501"/>
      <c r="CI501"/>
      <c r="CJ501" t="inlineStr">
        <is>
          <t>No Paid</t>
        </is>
      </c>
      <c r="CK501" t="inlineStr">
        <is>
          <t>Not Eligible</t>
        </is>
      </c>
      <c r="CL501"/>
      <c r="CM501"/>
    </row>
    <row r="502" ht="25.5" customHeight="1">
      <c r="A502" t="inlineStr">
        <is>
          <t>203734</t>
        </is>
      </c>
      <c r="B502" s="2"/>
      <c r="C502"/>
      <c r="D502" s="3">
        <v>46142.488657407404</v>
      </c>
      <c r="E502" t="inlineStr">
        <is>
          <t>Q2-W04</t>
        </is>
      </c>
      <c r="F502" t="inlineStr">
        <is>
          <t>Josh</t>
        </is>
      </c>
      <c r="G502" t="inlineStr">
        <is>
          <t>Customer</t>
        </is>
      </c>
      <c r="H502" s="2" t="str">
        <f>=HYPERLINK("https://upbox.ajobthing.my/customer/203734", "https://upbox.ajobthing.my/customer/203734")</f>
        <v>https://upbox.ajobthing.my/customer/203734</v>
      </c>
      <c r="I502" t="inlineStr">
        <is>
          <t xml:space="preserve">Syarikat Sri Murugan Trading Agency </t>
        </is>
      </c>
      <c r="J502" t="inlineStr">
        <is>
          <t>Small Fish</t>
        </is>
      </c>
      <c r="K502" t="inlineStr">
        <is>
          <t>Josh</t>
        </is>
      </c>
      <c r="L502" s="4"/>
      <c r="M502" s="4">
        <v>46142.489953703705</v>
      </c>
      <c r="N502"/>
      <c r="O502">
        <v>3576.96</v>
      </c>
      <c r="P502" s="4"/>
      <c r="Q502" s="4"/>
      <c r="R502"/>
      <c r="S502"/>
      <c r="T502" s="4"/>
      <c r="U502" s="4"/>
      <c r="V502"/>
      <c r="W502"/>
      <c r="X502"/>
      <c r="Y502" t="inlineStr">
        <is>
          <t>Pending Appointment</t>
        </is>
      </c>
      <c r="Z502" t="inlineStr">
        <is>
          <t>Hiring Now</t>
        </is>
      </c>
      <c r="AA502">
        <v>1</v>
      </c>
      <c r="AB502" t="inlineStr">
        <is>
          <t>No Appointment Made</t>
        </is>
      </c>
      <c r="AC502"/>
      <c r="AD502" t="inlineStr">
        <is>
          <t>1 lorry driver</t>
        </is>
      </c>
      <c r="AE502"/>
      <c r="AF502">
        <v>1000</v>
      </c>
      <c r="AG502" s="4"/>
      <c r="AH502" s="4"/>
      <c r="AI502"/>
      <c r="AJ502"/>
      <c r="AK502" t="inlineStr">
        <is>
          <t>Yes, I have</t>
        </is>
      </c>
      <c r="AL502">
        <v>1</v>
      </c>
      <c r="AM502"/>
      <c r="AN502"/>
      <c r="AO502"/>
      <c r="AP502" t="inlineStr">
        <is>
          <t>Once a year (25%)</t>
        </is>
      </c>
      <c r="AQ502"/>
      <c r="AR502"/>
      <c r="AS502" t="inlineStr">
        <is>
          <t>- Headcount: 1
- Hiring Job Details: 1 lorry driver
- Hiring Urgency: Hiring Now
- Number of outlets: N/A
- Have recruiter team: Yes
- Number of recruiter in company: 1
- Have ATS system: N/A
- Have career website: N/A
- Current hiring budget: RM1,000.00
- Whole year budget: N/A
- Whole year number of vacancies: N/A
- Hiring frequency: Once a year (25%)
- External job portal: N/A</t>
        </is>
      </c>
      <c r="AT502">
        <v>95</v>
      </c>
      <c r="AU502" t="inlineStr">
        <is>
          <t>0.95</t>
        </is>
      </c>
      <c r="AV502" t="inlineStr">
        <is>
          <t>15</t>
        </is>
      </c>
      <c r="AW502" t="inlineStr">
        <is>
          <t>0</t>
        </is>
      </c>
      <c r="AX502" t="inlineStr">
        <is>
          <t>Not Qualified</t>
        </is>
      </c>
      <c r="AY502" s="4"/>
      <c r="AZ502"/>
      <c r="BA502"/>
      <c r="BB502"/>
      <c r="BC502" t="inlineStr">
        <is>
          <t>- Headcount: 1
- Hiring Job Details: 1 lorry driver
- Hiring Urgency: Hiring Now
- Number of outlets: N/A
- Have recruiter team: Yes
- Number of recruiter in company: 1
- Have ATS system: N/A
- Have career website: N/A
- Current hiring budget: RM1,000.00
- Whole year budget: N/A
- Whole year number of vacancies: N/A
- Hiring frequency: Once a year (25%)
- External job portal: N/A</t>
        </is>
      </c>
      <c r="BD502" s="4">
        <v>46142.50003472222</v>
      </c>
      <c r="BE502"/>
      <c r="BF502"/>
      <c r="BG502" t="inlineStr">
        <is>
          <t>Reschedule</t>
        </is>
      </c>
      <c r="BH502" t="inlineStr">
        <is>
          <t>Fauziah Maharan</t>
        </is>
      </c>
      <c r="BI502"/>
      <c r="BJ502" s="4">
        <v>46144.75438657407</v>
      </c>
      <c r="BK502" s="4">
        <v>46140.48568287037</v>
      </c>
      <c r="BL502" t="inlineStr">
        <is>
          <t>0.0</t>
        </is>
      </c>
      <c r="BM502" t="inlineStr">
        <is>
          <t>0.0</t>
        </is>
      </c>
      <c r="BN502" t="inlineStr">
        <is>
          <t>View Company Page</t>
        </is>
      </c>
      <c r="BO502" s="4">
        <v>46140.66486111111</v>
      </c>
      <c r="BP502">
        <v>169659</v>
      </c>
      <c r="BQ502"/>
      <c r="BR502"/>
      <c r="BS502"/>
      <c r="BT502"/>
      <c r="BU502"/>
      <c r="BV502">
        <v>2737303</v>
      </c>
      <c r="BW502" t="inlineStr">
        <is>
          <t>Customer Inquiry</t>
        </is>
      </c>
      <c r="BX502"/>
      <c r="BY502"/>
      <c r="BZ502" s="4"/>
      <c r="CA502"/>
      <c r="CB502"/>
      <c r="CC502" s="4"/>
      <c r="CD502" t="inlineStr">
        <is>
          <t>20</t>
        </is>
      </c>
      <c r="CE502" t="inlineStr">
        <is>
          <t>0</t>
        </is>
      </c>
      <c r="CF502" t="inlineStr">
        <is>
          <t>Q2-W04</t>
        </is>
      </c>
      <c r="CG502"/>
      <c r="CH502"/>
      <c r="CI502"/>
      <c r="CJ502" t="inlineStr">
        <is>
          <t>No Paid</t>
        </is>
      </c>
      <c r="CK502" t="inlineStr">
        <is>
          <t>Not Eligible</t>
        </is>
      </c>
      <c r="CL502"/>
      <c r="CM502"/>
    </row>
    <row r="503" ht="25.5" customHeight="1">
      <c r="A503" t="inlineStr">
        <is>
          <t>127348</t>
        </is>
      </c>
      <c r="B503" s="2"/>
      <c r="C503"/>
      <c r="D503" s="3">
        <v>46142.5053587963</v>
      </c>
      <c r="E503" t="inlineStr">
        <is>
          <t>Q2-W04</t>
        </is>
      </c>
      <c r="F503" t="inlineStr">
        <is>
          <t>Clover</t>
        </is>
      </c>
      <c r="G503" t="inlineStr">
        <is>
          <t>Customer</t>
        </is>
      </c>
      <c r="H503" s="2" t="str">
        <f>=HYPERLINK("https://upbox.ajobthing.my/customer/127348", "https://upbox.ajobthing.my/customer/127348")</f>
        <v>https://upbox.ajobthing.my/customer/127348</v>
      </c>
      <c r="I503" t="inlineStr">
        <is>
          <t>Walker Travel And Tours Sdn Bhd</t>
        </is>
      </c>
      <c r="J503" t="inlineStr">
        <is>
          <t>Small Fish</t>
        </is>
      </c>
      <c r="K503" t="inlineStr">
        <is>
          <t>Clover</t>
        </is>
      </c>
      <c r="L503" s="4"/>
      <c r="M503" s="4">
        <v>46142.50090277778</v>
      </c>
      <c r="N503"/>
      <c r="O503">
        <v>3576.96</v>
      </c>
      <c r="P503" s="4"/>
      <c r="Q503" s="4">
        <v>44018.6922337963</v>
      </c>
      <c r="R503"/>
      <c r="S503">
        <v>185.5</v>
      </c>
      <c r="T503" s="4">
        <v>44018.6922337963</v>
      </c>
      <c r="U503" s="4"/>
      <c r="V503"/>
      <c r="W503">
        <v>185.5</v>
      </c>
      <c r="X503"/>
      <c r="Y503" t="inlineStr">
        <is>
          <t>Pending Appointment</t>
        </is>
      </c>
      <c r="Z503" t="inlineStr">
        <is>
          <t>Hiring Now</t>
        </is>
      </c>
      <c r="AA503">
        <v>1</v>
      </c>
      <c r="AB503" t="inlineStr">
        <is>
          <t>No Appointment Made</t>
        </is>
      </c>
      <c r="AC503"/>
      <c r="AD503" t="inlineStr">
        <is>
          <t>Hire Van driver travel x1-2, all races, contract, license, 30+ years above, man power, outstation, baut caves, suggest stand</t>
        </is>
      </c>
      <c r="AE503"/>
      <c r="AF503">
        <v>3000</v>
      </c>
      <c r="AG503" s="4"/>
      <c r="AH503" s="4"/>
      <c r="AI503">
        <v>3000</v>
      </c>
      <c r="AJ503">
        <v>1</v>
      </c>
      <c r="AK503" t="inlineStr">
        <is>
          <t>No, but I want in future</t>
        </is>
      </c>
      <c r="AL503">
        <v>1</v>
      </c>
      <c r="AM503" t="inlineStr">
        <is>
          <t>No, but I want in future</t>
        </is>
      </c>
      <c r="AN503"/>
      <c r="AO503" t="inlineStr">
        <is>
          <t>No, but I want in future</t>
        </is>
      </c>
      <c r="AP503" t="inlineStr">
        <is>
          <t>Twice a year (50%)</t>
        </is>
      </c>
      <c r="AQ503">
        <v>2</v>
      </c>
      <c r="AR503" t="inlineStr">
        <is>
          <t>Free Job Portal</t>
        </is>
      </c>
      <c r="AS503" t="inlineStr">
        <is>
          <t>- Headcount: 1
- Hiring Job Details: 1-2 van drivers (30+ years, male, all races, contract, licensed, outstation, Baut Caves,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is>
      </c>
      <c r="AT503">
        <v>115</v>
      </c>
      <c r="AU503" t="inlineStr">
        <is>
          <t>1.15</t>
        </is>
      </c>
      <c r="AV503" t="inlineStr">
        <is>
          <t>15</t>
        </is>
      </c>
      <c r="AW503" t="inlineStr">
        <is>
          <t>0</t>
        </is>
      </c>
      <c r="AX503" t="inlineStr">
        <is>
          <t>Not Qualified</t>
        </is>
      </c>
      <c r="AY503" s="4"/>
      <c r="AZ503"/>
      <c r="BA503"/>
      <c r="BB503"/>
      <c r="BC503" t="inlineStr">
        <is>
          <t>- Headcount: 1
- Hiring Job Details: 1-2 van drivers (30+ years, male, all races, contract, licensed, outstation, Baut Caves,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is>
      </c>
      <c r="BD503" s="4">
        <v>46142.54168981482</v>
      </c>
      <c r="BE503" t="inlineStr">
        <is>
          <t>paid</t>
        </is>
      </c>
      <c r="BF503"/>
      <c r="BG503" t="inlineStr">
        <is>
          <t>Reschedule</t>
        </is>
      </c>
      <c r="BH503" t="inlineStr">
        <is>
          <t>Reagen</t>
        </is>
      </c>
      <c r="BI503" t="inlineStr">
        <is>
          <t>Transportation / Logistics</t>
        </is>
      </c>
      <c r="BJ503" s="4">
        <v>46144.750393518516</v>
      </c>
      <c r="BK503" s="4">
        <v>44018.643912037034</v>
      </c>
      <c r="BL503" t="inlineStr">
        <is>
          <t>0.0</t>
        </is>
      </c>
      <c r="BM503" t="inlineStr">
        <is>
          <t>0.0</t>
        </is>
      </c>
      <c r="BN503" t="inlineStr">
        <is>
          <t>View Job Applicants Page</t>
        </is>
      </c>
      <c r="BO503" s="4">
        <v>44069.35498842593</v>
      </c>
      <c r="BP503">
        <v>169668</v>
      </c>
      <c r="BQ503">
        <v>25193</v>
      </c>
      <c r="BR503" t="inlineStr">
        <is>
          <t>Online</t>
        </is>
      </c>
      <c r="BS503"/>
      <c r="BT503">
        <v>25193</v>
      </c>
      <c r="BU503"/>
      <c r="BV503">
        <v>2737439</v>
      </c>
      <c r="BW503" t="inlineStr">
        <is>
          <t>Customer Inquiry</t>
        </is>
      </c>
      <c r="BX503"/>
      <c r="BY503"/>
      <c r="BZ503" s="4"/>
      <c r="CA503"/>
      <c r="CB503"/>
      <c r="CC503" s="4"/>
      <c r="CD503" t="inlineStr">
        <is>
          <t>20</t>
        </is>
      </c>
      <c r="CE503" t="inlineStr">
        <is>
          <t>0</t>
        </is>
      </c>
      <c r="CF503" t="inlineStr">
        <is>
          <t>Q2-W04</t>
        </is>
      </c>
      <c r="CG503"/>
      <c r="CH503"/>
      <c r="CI503"/>
      <c r="CJ503" t="inlineStr">
        <is>
          <t>Paid</t>
        </is>
      </c>
      <c r="CK503" t="inlineStr">
        <is>
          <t>Not Eligible</t>
        </is>
      </c>
      <c r="CL503"/>
      <c r="CM503"/>
    </row>
    <row r="504" ht="25.5" customHeight="1">
      <c r="A504" t="inlineStr">
        <is>
          <t>181777</t>
        </is>
      </c>
      <c r="B504" s="2"/>
      <c r="C504"/>
      <c r="D504" s="3">
        <v>46142.58292824074</v>
      </c>
      <c r="E504" t="inlineStr">
        <is>
          <t>Q2-W04</t>
        </is>
      </c>
      <c r="F504" t="inlineStr">
        <is>
          <t>Xin Hui</t>
        </is>
      </c>
      <c r="G504" t="inlineStr">
        <is>
          <t>Customer</t>
        </is>
      </c>
      <c r="H504" s="2" t="str">
        <f>=HYPERLINK("https://upbox.ajobthing.my/customer/181777", "https://upbox.ajobthing.my/customer/181777")</f>
        <v>https://upbox.ajobthing.my/customer/181777</v>
      </c>
      <c r="I504" t="inlineStr">
        <is>
          <t>Compass Consulting &amp; Services Sdn Bhd</t>
        </is>
      </c>
      <c r="J504" t="inlineStr">
        <is>
          <t>Small Fish</t>
        </is>
      </c>
      <c r="K504" t="inlineStr">
        <is>
          <t>Xin Hui</t>
        </is>
      </c>
      <c r="L504" s="4"/>
      <c r="M504" s="4">
        <v>46142.580729166664</v>
      </c>
      <c r="N504"/>
      <c r="O504">
        <v>3888</v>
      </c>
      <c r="P504" s="4"/>
      <c r="Q504" s="4"/>
      <c r="R504"/>
      <c r="S504"/>
      <c r="T504" s="4"/>
      <c r="U504" s="4"/>
      <c r="V504"/>
      <c r="W504"/>
      <c r="X504"/>
      <c r="Y504" t="inlineStr">
        <is>
          <t>Pending Appointment</t>
        </is>
      </c>
      <c r="Z504" t="inlineStr">
        <is>
          <t>Hiring Now</t>
        </is>
      </c>
      <c r="AA504">
        <v>1</v>
      </c>
      <c r="AB504" t="inlineStr">
        <is>
          <t>No Appointment Made</t>
        </is>
      </c>
      <c r="AC504"/>
      <c r="AD504" t="inlineStr">
        <is>
          <t>tax</t>
        </is>
      </c>
      <c r="AE504"/>
      <c r="AF504"/>
      <c r="AG504" s="4"/>
      <c r="AH504" s="4"/>
      <c r="AI504"/>
      <c r="AJ504"/>
      <c r="AK504" t="inlineStr">
        <is>
          <t>No, I don't need at all</t>
        </is>
      </c>
      <c r="AL504"/>
      <c r="AM504" t="inlineStr">
        <is>
          <t>No, I don't need at all</t>
        </is>
      </c>
      <c r="AN504"/>
      <c r="AO504" t="inlineStr">
        <is>
          <t>No, I don't need at all</t>
        </is>
      </c>
      <c r="AP504" t="inlineStr">
        <is>
          <t>Once a year (25%)</t>
        </is>
      </c>
      <c r="AQ504"/>
      <c r="AR504"/>
      <c r="AS504" t="inlineStr">
        <is>
          <t>- Headcount: 1
- Hiring Job Details: tax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AT504">
        <v>75</v>
      </c>
      <c r="AU504" t="inlineStr">
        <is>
          <t>0.75</t>
        </is>
      </c>
      <c r="AV504" t="inlineStr">
        <is>
          <t>5</t>
        </is>
      </c>
      <c r="AW504" t="inlineStr">
        <is>
          <t>0</t>
        </is>
      </c>
      <c r="AX504" t="inlineStr">
        <is>
          <t>Not Qualified</t>
        </is>
      </c>
      <c r="AY504" s="4"/>
      <c r="AZ504"/>
      <c r="BA504"/>
      <c r="BB504"/>
      <c r="BC504" t="inlineStr">
        <is>
          <t>position ; tax 1HC //expand // salary 2800-3300 //can accept fresh grad// location : damansara // all language</t>
        </is>
      </c>
      <c r="BD504" s="4">
        <v>46142.58336805556</v>
      </c>
      <c r="BE504"/>
      <c r="BF504"/>
      <c r="BG504" t="inlineStr">
        <is>
          <t>Reschedule</t>
        </is>
      </c>
      <c r="BH504" t="inlineStr">
        <is>
          <t>Yee Hang</t>
        </is>
      </c>
      <c r="BI504" t="inlineStr">
        <is>
          <t>Accounting / Tax Services</t>
        </is>
      </c>
      <c r="BJ504" s="4">
        <v>46144.75188657407</v>
      </c>
      <c r="BK504" s="4">
        <v>45523.52761574074</v>
      </c>
      <c r="BL504" t="inlineStr">
        <is>
          <t>0.0</t>
        </is>
      </c>
      <c r="BM504" t="inlineStr">
        <is>
          <t>600.0</t>
        </is>
      </c>
      <c r="BN504" t="inlineStr">
        <is>
          <t>View Company Page</t>
        </is>
      </c>
      <c r="BO504" s="4">
        <v>45523.57954861111</v>
      </c>
      <c r="BP504">
        <v>169681</v>
      </c>
      <c r="BQ504"/>
      <c r="BR504"/>
      <c r="BS504"/>
      <c r="BT504"/>
      <c r="BU504"/>
      <c r="BV504">
        <v>2737586</v>
      </c>
      <c r="BW504" t="inlineStr">
        <is>
          <t>Inquire for Hiring Needs : Quotation Sent 50%</t>
        </is>
      </c>
      <c r="BX504"/>
      <c r="BY504"/>
      <c r="BZ504" s="4"/>
      <c r="CA504"/>
      <c r="CB504"/>
      <c r="CC504" s="4"/>
      <c r="CD504" t="inlineStr">
        <is>
          <t>5</t>
        </is>
      </c>
      <c r="CE504" t="inlineStr">
        <is>
          <t>0</t>
        </is>
      </c>
      <c r="CF504" t="inlineStr">
        <is>
          <t>Q2-W04</t>
        </is>
      </c>
      <c r="CG504"/>
      <c r="CH504"/>
      <c r="CI504"/>
      <c r="CJ504" t="inlineStr">
        <is>
          <t>No Paid</t>
        </is>
      </c>
      <c r="CK504" t="inlineStr">
        <is>
          <t>Not Eligible</t>
        </is>
      </c>
      <c r="CL504"/>
      <c r="CM504"/>
    </row>
    <row r="505" ht="25.5" customHeight="1">
      <c r="A505" t="inlineStr">
        <is>
          <t>178180</t>
        </is>
      </c>
      <c r="B505" s="2"/>
      <c r="C505"/>
      <c r="D505" s="3">
        <v>46142.58488425926</v>
      </c>
      <c r="E505" t="inlineStr">
        <is>
          <t>Q2-W04</t>
        </is>
      </c>
      <c r="F505" t="inlineStr">
        <is>
          <t>Lucas</t>
        </is>
      </c>
      <c r="G505" t="inlineStr">
        <is>
          <t>Customer</t>
        </is>
      </c>
      <c r="H505" s="2" t="str">
        <f>=HYPERLINK("https://upbox.ajobthing.my/customer/178180", "https://upbox.ajobthing.my/customer/178180")</f>
        <v>https://upbox.ajobthing.my/customer/178180</v>
      </c>
      <c r="I505" t="inlineStr">
        <is>
          <t>Star Infinity Sdn Bhd</t>
        </is>
      </c>
      <c r="J505" t="inlineStr">
        <is>
          <t>Small Fish</t>
        </is>
      </c>
      <c r="K505" t="inlineStr">
        <is>
          <t>Lucas</t>
        </is>
      </c>
      <c r="L505" s="4"/>
      <c r="M505" s="4">
        <v>46142.582974537036</v>
      </c>
      <c r="N505"/>
      <c r="O505">
        <v>3576.96</v>
      </c>
      <c r="P505" s="4"/>
      <c r="Q505" s="4">
        <v>45421.69677083333</v>
      </c>
      <c r="R505"/>
      <c r="S505">
        <v>972</v>
      </c>
      <c r="T505" s="4">
        <v>45421.69677083333</v>
      </c>
      <c r="U505" s="4"/>
      <c r="V505"/>
      <c r="W505">
        <v>972</v>
      </c>
      <c r="X505"/>
      <c r="Y505" t="inlineStr">
        <is>
          <t>Pending Appointment</t>
        </is>
      </c>
      <c r="Z505" t="inlineStr">
        <is>
          <t>Hiring Now</t>
        </is>
      </c>
      <c r="AA505">
        <v>1</v>
      </c>
      <c r="AB505" t="inlineStr">
        <is>
          <t>No Appointment Made</t>
        </is>
      </c>
      <c r="AC505"/>
      <c r="AD505" t="inlineStr">
        <is>
          <t>1 admin</t>
        </is>
      </c>
      <c r="AE505"/>
      <c r="AF505">
        <v>0</v>
      </c>
      <c r="AG505" s="4"/>
      <c r="AH505" s="4"/>
      <c r="AI505">
        <v>0</v>
      </c>
      <c r="AJ505">
        <v>0</v>
      </c>
      <c r="AK505" t="inlineStr">
        <is>
          <t>No, I don't need at all</t>
        </is>
      </c>
      <c r="AL505">
        <v>0</v>
      </c>
      <c r="AM505" t="inlineStr">
        <is>
          <t>No, I don't need at all</t>
        </is>
      </c>
      <c r="AN505"/>
      <c r="AO505" t="inlineStr">
        <is>
          <t>No, I don't need at all</t>
        </is>
      </c>
      <c r="AP505" t="inlineStr">
        <is>
          <t>Once a year (25%)</t>
        </is>
      </c>
      <c r="AQ505">
        <v>1</v>
      </c>
      <c r="AR505" t="inlineStr">
        <is>
          <t>Did not use any job portal</t>
        </is>
      </c>
      <c r="AS505"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505">
        <v>110</v>
      </c>
      <c r="AU505" t="inlineStr">
        <is>
          <t>1.10</t>
        </is>
      </c>
      <c r="AV505" t="inlineStr">
        <is>
          <t>15</t>
        </is>
      </c>
      <c r="AW505" t="inlineStr">
        <is>
          <t>0</t>
        </is>
      </c>
      <c r="AX505" t="inlineStr">
        <is>
          <t>Not Qualified</t>
        </is>
      </c>
      <c r="AY505" s="4"/>
      <c r="AZ505"/>
      <c r="BA505"/>
      <c r="BB505"/>
      <c r="BC505"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BD505" s="4">
        <v>46142.625023148146</v>
      </c>
      <c r="BE505" t="inlineStr">
        <is>
          <t>paid</t>
        </is>
      </c>
      <c r="BF505"/>
      <c r="BG505" t="inlineStr">
        <is>
          <t>Reschedule</t>
        </is>
      </c>
      <c r="BH505" t="inlineStr">
        <is>
          <t>Yee Hang</t>
        </is>
      </c>
      <c r="BI505" t="inlineStr">
        <is>
          <t>Repair / Maintenance</t>
        </is>
      </c>
      <c r="BJ505" s="4">
        <v>46144.75173611111</v>
      </c>
      <c r="BK505" s="4">
        <v>45421.44461805555</v>
      </c>
      <c r="BL505" t="inlineStr">
        <is>
          <t>0.0</t>
        </is>
      </c>
      <c r="BM505" t="inlineStr">
        <is>
          <t>0.0</t>
        </is>
      </c>
      <c r="BN505" t="inlineStr">
        <is>
          <t>View Company Page</t>
        </is>
      </c>
      <c r="BO505" s="4">
        <v>45485.62368055555</v>
      </c>
      <c r="BP505">
        <v>169682</v>
      </c>
      <c r="BQ505">
        <v>68935</v>
      </c>
      <c r="BR505" t="inlineStr">
        <is>
          <t>Online</t>
        </is>
      </c>
      <c r="BS505"/>
      <c r="BT505">
        <v>68935</v>
      </c>
      <c r="BU505"/>
      <c r="BV505">
        <v>2737833</v>
      </c>
      <c r="BW505" t="inlineStr">
        <is>
          <t>Customer Inquiry</t>
        </is>
      </c>
      <c r="BX505"/>
      <c r="BY505"/>
      <c r="BZ505" s="4"/>
      <c r="CA505"/>
      <c r="CB505"/>
      <c r="CC505" s="4"/>
      <c r="CD505" t="inlineStr">
        <is>
          <t>20</t>
        </is>
      </c>
      <c r="CE505" t="inlineStr">
        <is>
          <t>0</t>
        </is>
      </c>
      <c r="CF505" t="inlineStr">
        <is>
          <t>Q2-W04</t>
        </is>
      </c>
      <c r="CG505"/>
      <c r="CH505"/>
      <c r="CI505"/>
      <c r="CJ505" t="inlineStr">
        <is>
          <t>Paid</t>
        </is>
      </c>
      <c r="CK505" t="inlineStr">
        <is>
          <t>Not Eligible</t>
        </is>
      </c>
      <c r="CL505"/>
      <c r="CM505"/>
    </row>
    <row r="506" ht="25.5" customHeight="1">
      <c r="A506" t="inlineStr">
        <is>
          <t>126072</t>
        </is>
      </c>
      <c r="B506" s="2"/>
      <c r="C506"/>
      <c r="D506" s="3">
        <v>46142.60327546296</v>
      </c>
      <c r="E506" t="inlineStr">
        <is>
          <t>Q2-W04</t>
        </is>
      </c>
      <c r="F506" t="inlineStr">
        <is>
          <t>Xin Hui</t>
        </is>
      </c>
      <c r="G506" t="inlineStr">
        <is>
          <t>Customer</t>
        </is>
      </c>
      <c r="H506" s="2" t="str">
        <f>=HYPERLINK("https://upbox.ajobthing.my/customer/126072", "https://upbox.ajobthing.my/customer/126072")</f>
        <v>https://upbox.ajobthing.my/customer/126072</v>
      </c>
      <c r="I506" t="inlineStr">
        <is>
          <t>Hong And Fong</t>
        </is>
      </c>
      <c r="J506" t="inlineStr">
        <is>
          <t>Small Fish</t>
        </is>
      </c>
      <c r="K506" t="inlineStr">
        <is>
          <t>Xin Hui</t>
        </is>
      </c>
      <c r="L506" s="4"/>
      <c r="M506" s="4">
        <v>46142.604108796295</v>
      </c>
      <c r="N506"/>
      <c r="O506">
        <v>3888</v>
      </c>
      <c r="P506" s="4"/>
      <c r="Q506" s="4"/>
      <c r="R506"/>
      <c r="S506"/>
      <c r="T506" s="4"/>
      <c r="U506" s="4"/>
      <c r="V506"/>
      <c r="W506"/>
      <c r="X506"/>
      <c r="Y506" t="inlineStr">
        <is>
          <t>Pending Appointment</t>
        </is>
      </c>
      <c r="Z506" t="inlineStr">
        <is>
          <t>Hiring Now</t>
        </is>
      </c>
      <c r="AA506">
        <v>1</v>
      </c>
      <c r="AB506" t="inlineStr">
        <is>
          <t>No Appointment Made</t>
        </is>
      </c>
      <c r="AC506"/>
      <c r="AD506" t="inlineStr">
        <is>
          <t>lawyer</t>
        </is>
      </c>
      <c r="AE506"/>
      <c r="AF506"/>
      <c r="AG506" s="4"/>
      <c r="AH506" s="4"/>
      <c r="AI506"/>
      <c r="AJ506"/>
      <c r="AK506" t="inlineStr">
        <is>
          <t>No, I don't need at all</t>
        </is>
      </c>
      <c r="AL506"/>
      <c r="AM506" t="inlineStr">
        <is>
          <t>No, I don't need at all</t>
        </is>
      </c>
      <c r="AN506"/>
      <c r="AO506" t="inlineStr">
        <is>
          <t>No, I don't need at all</t>
        </is>
      </c>
      <c r="AP506" t="inlineStr">
        <is>
          <t>Once a year (25%)</t>
        </is>
      </c>
      <c r="AQ506"/>
      <c r="AR506"/>
      <c r="AS506" t="inlineStr">
        <is>
          <t>- Headcount: 1
- Hiring Job Details: lawyer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506">
        <v>75</v>
      </c>
      <c r="AU506" t="inlineStr">
        <is>
          <t>0.75</t>
        </is>
      </c>
      <c r="AV506" t="inlineStr">
        <is>
          <t>5</t>
        </is>
      </c>
      <c r="AW506" t="inlineStr">
        <is>
          <t>0</t>
        </is>
      </c>
      <c r="AX506" t="inlineStr">
        <is>
          <t>Not Qualified</t>
        </is>
      </c>
      <c r="AY506" s="4"/>
      <c r="AZ506"/>
      <c r="BA506"/>
      <c r="BB506"/>
      <c r="BC506" t="inlineStr">
        <is>
          <t>- Headcount: 1
- Hiring Job Details: lawyer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BD506" s="4">
        <v>46142.625023148146</v>
      </c>
      <c r="BE506"/>
      <c r="BF506"/>
      <c r="BG506" t="inlineStr">
        <is>
          <t>Reschedule</t>
        </is>
      </c>
      <c r="BH506" t="inlineStr">
        <is>
          <t>Yee Hang</t>
        </is>
      </c>
      <c r="BI506" t="inlineStr">
        <is>
          <t>Law / Legal</t>
        </is>
      </c>
      <c r="BJ506" s="4">
        <v>46144.75037037037</v>
      </c>
      <c r="BK506" s="4">
        <v>43933.59846064815</v>
      </c>
      <c r="BL506" t="inlineStr">
        <is>
          <t>0.0</t>
        </is>
      </c>
      <c r="BM506" t="inlineStr">
        <is>
          <t>0.0</t>
        </is>
      </c>
      <c r="BN506" t="inlineStr">
        <is>
          <t>View Account User</t>
        </is>
      </c>
      <c r="BO506" s="4">
        <v>44175.485081018516</v>
      </c>
      <c r="BP506">
        <v>169696</v>
      </c>
      <c r="BQ506"/>
      <c r="BR506"/>
      <c r="BS506"/>
      <c r="BT506"/>
      <c r="BU506"/>
      <c r="BV506">
        <v>2737843</v>
      </c>
      <c r="BW506" t="inlineStr">
        <is>
          <t>Customer Inquiry</t>
        </is>
      </c>
      <c r="BX506"/>
      <c r="BY506"/>
      <c r="BZ506" s="4"/>
      <c r="CA506"/>
      <c r="CB506"/>
      <c r="CC506" s="4"/>
      <c r="CD506" t="inlineStr">
        <is>
          <t>5</t>
        </is>
      </c>
      <c r="CE506" t="inlineStr">
        <is>
          <t>0</t>
        </is>
      </c>
      <c r="CF506" t="inlineStr">
        <is>
          <t>Q2-W04</t>
        </is>
      </c>
      <c r="CG506"/>
      <c r="CH506"/>
      <c r="CI506"/>
      <c r="CJ506" t="inlineStr">
        <is>
          <t>No Paid</t>
        </is>
      </c>
      <c r="CK506" t="inlineStr">
        <is>
          <t>Not Eligible</t>
        </is>
      </c>
      <c r="CL506"/>
      <c r="CM506"/>
    </row>
    <row r="507" ht="25.5" customHeight="1">
      <c r="A507" t="inlineStr">
        <is>
          <t>203838</t>
        </is>
      </c>
      <c r="B507" s="2"/>
      <c r="C507"/>
      <c r="D507" s="3">
        <v>46142.609305555554</v>
      </c>
      <c r="E507" t="inlineStr">
        <is>
          <t>Q2-W04</t>
        </is>
      </c>
      <c r="F507" t="inlineStr">
        <is>
          <t>Ken Yi</t>
        </is>
      </c>
      <c r="G507" t="inlineStr">
        <is>
          <t>Customer</t>
        </is>
      </c>
      <c r="H507" s="2" t="str">
        <f>=HYPERLINK("https://upbox.ajobthing.my/customer/203838", "https://upbox.ajobthing.my/customer/203838")</f>
        <v>https://upbox.ajobthing.my/customer/203838</v>
      </c>
      <c r="I507" t="inlineStr">
        <is>
          <t>THE DECOREIN (M) SDN. BHD.</t>
        </is>
      </c>
      <c r="J507" t="inlineStr">
        <is>
          <t>Small Fish</t>
        </is>
      </c>
      <c r="K507" t="inlineStr">
        <is>
          <t>Kenyi</t>
        </is>
      </c>
      <c r="L507" s="4"/>
      <c r="M507" s="4">
        <v>46142.611354166664</v>
      </c>
      <c r="N507"/>
      <c r="O507">
        <v>3576.96</v>
      </c>
      <c r="P507" s="4"/>
      <c r="Q507" s="4"/>
      <c r="R507"/>
      <c r="S507"/>
      <c r="T507" s="4"/>
      <c r="U507" s="4"/>
      <c r="V507"/>
      <c r="W507"/>
      <c r="X507"/>
      <c r="Y507" t="inlineStr">
        <is>
          <t>Pending Appointment</t>
        </is>
      </c>
      <c r="Z507" t="inlineStr">
        <is>
          <t>Hiring Now</t>
        </is>
      </c>
      <c r="AA507">
        <v>1</v>
      </c>
      <c r="AB507" t="inlineStr">
        <is>
          <t>No Appointment Made</t>
        </is>
      </c>
      <c r="AC507"/>
      <c r="AD507" t="inlineStr">
        <is>
          <t>Operation Manager, Urgent hiring</t>
        </is>
      </c>
      <c r="AE507"/>
      <c r="AF507">
        <v>3888</v>
      </c>
      <c r="AG507" s="4"/>
      <c r="AH507" s="4"/>
      <c r="AI507">
        <v>0</v>
      </c>
      <c r="AJ507">
        <v>1</v>
      </c>
      <c r="AK507" t="inlineStr">
        <is>
          <t>No, I don't need at all</t>
        </is>
      </c>
      <c r="AL507">
        <v>0</v>
      </c>
      <c r="AM507" t="inlineStr">
        <is>
          <t>No, I don't need at all</t>
        </is>
      </c>
      <c r="AN507"/>
      <c r="AO507" t="inlineStr">
        <is>
          <t>No, I don't need at all</t>
        </is>
      </c>
      <c r="AP507" t="inlineStr">
        <is>
          <t>Every month (100%)</t>
        </is>
      </c>
      <c r="AQ507">
        <v>1</v>
      </c>
      <c r="AR507" t="inlineStr">
        <is>
          <t>Did not use any job portal</t>
        </is>
      </c>
      <c r="AS507" t="inlineStr">
        <is>
          <t>- Headcount: 1
- Hiring Job Details: 1 Operation Manager (Urgent hiring)
- Hiring Urgency: Hiring Now
- Number of outlets: 1
- Have recruiter team: No, I don't need at all
- Number of recruiter in company: 0
- Have ATS system: No, I don't need at all
- Have career website: No, I don't need at all
- Current hiring budget: RM3,888.00
- Whole year budget: RM0.00
- Whole year number of vacancies: 1
- Hiring frequency: Every month (100%)
- External job portal: Did not use any job portal</t>
        </is>
      </c>
      <c r="AT507">
        <v>115</v>
      </c>
      <c r="AU507" t="inlineStr">
        <is>
          <t>1.15</t>
        </is>
      </c>
      <c r="AV507" t="inlineStr">
        <is>
          <t>15</t>
        </is>
      </c>
      <c r="AW507" t="inlineStr">
        <is>
          <t>0</t>
        </is>
      </c>
      <c r="AX507" t="inlineStr">
        <is>
          <t>Not Qualified</t>
        </is>
      </c>
      <c r="AY507" s="4"/>
      <c r="AZ507"/>
      <c r="BA507"/>
      <c r="BB507"/>
      <c r="BC507" t="inlineStr">
        <is>
          <t>- Headcount: 1
- Hiring Job Details: 1 Operation Manager (Urgent hiring)
- Hiring Urgency: Hiring Now
- Number of outlets: 1
- Have recruiter team: No, I don't need at all
- Number of recruiter in company: 0
- Have ATS system: No, I don't need at all
- Have career website: No, I don't need at all
- Current hiring budget: RM3,888.00
- Whole year budget: RM0.00
- Whole year number of vacancies: 1
- Hiring frequency: Every month (100%)
- External job portal: Did not use any job portal</t>
        </is>
      </c>
      <c r="BD507" s="4">
        <v>46142.62503472222</v>
      </c>
      <c r="BE507"/>
      <c r="BF507"/>
      <c r="BG507" t="inlineStr">
        <is>
          <t>Reschedule</t>
        </is>
      </c>
      <c r="BH507" t="inlineStr">
        <is>
          <t>Fauziah Maharan</t>
        </is>
      </c>
      <c r="BI507"/>
      <c r="BJ507" s="4">
        <v>46144.7544212963</v>
      </c>
      <c r="BK507" s="4">
        <v>46142.60839120371</v>
      </c>
      <c r="BL507" t="inlineStr">
        <is>
          <t>0.0</t>
        </is>
      </c>
      <c r="BM507" t="inlineStr">
        <is>
          <t>0.0</t>
        </is>
      </c>
      <c r="BN507"/>
      <c r="BO507" s="4"/>
      <c r="BP507">
        <v>169700</v>
      </c>
      <c r="BQ507"/>
      <c r="BR507"/>
      <c r="BS507"/>
      <c r="BT507"/>
      <c r="BU507"/>
      <c r="BV507">
        <v>2737845</v>
      </c>
      <c r="BW507" t="inlineStr">
        <is>
          <t>Customer Inquiry</t>
        </is>
      </c>
      <c r="BX507"/>
      <c r="BY507"/>
      <c r="BZ507" s="4"/>
      <c r="CA507"/>
      <c r="CB507"/>
      <c r="CC507" s="4"/>
      <c r="CD507" t="inlineStr">
        <is>
          <t>20</t>
        </is>
      </c>
      <c r="CE507" t="inlineStr">
        <is>
          <t>0</t>
        </is>
      </c>
      <c r="CF507" t="inlineStr">
        <is>
          <t>Q2-W04</t>
        </is>
      </c>
      <c r="CG507"/>
      <c r="CH507"/>
      <c r="CI507"/>
      <c r="CJ507" t="inlineStr">
        <is>
          <t>No Paid</t>
        </is>
      </c>
      <c r="CK507" t="inlineStr">
        <is>
          <t>Not Eligible</t>
        </is>
      </c>
      <c r="CL507"/>
      <c r="CM507"/>
    </row>
    <row r="508" ht="25.5" customHeight="1">
      <c r="A508" t="inlineStr">
        <is>
          <t>203836</t>
        </is>
      </c>
      <c r="B508" s="2"/>
      <c r="C508"/>
      <c r="D508" s="3">
        <v>46142.61037037037</v>
      </c>
      <c r="E508" t="inlineStr">
        <is>
          <t>Q2-W04</t>
        </is>
      </c>
      <c r="F508" t="inlineStr">
        <is>
          <t>Luqman</t>
        </is>
      </c>
      <c r="G508" t="inlineStr">
        <is>
          <t>Customer</t>
        </is>
      </c>
      <c r="H508" s="2" t="str">
        <f>=HYPERLINK("https://upbox.ajobthing.my/customer/203836", "https://upbox.ajobthing.my/customer/203836")</f>
        <v>https://upbox.ajobthing.my/customer/203836</v>
      </c>
      <c r="I508" t="inlineStr">
        <is>
          <t>Gen Next Solutions</t>
        </is>
      </c>
      <c r="J508" t="inlineStr">
        <is>
          <t>Small Fish</t>
        </is>
      </c>
      <c r="K508" t="inlineStr">
        <is>
          <t>Luqman</t>
        </is>
      </c>
      <c r="L508" s="4"/>
      <c r="M508" s="4">
        <v>46142.610439814816</v>
      </c>
      <c r="N508"/>
      <c r="O508">
        <v>3888</v>
      </c>
      <c r="P508" s="4"/>
      <c r="Q508" s="4"/>
      <c r="R508"/>
      <c r="S508"/>
      <c r="T508" s="4"/>
      <c r="U508" s="4"/>
      <c r="V508"/>
      <c r="W508"/>
      <c r="X508"/>
      <c r="Y508" t="inlineStr">
        <is>
          <t>Pending Appointment</t>
        </is>
      </c>
      <c r="Z508" t="inlineStr">
        <is>
          <t>Hiring Later</t>
        </is>
      </c>
      <c r="AA508">
        <v>2</v>
      </c>
      <c r="AB508" t="inlineStr">
        <is>
          <t>No Appointment Made</t>
        </is>
      </c>
      <c r="AC508"/>
      <c r="AD508" t="inlineStr">
        <is>
          <t xml:space="preserve">1. Sales 
2. Admin </t>
        </is>
      </c>
      <c r="AE508"/>
      <c r="AF508">
        <v>1200</v>
      </c>
      <c r="AG508" s="4"/>
      <c r="AH508" s="4"/>
      <c r="AI508">
        <v>1200</v>
      </c>
      <c r="AJ508"/>
      <c r="AK508" t="inlineStr">
        <is>
          <t>Yes, I have</t>
        </is>
      </c>
      <c r="AL508">
        <v>2</v>
      </c>
      <c r="AM508" t="inlineStr">
        <is>
          <t>No, I don't need at all</t>
        </is>
      </c>
      <c r="AN508"/>
      <c r="AO508" t="inlineStr">
        <is>
          <t>No, but I want in future</t>
        </is>
      </c>
      <c r="AP508" t="inlineStr">
        <is>
          <t>Once a year (25%)</t>
        </is>
      </c>
      <c r="AQ508">
        <v>3</v>
      </c>
      <c r="AR508" t="inlineStr">
        <is>
          <t>Free Job Portal</t>
        </is>
      </c>
      <c r="AS508" t="inlineStr">
        <is>
          <t>- Headcount: 2
- Hiring Job Details: 1. Sales 2. Admin
- Hiring Urgency: Hiring Later
- Number of outlets: 
- Have recruiter team: Yes
- Number of recruiter in company: 2
- Have ATS system: No, I don't need at all
- Have career website: No, but I want in future
- Current hiring budget: RM1,200
- Whole year budget: RM1,200.00
- Whole year number of vacancies: 3
- Hiring frequency: Once a year (25%)
- External job portal: Free Job Portal</t>
        </is>
      </c>
      <c r="AT508">
        <v>85</v>
      </c>
      <c r="AU508" t="inlineStr">
        <is>
          <t>0.85</t>
        </is>
      </c>
      <c r="AV508" t="inlineStr">
        <is>
          <t>15</t>
        </is>
      </c>
      <c r="AW508" t="inlineStr">
        <is>
          <t>0</t>
        </is>
      </c>
      <c r="AX508" t="inlineStr">
        <is>
          <t>Not Qualified</t>
        </is>
      </c>
      <c r="AY508" s="4"/>
      <c r="AZ508"/>
      <c r="BA508"/>
      <c r="BB508"/>
      <c r="BC508" t="inlineStr">
        <is>
          <t>- Headcount: 2
- Hiring Job Details: 1. Sales 2. Admin
- Hiring Urgency: Hiring Later
- Number of outlets: 
- Have recruiter team: Yes
- Number of recruiter in company: 2
- Have ATS system: No, I don't need at all
- Have career website: No, but I want in future
- Current hiring budget: RM1,200
- Whole year budget: RM1,200.00
- Whole year number of vacancies: 3
- Hiring frequency: Once a year (25%)
- External job portal: Free Job Portal</t>
        </is>
      </c>
      <c r="BD508" s="4">
        <v>46142.62503472222</v>
      </c>
      <c r="BE508"/>
      <c r="BF508"/>
      <c r="BG508" t="inlineStr">
        <is>
          <t>Reschedule</t>
        </is>
      </c>
      <c r="BH508" t="inlineStr">
        <is>
          <t>Edward Hoo</t>
        </is>
      </c>
      <c r="BI508" t="inlineStr">
        <is>
          <t>IT / Hardware</t>
        </is>
      </c>
      <c r="BJ508" s="4">
        <v>46144.7544212963</v>
      </c>
      <c r="BK508" s="4">
        <v>46142.58988425926</v>
      </c>
      <c r="BL508" t="inlineStr">
        <is>
          <t>0.0</t>
        </is>
      </c>
      <c r="BM508" t="inlineStr">
        <is>
          <t>0.0</t>
        </is>
      </c>
      <c r="BN508" t="inlineStr">
        <is>
          <t>View Company Page</t>
        </is>
      </c>
      <c r="BO508" s="4">
        <v>46142.597916666666</v>
      </c>
      <c r="BP508">
        <v>169698</v>
      </c>
      <c r="BQ508"/>
      <c r="BR508"/>
      <c r="BS508"/>
      <c r="BT508"/>
      <c r="BU508"/>
      <c r="BV508">
        <v>2737846</v>
      </c>
      <c r="BW508" t="inlineStr">
        <is>
          <t>Customer Inquiry</t>
        </is>
      </c>
      <c r="BX508"/>
      <c r="BY508"/>
      <c r="BZ508" s="4"/>
      <c r="CA508"/>
      <c r="CB508"/>
      <c r="CC508" s="4"/>
      <c r="CD508" t="inlineStr">
        <is>
          <t>20</t>
        </is>
      </c>
      <c r="CE508" t="inlineStr">
        <is>
          <t>0</t>
        </is>
      </c>
      <c r="CF508" t="inlineStr">
        <is>
          <t>Q2-W04</t>
        </is>
      </c>
      <c r="CG508"/>
      <c r="CH508"/>
      <c r="CI508"/>
      <c r="CJ508" t="inlineStr">
        <is>
          <t>No Paid</t>
        </is>
      </c>
      <c r="CK508" t="inlineStr">
        <is>
          <t>Not Eligible</t>
        </is>
      </c>
      <c r="CL508"/>
      <c r="CM508"/>
    </row>
    <row r="509" ht="25.5" customHeight="1">
      <c r="A509" t="inlineStr">
        <is>
          <t>4333661</t>
        </is>
      </c>
      <c r="B509" s="2"/>
      <c r="C509"/>
      <c r="D509" s="3">
        <v>46142.61284722222</v>
      </c>
      <c r="E509" t="inlineStr">
        <is>
          <t>Q2-W04</t>
        </is>
      </c>
      <c r="F509" t="inlineStr">
        <is>
          <t>Janice Yap</t>
        </is>
      </c>
      <c r="G509" t="inlineStr">
        <is>
          <t>Lead</t>
        </is>
      </c>
      <c r="H509" s="2" t="str">
        <f>=HYPERLINK("https://upbox.ajobthing.my/leads/4333661", "https://upbox.ajobthing.my/leads/4333661")</f>
        <v>https://upbox.ajobthing.my/leads/4333661</v>
      </c>
      <c r="I509" t="inlineStr">
        <is>
          <t>Vast Construction Sdn Bhd</t>
        </is>
      </c>
      <c r="J509" t="inlineStr">
        <is>
          <t>Small Fish</t>
        </is>
      </c>
      <c r="K509" t="inlineStr">
        <is>
          <t>Janice</t>
        </is>
      </c>
      <c r="L509" s="4"/>
      <c r="M509" s="4">
        <v>46142.61162037037</v>
      </c>
      <c r="N509"/>
      <c r="O509">
        <v>3888</v>
      </c>
      <c r="P509" s="4"/>
      <c r="Q509" s="4"/>
      <c r="R509"/>
      <c r="S509"/>
      <c r="T509" s="4"/>
      <c r="U509" s="4"/>
      <c r="V509"/>
      <c r="W509"/>
      <c r="X509"/>
      <c r="Y509" t="inlineStr">
        <is>
          <t>Pending Appointment</t>
        </is>
      </c>
      <c r="Z509" t="inlineStr">
        <is>
          <t>Hiring Now</t>
        </is>
      </c>
      <c r="AA509">
        <v>1</v>
      </c>
      <c r="AB509" t="inlineStr">
        <is>
          <t>No Appointment Made</t>
        </is>
      </c>
      <c r="AC509"/>
      <c r="AD509" t="inlineStr">
        <is>
          <t>Site supervisor</t>
        </is>
      </c>
      <c r="AE509"/>
      <c r="AF509">
        <v>0</v>
      </c>
      <c r="AG509" s="4"/>
      <c r="AH509" s="4"/>
      <c r="AI509">
        <v>0</v>
      </c>
      <c r="AJ509"/>
      <c r="AK509" t="inlineStr">
        <is>
          <t>No, I don't need at all</t>
        </is>
      </c>
      <c r="AL509">
        <v>0</v>
      </c>
      <c r="AM509" t="inlineStr">
        <is>
          <t>No, I don't need at all</t>
        </is>
      </c>
      <c r="AN509"/>
      <c r="AO509" t="inlineStr">
        <is>
          <t>No, I don't need at all</t>
        </is>
      </c>
      <c r="AP509" t="inlineStr">
        <is>
          <t>Once a year (25%)</t>
        </is>
      </c>
      <c r="AQ509">
        <v>1</v>
      </c>
      <c r="AR509"/>
      <c r="AS509" t="inlineStr">
        <is>
          <t>- Headcount: 1
- Hiring Job Details: Site supervisor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509">
        <v>115</v>
      </c>
      <c r="AU509" t="inlineStr">
        <is>
          <t>1.15</t>
        </is>
      </c>
      <c r="AV509" t="inlineStr">
        <is>
          <t>15</t>
        </is>
      </c>
      <c r="AW509" t="inlineStr">
        <is>
          <t>0</t>
        </is>
      </c>
      <c r="AX509" t="inlineStr">
        <is>
          <t>Not Qualified</t>
        </is>
      </c>
      <c r="AY509" s="4"/>
      <c r="AZ509"/>
      <c r="BA509"/>
      <c r="BB509"/>
      <c r="BC509"/>
      <c r="BD509" s="4"/>
      <c r="BE509"/>
      <c r="BF509"/>
      <c r="BG509" t="inlineStr">
        <is>
          <t>Reschedule</t>
        </is>
      </c>
      <c r="BH509" t="inlineStr">
        <is>
          <t>Yee Hang</t>
        </is>
      </c>
      <c r="BI509"/>
      <c r="BJ509" s="4">
        <v>46144.755949074075</v>
      </c>
      <c r="BK509" s="4">
        <v>46141.958449074074</v>
      </c>
      <c r="BL509" t="inlineStr">
        <is>
          <t>0.0</t>
        </is>
      </c>
      <c r="BM509" t="inlineStr">
        <is>
          <t>0.0</t>
        </is>
      </c>
      <c r="BN509"/>
      <c r="BO509" s="4"/>
      <c r="BP509">
        <v>169701</v>
      </c>
      <c r="BQ509"/>
      <c r="BR509"/>
      <c r="BS509"/>
      <c r="BT509"/>
      <c r="BU509"/>
      <c r="BV509"/>
      <c r="BW509"/>
      <c r="BX509"/>
      <c r="BY509"/>
      <c r="BZ509" s="4"/>
      <c r="CA509"/>
      <c r="CB509"/>
      <c r="CC509" s="4"/>
      <c r="CD509" t="inlineStr">
        <is>
          <t>20</t>
        </is>
      </c>
      <c r="CE509" t="inlineStr">
        <is>
          <t>0</t>
        </is>
      </c>
      <c r="CF509" t="inlineStr">
        <is>
          <t>Q2-W04</t>
        </is>
      </c>
      <c r="CG509"/>
      <c r="CH509"/>
      <c r="CI509"/>
      <c r="CJ509" t="inlineStr">
        <is>
          <t>No Paid</t>
        </is>
      </c>
      <c r="CK509" t="inlineStr">
        <is>
          <t>Not Eligible</t>
        </is>
      </c>
      <c r="CL509"/>
      <c r="CM509"/>
    </row>
    <row r="510" ht="25.5" customHeight="1">
      <c r="A510" t="inlineStr">
        <is>
          <t>203837</t>
        </is>
      </c>
      <c r="B510" s="2"/>
      <c r="C510"/>
      <c r="D510" s="3">
        <v>46142.61287037037</v>
      </c>
      <c r="E510" t="inlineStr">
        <is>
          <t>Q2-W04</t>
        </is>
      </c>
      <c r="F510" t="inlineStr">
        <is>
          <t>Clover</t>
        </is>
      </c>
      <c r="G510" t="inlineStr">
        <is>
          <t>Customer</t>
        </is>
      </c>
      <c r="H510" s="2" t="str">
        <f>=HYPERLINK("https://upbox.ajobthing.my/customer/203837", "https://upbox.ajobthing.my/customer/203837")</f>
        <v>https://upbox.ajobthing.my/customer/203837</v>
      </c>
      <c r="I510" t="inlineStr">
        <is>
          <t>Khor n Rafidah</t>
        </is>
      </c>
      <c r="J510" t="inlineStr">
        <is>
          <t>Small Fish</t>
        </is>
      </c>
      <c r="K510" t="inlineStr">
        <is>
          <t>Clover</t>
        </is>
      </c>
      <c r="L510" s="4"/>
      <c r="M510" s="4">
        <v>46142.613171296296</v>
      </c>
      <c r="N510"/>
      <c r="O510">
        <v>3576.96</v>
      </c>
      <c r="P510" s="4"/>
      <c r="Q510" s="4"/>
      <c r="R510"/>
      <c r="S510"/>
      <c r="T510" s="4"/>
      <c r="U510" s="4"/>
      <c r="V510"/>
      <c r="W510"/>
      <c r="X510"/>
      <c r="Y510" t="inlineStr">
        <is>
          <t>Pending Appointment</t>
        </is>
      </c>
      <c r="Z510" t="inlineStr">
        <is>
          <t>Hiring Now</t>
        </is>
      </c>
      <c r="AA510">
        <v>2</v>
      </c>
      <c r="AB510" t="inlineStr">
        <is>
          <t>No Appointment Made</t>
        </is>
      </c>
      <c r="AC510"/>
      <c r="AD510" t="inlineStr">
        <is>
          <t>hire laywer x1, marketing x1,  all races, lawyer firm kl, wa PIC Mr Jimmy, suggest stand</t>
        </is>
      </c>
      <c r="AE510"/>
      <c r="AF510">
        <v>3000</v>
      </c>
      <c r="AG510" s="4"/>
      <c r="AH510" s="4"/>
      <c r="AI510">
        <v>3000</v>
      </c>
      <c r="AJ510">
        <v>1</v>
      </c>
      <c r="AK510" t="inlineStr">
        <is>
          <t>No, but I want in future</t>
        </is>
      </c>
      <c r="AL510">
        <v>1</v>
      </c>
      <c r="AM510" t="inlineStr">
        <is>
          <t>No, but I want in future</t>
        </is>
      </c>
      <c r="AN510"/>
      <c r="AO510" t="inlineStr">
        <is>
          <t>No, but I want in future</t>
        </is>
      </c>
      <c r="AP510" t="inlineStr">
        <is>
          <t>Twice a year (50%)</t>
        </is>
      </c>
      <c r="AQ510">
        <v>2</v>
      </c>
      <c r="AR510" t="inlineStr">
        <is>
          <t>Did not use any job portal</t>
        </is>
      </c>
      <c r="AS510" t="inlineStr">
        <is>
          <t>- Headcount: 2
- Hiring Job Details: hire lawyer x1, marketing x1, all races, lawyer firm kl, wa PIC Mr Jimmy,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510">
        <v>115</v>
      </c>
      <c r="AU510" t="inlineStr">
        <is>
          <t>1.15</t>
        </is>
      </c>
      <c r="AV510" t="inlineStr">
        <is>
          <t>15</t>
        </is>
      </c>
      <c r="AW510" t="inlineStr">
        <is>
          <t>0</t>
        </is>
      </c>
      <c r="AX510" t="inlineStr">
        <is>
          <t>Not Qualified</t>
        </is>
      </c>
      <c r="AY510" s="4"/>
      <c r="AZ510"/>
      <c r="BA510"/>
      <c r="BB510"/>
      <c r="BC510" t="inlineStr">
        <is>
          <t>- Headcount: 2
- Hiring Job Details: hire lawyer x1, marketing x1, all races, lawyer firm kl, wa PIC Mr Jimmy,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BD510" s="4">
        <v>46142.62503472222</v>
      </c>
      <c r="BE510"/>
      <c r="BF510"/>
      <c r="BG510" t="inlineStr">
        <is>
          <t>Reschedule</t>
        </is>
      </c>
      <c r="BH510" t="inlineStr">
        <is>
          <t>Reagen</t>
        </is>
      </c>
      <c r="BI510"/>
      <c r="BJ510" s="4">
        <v>46144.7544212963</v>
      </c>
      <c r="BK510" s="4">
        <v>46142.60680555556</v>
      </c>
      <c r="BL510" t="inlineStr">
        <is>
          <t>0.0</t>
        </is>
      </c>
      <c r="BM510" t="inlineStr">
        <is>
          <t>0.0</t>
        </is>
      </c>
      <c r="BN510"/>
      <c r="BO510" s="4"/>
      <c r="BP510">
        <v>169703</v>
      </c>
      <c r="BQ510"/>
      <c r="BR510"/>
      <c r="BS510"/>
      <c r="BT510"/>
      <c r="BU510"/>
      <c r="BV510">
        <v>2737849</v>
      </c>
      <c r="BW510" t="inlineStr">
        <is>
          <t>Customer Inquiry</t>
        </is>
      </c>
      <c r="BX510"/>
      <c r="BY510"/>
      <c r="BZ510" s="4"/>
      <c r="CA510"/>
      <c r="CB510"/>
      <c r="CC510" s="4"/>
      <c r="CD510" t="inlineStr">
        <is>
          <t>20</t>
        </is>
      </c>
      <c r="CE510" t="inlineStr">
        <is>
          <t>0</t>
        </is>
      </c>
      <c r="CF510" t="inlineStr">
        <is>
          <t>Q2-W04</t>
        </is>
      </c>
      <c r="CG510"/>
      <c r="CH510"/>
      <c r="CI510"/>
      <c r="CJ510" t="inlineStr">
        <is>
          <t>No Paid</t>
        </is>
      </c>
      <c r="CK510" t="inlineStr">
        <is>
          <t>Not Eligible</t>
        </is>
      </c>
      <c r="CL510"/>
      <c r="CM510"/>
    </row>
    <row r="511" ht="25.5" customHeight="1">
      <c r="A511" t="inlineStr">
        <is>
          <t>50103</t>
        </is>
      </c>
      <c r="B511" s="2"/>
      <c r="C511"/>
      <c r="D511" s="3">
        <v>46142.657430555555</v>
      </c>
      <c r="E511" t="inlineStr">
        <is>
          <t>Q2-W04</t>
        </is>
      </c>
      <c r="F511" t="inlineStr">
        <is>
          <t>Xin Hui</t>
        </is>
      </c>
      <c r="G511" t="inlineStr">
        <is>
          <t>Customer</t>
        </is>
      </c>
      <c r="H511" s="2" t="str">
        <f>=HYPERLINK("https://upbox.ajobthing.my/customer/50103", "https://upbox.ajobthing.my/customer/50103")</f>
        <v>https://upbox.ajobthing.my/customer/50103</v>
      </c>
      <c r="I511" t="inlineStr">
        <is>
          <t>Gagasan Karisma Enterprise</t>
        </is>
      </c>
      <c r="J511" t="inlineStr">
        <is>
          <t>Small Fish</t>
        </is>
      </c>
      <c r="K511" t="inlineStr">
        <is>
          <t>Xin Hui</t>
        </is>
      </c>
      <c r="L511" s="4"/>
      <c r="M511" s="4">
        <v>46142.655324074076</v>
      </c>
      <c r="N511"/>
      <c r="O511">
        <v>3888</v>
      </c>
      <c r="P511" s="4"/>
      <c r="Q511" s="4"/>
      <c r="R511"/>
      <c r="S511"/>
      <c r="T511" s="4"/>
      <c r="U511" s="4"/>
      <c r="V511"/>
      <c r="W511"/>
      <c r="X511"/>
      <c r="Y511" t="inlineStr">
        <is>
          <t>Pending Appointment</t>
        </is>
      </c>
      <c r="Z511" t="inlineStr">
        <is>
          <t>Hiring Now</t>
        </is>
      </c>
      <c r="AA511">
        <v>2</v>
      </c>
      <c r="AB511" t="inlineStr">
        <is>
          <t>No Appointment Made</t>
        </is>
      </c>
      <c r="AC511"/>
      <c r="AD511" t="inlineStr">
        <is>
          <t xml:space="preserve">kerani / wakil takaful </t>
        </is>
      </c>
      <c r="AE511"/>
      <c r="AF511"/>
      <c r="AG511" s="4"/>
      <c r="AH511" s="4"/>
      <c r="AI511"/>
      <c r="AJ511"/>
      <c r="AK511" t="inlineStr">
        <is>
          <t>No, I don't need at all</t>
        </is>
      </c>
      <c r="AL511"/>
      <c r="AM511" t="inlineStr">
        <is>
          <t>No, I don't need at all</t>
        </is>
      </c>
      <c r="AN511"/>
      <c r="AO511" t="inlineStr">
        <is>
          <t>No, I don't need at all</t>
        </is>
      </c>
      <c r="AP511" t="inlineStr">
        <is>
          <t>Once a year (25%)</t>
        </is>
      </c>
      <c r="AQ511"/>
      <c r="AR511" t="inlineStr">
        <is>
          <t>Indeed (Paid)</t>
        </is>
      </c>
      <c r="AS511" t="inlineStr">
        <is>
          <t>- Headcount: 2
- Hiring Job Details: kerani / wakil takaful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Indeed (Paid)</t>
        </is>
      </c>
      <c r="AT511">
        <v>85</v>
      </c>
      <c r="AU511" t="inlineStr">
        <is>
          <t>0.85</t>
        </is>
      </c>
      <c r="AV511" t="inlineStr">
        <is>
          <t>5</t>
        </is>
      </c>
      <c r="AW511" t="inlineStr">
        <is>
          <t>0</t>
        </is>
      </c>
      <c r="AX511" t="inlineStr">
        <is>
          <t>Not Qualified</t>
        </is>
      </c>
      <c r="AY511" s="4"/>
      <c r="AZ511"/>
      <c r="BA511"/>
      <c r="BB511"/>
      <c r="BC511" t="inlineStr">
        <is>
          <t>- Headcount: 2
- Hiring Job Details: kerani / wakil takaful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Indeed (Paid)</t>
        </is>
      </c>
      <c r="BD511" s="4">
        <v>46142.66673611111</v>
      </c>
      <c r="BE511"/>
      <c r="BF511"/>
      <c r="BG511" t="inlineStr">
        <is>
          <t>Reschedule</t>
        </is>
      </c>
      <c r="BH511" t="inlineStr">
        <is>
          <t>Yee Hang</t>
        </is>
      </c>
      <c r="BI511" t="inlineStr">
        <is>
          <t>Insurance</t>
        </is>
      </c>
      <c r="BJ511" s="4">
        <v>46144.75604166667</v>
      </c>
      <c r="BK511" s="4">
        <v>43284.41158564815</v>
      </c>
      <c r="BL511" t="inlineStr">
        <is>
          <t>0.0</t>
        </is>
      </c>
      <c r="BM511" t="inlineStr">
        <is>
          <t>0.0</t>
        </is>
      </c>
      <c r="BN511" t="inlineStr">
        <is>
          <t>View Jobmanager</t>
        </is>
      </c>
      <c r="BO511" s="4">
        <v>43284.52978009259</v>
      </c>
      <c r="BP511">
        <v>169718</v>
      </c>
      <c r="BQ511"/>
      <c r="BR511"/>
      <c r="BS511"/>
      <c r="BT511"/>
      <c r="BU511"/>
      <c r="BV511">
        <v>2738079</v>
      </c>
      <c r="BW511" t="inlineStr">
        <is>
          <t>Customer Inquiry</t>
        </is>
      </c>
      <c r="BX511"/>
      <c r="BY511"/>
      <c r="BZ511" s="4"/>
      <c r="CA511"/>
      <c r="CB511"/>
      <c r="CC511" s="4"/>
      <c r="CD511" t="inlineStr">
        <is>
          <t>5</t>
        </is>
      </c>
      <c r="CE511" t="inlineStr">
        <is>
          <t>0</t>
        </is>
      </c>
      <c r="CF511" t="inlineStr">
        <is>
          <t>Q2-W04</t>
        </is>
      </c>
      <c r="CG511"/>
      <c r="CH511"/>
      <c r="CI511"/>
      <c r="CJ511" t="inlineStr">
        <is>
          <t>No Paid</t>
        </is>
      </c>
      <c r="CK511" t="inlineStr">
        <is>
          <t>Not Eligible</t>
        </is>
      </c>
      <c r="CL511"/>
      <c r="CM511"/>
    </row>
    <row r="512" ht="25.5" customHeight="1">
      <c r="A512" t="inlineStr">
        <is>
          <t>203830</t>
        </is>
      </c>
      <c r="B512" s="2"/>
      <c r="C512"/>
      <c r="D512" s="3">
        <v>46142.6694212963</v>
      </c>
      <c r="E512" t="inlineStr">
        <is>
          <t>Q2-W04</t>
        </is>
      </c>
      <c r="F512" t="inlineStr">
        <is>
          <t>Dickson</t>
        </is>
      </c>
      <c r="G512" t="inlineStr">
        <is>
          <t>Customer</t>
        </is>
      </c>
      <c r="H512" s="2" t="str">
        <f>=HYPERLINK("https://upbox.ajobthing.my/customer/203830", "https://upbox.ajobthing.my/customer/203830")</f>
        <v>https://upbox.ajobthing.my/customer/203830</v>
      </c>
      <c r="I512" t="inlineStr">
        <is>
          <t>Sumber Kemakmuran Bersama Sdn Bhd</t>
        </is>
      </c>
      <c r="J512" t="inlineStr">
        <is>
          <t>Small Fish</t>
        </is>
      </c>
      <c r="K512" t="inlineStr">
        <is>
          <t>Dickson</t>
        </is>
      </c>
      <c r="L512" s="4"/>
      <c r="M512" s="4">
        <v>46142.66954861111</v>
      </c>
      <c r="N512"/>
      <c r="O512">
        <v>1296</v>
      </c>
      <c r="P512" s="4"/>
      <c r="Q512" s="4"/>
      <c r="R512"/>
      <c r="S512"/>
      <c r="T512" s="4"/>
      <c r="U512" s="4"/>
      <c r="V512"/>
      <c r="W512"/>
      <c r="X512"/>
      <c r="Y512" t="inlineStr">
        <is>
          <t>Pending Appointment</t>
        </is>
      </c>
      <c r="Z512" t="inlineStr">
        <is>
          <t>Hiring Now</t>
        </is>
      </c>
      <c r="AA512">
        <v>1</v>
      </c>
      <c r="AB512" t="inlineStr">
        <is>
          <t>No Appointment Made</t>
        </is>
      </c>
      <c r="AC512"/>
      <c r="AD512" t="inlineStr">
        <is>
          <t xml:space="preserve"> 1 sales &amp; marketing freelance position</t>
        </is>
      </c>
      <c r="AE512"/>
      <c r="AF512"/>
      <c r="AG512" s="4"/>
      <c r="AH512" s="4"/>
      <c r="AI512"/>
      <c r="AJ512">
        <v>1</v>
      </c>
      <c r="AK512" t="inlineStr">
        <is>
          <t>No, I don't need at all</t>
        </is>
      </c>
      <c r="AL512"/>
      <c r="AM512" t="inlineStr">
        <is>
          <t>No, I don't need at all</t>
        </is>
      </c>
      <c r="AN512"/>
      <c r="AO512" t="inlineStr">
        <is>
          <t>No, I don't need at all</t>
        </is>
      </c>
      <c r="AP512" t="inlineStr">
        <is>
          <t>Once per quarter (75%)</t>
        </is>
      </c>
      <c r="AQ512"/>
      <c r="AR512"/>
      <c r="AS512" t="inlineStr">
        <is>
          <t>- Headcount: 1
- Hiring Job Details: 1 sales &amp; marketing freelance position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AT512">
        <v>95</v>
      </c>
      <c r="AU512" t="inlineStr">
        <is>
          <t>0.95</t>
        </is>
      </c>
      <c r="AV512" t="inlineStr">
        <is>
          <t>5</t>
        </is>
      </c>
      <c r="AW512" t="inlineStr">
        <is>
          <t>0</t>
        </is>
      </c>
      <c r="AX512" t="inlineStr">
        <is>
          <t>Not Qualified</t>
        </is>
      </c>
      <c r="AY512" s="4"/>
      <c r="AZ512"/>
      <c r="BA512"/>
      <c r="BB512"/>
      <c r="BC512" t="inlineStr">
        <is>
          <t>- Headcount: 1
- Hiring Job Details: 1 sales &amp; marketing freelance position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BD512" s="4">
        <v>46142.70837962963</v>
      </c>
      <c r="BE512"/>
      <c r="BF512"/>
      <c r="BG512" t="inlineStr">
        <is>
          <t>Reschedule</t>
        </is>
      </c>
      <c r="BH512" t="inlineStr">
        <is>
          <t>Edward Hoo</t>
        </is>
      </c>
      <c r="BI512"/>
      <c r="BJ512" s="4">
        <v>46144.7544212963</v>
      </c>
      <c r="BK512" s="4">
        <v>46142.5096412037</v>
      </c>
      <c r="BL512" t="inlineStr">
        <is>
          <t>0.0</t>
        </is>
      </c>
      <c r="BM512" t="inlineStr">
        <is>
          <t>0.0</t>
        </is>
      </c>
      <c r="BN512" t="inlineStr">
        <is>
          <t>View Create Job Page V4</t>
        </is>
      </c>
      <c r="BO512" s="4">
        <v>46142.51775462963</v>
      </c>
      <c r="BP512">
        <v>169723</v>
      </c>
      <c r="BQ512"/>
      <c r="BR512"/>
      <c r="BS512"/>
      <c r="BT512"/>
      <c r="BU512"/>
      <c r="BV512">
        <v>2738276</v>
      </c>
      <c r="BW512" t="inlineStr">
        <is>
          <t>Customer Inquiry</t>
        </is>
      </c>
      <c r="BX512"/>
      <c r="BY512"/>
      <c r="BZ512" s="4"/>
      <c r="CA512"/>
      <c r="CB512"/>
      <c r="CC512" s="4"/>
      <c r="CD512" t="inlineStr">
        <is>
          <t>5</t>
        </is>
      </c>
      <c r="CE512" t="inlineStr">
        <is>
          <t>0</t>
        </is>
      </c>
      <c r="CF512" t="inlineStr">
        <is>
          <t>Q2-W04</t>
        </is>
      </c>
      <c r="CG512"/>
      <c r="CH512"/>
      <c r="CI512"/>
      <c r="CJ512" t="inlineStr">
        <is>
          <t>No Paid</t>
        </is>
      </c>
      <c r="CK512" t="inlineStr">
        <is>
          <t>Not Eligible</t>
        </is>
      </c>
      <c r="CL512"/>
      <c r="CM512"/>
    </row>
    <row r="513" ht="25.5" customHeight="1">
      <c r="A513" t="inlineStr">
        <is>
          <t>156708</t>
        </is>
      </c>
      <c r="B513" s="2"/>
      <c r="C513"/>
      <c r="D513" s="3">
        <v>46142.67015046296</v>
      </c>
      <c r="E513" t="inlineStr">
        <is>
          <t>Q2-W04</t>
        </is>
      </c>
      <c r="F513" t="inlineStr">
        <is>
          <t>Clover</t>
        </is>
      </c>
      <c r="G513" t="inlineStr">
        <is>
          <t>Customer</t>
        </is>
      </c>
      <c r="H513" s="2" t="str">
        <f>=HYPERLINK("https://upbox.ajobthing.my/customer/156708", "https://upbox.ajobthing.my/customer/156708")</f>
        <v>https://upbox.ajobthing.my/customer/156708</v>
      </c>
      <c r="I513" t="inlineStr">
        <is>
          <t>Daily Market</t>
        </is>
      </c>
      <c r="J513" t="inlineStr">
        <is>
          <t>Small Fish</t>
        </is>
      </c>
      <c r="K513" t="inlineStr">
        <is>
          <t>Clover</t>
        </is>
      </c>
      <c r="L513" s="4"/>
      <c r="M513" s="4">
        <v>46142.670798611114</v>
      </c>
      <c r="N513"/>
      <c r="O513">
        <v>5412.96</v>
      </c>
      <c r="P513" s="4"/>
      <c r="Q513" s="4"/>
      <c r="R513"/>
      <c r="S513"/>
      <c r="T513" s="4"/>
      <c r="U513" s="4"/>
      <c r="V513"/>
      <c r="W513"/>
      <c r="X513"/>
      <c r="Y513" t="inlineStr">
        <is>
          <t>Pending Appointment</t>
        </is>
      </c>
      <c r="Z513" t="inlineStr">
        <is>
          <t>Hiring Now</t>
        </is>
      </c>
      <c r="AA513">
        <v>1</v>
      </c>
      <c r="AB513" t="inlineStr">
        <is>
          <t>No Appointment Made</t>
        </is>
      </c>
      <c r="AC513"/>
      <c r="AD513" t="inlineStr">
        <is>
          <t>Hire Admin &amp; Accounts Executive x1, chi eng speaker,  wholesale Damansara, suggest pro</t>
        </is>
      </c>
      <c r="AE513"/>
      <c r="AF513">
        <v>3000</v>
      </c>
      <c r="AG513" s="4"/>
      <c r="AH513" s="4"/>
      <c r="AI513">
        <v>3000</v>
      </c>
      <c r="AJ513">
        <v>1</v>
      </c>
      <c r="AK513" t="inlineStr">
        <is>
          <t>No, but I want in future</t>
        </is>
      </c>
      <c r="AL513">
        <v>1</v>
      </c>
      <c r="AM513" t="inlineStr">
        <is>
          <t>No, but I want in future</t>
        </is>
      </c>
      <c r="AN513"/>
      <c r="AO513" t="inlineStr">
        <is>
          <t>No, but I want in future</t>
        </is>
      </c>
      <c r="AP513" t="inlineStr">
        <is>
          <t>Twice a year (50%)</t>
        </is>
      </c>
      <c r="AQ513">
        <v>2</v>
      </c>
      <c r="AR513" t="inlineStr">
        <is>
          <t>Did not use any job portal</t>
        </is>
      </c>
      <c r="AS513" t="inlineStr">
        <is>
          <t>- Headcount: 1
- Hiring Job Details: 1 Admin &amp; Accounts Executive, Chi Eng speaker, wholesale Damansara, suggest pro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513">
        <v>115</v>
      </c>
      <c r="AU513" t="inlineStr">
        <is>
          <t>1.15</t>
        </is>
      </c>
      <c r="AV513" t="inlineStr">
        <is>
          <t>15</t>
        </is>
      </c>
      <c r="AW513" t="inlineStr">
        <is>
          <t>0</t>
        </is>
      </c>
      <c r="AX513" t="inlineStr">
        <is>
          <t>Not Qualified</t>
        </is>
      </c>
      <c r="AY513" s="4"/>
      <c r="AZ513"/>
      <c r="BA513"/>
      <c r="BB513"/>
      <c r="BC513" t="inlineStr">
        <is>
          <t>- Headcount: 1
- Hiring Job Details: 1 Admin &amp; Accounts Executive, Chi Eng speaker, wholesale Damansara, suggest pro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BD513" s="4">
        <v>46142.708391203705</v>
      </c>
      <c r="BE513"/>
      <c r="BF513"/>
      <c r="BG513" t="inlineStr">
        <is>
          <t>Reschedule</t>
        </is>
      </c>
      <c r="BH513" t="inlineStr">
        <is>
          <t>Reagen</t>
        </is>
      </c>
      <c r="BI513"/>
      <c r="BJ513" s="4">
        <v>46144.75099537037</v>
      </c>
      <c r="BK513" s="4">
        <v>44747.685844907406</v>
      </c>
      <c r="BL513" t="inlineStr">
        <is>
          <t>0.0</t>
        </is>
      </c>
      <c r="BM513" t="inlineStr">
        <is>
          <t>0.0</t>
        </is>
      </c>
      <c r="BN513" t="inlineStr">
        <is>
          <t>View Create Job Page</t>
        </is>
      </c>
      <c r="BO513" s="4">
        <v>44748.73465277778</v>
      </c>
      <c r="BP513">
        <v>169725</v>
      </c>
      <c r="BQ513"/>
      <c r="BR513"/>
      <c r="BS513"/>
      <c r="BT513"/>
      <c r="BU513"/>
      <c r="BV513">
        <v>2738278</v>
      </c>
      <c r="BW513" t="inlineStr">
        <is>
          <t>Customer Inquiry</t>
        </is>
      </c>
      <c r="BX513"/>
      <c r="BY513"/>
      <c r="BZ513" s="4"/>
      <c r="CA513"/>
      <c r="CB513"/>
      <c r="CC513" s="4"/>
      <c r="CD513" t="inlineStr">
        <is>
          <t>20</t>
        </is>
      </c>
      <c r="CE513" t="inlineStr">
        <is>
          <t>0</t>
        </is>
      </c>
      <c r="CF513" t="inlineStr">
        <is>
          <t>Q2-W04</t>
        </is>
      </c>
      <c r="CG513"/>
      <c r="CH513"/>
      <c r="CI513"/>
      <c r="CJ513" t="inlineStr">
        <is>
          <t>No Paid</t>
        </is>
      </c>
      <c r="CK513" t="inlineStr">
        <is>
          <t>Not Eligible</t>
        </is>
      </c>
      <c r="CL513"/>
      <c r="CM513"/>
    </row>
    <row r="514" ht="25.5" customHeight="1">
      <c r="A514" t="inlineStr">
        <is>
          <t>203810</t>
        </is>
      </c>
      <c r="B514" s="2"/>
      <c r="C514"/>
      <c r="D514" s="3">
        <v>46142.682546296295</v>
      </c>
      <c r="E514" t="inlineStr">
        <is>
          <t>Q2-W04</t>
        </is>
      </c>
      <c r="F514" t="inlineStr">
        <is>
          <t>Jia Hui</t>
        </is>
      </c>
      <c r="G514" t="inlineStr">
        <is>
          <t>Customer</t>
        </is>
      </c>
      <c r="H514" s="2" t="str">
        <f>=HYPERLINK("https://upbox.ajobthing.my/customer/203810", "https://upbox.ajobthing.my/customer/203810")</f>
        <v>https://upbox.ajobthing.my/customer/203810</v>
      </c>
      <c r="I514" t="inlineStr">
        <is>
          <t>Azlina Abdul Aziz &amp; Associates</t>
        </is>
      </c>
      <c r="J514" t="inlineStr">
        <is>
          <t>Small Fish</t>
        </is>
      </c>
      <c r="K514" t="inlineStr">
        <is>
          <t>Jia Hui</t>
        </is>
      </c>
      <c r="L514" s="4"/>
      <c r="M514" s="4">
        <v>46142.062939814816</v>
      </c>
      <c r="N514"/>
      <c r="O514">
        <v>864</v>
      </c>
      <c r="P514" s="4"/>
      <c r="Q514" s="4">
        <v>46142.40446759259</v>
      </c>
      <c r="R514"/>
      <c r="S514">
        <v>864</v>
      </c>
      <c r="T514" s="4">
        <v>46142.40446759259</v>
      </c>
      <c r="U514" s="4"/>
      <c r="V514"/>
      <c r="W514">
        <v>864</v>
      </c>
      <c r="X514"/>
      <c r="Y514" t="inlineStr">
        <is>
          <t>Pending Appointment</t>
        </is>
      </c>
      <c r="Z514" t="inlineStr">
        <is>
          <t>Hiring Now</t>
        </is>
      </c>
      <c r="AA514">
        <v>1</v>
      </c>
      <c r="AB514" t="inlineStr">
        <is>
          <t>No Appointment Made</t>
        </is>
      </c>
      <c r="AC514"/>
      <c r="AD514" t="inlineStr">
        <is>
          <t>1 admin</t>
        </is>
      </c>
      <c r="AE514"/>
      <c r="AF514">
        <v>800</v>
      </c>
      <c r="AG514" s="4"/>
      <c r="AH514" s="4"/>
      <c r="AI514"/>
      <c r="AJ514"/>
      <c r="AK514" t="inlineStr">
        <is>
          <t>Yes, I have</t>
        </is>
      </c>
      <c r="AL514"/>
      <c r="AM514"/>
      <c r="AN514"/>
      <c r="AO514"/>
      <c r="AP514" t="inlineStr">
        <is>
          <t>Once a year (25%)</t>
        </is>
      </c>
      <c r="AQ514"/>
      <c r="AR514"/>
      <c r="AS514" t="inlineStr">
        <is>
          <t>- Headcount: 1
- Hiring Job Details: 1 admin
- Hiring Urgency: Hiring Now
- Number of outlets: Not available
- Have recruiter team: Yes
- Number of recruiter in company: Not available
- Have ATS system: Not available
- Have career website: Not available
- Current hiring budget: RM800.00
- Whole year budget: Not available
- Whole year number of vacancies: Not available
- Hiring frequency: Once a year (25%)
- External job portal: Not available</t>
        </is>
      </c>
      <c r="AT514">
        <v>75</v>
      </c>
      <c r="AU514" t="inlineStr">
        <is>
          <t>0.75</t>
        </is>
      </c>
      <c r="AV514" t="inlineStr">
        <is>
          <t>15</t>
        </is>
      </c>
      <c r="AW514" t="inlineStr">
        <is>
          <t>0</t>
        </is>
      </c>
      <c r="AX514" t="inlineStr">
        <is>
          <t>Not Qualified</t>
        </is>
      </c>
      <c r="AY514" s="4"/>
      <c r="AZ514"/>
      <c r="BA514"/>
      <c r="BB514"/>
      <c r="BC514" t="inlineStr">
        <is>
          <t>- Headcount: 1
- Hiring Job Details: 1 admin
- Hiring Urgency: Hiring Now
- Number of outlets: Not available
- Have recruiter team: Yes
- Number of recruiter in company: Not available
- Have ATS system: Not available
- Have career website: Not available
- Current hiring budget: RM800.00
- Whole year budget: Not available
- Whole year number of vacancies: Not available
- Hiring frequency: Once a year (25%)
- External job portal: Not available</t>
        </is>
      </c>
      <c r="BD514" s="4">
        <v>46142.708391203705</v>
      </c>
      <c r="BE514" t="inlineStr">
        <is>
          <t>paid</t>
        </is>
      </c>
      <c r="BF514" t="inlineStr">
        <is>
          <t>Q2-W04</t>
        </is>
      </c>
      <c r="BG514" t="inlineStr">
        <is>
          <t>Reschedule</t>
        </is>
      </c>
      <c r="BH514" t="inlineStr">
        <is>
          <t>Reagen</t>
        </is>
      </c>
      <c r="BI514"/>
      <c r="BJ514" s="4">
        <v>46144.75438657407</v>
      </c>
      <c r="BK514" s="4">
        <v>46142.396261574075</v>
      </c>
      <c r="BL514" t="inlineStr">
        <is>
          <t>864.0</t>
        </is>
      </c>
      <c r="BM514" t="inlineStr">
        <is>
          <t>0.0</t>
        </is>
      </c>
      <c r="BN514"/>
      <c r="BO514" s="4"/>
      <c r="BP514">
        <v>169600</v>
      </c>
      <c r="BQ514">
        <v>95158</v>
      </c>
      <c r="BR514" t="inlineStr">
        <is>
          <t>Online</t>
        </is>
      </c>
      <c r="BS514"/>
      <c r="BT514">
        <v>95158</v>
      </c>
      <c r="BU514"/>
      <c r="BV514">
        <v>2738280</v>
      </c>
      <c r="BW514" t="inlineStr">
        <is>
          <t>Customer Inquiry</t>
        </is>
      </c>
      <c r="BX514">
        <v>1</v>
      </c>
      <c r="BY514">
        <v>1</v>
      </c>
      <c r="BZ514" s="4"/>
      <c r="CA514"/>
      <c r="CB514"/>
      <c r="CC514" s="4"/>
      <c r="CD514" t="inlineStr">
        <is>
          <t>20</t>
        </is>
      </c>
      <c r="CE514" t="inlineStr">
        <is>
          <t>0</t>
        </is>
      </c>
      <c r="CF514" t="inlineStr">
        <is>
          <t>Q2-W04</t>
        </is>
      </c>
      <c r="CG514" t="inlineStr">
        <is>
          <t>Q2-W04</t>
        </is>
      </c>
      <c r="CH514" t="inlineStr">
        <is>
          <t>Q2-W04</t>
        </is>
      </c>
      <c r="CI514"/>
      <c r="CJ514" t="inlineStr">
        <is>
          <t>Paid</t>
        </is>
      </c>
      <c r="CK514" t="inlineStr">
        <is>
          <t>Not Eligible</t>
        </is>
      </c>
      <c r="CL514"/>
      <c r="CM514"/>
    </row>
    <row r="515" ht="25.5" customHeight="1">
      <c r="A515" t="inlineStr">
        <is>
          <t>203825</t>
        </is>
      </c>
      <c r="B515" s="2"/>
      <c r="C515"/>
      <c r="D515" s="3">
        <v>46142.69510416667</v>
      </c>
      <c r="E515" t="inlineStr">
        <is>
          <t>Q2-W04</t>
        </is>
      </c>
      <c r="F515" t="inlineStr">
        <is>
          <t>Jia Hui</t>
        </is>
      </c>
      <c r="G515" t="inlineStr">
        <is>
          <t>Customer</t>
        </is>
      </c>
      <c r="H515" s="2" t="str">
        <f>=HYPERLINK("https://upbox.ajobthing.my/customer/203825", "https://upbox.ajobthing.my/customer/203825")</f>
        <v>https://upbox.ajobthing.my/customer/203825</v>
      </c>
      <c r="I515" t="inlineStr">
        <is>
          <t>Risesun International (M) Sdn Bhd</t>
        </is>
      </c>
      <c r="J515" t="inlineStr">
        <is>
          <t>Small Fish</t>
        </is>
      </c>
      <c r="K515" t="inlineStr">
        <is>
          <t>Jia Hui</t>
        </is>
      </c>
      <c r="L515" s="4"/>
      <c r="M515" s="4">
        <v>46142.69225694444</v>
      </c>
      <c r="N515"/>
      <c r="O515">
        <v>3672</v>
      </c>
      <c r="P515" s="4"/>
      <c r="Q515" s="4"/>
      <c r="R515"/>
      <c r="S515"/>
      <c r="T515" s="4"/>
      <c r="U515" s="4"/>
      <c r="V515"/>
      <c r="W515"/>
      <c r="X515"/>
      <c r="Y515" t="inlineStr">
        <is>
          <t>Pending Appointment</t>
        </is>
      </c>
      <c r="Z515" t="inlineStr">
        <is>
          <t>Hiring Now</t>
        </is>
      </c>
      <c r="AA515">
        <v>2</v>
      </c>
      <c r="AB515" t="inlineStr">
        <is>
          <t>No Appointment Made</t>
        </is>
      </c>
      <c r="AC515"/>
      <c r="AD515" t="inlineStr">
        <is>
          <t>1 finance executive, 1 supermarket supervisor</t>
        </is>
      </c>
      <c r="AE515"/>
      <c r="AF515">
        <v>1000</v>
      </c>
      <c r="AG515" s="4"/>
      <c r="AH515" s="4"/>
      <c r="AI515"/>
      <c r="AJ515"/>
      <c r="AK515" t="inlineStr">
        <is>
          <t>Yes, I have</t>
        </is>
      </c>
      <c r="AL515"/>
      <c r="AM515"/>
      <c r="AN515"/>
      <c r="AO515"/>
      <c r="AP515" t="inlineStr">
        <is>
          <t>Once a year (25%)</t>
        </is>
      </c>
      <c r="AQ515"/>
      <c r="AR515"/>
      <c r="AS515" t="inlineStr">
        <is>
          <t>- Headcount: 2
- Hiring Job Details: 1 finance executive, 1 supermarket supervisor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515">
        <v>95</v>
      </c>
      <c r="AU515" t="inlineStr">
        <is>
          <t>0.95</t>
        </is>
      </c>
      <c r="AV515" t="inlineStr">
        <is>
          <t>15</t>
        </is>
      </c>
      <c r="AW515" t="inlineStr">
        <is>
          <t>0</t>
        </is>
      </c>
      <c r="AX515" t="inlineStr">
        <is>
          <t>Not Qualified</t>
        </is>
      </c>
      <c r="AY515" s="4"/>
      <c r="AZ515"/>
      <c r="BA515"/>
      <c r="BB515"/>
      <c r="BC515" t="inlineStr">
        <is>
          <t>- Headcount: 2
- Hiring Job Details: 1 finance executive, 1 supermarket supervisor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BD515" s="4">
        <v>46142.708391203705</v>
      </c>
      <c r="BE515"/>
      <c r="BF515"/>
      <c r="BG515" t="inlineStr">
        <is>
          <t>Reschedule</t>
        </is>
      </c>
      <c r="BH515" t="inlineStr">
        <is>
          <t>Reagen</t>
        </is>
      </c>
      <c r="BI515"/>
      <c r="BJ515" s="4">
        <v>46144.7544212963</v>
      </c>
      <c r="BK515" s="4">
        <v>46142.46511574074</v>
      </c>
      <c r="BL515" t="inlineStr">
        <is>
          <t>0.0</t>
        </is>
      </c>
      <c r="BM515" t="inlineStr">
        <is>
          <t>0.0</t>
        </is>
      </c>
      <c r="BN515"/>
      <c r="BO515" s="4"/>
      <c r="BP515">
        <v>169734</v>
      </c>
      <c r="BQ515"/>
      <c r="BR515"/>
      <c r="BS515"/>
      <c r="BT515"/>
      <c r="BU515"/>
      <c r="BV515">
        <v>2738282</v>
      </c>
      <c r="BW515" t="inlineStr">
        <is>
          <t>Customer Inquiry</t>
        </is>
      </c>
      <c r="BX515"/>
      <c r="BY515"/>
      <c r="BZ515" s="4"/>
      <c r="CA515"/>
      <c r="CB515"/>
      <c r="CC515" s="4"/>
      <c r="CD515" t="inlineStr">
        <is>
          <t>20</t>
        </is>
      </c>
      <c r="CE515" t="inlineStr">
        <is>
          <t>0</t>
        </is>
      </c>
      <c r="CF515" t="inlineStr">
        <is>
          <t>Q2-W04</t>
        </is>
      </c>
      <c r="CG515"/>
      <c r="CH515"/>
      <c r="CI515"/>
      <c r="CJ515" t="inlineStr">
        <is>
          <t>No Paid</t>
        </is>
      </c>
      <c r="CK515" t="inlineStr">
        <is>
          <t>Not Eligible</t>
        </is>
      </c>
      <c r="CL515"/>
      <c r="CM515"/>
    </row>
    <row r="516" ht="25.5" customHeight="1">
      <c r="A516" t="inlineStr">
        <is>
          <t>192043</t>
        </is>
      </c>
      <c r="B516" s="2"/>
      <c r="C516"/>
      <c r="D516" s="3">
        <v>46142.69793981482</v>
      </c>
      <c r="E516" t="inlineStr">
        <is>
          <t>Q2-W04</t>
        </is>
      </c>
      <c r="F516" t="inlineStr">
        <is>
          <t>Xin Hui</t>
        </is>
      </c>
      <c r="G516" t="inlineStr">
        <is>
          <t>Customer</t>
        </is>
      </c>
      <c r="H516" s="2" t="str">
        <f>=HYPERLINK("https://upbox.ajobthing.my/customer/192043", "https://upbox.ajobthing.my/customer/192043")</f>
        <v>https://upbox.ajobthing.my/customer/192043</v>
      </c>
      <c r="I516" t="inlineStr">
        <is>
          <t xml:space="preserve">Enderong Resort Sdn Bhd </t>
        </is>
      </c>
      <c r="J516" t="inlineStr">
        <is>
          <t>Small Fish</t>
        </is>
      </c>
      <c r="K516" t="inlineStr">
        <is>
          <t>Xin Hui</t>
        </is>
      </c>
      <c r="L516" s="4"/>
      <c r="M516" s="4">
        <v>46142.69920138889</v>
      </c>
      <c r="N516"/>
      <c r="O516">
        <v>3888</v>
      </c>
      <c r="P516" s="4"/>
      <c r="Q516" s="4"/>
      <c r="R516"/>
      <c r="S516"/>
      <c r="T516" s="4"/>
      <c r="U516" s="4"/>
      <c r="V516"/>
      <c r="W516"/>
      <c r="X516"/>
      <c r="Y516" t="inlineStr">
        <is>
          <t>Pending Appointment</t>
        </is>
      </c>
      <c r="Z516" t="inlineStr">
        <is>
          <t>Hiring Now</t>
        </is>
      </c>
      <c r="AA516">
        <v>1</v>
      </c>
      <c r="AB516" t="inlineStr">
        <is>
          <t>No Appointment Made</t>
        </is>
      </c>
      <c r="AC516"/>
      <c r="AD516" t="inlineStr">
        <is>
          <t>worker</t>
        </is>
      </c>
      <c r="AE516"/>
      <c r="AF516"/>
      <c r="AG516" s="4"/>
      <c r="AH516" s="4"/>
      <c r="AI516"/>
      <c r="AJ516"/>
      <c r="AK516" t="inlineStr">
        <is>
          <t>No, I don't need at all</t>
        </is>
      </c>
      <c r="AL516"/>
      <c r="AM516" t="inlineStr">
        <is>
          <t>No, I don't need at all</t>
        </is>
      </c>
      <c r="AN516"/>
      <c r="AO516" t="inlineStr">
        <is>
          <t>No, I don't need at all</t>
        </is>
      </c>
      <c r="AP516" t="inlineStr">
        <is>
          <t>Once a year (25%)</t>
        </is>
      </c>
      <c r="AQ516"/>
      <c r="AR516" t="inlineStr">
        <is>
          <t>Indeed (Paid), Jobstore</t>
        </is>
      </c>
      <c r="AS516" t="inlineStr">
        <is>
          <t>- Headcount: 1
- Hiring Job Details: worker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Indeed (Paid), Jobstore</t>
        </is>
      </c>
      <c r="AT516">
        <v>75</v>
      </c>
      <c r="AU516" t="inlineStr">
        <is>
          <t>0.75</t>
        </is>
      </c>
      <c r="AV516" t="inlineStr">
        <is>
          <t>5</t>
        </is>
      </c>
      <c r="AW516" t="inlineStr">
        <is>
          <t>0</t>
        </is>
      </c>
      <c r="AX516" t="inlineStr">
        <is>
          <t>Not Qualified</t>
        </is>
      </c>
      <c r="AY516" s="4"/>
      <c r="AZ516"/>
      <c r="BA516"/>
      <c r="BB516"/>
      <c r="BC516" t="inlineStr">
        <is>
          <t>- Headcount: 1
- Hiring Job Details: worker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Indeed (Paid), Jobstore</t>
        </is>
      </c>
      <c r="BD516" s="4">
        <v>46142.708391203705</v>
      </c>
      <c r="BE516"/>
      <c r="BF516"/>
      <c r="BG516" t="inlineStr">
        <is>
          <t>Reschedule</t>
        </is>
      </c>
      <c r="BH516" t="inlineStr">
        <is>
          <t>Yee Hang</t>
        </is>
      </c>
      <c r="BI516"/>
      <c r="BJ516" s="4">
        <v>46144.752546296295</v>
      </c>
      <c r="BK516" s="4">
        <v>45807.978946759256</v>
      </c>
      <c r="BL516" t="inlineStr">
        <is>
          <t>0.0</t>
        </is>
      </c>
      <c r="BM516" t="inlineStr">
        <is>
          <t>0.0</t>
        </is>
      </c>
      <c r="BN516" t="inlineStr">
        <is>
          <t>View Candidate Search Page</t>
        </is>
      </c>
      <c r="BO516" s="4">
        <v>45807.98045138889</v>
      </c>
      <c r="BP516">
        <v>169735</v>
      </c>
      <c r="BQ516"/>
      <c r="BR516"/>
      <c r="BS516"/>
      <c r="BT516"/>
      <c r="BU516"/>
      <c r="BV516">
        <v>2738283</v>
      </c>
      <c r="BW516" t="inlineStr">
        <is>
          <t>Customer Inquiry</t>
        </is>
      </c>
      <c r="BX516"/>
      <c r="BY516"/>
      <c r="BZ516" s="4"/>
      <c r="CA516"/>
      <c r="CB516"/>
      <c r="CC516" s="4"/>
      <c r="CD516" t="inlineStr">
        <is>
          <t>5</t>
        </is>
      </c>
      <c r="CE516" t="inlineStr">
        <is>
          <t>0</t>
        </is>
      </c>
      <c r="CF516" t="inlineStr">
        <is>
          <t>Q2-W04</t>
        </is>
      </c>
      <c r="CG516"/>
      <c r="CH516"/>
      <c r="CI516"/>
      <c r="CJ516" t="inlineStr">
        <is>
          <t>No Paid</t>
        </is>
      </c>
      <c r="CK516" t="inlineStr">
        <is>
          <t>Not Eligible</t>
        </is>
      </c>
      <c r="CL516"/>
      <c r="CM516"/>
    </row>
    <row r="517" ht="25.5" customHeight="1">
      <c r="A517" t="inlineStr">
        <is>
          <t>203842</t>
        </is>
      </c>
      <c r="B517" s="2"/>
      <c r="C517"/>
      <c r="D517" s="3">
        <v>46142.71871527778</v>
      </c>
      <c r="E517" t="inlineStr">
        <is>
          <t>Q2-W04</t>
        </is>
      </c>
      <c r="F517" t="inlineStr">
        <is>
          <t>Lucas</t>
        </is>
      </c>
      <c r="G517" t="inlineStr">
        <is>
          <t>Customer</t>
        </is>
      </c>
      <c r="H517" s="2" t="str">
        <f>=HYPERLINK("https://upbox.ajobthing.my/customer/203842", "https://upbox.ajobthing.my/customer/203842")</f>
        <v>https://upbox.ajobthing.my/customer/203842</v>
      </c>
      <c r="I517" t="inlineStr">
        <is>
          <t>Cherish Dessert Cafe</t>
        </is>
      </c>
      <c r="J517" t="inlineStr">
        <is>
          <t>Small Fish</t>
        </is>
      </c>
      <c r="K517" t="inlineStr">
        <is>
          <t>Lucas</t>
        </is>
      </c>
      <c r="L517" s="4"/>
      <c r="M517" s="4">
        <v>46142.719201388885</v>
      </c>
      <c r="N517"/>
      <c r="O517">
        <v>1296</v>
      </c>
      <c r="P517" s="4"/>
      <c r="Q517" s="4"/>
      <c r="R517"/>
      <c r="S517"/>
      <c r="T517" s="4"/>
      <c r="U517" s="4"/>
      <c r="V517"/>
      <c r="W517"/>
      <c r="X517"/>
      <c r="Y517" t="inlineStr">
        <is>
          <t>Pending Appointment</t>
        </is>
      </c>
      <c r="Z517" t="inlineStr">
        <is>
          <t>Hiring Now</t>
        </is>
      </c>
      <c r="AA517">
        <v>1</v>
      </c>
      <c r="AB517" t="inlineStr">
        <is>
          <t>No Appointment Made</t>
        </is>
      </c>
      <c r="AC517"/>
      <c r="AD517" t="inlineStr">
        <is>
          <t xml:space="preserve">1 barista </t>
        </is>
      </c>
      <c r="AE517"/>
      <c r="AF517">
        <v>0</v>
      </c>
      <c r="AG517" s="4"/>
      <c r="AH517" s="4"/>
      <c r="AI517">
        <v>0</v>
      </c>
      <c r="AJ517">
        <v>0</v>
      </c>
      <c r="AK517" t="inlineStr">
        <is>
          <t>No, I don't need at all</t>
        </is>
      </c>
      <c r="AL517">
        <v>0</v>
      </c>
      <c r="AM517" t="inlineStr">
        <is>
          <t>No, I don't need at all</t>
        </is>
      </c>
      <c r="AN517"/>
      <c r="AO517" t="inlineStr">
        <is>
          <t>No, I don't need at all</t>
        </is>
      </c>
      <c r="AP517" t="inlineStr">
        <is>
          <t>Once a year (25%)</t>
        </is>
      </c>
      <c r="AQ517">
        <v>1</v>
      </c>
      <c r="AR517" t="inlineStr">
        <is>
          <t>Did not use any job portal</t>
        </is>
      </c>
      <c r="AS517" t="inlineStr">
        <is>
          <t>- Headcount: 1
- Hiring Job Details: 1 barista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517">
        <v>105</v>
      </c>
      <c r="AU517" t="inlineStr">
        <is>
          <t>1.05</t>
        </is>
      </c>
      <c r="AV517" t="inlineStr">
        <is>
          <t>15</t>
        </is>
      </c>
      <c r="AW517" t="inlineStr">
        <is>
          <t>0</t>
        </is>
      </c>
      <c r="AX517" t="inlineStr">
        <is>
          <t>Not Qualified</t>
        </is>
      </c>
      <c r="AY517" s="4"/>
      <c r="AZ517"/>
      <c r="BA517"/>
      <c r="BB517"/>
      <c r="BC517" t="inlineStr">
        <is>
          <t>1 barista , whatsapp call</t>
        </is>
      </c>
      <c r="BD517" s="4">
        <v>46142.72025462963</v>
      </c>
      <c r="BE517"/>
      <c r="BF517"/>
      <c r="BG517" t="inlineStr">
        <is>
          <t>Reschedule</t>
        </is>
      </c>
      <c r="BH517" t="inlineStr">
        <is>
          <t>Yee Hang</t>
        </is>
      </c>
      <c r="BI517"/>
      <c r="BJ517" s="4">
        <v>46144.7544212963</v>
      </c>
      <c r="BK517" s="4">
        <v>46142.71099537037</v>
      </c>
      <c r="BL517" t="inlineStr">
        <is>
          <t>0.0</t>
        </is>
      </c>
      <c r="BM517" t="inlineStr">
        <is>
          <t>0.0</t>
        </is>
      </c>
      <c r="BN517"/>
      <c r="BO517" s="4"/>
      <c r="BP517">
        <v>169738</v>
      </c>
      <c r="BQ517"/>
      <c r="BR517"/>
      <c r="BS517"/>
      <c r="BT517"/>
      <c r="BU517"/>
      <c r="BV517">
        <v>2738346</v>
      </c>
      <c r="BW517" t="inlineStr">
        <is>
          <t>Inquire for Hiring Needs : Quotation Sent 50%</t>
        </is>
      </c>
      <c r="BX517"/>
      <c r="BY517"/>
      <c r="BZ517" s="4"/>
      <c r="CA517"/>
      <c r="CB517"/>
      <c r="CC517" s="4"/>
      <c r="CD517" t="inlineStr">
        <is>
          <t>20</t>
        </is>
      </c>
      <c r="CE517" t="inlineStr">
        <is>
          <t>0</t>
        </is>
      </c>
      <c r="CF517" t="inlineStr">
        <is>
          <t>Q2-W04</t>
        </is>
      </c>
      <c r="CG517"/>
      <c r="CH517"/>
      <c r="CI517"/>
      <c r="CJ517" t="inlineStr">
        <is>
          <t>No Paid</t>
        </is>
      </c>
      <c r="CK517" t="inlineStr">
        <is>
          <t>Not Eligible</t>
        </is>
      </c>
      <c r="CL517"/>
      <c r="CM517"/>
    </row>
    <row r="518" ht="25.5" customHeight="1">
      <c r="A518" t="inlineStr">
        <is>
          <t>189662</t>
        </is>
      </c>
      <c r="B518" s="2"/>
      <c r="C518"/>
      <c r="D518" s="3">
        <v>46142.74395833333</v>
      </c>
      <c r="E518" t="inlineStr">
        <is>
          <t>Q2-W04</t>
        </is>
      </c>
      <c r="F518" t="inlineStr">
        <is>
          <t>Fariz</t>
        </is>
      </c>
      <c r="G518" t="inlineStr">
        <is>
          <t>Customer</t>
        </is>
      </c>
      <c r="H518" s="2" t="str">
        <f>=HYPERLINK("https://upbox.ajobthing.my/customer/189662", "https://upbox.ajobthing.my/customer/189662")</f>
        <v>https://upbox.ajobthing.my/customer/189662</v>
      </c>
      <c r="I518" t="inlineStr">
        <is>
          <t>WAI Associates Group</t>
        </is>
      </c>
      <c r="J518" t="inlineStr">
        <is>
          <t>Small Fish</t>
        </is>
      </c>
      <c r="K518" t="inlineStr">
        <is>
          <t>Fariz</t>
        </is>
      </c>
      <c r="L518" s="4"/>
      <c r="M518" s="4">
        <v>46142.74407407407</v>
      </c>
      <c r="N518"/>
      <c r="O518">
        <v>3888</v>
      </c>
      <c r="P518" s="4"/>
      <c r="Q518" s="4"/>
      <c r="R518"/>
      <c r="S518"/>
      <c r="T518" s="4"/>
      <c r="U518" s="4"/>
      <c r="V518"/>
      <c r="W518"/>
      <c r="X518"/>
      <c r="Y518" t="inlineStr">
        <is>
          <t>Pending Appointment</t>
        </is>
      </c>
      <c r="Z518" t="inlineStr">
        <is>
          <t>Hiring Later</t>
        </is>
      </c>
      <c r="AA518">
        <v>1</v>
      </c>
      <c r="AB518" t="inlineStr">
        <is>
          <t>No Appointment Made</t>
        </is>
      </c>
      <c r="AC518"/>
      <c r="AD518" t="inlineStr">
        <is>
          <t>1 admin</t>
        </is>
      </c>
      <c r="AE518"/>
      <c r="AF518">
        <v>3600</v>
      </c>
      <c r="AG518" s="4"/>
      <c r="AH518" s="4"/>
      <c r="AI518">
        <v>3600</v>
      </c>
      <c r="AJ518"/>
      <c r="AK518" t="inlineStr">
        <is>
          <t>No, I don't need at all</t>
        </is>
      </c>
      <c r="AL518">
        <v>1</v>
      </c>
      <c r="AM518" t="inlineStr">
        <is>
          <t>No, I don't need at all</t>
        </is>
      </c>
      <c r="AN518"/>
      <c r="AO518" t="inlineStr">
        <is>
          <t>No, I don't need at all</t>
        </is>
      </c>
      <c r="AP518" t="inlineStr">
        <is>
          <t>Once a year (25%)</t>
        </is>
      </c>
      <c r="AQ518">
        <v>1</v>
      </c>
      <c r="AR518" t="inlineStr">
        <is>
          <t>Linkedin (Paid), Jobstreet</t>
        </is>
      </c>
      <c r="AS518" t="inlineStr">
        <is>
          <t>- Headcount: 1
- Hiring Job Details: 1 admin
- Hiring Urgency: Hiring Later
- Number of outlets: N/A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Linkedin (Paid),Jobstreet</t>
        </is>
      </c>
      <c r="AT518">
        <v>110</v>
      </c>
      <c r="AU518" t="inlineStr">
        <is>
          <t>1.10</t>
        </is>
      </c>
      <c r="AV518" t="inlineStr">
        <is>
          <t>15</t>
        </is>
      </c>
      <c r="AW518" t="inlineStr">
        <is>
          <t>0</t>
        </is>
      </c>
      <c r="AX518" t="inlineStr">
        <is>
          <t>Not Qualified</t>
        </is>
      </c>
      <c r="AY518" s="4"/>
      <c r="AZ518"/>
      <c r="BA518"/>
      <c r="BB518"/>
      <c r="BC518" t="inlineStr">
        <is>
          <t>0364136991 - Syafiqah,  pic for hiring. nagini no longer work. no hiring plan for this and q3.
enquiry@waiassociates.com - as to send brochure and quotation for future reference</t>
        </is>
      </c>
      <c r="BD518" s="4">
        <v>46142.74587962963</v>
      </c>
      <c r="BE518"/>
      <c r="BF518"/>
      <c r="BG518" t="inlineStr">
        <is>
          <t>Reschedule</t>
        </is>
      </c>
      <c r="BH518" t="inlineStr">
        <is>
          <t>Edward Hoo</t>
        </is>
      </c>
      <c r="BI518"/>
      <c r="BJ518" s="4">
        <v>46144.75232638889</v>
      </c>
      <c r="BK518" s="4">
        <v>45755.50412037037</v>
      </c>
      <c r="BL518" t="inlineStr">
        <is>
          <t>0.0</t>
        </is>
      </c>
      <c r="BM518" t="inlineStr">
        <is>
          <t>150.0</t>
        </is>
      </c>
      <c r="BN518" t="inlineStr">
        <is>
          <t>View Create Job Page</t>
        </is>
      </c>
      <c r="BO518" s="4">
        <v>45755.5146875</v>
      </c>
      <c r="BP518">
        <v>169746</v>
      </c>
      <c r="BQ518"/>
      <c r="BR518"/>
      <c r="BS518"/>
      <c r="BT518"/>
      <c r="BU518"/>
      <c r="BV518">
        <v>2738481</v>
      </c>
      <c r="BW518" t="inlineStr">
        <is>
          <t>Inquire for Hiring Needs : Quotation Sent 50%</t>
        </is>
      </c>
      <c r="BX518"/>
      <c r="BY518"/>
      <c r="BZ518" s="4"/>
      <c r="CA518"/>
      <c r="CB518"/>
      <c r="CC518" s="4"/>
      <c r="CD518" t="inlineStr">
        <is>
          <t>20</t>
        </is>
      </c>
      <c r="CE518" t="inlineStr">
        <is>
          <t>0</t>
        </is>
      </c>
      <c r="CF518" t="inlineStr">
        <is>
          <t>Q2-W04</t>
        </is>
      </c>
      <c r="CG518"/>
      <c r="CH518"/>
      <c r="CI518"/>
      <c r="CJ518" t="inlineStr">
        <is>
          <t>No Paid</t>
        </is>
      </c>
      <c r="CK518" t="inlineStr">
        <is>
          <t>Not Eligible</t>
        </is>
      </c>
      <c r="CL518"/>
      <c r="CM518"/>
    </row>
    <row r="519" ht="25.5" customHeight="1">
      <c r="A519" t="inlineStr">
        <is>
          <t>203847</t>
        </is>
      </c>
      <c r="B519" s="2"/>
      <c r="C519"/>
      <c r="D519" s="3">
        <v>46142.910150462965</v>
      </c>
      <c r="E519" t="inlineStr">
        <is>
          <t>Q2-W04</t>
        </is>
      </c>
      <c r="F519" t="inlineStr">
        <is>
          <t>Guest User 91589</t>
        </is>
      </c>
      <c r="G519" t="inlineStr">
        <is>
          <t>Customer</t>
        </is>
      </c>
      <c r="H519" s="2" t="str">
        <f>=HYPERLINK("https://upbox.ajobthing.my/customer/203847", "https://upbox.ajobthing.my/customer/203847")</f>
        <v>https://upbox.ajobthing.my/customer/203847</v>
      </c>
      <c r="I519" t="inlineStr">
        <is>
          <t>micro energy holdingd</t>
        </is>
      </c>
      <c r="J519" t="inlineStr">
        <is>
          <t>Small Fish</t>
        </is>
      </c>
      <c r="K519" t="inlineStr">
        <is>
          <t>Evan</t>
        </is>
      </c>
      <c r="L519" s="4"/>
      <c r="M519" s="4">
        <v>46142.480729166666</v>
      </c>
      <c r="N519"/>
      <c r="O519">
        <v>6048</v>
      </c>
      <c r="P519" s="4"/>
      <c r="Q519" s="4">
        <v>46142.815729166665</v>
      </c>
      <c r="R519"/>
      <c r="S519">
        <v>5412.96</v>
      </c>
      <c r="T519" s="4"/>
      <c r="U519" s="4"/>
      <c r="V519"/>
      <c r="W519"/>
      <c r="X519"/>
      <c r="Y519" t="inlineStr">
        <is>
          <t>Pending Appointment</t>
        </is>
      </c>
      <c r="Z519" t="inlineStr">
        <is>
          <t>Continuous Hiring</t>
        </is>
      </c>
      <c r="AA519">
        <v>1</v>
      </c>
      <c r="AB519" t="inlineStr">
        <is>
          <t>No Appointment Made</t>
        </is>
      </c>
      <c r="AC519"/>
      <c r="AD519" t="inlineStr">
        <is>
          <t>1 admin, all base in kl</t>
        </is>
      </c>
      <c r="AE519"/>
      <c r="AF519">
        <v>1</v>
      </c>
      <c r="AG519" s="4"/>
      <c r="AH519" s="4"/>
      <c r="AI519">
        <v>1</v>
      </c>
      <c r="AJ519">
        <v>1</v>
      </c>
      <c r="AK519" t="inlineStr">
        <is>
          <t>No, I don't need at all</t>
        </is>
      </c>
      <c r="AL519">
        <v>0</v>
      </c>
      <c r="AM519" t="inlineStr">
        <is>
          <t>No, I don't need at all</t>
        </is>
      </c>
      <c r="AN519"/>
      <c r="AO519" t="inlineStr">
        <is>
          <t>No, I don't need at all</t>
        </is>
      </c>
      <c r="AP519" t="inlineStr">
        <is>
          <t>Once a year (25%)</t>
        </is>
      </c>
      <c r="AQ519">
        <v>1</v>
      </c>
      <c r="AR519" t="inlineStr">
        <is>
          <t>Jobstreet</t>
        </is>
      </c>
      <c r="AS519" t="inlineStr">
        <is>
          <t>- Headcount: 1
- Hiring Job Details: 1 admin, all base in kl
- Hiring Urgency: Continuous Hiring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AT519">
        <v>110</v>
      </c>
      <c r="AU519" t="inlineStr">
        <is>
          <t>1.10</t>
        </is>
      </c>
      <c r="AV519" t="inlineStr">
        <is>
          <t>15</t>
        </is>
      </c>
      <c r="AW519" t="inlineStr">
        <is>
          <t>0</t>
        </is>
      </c>
      <c r="AX519" t="inlineStr">
        <is>
          <t>Not Qualified</t>
        </is>
      </c>
      <c r="AY519" s="4"/>
      <c r="AZ519"/>
      <c r="BA519"/>
      <c r="BB519"/>
      <c r="BC519" t="inlineStr">
        <is>
          <t>- Headcount: 1
- Hiring Job Details: 1 admin, all base in kl
- Hiring Urgency: Continuous Hiring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BD519" s="4">
        <v>46142.91668981482</v>
      </c>
      <c r="BE519" t="inlineStr">
        <is>
          <t>pending</t>
        </is>
      </c>
      <c r="BF519"/>
      <c r="BG519" t="inlineStr">
        <is>
          <t>Reschedule</t>
        </is>
      </c>
      <c r="BH519"/>
      <c r="BI519"/>
      <c r="BJ519" s="4">
        <v>46144.7544212963</v>
      </c>
      <c r="BK519" s="4">
        <v>46142.814050925925</v>
      </c>
      <c r="BL519" t="inlineStr">
        <is>
          <t>0.0</t>
        </is>
      </c>
      <c r="BM519" t="inlineStr">
        <is>
          <t>0.0</t>
        </is>
      </c>
      <c r="BN519"/>
      <c r="BO519" s="4"/>
      <c r="BP519">
        <v>169759</v>
      </c>
      <c r="BQ519">
        <v>124226</v>
      </c>
      <c r="BR519" t="inlineStr">
        <is>
          <t>Proforma</t>
        </is>
      </c>
      <c r="BS519" t="inlineStr">
        <is>
          <t>AI Yearly Professional Plan (Jan 26)</t>
        </is>
      </c>
      <c r="BT519"/>
      <c r="BU519"/>
      <c r="BV519">
        <v>2738581</v>
      </c>
      <c r="BW519" t="inlineStr">
        <is>
          <t>Customer Inquiry</t>
        </is>
      </c>
      <c r="BX519"/>
      <c r="BY519"/>
      <c r="BZ519" s="4"/>
      <c r="CA519"/>
      <c r="CB519"/>
      <c r="CC519" s="4"/>
      <c r="CD519" t="inlineStr">
        <is>
          <t>20</t>
        </is>
      </c>
      <c r="CE519" t="inlineStr">
        <is>
          <t>0</t>
        </is>
      </c>
      <c r="CF519" t="inlineStr">
        <is>
          <t>Q2-W04</t>
        </is>
      </c>
      <c r="CG519" t="inlineStr">
        <is>
          <t>Q2-W04</t>
        </is>
      </c>
      <c r="CH519"/>
      <c r="CI519"/>
      <c r="CJ519" t="inlineStr">
        <is>
          <t>No Paid</t>
        </is>
      </c>
      <c r="CK519" t="inlineStr">
        <is>
          <t>Not Eligible</t>
        </is>
      </c>
      <c r="CL519"/>
      <c r="CM519"/>
    </row>
    <row r="520" ht="25.5" customHeight="1">
      <c r="A520" t="inlineStr">
        <is>
          <t>203537</t>
        </is>
      </c>
      <c r="B520" s="2"/>
      <c r="C520"/>
      <c r="D520" s="3">
        <v>46136.452314814815</v>
      </c>
      <c r="E520" t="inlineStr">
        <is>
          <t>Q2-W04</t>
        </is>
      </c>
      <c r="F520" t="inlineStr">
        <is>
          <t>Clover</t>
        </is>
      </c>
      <c r="G520" t="inlineStr">
        <is>
          <t>Customer</t>
        </is>
      </c>
      <c r="H520" s="2" t="str">
        <f>=HYPERLINK("https://upbox.ajobthing.my/customer/203537", "https://upbox.ajobthing.my/customer/203537")</f>
        <v>https://upbox.ajobthing.my/customer/203537</v>
      </c>
      <c r="I520" t="inlineStr">
        <is>
          <t>J&amp;TEXPRESS</t>
        </is>
      </c>
      <c r="J520" t="inlineStr">
        <is>
          <t>Super Whale</t>
        </is>
      </c>
      <c r="K520" t="inlineStr">
        <is>
          <t>Clover</t>
        </is>
      </c>
      <c r="L520" s="4"/>
      <c r="M520" s="4">
        <v>46140.70778935185</v>
      </c>
      <c r="N520"/>
      <c r="O520">
        <v>5412.96</v>
      </c>
      <c r="P520" s="4"/>
      <c r="Q520" s="4"/>
      <c r="R520"/>
      <c r="S520"/>
      <c r="T520" s="4"/>
      <c r="U520" s="4"/>
      <c r="V520"/>
      <c r="W520"/>
      <c r="X520"/>
      <c r="Y520" t="inlineStr">
        <is>
          <t>Pending Appointment</t>
        </is>
      </c>
      <c r="Z520" t="inlineStr">
        <is>
          <t>Continuous Hiring</t>
        </is>
      </c>
      <c r="AA520">
        <v>17</v>
      </c>
      <c r="AB520" t="inlineStr">
        <is>
          <t>No Appointment Made</t>
        </is>
      </c>
      <c r="AC520"/>
      <c r="AD520" t="inlineStr">
        <is>
          <t>ask to contact bos Mr Epul 60177930859 but npu, lorry driverx2, half tan,  riderx10, warehouse assistant x5, all races, logistic taman midah, 1 branch, urgent, high TO, try FB Indeed,  continuous hiring, suggest pro</t>
        </is>
      </c>
      <c r="AE520"/>
      <c r="AF520">
        <v>5000</v>
      </c>
      <c r="AG520" s="4"/>
      <c r="AH520" s="4"/>
      <c r="AI520">
        <v>5000</v>
      </c>
      <c r="AJ520">
        <v>1</v>
      </c>
      <c r="AK520" t="inlineStr">
        <is>
          <t>No, but I want in future</t>
        </is>
      </c>
      <c r="AL520">
        <v>1</v>
      </c>
      <c r="AM520" t="inlineStr">
        <is>
          <t>No, but I want in future</t>
        </is>
      </c>
      <c r="AN520"/>
      <c r="AO520" t="inlineStr">
        <is>
          <t>No, but I want in future</t>
        </is>
      </c>
      <c r="AP520" t="inlineStr">
        <is>
          <t>Every month (100%)</t>
        </is>
      </c>
      <c r="AQ520">
        <v>20</v>
      </c>
      <c r="AR520" t="inlineStr">
        <is>
          <t>Indeed (Paid)</t>
        </is>
      </c>
      <c r="AS520" t="inlineStr">
        <is>
          <t>- Headcount: 17
- Hiring Job Details: 2 lorry drivers, 10 riders, 5 warehouse assistants (half tan, all races, logistic taman midah, 1 branch, urgent, high TO, contact Mr Epul 60177930859 but npu, try FB Indeed, continuous hiring, suggest pro)
- Hiring Urgency: Continuous Hiring
- Number of outlets: 1
- Have recruiter team: No, but want in future
- Number of recruiter in company: 1
- Have ATS system: No, but want in future
- Have career website: No, but want in future
- Current hiring budget: RM5,000
- Whole year budget: RM5,000.00
- Whole year number of vacancies: 20
- Hiring frequency: Every month (100%)
- External job portal: Indeed (Paid)</t>
        </is>
      </c>
      <c r="AT520">
        <v>115</v>
      </c>
      <c r="AU520" t="inlineStr">
        <is>
          <t>1.15</t>
        </is>
      </c>
      <c r="AV520" t="inlineStr">
        <is>
          <t>25</t>
        </is>
      </c>
      <c r="AW520" t="inlineStr">
        <is>
          <t>0</t>
        </is>
      </c>
      <c r="AX520" t="inlineStr">
        <is>
          <t>Not Qualified</t>
        </is>
      </c>
      <c r="AY520" s="4"/>
      <c r="AZ520"/>
      <c r="BA520"/>
      <c r="BB520"/>
      <c r="BC520" t="inlineStr">
        <is>
          <t>Call Mr Epul 60177930859 , HR Staff Edwin 60189424088, busy a bit, will go through quote again</t>
        </is>
      </c>
      <c r="BD520" s="4">
        <v>46140.72070601852</v>
      </c>
      <c r="BE520"/>
      <c r="BF520"/>
      <c r="BG520" t="inlineStr">
        <is>
          <t>Reschedule</t>
        </is>
      </c>
      <c r="BH520" t="inlineStr">
        <is>
          <t>Reagen</t>
        </is>
      </c>
      <c r="BI520"/>
      <c r="BJ520" s="4">
        <v>46144.754328703704</v>
      </c>
      <c r="BK520" s="4">
        <v>46134.61585648148</v>
      </c>
      <c r="BL520" t="inlineStr">
        <is>
          <t>0.0</t>
        </is>
      </c>
      <c r="BM520" t="inlineStr">
        <is>
          <t>111000.0</t>
        </is>
      </c>
      <c r="BN520"/>
      <c r="BO520" s="4"/>
      <c r="BP520">
        <v>169346</v>
      </c>
      <c r="BQ520"/>
      <c r="BR520"/>
      <c r="BS520"/>
      <c r="BT520"/>
      <c r="BU520"/>
      <c r="BV520">
        <v>2733804</v>
      </c>
      <c r="BW520" t="inlineStr">
        <is>
          <t>Inquire for Hiring Needs : No Hiring</t>
        </is>
      </c>
      <c r="BX520"/>
      <c r="BY520"/>
      <c r="BZ520" s="4"/>
      <c r="CA520"/>
      <c r="CB520"/>
      <c r="CC520" s="4"/>
      <c r="CD520" t="inlineStr">
        <is>
          <t>35</t>
        </is>
      </c>
      <c r="CE520" t="inlineStr">
        <is>
          <t>0</t>
        </is>
      </c>
      <c r="CF520" t="inlineStr">
        <is>
          <t>Q2-W04</t>
        </is>
      </c>
      <c r="CG520"/>
      <c r="CH520"/>
      <c r="CI520"/>
      <c r="CJ520" t="inlineStr">
        <is>
          <t>No Paid</t>
        </is>
      </c>
      <c r="CK520" t="inlineStr">
        <is>
          <t>Eligible</t>
        </is>
      </c>
      <c r="CL520"/>
      <c r="CM520"/>
    </row>
    <row r="521" ht="25.5" customHeight="1">
      <c r="A521" t="inlineStr">
        <is>
          <t>158392</t>
        </is>
      </c>
      <c r="B521" s="2"/>
      <c r="C521"/>
      <c r="D521" s="3">
        <v>46136.46263888889</v>
      </c>
      <c r="E521" t="inlineStr">
        <is>
          <t>Q2-W04</t>
        </is>
      </c>
      <c r="F521" t="inlineStr">
        <is>
          <t>Yuli</t>
        </is>
      </c>
      <c r="G521" t="inlineStr">
        <is>
          <t>Customer</t>
        </is>
      </c>
      <c r="H521" s="2" t="str">
        <f>=HYPERLINK("https://upbox.ajobthing.my/customer/158392", "https://upbox.ajobthing.my/customer/158392")</f>
        <v>https://upbox.ajobthing.my/customer/158392</v>
      </c>
      <c r="I521" t="inlineStr">
        <is>
          <t>Jingxing Holdings (M) Sdn Bhd</t>
        </is>
      </c>
      <c r="J521" t="inlineStr">
        <is>
          <t>Super Whale</t>
        </is>
      </c>
      <c r="K521" t="inlineStr">
        <is>
          <t>YuLi</t>
        </is>
      </c>
      <c r="L521" s="4"/>
      <c r="M521" s="4">
        <v>46136.495104166665</v>
      </c>
      <c r="N521"/>
      <c r="O521">
        <v>11448</v>
      </c>
      <c r="P521" s="4"/>
      <c r="Q521" s="4">
        <v>46141.500393518516</v>
      </c>
      <c r="R521"/>
      <c r="S521">
        <v>11448</v>
      </c>
      <c r="T521" s="4">
        <v>46141.500393518516</v>
      </c>
      <c r="U521" s="4"/>
      <c r="V521"/>
      <c r="W521">
        <v>11448</v>
      </c>
      <c r="X521"/>
      <c r="Y521" t="inlineStr">
        <is>
          <t>Pending Appointment</t>
        </is>
      </c>
      <c r="Z521" t="inlineStr">
        <is>
          <t>Hiring Now</t>
        </is>
      </c>
      <c r="AA521">
        <v>2</v>
      </c>
      <c r="AB521" t="inlineStr">
        <is>
          <t>No Appointment Made</t>
        </is>
      </c>
      <c r="AC521"/>
      <c r="AD521" t="inlineStr">
        <is>
          <t>Office position Accounts and etc
Engineering, Technical Machanical engineer and etc</t>
        </is>
      </c>
      <c r="AE521"/>
      <c r="AF521">
        <v>10000</v>
      </c>
      <c r="AG521" s="4"/>
      <c r="AH521" s="4"/>
      <c r="AI521"/>
      <c r="AJ521"/>
      <c r="AK521"/>
      <c r="AL521"/>
      <c r="AM521"/>
      <c r="AN521"/>
      <c r="AO521"/>
      <c r="AP521" t="inlineStr">
        <is>
          <t>Once per quarter (75%)</t>
        </is>
      </c>
      <c r="AQ521"/>
      <c r="AR521" t="inlineStr">
        <is>
          <t>Jobstreet</t>
        </is>
      </c>
      <c r="AS521" t="inlineStr">
        <is>
          <t>- Headcount: 2
- Hiring Job Details: Office position Accounts and etc; Engineering, Technical Machanical engineer and etc
- Hiring Urgency: Hiring Now
- Number of outlets: N/A
- Have recruiter team: N/A
- Number of recruiter in company: N/A
- Have ATS system: N/A
- Have career website: N/A
- Current hiring budget: RM10,000.00
- Whole year budget: N/A
- Whole year number of vacancies: N/A
- Hiring frequency: Once per quarter (75%)
- External job portal: Jobstreet</t>
        </is>
      </c>
      <c r="AT521">
        <v>75</v>
      </c>
      <c r="AU521" t="inlineStr">
        <is>
          <t>0.75</t>
        </is>
      </c>
      <c r="AV521" t="inlineStr">
        <is>
          <t>15</t>
        </is>
      </c>
      <c r="AW521" t="inlineStr">
        <is>
          <t>0</t>
        </is>
      </c>
      <c r="AX521" t="inlineStr">
        <is>
          <t>Not Qualified</t>
        </is>
      </c>
      <c r="AY521" s="4"/>
      <c r="AZ521"/>
      <c r="BA521"/>
      <c r="BB521"/>
      <c r="BC521" t="inlineStr">
        <is>
          <t>Received message from eddy ask about the posting.</t>
        </is>
      </c>
      <c r="BD521" s="4">
        <v>46142.917037037034</v>
      </c>
      <c r="BE521" t="inlineStr">
        <is>
          <t>paid</t>
        </is>
      </c>
      <c r="BF521" t="inlineStr">
        <is>
          <t>Q2-W04</t>
        </is>
      </c>
      <c r="BG521" t="inlineStr">
        <is>
          <t>Reschedule</t>
        </is>
      </c>
      <c r="BH521" t="inlineStr">
        <is>
          <t>Fauziah Maharan</t>
        </is>
      </c>
      <c r="BI521" t="inlineStr">
        <is>
          <t>Manufacturing / Production</t>
        </is>
      </c>
      <c r="BJ521" s="4">
        <v>46144.75104166667</v>
      </c>
      <c r="BK521" s="4">
        <v>44784.59096064815</v>
      </c>
      <c r="BL521" t="inlineStr">
        <is>
          <t>11448.0</t>
        </is>
      </c>
      <c r="BM521" t="inlineStr">
        <is>
          <t>5400.0</t>
        </is>
      </c>
      <c r="BN521" t="inlineStr">
        <is>
          <t>User Visit(Logged In)</t>
        </is>
      </c>
      <c r="BO521" s="4">
        <v>46144.311585648145</v>
      </c>
      <c r="BP521">
        <v>168775</v>
      </c>
      <c r="BQ521">
        <v>7718</v>
      </c>
      <c r="BR521" t="inlineStr">
        <is>
          <t>Manual (Paid)</t>
        </is>
      </c>
      <c r="BS521" t="inlineStr">
        <is>
          <t>AI Yearly Enhanced Plan
- AI Yearly Enhanced Plan of 20 AI Job Ads + 20 Free AI Job Ads with Booster
- 40 AI Job Ad will be published on Maukerja, Ricebowl and our partner platforms
- 40 AI Job Ad will be published for 45 days
- 40 Booster Plus
- 400 Free Candidates Profiles Unlock
- 20x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521">
        <v>7718</v>
      </c>
      <c r="BU521"/>
      <c r="BV521">
        <v>2738582</v>
      </c>
      <c r="BW521" t="inlineStr">
        <is>
          <t>Service / Technical : Job Outcome Enquiry</t>
        </is>
      </c>
      <c r="BX521">
        <v>42</v>
      </c>
      <c r="BY521">
        <v>40</v>
      </c>
      <c r="BZ521" s="4">
        <v>46143.97858796296</v>
      </c>
      <c r="CA521">
        <v>400</v>
      </c>
      <c r="CB521">
        <v>400</v>
      </c>
      <c r="CC521" s="4"/>
      <c r="CD521" t="inlineStr">
        <is>
          <t>20</t>
        </is>
      </c>
      <c r="CE521" t="inlineStr">
        <is>
          <t>0</t>
        </is>
      </c>
      <c r="CF521" t="inlineStr">
        <is>
          <t>Q2-W04</t>
        </is>
      </c>
      <c r="CG521" t="inlineStr">
        <is>
          <t>Q2-W04</t>
        </is>
      </c>
      <c r="CH521" t="inlineStr">
        <is>
          <t>Q2-W04</t>
        </is>
      </c>
      <c r="CI521"/>
      <c r="CJ521" t="inlineStr">
        <is>
          <t>Paid</t>
        </is>
      </c>
      <c r="CK521" t="inlineStr">
        <is>
          <t>Eligible</t>
        </is>
      </c>
      <c r="CL521"/>
      <c r="CM521"/>
    </row>
    <row r="522" ht="25.5" customHeight="1">
      <c r="A522" t="inlineStr">
        <is>
          <t>196972</t>
        </is>
      </c>
      <c r="B522" s="2"/>
      <c r="C522"/>
      <c r="D522" s="3">
        <v>46136.478321759256</v>
      </c>
      <c r="E522" t="inlineStr">
        <is>
          <t>Q2-W04</t>
        </is>
      </c>
      <c r="F522" t="inlineStr">
        <is>
          <t>Yvonne Lee</t>
        </is>
      </c>
      <c r="G522" t="inlineStr">
        <is>
          <t>Customer</t>
        </is>
      </c>
      <c r="H522" s="2" t="str">
        <f>=HYPERLINK("https://upbox.ajobthing.my/customer/196972", "https://upbox.ajobthing.my/customer/196972")</f>
        <v>https://upbox.ajobthing.my/customer/196972</v>
      </c>
      <c r="I522" t="inlineStr">
        <is>
          <t xml:space="preserve">Alton Intelligent Technology Sdn.bhd. </t>
        </is>
      </c>
      <c r="J522" t="inlineStr">
        <is>
          <t>Super Whale</t>
        </is>
      </c>
      <c r="K522" t="inlineStr">
        <is>
          <t>Yvonne</t>
        </is>
      </c>
      <c r="L522" s="4"/>
      <c r="M522" s="4">
        <v>46140.49895833333</v>
      </c>
      <c r="N522"/>
      <c r="O522">
        <v>12960</v>
      </c>
      <c r="P522" s="4"/>
      <c r="Q522" s="4"/>
      <c r="R522"/>
      <c r="S522"/>
      <c r="T522" s="4"/>
      <c r="U522" s="4"/>
      <c r="V522"/>
      <c r="W522"/>
      <c r="X522"/>
      <c r="Y522" t="inlineStr">
        <is>
          <t>Pending Appointment</t>
        </is>
      </c>
      <c r="Z522" t="inlineStr">
        <is>
          <t>Hiring Now</t>
        </is>
      </c>
      <c r="AA522">
        <v>9</v>
      </c>
      <c r="AB522" t="inlineStr">
        <is>
          <t>No Appointment Made</t>
        </is>
      </c>
      <c r="AC522"/>
      <c r="AD522" t="inlineStr">
        <is>
          <t>1) Research and Development Director
2) IT Director
3) Sales Director
4) Sales Engineer
5) Research and Development Engineer
6) Process Enginner
7) Legal Specialist
8) Procurement Specialist
9) Warehouse Keeper</t>
        </is>
      </c>
      <c r="AE522"/>
      <c r="AF522">
        <v>15000</v>
      </c>
      <c r="AG522" s="4"/>
      <c r="AH522" s="4"/>
      <c r="AI522">
        <v>15000</v>
      </c>
      <c r="AJ522">
        <v>1</v>
      </c>
      <c r="AK522" t="inlineStr">
        <is>
          <t>Yes, I have</t>
        </is>
      </c>
      <c r="AL522">
        <v>2</v>
      </c>
      <c r="AM522" t="inlineStr">
        <is>
          <t>No, I don't need at all</t>
        </is>
      </c>
      <c r="AN522"/>
      <c r="AO522" t="inlineStr">
        <is>
          <t>Yes, I have</t>
        </is>
      </c>
      <c r="AP522" t="inlineStr">
        <is>
          <t>Every month (100%)</t>
        </is>
      </c>
      <c r="AQ522">
        <v>120</v>
      </c>
      <c r="AR522" t="inlineStr">
        <is>
          <t>Jobstreet, Linkedin (Paid)</t>
        </is>
      </c>
      <c r="AS522" t="inlineStr">
        <is>
          <t>- Headcount: 9
- Hiring Job Details: 9 roles (Research and Development Director, IT Director, etc.)
- Hiring Urgency: Hiring Now
- Number of outlets: 1
- Have recruiter team: Yes
- Number of recruiter in company: 2
- Have ATS system: No, I don't need at all
- Have career website: Yes
- Current hiring budget: RM15,000
- Whole year budget: RM15,000.00
- Whole year number of vacancies: 120
- Hiring frequency: Every month (100%)
- External job portal: Jobstreet, Linkedin (Paid)</t>
        </is>
      </c>
      <c r="AT522">
        <v>95</v>
      </c>
      <c r="AU522" t="inlineStr">
        <is>
          <t>0.95</t>
        </is>
      </c>
      <c r="AV522" t="inlineStr">
        <is>
          <t>25</t>
        </is>
      </c>
      <c r="AW522" t="inlineStr">
        <is>
          <t>0</t>
        </is>
      </c>
      <c r="AX522" t="inlineStr">
        <is>
          <t>Not Qualified</t>
        </is>
      </c>
      <c r="AY522" s="4"/>
      <c r="AZ522"/>
      <c r="BA522"/>
      <c r="BB522"/>
      <c r="BC522" t="inlineStr">
        <is>
          <t>Quotation shared.</t>
        </is>
      </c>
      <c r="BD522" s="4">
        <v>46140.498252314814</v>
      </c>
      <c r="BE522"/>
      <c r="BF522"/>
      <c r="BG522" t="inlineStr">
        <is>
          <t>Reschedule</t>
        </is>
      </c>
      <c r="BH522" t="inlineStr">
        <is>
          <t>andy@ajobthing.com</t>
        </is>
      </c>
      <c r="BI522" t="inlineStr">
        <is>
          <t>Manufacturing / Production</t>
        </is>
      </c>
      <c r="BJ522" s="4">
        <v>46144.752858796295</v>
      </c>
      <c r="BK522" s="4">
        <v>45937.63763888889</v>
      </c>
      <c r="BL522" t="inlineStr">
        <is>
          <t>0.0</t>
        </is>
      </c>
      <c r="BM522" t="inlineStr">
        <is>
          <t>0.0</t>
        </is>
      </c>
      <c r="BN522" t="inlineStr">
        <is>
          <t>View Notifications</t>
        </is>
      </c>
      <c r="BO522" s="4">
        <v>46140.677766203706</v>
      </c>
      <c r="BP522">
        <v>169211</v>
      </c>
      <c r="BQ522"/>
      <c r="BR522"/>
      <c r="BS522"/>
      <c r="BT522"/>
      <c r="BU522"/>
      <c r="BV522">
        <v>2732290</v>
      </c>
      <c r="BW522" t="inlineStr">
        <is>
          <t>Inquire for Hiring Needs : Quotation Sent 50%</t>
        </is>
      </c>
      <c r="BX522"/>
      <c r="BY522"/>
      <c r="BZ522" s="4"/>
      <c r="CA522"/>
      <c r="CB522"/>
      <c r="CC522" s="4"/>
      <c r="CD522" t="inlineStr">
        <is>
          <t>35</t>
        </is>
      </c>
      <c r="CE522" t="inlineStr">
        <is>
          <t>0</t>
        </is>
      </c>
      <c r="CF522" t="inlineStr">
        <is>
          <t>Q2-W04</t>
        </is>
      </c>
      <c r="CG522"/>
      <c r="CH522"/>
      <c r="CI522"/>
      <c r="CJ522" t="inlineStr">
        <is>
          <t>No Paid</t>
        </is>
      </c>
      <c r="CK522" t="inlineStr">
        <is>
          <t>Eligible</t>
        </is>
      </c>
      <c r="CL522"/>
      <c r="CM522"/>
    </row>
    <row r="523" ht="25.5" customHeight="1">
      <c r="A523" t="inlineStr">
        <is>
          <t>202122</t>
        </is>
      </c>
      <c r="B523" s="2"/>
      <c r="C523"/>
      <c r="D523" s="3">
        <v>46136.49390046296</v>
      </c>
      <c r="E523" t="inlineStr">
        <is>
          <t>Q2-W04</t>
        </is>
      </c>
      <c r="F523" t="inlineStr">
        <is>
          <t>Yvonne Lee</t>
        </is>
      </c>
      <c r="G523" t="inlineStr">
        <is>
          <t>Customer</t>
        </is>
      </c>
      <c r="H523" s="2" t="str">
        <f>=HYPERLINK("https://upbox.ajobthing.my/customer/202122", "https://upbox.ajobthing.my/customer/202122")</f>
        <v>https://upbox.ajobthing.my/customer/202122</v>
      </c>
      <c r="I523" t="inlineStr">
        <is>
          <t>MADISAVER</t>
        </is>
      </c>
      <c r="J523" t="inlineStr">
        <is>
          <t>Super Whale</t>
        </is>
      </c>
      <c r="K523" t="inlineStr">
        <is>
          <t>Yvonne</t>
        </is>
      </c>
      <c r="L523" s="4"/>
      <c r="M523" s="4">
        <v>46136.4955787037</v>
      </c>
      <c r="N523"/>
      <c r="O523">
        <v>6048</v>
      </c>
      <c r="P523" s="4"/>
      <c r="Q523" s="4"/>
      <c r="R523"/>
      <c r="S523"/>
      <c r="T523" s="4"/>
      <c r="U523" s="4"/>
      <c r="V523"/>
      <c r="W523"/>
      <c r="X523"/>
      <c r="Y523" t="inlineStr">
        <is>
          <t>Pending Appointment</t>
        </is>
      </c>
      <c r="Z523" t="inlineStr">
        <is>
          <t>Hiring Now</t>
        </is>
      </c>
      <c r="AA523">
        <v>2</v>
      </c>
      <c r="AB523" t="inlineStr">
        <is>
          <t>No Appointment Made</t>
        </is>
      </c>
      <c r="AC523"/>
      <c r="AD523" t="inlineStr">
        <is>
          <t>1) Online Marketing 
2) Sales Consultant</t>
        </is>
      </c>
      <c r="AE523"/>
      <c r="AF523">
        <v>10000</v>
      </c>
      <c r="AG523" s="4"/>
      <c r="AH523" s="4"/>
      <c r="AI523">
        <v>10000</v>
      </c>
      <c r="AJ523">
        <v>1</v>
      </c>
      <c r="AK523" t="inlineStr">
        <is>
          <t>Yes, I have</t>
        </is>
      </c>
      <c r="AL523">
        <v>1</v>
      </c>
      <c r="AM523" t="inlineStr">
        <is>
          <t>No, I don't need at all</t>
        </is>
      </c>
      <c r="AN523"/>
      <c r="AO523" t="inlineStr">
        <is>
          <t>No, I don't need at all</t>
        </is>
      </c>
      <c r="AP523" t="inlineStr">
        <is>
          <t>Every month (100%)</t>
        </is>
      </c>
      <c r="AQ523">
        <v>15</v>
      </c>
      <c r="AR523" t="inlineStr">
        <is>
          <t>Free Job Portal</t>
        </is>
      </c>
      <c r="AS523" t="inlineStr">
        <is>
          <t>- Headcount: 2
- Hiring Job Details: 1) Online Marketing 2) Sales Consultant
- Hiring Urgency: Hiring Now
- Number of outlets: 1
- Have recruiter team: Yes
- Number of recruiter in company: 1
- Have ATS system: No, I don't need at all
- Have career website: No, I don't need at all
- Current hiring budget: RM10,000
- Whole year budget: RM10,000.00
- Whole year number of vacancies: 15
- Hiring frequency: Every month (100%)
- External job portal: Free Job Portal</t>
        </is>
      </c>
      <c r="AT523">
        <v>105</v>
      </c>
      <c r="AU523" t="inlineStr">
        <is>
          <t>1.05</t>
        </is>
      </c>
      <c r="AV523" t="inlineStr">
        <is>
          <t>15</t>
        </is>
      </c>
      <c r="AW523" t="inlineStr">
        <is>
          <t>0</t>
        </is>
      </c>
      <c r="AX523" t="inlineStr">
        <is>
          <t>Not Qualified</t>
        </is>
      </c>
      <c r="AY523" s="4"/>
      <c r="AZ523"/>
      <c r="BA523"/>
      <c r="BB523"/>
      <c r="BC523" t="inlineStr">
        <is>
          <t>- Headcount: 2
- Hiring Job Details: 1) Online Marketing 2) Sales Consultant
- Hiring Urgency: Hiring Now
- Number of outlets: 1
- Have recruiter team: Yes
- Number of recruiter in company: 1
- Have ATS system: No, I don't need at all
- Have career website: No, I don't need at all
- Current hiring budget: RM10,000
- Whole year budget: RM10,000.00
- Whole year number of vacancies: 15
- Hiring frequency: Every month (100%)
- External job portal: Free Job Portal</t>
        </is>
      </c>
      <c r="BD523" s="4">
        <v>46136.50003472222</v>
      </c>
      <c r="BE523"/>
      <c r="BF523"/>
      <c r="BG523" t="inlineStr">
        <is>
          <t>Reschedule</t>
        </is>
      </c>
      <c r="BH523" t="inlineStr">
        <is>
          <t>andy@ajobthing.com</t>
        </is>
      </c>
      <c r="BI523"/>
      <c r="BJ523" s="4">
        <v>46144.75394675926</v>
      </c>
      <c r="BK523" s="4">
        <v>46097.40462962963</v>
      </c>
      <c r="BL523" t="inlineStr">
        <is>
          <t>0.0</t>
        </is>
      </c>
      <c r="BM523" t="inlineStr">
        <is>
          <t>0.0</t>
        </is>
      </c>
      <c r="BN523"/>
      <c r="BO523" s="4"/>
      <c r="BP523">
        <v>168776</v>
      </c>
      <c r="BQ523"/>
      <c r="BR523"/>
      <c r="BS523"/>
      <c r="BT523"/>
      <c r="BU523"/>
      <c r="BV523">
        <v>2726040</v>
      </c>
      <c r="BW523" t="inlineStr">
        <is>
          <t>Customer Inquiry</t>
        </is>
      </c>
      <c r="BX523"/>
      <c r="BY523"/>
      <c r="BZ523" s="4"/>
      <c r="CA523"/>
      <c r="CB523"/>
      <c r="CC523" s="4"/>
      <c r="CD523" t="inlineStr">
        <is>
          <t>20</t>
        </is>
      </c>
      <c r="CE523" t="inlineStr">
        <is>
          <t>0</t>
        </is>
      </c>
      <c r="CF523" t="inlineStr">
        <is>
          <t>Q2-W04</t>
        </is>
      </c>
      <c r="CG523"/>
      <c r="CH523"/>
      <c r="CI523"/>
      <c r="CJ523" t="inlineStr">
        <is>
          <t>No Paid</t>
        </is>
      </c>
      <c r="CK523" t="inlineStr">
        <is>
          <t>Eligible</t>
        </is>
      </c>
      <c r="CL523"/>
      <c r="CM523"/>
    </row>
    <row r="524" ht="25.5" customHeight="1">
      <c r="A524" t="inlineStr">
        <is>
          <t>159236</t>
        </is>
      </c>
      <c r="B524" s="2"/>
      <c r="C524"/>
      <c r="D524" s="3">
        <v>46136.63018518518</v>
      </c>
      <c r="E524" t="inlineStr">
        <is>
          <t>Q2-W04</t>
        </is>
      </c>
      <c r="F524" t="inlineStr">
        <is>
          <t>Yvonne Lee</t>
        </is>
      </c>
      <c r="G524" t="inlineStr">
        <is>
          <t>Customer</t>
        </is>
      </c>
      <c r="H524" s="2" t="str">
        <f>=HYPERLINK("https://upbox.ajobthing.my/customer/159236", "https://upbox.ajobthing.my/customer/159236")</f>
        <v>https://upbox.ajobthing.my/customer/159236</v>
      </c>
      <c r="I524" t="inlineStr">
        <is>
          <t>Agensi Pekerjaan JAC Sdn. Bhd.</t>
        </is>
      </c>
      <c r="J524" t="inlineStr">
        <is>
          <t>Super Whale</t>
        </is>
      </c>
      <c r="K524" t="inlineStr">
        <is>
          <t>Yvonne</t>
        </is>
      </c>
      <c r="L524" s="4"/>
      <c r="M524" s="4">
        <v>46136.63365740741</v>
      </c>
      <c r="N524"/>
      <c r="O524">
        <v>21600</v>
      </c>
      <c r="P524" s="4"/>
      <c r="Q524" s="4">
        <v>45467.44295138889</v>
      </c>
      <c r="R524"/>
      <c r="S524">
        <v>6480</v>
      </c>
      <c r="T524" s="4">
        <v>45467.44295138889</v>
      </c>
      <c r="U524" s="4"/>
      <c r="V524"/>
      <c r="W524">
        <v>6480</v>
      </c>
      <c r="X524"/>
      <c r="Y524" t="inlineStr">
        <is>
          <t>Pending Appointment</t>
        </is>
      </c>
      <c r="Z524" t="inlineStr">
        <is>
          <t>Hiring Now</t>
        </is>
      </c>
      <c r="AA524">
        <v>4</v>
      </c>
      <c r="AB524" t="inlineStr">
        <is>
          <t>No Appointment Made</t>
        </is>
      </c>
      <c r="AC524"/>
      <c r="AD524" t="inlineStr">
        <is>
          <t>1) Engineering and Manufacturing
2) Banking &amp; Sales
3) Sales
4) Information Technology</t>
        </is>
      </c>
      <c r="AE524"/>
      <c r="AF524">
        <v>15000</v>
      </c>
      <c r="AG524" s="4"/>
      <c r="AH524" s="4"/>
      <c r="AI524">
        <v>15000</v>
      </c>
      <c r="AJ524">
        <v>1</v>
      </c>
      <c r="AK524" t="inlineStr">
        <is>
          <t>Yes, I have</t>
        </is>
      </c>
      <c r="AL524">
        <v>5</v>
      </c>
      <c r="AM524" t="inlineStr">
        <is>
          <t>No, I don't need at all</t>
        </is>
      </c>
      <c r="AN524"/>
      <c r="AO524" t="inlineStr">
        <is>
          <t>Yes, I have</t>
        </is>
      </c>
      <c r="AP524" t="inlineStr">
        <is>
          <t>Every month (100%)</t>
        </is>
      </c>
      <c r="AQ524">
        <v>240</v>
      </c>
      <c r="AR524" t="inlineStr">
        <is>
          <t>Jobstreet, Linkedin (Paid), Indeed (Paid)</t>
        </is>
      </c>
      <c r="AS524" t="inlineStr">
        <is>
          <t>- Headcount: 4
- Hiring Job Details: 1) Engineering and Manufacturing 2) Banking &amp; Sales 3) Sales 4) Information Technology
- Hiring Urgency: Hiring Now
- Number of outlets: 1
- Have recruiter team: Yes
- Number of recruiter in company: 5
- Have ATS system: No, I don't need at all
- Have career website: Yes
- Current hiring budget: RM15,000
- Whole year budget: RM15,000.00
- Whole year number of vacancies: 240
- Hiring frequency: Every month (100%)
- External job portal: Jobstreet, Linkedin (Paid), Indeed (Paid)</t>
        </is>
      </c>
      <c r="AT524">
        <v>90</v>
      </c>
      <c r="AU524" t="inlineStr">
        <is>
          <t>0.90</t>
        </is>
      </c>
      <c r="AV524" t="inlineStr">
        <is>
          <t>20</t>
        </is>
      </c>
      <c r="AW524" t="inlineStr">
        <is>
          <t>0</t>
        </is>
      </c>
      <c r="AX524" t="inlineStr">
        <is>
          <t>Not Qualified</t>
        </is>
      </c>
      <c r="AY524" s="4"/>
      <c r="AZ524"/>
      <c r="BA524"/>
      <c r="BB524"/>
      <c r="BC524" t="inlineStr">
        <is>
          <t>- Headcount: 4
- Hiring Job Details: 1) Engineering and Manufacturing 2) Banking &amp; Sales 3) Sales 4) Information Technology
- Hiring Urgency: Hiring Now
- Number of outlets: 1
- Have recruiter team: Yes
- Number of recruiter in company: 5
- Have ATS system: No, I don't need at all
- Have career website: Yes
- Current hiring budget: RM15,000
- Whole year budget: RM15,000.00
- Whole year number of vacancies: 240
- Hiring frequency: Every month (100%)
- External job portal: Jobstreet, Linkedin (Paid), Indeed (Paid)</t>
        </is>
      </c>
      <c r="BD524" s="4">
        <v>46136.66670138889</v>
      </c>
      <c r="BE524" t="inlineStr">
        <is>
          <t>paid</t>
        </is>
      </c>
      <c r="BF524"/>
      <c r="BG524" t="inlineStr">
        <is>
          <t>Reschedule</t>
        </is>
      </c>
      <c r="BH524" t="inlineStr">
        <is>
          <t>andy@ajobthing.com</t>
        </is>
      </c>
      <c r="BI524" t="inlineStr">
        <is>
          <t>HR Mgmt / Consulting</t>
        </is>
      </c>
      <c r="BJ524" s="4">
        <v>46144.751064814816</v>
      </c>
      <c r="BK524" s="4">
        <v>44805.42847222222</v>
      </c>
      <c r="BL524" t="inlineStr">
        <is>
          <t>0.0</t>
        </is>
      </c>
      <c r="BM524" t="inlineStr">
        <is>
          <t>0.0</t>
        </is>
      </c>
      <c r="BN524" t="inlineStr">
        <is>
          <t>Company Page : Update Notification</t>
        </is>
      </c>
      <c r="BO524" s="4">
        <v>45887.29751157408</v>
      </c>
      <c r="BP524">
        <v>168817</v>
      </c>
      <c r="BQ524">
        <v>70339</v>
      </c>
      <c r="BR524" t="inlineStr">
        <is>
          <t>Online</t>
        </is>
      </c>
      <c r="BS524"/>
      <c r="BT524">
        <v>70339</v>
      </c>
      <c r="BU524"/>
      <c r="BV524">
        <v>2726954</v>
      </c>
      <c r="BW524" t="inlineStr">
        <is>
          <t>Customer Inquiry</t>
        </is>
      </c>
      <c r="BX524"/>
      <c r="BY524"/>
      <c r="BZ524" s="4"/>
      <c r="CA524"/>
      <c r="CB524"/>
      <c r="CC524" s="4"/>
      <c r="CD524" t="inlineStr">
        <is>
          <t>25</t>
        </is>
      </c>
      <c r="CE524" t="inlineStr">
        <is>
          <t>0</t>
        </is>
      </c>
      <c r="CF524" t="inlineStr">
        <is>
          <t>Q2-W04</t>
        </is>
      </c>
      <c r="CG524"/>
      <c r="CH524"/>
      <c r="CI524"/>
      <c r="CJ524" t="inlineStr">
        <is>
          <t>Paid</t>
        </is>
      </c>
      <c r="CK524" t="inlineStr">
        <is>
          <t>Eligible</t>
        </is>
      </c>
      <c r="CL524"/>
      <c r="CM524"/>
    </row>
    <row r="525" ht="25.5" customHeight="1">
      <c r="A525" t="inlineStr">
        <is>
          <t>123018</t>
        </is>
      </c>
      <c r="B525" s="2"/>
      <c r="C525"/>
      <c r="D525" s="3">
        <v>46139.55079861111</v>
      </c>
      <c r="E525" t="inlineStr">
        <is>
          <t>Q2-W04</t>
        </is>
      </c>
      <c r="F525" t="inlineStr">
        <is>
          <t>Yuli</t>
        </is>
      </c>
      <c r="G525" t="inlineStr">
        <is>
          <t>Customer</t>
        </is>
      </c>
      <c r="H525" s="2" t="str">
        <f>=HYPERLINK("https://upbox.ajobthing.my/customer/123018", "https://upbox.ajobthing.my/customer/123018")</f>
        <v>https://upbox.ajobthing.my/customer/123018</v>
      </c>
      <c r="I525" t="inlineStr">
        <is>
          <t xml:space="preserve">Dynasun Sdn Bhd </t>
        </is>
      </c>
      <c r="J525" t="inlineStr">
        <is>
          <t>Super Whale</t>
        </is>
      </c>
      <c r="K525" t="inlineStr">
        <is>
          <t>YuLi</t>
        </is>
      </c>
      <c r="L525" s="4"/>
      <c r="M525" s="4">
        <v>46140.41818287037</v>
      </c>
      <c r="N525"/>
      <c r="O525">
        <v>9732.96</v>
      </c>
      <c r="P525" s="4"/>
      <c r="Q525" s="4">
        <v>46142.3746875</v>
      </c>
      <c r="R525"/>
      <c r="S525">
        <v>9732.96</v>
      </c>
      <c r="T525" s="4">
        <v>46142.3746875</v>
      </c>
      <c r="U525" s="4"/>
      <c r="V525"/>
      <c r="W525">
        <v>9732.96</v>
      </c>
      <c r="X525" t="inlineStr">
        <is>
          <t>Fauziah Maharan</t>
        </is>
      </c>
      <c r="Y525" t="inlineStr">
        <is>
          <t>Done Appointment</t>
        </is>
      </c>
      <c r="Z525" t="inlineStr">
        <is>
          <t>Hiring Now</t>
        </is>
      </c>
      <c r="AA525">
        <v>4</v>
      </c>
      <c r="AB525" t="inlineStr">
        <is>
          <t>Appointment Made</t>
        </is>
      </c>
      <c r="AC525" t="inlineStr">
        <is>
          <t>Enterprise (&gt;300 employees)</t>
        </is>
      </c>
      <c r="AD525" t="inlineStr">
        <is>
          <t>Service Crew, Restaurant manager.  managment trainee. intern</t>
        </is>
      </c>
      <c r="AE525" t="inlineStr">
        <is>
          <t>HR Manager / Talent Manager</t>
        </is>
      </c>
      <c r="AF525">
        <v>10000</v>
      </c>
      <c r="AG525" s="4">
        <v>46139.458333333336</v>
      </c>
      <c r="AH525" s="4">
        <v>46139.510416666664</v>
      </c>
      <c r="AI525"/>
      <c r="AJ525">
        <v>65</v>
      </c>
      <c r="AK525" t="inlineStr">
        <is>
          <t>Yes, I have</t>
        </is>
      </c>
      <c r="AL525">
        <v>2</v>
      </c>
      <c r="AM525"/>
      <c r="AN525"/>
      <c r="AO525" t="inlineStr">
        <is>
          <t>Yes, I have</t>
        </is>
      </c>
      <c r="AP525" t="inlineStr">
        <is>
          <t>Every month (100%)</t>
        </is>
      </c>
      <c r="AQ525">
        <v>188</v>
      </c>
      <c r="AR525" t="inlineStr">
        <is>
          <t>Jobstreet, Free Job Portal</t>
        </is>
      </c>
      <c r="AS525" t="inlineStr">
        <is>
          <t>- Headcount: 4
- Hiring Job Details: Service Crew, Restaurant manager, managment trainee, intern
- Hiring Urgency: Hiring Now
- Number of outlets: 65
- Have recruiter team: Yes
- Number of recruiter in company: 2
- Have ATS system: Not specified
- Have career website: Yes
- Current hiring budget: RM10,000
- Whole year budget: Not specified
- Whole year number of vacancies: 188
- Hiring frequency: Every month (100%)
- External job portal: Jobstreet, Free Job Portal</t>
        </is>
      </c>
      <c r="AT525">
        <v>95</v>
      </c>
      <c r="AU525" t="inlineStr">
        <is>
          <t>0.95</t>
        </is>
      </c>
      <c r="AV525" t="inlineStr">
        <is>
          <t>50</t>
        </is>
      </c>
      <c r="AW525" t="inlineStr">
        <is>
          <t>0.5</t>
        </is>
      </c>
      <c r="AX525" t="inlineStr">
        <is>
          <t>Not Qualified</t>
        </is>
      </c>
      <c r="AY525" s="4">
        <v>46141.39197916666</v>
      </c>
      <c r="AZ525" t="inlineStr">
        <is>
          <t>Fauziah Maharan</t>
        </is>
      </c>
      <c r="BA525"/>
      <c r="BB525"/>
      <c r="BC525" t="inlineStr">
        <is>
          <t>AskNurul for the posting is not enough due to the quota not enough, for service crew and post for all location but for managment need to post by state which is Penang, Klang Valley, Kedah And Negeri sembilan</t>
        </is>
      </c>
      <c r="BD525" s="4">
        <v>46142.47738425926</v>
      </c>
      <c r="BE525" t="inlineStr">
        <is>
          <t>paid</t>
        </is>
      </c>
      <c r="BF525" t="inlineStr">
        <is>
          <t>Q2-W04</t>
        </is>
      </c>
      <c r="BG525" t="inlineStr">
        <is>
          <t>Reschedule</t>
        </is>
      </c>
      <c r="BH525" t="inlineStr">
        <is>
          <t>Fauziah Maharan</t>
        </is>
      </c>
      <c r="BI525" t="inlineStr">
        <is>
          <t>Food / Beverage</t>
        </is>
      </c>
      <c r="BJ525" s="4">
        <v>46144.750289351854</v>
      </c>
      <c r="BK525" s="4">
        <v>43773.640127314815</v>
      </c>
      <c r="BL525" t="inlineStr">
        <is>
          <t>9732.0</t>
        </is>
      </c>
      <c r="BM525" t="inlineStr">
        <is>
          <t>0.0</t>
        </is>
      </c>
      <c r="BN525" t="inlineStr">
        <is>
          <t>View Company Page</t>
        </is>
      </c>
      <c r="BO525" s="4">
        <v>46144.371099537035</v>
      </c>
      <c r="BP525">
        <v>169136</v>
      </c>
      <c r="BQ525">
        <v>7746</v>
      </c>
      <c r="BR525" t="inlineStr">
        <is>
          <t>Manual (Paid)</t>
        </is>
      </c>
      <c r="BS525" t="inlineStr">
        <is>
          <t>Job Ad 365 - SME 100-RM 988 Discount until 30.04.26 with Payment made
- Job Ad 365 (SME 100)
- Monthly quota of 100 Job Ads
- Total 1,200 Job Ads a year
- Each Job Ad will be published on Maukerja, Ricebowl and our partner platforms
- Each Job Ad lists for 30 days
- 1 Free Company Page (Brand Premium)
- AI Daily Talent Recommendation for up to 2 profiles per job
- AI Post Job Assistant
Freebies-
2 Walk In Interview Banner at Ricebowl and Maukerja
Social media posting at Tiktok/X/ Threads/IG</t>
        </is>
      </c>
      <c r="BT525">
        <v>7746</v>
      </c>
      <c r="BU525"/>
      <c r="BV525">
        <v>2737130</v>
      </c>
      <c r="BW525" t="inlineStr">
        <is>
          <t>Service / Technical : Job Outcome Enquiry</t>
        </is>
      </c>
      <c r="BX525">
        <v>1200</v>
      </c>
      <c r="BY525">
        <v>1134</v>
      </c>
      <c r="BZ525" s="4">
        <v>46144.37079861111</v>
      </c>
      <c r="CA525"/>
      <c r="CB525"/>
      <c r="CC525" s="4"/>
      <c r="CD525" t="inlineStr">
        <is>
          <t>70</t>
        </is>
      </c>
      <c r="CE525" t="inlineStr">
        <is>
          <t>0.8</t>
        </is>
      </c>
      <c r="CF525" t="inlineStr">
        <is>
          <t>Q2-W04</t>
        </is>
      </c>
      <c r="CG525" t="inlineStr">
        <is>
          <t>Q2-W04</t>
        </is>
      </c>
      <c r="CH525" t="inlineStr">
        <is>
          <t>Q2-W04</t>
        </is>
      </c>
      <c r="CI525" t="inlineStr">
        <is>
          <t>Q2-W04</t>
        </is>
      </c>
      <c r="CJ525" t="inlineStr">
        <is>
          <t>Paid</t>
        </is>
      </c>
      <c r="CK525" t="inlineStr">
        <is>
          <t>Eligible</t>
        </is>
      </c>
      <c r="CL525"/>
      <c r="CM525" t="inlineStr">
        <is>
          <t>Q2-W04</t>
        </is>
      </c>
    </row>
    <row r="526" ht="25.5" customHeight="1">
      <c r="A526" t="inlineStr">
        <is>
          <t>203704</t>
        </is>
      </c>
      <c r="B526" s="2"/>
      <c r="C526"/>
      <c r="D526" s="3">
        <v>46139.64050925926</v>
      </c>
      <c r="E526" t="inlineStr">
        <is>
          <t>Q2-W04</t>
        </is>
      </c>
      <c r="F526" t="inlineStr">
        <is>
          <t>Ratha</t>
        </is>
      </c>
      <c r="G526" t="inlineStr">
        <is>
          <t>Customer</t>
        </is>
      </c>
      <c r="H526" s="2" t="str">
        <f>=HYPERLINK("https://upbox.ajobthing.my/customer/203704", "https://upbox.ajobthing.my/customer/203704")</f>
        <v>https://upbox.ajobthing.my/customer/203704</v>
      </c>
      <c r="I526" t="inlineStr">
        <is>
          <t xml:space="preserve">Mas Awana Services Sdn Bhd </t>
        </is>
      </c>
      <c r="J526" t="inlineStr">
        <is>
          <t>Super Whale</t>
        </is>
      </c>
      <c r="K526" t="inlineStr">
        <is>
          <t>Ratha</t>
        </is>
      </c>
      <c r="L526" s="4"/>
      <c r="M526" s="4">
        <v>46139.64150462963</v>
      </c>
      <c r="N526"/>
      <c r="O526">
        <v>22248</v>
      </c>
      <c r="P526" s="4"/>
      <c r="Q526" s="4"/>
      <c r="R526"/>
      <c r="S526"/>
      <c r="T526" s="4"/>
      <c r="U526" s="4"/>
      <c r="V526"/>
      <c r="W526"/>
      <c r="X526"/>
      <c r="Y526" t="inlineStr">
        <is>
          <t>Pending Appointment</t>
        </is>
      </c>
      <c r="Z526" t="inlineStr">
        <is>
          <t>Continuous Hiring</t>
        </is>
      </c>
      <c r="AA526">
        <v>4</v>
      </c>
      <c r="AB526" t="inlineStr">
        <is>
          <t>No Appointment Made</t>
        </is>
      </c>
      <c r="AC526"/>
      <c r="AD526" t="inlineStr">
        <is>
          <t>Kitchen Crew and Cafe Crew for our cafes. Other than that are Commis and chefs vacancies at our Factory</t>
        </is>
      </c>
      <c r="AE526"/>
      <c r="AF526"/>
      <c r="AG526" s="4"/>
      <c r="AH526" s="4"/>
      <c r="AI526">
        <v>0</v>
      </c>
      <c r="AJ526">
        <v>7</v>
      </c>
      <c r="AK526" t="inlineStr">
        <is>
          <t>Yes, I have</t>
        </is>
      </c>
      <c r="AL526">
        <v>3</v>
      </c>
      <c r="AM526" t="inlineStr">
        <is>
          <t>No, I don't need at all</t>
        </is>
      </c>
      <c r="AN526"/>
      <c r="AO526" t="inlineStr">
        <is>
          <t>No, I don't need at all</t>
        </is>
      </c>
      <c r="AP526" t="inlineStr">
        <is>
          <t>Every month (100%)</t>
        </is>
      </c>
      <c r="AQ526">
        <v>0</v>
      </c>
      <c r="AR526" t="inlineStr">
        <is>
          <t>Free Job Portal</t>
        </is>
      </c>
      <c r="AS526" t="inlineStr">
        <is>
          <t>- Headcount: 4
- Hiring Job Details: Kitchen Crew, Cafe Crew (cafes); Commis, chefs (Factory)
- Hiring Urgency: Continuous Hiring
- Number of outlets: 7
- Have recruiter team: Yes
- Number of recruiter in company: 3
- Have ATS system: No, don't need at all
- Have career website: No, don't need at all
- Current hiring budget: No value provided
- Whole year budget: RM0.00
- Whole year number of vacancies: 0
- Hiring frequency: Every month (100%)
- External job portal: Free Job Portal</t>
        </is>
      </c>
      <c r="AT526">
        <v>65</v>
      </c>
      <c r="AU526" t="inlineStr">
        <is>
          <t>0.65</t>
        </is>
      </c>
      <c r="AV526" t="inlineStr">
        <is>
          <t>5</t>
        </is>
      </c>
      <c r="AW526" t="inlineStr">
        <is>
          <t>0</t>
        </is>
      </c>
      <c r="AX526" t="inlineStr">
        <is>
          <t>Not Qualified</t>
        </is>
      </c>
      <c r="AY526" s="4"/>
      <c r="AZ526"/>
      <c r="BA526"/>
      <c r="BB526"/>
      <c r="BC526" t="inlineStr">
        <is>
          <t>- Headcount: 4
- Hiring Job Details: Kitchen Crew, Cafe Crew (cafes); Commis, chefs (Factory)
- Hiring Urgency: Continuous Hiring
- Number of outlets: 7
- Have recruiter team: Yes
- Number of recruiter in company: 3
- Have ATS system: No, don't need at all
- Have career website: No, don't need at all
- Current hiring budget: No value provided
- Whole year budget: RM0.00
- Whole year number of vacancies: 0
- Hiring frequency: Every month (100%)
- External job portal: Free Job Portal</t>
        </is>
      </c>
      <c r="BD526" s="4">
        <v>46139.6668287037</v>
      </c>
      <c r="BE526"/>
      <c r="BF526"/>
      <c r="BG526" t="inlineStr">
        <is>
          <t>Reschedule</t>
        </is>
      </c>
      <c r="BH526" t="inlineStr">
        <is>
          <t>Fauziah Maharan</t>
        </is>
      </c>
      <c r="BI526" t="inlineStr">
        <is>
          <t>Food / Beverage</t>
        </is>
      </c>
      <c r="BJ526" s="4">
        <v>46144.75436342593</v>
      </c>
      <c r="BK526" s="4">
        <v>46139.608078703706</v>
      </c>
      <c r="BL526" t="inlineStr">
        <is>
          <t>0.0</t>
        </is>
      </c>
      <c r="BM526" t="inlineStr">
        <is>
          <t>0.0</t>
        </is>
      </c>
      <c r="BN526" t="inlineStr">
        <is>
          <t>View Company Page</t>
        </is>
      </c>
      <c r="BO526" s="4">
        <v>46140.502534722225</v>
      </c>
      <c r="BP526">
        <v>169059</v>
      </c>
      <c r="BQ526"/>
      <c r="BR526"/>
      <c r="BS526"/>
      <c r="BT526"/>
      <c r="BU526"/>
      <c r="BV526">
        <v>2730722</v>
      </c>
      <c r="BW526" t="inlineStr">
        <is>
          <t>Customer Inquiry</t>
        </is>
      </c>
      <c r="BX526"/>
      <c r="BY526"/>
      <c r="BZ526" s="4"/>
      <c r="CA526"/>
      <c r="CB526"/>
      <c r="CC526" s="4"/>
      <c r="CD526" t="inlineStr">
        <is>
          <t>5</t>
        </is>
      </c>
      <c r="CE526" t="inlineStr">
        <is>
          <t>0</t>
        </is>
      </c>
      <c r="CF526" t="inlineStr">
        <is>
          <t>Q2-W04</t>
        </is>
      </c>
      <c r="CG526"/>
      <c r="CH526"/>
      <c r="CI526"/>
      <c r="CJ526" t="inlineStr">
        <is>
          <t>No Paid</t>
        </is>
      </c>
      <c r="CK526" t="inlineStr">
        <is>
          <t>Eligible</t>
        </is>
      </c>
      <c r="CL526"/>
      <c r="CM526"/>
    </row>
    <row r="527" ht="25.5" customHeight="1">
      <c r="A527" t="inlineStr">
        <is>
          <t>203793</t>
        </is>
      </c>
      <c r="B527" s="2"/>
      <c r="C527"/>
      <c r="D527" s="3">
        <v>46141.613657407404</v>
      </c>
      <c r="E527" t="inlineStr">
        <is>
          <t>Q2-W04</t>
        </is>
      </c>
      <c r="F527" t="inlineStr">
        <is>
          <t>Yvonne Lee</t>
        </is>
      </c>
      <c r="G527" t="inlineStr">
        <is>
          <t>Customer</t>
        </is>
      </c>
      <c r="H527" s="2" t="str">
        <f>=HYPERLINK("https://upbox.ajobthing.my/customer/203793", "https://upbox.ajobthing.my/customer/203793")</f>
        <v>https://upbox.ajobthing.my/customer/203793</v>
      </c>
      <c r="I527" t="inlineStr">
        <is>
          <t>Centific Global Solutions, S.L.U</t>
        </is>
      </c>
      <c r="J527" t="inlineStr">
        <is>
          <t>Super Whale</t>
        </is>
      </c>
      <c r="K527" t="inlineStr">
        <is>
          <t>Yvonne</t>
        </is>
      </c>
      <c r="L527" s="4"/>
      <c r="M527" s="4">
        <v>46141.61785879629</v>
      </c>
      <c r="N527"/>
      <c r="O527">
        <v>21600</v>
      </c>
      <c r="P527" s="4"/>
      <c r="Q527" s="4"/>
      <c r="R527"/>
      <c r="S527"/>
      <c r="T527" s="4"/>
      <c r="U527" s="4"/>
      <c r="V527"/>
      <c r="W527"/>
      <c r="X527"/>
      <c r="Y527" t="inlineStr">
        <is>
          <t>Pending Appointment</t>
        </is>
      </c>
      <c r="Z527" t="inlineStr">
        <is>
          <t>Hiring Now</t>
        </is>
      </c>
      <c r="AA527">
        <v>2</v>
      </c>
      <c r="AB527" t="inlineStr">
        <is>
          <t>No Appointment Made</t>
        </is>
      </c>
      <c r="AC527"/>
      <c r="AD527" t="inlineStr">
        <is>
          <t>1) developer
2) IT</t>
        </is>
      </c>
      <c r="AE527"/>
      <c r="AF527">
        <v>15000</v>
      </c>
      <c r="AG527" s="4"/>
      <c r="AH527" s="4"/>
      <c r="AI527">
        <v>15000</v>
      </c>
      <c r="AJ527">
        <v>1</v>
      </c>
      <c r="AK527" t="inlineStr">
        <is>
          <t>Yes, I have</t>
        </is>
      </c>
      <c r="AL527">
        <v>5</v>
      </c>
      <c r="AM527" t="inlineStr">
        <is>
          <t>No, I don't need at all</t>
        </is>
      </c>
      <c r="AN527"/>
      <c r="AO527" t="inlineStr">
        <is>
          <t>No, but I want in future</t>
        </is>
      </c>
      <c r="AP527" t="inlineStr">
        <is>
          <t>Every month (100%)</t>
        </is>
      </c>
      <c r="AQ527">
        <v>300</v>
      </c>
      <c r="AR527" t="inlineStr">
        <is>
          <t>Jobstreet, Linkedin (Paid)</t>
        </is>
      </c>
      <c r="AS527" t="inlineStr">
        <is>
          <t>- Headcount: 2
- Hiring Job Details: 1) developer\n2) IT
- Hiring Urgency: Hiring Now
- Number of outlets: 1
- Have recruiter team: Yes, I have
- Number of recruiter in company: 5
- Have ATS system: No, I don't need at all
- Have career website: No, but I want in future
- Current hiring budget: RM15,000
- Whole year budget: RM15,000.00
- Whole year number of vacancies: 300
- Hiring frequency: Every month (100%)
- External job portal: Jobstreet,Linkedin (Paid)</t>
        </is>
      </c>
      <c r="AT527">
        <v>95</v>
      </c>
      <c r="AU527" t="inlineStr">
        <is>
          <t>0.95</t>
        </is>
      </c>
      <c r="AV527" t="inlineStr">
        <is>
          <t>20</t>
        </is>
      </c>
      <c r="AW527" t="inlineStr">
        <is>
          <t>0</t>
        </is>
      </c>
      <c r="AX527" t="inlineStr">
        <is>
          <t>Not Qualified</t>
        </is>
      </c>
      <c r="AY527" s="4"/>
      <c r="AZ527"/>
      <c r="BA527"/>
      <c r="BB527"/>
      <c r="BC527" t="inlineStr">
        <is>
          <t>- Headcount: 2
- Hiring Job Details: 1) developer\n2) IT
- Hiring Urgency: Hiring Now
- Number of outlets: 1
- Have recruiter team: Yes, I have
- Number of recruiter in company: 5
- Have ATS system: No, I don't need at all
- Have career website: No, but I want in future
- Current hiring budget: RM15,000
- Whole year budget: RM15,000.00
- Whole year number of vacancies: 300
- Hiring frequency: Every month (100%)
- External job portal: Jobstreet,Linkedin (Paid)</t>
        </is>
      </c>
      <c r="BD527" s="4">
        <v>46141.62503472222</v>
      </c>
      <c r="BE527"/>
      <c r="BF527"/>
      <c r="BG527" t="inlineStr">
        <is>
          <t>Reschedule</t>
        </is>
      </c>
      <c r="BH527" t="inlineStr">
        <is>
          <t>andy@ajobthing.com</t>
        </is>
      </c>
      <c r="BI527" t="inlineStr">
        <is>
          <t>IT / Software</t>
        </is>
      </c>
      <c r="BJ527" s="4">
        <v>46144.75438657407</v>
      </c>
      <c r="BK527" s="4">
        <v>46141.5968287037</v>
      </c>
      <c r="BL527" t="inlineStr">
        <is>
          <t>0.0</t>
        </is>
      </c>
      <c r="BM527" t="inlineStr">
        <is>
          <t>0.0</t>
        </is>
      </c>
      <c r="BN527" t="inlineStr">
        <is>
          <t>View Company Page</t>
        </is>
      </c>
      <c r="BO527" s="4">
        <v>46142.03344907407</v>
      </c>
      <c r="BP527">
        <v>169521</v>
      </c>
      <c r="BQ527"/>
      <c r="BR527"/>
      <c r="BS527"/>
      <c r="BT527"/>
      <c r="BU527"/>
      <c r="BV527">
        <v>2735491</v>
      </c>
      <c r="BW527" t="inlineStr">
        <is>
          <t>Customer Inquiry</t>
        </is>
      </c>
      <c r="BX527"/>
      <c r="BY527"/>
      <c r="BZ527" s="4"/>
      <c r="CA527"/>
      <c r="CB527"/>
      <c r="CC527" s="4"/>
      <c r="CD527" t="inlineStr">
        <is>
          <t>25</t>
        </is>
      </c>
      <c r="CE527" t="inlineStr">
        <is>
          <t>0</t>
        </is>
      </c>
      <c r="CF527" t="inlineStr">
        <is>
          <t>Q2-W04</t>
        </is>
      </c>
      <c r="CG527"/>
      <c r="CH527"/>
      <c r="CI527"/>
      <c r="CJ527" t="inlineStr">
        <is>
          <t>No Paid</t>
        </is>
      </c>
      <c r="CK527" t="inlineStr">
        <is>
          <t>Eligible</t>
        </is>
      </c>
      <c r="CL527"/>
      <c r="CM527"/>
    </row>
    <row r="528" ht="25.5" customHeight="1">
      <c r="A528" t="inlineStr">
        <is>
          <t>203811</t>
        </is>
      </c>
      <c r="B528" s="2"/>
      <c r="C528"/>
      <c r="D528" s="3">
        <v>46142.444502314815</v>
      </c>
      <c r="E528" t="inlineStr">
        <is>
          <t>Q2-W04</t>
        </is>
      </c>
      <c r="F528" t="inlineStr">
        <is>
          <t>Ratha</t>
        </is>
      </c>
      <c r="G528" t="inlineStr">
        <is>
          <t>Customer</t>
        </is>
      </c>
      <c r="H528" s="2" t="str">
        <f>=HYPERLINK("https://upbox.ajobthing.my/customer/203811", "https://upbox.ajobthing.my/customer/203811")</f>
        <v>https://upbox.ajobthing.my/customer/203811</v>
      </c>
      <c r="I528" t="inlineStr">
        <is>
          <t>Al Isra' Group Sdn Bhd</t>
        </is>
      </c>
      <c r="J528" t="inlineStr">
        <is>
          <t>Super Whale</t>
        </is>
      </c>
      <c r="K528" t="inlineStr">
        <is>
          <t>Ratha</t>
        </is>
      </c>
      <c r="L528" s="4"/>
      <c r="M528" s="4">
        <v>46142.44578703704</v>
      </c>
      <c r="N528"/>
      <c r="O528">
        <v>4968</v>
      </c>
      <c r="P528" s="4"/>
      <c r="Q528" s="4"/>
      <c r="R528"/>
      <c r="S528"/>
      <c r="T528" s="4"/>
      <c r="U528" s="4"/>
      <c r="V528"/>
      <c r="W528"/>
      <c r="X528"/>
      <c r="Y528" t="inlineStr">
        <is>
          <t>Pending Appointment</t>
        </is>
      </c>
      <c r="Z528" t="inlineStr">
        <is>
          <t>Continuous Hiring</t>
        </is>
      </c>
      <c r="AA528">
        <v>1</v>
      </c>
      <c r="AB528" t="inlineStr">
        <is>
          <t>No Appointment Made</t>
        </is>
      </c>
      <c r="AC528"/>
      <c r="AD528" t="inlineStr">
        <is>
          <t>Financial Consultant : on going</t>
        </is>
      </c>
      <c r="AE528"/>
      <c r="AF528"/>
      <c r="AG528" s="4"/>
      <c r="AH528" s="4"/>
      <c r="AI528">
        <v>0</v>
      </c>
      <c r="AJ528"/>
      <c r="AK528" t="inlineStr">
        <is>
          <t>Yes, I have</t>
        </is>
      </c>
      <c r="AL528">
        <v>2</v>
      </c>
      <c r="AM528" t="inlineStr">
        <is>
          <t>No, I don't need at all</t>
        </is>
      </c>
      <c r="AN528"/>
      <c r="AO528" t="inlineStr">
        <is>
          <t>Yes, I have</t>
        </is>
      </c>
      <c r="AP528" t="inlineStr">
        <is>
          <t>Every month (100%)</t>
        </is>
      </c>
      <c r="AQ528">
        <v>0</v>
      </c>
      <c r="AR528" t="inlineStr">
        <is>
          <t>Free Job Portal</t>
        </is>
      </c>
      <c r="AS528" t="inlineStr">
        <is>
          <t>- Headcount: 1
- Hiring Job Details: Financial Consultant (on going)
- Hiring Urgency: Continuous Hiring
- Number of outlets: Not provided
- Have recruiter team: Yes
- Number of recruiter in company: 2
- Have ATS system: No, I don't need at all
- Have career website: Yes
- Current hiring budget: Not provided
- Whole year budget: RM0.00
- Whole year number of vacancies: 0
- Hiring frequency: Every month (100%)
- External job portal: Free Job Portal</t>
        </is>
      </c>
      <c r="AT528">
        <v>95</v>
      </c>
      <c r="AU528" t="inlineStr">
        <is>
          <t>0.95</t>
        </is>
      </c>
      <c r="AV528" t="inlineStr">
        <is>
          <t>5</t>
        </is>
      </c>
      <c r="AW528" t="inlineStr">
        <is>
          <t>0</t>
        </is>
      </c>
      <c r="AX528" t="inlineStr">
        <is>
          <t>Not Qualified</t>
        </is>
      </c>
      <c r="AY528" s="4"/>
      <c r="AZ528"/>
      <c r="BA528"/>
      <c r="BB528"/>
      <c r="BC528" t="inlineStr">
        <is>
          <t>- Headcount: 1
- Hiring Job Details: Financial Consultant (on going)
- Hiring Urgency: Continuous Hiring
- Number of outlets: Not provided
- Have recruiter team: Yes
- Number of recruiter in company: 2
- Have ATS system: No, I don't need at all
- Have career website: Yes
- Current hiring budget: Not provided
- Whole year budget: RM0.00
- Whole year number of vacancies: 0
- Hiring frequency: Every month (100%)
- External job portal: Free Job Portal</t>
        </is>
      </c>
      <c r="BD528" s="4">
        <v>46142.45898148148</v>
      </c>
      <c r="BE528"/>
      <c r="BF528"/>
      <c r="BG528" t="inlineStr">
        <is>
          <t>Reschedule</t>
        </is>
      </c>
      <c r="BH528" t="inlineStr">
        <is>
          <t>Fauziah Maharan</t>
        </is>
      </c>
      <c r="BI528"/>
      <c r="BJ528" s="4">
        <v>46144.75438657407</v>
      </c>
      <c r="BK528" s="4">
        <v>46142.40255787037</v>
      </c>
      <c r="BL528" t="inlineStr">
        <is>
          <t>0.0</t>
        </is>
      </c>
      <c r="BM528" t="inlineStr">
        <is>
          <t>0.0</t>
        </is>
      </c>
      <c r="BN528" t="inlineStr">
        <is>
          <t>View Create Job Page V4</t>
        </is>
      </c>
      <c r="BO528" s="4">
        <v>46142.42555555556</v>
      </c>
      <c r="BP528">
        <v>169626</v>
      </c>
      <c r="BQ528"/>
      <c r="BR528"/>
      <c r="BS528"/>
      <c r="BT528"/>
      <c r="BU528"/>
      <c r="BV528">
        <v>2736953</v>
      </c>
      <c r="BW528" t="inlineStr">
        <is>
          <t>Customer Inquiry</t>
        </is>
      </c>
      <c r="BX528"/>
      <c r="BY528"/>
      <c r="BZ528" s="4"/>
      <c r="CA528"/>
      <c r="CB528"/>
      <c r="CC528" s="4"/>
      <c r="CD528" t="inlineStr">
        <is>
          <t>5</t>
        </is>
      </c>
      <c r="CE528" t="inlineStr">
        <is>
          <t>0</t>
        </is>
      </c>
      <c r="CF528" t="inlineStr">
        <is>
          <t>Q2-W04</t>
        </is>
      </c>
      <c r="CG528"/>
      <c r="CH528"/>
      <c r="CI528"/>
      <c r="CJ528" t="inlineStr">
        <is>
          <t>No Paid</t>
        </is>
      </c>
      <c r="CK528" t="inlineStr">
        <is>
          <t>Eligible</t>
        </is>
      </c>
      <c r="CL528"/>
      <c r="CM528"/>
    </row>
    <row r="529" ht="25.5" customHeight="1">
      <c r="A529" t="inlineStr">
        <is>
          <t>37783</t>
        </is>
      </c>
      <c r="B529" s="2"/>
      <c r="C529"/>
      <c r="D529" s="3">
        <v>46142.619375</v>
      </c>
      <c r="E529" t="inlineStr">
        <is>
          <t>Q2-W04</t>
        </is>
      </c>
      <c r="F529" t="inlineStr">
        <is>
          <t>Yuli</t>
        </is>
      </c>
      <c r="G529" t="inlineStr">
        <is>
          <t>Customer</t>
        </is>
      </c>
      <c r="H529" s="2" t="str">
        <f>=HYPERLINK("https://upbox.ajobthing.my/customer/37783", "https://upbox.ajobthing.my/customer/37783")</f>
        <v>https://upbox.ajobthing.my/customer/37783</v>
      </c>
      <c r="I529" t="inlineStr">
        <is>
          <t>EITA Resources Bhd</t>
        </is>
      </c>
      <c r="J529" t="inlineStr">
        <is>
          <t>Super Whale</t>
        </is>
      </c>
      <c r="K529" t="inlineStr">
        <is>
          <t>YuLi</t>
        </is>
      </c>
      <c r="L529" s="4"/>
      <c r="M529" s="4">
        <v>46142.62045138889</v>
      </c>
      <c r="N529"/>
      <c r="O529">
        <v>10381</v>
      </c>
      <c r="P529" s="4"/>
      <c r="Q529" s="4">
        <v>46140.39774305555</v>
      </c>
      <c r="R529"/>
      <c r="S529">
        <v>0</v>
      </c>
      <c r="T529" s="4">
        <v>45877.42722222222</v>
      </c>
      <c r="U529" s="4"/>
      <c r="V529"/>
      <c r="W529">
        <v>9990</v>
      </c>
      <c r="X529"/>
      <c r="Y529" t="inlineStr">
        <is>
          <t>Pending Appointment</t>
        </is>
      </c>
      <c r="Z529" t="inlineStr">
        <is>
          <t>Hiring Now</t>
        </is>
      </c>
      <c r="AA529">
        <v>3</v>
      </c>
      <c r="AB529" t="inlineStr">
        <is>
          <t>No Appointment Made</t>
        </is>
      </c>
      <c r="AC529"/>
      <c r="AD529" t="inlineStr">
        <is>
          <t>Intern, Accounts, HR</t>
        </is>
      </c>
      <c r="AE529"/>
      <c r="AF529">
        <v>9900</v>
      </c>
      <c r="AG529" s="4"/>
      <c r="AH529" s="4"/>
      <c r="AI529"/>
      <c r="AJ529"/>
      <c r="AK529" t="inlineStr">
        <is>
          <t>Yes, I have</t>
        </is>
      </c>
      <c r="AL529">
        <v>6</v>
      </c>
      <c r="AM529"/>
      <c r="AN529"/>
      <c r="AO529" t="inlineStr">
        <is>
          <t>Yes, I have</t>
        </is>
      </c>
      <c r="AP529" t="inlineStr">
        <is>
          <t>Every month (100%)</t>
        </is>
      </c>
      <c r="AQ529"/>
      <c r="AR529" t="inlineStr">
        <is>
          <t>Jobstreet</t>
        </is>
      </c>
      <c r="AS529" t="inlineStr">
        <is>
          <t>- Headcount: 3
- Hiring Job Details: Intern, Accounts, HR
- Hiring Urgency: Hiring Now
- Number of outlets: Not specified
- Have recruiter team: Yes
- Number of recruiter in company: 6
- Have ATS system: Not specified
- Have career website: Yes
- Current hiring budget: RM9,900.00
- Whole year budget: Not specified
- Whole year number of vacancies: Not specified
- Hiring frequency: Every month (100%)
- External job portal: Jobstreet</t>
        </is>
      </c>
      <c r="AT529">
        <v>75</v>
      </c>
      <c r="AU529" t="inlineStr">
        <is>
          <t>0.75</t>
        </is>
      </c>
      <c r="AV529" t="inlineStr">
        <is>
          <t>15</t>
        </is>
      </c>
      <c r="AW529" t="inlineStr">
        <is>
          <t>0</t>
        </is>
      </c>
      <c r="AX529" t="inlineStr">
        <is>
          <t>Not Qualified</t>
        </is>
      </c>
      <c r="AY529" s="4"/>
      <c r="AZ529"/>
      <c r="BA529"/>
      <c r="BB529"/>
      <c r="BC529" t="inlineStr">
        <is>
          <t>share quotation</t>
        </is>
      </c>
      <c r="BD529" s="4">
        <v>46142.90037037037</v>
      </c>
      <c r="BE529" t="inlineStr">
        <is>
          <t>paid</t>
        </is>
      </c>
      <c r="BF529"/>
      <c r="BG529" t="inlineStr">
        <is>
          <t>Reschedule</t>
        </is>
      </c>
      <c r="BH529" t="inlineStr">
        <is>
          <t>Fauziah Maharan</t>
        </is>
      </c>
      <c r="BI529" t="inlineStr">
        <is>
          <t>Construction / Building</t>
        </is>
      </c>
      <c r="BJ529" s="4">
        <v>46144.754849537036</v>
      </c>
      <c r="BK529" s="4">
        <v>42881.51909722222</v>
      </c>
      <c r="BL529" t="inlineStr">
        <is>
          <t>9990.0</t>
        </is>
      </c>
      <c r="BM529" t="inlineStr">
        <is>
          <t>6600.0</t>
        </is>
      </c>
      <c r="BN529" t="inlineStr">
        <is>
          <t>View Company Page</t>
        </is>
      </c>
      <c r="BO529" s="4">
        <v>46142.725694444445</v>
      </c>
      <c r="BP529">
        <v>169706</v>
      </c>
      <c r="BQ529">
        <v>123813</v>
      </c>
      <c r="BR529" t="inlineStr">
        <is>
          <t>Proforma</t>
        </is>
      </c>
      <c r="BS529" t="inlineStr">
        <is>
          <t>Free Internship Job</t>
        </is>
      </c>
      <c r="BT529">
        <v>6136</v>
      </c>
      <c r="BU529"/>
      <c r="BV529">
        <v>2738576</v>
      </c>
      <c r="BW529" t="inlineStr">
        <is>
          <t>Follow Up : Quotation Sent 50%</t>
        </is>
      </c>
      <c r="BX529">
        <v>25</v>
      </c>
      <c r="BY529">
        <v>1</v>
      </c>
      <c r="BZ529" s="4">
        <v>46140.49219907408</v>
      </c>
      <c r="CA529">
        <v>260</v>
      </c>
      <c r="CB529">
        <v>251</v>
      </c>
      <c r="CC529" s="4">
        <v>46044.52259259259</v>
      </c>
      <c r="CD529" t="inlineStr">
        <is>
          <t>20</t>
        </is>
      </c>
      <c r="CE529" t="inlineStr">
        <is>
          <t>0</t>
        </is>
      </c>
      <c r="CF529" t="inlineStr">
        <is>
          <t>Q2-W04</t>
        </is>
      </c>
      <c r="CG529" t="inlineStr">
        <is>
          <t>Q2-W04</t>
        </is>
      </c>
      <c r="CH529"/>
      <c r="CI529"/>
      <c r="CJ529" t="inlineStr">
        <is>
          <t>Paid</t>
        </is>
      </c>
      <c r="CK529" t="inlineStr">
        <is>
          <t>Eligible</t>
        </is>
      </c>
      <c r="CL529"/>
      <c r="CM529"/>
    </row>
    <row r="530" ht="25.5" customHeight="1">
      <c r="A530" t="inlineStr">
        <is>
          <t>154102</t>
        </is>
      </c>
      <c r="B530" s="2"/>
      <c r="C530"/>
      <c r="D530" s="3">
        <v>46136.39474537037</v>
      </c>
      <c r="E530" t="inlineStr">
        <is>
          <t>Q2-W04</t>
        </is>
      </c>
      <c r="F530" t="inlineStr">
        <is>
          <t>Chia Yee</t>
        </is>
      </c>
      <c r="G530" t="inlineStr">
        <is>
          <t>Customer</t>
        </is>
      </c>
      <c r="H530" s="2" t="str">
        <f>=HYPERLINK("https://upbox.ajobthing.my/customer/154102", "https://upbox.ajobthing.my/customer/154102")</f>
        <v>https://upbox.ajobthing.my/customer/154102</v>
      </c>
      <c r="I530" t="inlineStr">
        <is>
          <t>Zeq Holdings Sdn Bhd</t>
        </is>
      </c>
      <c r="J530" t="inlineStr">
        <is>
          <t>Whale</t>
        </is>
      </c>
      <c r="K530" t="inlineStr">
        <is>
          <t>Chia Yee</t>
        </is>
      </c>
      <c r="L530" s="4"/>
      <c r="M530" s="4">
        <v>46132.41748842593</v>
      </c>
      <c r="N530"/>
      <c r="O530">
        <v>3888</v>
      </c>
      <c r="P530" s="4"/>
      <c r="Q530" s="4">
        <v>46139.60965277778</v>
      </c>
      <c r="R530"/>
      <c r="S530">
        <v>1296</v>
      </c>
      <c r="T530" s="4">
        <v>46139.60965277778</v>
      </c>
      <c r="U530" s="4"/>
      <c r="V530"/>
      <c r="W530">
        <v>1296</v>
      </c>
      <c r="X530"/>
      <c r="Y530" t="inlineStr">
        <is>
          <t>Pending Appointment</t>
        </is>
      </c>
      <c r="Z530" t="inlineStr">
        <is>
          <t>Hiring Now</t>
        </is>
      </c>
      <c r="AA530">
        <v>1</v>
      </c>
      <c r="AB530" t="inlineStr">
        <is>
          <t>No Appointment Made</t>
        </is>
      </c>
      <c r="AC530"/>
      <c r="AD530" t="inlineStr">
        <is>
          <t xml:space="preserve">1  Admin Assistant. </t>
        </is>
      </c>
      <c r="AE530"/>
      <c r="AF530">
        <v>0</v>
      </c>
      <c r="AG530" s="4"/>
      <c r="AH530" s="4"/>
      <c r="AI530">
        <v>0</v>
      </c>
      <c r="AJ530">
        <v>1</v>
      </c>
      <c r="AK530" t="inlineStr">
        <is>
          <t>No, I don't need at all</t>
        </is>
      </c>
      <c r="AL530">
        <v>1</v>
      </c>
      <c r="AM530" t="inlineStr">
        <is>
          <t>No, I don't need at all</t>
        </is>
      </c>
      <c r="AN530"/>
      <c r="AO530" t="inlineStr">
        <is>
          <t>No, I don't need at all</t>
        </is>
      </c>
      <c r="AP530" t="inlineStr">
        <is>
          <t>Once a year (25%)</t>
        </is>
      </c>
      <c r="AQ530">
        <v>1</v>
      </c>
      <c r="AR530" t="inlineStr">
        <is>
          <t>Did not use any job portal</t>
        </is>
      </c>
      <c r="AS530" t="inlineStr">
        <is>
          <t>- Headcount: 1
- Hiring Job Details: 1 Admin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530">
        <v>110</v>
      </c>
      <c r="AU530" t="inlineStr">
        <is>
          <t>1.10</t>
        </is>
      </c>
      <c r="AV530" t="inlineStr">
        <is>
          <t>15</t>
        </is>
      </c>
      <c r="AW530" t="inlineStr">
        <is>
          <t>0</t>
        </is>
      </c>
      <c r="AX530" t="inlineStr">
        <is>
          <t>Not Qualified</t>
        </is>
      </c>
      <c r="AY530" s="4"/>
      <c r="AZ530"/>
      <c r="BA530"/>
      <c r="BB530"/>
      <c r="BC530" t="inlineStr">
        <is>
          <t>WA</t>
        </is>
      </c>
      <c r="BD530" s="4">
        <v>46140.472858796296</v>
      </c>
      <c r="BE530" t="inlineStr">
        <is>
          <t>paid</t>
        </is>
      </c>
      <c r="BF530" t="inlineStr">
        <is>
          <t>Q2-W04</t>
        </is>
      </c>
      <c r="BG530" t="inlineStr">
        <is>
          <t>Reschedule</t>
        </is>
      </c>
      <c r="BH530" t="inlineStr">
        <is>
          <t>Reagen</t>
        </is>
      </c>
      <c r="BI530" t="inlineStr">
        <is>
          <t>Construction / Building</t>
        </is>
      </c>
      <c r="BJ530" s="4">
        <v>46144.7509375</v>
      </c>
      <c r="BK530" s="4">
        <v>44698.42824074074</v>
      </c>
      <c r="BL530" t="inlineStr">
        <is>
          <t>2484.0</t>
        </is>
      </c>
      <c r="BM530" t="inlineStr">
        <is>
          <t>0.0</t>
        </is>
      </c>
      <c r="BN530" t="inlineStr">
        <is>
          <t>View Company Page</t>
        </is>
      </c>
      <c r="BO530" s="4">
        <v>46144.654699074075</v>
      </c>
      <c r="BP530">
        <v>167752</v>
      </c>
      <c r="BQ530">
        <v>94807</v>
      </c>
      <c r="BR530" t="inlineStr">
        <is>
          <t>Online</t>
        </is>
      </c>
      <c r="BS530"/>
      <c r="BT530">
        <v>94807</v>
      </c>
      <c r="BU530"/>
      <c r="BV530">
        <v>2732094</v>
      </c>
      <c r="BW530" t="inlineStr">
        <is>
          <t>No Answer : Voicemail - WA sent to customer</t>
        </is>
      </c>
      <c r="BX530">
        <v>1</v>
      </c>
      <c r="BY530">
        <v>0</v>
      </c>
      <c r="BZ530" s="4">
        <v>46141.88449074074</v>
      </c>
      <c r="CA530">
        <v>10</v>
      </c>
      <c r="CB530">
        <v>10</v>
      </c>
      <c r="CC530" s="4"/>
      <c r="CD530" t="inlineStr">
        <is>
          <t>20</t>
        </is>
      </c>
      <c r="CE530" t="inlineStr">
        <is>
          <t>0</t>
        </is>
      </c>
      <c r="CF530" t="inlineStr">
        <is>
          <t>Q2-W03</t>
        </is>
      </c>
      <c r="CG530" t="inlineStr">
        <is>
          <t>Q2-W04</t>
        </is>
      </c>
      <c r="CH530" t="inlineStr">
        <is>
          <t>Q2-W04</t>
        </is>
      </c>
      <c r="CI530"/>
      <c r="CJ530" t="inlineStr">
        <is>
          <t>Paid</t>
        </is>
      </c>
      <c r="CK530" t="inlineStr">
        <is>
          <t>Eligible</t>
        </is>
      </c>
      <c r="CL530"/>
      <c r="CM530"/>
    </row>
    <row r="531" ht="25.5" customHeight="1">
      <c r="A531" t="inlineStr">
        <is>
          <t>115822</t>
        </is>
      </c>
      <c r="B531" s="2"/>
      <c r="C531"/>
      <c r="D531" s="3">
        <v>46136.402395833335</v>
      </c>
      <c r="E531" t="inlineStr">
        <is>
          <t>Q2-W04</t>
        </is>
      </c>
      <c r="F531" t="inlineStr">
        <is>
          <t>Ratha</t>
        </is>
      </c>
      <c r="G531" t="inlineStr">
        <is>
          <t>Customer</t>
        </is>
      </c>
      <c r="H531" s="2" t="str">
        <f>=HYPERLINK("https://upbox.ajobthing.my/customer/115822", "https://upbox.ajobthing.my/customer/115822")</f>
        <v>https://upbox.ajobthing.my/customer/115822</v>
      </c>
      <c r="I531" t="inlineStr">
        <is>
          <t>New Era Enterprises Sdn Bhd</t>
        </is>
      </c>
      <c r="J531" t="inlineStr">
        <is>
          <t>Whale</t>
        </is>
      </c>
      <c r="K531" t="inlineStr">
        <is>
          <t>Ratha</t>
        </is>
      </c>
      <c r="L531" s="4"/>
      <c r="M531" s="4">
        <v>46136.40366898148</v>
      </c>
      <c r="N531"/>
      <c r="O531">
        <v>3672</v>
      </c>
      <c r="P531" s="4"/>
      <c r="Q531" s="4">
        <v>46139.42325231482</v>
      </c>
      <c r="R531"/>
      <c r="S531">
        <v>3672</v>
      </c>
      <c r="T531" s="4">
        <v>46139.42325231482</v>
      </c>
      <c r="U531" s="4"/>
      <c r="V531"/>
      <c r="W531">
        <v>3672</v>
      </c>
      <c r="X531"/>
      <c r="Y531" t="inlineStr">
        <is>
          <t>Pending Appointment</t>
        </is>
      </c>
      <c r="Z531" t="inlineStr">
        <is>
          <t>Hiring Now</t>
        </is>
      </c>
      <c r="AA531">
        <v>2</v>
      </c>
      <c r="AB531" t="inlineStr">
        <is>
          <t>No Appointment Made</t>
        </is>
      </c>
      <c r="AC531"/>
      <c r="AD531" t="inlineStr">
        <is>
          <t>Marketing &amp; Manufacturing
Location : Kl</t>
        </is>
      </c>
      <c r="AE531"/>
      <c r="AF531"/>
      <c r="AG531" s="4"/>
      <c r="AH531" s="4"/>
      <c r="AI531">
        <v>0</v>
      </c>
      <c r="AJ531">
        <v>1</v>
      </c>
      <c r="AK531" t="inlineStr">
        <is>
          <t>Yes, I have</t>
        </is>
      </c>
      <c r="AL531">
        <v>2</v>
      </c>
      <c r="AM531" t="inlineStr">
        <is>
          <t>No, I don't need at all</t>
        </is>
      </c>
      <c r="AN531"/>
      <c r="AO531" t="inlineStr">
        <is>
          <t>No, I don't need at all</t>
        </is>
      </c>
      <c r="AP531" t="inlineStr">
        <is>
          <t>Once per quarter (75%)</t>
        </is>
      </c>
      <c r="AQ531">
        <v>0</v>
      </c>
      <c r="AR531" t="inlineStr">
        <is>
          <t>Free Job Portal</t>
        </is>
      </c>
      <c r="AS531" t="inlineStr">
        <is>
          <t>- Headcount: 2
- Hiring Job Details: Marketing &amp; Manufacturing, Location: Kl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531">
        <v>90</v>
      </c>
      <c r="AU531" t="inlineStr">
        <is>
          <t>0.90</t>
        </is>
      </c>
      <c r="AV531" t="inlineStr">
        <is>
          <t>5</t>
        </is>
      </c>
      <c r="AW531" t="inlineStr">
        <is>
          <t>0</t>
        </is>
      </c>
      <c r="AX531" t="inlineStr">
        <is>
          <t>Not Qualified</t>
        </is>
      </c>
      <c r="AY531" s="4"/>
      <c r="AZ531"/>
      <c r="BA531"/>
      <c r="BB531"/>
      <c r="BC531" t="inlineStr">
        <is>
          <t>paid</t>
        </is>
      </c>
      <c r="BD531" s="4">
        <v>46139.405590277776</v>
      </c>
      <c r="BE531" t="inlineStr">
        <is>
          <t>paid</t>
        </is>
      </c>
      <c r="BF531" t="inlineStr">
        <is>
          <t>Q2-W04</t>
        </is>
      </c>
      <c r="BG531" t="inlineStr">
        <is>
          <t>Reschedule</t>
        </is>
      </c>
      <c r="BH531" t="inlineStr">
        <is>
          <t>Fauziah Maharan</t>
        </is>
      </c>
      <c r="BI531" t="inlineStr">
        <is>
          <t>General / Wholesale Trading</t>
        </is>
      </c>
      <c r="BJ531" s="4">
        <v>46144.75016203704</v>
      </c>
      <c r="BK531" s="4">
        <v>43510.36119212963</v>
      </c>
      <c r="BL531" t="inlineStr">
        <is>
          <t>5400.0</t>
        </is>
      </c>
      <c r="BM531" t="inlineStr">
        <is>
          <t>750.0</t>
        </is>
      </c>
      <c r="BN531" t="inlineStr">
        <is>
          <t>View Company Page</t>
        </is>
      </c>
      <c r="BO531" s="4">
        <v>46142.3984375</v>
      </c>
      <c r="BP531">
        <v>168696</v>
      </c>
      <c r="BQ531">
        <v>7719</v>
      </c>
      <c r="BR531" t="inlineStr">
        <is>
          <t>Manual (Paid)</t>
        </is>
      </c>
      <c r="BS531"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t>
        </is>
      </c>
      <c r="BT531">
        <v>7719</v>
      </c>
      <c r="BU531"/>
      <c r="BV531">
        <v>2728192</v>
      </c>
      <c r="BW531" t="inlineStr">
        <is>
          <t>Follow Up : Win - Customer Paid</t>
        </is>
      </c>
      <c r="BX531">
        <v>7</v>
      </c>
      <c r="BY531">
        <v>4</v>
      </c>
      <c r="BZ531" s="4">
        <v>46139.72667824074</v>
      </c>
      <c r="CA531">
        <v>60</v>
      </c>
      <c r="CB531">
        <v>60</v>
      </c>
      <c r="CC531" s="4"/>
      <c r="CD531" t="inlineStr">
        <is>
          <t>5</t>
        </is>
      </c>
      <c r="CE531" t="inlineStr">
        <is>
          <t>0</t>
        </is>
      </c>
      <c r="CF531" t="inlineStr">
        <is>
          <t>Q2-W04</t>
        </is>
      </c>
      <c r="CG531" t="inlineStr">
        <is>
          <t>Q2-W04</t>
        </is>
      </c>
      <c r="CH531" t="inlineStr">
        <is>
          <t>Q2-W04</t>
        </is>
      </c>
      <c r="CI531"/>
      <c r="CJ531" t="inlineStr">
        <is>
          <t>Paid</t>
        </is>
      </c>
      <c r="CK531" t="inlineStr">
        <is>
          <t>Eligible</t>
        </is>
      </c>
      <c r="CL531"/>
      <c r="CM531"/>
    </row>
    <row r="532" ht="25.5" customHeight="1">
      <c r="A532" t="inlineStr">
        <is>
          <t>203606</t>
        </is>
      </c>
      <c r="B532" s="2"/>
      <c r="C532"/>
      <c r="D532" s="3">
        <v>46136.42915509259</v>
      </c>
      <c r="E532" t="inlineStr">
        <is>
          <t>Q2-W04</t>
        </is>
      </c>
      <c r="F532" t="inlineStr">
        <is>
          <t>Yuli</t>
        </is>
      </c>
      <c r="G532" t="inlineStr">
        <is>
          <t>Customer</t>
        </is>
      </c>
      <c r="H532" s="2" t="str">
        <f>=HYPERLINK("https://upbox.ajobthing.my/customer/203606", "https://upbox.ajobthing.my/customer/203606")</f>
        <v>https://upbox.ajobthing.my/customer/203606</v>
      </c>
      <c r="I532" t="inlineStr">
        <is>
          <t>Nomas Welless Under Jayakan Nms Holdings Sdn Bhd</t>
        </is>
      </c>
      <c r="J532" t="inlineStr">
        <is>
          <t>Whale</t>
        </is>
      </c>
      <c r="K532" t="inlineStr">
        <is>
          <t>YuLi</t>
        </is>
      </c>
      <c r="L532" s="4"/>
      <c r="M532" s="4">
        <v>46136.431226851855</v>
      </c>
      <c r="N532"/>
      <c r="O532">
        <v>5832</v>
      </c>
      <c r="P532" s="4"/>
      <c r="Q532" s="4"/>
      <c r="R532"/>
      <c r="S532"/>
      <c r="T532" s="4"/>
      <c r="U532" s="4"/>
      <c r="V532"/>
      <c r="W532"/>
      <c r="X532"/>
      <c r="Y532" t="inlineStr">
        <is>
          <t>Pending Appointment</t>
        </is>
      </c>
      <c r="Z532" t="inlineStr">
        <is>
          <t>Hiring Now</t>
        </is>
      </c>
      <c r="AA532">
        <v>3</v>
      </c>
      <c r="AB532" t="inlineStr">
        <is>
          <t>No Appointment Made</t>
        </is>
      </c>
      <c r="AC532"/>
      <c r="AD532" t="inlineStr">
        <is>
          <t>1 Clinic Advisor- Selangor
upcoming will need Clinic Assistant, Doctor</t>
        </is>
      </c>
      <c r="AE532"/>
      <c r="AF532">
        <v>3600</v>
      </c>
      <c r="AG532" s="4"/>
      <c r="AH532" s="4"/>
      <c r="AI532"/>
      <c r="AJ532"/>
      <c r="AK532"/>
      <c r="AL532"/>
      <c r="AM532"/>
      <c r="AN532"/>
      <c r="AO532"/>
      <c r="AP532"/>
      <c r="AQ532"/>
      <c r="AR532" t="inlineStr">
        <is>
          <t>Jobstreet</t>
        </is>
      </c>
      <c r="AS532" t="inlineStr">
        <is>
          <t>- Headcount: 3
- Hiring Job Details: 1 Clinic Advisor- Selangor; upcoming need Clinic Assistant, Doctor
- Hiring Urgency: Hiring Now
- Number of outlets: Not provided
- Have recruiter team: Not provided
- Number of recruiter in company: Not provided
- Have ATS system: Not provided
- Have career website: Not provided
- Current hiring budget: RM3,600.00
- Whole year budget: Not provided
- Whole year number of vacancies: Not provided
- Hiring frequency: Not provided
- External job portal: Jobstreet</t>
        </is>
      </c>
      <c r="AT532">
        <v>30</v>
      </c>
      <c r="AU532" t="inlineStr">
        <is>
          <t>0.30</t>
        </is>
      </c>
      <c r="AV532" t="inlineStr">
        <is>
          <t>15</t>
        </is>
      </c>
      <c r="AW532" t="inlineStr">
        <is>
          <t>0</t>
        </is>
      </c>
      <c r="AX532" t="inlineStr">
        <is>
          <t>Not Qualified</t>
        </is>
      </c>
      <c r="AY532" s="4"/>
      <c r="AZ532"/>
      <c r="BA532"/>
      <c r="BB532"/>
      <c r="BC532" t="inlineStr">
        <is>
          <t>Follow up with Mr. Alvin mentioned had gotten candidate from JS</t>
        </is>
      </c>
      <c r="BD532" s="4">
        <v>46140.494942129626</v>
      </c>
      <c r="BE532"/>
      <c r="BF532"/>
      <c r="BG532" t="inlineStr">
        <is>
          <t>Reschedule</t>
        </is>
      </c>
      <c r="BH532" t="inlineStr">
        <is>
          <t>Fauziah Maharan</t>
        </is>
      </c>
      <c r="BI532"/>
      <c r="BJ532" s="4">
        <v>46144.75435185185</v>
      </c>
      <c r="BK532" s="4">
        <v>46136.25690972222</v>
      </c>
      <c r="BL532" t="inlineStr">
        <is>
          <t>0.0</t>
        </is>
      </c>
      <c r="BM532" t="inlineStr">
        <is>
          <t>0.0</t>
        </is>
      </c>
      <c r="BN532" t="inlineStr">
        <is>
          <t>View Company Page</t>
        </is>
      </c>
      <c r="BO532" s="4">
        <v>46136.326377314814</v>
      </c>
      <c r="BP532">
        <v>168714</v>
      </c>
      <c r="BQ532"/>
      <c r="BR532"/>
      <c r="BS532"/>
      <c r="BT532"/>
      <c r="BU532"/>
      <c r="BV532">
        <v>2732268</v>
      </c>
      <c r="BW532" t="inlineStr">
        <is>
          <t>Follow Up : Lost - Paid Portal</t>
        </is>
      </c>
      <c r="BX532"/>
      <c r="BY532"/>
      <c r="BZ532" s="4"/>
      <c r="CA532"/>
      <c r="CB532"/>
      <c r="CC532" s="4"/>
      <c r="CD532" t="inlineStr">
        <is>
          <t>20</t>
        </is>
      </c>
      <c r="CE532" t="inlineStr">
        <is>
          <t>0</t>
        </is>
      </c>
      <c r="CF532" t="inlineStr">
        <is>
          <t>Q2-W04</t>
        </is>
      </c>
      <c r="CG532"/>
      <c r="CH532"/>
      <c r="CI532"/>
      <c r="CJ532" t="inlineStr">
        <is>
          <t>No Paid</t>
        </is>
      </c>
      <c r="CK532" t="inlineStr">
        <is>
          <t>Eligible</t>
        </is>
      </c>
      <c r="CL532"/>
      <c r="CM532"/>
    </row>
    <row r="533" ht="25.5" customHeight="1">
      <c r="A533" t="inlineStr">
        <is>
          <t>174512</t>
        </is>
      </c>
      <c r="B533" s="2"/>
      <c r="C533"/>
      <c r="D533" s="3">
        <v>46136.43929398148</v>
      </c>
      <c r="E533" t="inlineStr">
        <is>
          <t>Q2-W04</t>
        </is>
      </c>
      <c r="F533" t="inlineStr">
        <is>
          <t>Alan KY</t>
        </is>
      </c>
      <c r="G533" t="inlineStr">
        <is>
          <t>Customer</t>
        </is>
      </c>
      <c r="H533" s="2" t="str">
        <f>=HYPERLINK("https://upbox.ajobthing.my/customer/174512", "https://upbox.ajobthing.my/customer/174512")</f>
        <v>https://upbox.ajobthing.my/customer/174512</v>
      </c>
      <c r="I533" t="inlineStr">
        <is>
          <t>Niufu Holding Sdn Bhd</t>
        </is>
      </c>
      <c r="J533" t="inlineStr">
        <is>
          <t>Whale</t>
        </is>
      </c>
      <c r="K533" t="inlineStr">
        <is>
          <t>Alan KY</t>
        </is>
      </c>
      <c r="L533" s="4"/>
      <c r="M533" s="4">
        <v>46136.44060185185</v>
      </c>
      <c r="N533"/>
      <c r="O533">
        <v>11448</v>
      </c>
      <c r="P533" s="4"/>
      <c r="Q533" s="4">
        <v>45772.431446759256</v>
      </c>
      <c r="R533"/>
      <c r="S533">
        <v>2916</v>
      </c>
      <c r="T533" s="4">
        <v>45496</v>
      </c>
      <c r="U533" s="4"/>
      <c r="V533"/>
      <c r="W533">
        <v>2616.84</v>
      </c>
      <c r="X533"/>
      <c r="Y533" t="inlineStr">
        <is>
          <t>Pending Appointment</t>
        </is>
      </c>
      <c r="Z533" t="inlineStr">
        <is>
          <t>Hiring Now</t>
        </is>
      </c>
      <c r="AA533">
        <v>9</v>
      </c>
      <c r="AB533" t="inlineStr">
        <is>
          <t>No Appointment Made</t>
        </is>
      </c>
      <c r="AC533"/>
      <c r="AD533" t="inlineStr">
        <is>
          <t>8-10 position for new company</t>
        </is>
      </c>
      <c r="AE533"/>
      <c r="AF533"/>
      <c r="AG533" s="4"/>
      <c r="AH533" s="4"/>
      <c r="AI533"/>
      <c r="AJ533"/>
      <c r="AK533" t="inlineStr">
        <is>
          <t>No, I don't need at all</t>
        </is>
      </c>
      <c r="AL533"/>
      <c r="AM533" t="inlineStr">
        <is>
          <t>No, I don't need at all</t>
        </is>
      </c>
      <c r="AN533"/>
      <c r="AO533" t="inlineStr">
        <is>
          <t>No, I don't need at all</t>
        </is>
      </c>
      <c r="AP533" t="inlineStr">
        <is>
          <t>Once per quarter (75%)</t>
        </is>
      </c>
      <c r="AQ533"/>
      <c r="AR533"/>
      <c r="AS533" t="inlineStr">
        <is>
          <t>- Headcount: 9
- Hiring Job Details: 8-10 positions for new company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
- Hiring Urgency: Hiring Now</t>
        </is>
      </c>
      <c r="AT533">
        <v>75</v>
      </c>
      <c r="AU533" t="inlineStr">
        <is>
          <t>0.75</t>
        </is>
      </c>
      <c r="AV533" t="inlineStr">
        <is>
          <t>10</t>
        </is>
      </c>
      <c r="AW533" t="inlineStr">
        <is>
          <t>0</t>
        </is>
      </c>
      <c r="AX533" t="inlineStr">
        <is>
          <t>Not Qualified</t>
        </is>
      </c>
      <c r="AY533" s="4"/>
      <c r="AZ533"/>
      <c r="BA533"/>
      <c r="BB533"/>
      <c r="BC533" t="inlineStr">
        <is>
          <t>director oversea</t>
        </is>
      </c>
      <c r="BD533" s="4">
        <v>46141.64763888889</v>
      </c>
      <c r="BE533" t="inlineStr">
        <is>
          <t>pending</t>
        </is>
      </c>
      <c r="BF533"/>
      <c r="BG533" t="inlineStr">
        <is>
          <t>Reschedule</t>
        </is>
      </c>
      <c r="BH533" t="inlineStr">
        <is>
          <t>Reagen</t>
        </is>
      </c>
      <c r="BI533" t="inlineStr">
        <is>
          <t>Education / Training</t>
        </is>
      </c>
      <c r="BJ533" s="4">
        <v>46144.751550925925</v>
      </c>
      <c r="BK533" s="4">
        <v>45302.626875</v>
      </c>
      <c r="BL533" t="inlineStr">
        <is>
          <t>0.0</t>
        </is>
      </c>
      <c r="BM533" t="inlineStr">
        <is>
          <t>0.0</t>
        </is>
      </c>
      <c r="BN533" t="inlineStr">
        <is>
          <t>View Jobmanager Page</t>
        </is>
      </c>
      <c r="BO533" s="4">
        <v>45600.701006944444</v>
      </c>
      <c r="BP533">
        <v>168724</v>
      </c>
      <c r="BQ533">
        <v>103781</v>
      </c>
      <c r="BR533" t="inlineStr">
        <is>
          <t>Proforma</t>
        </is>
      </c>
      <c r="BS533" t="inlineStr">
        <is>
          <t>Yearly Standard Plan</t>
        </is>
      </c>
      <c r="BT533">
        <v>71361</v>
      </c>
      <c r="BU533"/>
      <c r="BV533">
        <v>2735653</v>
      </c>
      <c r="BW533" t="inlineStr">
        <is>
          <t>Follow Up : Decision Pending</t>
        </is>
      </c>
      <c r="BX533"/>
      <c r="BY533"/>
      <c r="BZ533" s="4"/>
      <c r="CA533"/>
      <c r="CB533"/>
      <c r="CC533" s="4"/>
      <c r="CD533" t="inlineStr">
        <is>
          <t>15</t>
        </is>
      </c>
      <c r="CE533" t="inlineStr">
        <is>
          <t>0</t>
        </is>
      </c>
      <c r="CF533" t="inlineStr">
        <is>
          <t>Q2-W04</t>
        </is>
      </c>
      <c r="CG533"/>
      <c r="CH533"/>
      <c r="CI533"/>
      <c r="CJ533" t="inlineStr">
        <is>
          <t>Paid</t>
        </is>
      </c>
      <c r="CK533" t="inlineStr">
        <is>
          <t>Eligible</t>
        </is>
      </c>
      <c r="CL533"/>
      <c r="CM533"/>
    </row>
    <row r="534" ht="25.5" customHeight="1">
      <c r="A534" t="inlineStr">
        <is>
          <t>116461</t>
        </is>
      </c>
      <c r="B534" s="2"/>
      <c r="C534"/>
      <c r="D534" s="3">
        <v>46136.4393287037</v>
      </c>
      <c r="E534" t="inlineStr">
        <is>
          <t>Q2-W04</t>
        </is>
      </c>
      <c r="F534" t="inlineStr">
        <is>
          <t>Yvonne Lee</t>
        </is>
      </c>
      <c r="G534" t="inlineStr">
        <is>
          <t>Customer</t>
        </is>
      </c>
      <c r="H534" s="2" t="str">
        <f>=HYPERLINK("https://upbox.ajobthing.my/customer/116461", "https://upbox.ajobthing.my/customer/116461")</f>
        <v>https://upbox.ajobthing.my/customer/116461</v>
      </c>
      <c r="I534" t="inlineStr">
        <is>
          <t>Oasis Interactive Sdn Bhd</t>
        </is>
      </c>
      <c r="J534" t="inlineStr">
        <is>
          <t>Whale</t>
        </is>
      </c>
      <c r="K534" t="inlineStr">
        <is>
          <t>Yvonne</t>
        </is>
      </c>
      <c r="L534" s="4"/>
      <c r="M534" s="4">
        <v>46136.44137731481</v>
      </c>
      <c r="N534"/>
      <c r="O534">
        <v>6048</v>
      </c>
      <c r="P534" s="4"/>
      <c r="Q534" s="4">
        <v>45798.754583333335</v>
      </c>
      <c r="R534"/>
      <c r="S534">
        <v>3132</v>
      </c>
      <c r="T534" s="4">
        <v>45798.754583333335</v>
      </c>
      <c r="U534" s="4"/>
      <c r="V534"/>
      <c r="W534">
        <v>3132</v>
      </c>
      <c r="X534"/>
      <c r="Y534" t="inlineStr">
        <is>
          <t>Pending Appointment</t>
        </is>
      </c>
      <c r="Z534" t="inlineStr">
        <is>
          <t>Hiring Later</t>
        </is>
      </c>
      <c r="AA534">
        <v>3</v>
      </c>
      <c r="AB534" t="inlineStr">
        <is>
          <t>No Appointment Made</t>
        </is>
      </c>
      <c r="AC534"/>
      <c r="AD534" t="inlineStr">
        <is>
          <t>1) Technology
2) Design
3) Marketing positions</t>
        </is>
      </c>
      <c r="AE534"/>
      <c r="AF534">
        <v>8000</v>
      </c>
      <c r="AG534" s="4"/>
      <c r="AH534" s="4"/>
      <c r="AI534">
        <v>8000</v>
      </c>
      <c r="AJ534">
        <v>1</v>
      </c>
      <c r="AK534" t="inlineStr">
        <is>
          <t>Yes, I have</t>
        </is>
      </c>
      <c r="AL534">
        <v>2</v>
      </c>
      <c r="AM534" t="inlineStr">
        <is>
          <t>No, I don't need at all</t>
        </is>
      </c>
      <c r="AN534"/>
      <c r="AO534" t="inlineStr">
        <is>
          <t>No, but I want in future</t>
        </is>
      </c>
      <c r="AP534" t="inlineStr">
        <is>
          <t>Once per quarter (75%)</t>
        </is>
      </c>
      <c r="AQ534">
        <v>8</v>
      </c>
      <c r="AR534" t="inlineStr">
        <is>
          <t>Jobstreet</t>
        </is>
      </c>
      <c r="AS534" t="inlineStr">
        <is>
          <t>- Headcount: Not specified
- Hiring Job Details: 1) Technology 2) Design 3) Marketing positions
- Hiring Urgency: Hiring Later
- Number of outlets: 1
- Have recruiter team: Yes
- Number of recruiter in company: 2
- Have ATS system: No, I don't need at all
- Have career website: No, but I want in future
- Current hiring budget: RM8,000
- Whole year budget: RM8,000.00
- Whole year number of vacancies: 8
- Hiring frequency: Once per quarter (75%)
- External job portal: Jobstreet</t>
        </is>
      </c>
      <c r="AT534">
        <v>75</v>
      </c>
      <c r="AU534" t="inlineStr">
        <is>
          <t>0.75</t>
        </is>
      </c>
      <c r="AV534" t="inlineStr">
        <is>
          <t>15</t>
        </is>
      </c>
      <c r="AW534" t="inlineStr">
        <is>
          <t>0</t>
        </is>
      </c>
      <c r="AX534" t="inlineStr">
        <is>
          <t>Not Qualified</t>
        </is>
      </c>
      <c r="AY534" s="4"/>
      <c r="AZ534"/>
      <c r="BA534"/>
      <c r="BB534"/>
      <c r="BC534" t="inlineStr">
        <is>
          <t>Quotation shared.</t>
        </is>
      </c>
      <c r="BD534" s="4">
        <v>46141.50015046296</v>
      </c>
      <c r="BE534" t="inlineStr">
        <is>
          <t>paid</t>
        </is>
      </c>
      <c r="BF534"/>
      <c r="BG534" t="inlineStr">
        <is>
          <t>Reschedule</t>
        </is>
      </c>
      <c r="BH534" t="inlineStr">
        <is>
          <t>andy@ajobthing.com</t>
        </is>
      </c>
      <c r="BI534" t="inlineStr">
        <is>
          <t>Advertising / Marketing</t>
        </is>
      </c>
      <c r="BJ534" s="4">
        <v>46144.75016203704</v>
      </c>
      <c r="BK534" s="4">
        <v>43529.63332175926</v>
      </c>
      <c r="BL534" t="inlineStr">
        <is>
          <t>3132.0</t>
        </is>
      </c>
      <c r="BM534" t="inlineStr">
        <is>
          <t>0.0</t>
        </is>
      </c>
      <c r="BN534" t="inlineStr">
        <is>
          <t>User Visit(Logged In)</t>
        </is>
      </c>
      <c r="BO534" s="4">
        <v>46136.430243055554</v>
      </c>
      <c r="BP534">
        <v>168727</v>
      </c>
      <c r="BQ534">
        <v>79464</v>
      </c>
      <c r="BR534" t="inlineStr">
        <is>
          <t>Online</t>
        </is>
      </c>
      <c r="BS534"/>
      <c r="BT534">
        <v>79464</v>
      </c>
      <c r="BU534"/>
      <c r="BV534">
        <v>2734884</v>
      </c>
      <c r="BW534" t="inlineStr">
        <is>
          <t>Inquire for Hiring Needs : Quotation Sent 50%</t>
        </is>
      </c>
      <c r="BX534">
        <v>6</v>
      </c>
      <c r="BY534">
        <v>2</v>
      </c>
      <c r="BZ534" s="4">
        <v>45917.579618055555</v>
      </c>
      <c r="CA534">
        <v>120</v>
      </c>
      <c r="CB534">
        <v>102</v>
      </c>
      <c r="CC534" s="4">
        <v>45841.41769675926</v>
      </c>
      <c r="CD534" t="inlineStr">
        <is>
          <t>20</t>
        </is>
      </c>
      <c r="CE534" t="inlineStr">
        <is>
          <t>0</t>
        </is>
      </c>
      <c r="CF534" t="inlineStr">
        <is>
          <t>Q2-W04</t>
        </is>
      </c>
      <c r="CG534"/>
      <c r="CH534"/>
      <c r="CI534"/>
      <c r="CJ534" t="inlineStr">
        <is>
          <t>Paid</t>
        </is>
      </c>
      <c r="CK534" t="inlineStr">
        <is>
          <t>Eligible</t>
        </is>
      </c>
      <c r="CL534"/>
      <c r="CM534"/>
    </row>
    <row r="535" ht="25.5" customHeight="1">
      <c r="A535" t="inlineStr">
        <is>
          <t>11427</t>
        </is>
      </c>
      <c r="B535" s="2"/>
      <c r="C535"/>
      <c r="D535" s="3">
        <v>46136.45994212963</v>
      </c>
      <c r="E535" t="inlineStr">
        <is>
          <t>Q2-W04</t>
        </is>
      </c>
      <c r="F535" t="inlineStr">
        <is>
          <t>Yvonne Lee</t>
        </is>
      </c>
      <c r="G535" t="inlineStr">
        <is>
          <t>Customer</t>
        </is>
      </c>
      <c r="H535" s="2" t="str">
        <f>=HYPERLINK("https://upbox.ajobthing.my/customer/11427", "https://upbox.ajobthing.my/customer/11427")</f>
        <v>https://upbox.ajobthing.my/customer/11427</v>
      </c>
      <c r="I535" t="inlineStr">
        <is>
          <t>Malton Berhad</t>
        </is>
      </c>
      <c r="J535" t="inlineStr">
        <is>
          <t>Whale</t>
        </is>
      </c>
      <c r="K535" t="inlineStr">
        <is>
          <t>Yvonne</t>
        </is>
      </c>
      <c r="L535" s="4"/>
      <c r="M535" s="4">
        <v>46136.463530092595</v>
      </c>
      <c r="N535"/>
      <c r="O535">
        <v>10800</v>
      </c>
      <c r="P535" s="4"/>
      <c r="Q535" s="4">
        <v>46108.60383101852</v>
      </c>
      <c r="R535"/>
      <c r="S535">
        <v>1296</v>
      </c>
      <c r="T535" s="4">
        <v>46108.60383101852</v>
      </c>
      <c r="U535" s="4"/>
      <c r="V535"/>
      <c r="W535">
        <v>1296</v>
      </c>
      <c r="X535"/>
      <c r="Y535" t="inlineStr">
        <is>
          <t>Pending Appointment</t>
        </is>
      </c>
      <c r="Z535" t="inlineStr">
        <is>
          <t>Hiring Now</t>
        </is>
      </c>
      <c r="AA535">
        <v>2</v>
      </c>
      <c r="AB535" t="inlineStr">
        <is>
          <t>No Appointment Made</t>
        </is>
      </c>
      <c r="AC535"/>
      <c r="AD535" t="inlineStr">
        <is>
          <t>1) Driver
2) Sales
</t>
        </is>
      </c>
      <c r="AE535"/>
      <c r="AF535">
        <v>7000</v>
      </c>
      <c r="AG535" s="4"/>
      <c r="AH535" s="4"/>
      <c r="AI535">
        <v>7000</v>
      </c>
      <c r="AJ535">
        <v>1</v>
      </c>
      <c r="AK535" t="inlineStr">
        <is>
          <t>Yes, I have</t>
        </is>
      </c>
      <c r="AL535">
        <v>5</v>
      </c>
      <c r="AM535" t="inlineStr">
        <is>
          <t>No, but I want in future</t>
        </is>
      </c>
      <c r="AN535"/>
      <c r="AO535" t="inlineStr">
        <is>
          <t>No, I don't need at all</t>
        </is>
      </c>
      <c r="AP535" t="inlineStr">
        <is>
          <t>Once per quarter (75%)</t>
        </is>
      </c>
      <c r="AQ535">
        <v>40</v>
      </c>
      <c r="AR535" t="inlineStr">
        <is>
          <t>Jobstreet</t>
        </is>
      </c>
      <c r="AS535" t="inlineStr">
        <is>
          <t>- Headcount: 2
- Hiring Job Details: 1) Driver 2) Sales
- Hiring Urgency: Hiring Now
- Number of outlets: 1
- Have recruiter team: Yes
- Number of recruiter in company: 5
- Have ATS system: No, but want in future
- Have career website: No
- Current hiring budget: RM7,000
- Whole year budget: RM7,000.00
- Whole year number of vacancies: 40
- Hiring frequency: Once per quarter (75%)
- External job portal: Jobstreet</t>
        </is>
      </c>
      <c r="AT535">
        <v>115</v>
      </c>
      <c r="AU535" t="inlineStr">
        <is>
          <t>1.15</t>
        </is>
      </c>
      <c r="AV535" t="inlineStr">
        <is>
          <t>15</t>
        </is>
      </c>
      <c r="AW535" t="inlineStr">
        <is>
          <t>0</t>
        </is>
      </c>
      <c r="AX535" t="inlineStr">
        <is>
          <t>Not Qualified</t>
        </is>
      </c>
      <c r="AY535" s="4"/>
      <c r="AZ535"/>
      <c r="BA535"/>
      <c r="BB535"/>
      <c r="BC535" t="inlineStr">
        <is>
          <t>Been using one job ads posting and currently looking to compare the current proposal to let her management review.</t>
        </is>
      </c>
      <c r="BD535" s="4">
        <v>46136.46184027778</v>
      </c>
      <c r="BE535" t="inlineStr">
        <is>
          <t>paid</t>
        </is>
      </c>
      <c r="BF535" t="inlineStr">
        <is>
          <t>Q1-W13</t>
        </is>
      </c>
      <c r="BG535" t="inlineStr">
        <is>
          <t>Reschedule</t>
        </is>
      </c>
      <c r="BH535" t="inlineStr">
        <is>
          <t>andy@ajobthing.com</t>
        </is>
      </c>
      <c r="BI535"/>
      <c r="BJ535" s="4">
        <v>46144.750127314815</v>
      </c>
      <c r="BK535" s="4">
        <v>42478.856516203705</v>
      </c>
      <c r="BL535" t="inlineStr">
        <is>
          <t>1296.0</t>
        </is>
      </c>
      <c r="BM535" t="inlineStr">
        <is>
          <t>9000.0</t>
        </is>
      </c>
      <c r="BN535" t="inlineStr">
        <is>
          <t>User Login</t>
        </is>
      </c>
      <c r="BO535" s="4">
        <v>46142.608773148146</v>
      </c>
      <c r="BP535">
        <v>168743</v>
      </c>
      <c r="BQ535">
        <v>7526</v>
      </c>
      <c r="BR535" t="inlineStr">
        <is>
          <t>Manual (Paid)</t>
        </is>
      </c>
      <c r="BS535" t="inlineStr">
        <is>
          <t>AI Ala Carte
- A la carte for 1 AI Job Ad
- 1 AI Job Ad will be published on Maukerja, Ricebowl and our partner platforms
- 1 AI Job Ad will be published for 45 days
- 1 Booster Plus (10 times bump up)
- 1 Premium Job Ad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is>
      </c>
      <c r="BT535">
        <v>7526</v>
      </c>
      <c r="BU535"/>
      <c r="BV535">
        <v>2725753</v>
      </c>
      <c r="BW535" t="inlineStr">
        <is>
          <t>Inquire for Hiring Needs : Budget Concern</t>
        </is>
      </c>
      <c r="BX535">
        <v>3</v>
      </c>
      <c r="BY535">
        <v>0</v>
      </c>
      <c r="BZ535" s="4">
        <v>46136.43634259259</v>
      </c>
      <c r="CA535">
        <v>43</v>
      </c>
      <c r="CB535">
        <v>12</v>
      </c>
      <c r="CC535" s="4">
        <v>46141.72875</v>
      </c>
      <c r="CD535" t="inlineStr">
        <is>
          <t>20</t>
        </is>
      </c>
      <c r="CE535" t="inlineStr">
        <is>
          <t>0</t>
        </is>
      </c>
      <c r="CF535" t="inlineStr">
        <is>
          <t>Q2-W04</t>
        </is>
      </c>
      <c r="CG535" t="inlineStr">
        <is>
          <t>Q1-W13</t>
        </is>
      </c>
      <c r="CH535" t="inlineStr">
        <is>
          <t>Q1-W13</t>
        </is>
      </c>
      <c r="CI535"/>
      <c r="CJ535" t="inlineStr">
        <is>
          <t>Paid</t>
        </is>
      </c>
      <c r="CK535" t="inlineStr">
        <is>
          <t>Eligible</t>
        </is>
      </c>
      <c r="CL535"/>
      <c r="CM535"/>
    </row>
    <row r="536" ht="25.5" customHeight="1">
      <c r="A536" t="inlineStr">
        <is>
          <t>165117</t>
        </is>
      </c>
      <c r="B536" s="2"/>
      <c r="C536"/>
      <c r="D536" s="3">
        <v>46136.460231481484</v>
      </c>
      <c r="E536" t="inlineStr">
        <is>
          <t>Q2-W04</t>
        </is>
      </c>
      <c r="F536" t="inlineStr">
        <is>
          <t>Evan</t>
        </is>
      </c>
      <c r="G536" t="inlineStr">
        <is>
          <t>Customer</t>
        </is>
      </c>
      <c r="H536" s="2" t="str">
        <f>=HYPERLINK("https://upbox.ajobthing.my/customer/165117", "https://upbox.ajobthing.my/customer/165117")</f>
        <v>https://upbox.ajobthing.my/customer/165117</v>
      </c>
      <c r="I536" t="inlineStr">
        <is>
          <t>Mega Cineplex (Perai) Sdn. Bhd.</t>
        </is>
      </c>
      <c r="J536" t="inlineStr">
        <is>
          <t>Whale</t>
        </is>
      </c>
      <c r="K536" t="inlineStr">
        <is>
          <t>Evan</t>
        </is>
      </c>
      <c r="L536" s="4"/>
      <c r="M536" s="4">
        <v>46136.45591435185</v>
      </c>
      <c r="N536"/>
      <c r="O536">
        <v>5832</v>
      </c>
      <c r="P536" s="4"/>
      <c r="Q536" s="4">
        <v>45980.93833333333</v>
      </c>
      <c r="R536"/>
      <c r="S536">
        <v>3888</v>
      </c>
      <c r="T536" s="4">
        <v>45980.93833333333</v>
      </c>
      <c r="U536" s="4"/>
      <c r="V536"/>
      <c r="W536">
        <v>3888</v>
      </c>
      <c r="X536"/>
      <c r="Y536" t="inlineStr">
        <is>
          <t>Pending Appointment</t>
        </is>
      </c>
      <c r="Z536" t="inlineStr">
        <is>
          <t>Hiring Now</t>
        </is>
      </c>
      <c r="AA536">
        <v>1</v>
      </c>
      <c r="AB536" t="inlineStr">
        <is>
          <t>No Appointment Made</t>
        </is>
      </c>
      <c r="AC536"/>
      <c r="AD536" t="inlineStr">
        <is>
          <t>1 storekeeper, all base in Penang</t>
        </is>
      </c>
      <c r="AE536"/>
      <c r="AF536">
        <v>1</v>
      </c>
      <c r="AG536" s="4"/>
      <c r="AH536" s="4"/>
      <c r="AI536">
        <v>0</v>
      </c>
      <c r="AJ536">
        <v>1</v>
      </c>
      <c r="AK536" t="inlineStr">
        <is>
          <t>No, I don't need at all</t>
        </is>
      </c>
      <c r="AL536">
        <v>0</v>
      </c>
      <c r="AM536" t="inlineStr">
        <is>
          <t>No, I don't need at all</t>
        </is>
      </c>
      <c r="AN536"/>
      <c r="AO536" t="inlineStr">
        <is>
          <t>No, I don't need at all</t>
        </is>
      </c>
      <c r="AP536" t="inlineStr">
        <is>
          <t>Once a year (25%)</t>
        </is>
      </c>
      <c r="AQ536">
        <v>1</v>
      </c>
      <c r="AR536" t="inlineStr">
        <is>
          <t>Did not use any job portal</t>
        </is>
      </c>
      <c r="AS536" t="inlineStr">
        <is>
          <t>- Headcount: 1
- Hiring Job Details: 1 storekeeper, all base in Penang
- Hiring Urgency: Hiring Now
- Number of outlets: 1
- Have recruiter team: No, I don't need at all
- Number of recruiter in company: 0
- Have ATS system: No, I don't need at all
- Have career website: No, I don't need at all
- Current hiring budget: RM1
- Whole year budget: RM0.00
- Whole year number of vacancies: 1
- Hiring frequency: Once a year (25%)
- External job portal: Did not use any job portal</t>
        </is>
      </c>
      <c r="AT536">
        <v>110</v>
      </c>
      <c r="AU536" t="inlineStr">
        <is>
          <t>1.10</t>
        </is>
      </c>
      <c r="AV536" t="inlineStr">
        <is>
          <t>15</t>
        </is>
      </c>
      <c r="AW536" t="inlineStr">
        <is>
          <t>0</t>
        </is>
      </c>
      <c r="AX536" t="inlineStr">
        <is>
          <t>Not Qualified</t>
        </is>
      </c>
      <c r="AY536" s="4"/>
      <c r="AZ536"/>
      <c r="BA536"/>
      <c r="BB536"/>
      <c r="BC536" t="inlineStr">
        <is>
          <t>by end week</t>
        </is>
      </c>
      <c r="BD536" s="4">
        <v>46139.696701388886</v>
      </c>
      <c r="BE536" t="inlineStr">
        <is>
          <t>paid</t>
        </is>
      </c>
      <c r="BF536"/>
      <c r="BG536" t="inlineStr">
        <is>
          <t>Reschedule</t>
        </is>
      </c>
      <c r="BH536" t="inlineStr">
        <is>
          <t>Edward Hoo</t>
        </is>
      </c>
      <c r="BI536" t="inlineStr">
        <is>
          <t>Entertainment / Media</t>
        </is>
      </c>
      <c r="BJ536" s="4">
        <v>46144.751226851855</v>
      </c>
      <c r="BK536" s="4">
        <v>44992.41069444444</v>
      </c>
      <c r="BL536" t="inlineStr">
        <is>
          <t>3888.0</t>
        </is>
      </c>
      <c r="BM536" t="inlineStr">
        <is>
          <t>2400.0</t>
        </is>
      </c>
      <c r="BN536" t="inlineStr">
        <is>
          <t>View Company Page</t>
        </is>
      </c>
      <c r="BO536" s="4">
        <v>46135.490011574075</v>
      </c>
      <c r="BP536">
        <v>168739</v>
      </c>
      <c r="BQ536">
        <v>84337</v>
      </c>
      <c r="BR536" t="inlineStr">
        <is>
          <t>Online</t>
        </is>
      </c>
      <c r="BS536"/>
      <c r="BT536">
        <v>84337</v>
      </c>
      <c r="BU536"/>
      <c r="BV536">
        <v>2731277</v>
      </c>
      <c r="BW536" t="inlineStr">
        <is>
          <t>Follow Up : Decision Pending</t>
        </is>
      </c>
      <c r="BX536">
        <v>6</v>
      </c>
      <c r="BY536">
        <v>0</v>
      </c>
      <c r="BZ536" s="4">
        <v>46079.876296296294</v>
      </c>
      <c r="CA536">
        <v>60</v>
      </c>
      <c r="CB536">
        <v>39</v>
      </c>
      <c r="CC536" s="4">
        <v>46095.78936342592</v>
      </c>
      <c r="CD536" t="inlineStr">
        <is>
          <t>20</t>
        </is>
      </c>
      <c r="CE536" t="inlineStr">
        <is>
          <t>0</t>
        </is>
      </c>
      <c r="CF536" t="inlineStr">
        <is>
          <t>Q2-W04</t>
        </is>
      </c>
      <c r="CG536"/>
      <c r="CH536"/>
      <c r="CI536"/>
      <c r="CJ536" t="inlineStr">
        <is>
          <t>Paid</t>
        </is>
      </c>
      <c r="CK536" t="inlineStr">
        <is>
          <t>Eligible</t>
        </is>
      </c>
      <c r="CL536"/>
      <c r="CM536"/>
    </row>
    <row r="537" ht="25.5" customHeight="1">
      <c r="A537" t="inlineStr">
        <is>
          <t>203612</t>
        </is>
      </c>
      <c r="B537" s="2"/>
      <c r="C537"/>
      <c r="D537" s="3">
        <v>46136.465902777774</v>
      </c>
      <c r="E537" t="inlineStr">
        <is>
          <t>Q2-W04</t>
        </is>
      </c>
      <c r="F537" t="inlineStr">
        <is>
          <t>Ratha</t>
        </is>
      </c>
      <c r="G537" t="inlineStr">
        <is>
          <t>Customer</t>
        </is>
      </c>
      <c r="H537" s="2" t="str">
        <f>=HYPERLINK("https://upbox.ajobthing.my/customer/203612", "https://upbox.ajobthing.my/customer/203612")</f>
        <v>https://upbox.ajobthing.my/customer/203612</v>
      </c>
      <c r="I537" t="inlineStr">
        <is>
          <t>Koperasi Baja Harapan Sabah Berhad</t>
        </is>
      </c>
      <c r="J537" t="inlineStr">
        <is>
          <t>Whale</t>
        </is>
      </c>
      <c r="K537" t="inlineStr">
        <is>
          <t>Ratha</t>
        </is>
      </c>
      <c r="L537" s="4"/>
      <c r="M537" s="4">
        <v>46136.57638888889</v>
      </c>
      <c r="N537"/>
      <c r="O537">
        <v>6048</v>
      </c>
      <c r="P537" s="4"/>
      <c r="Q537" s="4"/>
      <c r="R537"/>
      <c r="S537"/>
      <c r="T537" s="4"/>
      <c r="U537" s="4"/>
      <c r="V537"/>
      <c r="W537"/>
      <c r="X537"/>
      <c r="Y537" t="inlineStr">
        <is>
          <t>Pending Appointment</t>
        </is>
      </c>
      <c r="Z537" t="inlineStr">
        <is>
          <t>Continuous Hiring</t>
        </is>
      </c>
      <c r="AA537">
        <v>30</v>
      </c>
      <c r="AB537" t="inlineStr">
        <is>
          <t>No Appointment Made</t>
        </is>
      </c>
      <c r="AC537"/>
      <c r="AD537" t="inlineStr">
        <is>
          <t>Sales Admin : 30
Location : Sabah</t>
        </is>
      </c>
      <c r="AE537"/>
      <c r="AF537"/>
      <c r="AG537" s="4"/>
      <c r="AH537" s="4"/>
      <c r="AI537">
        <v>0</v>
      </c>
      <c r="AJ537">
        <v>1</v>
      </c>
      <c r="AK537" t="inlineStr">
        <is>
          <t>Yes, I have</t>
        </is>
      </c>
      <c r="AL537">
        <v>2</v>
      </c>
      <c r="AM537" t="inlineStr">
        <is>
          <t>No, I don't need at all</t>
        </is>
      </c>
      <c r="AN537"/>
      <c r="AO537" t="inlineStr">
        <is>
          <t>No, I don't need at all</t>
        </is>
      </c>
      <c r="AP537" t="inlineStr">
        <is>
          <t>Every month (100%)</t>
        </is>
      </c>
      <c r="AQ537">
        <v>0</v>
      </c>
      <c r="AR537" t="inlineStr">
        <is>
          <t>Free Job Portal</t>
        </is>
      </c>
      <c r="AS537" t="inlineStr">
        <is>
          <t>- Headcount: 30
- Hiring Job Details: 30 Sales Admin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Free Job Portal</t>
        </is>
      </c>
      <c r="AT537">
        <v>100</v>
      </c>
      <c r="AU537" t="inlineStr">
        <is>
          <t>1.00</t>
        </is>
      </c>
      <c r="AV537" t="inlineStr">
        <is>
          <t>15</t>
        </is>
      </c>
      <c r="AW537" t="inlineStr">
        <is>
          <t>0</t>
        </is>
      </c>
      <c r="AX537" t="inlineStr">
        <is>
          <t>Not Qualified</t>
        </is>
      </c>
      <c r="AY537" s="4"/>
      <c r="AZ537"/>
      <c r="BA537"/>
      <c r="BB537"/>
      <c r="BC537" t="inlineStr">
        <is>
          <t>no answer</t>
        </is>
      </c>
      <c r="BD537" s="4">
        <v>46142.453738425924</v>
      </c>
      <c r="BE537"/>
      <c r="BF537"/>
      <c r="BG537" t="inlineStr">
        <is>
          <t>Reschedule</t>
        </is>
      </c>
      <c r="BH537" t="inlineStr">
        <is>
          <t>Fauziah Maharan</t>
        </is>
      </c>
      <c r="BI537" t="inlineStr">
        <is>
          <t>Agriculture / Poultry / Fisheries</t>
        </is>
      </c>
      <c r="BJ537" s="4">
        <v>46144.75436342593</v>
      </c>
      <c r="BK537" s="4">
        <v>46136.44520833333</v>
      </c>
      <c r="BL537" t="inlineStr">
        <is>
          <t>0.0</t>
        </is>
      </c>
      <c r="BM537" t="inlineStr">
        <is>
          <t>0.0</t>
        </is>
      </c>
      <c r="BN537" t="inlineStr">
        <is>
          <t>View Create Job Page V4</t>
        </is>
      </c>
      <c r="BO537" s="4">
        <v>46136.474270833336</v>
      </c>
      <c r="BP537">
        <v>168786</v>
      </c>
      <c r="BQ537"/>
      <c r="BR537"/>
      <c r="BS537"/>
      <c r="BT537"/>
      <c r="BU537"/>
      <c r="BV537">
        <v>2736910</v>
      </c>
      <c r="BW537" t="inlineStr">
        <is>
          <t>No Answer : Voicemail - WA sent to customer</t>
        </is>
      </c>
      <c r="BX537"/>
      <c r="BY537"/>
      <c r="BZ537" s="4"/>
      <c r="CA537"/>
      <c r="CB537"/>
      <c r="CC537" s="4"/>
      <c r="CD537" t="inlineStr">
        <is>
          <t>20</t>
        </is>
      </c>
      <c r="CE537" t="inlineStr">
        <is>
          <t>0</t>
        </is>
      </c>
      <c r="CF537" t="inlineStr">
        <is>
          <t>Q2-W04</t>
        </is>
      </c>
      <c r="CG537"/>
      <c r="CH537"/>
      <c r="CI537"/>
      <c r="CJ537" t="inlineStr">
        <is>
          <t>No Paid</t>
        </is>
      </c>
      <c r="CK537" t="inlineStr">
        <is>
          <t>Eligible</t>
        </is>
      </c>
      <c r="CL537"/>
      <c r="CM537"/>
    </row>
    <row r="538" ht="25.5" customHeight="1">
      <c r="A538" t="inlineStr">
        <is>
          <t>128634</t>
        </is>
      </c>
      <c r="B538" s="2"/>
      <c r="C538"/>
      <c r="D538" s="3">
        <v>46136.47415509259</v>
      </c>
      <c r="E538" t="inlineStr">
        <is>
          <t>Q2-W04</t>
        </is>
      </c>
      <c r="F538" t="inlineStr">
        <is>
          <t>Chia Yee</t>
        </is>
      </c>
      <c r="G538" t="inlineStr">
        <is>
          <t>Customer</t>
        </is>
      </c>
      <c r="H538" s="2" t="str">
        <f>=HYPERLINK("https://upbox.ajobthing.my/customer/128634", "https://upbox.ajobthing.my/customer/128634")</f>
        <v>https://upbox.ajobthing.my/customer/128634</v>
      </c>
      <c r="I538" t="inlineStr">
        <is>
          <t>Arus Selasih Sdn Bhd</t>
        </is>
      </c>
      <c r="J538" t="inlineStr">
        <is>
          <t>Whale</t>
        </is>
      </c>
      <c r="K538" t="inlineStr">
        <is>
          <t>Chia Yee</t>
        </is>
      </c>
      <c r="L538" s="4"/>
      <c r="M538" s="4">
        <v>46136.474328703705</v>
      </c>
      <c r="N538"/>
      <c r="O538">
        <v>4968</v>
      </c>
      <c r="P538" s="4"/>
      <c r="Q538" s="4">
        <v>46136.71800925926</v>
      </c>
      <c r="R538"/>
      <c r="S538">
        <v>1296</v>
      </c>
      <c r="T538" s="4">
        <v>46136.71800925926</v>
      </c>
      <c r="U538" s="4"/>
      <c r="V538"/>
      <c r="W538">
        <v>1296</v>
      </c>
      <c r="X538"/>
      <c r="Y538" t="inlineStr">
        <is>
          <t>Pending Appointment</t>
        </is>
      </c>
      <c r="Z538" t="inlineStr">
        <is>
          <t>Hiring Now</t>
        </is>
      </c>
      <c r="AA538">
        <v>15</v>
      </c>
      <c r="AB538" t="inlineStr">
        <is>
          <t>No Appointment Made</t>
        </is>
      </c>
      <c r="AC538"/>
      <c r="AD538" t="inlineStr">
        <is>
          <t>15  Recovery Officer</t>
        </is>
      </c>
      <c r="AE538"/>
      <c r="AF538">
        <v>0</v>
      </c>
      <c r="AG538" s="4"/>
      <c r="AH538" s="4"/>
      <c r="AI538">
        <v>0</v>
      </c>
      <c r="AJ538">
        <v>1</v>
      </c>
      <c r="AK538" t="inlineStr">
        <is>
          <t>No, I don't need at all</t>
        </is>
      </c>
      <c r="AL538">
        <v>1</v>
      </c>
      <c r="AM538" t="inlineStr">
        <is>
          <t>No, I don't need at all</t>
        </is>
      </c>
      <c r="AN538"/>
      <c r="AO538" t="inlineStr">
        <is>
          <t>Yes, I have</t>
        </is>
      </c>
      <c r="AP538" t="inlineStr">
        <is>
          <t>Once a year (25%)</t>
        </is>
      </c>
      <c r="AQ538">
        <v>15</v>
      </c>
      <c r="AR538" t="inlineStr">
        <is>
          <t>Did not use any job portal</t>
        </is>
      </c>
      <c r="AS538" t="inlineStr">
        <is>
          <t>- Headcount: 15
- Hiring Job Details: 15 Recovery Officer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15
- Hiring frequency: Once a year (25%)
- External job portal: Did not use any job portal</t>
        </is>
      </c>
      <c r="AT538">
        <v>115</v>
      </c>
      <c r="AU538" t="inlineStr">
        <is>
          <t>1.15</t>
        </is>
      </c>
      <c r="AV538" t="inlineStr">
        <is>
          <t>25</t>
        </is>
      </c>
      <c r="AW538" t="inlineStr">
        <is>
          <t>0</t>
        </is>
      </c>
      <c r="AX538" t="inlineStr">
        <is>
          <t>Not Qualified</t>
        </is>
      </c>
      <c r="AY538" s="4"/>
      <c r="AZ538"/>
      <c r="BA538"/>
      <c r="BB538"/>
      <c r="BC538" t="inlineStr">
        <is>
          <t>paid and posted</t>
        </is>
      </c>
      <c r="BD538" s="4">
        <v>46140.437476851854</v>
      </c>
      <c r="BE538" t="inlineStr">
        <is>
          <t>paid</t>
        </is>
      </c>
      <c r="BF538" t="inlineStr">
        <is>
          <t>Q2-W04</t>
        </is>
      </c>
      <c r="BG538" t="inlineStr">
        <is>
          <t>Reschedule</t>
        </is>
      </c>
      <c r="BH538" t="inlineStr">
        <is>
          <t>Reagen</t>
        </is>
      </c>
      <c r="BI538" t="inlineStr">
        <is>
          <t>Call Center / BPO</t>
        </is>
      </c>
      <c r="BJ538" s="4">
        <v>46144.75042824074</v>
      </c>
      <c r="BK538" s="4">
        <v>44062.49045138889</v>
      </c>
      <c r="BL538" t="inlineStr">
        <is>
          <t>4320.0</t>
        </is>
      </c>
      <c r="BM538" t="inlineStr">
        <is>
          <t>1200.0</t>
        </is>
      </c>
      <c r="BN538" t="inlineStr">
        <is>
          <t>User Visit(Logged In)</t>
        </is>
      </c>
      <c r="BO538" s="4">
        <v>46143.68950231482</v>
      </c>
      <c r="BP538">
        <v>168751</v>
      </c>
      <c r="BQ538">
        <v>94744</v>
      </c>
      <c r="BR538" t="inlineStr">
        <is>
          <t>Online</t>
        </is>
      </c>
      <c r="BS538"/>
      <c r="BT538">
        <v>94744</v>
      </c>
      <c r="BU538"/>
      <c r="BV538">
        <v>2731832</v>
      </c>
      <c r="BW538" t="inlineStr">
        <is>
          <t>No Answer : Voicemail - WA sent to customer</t>
        </is>
      </c>
      <c r="BX538">
        <v>1</v>
      </c>
      <c r="BY538">
        <v>0</v>
      </c>
      <c r="BZ538" s="4">
        <v>46137.394849537035</v>
      </c>
      <c r="CA538">
        <v>10</v>
      </c>
      <c r="CB538">
        <v>9</v>
      </c>
      <c r="CC538" s="4">
        <v>46139.57802083333</v>
      </c>
      <c r="CD538" t="inlineStr">
        <is>
          <t>35</t>
        </is>
      </c>
      <c r="CE538" t="inlineStr">
        <is>
          <t>0</t>
        </is>
      </c>
      <c r="CF538" t="inlineStr">
        <is>
          <t>Q2-W04</t>
        </is>
      </c>
      <c r="CG538" t="inlineStr">
        <is>
          <t>Q2-W04</t>
        </is>
      </c>
      <c r="CH538" t="inlineStr">
        <is>
          <t>Q2-W04</t>
        </is>
      </c>
      <c r="CI538"/>
      <c r="CJ538" t="inlineStr">
        <is>
          <t>Paid</t>
        </is>
      </c>
      <c r="CK538" t="inlineStr">
        <is>
          <t>Eligible</t>
        </is>
      </c>
      <c r="CL538"/>
      <c r="CM538"/>
    </row>
    <row r="539" ht="25.5" customHeight="1">
      <c r="A539" t="inlineStr">
        <is>
          <t>152150</t>
        </is>
      </c>
      <c r="B539" s="2"/>
      <c r="C539"/>
      <c r="D539" s="3">
        <v>46136.47613425926</v>
      </c>
      <c r="E539" t="inlineStr">
        <is>
          <t>Q2-W04</t>
        </is>
      </c>
      <c r="F539" t="inlineStr">
        <is>
          <t>Josh</t>
        </is>
      </c>
      <c r="G539" t="inlineStr">
        <is>
          <t>Customer</t>
        </is>
      </c>
      <c r="H539" s="2" t="str">
        <f>=HYPERLINK("https://upbox.ajobthing.my/customer/152150", "https://upbox.ajobthing.my/customer/152150")</f>
        <v>https://upbox.ajobthing.my/customer/152150</v>
      </c>
      <c r="I539" t="inlineStr">
        <is>
          <t>FITTERS Diversified Bhd</t>
        </is>
      </c>
      <c r="J539" t="inlineStr">
        <is>
          <t>Whale</t>
        </is>
      </c>
      <c r="K539" t="inlineStr">
        <is>
          <t>Josh</t>
        </is>
      </c>
      <c r="L539" s="4"/>
      <c r="M539" s="4">
        <v>46136.47555555555</v>
      </c>
      <c r="N539"/>
      <c r="O539">
        <v>6048</v>
      </c>
      <c r="P539" s="4"/>
      <c r="Q539" s="4"/>
      <c r="R539"/>
      <c r="S539"/>
      <c r="T539" s="4"/>
      <c r="U539" s="4"/>
      <c r="V539"/>
      <c r="W539"/>
      <c r="X539"/>
      <c r="Y539" t="inlineStr">
        <is>
          <t>Pending Appointment</t>
        </is>
      </c>
      <c r="Z539" t="inlineStr">
        <is>
          <t>Hiring Later</t>
        </is>
      </c>
      <c r="AA539">
        <v>1</v>
      </c>
      <c r="AB539" t="inlineStr">
        <is>
          <t>No Appointment Made</t>
        </is>
      </c>
      <c r="AC539"/>
      <c r="AD539" t="inlineStr">
        <is>
          <t>1 sales</t>
        </is>
      </c>
      <c r="AE539"/>
      <c r="AF539">
        <v>3000</v>
      </c>
      <c r="AG539" s="4"/>
      <c r="AH539" s="4"/>
      <c r="AI539"/>
      <c r="AJ539"/>
      <c r="AK539" t="inlineStr">
        <is>
          <t>Yes, I have</t>
        </is>
      </c>
      <c r="AL539"/>
      <c r="AM539"/>
      <c r="AN539"/>
      <c r="AO539"/>
      <c r="AP539" t="inlineStr">
        <is>
          <t>Once a year (25%)</t>
        </is>
      </c>
      <c r="AQ539"/>
      <c r="AR539"/>
      <c r="AS539" t="inlineStr">
        <is>
          <t>- Headcount: 1
- Hiring Job Details: 1 sales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
- Hiring Urgency: Hiring Later</t>
        </is>
      </c>
      <c r="AT539">
        <v>75</v>
      </c>
      <c r="AU539" t="inlineStr">
        <is>
          <t>0.75</t>
        </is>
      </c>
      <c r="AV539" t="inlineStr">
        <is>
          <t>15</t>
        </is>
      </c>
      <c r="AW539" t="inlineStr">
        <is>
          <t>0</t>
        </is>
      </c>
      <c r="AX539" t="inlineStr">
        <is>
          <t>Not Qualified</t>
        </is>
      </c>
      <c r="AY539" s="4"/>
      <c r="AZ539"/>
      <c r="BA539"/>
      <c r="BB539"/>
      <c r="BC539" t="inlineStr">
        <is>
          <t>- Headcount: 1
- Hiring Job Details: 1 sales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
- Hiring Urgency: Hiring Later</t>
        </is>
      </c>
      <c r="BD539" s="4">
        <v>46136.50003472222</v>
      </c>
      <c r="BE539"/>
      <c r="BF539"/>
      <c r="BG539" t="inlineStr">
        <is>
          <t>Reschedule</t>
        </is>
      </c>
      <c r="BH539" t="inlineStr">
        <is>
          <t>Fauziah Maharan</t>
        </is>
      </c>
      <c r="BI539" t="inlineStr">
        <is>
          <t>Manufacturing / Production</t>
        </is>
      </c>
      <c r="BJ539" s="4">
        <v>46144.75087962963</v>
      </c>
      <c r="BK539" s="4">
        <v>44663.52678240741</v>
      </c>
      <c r="BL539" t="inlineStr">
        <is>
          <t>0.0</t>
        </is>
      </c>
      <c r="BM539" t="inlineStr">
        <is>
          <t>4800.0</t>
        </is>
      </c>
      <c r="BN539" t="inlineStr">
        <is>
          <t>View Shop</t>
        </is>
      </c>
      <c r="BO539" s="4">
        <v>44663.54479166667</v>
      </c>
      <c r="BP539">
        <v>168756</v>
      </c>
      <c r="BQ539"/>
      <c r="BR539"/>
      <c r="BS539"/>
      <c r="BT539"/>
      <c r="BU539"/>
      <c r="BV539">
        <v>2726033</v>
      </c>
      <c r="BW539" t="inlineStr">
        <is>
          <t>Customer Inquiry</t>
        </is>
      </c>
      <c r="BX539"/>
      <c r="BY539"/>
      <c r="BZ539" s="4"/>
      <c r="CA539"/>
      <c r="CB539"/>
      <c r="CC539" s="4"/>
      <c r="CD539" t="inlineStr">
        <is>
          <t>20</t>
        </is>
      </c>
      <c r="CE539" t="inlineStr">
        <is>
          <t>0</t>
        </is>
      </c>
      <c r="CF539" t="inlineStr">
        <is>
          <t>Q2-W04</t>
        </is>
      </c>
      <c r="CG539"/>
      <c r="CH539"/>
      <c r="CI539"/>
      <c r="CJ539" t="inlineStr">
        <is>
          <t>No Paid</t>
        </is>
      </c>
      <c r="CK539" t="inlineStr">
        <is>
          <t>Eligible</t>
        </is>
      </c>
      <c r="CL539"/>
      <c r="CM539"/>
    </row>
    <row r="540" ht="25.5" customHeight="1">
      <c r="A540" t="inlineStr">
        <is>
          <t>195160</t>
        </is>
      </c>
      <c r="B540" s="2"/>
      <c r="C540"/>
      <c r="D540" s="3">
        <v>46136.59300925926</v>
      </c>
      <c r="E540" t="inlineStr">
        <is>
          <t>Q2-W04</t>
        </is>
      </c>
      <c r="F540" t="inlineStr">
        <is>
          <t>Yuli</t>
        </is>
      </c>
      <c r="G540" t="inlineStr">
        <is>
          <t>Customer</t>
        </is>
      </c>
      <c r="H540" s="2" t="str">
        <f>=HYPERLINK("https://upbox.ajobthing.my/customer/195160", "https://upbox.ajobthing.my/customer/195160")</f>
        <v>https://upbox.ajobthing.my/customer/195160</v>
      </c>
      <c r="I540" t="inlineStr">
        <is>
          <t>CIP Group Sdn. Bhd.</t>
        </is>
      </c>
      <c r="J540" t="inlineStr">
        <is>
          <t>Whale</t>
        </is>
      </c>
      <c r="K540" t="inlineStr">
        <is>
          <t>YuLi</t>
        </is>
      </c>
      <c r="L540" s="4"/>
      <c r="M540" s="4">
        <v>46136.59207175926</v>
      </c>
      <c r="N540"/>
      <c r="O540">
        <v>4968</v>
      </c>
      <c r="P540" s="4"/>
      <c r="Q540" s="4">
        <v>45931.408738425926</v>
      </c>
      <c r="R540"/>
      <c r="S540">
        <v>1512</v>
      </c>
      <c r="T540" s="4">
        <v>45931.408738425926</v>
      </c>
      <c r="U540" s="4"/>
      <c r="V540"/>
      <c r="W540">
        <v>1512</v>
      </c>
      <c r="X540"/>
      <c r="Y540" t="inlineStr">
        <is>
          <t>Pending Appointment</t>
        </is>
      </c>
      <c r="Z540"/>
      <c r="AA540">
        <v>1</v>
      </c>
      <c r="AB540" t="inlineStr">
        <is>
          <t>No Appointment Made</t>
        </is>
      </c>
      <c r="AC540"/>
      <c r="AD540" t="inlineStr">
        <is>
          <t>Live host</t>
        </is>
      </c>
      <c r="AE540"/>
      <c r="AF540"/>
      <c r="AG540" s="4"/>
      <c r="AH540" s="4"/>
      <c r="AI540"/>
      <c r="AJ540"/>
      <c r="AK540"/>
      <c r="AL540"/>
      <c r="AM540"/>
      <c r="AN540"/>
      <c r="AO540"/>
      <c r="AP540"/>
      <c r="AQ540"/>
      <c r="AR540" t="inlineStr">
        <is>
          <t>Free Job Portal</t>
        </is>
      </c>
      <c r="AS540" t="inlineStr">
        <is>
          <t>- Headcount: 1
- Hiring Job Details: Live host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Free Job Portal
- Hiring Urgency: Not available</t>
        </is>
      </c>
      <c r="AT540">
        <v>65</v>
      </c>
      <c r="AU540" t="inlineStr">
        <is>
          <t>0.65</t>
        </is>
      </c>
      <c r="AV540" t="inlineStr">
        <is>
          <t>5</t>
        </is>
      </c>
      <c r="AW540" t="inlineStr">
        <is>
          <t>0</t>
        </is>
      </c>
      <c r="AX540" t="inlineStr">
        <is>
          <t>Not Qualified</t>
        </is>
      </c>
      <c r="AY540" s="4"/>
      <c r="AZ540"/>
      <c r="BA540"/>
      <c r="BB540"/>
      <c r="BC540" t="inlineStr">
        <is>
          <t>called but no answered</t>
        </is>
      </c>
      <c r="BD540" s="4">
        <v>46142.598333333335</v>
      </c>
      <c r="BE540" t="inlineStr">
        <is>
          <t>paid</t>
        </is>
      </c>
      <c r="BF540"/>
      <c r="BG540" t="inlineStr">
        <is>
          <t>Reschedule</t>
        </is>
      </c>
      <c r="BH540" t="inlineStr">
        <is>
          <t>Fauziah Maharan</t>
        </is>
      </c>
      <c r="BI540" t="inlineStr">
        <is>
          <t>Manufacturing / Production</t>
        </is>
      </c>
      <c r="BJ540" s="4">
        <v>46144.75274305556</v>
      </c>
      <c r="BK540" s="4">
        <v>45888.830196759256</v>
      </c>
      <c r="BL540" t="inlineStr">
        <is>
          <t>1512.0</t>
        </is>
      </c>
      <c r="BM540" t="inlineStr">
        <is>
          <t>7800.0</t>
        </is>
      </c>
      <c r="BN540" t="inlineStr">
        <is>
          <t>User Visit(Logged In)</t>
        </is>
      </c>
      <c r="BO540" s="4">
        <v>45945.45166666667</v>
      </c>
      <c r="BP540">
        <v>168792</v>
      </c>
      <c r="BQ540">
        <v>82880</v>
      </c>
      <c r="BR540" t="inlineStr">
        <is>
          <t>Online</t>
        </is>
      </c>
      <c r="BS540"/>
      <c r="BT540">
        <v>82880</v>
      </c>
      <c r="BU540"/>
      <c r="BV540">
        <v>2737674</v>
      </c>
      <c r="BW540" t="inlineStr">
        <is>
          <t>No Answer : Voicemail - WA sent to customer</t>
        </is>
      </c>
      <c r="BX540"/>
      <c r="BY540"/>
      <c r="BZ540" s="4"/>
      <c r="CA540"/>
      <c r="CB540"/>
      <c r="CC540" s="4"/>
      <c r="CD540" t="inlineStr">
        <is>
          <t>5</t>
        </is>
      </c>
      <c r="CE540" t="inlineStr">
        <is>
          <t>0</t>
        </is>
      </c>
      <c r="CF540" t="inlineStr">
        <is>
          <t>Q2-W04</t>
        </is>
      </c>
      <c r="CG540"/>
      <c r="CH540"/>
      <c r="CI540"/>
      <c r="CJ540" t="inlineStr">
        <is>
          <t>Paid</t>
        </is>
      </c>
      <c r="CK540" t="inlineStr">
        <is>
          <t>Eligible</t>
        </is>
      </c>
      <c r="CL540"/>
      <c r="CM540"/>
    </row>
    <row r="541" ht="25.5" customHeight="1">
      <c r="A541" t="inlineStr">
        <is>
          <t>177490</t>
        </is>
      </c>
      <c r="B541" s="2"/>
      <c r="C541"/>
      <c r="D541" s="3">
        <v>46136.59678240741</v>
      </c>
      <c r="E541" t="inlineStr">
        <is>
          <t>Q2-W04</t>
        </is>
      </c>
      <c r="F541" t="inlineStr">
        <is>
          <t>Alan KY</t>
        </is>
      </c>
      <c r="G541" t="inlineStr">
        <is>
          <t>Customer</t>
        </is>
      </c>
      <c r="H541" s="2" t="str">
        <f>=HYPERLINK("https://upbox.ajobthing.my/customer/177490", "https://upbox.ajobthing.my/customer/177490")</f>
        <v>https://upbox.ajobthing.my/customer/177490</v>
      </c>
      <c r="I541" t="inlineStr">
        <is>
          <t>Sensorlink Sdn Bhd</t>
        </is>
      </c>
      <c r="J541" t="inlineStr">
        <is>
          <t>Whale</t>
        </is>
      </c>
      <c r="K541" t="inlineStr">
        <is>
          <t>Alan KY</t>
        </is>
      </c>
      <c r="L541" s="4"/>
      <c r="M541" s="4">
        <v>46136.600752314815</v>
      </c>
      <c r="N541"/>
      <c r="O541">
        <v>10908</v>
      </c>
      <c r="P541" s="4"/>
      <c r="Q541" s="4">
        <v>46136.71778935185</v>
      </c>
      <c r="R541"/>
      <c r="S541">
        <v>10908</v>
      </c>
      <c r="T541" s="4">
        <v>46136.71778935185</v>
      </c>
      <c r="U541" s="4"/>
      <c r="V541"/>
      <c r="W541">
        <v>10908</v>
      </c>
      <c r="X541"/>
      <c r="Y541" t="inlineStr">
        <is>
          <t>Pending Appointment</t>
        </is>
      </c>
      <c r="Z541" t="inlineStr">
        <is>
          <t>Continuous Hiring</t>
        </is>
      </c>
      <c r="AA541">
        <v>5</v>
      </c>
      <c r="AB541" t="inlineStr">
        <is>
          <t>No Appointment Made</t>
        </is>
      </c>
      <c r="AC541"/>
      <c r="AD541" t="inlineStr">
        <is>
          <t xml:space="preserve">sales engineer 1 
sales account manager 1
production specialist -2
HR 1
operation 1
sales cs 1
bd - marketing (future)  1
storekeeper cum deliver - gdl 1
Based in KL/selangor </t>
        </is>
      </c>
      <c r="AE541"/>
      <c r="AF541"/>
      <c r="AG541" s="4"/>
      <c r="AH541" s="4"/>
      <c r="AI541"/>
      <c r="AJ541">
        <v>3</v>
      </c>
      <c r="AK541" t="inlineStr">
        <is>
          <t>No, I don't need at all</t>
        </is>
      </c>
      <c r="AL541">
        <v>0</v>
      </c>
      <c r="AM541" t="inlineStr">
        <is>
          <t>No, I don't need at all</t>
        </is>
      </c>
      <c r="AN541"/>
      <c r="AO541" t="inlineStr">
        <is>
          <t>No, I don't need at all</t>
        </is>
      </c>
      <c r="AP541" t="inlineStr">
        <is>
          <t>Every month (100%)</t>
        </is>
      </c>
      <c r="AQ541"/>
      <c r="AR541" t="inlineStr">
        <is>
          <t>Jobstreet</t>
        </is>
      </c>
      <c r="AS541" t="inlineStr">
        <is>
          <t>- Headcount: 5
- Hiring Job Details: sales engineer 1, sales account manager 1, production specialist -2, HR 1, operation 1, sales cs 1, bd - marketing (future) 1, storekeeper cum deliver - gdl 1 (based in KL/selangor)
- Hiring Urgency: Continuous Hiring
- Number of outlets: 3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Jobstreet</t>
        </is>
      </c>
      <c r="AT541">
        <v>75</v>
      </c>
      <c r="AU541" t="inlineStr">
        <is>
          <t>0.75</t>
        </is>
      </c>
      <c r="AV541" t="inlineStr">
        <is>
          <t>10</t>
        </is>
      </c>
      <c r="AW541" t="inlineStr">
        <is>
          <t>0</t>
        </is>
      </c>
      <c r="AX541" t="inlineStr">
        <is>
          <t>Not Qualified</t>
        </is>
      </c>
      <c r="AY541" s="4"/>
      <c r="AZ541"/>
      <c r="BA541"/>
      <c r="BB541"/>
      <c r="BC541" t="inlineStr">
        <is>
          <t>request e invoice</t>
        </is>
      </c>
      <c r="BD541" s="4">
        <v>46142.41825231481</v>
      </c>
      <c r="BE541" t="inlineStr">
        <is>
          <t>paid</t>
        </is>
      </c>
      <c r="BF541" t="inlineStr">
        <is>
          <t>Q2-W04</t>
        </is>
      </c>
      <c r="BG541" t="inlineStr">
        <is>
          <t>Reschedule</t>
        </is>
      </c>
      <c r="BH541" t="inlineStr">
        <is>
          <t>Reagen</t>
        </is>
      </c>
      <c r="BI541" t="inlineStr">
        <is>
          <t>Electrical / Electronics</t>
        </is>
      </c>
      <c r="BJ541" s="4">
        <v>46144.75171296296</v>
      </c>
      <c r="BK541" s="4">
        <v>45401.282638888886</v>
      </c>
      <c r="BL541" t="inlineStr">
        <is>
          <t>14796.0</t>
        </is>
      </c>
      <c r="BM541" t="inlineStr">
        <is>
          <t>600.0</t>
        </is>
      </c>
      <c r="BN541" t="inlineStr">
        <is>
          <t>View Company Page</t>
        </is>
      </c>
      <c r="BO541" s="4">
        <v>46142.549525462964</v>
      </c>
      <c r="BP541">
        <v>168795</v>
      </c>
      <c r="BQ541">
        <v>7703</v>
      </c>
      <c r="BR541" t="inlineStr">
        <is>
          <t>Manual (Paid)</t>
        </is>
      </c>
      <c r="BS541" t="inlineStr">
        <is>
          <t>AI Yearly Enhanced Plan
- AI Yearly Enhanced Plan of 20 AI Job Ads + 20 Free AI Job Ads with Booster
- 40 AI Job Ad will be published on Maukerja, Ricebowl and our partner platforms
- 40 AI Job Ad will be published for 45 days
- 40 Booster Plus
- 400 Free Candidates Profiles Unlock
- 20x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Special Campaign RM500 discount, valid until 28 Apr 2026</t>
        </is>
      </c>
      <c r="BT541">
        <v>7703</v>
      </c>
      <c r="BU541"/>
      <c r="BV541">
        <v>2736637</v>
      </c>
      <c r="BW541" t="inlineStr">
        <is>
          <t>Service / Technical : Job Outcome Enquiry</t>
        </is>
      </c>
      <c r="BX541">
        <v>46</v>
      </c>
      <c r="BY541">
        <v>39</v>
      </c>
      <c r="BZ541" s="4">
        <v>46141.48496527778</v>
      </c>
      <c r="CA541">
        <v>460</v>
      </c>
      <c r="CB541">
        <v>455</v>
      </c>
      <c r="CC541" s="4">
        <v>46142.517222222225</v>
      </c>
      <c r="CD541" t="inlineStr">
        <is>
          <t>15</t>
        </is>
      </c>
      <c r="CE541" t="inlineStr">
        <is>
          <t>0</t>
        </is>
      </c>
      <c r="CF541" t="inlineStr">
        <is>
          <t>Q2-W04</t>
        </is>
      </c>
      <c r="CG541" t="inlineStr">
        <is>
          <t>Q2-W04</t>
        </is>
      </c>
      <c r="CH541" t="inlineStr">
        <is>
          <t>Q2-W04</t>
        </is>
      </c>
      <c r="CI541"/>
      <c r="CJ541" t="inlineStr">
        <is>
          <t>Paid</t>
        </is>
      </c>
      <c r="CK541" t="inlineStr">
        <is>
          <t>Eligible</t>
        </is>
      </c>
      <c r="CL541"/>
      <c r="CM541"/>
    </row>
    <row r="542" ht="25.5" customHeight="1">
      <c r="A542" t="inlineStr">
        <is>
          <t>193583</t>
        </is>
      </c>
      <c r="B542" s="2"/>
      <c r="C542"/>
      <c r="D542" s="3">
        <v>46136.63112268518</v>
      </c>
      <c r="E542" t="inlineStr">
        <is>
          <t>Q2-W04</t>
        </is>
      </c>
      <c r="F542" t="inlineStr">
        <is>
          <t>Yuli</t>
        </is>
      </c>
      <c r="G542" t="inlineStr">
        <is>
          <t>Customer</t>
        </is>
      </c>
      <c r="H542" s="2" t="str">
        <f>=HYPERLINK("https://upbox.ajobthing.my/customer/193583", "https://upbox.ajobthing.my/customer/193583")</f>
        <v>https://upbox.ajobthing.my/customer/193583</v>
      </c>
      <c r="I542" t="inlineStr">
        <is>
          <t>Decor Trend Industries Sdn Bhd</t>
        </is>
      </c>
      <c r="J542" t="inlineStr">
        <is>
          <t>Whale</t>
        </is>
      </c>
      <c r="K542" t="inlineStr">
        <is>
          <t>YuLi</t>
        </is>
      </c>
      <c r="L542" s="4"/>
      <c r="M542" s="4">
        <v>46140.65820601852</v>
      </c>
      <c r="N542"/>
      <c r="O542">
        <v>3576.96</v>
      </c>
      <c r="P542" s="4"/>
      <c r="Q542" s="4"/>
      <c r="R542"/>
      <c r="S542"/>
      <c r="T542" s="4"/>
      <c r="U542" s="4"/>
      <c r="V542"/>
      <c r="W542"/>
      <c r="X542"/>
      <c r="Y542" t="inlineStr">
        <is>
          <t>Pending Appointment</t>
        </is>
      </c>
      <c r="Z542" t="inlineStr">
        <is>
          <t>Hiring Now</t>
        </is>
      </c>
      <c r="AA542">
        <v>7</v>
      </c>
      <c r="AB542" t="inlineStr">
        <is>
          <t>No Appointment Made</t>
        </is>
      </c>
      <c r="AC542"/>
      <c r="AD542" t="inlineStr">
        <is>
          <t>PA HR Manager FInance manager Indoor marketing Data Entry-2 Production-2</t>
        </is>
      </c>
      <c r="AE542"/>
      <c r="AF542"/>
      <c r="AG542" s="4"/>
      <c r="AH542" s="4"/>
      <c r="AI542"/>
      <c r="AJ542"/>
      <c r="AK542"/>
      <c r="AL542"/>
      <c r="AM542"/>
      <c r="AN542"/>
      <c r="AO542"/>
      <c r="AP542"/>
      <c r="AQ542"/>
      <c r="AR542" t="inlineStr">
        <is>
          <t>Jobstreet</t>
        </is>
      </c>
      <c r="AS542" t="inlineStr">
        <is>
          <t>- Headcount: 7
- Hiring Job Details: PA, HR Manager, Finance manager, Indoor marketing, Data Entry-2, Production-2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
- Hiring Urgency: Hiring Now</t>
        </is>
      </c>
      <c r="AT542">
        <v>65</v>
      </c>
      <c r="AU542" t="inlineStr">
        <is>
          <t>0.65</t>
        </is>
      </c>
      <c r="AV542" t="inlineStr">
        <is>
          <t>10</t>
        </is>
      </c>
      <c r="AW542" t="inlineStr">
        <is>
          <t>0</t>
        </is>
      </c>
      <c r="AX542" t="inlineStr">
        <is>
          <t>Not Qualified</t>
        </is>
      </c>
      <c r="AY542" s="4"/>
      <c r="AZ542"/>
      <c r="BA542"/>
      <c r="BB542"/>
      <c r="BC542" t="inlineStr">
        <is>
          <t>quotation shared</t>
        </is>
      </c>
      <c r="BD542" s="4">
        <v>46140.743738425925</v>
      </c>
      <c r="BE542"/>
      <c r="BF542"/>
      <c r="BG542" t="inlineStr">
        <is>
          <t>Reschedule</t>
        </is>
      </c>
      <c r="BH542" t="inlineStr">
        <is>
          <t>Fauziah Maharan</t>
        </is>
      </c>
      <c r="BI542" t="inlineStr">
        <is>
          <t>Manufacturing / Production</t>
        </is>
      </c>
      <c r="BJ542" s="4">
        <v>46144.75263888889</v>
      </c>
      <c r="BK542" s="4">
        <v>45848.402291666665</v>
      </c>
      <c r="BL542" t="inlineStr">
        <is>
          <t>0.0</t>
        </is>
      </c>
      <c r="BM542" t="inlineStr">
        <is>
          <t>1800.0</t>
        </is>
      </c>
      <c r="BN542" t="inlineStr">
        <is>
          <t>User Visit(Logged In)</t>
        </is>
      </c>
      <c r="BO542" s="4">
        <v>46007.592511574076</v>
      </c>
      <c r="BP542">
        <v>169302</v>
      </c>
      <c r="BQ542"/>
      <c r="BR542"/>
      <c r="BS542"/>
      <c r="BT542"/>
      <c r="BU542"/>
      <c r="BV542">
        <v>2733924</v>
      </c>
      <c r="BW542" t="inlineStr">
        <is>
          <t>Customer Inquiry</t>
        </is>
      </c>
      <c r="BX542"/>
      <c r="BY542"/>
      <c r="BZ542" s="4"/>
      <c r="CA542"/>
      <c r="CB542"/>
      <c r="CC542" s="4"/>
      <c r="CD542" t="inlineStr">
        <is>
          <t>15</t>
        </is>
      </c>
      <c r="CE542" t="inlineStr">
        <is>
          <t>0</t>
        </is>
      </c>
      <c r="CF542" t="inlineStr">
        <is>
          <t>Q2-W04</t>
        </is>
      </c>
      <c r="CG542"/>
      <c r="CH542"/>
      <c r="CI542"/>
      <c r="CJ542" t="inlineStr">
        <is>
          <t>No Paid</t>
        </is>
      </c>
      <c r="CK542" t="inlineStr">
        <is>
          <t>Eligible</t>
        </is>
      </c>
      <c r="CL542"/>
      <c r="CM542"/>
    </row>
    <row r="543" ht="25.5" customHeight="1">
      <c r="A543" t="inlineStr">
        <is>
          <t>203639</t>
        </is>
      </c>
      <c r="B543" s="2"/>
      <c r="C543"/>
      <c r="D543" s="3">
        <v>46136.66925925926</v>
      </c>
      <c r="E543" t="inlineStr">
        <is>
          <t>Q2-W04</t>
        </is>
      </c>
      <c r="F543" t="inlineStr">
        <is>
          <t>Ratha</t>
        </is>
      </c>
      <c r="G543" t="inlineStr">
        <is>
          <t>Customer</t>
        </is>
      </c>
      <c r="H543" s="2" t="str">
        <f>=HYPERLINK("https://upbox.ajobthing.my/customer/203639", "https://upbox.ajobthing.my/customer/203639")</f>
        <v>https://upbox.ajobthing.my/customer/203639</v>
      </c>
      <c r="I543" t="inlineStr">
        <is>
          <t>Yee Seng Holdings Sdn Bhd</t>
        </is>
      </c>
      <c r="J543" t="inlineStr">
        <is>
          <t>Whale</t>
        </is>
      </c>
      <c r="K543" t="inlineStr">
        <is>
          <t>Ratha</t>
        </is>
      </c>
      <c r="L543" s="4"/>
      <c r="M543" s="4">
        <v>46136.66971064815</v>
      </c>
      <c r="N543"/>
      <c r="O543">
        <v>3888</v>
      </c>
      <c r="P543" s="4"/>
      <c r="Q543" s="4">
        <v>46136.65943287037</v>
      </c>
      <c r="R543"/>
      <c r="S543">
        <v>0</v>
      </c>
      <c r="T543" s="4"/>
      <c r="U543" s="4"/>
      <c r="V543"/>
      <c r="W543"/>
      <c r="X543"/>
      <c r="Y543" t="inlineStr">
        <is>
          <t>Pending Appointment</t>
        </is>
      </c>
      <c r="Z543" t="inlineStr">
        <is>
          <t>Hiring Now</t>
        </is>
      </c>
      <c r="AA543">
        <v>1</v>
      </c>
      <c r="AB543" t="inlineStr">
        <is>
          <t>No Appointment Made</t>
        </is>
      </c>
      <c r="AC543"/>
      <c r="AD543" t="inlineStr">
        <is>
          <t>Handyman : 1
Location : KL</t>
        </is>
      </c>
      <c r="AE543"/>
      <c r="AF543"/>
      <c r="AG543" s="4"/>
      <c r="AH543" s="4"/>
      <c r="AI543">
        <v>0</v>
      </c>
      <c r="AJ543">
        <v>1</v>
      </c>
      <c r="AK543" t="inlineStr">
        <is>
          <t>Yes, I have</t>
        </is>
      </c>
      <c r="AL543">
        <v>2</v>
      </c>
      <c r="AM543" t="inlineStr">
        <is>
          <t>No, I don't need at all</t>
        </is>
      </c>
      <c r="AN543"/>
      <c r="AO543" t="inlineStr">
        <is>
          <t>No, I don't need at all</t>
        </is>
      </c>
      <c r="AP543" t="inlineStr">
        <is>
          <t>Twice a year (50%)</t>
        </is>
      </c>
      <c r="AQ543">
        <v>0</v>
      </c>
      <c r="AR543" t="inlineStr">
        <is>
          <t>Did not use any job portal</t>
        </is>
      </c>
      <c r="AS543" t="inlineStr">
        <is>
          <t>- Headcount: 1
- Hiring Job Details: 1 handyman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Twice a year (50%)
- External job portal: Did not use any job portal</t>
        </is>
      </c>
      <c r="AT543">
        <v>105</v>
      </c>
      <c r="AU543" t="inlineStr">
        <is>
          <t>1.05</t>
        </is>
      </c>
      <c r="AV543" t="inlineStr">
        <is>
          <t>5</t>
        </is>
      </c>
      <c r="AW543" t="inlineStr">
        <is>
          <t>0</t>
        </is>
      </c>
      <c r="AX543" t="inlineStr">
        <is>
          <t>Not Qualified</t>
        </is>
      </c>
      <c r="AY543" s="4"/>
      <c r="AZ543"/>
      <c r="BA543"/>
      <c r="BB543"/>
      <c r="BC543" t="inlineStr">
        <is>
          <t>no status - call back next week</t>
        </is>
      </c>
      <c r="BD543" s="4">
        <v>46140.420023148145</v>
      </c>
      <c r="BE543" t="inlineStr">
        <is>
          <t>paid</t>
        </is>
      </c>
      <c r="BF543"/>
      <c r="BG543" t="inlineStr">
        <is>
          <t>Reschedule</t>
        </is>
      </c>
      <c r="BH543" t="inlineStr">
        <is>
          <t>Fauziah Maharan</t>
        </is>
      </c>
      <c r="BI543"/>
      <c r="BJ543" s="4">
        <v>46144.75436342593</v>
      </c>
      <c r="BK543" s="4">
        <v>46136.65560185185</v>
      </c>
      <c r="BL543" t="inlineStr">
        <is>
          <t>0.0</t>
        </is>
      </c>
      <c r="BM543" t="inlineStr">
        <is>
          <t>0.0</t>
        </is>
      </c>
      <c r="BN543" t="inlineStr">
        <is>
          <t>View Company Page</t>
        </is>
      </c>
      <c r="BO543" s="4">
        <v>46136.66118055556</v>
      </c>
      <c r="BP543">
        <v>168840</v>
      </c>
      <c r="BQ543">
        <v>123686</v>
      </c>
      <c r="BR543" t="inlineStr">
        <is>
          <t>Proforma</t>
        </is>
      </c>
      <c r="BS543" t="inlineStr">
        <is>
          <t>Free Part-Time Job</t>
        </is>
      </c>
      <c r="BT543"/>
      <c r="BU543"/>
      <c r="BV543">
        <v>2731763</v>
      </c>
      <c r="BW543" t="inlineStr">
        <is>
          <t>Follow Up : Decision Pending</t>
        </is>
      </c>
      <c r="BX543"/>
      <c r="BY543"/>
      <c r="BZ543" s="4"/>
      <c r="CA543"/>
      <c r="CB543"/>
      <c r="CC543" s="4"/>
      <c r="CD543" t="inlineStr">
        <is>
          <t>5</t>
        </is>
      </c>
      <c r="CE543" t="inlineStr">
        <is>
          <t>0</t>
        </is>
      </c>
      <c r="CF543" t="inlineStr">
        <is>
          <t>Q2-W04</t>
        </is>
      </c>
      <c r="CG543" t="inlineStr">
        <is>
          <t>Q2-W04</t>
        </is>
      </c>
      <c r="CH543"/>
      <c r="CI543"/>
      <c r="CJ543" t="inlineStr">
        <is>
          <t>No Paid</t>
        </is>
      </c>
      <c r="CK543" t="inlineStr">
        <is>
          <t>Eligible</t>
        </is>
      </c>
      <c r="CL543"/>
      <c r="CM543"/>
    </row>
    <row r="544" ht="25.5" customHeight="1">
      <c r="A544" t="inlineStr">
        <is>
          <t>147159</t>
        </is>
      </c>
      <c r="B544" s="2"/>
      <c r="C544"/>
      <c r="D544" s="3">
        <v>46136.67457175926</v>
      </c>
      <c r="E544" t="inlineStr">
        <is>
          <t>Q2-W04</t>
        </is>
      </c>
      <c r="F544" t="inlineStr">
        <is>
          <t>Yvonne Lee</t>
        </is>
      </c>
      <c r="G544" t="inlineStr">
        <is>
          <t>Customer</t>
        </is>
      </c>
      <c r="H544" s="2" t="str">
        <f>=HYPERLINK("https://upbox.ajobthing.my/customer/147159", "https://upbox.ajobthing.my/customer/147159")</f>
        <v>https://upbox.ajobthing.my/customer/147159</v>
      </c>
      <c r="I544" t="inlineStr">
        <is>
          <t>Compugraphic Media Sdn Bhd</t>
        </is>
      </c>
      <c r="J544" t="inlineStr">
        <is>
          <t>Whale</t>
        </is>
      </c>
      <c r="K544" t="inlineStr">
        <is>
          <t>Yvonne</t>
        </is>
      </c>
      <c r="L544" s="4"/>
      <c r="M544" s="4">
        <v>46136.6749537037</v>
      </c>
      <c r="N544"/>
      <c r="O544">
        <v>3888</v>
      </c>
      <c r="P544" s="4"/>
      <c r="Q544" s="4">
        <v>46136.657905092594</v>
      </c>
      <c r="R544"/>
      <c r="S544">
        <v>3888</v>
      </c>
      <c r="T544" s="4">
        <v>44826.00001157408</v>
      </c>
      <c r="U544" s="4"/>
      <c r="V544"/>
      <c r="W544">
        <v>9540</v>
      </c>
      <c r="X544"/>
      <c r="Y544" t="inlineStr">
        <is>
          <t>Pending Appointment</t>
        </is>
      </c>
      <c r="Z544" t="inlineStr">
        <is>
          <t>Hiring Now</t>
        </is>
      </c>
      <c r="AA544">
        <v>1</v>
      </c>
      <c r="AB544" t="inlineStr">
        <is>
          <t>No Appointment Made</t>
        </is>
      </c>
      <c r="AC544"/>
      <c r="AD544" t="inlineStr">
        <is>
          <t>1) Production Staff</t>
        </is>
      </c>
      <c r="AE544"/>
      <c r="AF544">
        <v>8000</v>
      </c>
      <c r="AG544" s="4"/>
      <c r="AH544" s="4"/>
      <c r="AI544">
        <v>8000</v>
      </c>
      <c r="AJ544">
        <v>1</v>
      </c>
      <c r="AK544" t="inlineStr">
        <is>
          <t>Yes, I have</t>
        </is>
      </c>
      <c r="AL544">
        <v>2</v>
      </c>
      <c r="AM544" t="inlineStr">
        <is>
          <t>No, I don't need at all</t>
        </is>
      </c>
      <c r="AN544"/>
      <c r="AO544" t="inlineStr">
        <is>
          <t>No, I don't need at all</t>
        </is>
      </c>
      <c r="AP544" t="inlineStr">
        <is>
          <t>Once per quarter (75%)</t>
        </is>
      </c>
      <c r="AQ544">
        <v>16</v>
      </c>
      <c r="AR544" t="inlineStr">
        <is>
          <t>Jobstreet</t>
        </is>
      </c>
      <c r="AS544" t="inlineStr">
        <is>
          <t>- Headcount: 1
- Hiring Job Details: 1 Production Staff
- Hiring Urgency: Hiring Now
- Number of outlets: 1
- Have recruiter team: Yes
- Number of recruiter in company: 2
- Have ATS system: No, I don't need at all
- Have career website: No, I don't need at all
- Current hiring budget: RM8,000
- Whole year budget: RM8,000.00
- Whole year number of vacancies: 16
- Hiring frequency: Once per quarter (75%)
- External job portal: Jobstreet</t>
        </is>
      </c>
      <c r="AT544">
        <v>115</v>
      </c>
      <c r="AU544" t="inlineStr">
        <is>
          <t>1.15</t>
        </is>
      </c>
      <c r="AV544" t="inlineStr">
        <is>
          <t>15</t>
        </is>
      </c>
      <c r="AW544" t="inlineStr">
        <is>
          <t>0</t>
        </is>
      </c>
      <c r="AX544" t="inlineStr">
        <is>
          <t>Not Qualified</t>
        </is>
      </c>
      <c r="AY544" s="4"/>
      <c r="AZ544"/>
      <c r="BA544"/>
      <c r="BB544"/>
      <c r="BC544" t="inlineStr">
        <is>
          <t>Quotation sent.</t>
        </is>
      </c>
      <c r="BD544" s="4">
        <v>46139.450578703705</v>
      </c>
      <c r="BE544" t="inlineStr">
        <is>
          <t>pending</t>
        </is>
      </c>
      <c r="BF544"/>
      <c r="BG544" t="inlineStr">
        <is>
          <t>Reschedule</t>
        </is>
      </c>
      <c r="BH544" t="inlineStr">
        <is>
          <t>andy@ajobthing.com</t>
        </is>
      </c>
      <c r="BI544" t="inlineStr">
        <is>
          <t>IT / Software</t>
        </is>
      </c>
      <c r="BJ544" s="4">
        <v>46144.75077546296</v>
      </c>
      <c r="BK544" s="4">
        <v>44575.62641203704</v>
      </c>
      <c r="BL544" t="inlineStr">
        <is>
          <t>0.0</t>
        </is>
      </c>
      <c r="BM544" t="inlineStr">
        <is>
          <t>0.0</t>
        </is>
      </c>
      <c r="BN544" t="inlineStr">
        <is>
          <t>View Company Page</t>
        </is>
      </c>
      <c r="BO544" s="4">
        <v>46136.659155092595</v>
      </c>
      <c r="BP544">
        <v>168849</v>
      </c>
      <c r="BQ544">
        <v>123684</v>
      </c>
      <c r="BR544" t="inlineStr">
        <is>
          <t>Proforma</t>
        </is>
      </c>
      <c r="BS544" t="inlineStr">
        <is>
          <t>AI Yearly Standard Plan (Jan 26)</t>
        </is>
      </c>
      <c r="BT544">
        <v>50850</v>
      </c>
      <c r="BU544"/>
      <c r="BV544">
        <v>2728456</v>
      </c>
      <c r="BW544" t="inlineStr">
        <is>
          <t>Inquire for Hiring Needs : Quotation Sent 50%</t>
        </is>
      </c>
      <c r="BX544"/>
      <c r="BY544"/>
      <c r="BZ544" s="4"/>
      <c r="CA544"/>
      <c r="CB544"/>
      <c r="CC544" s="4"/>
      <c r="CD544" t="inlineStr">
        <is>
          <t>20</t>
        </is>
      </c>
      <c r="CE544" t="inlineStr">
        <is>
          <t>0</t>
        </is>
      </c>
      <c r="CF544" t="inlineStr">
        <is>
          <t>Q2-W04</t>
        </is>
      </c>
      <c r="CG544" t="inlineStr">
        <is>
          <t>Q2-W04</t>
        </is>
      </c>
      <c r="CH544"/>
      <c r="CI544"/>
      <c r="CJ544" t="inlineStr">
        <is>
          <t>Paid</t>
        </is>
      </c>
      <c r="CK544" t="inlineStr">
        <is>
          <t>Eligible</t>
        </is>
      </c>
      <c r="CL544"/>
      <c r="CM544"/>
    </row>
    <row r="545" ht="25.5" customHeight="1">
      <c r="A545" t="inlineStr">
        <is>
          <t>5503</t>
        </is>
      </c>
      <c r="B545" s="2"/>
      <c r="C545"/>
      <c r="D545" s="3">
        <v>46136.70806712963</v>
      </c>
      <c r="E545" t="inlineStr">
        <is>
          <t>Q2-W04</t>
        </is>
      </c>
      <c r="F545" t="inlineStr">
        <is>
          <t>Eugene</t>
        </is>
      </c>
      <c r="G545" t="inlineStr">
        <is>
          <t>Customer</t>
        </is>
      </c>
      <c r="H545" s="2" t="str">
        <f>=HYPERLINK("https://upbox.ajobthing.my/customer/5503", "https://upbox.ajobthing.my/customer/5503")</f>
        <v>https://upbox.ajobthing.my/customer/5503</v>
      </c>
      <c r="I545" t="inlineStr">
        <is>
          <t>Jump Retail Sdn Bhd</t>
        </is>
      </c>
      <c r="J545" t="inlineStr">
        <is>
          <t>Whale</t>
        </is>
      </c>
      <c r="K545" t="inlineStr">
        <is>
          <t>Eugene</t>
        </is>
      </c>
      <c r="L545" s="4"/>
      <c r="M545" s="4">
        <v>46136.70825231481</v>
      </c>
      <c r="N545"/>
      <c r="O545">
        <v>6048</v>
      </c>
      <c r="P545" s="4"/>
      <c r="Q545" s="4">
        <v>43677.3934375</v>
      </c>
      <c r="R545"/>
      <c r="S545">
        <v>1351.5</v>
      </c>
      <c r="T545" s="4">
        <v>43677.3934375</v>
      </c>
      <c r="U545" s="4"/>
      <c r="V545"/>
      <c r="W545">
        <v>1351.5</v>
      </c>
      <c r="X545"/>
      <c r="Y545" t="inlineStr">
        <is>
          <t>Pending Appointment</t>
        </is>
      </c>
      <c r="Z545" t="inlineStr">
        <is>
          <t>Hiring Now</t>
        </is>
      </c>
      <c r="AA545">
        <v>3</v>
      </c>
      <c r="AB545" t="inlineStr">
        <is>
          <t>No Appointment Made</t>
        </is>
      </c>
      <c r="AC545"/>
      <c r="AD545" t="inlineStr">
        <is>
          <t>3 positions, based in KL</t>
        </is>
      </c>
      <c r="AE545"/>
      <c r="AF545">
        <v>3000</v>
      </c>
      <c r="AG545" s="4"/>
      <c r="AH545" s="4"/>
      <c r="AI545">
        <v>3000</v>
      </c>
      <c r="AJ545">
        <v>1</v>
      </c>
      <c r="AK545" t="inlineStr">
        <is>
          <t>No, I don't need at all</t>
        </is>
      </c>
      <c r="AL545">
        <v>1</v>
      </c>
      <c r="AM545" t="inlineStr">
        <is>
          <t>No, I don't need at all</t>
        </is>
      </c>
      <c r="AN545"/>
      <c r="AO545" t="inlineStr">
        <is>
          <t>No, I don't need at all</t>
        </is>
      </c>
      <c r="AP545" t="inlineStr">
        <is>
          <t>Twice a year (50%)</t>
        </is>
      </c>
      <c r="AQ545">
        <v>30</v>
      </c>
      <c r="AR545" t="inlineStr">
        <is>
          <t>Jobstreet</t>
        </is>
      </c>
      <c r="AS545" t="inlineStr">
        <is>
          <t>- Headcount: 3
- Hiring Job Details: 3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30
- Hiring frequency: Twice a year (50%)
- External job portal: Jobstreet</t>
        </is>
      </c>
      <c r="AT545">
        <v>85</v>
      </c>
      <c r="AU545" t="inlineStr">
        <is>
          <t>0.85</t>
        </is>
      </c>
      <c r="AV545" t="inlineStr">
        <is>
          <t>15</t>
        </is>
      </c>
      <c r="AW545" t="inlineStr">
        <is>
          <t>0</t>
        </is>
      </c>
      <c r="AX545" t="inlineStr">
        <is>
          <t>Not Qualified</t>
        </is>
      </c>
      <c r="AY545" s="4"/>
      <c r="AZ545"/>
      <c r="BA545"/>
      <c r="BB545"/>
      <c r="BC545" t="inlineStr">
        <is>
          <t>- Headcount: 3
- Hiring Job Details: 3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30
- Hiring frequency: Twice a year (50%)
- External job portal: Jobstreet</t>
        </is>
      </c>
      <c r="BD545" s="4">
        <v>46136.70837962963</v>
      </c>
      <c r="BE545" t="inlineStr">
        <is>
          <t>paid</t>
        </is>
      </c>
      <c r="BF545"/>
      <c r="BG545" t="inlineStr">
        <is>
          <t>Reschedule</t>
        </is>
      </c>
      <c r="BH545" t="inlineStr">
        <is>
          <t>Edward Hoo</t>
        </is>
      </c>
      <c r="BI545"/>
      <c r="BJ545" s="4">
        <v>46142.881527777776</v>
      </c>
      <c r="BK545" s="4">
        <v>42402.426469907405</v>
      </c>
      <c r="BL545" t="inlineStr">
        <is>
          <t>0.0</t>
        </is>
      </c>
      <c r="BM545" t="inlineStr">
        <is>
          <t>13800.0</t>
        </is>
      </c>
      <c r="BN545" t="inlineStr">
        <is>
          <t>View Company Page</t>
        </is>
      </c>
      <c r="BO545" s="4">
        <v>43875.47300925926</v>
      </c>
      <c r="BP545">
        <v>168877</v>
      </c>
      <c r="BQ545">
        <v>18958</v>
      </c>
      <c r="BR545" t="inlineStr">
        <is>
          <t>Online</t>
        </is>
      </c>
      <c r="BS545"/>
      <c r="BT545">
        <v>18958</v>
      </c>
      <c r="BU545"/>
      <c r="BV545">
        <v>2727198</v>
      </c>
      <c r="BW545" t="inlineStr">
        <is>
          <t>Customer Inquiry</t>
        </is>
      </c>
      <c r="BX545"/>
      <c r="BY545"/>
      <c r="BZ545" s="4"/>
      <c r="CA545"/>
      <c r="CB545"/>
      <c r="CC545" s="4"/>
      <c r="CD545" t="inlineStr">
        <is>
          <t>20</t>
        </is>
      </c>
      <c r="CE545" t="inlineStr">
        <is>
          <t>0</t>
        </is>
      </c>
      <c r="CF545" t="inlineStr">
        <is>
          <t>Q2-W04</t>
        </is>
      </c>
      <c r="CG545"/>
      <c r="CH545"/>
      <c r="CI545"/>
      <c r="CJ545" t="inlineStr">
        <is>
          <t>Paid</t>
        </is>
      </c>
      <c r="CK545" t="inlineStr">
        <is>
          <t>Eligible</t>
        </is>
      </c>
      <c r="CL545"/>
      <c r="CM545"/>
    </row>
    <row r="546" ht="25.5" customHeight="1">
      <c r="A546" t="inlineStr">
        <is>
          <t>58841</t>
        </is>
      </c>
      <c r="B546" s="2"/>
      <c r="C546"/>
      <c r="D546" s="3">
        <v>46136.709131944444</v>
      </c>
      <c r="E546" t="inlineStr">
        <is>
          <t>Q2-W04</t>
        </is>
      </c>
      <c r="F546" t="inlineStr">
        <is>
          <t>Carmen</t>
        </is>
      </c>
      <c r="G546" t="inlineStr">
        <is>
          <t>Customer</t>
        </is>
      </c>
      <c r="H546" s="2" t="str">
        <f>=HYPERLINK("https://upbox.ajobthing.my/customer/58841", "https://upbox.ajobthing.my/customer/58841")</f>
        <v>https://upbox.ajobthing.my/customer/58841</v>
      </c>
      <c r="I546" t="inlineStr">
        <is>
          <t>Agensi Pekerjaan Recruit Express Sdn Bhd</t>
        </is>
      </c>
      <c r="J546" t="inlineStr">
        <is>
          <t>Whale</t>
        </is>
      </c>
      <c r="K546" t="inlineStr">
        <is>
          <t>Carmen</t>
        </is>
      </c>
      <c r="L546" s="4"/>
      <c r="M546" s="4">
        <v>46140.66203703704</v>
      </c>
      <c r="N546"/>
      <c r="O546">
        <v>22248</v>
      </c>
      <c r="P546" s="4"/>
      <c r="Q546" s="4">
        <v>44712.364641203705</v>
      </c>
      <c r="R546"/>
      <c r="S546">
        <v>31800</v>
      </c>
      <c r="T546" s="4">
        <v>44712.364641203705</v>
      </c>
      <c r="U546" s="4"/>
      <c r="V546"/>
      <c r="W546">
        <v>31800</v>
      </c>
      <c r="X546" t="inlineStr">
        <is>
          <t>Dandy Liu</t>
        </is>
      </c>
      <c r="Y546" t="inlineStr">
        <is>
          <t>Done Appointment</t>
        </is>
      </c>
      <c r="Z546" t="inlineStr">
        <is>
          <t>Continuous Hiring</t>
        </is>
      </c>
      <c r="AA546">
        <v>100</v>
      </c>
      <c r="AB546" t="inlineStr">
        <is>
          <t>Appointment Made</t>
        </is>
      </c>
      <c r="AC546" t="inlineStr">
        <is>
          <t>Large (101-300 employees)</t>
        </is>
      </c>
      <c r="AD546" t="inlineStr">
        <is>
          <t>100 positions</t>
        </is>
      </c>
      <c r="AE546" t="inlineStr">
        <is>
          <t>HR Manager / Talent Manager</t>
        </is>
      </c>
      <c r="AF546">
        <v>20000</v>
      </c>
      <c r="AG546" s="4">
        <v>46140.625</v>
      </c>
      <c r="AH546" s="4">
        <v>46140.645833333336</v>
      </c>
      <c r="AI546"/>
      <c r="AJ546"/>
      <c r="AK546" t="inlineStr">
        <is>
          <t>Yes, I have</t>
        </is>
      </c>
      <c r="AL546"/>
      <c r="AM546"/>
      <c r="AN546"/>
      <c r="AO546"/>
      <c r="AP546" t="inlineStr">
        <is>
          <t>Every month (100%)</t>
        </is>
      </c>
      <c r="AQ546"/>
      <c r="AR546"/>
      <c r="AS546" t="inlineStr">
        <is>
          <t>- Headcount: 100
- Hiring Job Details: 100 positions
- Hiring Urgency: Continuous Hiring
- Number of outlets: Not available
- Have recruiter team: Yes
- Number of recruiter in company: Not available
- Have ATS system: Not available
- Have career website: Not available
- Current hiring budget: RM20,000.00
- Whole year budget: Not available
- Whole year number of vacancies: Not available
- Hiring frequency: Every month (100%)
- External job portal: Not available</t>
        </is>
      </c>
      <c r="AT546">
        <v>75</v>
      </c>
      <c r="AU546" t="inlineStr">
        <is>
          <t>0.75</t>
        </is>
      </c>
      <c r="AV546" t="inlineStr">
        <is>
          <t>65</t>
        </is>
      </c>
      <c r="AW546" t="inlineStr">
        <is>
          <t>0.8</t>
        </is>
      </c>
      <c r="AX546" t="inlineStr">
        <is>
          <t>Not Qualified</t>
        </is>
      </c>
      <c r="AY546" s="4">
        <v>46140.659166666665</v>
      </c>
      <c r="AZ546" t="inlineStr">
        <is>
          <t>Base Assistant</t>
        </is>
      </c>
      <c r="BA546"/>
      <c r="BB546"/>
      <c r="BC546" t="inlineStr">
        <is>
          <t>email sent</t>
        </is>
      </c>
      <c r="BD546" s="4">
        <v>46140.66945601852</v>
      </c>
      <c r="BE546" t="inlineStr">
        <is>
          <t>paid</t>
        </is>
      </c>
      <c r="BF546"/>
      <c r="BG546" t="inlineStr">
        <is>
          <t>Reschedule</t>
        </is>
      </c>
      <c r="BH546" t="inlineStr">
        <is>
          <t>Reagen</t>
        </is>
      </c>
      <c r="BI546" t="inlineStr">
        <is>
          <t>HR Mgmt / Consulting</t>
        </is>
      </c>
      <c r="BJ546" s="4">
        <v>46144.75609953704</v>
      </c>
      <c r="BK546" s="4">
        <v>43388.61709490741</v>
      </c>
      <c r="BL546" t="inlineStr">
        <is>
          <t>0.0</t>
        </is>
      </c>
      <c r="BM546" t="inlineStr">
        <is>
          <t>0.0</t>
        </is>
      </c>
      <c r="BN546" t="inlineStr">
        <is>
          <t>View Account User</t>
        </is>
      </c>
      <c r="BO546" s="4">
        <v>45721.700590277775</v>
      </c>
      <c r="BP546">
        <v>169307</v>
      </c>
      <c r="BQ546">
        <v>45172</v>
      </c>
      <c r="BR546" t="inlineStr">
        <is>
          <t>Online</t>
        </is>
      </c>
      <c r="BS546"/>
      <c r="BT546">
        <v>45172</v>
      </c>
      <c r="BU546"/>
      <c r="BV546">
        <v>2733325</v>
      </c>
      <c r="BW546" t="inlineStr">
        <is>
          <t>Inquire for Hiring Needs : Quotation Sent 50%</t>
        </is>
      </c>
      <c r="BX546"/>
      <c r="BY546"/>
      <c r="BZ546" s="4"/>
      <c r="CA546"/>
      <c r="CB546"/>
      <c r="CC546" s="4"/>
      <c r="CD546" t="inlineStr">
        <is>
          <t>90</t>
        </is>
      </c>
      <c r="CE546" t="inlineStr">
        <is>
          <t>1.2</t>
        </is>
      </c>
      <c r="CF546" t="inlineStr">
        <is>
          <t>Q2-W04</t>
        </is>
      </c>
      <c r="CG546"/>
      <c r="CH546"/>
      <c r="CI546" t="inlineStr">
        <is>
          <t>Q2-W04</t>
        </is>
      </c>
      <c r="CJ546" t="inlineStr">
        <is>
          <t>Paid</t>
        </is>
      </c>
      <c r="CK546" t="inlineStr">
        <is>
          <t>Eligible</t>
        </is>
      </c>
      <c r="CL546"/>
      <c r="CM546" t="inlineStr">
        <is>
          <t>Q2-W04</t>
        </is>
      </c>
    </row>
    <row r="547" ht="25.5" customHeight="1">
      <c r="A547" t="inlineStr">
        <is>
          <t>162082</t>
        </is>
      </c>
      <c r="B547" s="2"/>
      <c r="C547"/>
      <c r="D547" s="3">
        <v>46136.74217592592</v>
      </c>
      <c r="E547" t="inlineStr">
        <is>
          <t>Q2-W04</t>
        </is>
      </c>
      <c r="F547" t="inlineStr">
        <is>
          <t>Ratha</t>
        </is>
      </c>
      <c r="G547" t="inlineStr">
        <is>
          <t>Customer</t>
        </is>
      </c>
      <c r="H547" s="2" t="str">
        <f>=HYPERLINK("https://upbox.ajobthing.my/customer/162082", "https://upbox.ajobthing.my/customer/162082")</f>
        <v>https://upbox.ajobthing.my/customer/162082</v>
      </c>
      <c r="I547" t="inlineStr">
        <is>
          <t>Strateq Group</t>
        </is>
      </c>
      <c r="J547" t="inlineStr">
        <is>
          <t>Whale</t>
        </is>
      </c>
      <c r="K547" t="inlineStr">
        <is>
          <t>Ratha</t>
        </is>
      </c>
      <c r="L547" s="4"/>
      <c r="M547" s="4">
        <v>46136.488275462965</v>
      </c>
      <c r="N547"/>
      <c r="O547">
        <v>11448</v>
      </c>
      <c r="P547" s="4"/>
      <c r="Q547" s="4">
        <v>46122.00241898148</v>
      </c>
      <c r="R547"/>
      <c r="S547">
        <v>0</v>
      </c>
      <c r="T547" s="4"/>
      <c r="U547" s="4"/>
      <c r="V547"/>
      <c r="W547"/>
      <c r="X547"/>
      <c r="Y547" t="inlineStr">
        <is>
          <t>Pending Appointment</t>
        </is>
      </c>
      <c r="Z547" t="inlineStr">
        <is>
          <t>Continuous Hiring</t>
        </is>
      </c>
      <c r="AA547">
        <v>1</v>
      </c>
      <c r="AB547" t="inlineStr">
        <is>
          <t>No Appointment Made</t>
        </is>
      </c>
      <c r="AC547"/>
      <c r="AD547" t="inlineStr">
        <is>
          <t xml:space="preserve"> senior executive IT Software developer Engineering
location :PJ</t>
        </is>
      </c>
      <c r="AE547"/>
      <c r="AF547"/>
      <c r="AG547" s="4"/>
      <c r="AH547" s="4"/>
      <c r="AI547">
        <v>0</v>
      </c>
      <c r="AJ547">
        <v>1</v>
      </c>
      <c r="AK547" t="inlineStr">
        <is>
          <t>Yes, I have</t>
        </is>
      </c>
      <c r="AL547">
        <v>2</v>
      </c>
      <c r="AM547" t="inlineStr">
        <is>
          <t>No, I don't need at all</t>
        </is>
      </c>
      <c r="AN547"/>
      <c r="AO547" t="inlineStr">
        <is>
          <t>Yes, I have</t>
        </is>
      </c>
      <c r="AP547" t="inlineStr">
        <is>
          <t>Once per quarter (75%)</t>
        </is>
      </c>
      <c r="AQ547">
        <v>0</v>
      </c>
      <c r="AR547" t="inlineStr">
        <is>
          <t>Jobstreet, Free Job Portal</t>
        </is>
      </c>
      <c r="AS547" t="inlineStr">
        <is>
          <t>- Headcount: 1
- Hiring Job Details: senior executive IT Software developer Engineering (location: PJ)
- Hiring Urgency: Continuous Hiring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is>
      </c>
      <c r="AT547">
        <v>80</v>
      </c>
      <c r="AU547" t="inlineStr">
        <is>
          <t>0.80</t>
        </is>
      </c>
      <c r="AV547" t="inlineStr">
        <is>
          <t>5</t>
        </is>
      </c>
      <c r="AW547" t="inlineStr">
        <is>
          <t>0</t>
        </is>
      </c>
      <c r="AX547" t="inlineStr">
        <is>
          <t>Not Qualified</t>
        </is>
      </c>
      <c r="AY547" s="4"/>
      <c r="AZ547"/>
      <c r="BA547"/>
      <c r="BB547"/>
      <c r="BC547" t="inlineStr">
        <is>
          <t>no answer</t>
        </is>
      </c>
      <c r="BD547" s="4">
        <v>46142.46916666667</v>
      </c>
      <c r="BE547" t="inlineStr">
        <is>
          <t>paid</t>
        </is>
      </c>
      <c r="BF547"/>
      <c r="BG547" t="inlineStr">
        <is>
          <t>Reschedule</t>
        </is>
      </c>
      <c r="BH547" t="inlineStr">
        <is>
          <t>Fauziah Maharan</t>
        </is>
      </c>
      <c r="BI547" t="inlineStr">
        <is>
          <t>IT / Software</t>
        </is>
      </c>
      <c r="BJ547" s="4">
        <v>46144.75115740741</v>
      </c>
      <c r="BK547" s="4">
        <v>44880.40652777778</v>
      </c>
      <c r="BL547" t="inlineStr">
        <is>
          <t>0.0</t>
        </is>
      </c>
      <c r="BM547" t="inlineStr">
        <is>
          <t>15000.0</t>
        </is>
      </c>
      <c r="BN547" t="inlineStr">
        <is>
          <t>View Jobmanager Page</t>
        </is>
      </c>
      <c r="BO547" s="4">
        <v>45758.73001157407</v>
      </c>
      <c r="BP547">
        <v>168769</v>
      </c>
      <c r="BQ547">
        <v>121461</v>
      </c>
      <c r="BR547" t="inlineStr">
        <is>
          <t>Proforma</t>
        </is>
      </c>
      <c r="BS547" t="inlineStr">
        <is>
          <t>Free Internship Job</t>
        </is>
      </c>
      <c r="BT547"/>
      <c r="BU547"/>
      <c r="BV547">
        <v>2737076</v>
      </c>
      <c r="BW547" t="inlineStr">
        <is>
          <t>No Answer : Voicemail - WA sent to customer</t>
        </is>
      </c>
      <c r="BX547"/>
      <c r="BY547"/>
      <c r="BZ547" s="4"/>
      <c r="CA547"/>
      <c r="CB547"/>
      <c r="CC547" s="4"/>
      <c r="CD547" t="inlineStr">
        <is>
          <t>5</t>
        </is>
      </c>
      <c r="CE547" t="inlineStr">
        <is>
          <t>0</t>
        </is>
      </c>
      <c r="CF547" t="inlineStr">
        <is>
          <t>Q2-W04</t>
        </is>
      </c>
      <c r="CG547" t="inlineStr">
        <is>
          <t>Q2-W02</t>
        </is>
      </c>
      <c r="CH547"/>
      <c r="CI547"/>
      <c r="CJ547" t="inlineStr">
        <is>
          <t>No Paid</t>
        </is>
      </c>
      <c r="CK547" t="inlineStr">
        <is>
          <t>Eligible</t>
        </is>
      </c>
      <c r="CL547"/>
      <c r="CM547"/>
    </row>
    <row r="548" ht="25.5" customHeight="1">
      <c r="A548" t="inlineStr">
        <is>
          <t>187631</t>
        </is>
      </c>
      <c r="B548" s="2"/>
      <c r="C548"/>
      <c r="D548" s="3">
        <v>46139.43212962963</v>
      </c>
      <c r="E548" t="inlineStr">
        <is>
          <t>Q2-W04</t>
        </is>
      </c>
      <c r="F548" t="inlineStr">
        <is>
          <t>Ratha</t>
        </is>
      </c>
      <c r="G548" t="inlineStr">
        <is>
          <t>Customer</t>
        </is>
      </c>
      <c r="H548" s="2" t="str">
        <f>=HYPERLINK("https://upbox.ajobthing.my/customer/187631", "https://upbox.ajobthing.my/customer/187631")</f>
        <v>https://upbox.ajobthing.my/customer/187631</v>
      </c>
      <c r="I548" t="inlineStr">
        <is>
          <t>Atc Surface Finishing Sdn. Bhd.</t>
        </is>
      </c>
      <c r="J548" t="inlineStr">
        <is>
          <t>Whale</t>
        </is>
      </c>
      <c r="K548" t="inlineStr">
        <is>
          <t>Ratha</t>
        </is>
      </c>
      <c r="L548" s="4"/>
      <c r="M548" s="4">
        <v>46139.43267361111</v>
      </c>
      <c r="N548"/>
      <c r="O548">
        <v>11448</v>
      </c>
      <c r="P548" s="4"/>
      <c r="Q548" s="4"/>
      <c r="R548"/>
      <c r="S548"/>
      <c r="T548" s="4"/>
      <c r="U548" s="4"/>
      <c r="V548"/>
      <c r="W548"/>
      <c r="X548"/>
      <c r="Y548" t="inlineStr">
        <is>
          <t>Pending Appointment</t>
        </is>
      </c>
      <c r="Z548" t="inlineStr">
        <is>
          <t>Continuous Hiring</t>
        </is>
      </c>
      <c r="AA548">
        <v>4</v>
      </c>
      <c r="AB548" t="inlineStr">
        <is>
          <t>No Appointment Made</t>
        </is>
      </c>
      <c r="AC548"/>
      <c r="AD548" t="inlineStr">
        <is>
          <t>Hiring for Sales, QA, HR, Engineering 
Location : Penang</t>
        </is>
      </c>
      <c r="AE548"/>
      <c r="AF548"/>
      <c r="AG548" s="4"/>
      <c r="AH548" s="4"/>
      <c r="AI548">
        <v>0</v>
      </c>
      <c r="AJ548">
        <v>1</v>
      </c>
      <c r="AK548" t="inlineStr">
        <is>
          <t>Yes, I have</t>
        </is>
      </c>
      <c r="AL548">
        <v>3</v>
      </c>
      <c r="AM548" t="inlineStr">
        <is>
          <t>No, I don't need at all</t>
        </is>
      </c>
      <c r="AN548"/>
      <c r="AO548" t="inlineStr">
        <is>
          <t>Yes, I have</t>
        </is>
      </c>
      <c r="AP548" t="inlineStr">
        <is>
          <t>Every month (100%)</t>
        </is>
      </c>
      <c r="AQ548">
        <v>0</v>
      </c>
      <c r="AR548" t="inlineStr">
        <is>
          <t>Jobstreet, Free Job Portal</t>
        </is>
      </c>
      <c r="AS548" t="inlineStr">
        <is>
          <t>- Headcount: 4
- Hiring Job Details: Sales, QA, HR, Engineering; Location: Penang
- Hiring Urgency: Continuous Hiring
- Number of outlets: 1
- Have recruiter team: Yes
- Number of recruiter in company: 3
- Have ATS system: No, I don't need at all
- Have career website: Yes
- Current hiring budget: Not specified
- Whole year budget: RM0.00
- Whole year number of vacancies: 0
- Hiring frequency: Every month (100%)
- External job portal: Jobstreet, Free Job Portal</t>
        </is>
      </c>
      <c r="AT548">
        <v>65</v>
      </c>
      <c r="AU548" t="inlineStr">
        <is>
          <t>0.65</t>
        </is>
      </c>
      <c r="AV548" t="inlineStr">
        <is>
          <t>5</t>
        </is>
      </c>
      <c r="AW548" t="inlineStr">
        <is>
          <t>0</t>
        </is>
      </c>
      <c r="AX548" t="inlineStr">
        <is>
          <t>Not Qualified</t>
        </is>
      </c>
      <c r="AY548" s="4"/>
      <c r="AZ548"/>
      <c r="BA548"/>
      <c r="BB548"/>
      <c r="BC548" t="inlineStr">
        <is>
          <t>- Headcount: 4
- Hiring Job Details: Sales, QA, HR, Engineering; Location: Penang
- Hiring Urgency: Continuous Hiring
- Number of outlets: 1
- Have recruiter team: Yes
- Number of recruiter in company: 3
- Have ATS system: No, I don't need at all
- Have career website: Yes
- Current hiring budget: Not specified
- Whole year budget: RM0.00
- Whole year number of vacancies: 0
- Hiring frequency: Every month (100%)
- External job portal: Jobstreet, Free Job Portal</t>
        </is>
      </c>
      <c r="BD548" s="4">
        <v>46139.45847222222</v>
      </c>
      <c r="BE548"/>
      <c r="BF548"/>
      <c r="BG548" t="inlineStr">
        <is>
          <t>Reschedule</t>
        </is>
      </c>
      <c r="BH548" t="inlineStr">
        <is>
          <t>Fauziah Maharan</t>
        </is>
      </c>
      <c r="BI548"/>
      <c r="BJ548" s="4">
        <v>46144.752175925925</v>
      </c>
      <c r="BK548" s="4">
        <v>45701.741064814814</v>
      </c>
      <c r="BL548" t="inlineStr">
        <is>
          <t>0.0</t>
        </is>
      </c>
      <c r="BM548" t="inlineStr">
        <is>
          <t>9000.0</t>
        </is>
      </c>
      <c r="BN548" t="inlineStr">
        <is>
          <t>View Candidate Search Page</t>
        </is>
      </c>
      <c r="BO548" s="4">
        <v>45701.74946759259</v>
      </c>
      <c r="BP548">
        <v>168945</v>
      </c>
      <c r="BQ548"/>
      <c r="BR548"/>
      <c r="BS548"/>
      <c r="BT548"/>
      <c r="BU548"/>
      <c r="BV548">
        <v>2728501</v>
      </c>
      <c r="BW548" t="inlineStr">
        <is>
          <t>Customer Inquiry</t>
        </is>
      </c>
      <c r="BX548"/>
      <c r="BY548"/>
      <c r="BZ548" s="4"/>
      <c r="CA548"/>
      <c r="CB548"/>
      <c r="CC548" s="4"/>
      <c r="CD548" t="inlineStr">
        <is>
          <t>5</t>
        </is>
      </c>
      <c r="CE548" t="inlineStr">
        <is>
          <t>0</t>
        </is>
      </c>
      <c r="CF548" t="inlineStr">
        <is>
          <t>Q2-W04</t>
        </is>
      </c>
      <c r="CG548"/>
      <c r="CH548"/>
      <c r="CI548"/>
      <c r="CJ548" t="inlineStr">
        <is>
          <t>No Paid</t>
        </is>
      </c>
      <c r="CK548" t="inlineStr">
        <is>
          <t>Eligible</t>
        </is>
      </c>
      <c r="CL548"/>
      <c r="CM548"/>
    </row>
    <row r="549" ht="25.5" customHeight="1">
      <c r="A549" t="inlineStr">
        <is>
          <t>124604</t>
        </is>
      </c>
      <c r="B549" s="2"/>
      <c r="C549"/>
      <c r="D549" s="3">
        <v>46139.44611111111</v>
      </c>
      <c r="E549" t="inlineStr">
        <is>
          <t>Q2-W04</t>
        </is>
      </c>
      <c r="F549" t="inlineStr">
        <is>
          <t>Ratha</t>
        </is>
      </c>
      <c r="G549" t="inlineStr">
        <is>
          <t>Customer</t>
        </is>
      </c>
      <c r="H549" s="2" t="str">
        <f>=HYPERLINK("https://upbox.ajobthing.my/customer/124604", "https://upbox.ajobthing.my/customer/124604")</f>
        <v>https://upbox.ajobthing.my/customer/124604</v>
      </c>
      <c r="I549" t="inlineStr">
        <is>
          <t>Flexis Idea Sdn Bhd</t>
        </is>
      </c>
      <c r="J549" t="inlineStr">
        <is>
          <t>Whale</t>
        </is>
      </c>
      <c r="K549" t="inlineStr">
        <is>
          <t>Ratha</t>
        </is>
      </c>
      <c r="L549" s="4"/>
      <c r="M549" s="4">
        <v>46139.4471412037</v>
      </c>
      <c r="N549"/>
      <c r="O549">
        <v>5832</v>
      </c>
      <c r="P549" s="4"/>
      <c r="Q549" s="4">
        <v>46113.672997685186</v>
      </c>
      <c r="R549"/>
      <c r="S549">
        <v>324</v>
      </c>
      <c r="T549" s="4">
        <v>46113.672997685186</v>
      </c>
      <c r="U549" s="4"/>
      <c r="V549"/>
      <c r="W549">
        <v>324</v>
      </c>
      <c r="X549"/>
      <c r="Y549" t="inlineStr">
        <is>
          <t>Pending Appointment</t>
        </is>
      </c>
      <c r="Z549" t="inlineStr">
        <is>
          <t>Hiring Now</t>
        </is>
      </c>
      <c r="AA549">
        <v>1</v>
      </c>
      <c r="AB549" t="inlineStr">
        <is>
          <t>No Appointment Made</t>
        </is>
      </c>
      <c r="AC549"/>
      <c r="AD549" t="inlineStr">
        <is>
          <t>Looking for Logistic and might have future hiring
Location : Shah Alam</t>
        </is>
      </c>
      <c r="AE549"/>
      <c r="AF549"/>
      <c r="AG549" s="4"/>
      <c r="AH549" s="4"/>
      <c r="AI549">
        <v>0</v>
      </c>
      <c r="AJ549">
        <v>1</v>
      </c>
      <c r="AK549" t="inlineStr">
        <is>
          <t>Yes, I have</t>
        </is>
      </c>
      <c r="AL549">
        <v>2</v>
      </c>
      <c r="AM549" t="inlineStr">
        <is>
          <t>No, I don't need at all</t>
        </is>
      </c>
      <c r="AN549"/>
      <c r="AO549" t="inlineStr">
        <is>
          <t>Yes, I have</t>
        </is>
      </c>
      <c r="AP549" t="inlineStr">
        <is>
          <t>Every month (100%)</t>
        </is>
      </c>
      <c r="AQ549">
        <v>0</v>
      </c>
      <c r="AR549" t="inlineStr">
        <is>
          <t>Did not use any job portal</t>
        </is>
      </c>
      <c r="AS549" t="inlineStr">
        <is>
          <t>- Headcount: 1
- Hiring Job Details: Looking for Logistic and might have future hiring, Location: Shah Alam
- Hiring Urgency: Hiring Now
- Number of outlets: 1
- Have recruiter team: Yes
- Number of recruiter in company: 2
- Have ATS system: No, I don't need at all
- Have career website: Yes
- Current hiring budget: Not specified
- Whole year budget: RM0.00
- Whole year number of vacancies: 0
- Hiring frequency: Every month (100%)
- External job portal: Did not use any job portal</t>
        </is>
      </c>
      <c r="AT549">
        <v>75</v>
      </c>
      <c r="AU549" t="inlineStr">
        <is>
          <t>0.75</t>
        </is>
      </c>
      <c r="AV549" t="inlineStr">
        <is>
          <t>5</t>
        </is>
      </c>
      <c r="AW549" t="inlineStr">
        <is>
          <t>0</t>
        </is>
      </c>
      <c r="AX549" t="inlineStr">
        <is>
          <t>Not Qualified</t>
        </is>
      </c>
      <c r="AY549" s="4"/>
      <c r="AZ549"/>
      <c r="BA549"/>
      <c r="BB549"/>
      <c r="BC549" t="inlineStr">
        <is>
          <t>- Headcount: 1
- Hiring Job Details: Looking for Logistic and might have future hiring, Location: Shah Alam
- Hiring Urgency: Hiring Now
- Number of outlets: 1
- Have recruiter team: Yes
- Number of recruiter in company: 2
- Have ATS system: No, I don't need at all
- Have career website: Yes
- Current hiring budget: Not specified
- Whole year budget: RM0.00
- Whole year number of vacancies: 0
- Hiring frequency: Every month (100%)
- External job portal: Did not use any job portal</t>
        </is>
      </c>
      <c r="BD549" s="4">
        <v>46139.45847222222</v>
      </c>
      <c r="BE549" t="inlineStr">
        <is>
          <t>paid</t>
        </is>
      </c>
      <c r="BF549" t="inlineStr">
        <is>
          <t>Q1-W13</t>
        </is>
      </c>
      <c r="BG549" t="inlineStr">
        <is>
          <t>Reschedule</t>
        </is>
      </c>
      <c r="BH549" t="inlineStr">
        <is>
          <t>Fauziah Maharan</t>
        </is>
      </c>
      <c r="BI549" t="inlineStr">
        <is>
          <t>Printing / Publishing</t>
        </is>
      </c>
      <c r="BJ549" s="4">
        <v>46144.7503125</v>
      </c>
      <c r="BK549" s="4">
        <v>43850.585023148145</v>
      </c>
      <c r="BL549" t="inlineStr">
        <is>
          <t>4320.0</t>
        </is>
      </c>
      <c r="BM549" t="inlineStr">
        <is>
          <t>600.0</t>
        </is>
      </c>
      <c r="BN549" t="inlineStr">
        <is>
          <t>View Company Page</t>
        </is>
      </c>
      <c r="BO549" s="4">
        <v>46139.43445601852</v>
      </c>
      <c r="BP549">
        <v>168954</v>
      </c>
      <c r="BQ549">
        <v>90579</v>
      </c>
      <c r="BR549" t="inlineStr">
        <is>
          <t>Online</t>
        </is>
      </c>
      <c r="BS549"/>
      <c r="BT549">
        <v>90579</v>
      </c>
      <c r="BU549"/>
      <c r="BV549">
        <v>2728508</v>
      </c>
      <c r="BW549" t="inlineStr">
        <is>
          <t>Customer Inquiry</t>
        </is>
      </c>
      <c r="BX549"/>
      <c r="BY549"/>
      <c r="BZ549" s="4"/>
      <c r="CA549"/>
      <c r="CB549"/>
      <c r="CC549" s="4"/>
      <c r="CD549" t="inlineStr">
        <is>
          <t>5</t>
        </is>
      </c>
      <c r="CE549" t="inlineStr">
        <is>
          <t>0</t>
        </is>
      </c>
      <c r="CF549" t="inlineStr">
        <is>
          <t>Q2-W04</t>
        </is>
      </c>
      <c r="CG549" t="inlineStr">
        <is>
          <t>Q1-W13</t>
        </is>
      </c>
      <c r="CH549" t="inlineStr">
        <is>
          <t>Q1-W13</t>
        </is>
      </c>
      <c r="CI549"/>
      <c r="CJ549" t="inlineStr">
        <is>
          <t>Paid</t>
        </is>
      </c>
      <c r="CK549" t="inlineStr">
        <is>
          <t>Eligible</t>
        </is>
      </c>
      <c r="CL549"/>
      <c r="CM549"/>
    </row>
    <row r="550" ht="25.5" customHeight="1">
      <c r="A550" t="inlineStr">
        <is>
          <t>155605</t>
        </is>
      </c>
      <c r="B550" s="2"/>
      <c r="C550"/>
      <c r="D550" s="3">
        <v>46139.44693287037</v>
      </c>
      <c r="E550" t="inlineStr">
        <is>
          <t>Q2-W04</t>
        </is>
      </c>
      <c r="F550" t="inlineStr">
        <is>
          <t>Josh</t>
        </is>
      </c>
      <c r="G550" t="inlineStr">
        <is>
          <t>Customer</t>
        </is>
      </c>
      <c r="H550" s="2" t="str">
        <f>=HYPERLINK("https://upbox.ajobthing.my/customer/155605", "https://upbox.ajobthing.my/customer/155605")</f>
        <v>https://upbox.ajobthing.my/customer/155605</v>
      </c>
      <c r="I550" t="inlineStr">
        <is>
          <t>Advance Jupiter Sdn Bhd</t>
        </is>
      </c>
      <c r="J550" t="inlineStr">
        <is>
          <t>Whale</t>
        </is>
      </c>
      <c r="K550" t="inlineStr">
        <is>
          <t>Josh</t>
        </is>
      </c>
      <c r="L550" s="4"/>
      <c r="M550" s="4">
        <v>46139.448067129626</v>
      </c>
      <c r="N550"/>
      <c r="O550">
        <v>5508</v>
      </c>
      <c r="P550" s="4"/>
      <c r="Q550" s="4">
        <v>46114.377847222226</v>
      </c>
      <c r="R550"/>
      <c r="S550">
        <v>0</v>
      </c>
      <c r="T550" s="4">
        <v>45664.67832175926</v>
      </c>
      <c r="U550" s="4"/>
      <c r="V550"/>
      <c r="W550">
        <v>4233.6</v>
      </c>
      <c r="X550"/>
      <c r="Y550" t="inlineStr">
        <is>
          <t>Pending Appointment</t>
        </is>
      </c>
      <c r="Z550" t="inlineStr">
        <is>
          <t>Hiring Now</t>
        </is>
      </c>
      <c r="AA550">
        <v>1</v>
      </c>
      <c r="AB550" t="inlineStr">
        <is>
          <t>No Appointment Made</t>
        </is>
      </c>
      <c r="AC550"/>
      <c r="AD550" t="inlineStr">
        <is>
          <t xml:space="preserve">1 marketing executive </t>
        </is>
      </c>
      <c r="AE550"/>
      <c r="AF550">
        <v>3000</v>
      </c>
      <c r="AG550" s="4"/>
      <c r="AH550" s="4"/>
      <c r="AI550"/>
      <c r="AJ550"/>
      <c r="AK550" t="inlineStr">
        <is>
          <t>Yes, I have</t>
        </is>
      </c>
      <c r="AL550"/>
      <c r="AM550"/>
      <c r="AN550"/>
      <c r="AO550"/>
      <c r="AP550" t="inlineStr">
        <is>
          <t>Once a year (25%)</t>
        </is>
      </c>
      <c r="AQ550"/>
      <c r="AR550"/>
      <c r="AS550" t="inlineStr">
        <is>
          <t>- Headcount: 1
- Hiring Job Details: 1 marketing executive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550">
        <v>95</v>
      </c>
      <c r="AU550" t="inlineStr">
        <is>
          <t>0.95</t>
        </is>
      </c>
      <c r="AV550" t="inlineStr">
        <is>
          <t>15</t>
        </is>
      </c>
      <c r="AW550" t="inlineStr">
        <is>
          <t>0</t>
        </is>
      </c>
      <c r="AX550" t="inlineStr">
        <is>
          <t>Not Qualified</t>
        </is>
      </c>
      <c r="AY550" s="4"/>
      <c r="AZ550"/>
      <c r="BA550"/>
      <c r="BB550"/>
      <c r="BC550" t="inlineStr">
        <is>
          <t>on hold first</t>
        </is>
      </c>
      <c r="BD550" s="4">
        <v>46142.40429398148</v>
      </c>
      <c r="BE550" t="inlineStr">
        <is>
          <t>paid</t>
        </is>
      </c>
      <c r="BF550"/>
      <c r="BG550" t="inlineStr">
        <is>
          <t>Reschedule</t>
        </is>
      </c>
      <c r="BH550" t="inlineStr">
        <is>
          <t>Fauziah Maharan</t>
        </is>
      </c>
      <c r="BI550" t="inlineStr">
        <is>
          <t>IT / Hardware</t>
        </is>
      </c>
      <c r="BJ550" s="4">
        <v>46144.75096064815</v>
      </c>
      <c r="BK550" s="4">
        <v>44726.47557870371</v>
      </c>
      <c r="BL550" t="inlineStr">
        <is>
          <t>0.0</t>
        </is>
      </c>
      <c r="BM550" t="inlineStr">
        <is>
          <t>1200.0</t>
        </is>
      </c>
      <c r="BN550" t="inlineStr">
        <is>
          <t>View Jobmanager Page</t>
        </is>
      </c>
      <c r="BO550" s="4">
        <v>46139.44563657408</v>
      </c>
      <c r="BP550">
        <v>168955</v>
      </c>
      <c r="BQ550">
        <v>119433</v>
      </c>
      <c r="BR550" t="inlineStr">
        <is>
          <t>Proforma</t>
        </is>
      </c>
      <c r="BS550" t="inlineStr">
        <is>
          <t>Free Singapore Job</t>
        </is>
      </c>
      <c r="BT550">
        <v>75938</v>
      </c>
      <c r="BU550"/>
      <c r="BV550">
        <v>2736562</v>
      </c>
      <c r="BW550" t="inlineStr">
        <is>
          <t>Inquire for Hiring Needs : No Hiring</t>
        </is>
      </c>
      <c r="BX550"/>
      <c r="BY550"/>
      <c r="BZ550" s="4"/>
      <c r="CA550"/>
      <c r="CB550"/>
      <c r="CC550" s="4"/>
      <c r="CD550" t="inlineStr">
        <is>
          <t>20</t>
        </is>
      </c>
      <c r="CE550" t="inlineStr">
        <is>
          <t>0</t>
        </is>
      </c>
      <c r="CF550" t="inlineStr">
        <is>
          <t>Q2-W04</t>
        </is>
      </c>
      <c r="CG550" t="inlineStr">
        <is>
          <t>Q1-W13</t>
        </is>
      </c>
      <c r="CH550"/>
      <c r="CI550"/>
      <c r="CJ550" t="inlineStr">
        <is>
          <t>Paid</t>
        </is>
      </c>
      <c r="CK550" t="inlineStr">
        <is>
          <t>Eligible</t>
        </is>
      </c>
      <c r="CL550"/>
      <c r="CM550"/>
    </row>
    <row r="551" ht="25.5" customHeight="1">
      <c r="A551" t="inlineStr">
        <is>
          <t>136134</t>
        </is>
      </c>
      <c r="B551" s="2"/>
      <c r="C551"/>
      <c r="D551" s="3">
        <v>46139.46380787037</v>
      </c>
      <c r="E551" t="inlineStr">
        <is>
          <t>Q2-W04</t>
        </is>
      </c>
      <c r="F551" t="inlineStr">
        <is>
          <t>Josh</t>
        </is>
      </c>
      <c r="G551" t="inlineStr">
        <is>
          <t>Customer</t>
        </is>
      </c>
      <c r="H551" s="2" t="str">
        <f>=HYPERLINK("https://upbox.ajobthing.my/customer/136134", "https://upbox.ajobthing.my/customer/136134")</f>
        <v>https://upbox.ajobthing.my/customer/136134</v>
      </c>
      <c r="I551" t="inlineStr">
        <is>
          <t>Seringka Jaya Sdn Bhd</t>
        </is>
      </c>
      <c r="J551" t="inlineStr">
        <is>
          <t>Whale</t>
        </is>
      </c>
      <c r="K551" t="inlineStr">
        <is>
          <t>Josh</t>
        </is>
      </c>
      <c r="L551" s="4"/>
      <c r="M551" s="4">
        <v>46139.463171296295</v>
      </c>
      <c r="N551"/>
      <c r="O551">
        <v>7668</v>
      </c>
      <c r="P551" s="4"/>
      <c r="Q551" s="4">
        <v>46140.14158564815</v>
      </c>
      <c r="R551"/>
      <c r="S551">
        <v>7668</v>
      </c>
      <c r="T551" s="4">
        <v>45775.47494212963</v>
      </c>
      <c r="U551" s="4"/>
      <c r="V551"/>
      <c r="W551">
        <v>5832</v>
      </c>
      <c r="X551"/>
      <c r="Y551" t="inlineStr">
        <is>
          <t>Pending Appointment</t>
        </is>
      </c>
      <c r="Z551" t="inlineStr">
        <is>
          <t>Hiring Now</t>
        </is>
      </c>
      <c r="AA551">
        <v>1</v>
      </c>
      <c r="AB551" t="inlineStr">
        <is>
          <t>No Appointment Made</t>
        </is>
      </c>
      <c r="AC551"/>
      <c r="AD551" t="inlineStr">
        <is>
          <t xml:space="preserve">1 engineer </t>
        </is>
      </c>
      <c r="AE551"/>
      <c r="AF551">
        <v>3000</v>
      </c>
      <c r="AG551" s="4"/>
      <c r="AH551" s="4"/>
      <c r="AI551"/>
      <c r="AJ551"/>
      <c r="AK551" t="inlineStr">
        <is>
          <t>Yes, I have</t>
        </is>
      </c>
      <c r="AL551">
        <v>1</v>
      </c>
      <c r="AM551"/>
      <c r="AN551"/>
      <c r="AO551"/>
      <c r="AP551" t="inlineStr">
        <is>
          <t>Every month (100%)</t>
        </is>
      </c>
      <c r="AQ551"/>
      <c r="AR551"/>
      <c r="AS551" t="inlineStr">
        <is>
          <t>- Headcount: 1
- Hiring Job Details: 1 engineer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Every month (100%)
- External job portal: Not specified
- Hiring Urgency: Hiring Now</t>
        </is>
      </c>
      <c r="AT551">
        <v>95</v>
      </c>
      <c r="AU551" t="inlineStr">
        <is>
          <t>0.95</t>
        </is>
      </c>
      <c r="AV551" t="inlineStr">
        <is>
          <t>15</t>
        </is>
      </c>
      <c r="AW551" t="inlineStr">
        <is>
          <t>0</t>
        </is>
      </c>
      <c r="AX551" t="inlineStr">
        <is>
          <t>Not Qualified</t>
        </is>
      </c>
      <c r="AY551" s="4"/>
      <c r="AZ551"/>
      <c r="BA551"/>
      <c r="BB551"/>
      <c r="BC551" t="inlineStr">
        <is>
          <t>go for sme</t>
        </is>
      </c>
      <c r="BD551" s="4">
        <v>46140.477106481485</v>
      </c>
      <c r="BE551" t="inlineStr">
        <is>
          <t>pending</t>
        </is>
      </c>
      <c r="BF551"/>
      <c r="BG551" t="inlineStr">
        <is>
          <t>Reschedule</t>
        </is>
      </c>
      <c r="BH551" t="inlineStr">
        <is>
          <t>Fauziah Maharan</t>
        </is>
      </c>
      <c r="BI551" t="inlineStr">
        <is>
          <t>Engineering / Technical Consulting</t>
        </is>
      </c>
      <c r="BJ551" s="4">
        <v>46144.750555555554</v>
      </c>
      <c r="BK551" s="4">
        <v>44280.653449074074</v>
      </c>
      <c r="BL551" t="inlineStr">
        <is>
          <t>5832.0</t>
        </is>
      </c>
      <c r="BM551" t="inlineStr">
        <is>
          <t>0.0</t>
        </is>
      </c>
      <c r="BN551" t="inlineStr">
        <is>
          <t>View Jobmanager Page</t>
        </is>
      </c>
      <c r="BO551" s="4">
        <v>46142.6371875</v>
      </c>
      <c r="BP551">
        <v>168966</v>
      </c>
      <c r="BQ551">
        <v>7730</v>
      </c>
      <c r="BR551" t="inlineStr">
        <is>
          <t>Manual</t>
        </is>
      </c>
      <c r="BS551" t="inlineStr">
        <is>
          <t>Job Slot SME
- SME Package for 2 Job Slot + 1 Free Job Slot
- 3 Job Slot will be published on Maukerja, Ricebowl, and partner platforms.
- 3 Job Slot will be published for 12 months
- Reusable listing for 12 months
- Free Standard Company Page for 12 months
- Free 18 Free Intern / Manager / Part-time / Volunteer / Freelance / Singapore Job
- Package valid for 12 months
- Promo discount valid until 30 Apr 2026</t>
        </is>
      </c>
      <c r="BT551">
        <v>5746</v>
      </c>
      <c r="BU551"/>
      <c r="BV551">
        <v>2732118</v>
      </c>
      <c r="BW551" t="inlineStr">
        <is>
          <t>Follow Up : Invoice Sent 75%</t>
        </is>
      </c>
      <c r="BX551"/>
      <c r="BY551"/>
      <c r="BZ551" s="4"/>
      <c r="CA551"/>
      <c r="CB551"/>
      <c r="CC551" s="4"/>
      <c r="CD551" t="inlineStr">
        <is>
          <t>20</t>
        </is>
      </c>
      <c r="CE551" t="inlineStr">
        <is>
          <t>0</t>
        </is>
      </c>
      <c r="CF551" t="inlineStr">
        <is>
          <t>Q2-W04</t>
        </is>
      </c>
      <c r="CG551" t="inlineStr">
        <is>
          <t>Q2-W04</t>
        </is>
      </c>
      <c r="CH551"/>
      <c r="CI551"/>
      <c r="CJ551" t="inlineStr">
        <is>
          <t>Paid</t>
        </is>
      </c>
      <c r="CK551" t="inlineStr">
        <is>
          <t>Eligible</t>
        </is>
      </c>
      <c r="CL551"/>
      <c r="CM551"/>
    </row>
    <row r="552" ht="25.5" customHeight="1">
      <c r="A552" t="inlineStr">
        <is>
          <t>181063</t>
        </is>
      </c>
      <c r="B552" s="2"/>
      <c r="C552"/>
      <c r="D552" s="3">
        <v>46139.474965277775</v>
      </c>
      <c r="E552" t="inlineStr">
        <is>
          <t>Q2-W04</t>
        </is>
      </c>
      <c r="F552" t="inlineStr">
        <is>
          <t>Eugene</t>
        </is>
      </c>
      <c r="G552" t="inlineStr">
        <is>
          <t>Customer</t>
        </is>
      </c>
      <c r="H552" s="2" t="str">
        <f>=HYPERLINK("https://upbox.ajobthing.my/customer/181063", "https://upbox.ajobthing.my/customer/181063")</f>
        <v>https://upbox.ajobthing.my/customer/181063</v>
      </c>
      <c r="I552" t="inlineStr">
        <is>
          <t>RT 1994 Optical Sdn Bhd</t>
        </is>
      </c>
      <c r="J552" t="inlineStr">
        <is>
          <t>Whale</t>
        </is>
      </c>
      <c r="K552" t="inlineStr">
        <is>
          <t>Eugene</t>
        </is>
      </c>
      <c r="L552" s="4"/>
      <c r="M552" s="4">
        <v>46139.47509259259</v>
      </c>
      <c r="N552"/>
      <c r="O552">
        <v>3888</v>
      </c>
      <c r="P552" s="4"/>
      <c r="Q552" s="4">
        <v>45504.70240740741</v>
      </c>
      <c r="R552"/>
      <c r="S552">
        <v>2916</v>
      </c>
      <c r="T552" s="4">
        <v>45504.70240740741</v>
      </c>
      <c r="U552" s="4"/>
      <c r="V552"/>
      <c r="W552">
        <v>2916</v>
      </c>
      <c r="X552"/>
      <c r="Y552" t="inlineStr">
        <is>
          <t>Pending Appointment</t>
        </is>
      </c>
      <c r="Z552" t="inlineStr">
        <is>
          <t>Hiring Now</t>
        </is>
      </c>
      <c r="AA552">
        <v>2</v>
      </c>
      <c r="AB552" t="inlineStr">
        <is>
          <t>No Appointment Made</t>
        </is>
      </c>
      <c r="AC552"/>
      <c r="AD552" t="inlineStr">
        <is>
          <t>2 sales, multiple branches</t>
        </is>
      </c>
      <c r="AE552"/>
      <c r="AF552">
        <v>3000</v>
      </c>
      <c r="AG552" s="4"/>
      <c r="AH552" s="4"/>
      <c r="AI552">
        <v>3000</v>
      </c>
      <c r="AJ552">
        <v>2</v>
      </c>
      <c r="AK552" t="inlineStr">
        <is>
          <t>Yes, I have</t>
        </is>
      </c>
      <c r="AL552">
        <v>1</v>
      </c>
      <c r="AM552" t="inlineStr">
        <is>
          <t>No, I don't need at all</t>
        </is>
      </c>
      <c r="AN552"/>
      <c r="AO552" t="inlineStr">
        <is>
          <t>No, I don't need at all</t>
        </is>
      </c>
      <c r="AP552" t="inlineStr">
        <is>
          <t>Twice a year (50%)</t>
        </is>
      </c>
      <c r="AQ552">
        <v>4</v>
      </c>
      <c r="AR552" t="inlineStr">
        <is>
          <t>Jobstreet</t>
        </is>
      </c>
      <c r="AS552" t="inlineStr">
        <is>
          <t>- Headcount: 2
- Hiring Job Details: 2 sales, multiple branches
- Hiring Urgency: Hiring Now
- Number of outlets: 2
- Have recruiter team: Yes
- Number of recruiter in company: 1
- Have ATS system: No, I don't need at all
- Have career website: No, I don't need at all
- Current hiring budget: RM3,000
- Whole year budget: RM3,000.00
- Whole year number of vacancies: 4
- Hiring frequency: Twice a year (50%)
- External job portal: Jobstreet</t>
        </is>
      </c>
      <c r="AT552">
        <v>105</v>
      </c>
      <c r="AU552" t="inlineStr">
        <is>
          <t>1.05</t>
        </is>
      </c>
      <c r="AV552" t="inlineStr">
        <is>
          <t>15</t>
        </is>
      </c>
      <c r="AW552" t="inlineStr">
        <is>
          <t>0</t>
        </is>
      </c>
      <c r="AX552" t="inlineStr">
        <is>
          <t>Not Qualified</t>
        </is>
      </c>
      <c r="AY552" s="4"/>
      <c r="AZ552"/>
      <c r="BA552"/>
      <c r="BB552"/>
      <c r="BC552" t="inlineStr">
        <is>
          <t>proof</t>
        </is>
      </c>
      <c r="BD552" s="4">
        <v>46139.50601851852</v>
      </c>
      <c r="BE552" t="inlineStr">
        <is>
          <t>paid</t>
        </is>
      </c>
      <c r="BF552"/>
      <c r="BG552" t="inlineStr">
        <is>
          <t>Reschedule</t>
        </is>
      </c>
      <c r="BH552" t="inlineStr">
        <is>
          <t>Edward Hoo</t>
        </is>
      </c>
      <c r="BI552" t="inlineStr">
        <is>
          <t>Retail / Merchandise</t>
        </is>
      </c>
      <c r="BJ552" s="4">
        <v>46144.751863425925</v>
      </c>
      <c r="BK552" s="4">
        <v>45503.635034722225</v>
      </c>
      <c r="BL552" t="inlineStr">
        <is>
          <t>0.0</t>
        </is>
      </c>
      <c r="BM552" t="inlineStr">
        <is>
          <t>27000.0</t>
        </is>
      </c>
      <c r="BN552" t="inlineStr">
        <is>
          <t>PA Visit - Applicant Manager</t>
        </is>
      </c>
      <c r="BO552" s="4">
        <v>45582.33559027778</v>
      </c>
      <c r="BP552">
        <v>168977</v>
      </c>
      <c r="BQ552">
        <v>71621</v>
      </c>
      <c r="BR552" t="inlineStr">
        <is>
          <t>Online</t>
        </is>
      </c>
      <c r="BS552"/>
      <c r="BT552">
        <v>71621</v>
      </c>
      <c r="BU552"/>
      <c r="BV552">
        <v>2728969</v>
      </c>
      <c r="BW552" t="inlineStr">
        <is>
          <t>Customer Inquiry</t>
        </is>
      </c>
      <c r="BX552"/>
      <c r="BY552"/>
      <c r="BZ552" s="4"/>
      <c r="CA552"/>
      <c r="CB552"/>
      <c r="CC552" s="4"/>
      <c r="CD552" t="inlineStr">
        <is>
          <t>20</t>
        </is>
      </c>
      <c r="CE552" t="inlineStr">
        <is>
          <t>0</t>
        </is>
      </c>
      <c r="CF552" t="inlineStr">
        <is>
          <t>Q2-W04</t>
        </is>
      </c>
      <c r="CG552"/>
      <c r="CH552"/>
      <c r="CI552"/>
      <c r="CJ552" t="inlineStr">
        <is>
          <t>Paid</t>
        </is>
      </c>
      <c r="CK552" t="inlineStr">
        <is>
          <t>Eligible</t>
        </is>
      </c>
      <c r="CL552"/>
      <c r="CM552"/>
    </row>
    <row r="553" ht="25.5" customHeight="1">
      <c r="A553" t="inlineStr">
        <is>
          <t>161142</t>
        </is>
      </c>
      <c r="B553" s="2"/>
      <c r="C553"/>
      <c r="D553" s="3">
        <v>46139.5021875</v>
      </c>
      <c r="E553" t="inlineStr">
        <is>
          <t>Q2-W04</t>
        </is>
      </c>
      <c r="F553" t="inlineStr">
        <is>
          <t>Angel  Low</t>
        </is>
      </c>
      <c r="G553" t="inlineStr">
        <is>
          <t>Customer</t>
        </is>
      </c>
      <c r="H553" s="2" t="str">
        <f>=HYPERLINK("https://upbox.ajobthing.my/customer/161142", "https://upbox.ajobthing.my/customer/161142")</f>
        <v>https://upbox.ajobthing.my/customer/161142</v>
      </c>
      <c r="I553" t="inlineStr">
        <is>
          <t>Food Delicacy Material Sdn Bhd</t>
        </is>
      </c>
      <c r="J553" t="inlineStr">
        <is>
          <t>Whale</t>
        </is>
      </c>
      <c r="K553" t="inlineStr">
        <is>
          <t>Angel Low</t>
        </is>
      </c>
      <c r="L553" s="4"/>
      <c r="M553" s="4">
        <v>46139.49920138889</v>
      </c>
      <c r="N553"/>
      <c r="O553">
        <v>3672</v>
      </c>
      <c r="P553" s="4"/>
      <c r="Q553" s="4">
        <v>46139.499872685185</v>
      </c>
      <c r="R553"/>
      <c r="S553">
        <v>3672</v>
      </c>
      <c r="T553" s="4">
        <v>45827.416180555556</v>
      </c>
      <c r="U553" s="4"/>
      <c r="V553"/>
      <c r="W553">
        <v>3672</v>
      </c>
      <c r="X553"/>
      <c r="Y553" t="inlineStr">
        <is>
          <t>Pending Appointment</t>
        </is>
      </c>
      <c r="Z553"/>
      <c r="AA553">
        <v>1</v>
      </c>
      <c r="AB553" t="inlineStr">
        <is>
          <t>No Appointment Made</t>
        </is>
      </c>
      <c r="AC553"/>
      <c r="AD553" t="inlineStr">
        <is>
          <t xml:space="preserve">1 account </t>
        </is>
      </c>
      <c r="AE553"/>
      <c r="AF553"/>
      <c r="AG553" s="4"/>
      <c r="AH553" s="4"/>
      <c r="AI553"/>
      <c r="AJ553"/>
      <c r="AK553"/>
      <c r="AL553"/>
      <c r="AM553"/>
      <c r="AN553"/>
      <c r="AO553"/>
      <c r="AP553"/>
      <c r="AQ553"/>
      <c r="AR553"/>
      <c r="AS553" t="inlineStr">
        <is>
          <t>- Headcount: 1
- Hiring Job Details: 1 account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553">
        <v>20</v>
      </c>
      <c r="AU553" t="inlineStr">
        <is>
          <t>0.20</t>
        </is>
      </c>
      <c r="AV553" t="inlineStr">
        <is>
          <t>5</t>
        </is>
      </c>
      <c r="AW553" t="inlineStr">
        <is>
          <t>0</t>
        </is>
      </c>
      <c r="AX553" t="inlineStr">
        <is>
          <t>Not Qualified</t>
        </is>
      </c>
      <c r="AY553" s="4"/>
      <c r="AZ553"/>
      <c r="BA553"/>
      <c r="BB553"/>
      <c r="BC553" t="inlineStr">
        <is>
          <t>pending</t>
        </is>
      </c>
      <c r="BD553" s="4">
        <v>46141.644108796296</v>
      </c>
      <c r="BE553" t="inlineStr">
        <is>
          <t>pending</t>
        </is>
      </c>
      <c r="BF553"/>
      <c r="BG553" t="inlineStr">
        <is>
          <t>Reschedule</t>
        </is>
      </c>
      <c r="BH553" t="inlineStr">
        <is>
          <t>Fauziah Maharan</t>
        </is>
      </c>
      <c r="BI553" t="inlineStr">
        <is>
          <t>Food / Beverage</t>
        </is>
      </c>
      <c r="BJ553" s="4">
        <v>46144.751122685186</v>
      </c>
      <c r="BK553" s="4">
        <v>44852.47694444445</v>
      </c>
      <c r="BL553" t="inlineStr">
        <is>
          <t>3672.0</t>
        </is>
      </c>
      <c r="BM553" t="inlineStr">
        <is>
          <t>5400.0</t>
        </is>
      </c>
      <c r="BN553" t="inlineStr">
        <is>
          <t>View Company Page</t>
        </is>
      </c>
      <c r="BO553" s="4">
        <v>46139.416180555556</v>
      </c>
      <c r="BP553">
        <v>168997</v>
      </c>
      <c r="BQ553">
        <v>123752</v>
      </c>
      <c r="BR553" t="inlineStr">
        <is>
          <t>Proforma</t>
        </is>
      </c>
      <c r="BS553" t="inlineStr">
        <is>
          <t>AI Yearly Standard Plan (Jan 26)</t>
        </is>
      </c>
      <c r="BT553">
        <v>80206</v>
      </c>
      <c r="BU553"/>
      <c r="BV553">
        <v>2735622</v>
      </c>
      <c r="BW553" t="inlineStr">
        <is>
          <t>Follow Up : Payment Pending</t>
        </is>
      </c>
      <c r="BX553">
        <v>8</v>
      </c>
      <c r="BY553">
        <v>2</v>
      </c>
      <c r="BZ553" s="4">
        <v>45845.70496527778</v>
      </c>
      <c r="CA553">
        <v>60</v>
      </c>
      <c r="CB553">
        <v>60</v>
      </c>
      <c r="CC553" s="4"/>
      <c r="CD553" t="inlineStr">
        <is>
          <t>5</t>
        </is>
      </c>
      <c r="CE553" t="inlineStr">
        <is>
          <t>0</t>
        </is>
      </c>
      <c r="CF553" t="inlineStr">
        <is>
          <t>Q2-W04</t>
        </is>
      </c>
      <c r="CG553" t="inlineStr">
        <is>
          <t>Q2-W04</t>
        </is>
      </c>
      <c r="CH553"/>
      <c r="CI553"/>
      <c r="CJ553" t="inlineStr">
        <is>
          <t>Paid</t>
        </is>
      </c>
      <c r="CK553" t="inlineStr">
        <is>
          <t>Eligible</t>
        </is>
      </c>
      <c r="CL553"/>
      <c r="CM553"/>
    </row>
    <row r="554" ht="25.5" customHeight="1">
      <c r="A554" t="inlineStr">
        <is>
          <t>33837</t>
        </is>
      </c>
      <c r="B554" s="2"/>
      <c r="C554"/>
      <c r="D554" s="3">
        <v>46139.50931712963</v>
      </c>
      <c r="E554" t="inlineStr">
        <is>
          <t>Q2-W04</t>
        </is>
      </c>
      <c r="F554" t="inlineStr">
        <is>
          <t>Josh</t>
        </is>
      </c>
      <c r="G554" t="inlineStr">
        <is>
          <t>Customer</t>
        </is>
      </c>
      <c r="H554" s="2" t="str">
        <f>=HYPERLINK("https://upbox.ajobthing.my/customer/33837", "https://upbox.ajobthing.my/customer/33837")</f>
        <v>https://upbox.ajobthing.my/customer/33837</v>
      </c>
      <c r="I554" t="inlineStr">
        <is>
          <t>IPGMY KL Sdn Bhd</t>
        </is>
      </c>
      <c r="J554" t="inlineStr">
        <is>
          <t>Whale</t>
        </is>
      </c>
      <c r="K554" t="inlineStr">
        <is>
          <t>Josh</t>
        </is>
      </c>
      <c r="L554" s="4"/>
      <c r="M554" s="4">
        <v>46139.50650462963</v>
      </c>
      <c r="N554"/>
      <c r="O554">
        <v>10800</v>
      </c>
      <c r="P554" s="4"/>
      <c r="Q554" s="4">
        <v>46122.736446759256</v>
      </c>
      <c r="R554"/>
      <c r="S554">
        <v>6048</v>
      </c>
      <c r="T554" s="4">
        <v>46122.736446759256</v>
      </c>
      <c r="U554" s="4"/>
      <c r="V554"/>
      <c r="W554">
        <v>6048</v>
      </c>
      <c r="X554"/>
      <c r="Y554" t="inlineStr">
        <is>
          <t>Pending Appointment</t>
        </is>
      </c>
      <c r="Z554" t="inlineStr">
        <is>
          <t>Continuous Hiring</t>
        </is>
      </c>
      <c r="AA554">
        <v>1</v>
      </c>
      <c r="AB554" t="inlineStr">
        <is>
          <t>No Appointment Made</t>
        </is>
      </c>
      <c r="AC554"/>
      <c r="AD554" t="inlineStr">
        <is>
          <t xml:space="preserve">1 telemarketer </t>
        </is>
      </c>
      <c r="AE554"/>
      <c r="AF554">
        <v>3000</v>
      </c>
      <c r="AG554" s="4"/>
      <c r="AH554" s="4"/>
      <c r="AI554"/>
      <c r="AJ554"/>
      <c r="AK554" t="inlineStr">
        <is>
          <t>Yes, I have</t>
        </is>
      </c>
      <c r="AL554">
        <v>1</v>
      </c>
      <c r="AM554"/>
      <c r="AN554"/>
      <c r="AO554"/>
      <c r="AP554" t="inlineStr">
        <is>
          <t>Every month (100%)</t>
        </is>
      </c>
      <c r="AQ554"/>
      <c r="AR554"/>
      <c r="AS554" t="inlineStr">
        <is>
          <t>- Headcount: 1
- Hiring Job Details: 1 telemarketer
- Hiring Urgency: Continuous Hiring
- Number of outlets: Not available
- Have recruiter team: Yes
- Number of recruiter in company: 1
- Have ATS system: Not available
- Have career website: Not available
- Current hiring budget: RM3,000.00
- Whole year budget: Not available
- Whole year number of vacancies: Not available
- Hiring frequency: Every month (100%)
- External job portal: Not available</t>
        </is>
      </c>
      <c r="AT554">
        <v>95</v>
      </c>
      <c r="AU554" t="inlineStr">
        <is>
          <t>0.95</t>
        </is>
      </c>
      <c r="AV554" t="inlineStr">
        <is>
          <t>15</t>
        </is>
      </c>
      <c r="AW554" t="inlineStr">
        <is>
          <t>0</t>
        </is>
      </c>
      <c r="AX554" t="inlineStr">
        <is>
          <t>Not Qualified</t>
        </is>
      </c>
      <c r="AY554" s="4"/>
      <c r="AZ554"/>
      <c r="BA554"/>
      <c r="BB554"/>
      <c r="BC554" t="inlineStr">
        <is>
          <t>- Headcount: 1
- Hiring Job Details: 1 telemarketer
- Hiring Urgency: Continuous Hiring
- Number of outlets: Not available
- Have recruiter team: Yes
- Number of recruiter in company: 1
- Have ATS system: Not available
- Have career website: Not available
- Current hiring budget: RM3,000.00
- Whole year budget: Not available
- Whole year number of vacancies: Not available
- Hiring frequency: Every month (100%)
- External job portal: Not available</t>
        </is>
      </c>
      <c r="BD554" s="4">
        <v>46139.54168981482</v>
      </c>
      <c r="BE554" t="inlineStr">
        <is>
          <t>paid</t>
        </is>
      </c>
      <c r="BF554" t="inlineStr">
        <is>
          <t>Q2-W02</t>
        </is>
      </c>
      <c r="BG554" t="inlineStr">
        <is>
          <t>Reschedule</t>
        </is>
      </c>
      <c r="BH554" t="inlineStr">
        <is>
          <t>Fauziah Maharan</t>
        </is>
      </c>
      <c r="BI554" t="inlineStr">
        <is>
          <t>Property / Real Estate</t>
        </is>
      </c>
      <c r="BJ554" s="4">
        <v>46144.75457175926</v>
      </c>
      <c r="BK554" s="4">
        <v>42783.48341435185</v>
      </c>
      <c r="BL554" t="inlineStr">
        <is>
          <t>6048.0</t>
        </is>
      </c>
      <c r="BM554" t="inlineStr">
        <is>
          <t>0.0</t>
        </is>
      </c>
      <c r="BN554" t="inlineStr">
        <is>
          <t>Search tab: Save Candidate</t>
        </is>
      </c>
      <c r="BO554" s="4">
        <v>46142.52494212963</v>
      </c>
      <c r="BP554">
        <v>169007</v>
      </c>
      <c r="BQ554">
        <v>92932</v>
      </c>
      <c r="BR554" t="inlineStr">
        <is>
          <t>Online</t>
        </is>
      </c>
      <c r="BS554"/>
      <c r="BT554">
        <v>92932</v>
      </c>
      <c r="BU554"/>
      <c r="BV554">
        <v>2729130</v>
      </c>
      <c r="BW554" t="inlineStr">
        <is>
          <t>Customer Inquiry</t>
        </is>
      </c>
      <c r="BX554">
        <v>17</v>
      </c>
      <c r="BY554">
        <v>14</v>
      </c>
      <c r="BZ554" s="4">
        <v>46127.48552083333</v>
      </c>
      <c r="CA554">
        <v>160</v>
      </c>
      <c r="CB554">
        <v>0</v>
      </c>
      <c r="CC554" s="4">
        <v>46139.76440972222</v>
      </c>
      <c r="CD554" t="inlineStr">
        <is>
          <t>20</t>
        </is>
      </c>
      <c r="CE554" t="inlineStr">
        <is>
          <t>0</t>
        </is>
      </c>
      <c r="CF554" t="inlineStr">
        <is>
          <t>Q2-W04</t>
        </is>
      </c>
      <c r="CG554" t="inlineStr">
        <is>
          <t>Q2-W02</t>
        </is>
      </c>
      <c r="CH554" t="inlineStr">
        <is>
          <t>Q2-W02</t>
        </is>
      </c>
      <c r="CI554"/>
      <c r="CJ554" t="inlineStr">
        <is>
          <t>Paid</t>
        </is>
      </c>
      <c r="CK554" t="inlineStr">
        <is>
          <t>Eligible</t>
        </is>
      </c>
      <c r="CL554"/>
      <c r="CM554"/>
    </row>
    <row r="555" ht="25.5" customHeight="1">
      <c r="A555" t="inlineStr">
        <is>
          <t>187374</t>
        </is>
      </c>
      <c r="B555" s="2"/>
      <c r="C555"/>
      <c r="D555" s="3">
        <v>46139.59579861111</v>
      </c>
      <c r="E555" t="inlineStr">
        <is>
          <t>Q2-W04</t>
        </is>
      </c>
      <c r="F555" t="inlineStr">
        <is>
          <t>Josh</t>
        </is>
      </c>
      <c r="G555" t="inlineStr">
        <is>
          <t>Customer</t>
        </is>
      </c>
      <c r="H555" s="2" t="str">
        <f>=HYPERLINK("https://upbox.ajobthing.my/customer/187374", "https://upbox.ajobthing.my/customer/187374")</f>
        <v>https://upbox.ajobthing.my/customer/187374</v>
      </c>
      <c r="I555" t="inlineStr">
        <is>
          <t>Flex Precision Manufacturing (Malaysia) Sdn. Bhd.</t>
        </is>
      </c>
      <c r="J555" t="inlineStr">
        <is>
          <t>Whale</t>
        </is>
      </c>
      <c r="K555" t="inlineStr">
        <is>
          <t>Josh</t>
        </is>
      </c>
      <c r="L555" s="4"/>
      <c r="M555" s="4">
        <v>46139.59395833333</v>
      </c>
      <c r="N555"/>
      <c r="O555">
        <v>9180</v>
      </c>
      <c r="P555" s="4"/>
      <c r="Q555" s="4">
        <v>46128.57844907408</v>
      </c>
      <c r="R555"/>
      <c r="S555">
        <v>0</v>
      </c>
      <c r="T555" s="4">
        <v>45712.607199074075</v>
      </c>
      <c r="U555" s="4"/>
      <c r="V555"/>
      <c r="W555">
        <v>8650.8</v>
      </c>
      <c r="X555"/>
      <c r="Y555" t="inlineStr">
        <is>
          <t>Pending Appointment</t>
        </is>
      </c>
      <c r="Z555" t="inlineStr">
        <is>
          <t>Continuous Hiring</t>
        </is>
      </c>
      <c r="AA555">
        <v>1</v>
      </c>
      <c r="AB555" t="inlineStr">
        <is>
          <t>No Appointment Made</t>
        </is>
      </c>
      <c r="AC555"/>
      <c r="AD555" t="inlineStr">
        <is>
          <t xml:space="preserve">1 engineer </t>
        </is>
      </c>
      <c r="AE555"/>
      <c r="AF555">
        <v>3000</v>
      </c>
      <c r="AG555" s="4"/>
      <c r="AH555" s="4"/>
      <c r="AI555"/>
      <c r="AJ555"/>
      <c r="AK555" t="inlineStr">
        <is>
          <t>Yes, I have</t>
        </is>
      </c>
      <c r="AL555"/>
      <c r="AM555"/>
      <c r="AN555"/>
      <c r="AO555"/>
      <c r="AP555" t="inlineStr">
        <is>
          <t>Every month (100%)</t>
        </is>
      </c>
      <c r="AQ555"/>
      <c r="AR555"/>
      <c r="AS555" t="inlineStr">
        <is>
          <t>- Headcount: 1
- Hiring Job Details: 1 engineer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Every month (100%)
- External job portal: Not provided
- Hiring Urgency: Continuous Hiring</t>
        </is>
      </c>
      <c r="AT555">
        <v>85</v>
      </c>
      <c r="AU555" t="inlineStr">
        <is>
          <t>0.85</t>
        </is>
      </c>
      <c r="AV555" t="inlineStr">
        <is>
          <t>15</t>
        </is>
      </c>
      <c r="AW555" t="inlineStr">
        <is>
          <t>0</t>
        </is>
      </c>
      <c r="AX555" t="inlineStr">
        <is>
          <t>Not Qualified</t>
        </is>
      </c>
      <c r="AY555" s="4"/>
      <c r="AZ555"/>
      <c r="BA555"/>
      <c r="BB555"/>
      <c r="BC555" t="inlineStr">
        <is>
          <t>- Headcount: 1
- Hiring Job Details: 1 engineer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Every month (100%)
- External job portal: Not provided
- Hiring Urgency: Continuous Hiring</t>
        </is>
      </c>
      <c r="BD555" s="4">
        <v>46139.62505787037</v>
      </c>
      <c r="BE555" t="inlineStr">
        <is>
          <t>paid</t>
        </is>
      </c>
      <c r="BF555"/>
      <c r="BG555" t="inlineStr">
        <is>
          <t>Reschedule</t>
        </is>
      </c>
      <c r="BH555" t="inlineStr">
        <is>
          <t>Fauziah Maharan</t>
        </is>
      </c>
      <c r="BI555" t="inlineStr">
        <is>
          <t>Manufacturing / Production</t>
        </is>
      </c>
      <c r="BJ555" s="4">
        <v>46144.752175925925</v>
      </c>
      <c r="BK555" s="4">
        <v>45695.407060185185</v>
      </c>
      <c r="BL555" t="inlineStr">
        <is>
          <t>0.0</t>
        </is>
      </c>
      <c r="BM555" t="inlineStr">
        <is>
          <t>450.0</t>
        </is>
      </c>
      <c r="BN555" t="inlineStr">
        <is>
          <t>PA Visit - Job Card</t>
        </is>
      </c>
      <c r="BO555" s="4">
        <v>46139.71952546296</v>
      </c>
      <c r="BP555">
        <v>169029</v>
      </c>
      <c r="BQ555">
        <v>122713</v>
      </c>
      <c r="BR555" t="inlineStr">
        <is>
          <t>Proforma</t>
        </is>
      </c>
      <c r="BS555" t="inlineStr">
        <is>
          <t>Free High Pay Job</t>
        </is>
      </c>
      <c r="BT555">
        <v>77064</v>
      </c>
      <c r="BU555"/>
      <c r="BV555">
        <v>2730118</v>
      </c>
      <c r="BW555" t="inlineStr">
        <is>
          <t>Customer Inquiry</t>
        </is>
      </c>
      <c r="BX555"/>
      <c r="BY555"/>
      <c r="BZ555" s="4"/>
      <c r="CA555">
        <v>10</v>
      </c>
      <c r="CB555">
        <v>7</v>
      </c>
      <c r="CC555" s="4">
        <v>46126.884467592594</v>
      </c>
      <c r="CD555" t="inlineStr">
        <is>
          <t>20</t>
        </is>
      </c>
      <c r="CE555" t="inlineStr">
        <is>
          <t>0</t>
        </is>
      </c>
      <c r="CF555" t="inlineStr">
        <is>
          <t>Q2-W04</t>
        </is>
      </c>
      <c r="CG555" t="inlineStr">
        <is>
          <t>Q2-W02</t>
        </is>
      </c>
      <c r="CH555"/>
      <c r="CI555"/>
      <c r="CJ555" t="inlineStr">
        <is>
          <t>Paid</t>
        </is>
      </c>
      <c r="CK555" t="inlineStr">
        <is>
          <t>Eligible</t>
        </is>
      </c>
      <c r="CL555"/>
      <c r="CM555"/>
    </row>
    <row r="556" ht="25.5" customHeight="1">
      <c r="A556" t="inlineStr">
        <is>
          <t>124609</t>
        </is>
      </c>
      <c r="B556" s="2"/>
      <c r="C556"/>
      <c r="D556" s="3">
        <v>46139.60393518519</v>
      </c>
      <c r="E556" t="inlineStr">
        <is>
          <t>Q2-W04</t>
        </is>
      </c>
      <c r="F556" t="inlineStr">
        <is>
          <t>Yvonne Lee</t>
        </is>
      </c>
      <c r="G556" t="inlineStr">
        <is>
          <t>Customer</t>
        </is>
      </c>
      <c r="H556" s="2" t="str">
        <f>=HYPERLINK("https://upbox.ajobthing.my/customer/124609", "https://upbox.ajobthing.my/customer/124609")</f>
        <v>https://upbox.ajobthing.my/customer/124609</v>
      </c>
      <c r="I556" t="inlineStr">
        <is>
          <t>Assisi Palliative Care Berhad</t>
        </is>
      </c>
      <c r="J556" t="inlineStr">
        <is>
          <t>Whale</t>
        </is>
      </c>
      <c r="K556" t="inlineStr">
        <is>
          <t>Yvonne</t>
        </is>
      </c>
      <c r="L556" s="4"/>
      <c r="M556" s="4">
        <v>46140.7246875</v>
      </c>
      <c r="N556"/>
      <c r="O556">
        <v>3888</v>
      </c>
      <c r="P556" s="4"/>
      <c r="Q556" s="4">
        <v>44251.63958333333</v>
      </c>
      <c r="R556"/>
      <c r="S556">
        <v>318</v>
      </c>
      <c r="T556" s="4">
        <v>44251.63958333333</v>
      </c>
      <c r="U556" s="4"/>
      <c r="V556"/>
      <c r="W556">
        <v>318</v>
      </c>
      <c r="X556"/>
      <c r="Y556" t="inlineStr">
        <is>
          <t>Pending Appointment</t>
        </is>
      </c>
      <c r="Z556" t="inlineStr">
        <is>
          <t>Hiring Now</t>
        </is>
      </c>
      <c r="AA556">
        <v>2</v>
      </c>
      <c r="AB556" t="inlineStr">
        <is>
          <t>No Appointment Made</t>
        </is>
      </c>
      <c r="AC556"/>
      <c r="AD556" t="inlineStr">
        <is>
          <t>1) Nurses
2) Doctors</t>
        </is>
      </c>
      <c r="AE556"/>
      <c r="AF556">
        <v>10000</v>
      </c>
      <c r="AG556" s="4"/>
      <c r="AH556" s="4"/>
      <c r="AI556">
        <v>10000</v>
      </c>
      <c r="AJ556">
        <v>1</v>
      </c>
      <c r="AK556" t="inlineStr">
        <is>
          <t>Yes, I have</t>
        </is>
      </c>
      <c r="AL556">
        <v>8</v>
      </c>
      <c r="AM556" t="inlineStr">
        <is>
          <t>No, but I want in future</t>
        </is>
      </c>
      <c r="AN556"/>
      <c r="AO556" t="inlineStr">
        <is>
          <t>No, I don't need at all</t>
        </is>
      </c>
      <c r="AP556" t="inlineStr">
        <is>
          <t>Once per quarter (75%)</t>
        </is>
      </c>
      <c r="AQ556">
        <v>30</v>
      </c>
      <c r="AR556" t="inlineStr">
        <is>
          <t>Jobstreet</t>
        </is>
      </c>
      <c r="AS556" t="inlineStr">
        <is>
          <t>- Headcount: 2
- Hiring Job Details: 1) Nurses 2) Doctors
- Hiring Urgency: Hiring Now
- Number of outlets: 1
- Have recruiter team: Yes
- Number of recruiter in company: 8
- Have ATS system: No, but want in future
- Have career website: No
- Current hiring budget: RM10,000
- Whole year budget: RM10,000.00
- Whole year number of vacancies: 30
- Hiring frequency: Once per quarter (75%)
- External job portal: Jobstreet</t>
        </is>
      </c>
      <c r="AT556">
        <v>115</v>
      </c>
      <c r="AU556" t="inlineStr">
        <is>
          <t>1.15</t>
        </is>
      </c>
      <c r="AV556" t="inlineStr">
        <is>
          <t>15</t>
        </is>
      </c>
      <c r="AW556" t="inlineStr">
        <is>
          <t>0</t>
        </is>
      </c>
      <c r="AX556" t="inlineStr">
        <is>
          <t>Not Qualified</t>
        </is>
      </c>
      <c r="AY556" s="4"/>
      <c r="AZ556"/>
      <c r="BA556"/>
      <c r="BB556"/>
      <c r="BC556" t="inlineStr">
        <is>
          <t>Quotation shared,</t>
        </is>
      </c>
      <c r="BD556" s="4">
        <v>46141.47204861111</v>
      </c>
      <c r="BE556" t="inlineStr">
        <is>
          <t>paid</t>
        </is>
      </c>
      <c r="BF556"/>
      <c r="BG556" t="inlineStr">
        <is>
          <t>Reschedule</t>
        </is>
      </c>
      <c r="BH556" t="inlineStr">
        <is>
          <t>andy@ajobthing.com</t>
        </is>
      </c>
      <c r="BI556" t="inlineStr">
        <is>
          <t>Healthcare / Medical</t>
        </is>
      </c>
      <c r="BJ556" s="4">
        <v>46144.7503125</v>
      </c>
      <c r="BK556" s="4">
        <v>43850.68078703704</v>
      </c>
      <c r="BL556" t="inlineStr">
        <is>
          <t>0.0</t>
        </is>
      </c>
      <c r="BM556" t="inlineStr">
        <is>
          <t>1800.0</t>
        </is>
      </c>
      <c r="BN556" t="inlineStr">
        <is>
          <t>View Create Job Page</t>
        </is>
      </c>
      <c r="BO556" s="4">
        <v>44566.56694444444</v>
      </c>
      <c r="BP556">
        <v>169367</v>
      </c>
      <c r="BQ556">
        <v>30565</v>
      </c>
      <c r="BR556" t="inlineStr">
        <is>
          <t>Online</t>
        </is>
      </c>
      <c r="BS556"/>
      <c r="BT556">
        <v>30565</v>
      </c>
      <c r="BU556"/>
      <c r="BV556">
        <v>2734693</v>
      </c>
      <c r="BW556" t="inlineStr">
        <is>
          <t>Inquire for Hiring Needs : Quotation Sent 50%</t>
        </is>
      </c>
      <c r="BX556"/>
      <c r="BY556"/>
      <c r="BZ556" s="4"/>
      <c r="CA556"/>
      <c r="CB556"/>
      <c r="CC556" s="4"/>
      <c r="CD556" t="inlineStr">
        <is>
          <t>20</t>
        </is>
      </c>
      <c r="CE556" t="inlineStr">
        <is>
          <t>0</t>
        </is>
      </c>
      <c r="CF556" t="inlineStr">
        <is>
          <t>Q2-W04</t>
        </is>
      </c>
      <c r="CG556"/>
      <c r="CH556"/>
      <c r="CI556"/>
      <c r="CJ556" t="inlineStr">
        <is>
          <t>Paid</t>
        </is>
      </c>
      <c r="CK556" t="inlineStr">
        <is>
          <t>Eligible</t>
        </is>
      </c>
      <c r="CL556"/>
      <c r="CM556"/>
    </row>
    <row r="557" ht="25.5" customHeight="1">
      <c r="A557" t="inlineStr">
        <is>
          <t>136377</t>
        </is>
      </c>
      <c r="B557" s="2"/>
      <c r="C557"/>
      <c r="D557" s="3">
        <v>46139.61449074074</v>
      </c>
      <c r="E557" t="inlineStr">
        <is>
          <t>Q2-W04</t>
        </is>
      </c>
      <c r="F557" t="inlineStr">
        <is>
          <t>Josh</t>
        </is>
      </c>
      <c r="G557" t="inlineStr">
        <is>
          <t>Customer</t>
        </is>
      </c>
      <c r="H557" s="2" t="str">
        <f>=HYPERLINK("https://upbox.ajobthing.my/customer/136377", "https://upbox.ajobthing.my/customer/136377")</f>
        <v>https://upbox.ajobthing.my/customer/136377</v>
      </c>
      <c r="I557" t="inlineStr">
        <is>
          <t>Formtri Idea</t>
        </is>
      </c>
      <c r="J557" t="inlineStr">
        <is>
          <t>Whale</t>
        </is>
      </c>
      <c r="K557" t="inlineStr">
        <is>
          <t>Josh</t>
        </is>
      </c>
      <c r="L557" s="4"/>
      <c r="M557" s="4">
        <v>46139.61476851852</v>
      </c>
      <c r="N557"/>
      <c r="O557">
        <v>6048</v>
      </c>
      <c r="P557" s="4"/>
      <c r="Q557" s="4">
        <v>45923.71334490741</v>
      </c>
      <c r="R557"/>
      <c r="S557">
        <v>324</v>
      </c>
      <c r="T557" s="4">
        <v>45923.71334490741</v>
      </c>
      <c r="U557" s="4"/>
      <c r="V557"/>
      <c r="W557">
        <v>324</v>
      </c>
      <c r="X557"/>
      <c r="Y557" t="inlineStr">
        <is>
          <t>Pending Appointment</t>
        </is>
      </c>
      <c r="Z557" t="inlineStr">
        <is>
          <t>Hiring Later</t>
        </is>
      </c>
      <c r="AA557">
        <v>1</v>
      </c>
      <c r="AB557" t="inlineStr">
        <is>
          <t>No Appointment Made</t>
        </is>
      </c>
      <c r="AC557"/>
      <c r="AD557" t="inlineStr">
        <is>
          <t xml:space="preserve">1 admin </t>
        </is>
      </c>
      <c r="AE557"/>
      <c r="AF557">
        <v>3000</v>
      </c>
      <c r="AG557" s="4"/>
      <c r="AH557" s="4"/>
      <c r="AI557"/>
      <c r="AJ557"/>
      <c r="AK557" t="inlineStr">
        <is>
          <t>Yes, I have</t>
        </is>
      </c>
      <c r="AL557"/>
      <c r="AM557"/>
      <c r="AN557"/>
      <c r="AO557"/>
      <c r="AP557" t="inlineStr">
        <is>
          <t>Once a year (25%)</t>
        </is>
      </c>
      <c r="AQ557"/>
      <c r="AR557"/>
      <c r="AS557" t="inlineStr">
        <is>
          <t>- Headcount: 1
- Hiring Job Details: 1 admin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557">
        <v>75</v>
      </c>
      <c r="AU557" t="inlineStr">
        <is>
          <t>0.75</t>
        </is>
      </c>
      <c r="AV557" t="inlineStr">
        <is>
          <t>15</t>
        </is>
      </c>
      <c r="AW557" t="inlineStr">
        <is>
          <t>0</t>
        </is>
      </c>
      <c r="AX557" t="inlineStr">
        <is>
          <t>Not Qualified</t>
        </is>
      </c>
      <c r="AY557" s="4"/>
      <c r="AZ557"/>
      <c r="BA557"/>
      <c r="BB557"/>
      <c r="BC557" t="inlineStr">
        <is>
          <t>- Headcount: 1
- Hiring Job Details: 1 admin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BD557" s="4">
        <v>46139.62505787037</v>
      </c>
      <c r="BE557" t="inlineStr">
        <is>
          <t>paid</t>
        </is>
      </c>
      <c r="BF557"/>
      <c r="BG557" t="inlineStr">
        <is>
          <t>Reschedule</t>
        </is>
      </c>
      <c r="BH557" t="inlineStr">
        <is>
          <t>Fauziah Maharan</t>
        </is>
      </c>
      <c r="BI557" t="inlineStr">
        <is>
          <t>Architecture / Interior Design</t>
        </is>
      </c>
      <c r="BJ557" s="4">
        <v>46144.750555555554</v>
      </c>
      <c r="BK557" s="4">
        <v>44286.44306712963</v>
      </c>
      <c r="BL557" t="inlineStr">
        <is>
          <t>1620.0</t>
        </is>
      </c>
      <c r="BM557" t="inlineStr">
        <is>
          <t>4200.0</t>
        </is>
      </c>
      <c r="BN557" t="inlineStr">
        <is>
          <t>View Company Page</t>
        </is>
      </c>
      <c r="BO557" s="4">
        <v>46036.53988425926</v>
      </c>
      <c r="BP557">
        <v>169043</v>
      </c>
      <c r="BQ557">
        <v>82656</v>
      </c>
      <c r="BR557" t="inlineStr">
        <is>
          <t>Online</t>
        </is>
      </c>
      <c r="BS557"/>
      <c r="BT557">
        <v>82656</v>
      </c>
      <c r="BU557"/>
      <c r="BV557">
        <v>2730127</v>
      </c>
      <c r="BW557" t="inlineStr">
        <is>
          <t>Customer Inquiry</t>
        </is>
      </c>
      <c r="BX557"/>
      <c r="BY557"/>
      <c r="BZ557" s="4"/>
      <c r="CA557"/>
      <c r="CB557"/>
      <c r="CC557" s="4"/>
      <c r="CD557" t="inlineStr">
        <is>
          <t>20</t>
        </is>
      </c>
      <c r="CE557" t="inlineStr">
        <is>
          <t>0</t>
        </is>
      </c>
      <c r="CF557" t="inlineStr">
        <is>
          <t>Q2-W04</t>
        </is>
      </c>
      <c r="CG557"/>
      <c r="CH557"/>
      <c r="CI557"/>
      <c r="CJ557" t="inlineStr">
        <is>
          <t>Paid</t>
        </is>
      </c>
      <c r="CK557" t="inlineStr">
        <is>
          <t>Eligible</t>
        </is>
      </c>
      <c r="CL557"/>
      <c r="CM557"/>
    </row>
    <row r="558" ht="25.5" customHeight="1">
      <c r="A558" t="inlineStr">
        <is>
          <t>122052</t>
        </is>
      </c>
      <c r="B558" s="2"/>
      <c r="C558"/>
      <c r="D558" s="3">
        <v>46139.62133101852</v>
      </c>
      <c r="E558" t="inlineStr">
        <is>
          <t>Q2-W04</t>
        </is>
      </c>
      <c r="F558" t="inlineStr">
        <is>
          <t>Ken Yi</t>
        </is>
      </c>
      <c r="G558" t="inlineStr">
        <is>
          <t>Customer</t>
        </is>
      </c>
      <c r="H558" s="2" t="str">
        <f>=HYPERLINK("https://upbox.ajobthing.my/customer/122052", "https://upbox.ajobthing.my/customer/122052")</f>
        <v>https://upbox.ajobthing.my/customer/122052</v>
      </c>
      <c r="I558" t="inlineStr">
        <is>
          <t>Beego Shd Bhd</t>
        </is>
      </c>
      <c r="J558" t="inlineStr">
        <is>
          <t>Whale</t>
        </is>
      </c>
      <c r="K558" t="inlineStr">
        <is>
          <t>Kenyi</t>
        </is>
      </c>
      <c r="L558" s="4"/>
      <c r="M558" s="4">
        <v>46139.62332175926</v>
      </c>
      <c r="N558"/>
      <c r="O558">
        <v>3672</v>
      </c>
      <c r="P558" s="4"/>
      <c r="Q558" s="4">
        <v>46141.43659722222</v>
      </c>
      <c r="R558"/>
      <c r="S558">
        <v>3576.96</v>
      </c>
      <c r="T558" s="4">
        <v>45945.42527777778</v>
      </c>
      <c r="U558" s="4"/>
      <c r="V558"/>
      <c r="W558">
        <v>1296</v>
      </c>
      <c r="X558"/>
      <c r="Y558" t="inlineStr">
        <is>
          <t>Pending Appointment</t>
        </is>
      </c>
      <c r="Z558" t="inlineStr">
        <is>
          <t>Hiring Now</t>
        </is>
      </c>
      <c r="AA558">
        <v>0</v>
      </c>
      <c r="AB558" t="inlineStr">
        <is>
          <t>No Appointment Made</t>
        </is>
      </c>
      <c r="AC558"/>
      <c r="AD558" t="inlineStr">
        <is>
          <t>Renewal plan</t>
        </is>
      </c>
      <c r="AE558"/>
      <c r="AF558">
        <v>3672</v>
      </c>
      <c r="AG558" s="4"/>
      <c r="AH558" s="4"/>
      <c r="AI558">
        <v>0</v>
      </c>
      <c r="AJ558">
        <v>1</v>
      </c>
      <c r="AK558" t="inlineStr">
        <is>
          <t>Yes, I have</t>
        </is>
      </c>
      <c r="AL558">
        <v>1</v>
      </c>
      <c r="AM558" t="inlineStr">
        <is>
          <t>No, I don't need at all</t>
        </is>
      </c>
      <c r="AN558"/>
      <c r="AO558" t="inlineStr">
        <is>
          <t>No, I don't need at all</t>
        </is>
      </c>
      <c r="AP558" t="inlineStr">
        <is>
          <t>Every month (100%)</t>
        </is>
      </c>
      <c r="AQ558">
        <v>2</v>
      </c>
      <c r="AR558" t="inlineStr">
        <is>
          <t>Did not use any job portal</t>
        </is>
      </c>
      <c r="AS558" t="inlineStr">
        <is>
          <t>- Headcount: 0
- Hiring Job Details: Renewal plan
- Hiring Urgency: Hiring Now
- Number of outlets: 1
- Have recruiter team: Yes
- Number of recruiter in company: 1
- Have ATS system: No, I don't need at all
- Have career website: No, I don't need at all
- Current hiring budget: RM3,672
- Whole year budget: RM0.00
- Whole year number of vacancies: 2
- Hiring frequency: Every month (100%)
- External job portal: Did not use any job portal</t>
        </is>
      </c>
      <c r="AT558">
        <v>75</v>
      </c>
      <c r="AU558" t="inlineStr">
        <is>
          <t>0.75</t>
        </is>
      </c>
      <c r="AV558" t="inlineStr">
        <is>
          <t>15</t>
        </is>
      </c>
      <c r="AW558" t="inlineStr">
        <is>
          <t>0</t>
        </is>
      </c>
      <c r="AX558" t="inlineStr">
        <is>
          <t>Not Qualified</t>
        </is>
      </c>
      <c r="AY558" s="4"/>
      <c r="AZ558"/>
      <c r="BA558"/>
      <c r="BB558"/>
      <c r="BC558" t="inlineStr">
        <is>
          <t>ask client if they want to proceed with the Flash sales or the ala carte, today last day</t>
        </is>
      </c>
      <c r="BD558" s="4">
        <v>46142.49270833333</v>
      </c>
      <c r="BE558" t="inlineStr">
        <is>
          <t>pending</t>
        </is>
      </c>
      <c r="BF558"/>
      <c r="BG558" t="inlineStr">
        <is>
          <t>Reschedule</t>
        </is>
      </c>
      <c r="BH558" t="inlineStr">
        <is>
          <t>Fauziah Maharan</t>
        </is>
      </c>
      <c r="BI558" t="inlineStr">
        <is>
          <t>Advertising / Marketing</t>
        </is>
      </c>
      <c r="BJ558" s="4">
        <v>46144.75025462963</v>
      </c>
      <c r="BK558" s="4">
        <v>43738.71902777778</v>
      </c>
      <c r="BL558" t="inlineStr">
        <is>
          <t>1296.0</t>
        </is>
      </c>
      <c r="BM558" t="inlineStr">
        <is>
          <t>0.0</t>
        </is>
      </c>
      <c r="BN558" t="inlineStr">
        <is>
          <t>View Company Page</t>
        </is>
      </c>
      <c r="BO558" s="4">
        <v>46139.61357638889</v>
      </c>
      <c r="BP558">
        <v>169047</v>
      </c>
      <c r="BQ558">
        <v>7744</v>
      </c>
      <c r="BR558" t="inlineStr">
        <is>
          <t>Manual</t>
        </is>
      </c>
      <c r="BS558"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558">
        <v>83295</v>
      </c>
      <c r="BU558"/>
      <c r="BV558">
        <v>2737241</v>
      </c>
      <c r="BW558" t="inlineStr">
        <is>
          <t>Follow Up : Decision Pending</t>
        </is>
      </c>
      <c r="BX558"/>
      <c r="BY558"/>
      <c r="BZ558" s="4"/>
      <c r="CA558"/>
      <c r="CB558"/>
      <c r="CC558" s="4"/>
      <c r="CD558" t="inlineStr">
        <is>
          <t>20</t>
        </is>
      </c>
      <c r="CE558" t="inlineStr">
        <is>
          <t>0</t>
        </is>
      </c>
      <c r="CF558" t="inlineStr">
        <is>
          <t>Q2-W04</t>
        </is>
      </c>
      <c r="CG558" t="inlineStr">
        <is>
          <t>Q2-W04</t>
        </is>
      </c>
      <c r="CH558"/>
      <c r="CI558"/>
      <c r="CJ558" t="inlineStr">
        <is>
          <t>Paid</t>
        </is>
      </c>
      <c r="CK558" t="inlineStr">
        <is>
          <t>Eligible</t>
        </is>
      </c>
      <c r="CL558"/>
      <c r="CM558"/>
    </row>
    <row r="559" ht="25.5" customHeight="1">
      <c r="A559" t="inlineStr">
        <is>
          <t>121194</t>
        </is>
      </c>
      <c r="B559" s="2"/>
      <c r="C559"/>
      <c r="D559" s="3">
        <v>46139.631006944444</v>
      </c>
      <c r="E559" t="inlineStr">
        <is>
          <t>Q2-W04</t>
        </is>
      </c>
      <c r="F559" t="inlineStr">
        <is>
          <t>Alan KY</t>
        </is>
      </c>
      <c r="G559" t="inlineStr">
        <is>
          <t>Customer</t>
        </is>
      </c>
      <c r="H559" s="2" t="str">
        <f>=HYPERLINK("https://upbox.ajobthing.my/customer/121194", "https://upbox.ajobthing.my/customer/121194")</f>
        <v>https://upbox.ajobthing.my/customer/121194</v>
      </c>
      <c r="I559" t="inlineStr">
        <is>
          <t>Like Bug Sdn Bhd</t>
        </is>
      </c>
      <c r="J559" t="inlineStr">
        <is>
          <t>Whale</t>
        </is>
      </c>
      <c r="K559" t="inlineStr">
        <is>
          <t>Alan KY</t>
        </is>
      </c>
      <c r="L559" s="4"/>
      <c r="M559" s="4">
        <v>46113.491631944446</v>
      </c>
      <c r="N559"/>
      <c r="O559">
        <v>3672</v>
      </c>
      <c r="P559" s="4"/>
      <c r="Q559" s="4">
        <v>46140.40813657407</v>
      </c>
      <c r="R559"/>
      <c r="S559">
        <v>3672</v>
      </c>
      <c r="T559" s="4">
        <v>46140.40813657407</v>
      </c>
      <c r="U559" s="4"/>
      <c r="V559"/>
      <c r="W559">
        <v>3672</v>
      </c>
      <c r="X559"/>
      <c r="Y559" t="inlineStr">
        <is>
          <t>Pending Appointment</t>
        </is>
      </c>
      <c r="Z559" t="inlineStr">
        <is>
          <t>Hiring Now</t>
        </is>
      </c>
      <c r="AA559">
        <v>1</v>
      </c>
      <c r="AB559" t="inlineStr">
        <is>
          <t>No Appointment Made</t>
        </is>
      </c>
      <c r="AC559"/>
      <c r="AD559" t="inlineStr">
        <is>
          <t xml:space="preserve">hiring </t>
        </is>
      </c>
      <c r="AE559"/>
      <c r="AF559"/>
      <c r="AG559" s="4"/>
      <c r="AH559" s="4"/>
      <c r="AI559"/>
      <c r="AJ559">
        <v>2</v>
      </c>
      <c r="AK559" t="inlineStr">
        <is>
          <t>No, I don't need at all</t>
        </is>
      </c>
      <c r="AL559">
        <v>0</v>
      </c>
      <c r="AM559" t="inlineStr">
        <is>
          <t>No, I don't need at all</t>
        </is>
      </c>
      <c r="AN559"/>
      <c r="AO559" t="inlineStr">
        <is>
          <t>No, I don't need at all</t>
        </is>
      </c>
      <c r="AP559" t="inlineStr">
        <is>
          <t>Once per quarter (75%)</t>
        </is>
      </c>
      <c r="AQ559"/>
      <c r="AR559" t="inlineStr">
        <is>
          <t>Jobstreet</t>
        </is>
      </c>
      <c r="AS559" t="inlineStr">
        <is>
          <t>- Headcount: 1
- Hiring Job Details: hiring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559">
        <v>45</v>
      </c>
      <c r="AU559" t="inlineStr">
        <is>
          <t>0.45</t>
        </is>
      </c>
      <c r="AV559" t="inlineStr">
        <is>
          <t>5</t>
        </is>
      </c>
      <c r="AW559" t="inlineStr">
        <is>
          <t>0</t>
        </is>
      </c>
      <c r="AX559" t="inlineStr">
        <is>
          <t>Not Qualified</t>
        </is>
      </c>
      <c r="AY559" s="4"/>
      <c r="AZ559"/>
      <c r="BA559"/>
      <c r="BB559"/>
      <c r="BC559" t="inlineStr">
        <is>
          <t>Service - Update client on branding info. Advice accordingly</t>
        </is>
      </c>
      <c r="BD559" s="4">
        <v>46141.43914351852</v>
      </c>
      <c r="BE559" t="inlineStr">
        <is>
          <t>paid</t>
        </is>
      </c>
      <c r="BF559" t="inlineStr">
        <is>
          <t>Q2-W04</t>
        </is>
      </c>
      <c r="BG559" t="inlineStr">
        <is>
          <t>Reschedule</t>
        </is>
      </c>
      <c r="BH559" t="inlineStr">
        <is>
          <t>Reagen</t>
        </is>
      </c>
      <c r="BI559" t="inlineStr">
        <is>
          <t>Manufacturing / Production</t>
        </is>
      </c>
      <c r="BJ559" s="4">
        <v>46144.75025462963</v>
      </c>
      <c r="BK559" s="4">
        <v>43703.719456018516</v>
      </c>
      <c r="BL559" t="inlineStr">
        <is>
          <t>3672.0</t>
        </is>
      </c>
      <c r="BM559" t="inlineStr">
        <is>
          <t>3000.0</t>
        </is>
      </c>
      <c r="BN559" t="inlineStr">
        <is>
          <t>PA Visit - Job Card</t>
        </is>
      </c>
      <c r="BO559" s="4">
        <v>46142.69483796296</v>
      </c>
      <c r="BP559">
        <v>164695</v>
      </c>
      <c r="BQ559">
        <v>94859</v>
      </c>
      <c r="BR559" t="inlineStr">
        <is>
          <t>Online</t>
        </is>
      </c>
      <c r="BS559"/>
      <c r="BT559">
        <v>94859</v>
      </c>
      <c r="BU559"/>
      <c r="BV559">
        <v>2734455</v>
      </c>
      <c r="BW559" t="inlineStr">
        <is>
          <t>Service / Technical : Job Outcome Enquiry</t>
        </is>
      </c>
      <c r="BX559">
        <v>6</v>
      </c>
      <c r="BY559">
        <v>4</v>
      </c>
      <c r="BZ559" s="4">
        <v>46142.49122685185</v>
      </c>
      <c r="CA559">
        <v>60</v>
      </c>
      <c r="CB559">
        <v>60</v>
      </c>
      <c r="CC559" s="4"/>
      <c r="CD559" t="inlineStr">
        <is>
          <t>5</t>
        </is>
      </c>
      <c r="CE559" t="inlineStr">
        <is>
          <t>0</t>
        </is>
      </c>
      <c r="CF559" t="inlineStr">
        <is>
          <t>Q1-W13</t>
        </is>
      </c>
      <c r="CG559" t="inlineStr">
        <is>
          <t>Q2-W04</t>
        </is>
      </c>
      <c r="CH559" t="inlineStr">
        <is>
          <t>Q2-W04</t>
        </is>
      </c>
      <c r="CI559"/>
      <c r="CJ559" t="inlineStr">
        <is>
          <t>Paid</t>
        </is>
      </c>
      <c r="CK559" t="inlineStr">
        <is>
          <t>Eligible</t>
        </is>
      </c>
      <c r="CL559"/>
      <c r="CM559"/>
    </row>
    <row r="560" ht="25.5" customHeight="1">
      <c r="A560" t="inlineStr">
        <is>
          <t>203706</t>
        </is>
      </c>
      <c r="B560" s="2"/>
      <c r="C560"/>
      <c r="D560" s="3">
        <v>46139.63238425926</v>
      </c>
      <c r="E560" t="inlineStr">
        <is>
          <t>Q2-W04</t>
        </is>
      </c>
      <c r="F560" t="inlineStr">
        <is>
          <t>Yvonne Lee</t>
        </is>
      </c>
      <c r="G560" t="inlineStr">
        <is>
          <t>Customer</t>
        </is>
      </c>
      <c r="H560" s="2" t="str">
        <f>=HYPERLINK("https://upbox.ajobthing.my/customer/203706", "https://upbox.ajobthing.my/customer/203706")</f>
        <v>https://upbox.ajobthing.my/customer/203706</v>
      </c>
      <c r="I560" t="inlineStr">
        <is>
          <t>Sinppa Industrial Sdn Bhd</t>
        </is>
      </c>
      <c r="J560" t="inlineStr">
        <is>
          <t>Whale</t>
        </is>
      </c>
      <c r="K560" t="inlineStr">
        <is>
          <t>Yvonne</t>
        </is>
      </c>
      <c r="L560" s="4"/>
      <c r="M560" s="4">
        <v>46139.63369212963</v>
      </c>
      <c r="N560"/>
      <c r="O560">
        <v>11448</v>
      </c>
      <c r="P560" s="4"/>
      <c r="Q560" s="4"/>
      <c r="R560"/>
      <c r="S560"/>
      <c r="T560" s="4"/>
      <c r="U560" s="4"/>
      <c r="V560"/>
      <c r="W560"/>
      <c r="X560"/>
      <c r="Y560" t="inlineStr">
        <is>
          <t>Pending Appointment</t>
        </is>
      </c>
      <c r="Z560" t="inlineStr">
        <is>
          <t>Hiring Now</t>
        </is>
      </c>
      <c r="AA560">
        <v>4</v>
      </c>
      <c r="AB560" t="inlineStr">
        <is>
          <t>No Appointment Made</t>
        </is>
      </c>
      <c r="AC560"/>
      <c r="AD560" t="inlineStr">
        <is>
          <t>1) Account costing
2) Account Executive
3) Account Manager
4) Account budgeting</t>
        </is>
      </c>
      <c r="AE560"/>
      <c r="AF560">
        <v>8000</v>
      </c>
      <c r="AG560" s="4"/>
      <c r="AH560" s="4"/>
      <c r="AI560">
        <v>8000</v>
      </c>
      <c r="AJ560">
        <v>1</v>
      </c>
      <c r="AK560" t="inlineStr">
        <is>
          <t>Yes, I have</t>
        </is>
      </c>
      <c r="AL560">
        <v>1</v>
      </c>
      <c r="AM560" t="inlineStr">
        <is>
          <t>No, I don't need at all</t>
        </is>
      </c>
      <c r="AN560"/>
      <c r="AO560" t="inlineStr">
        <is>
          <t>No, I don't need at all</t>
        </is>
      </c>
      <c r="AP560" t="inlineStr">
        <is>
          <t>Once per quarter (75%)</t>
        </is>
      </c>
      <c r="AQ560">
        <v>16</v>
      </c>
      <c r="AR560" t="inlineStr">
        <is>
          <t>Jobstreet</t>
        </is>
      </c>
      <c r="AS560" t="inlineStr">
        <is>
          <t>- Headcount: 4
- Hiring Job Details: 1) Account costing 2) Account Executive 3) Account Manager 4) Account budgeting
- Hiring Urgency: Hiring Now
- Number of outlets: 1
- Have recruiter team: Yes
- Number of recruiter in company: 1
- Have ATS system: No, I don't need at all
- Have career website: No, I don't need at all
- Current hiring budget: RM8,000
- Whole year budget: RM8,000.00
- Whole year number of vacancies: 16
- Hiring frequency: Once per quarter (75%)
- External job portal: Jobstreet</t>
        </is>
      </c>
      <c r="AT560">
        <v>95</v>
      </c>
      <c r="AU560" t="inlineStr">
        <is>
          <t>0.95</t>
        </is>
      </c>
      <c r="AV560" t="inlineStr">
        <is>
          <t>15</t>
        </is>
      </c>
      <c r="AW560" t="inlineStr">
        <is>
          <t>0</t>
        </is>
      </c>
      <c r="AX560" t="inlineStr">
        <is>
          <t>Not Qualified</t>
        </is>
      </c>
      <c r="AY560" s="4"/>
      <c r="AZ560"/>
      <c r="BA560"/>
      <c r="BB560"/>
      <c r="BC560" t="inlineStr">
        <is>
          <t>Decision pending.</t>
        </is>
      </c>
      <c r="BD560" s="4">
        <v>46141.42065972222</v>
      </c>
      <c r="BE560"/>
      <c r="BF560"/>
      <c r="BG560" t="inlineStr">
        <is>
          <t>Reschedule</t>
        </is>
      </c>
      <c r="BH560" t="inlineStr">
        <is>
          <t>andy@ajobthing.com</t>
        </is>
      </c>
      <c r="BI560"/>
      <c r="BJ560" s="4">
        <v>46144.75436342593</v>
      </c>
      <c r="BK560" s="4">
        <v>46139.62236111111</v>
      </c>
      <c r="BL560" t="inlineStr">
        <is>
          <t>0.0</t>
        </is>
      </c>
      <c r="BM560" t="inlineStr">
        <is>
          <t>4800.0</t>
        </is>
      </c>
      <c r="BN560"/>
      <c r="BO560" s="4"/>
      <c r="BP560">
        <v>169053</v>
      </c>
      <c r="BQ560"/>
      <c r="BR560"/>
      <c r="BS560"/>
      <c r="BT560"/>
      <c r="BU560"/>
      <c r="BV560">
        <v>2734297</v>
      </c>
      <c r="BW560" t="inlineStr">
        <is>
          <t>Follow Up : Decision Pending</t>
        </is>
      </c>
      <c r="BX560"/>
      <c r="BY560"/>
      <c r="BZ560" s="4"/>
      <c r="CA560"/>
      <c r="CB560"/>
      <c r="CC560" s="4"/>
      <c r="CD560" t="inlineStr">
        <is>
          <t>20</t>
        </is>
      </c>
      <c r="CE560" t="inlineStr">
        <is>
          <t>0</t>
        </is>
      </c>
      <c r="CF560" t="inlineStr">
        <is>
          <t>Q2-W04</t>
        </is>
      </c>
      <c r="CG560"/>
      <c r="CH560"/>
      <c r="CI560"/>
      <c r="CJ560" t="inlineStr">
        <is>
          <t>No Paid</t>
        </is>
      </c>
      <c r="CK560" t="inlineStr">
        <is>
          <t>Eligible</t>
        </is>
      </c>
      <c r="CL560"/>
      <c r="CM560"/>
    </row>
    <row r="561" ht="25.5" customHeight="1">
      <c r="A561" t="inlineStr">
        <is>
          <t>171830</t>
        </is>
      </c>
      <c r="B561" s="2"/>
      <c r="C561"/>
      <c r="D561" s="3">
        <v>46139.63384259259</v>
      </c>
      <c r="E561" t="inlineStr">
        <is>
          <t>Q2-W04</t>
        </is>
      </c>
      <c r="F561" t="inlineStr">
        <is>
          <t>Ratha</t>
        </is>
      </c>
      <c r="G561" t="inlineStr">
        <is>
          <t>Customer</t>
        </is>
      </c>
      <c r="H561" s="2" t="str">
        <f>=HYPERLINK("https://upbox.ajobthing.my/customer/171830", "https://upbox.ajobthing.my/customer/171830")</f>
        <v>https://upbox.ajobthing.my/customer/171830</v>
      </c>
      <c r="I561" t="inlineStr">
        <is>
          <t>Palmgold Management Sdn Bhd</t>
        </is>
      </c>
      <c r="J561" t="inlineStr">
        <is>
          <t>Whale</t>
        </is>
      </c>
      <c r="K561" t="inlineStr">
        <is>
          <t>Ratha</t>
        </is>
      </c>
      <c r="L561" s="4"/>
      <c r="M561" s="4">
        <v>46139.634560185186</v>
      </c>
      <c r="N561"/>
      <c r="O561">
        <v>11232</v>
      </c>
      <c r="P561" s="4"/>
      <c r="Q561" s="4">
        <v>46139.642962962964</v>
      </c>
      <c r="R561"/>
      <c r="S561">
        <v>5832</v>
      </c>
      <c r="T561" s="4">
        <v>45713.41018518519</v>
      </c>
      <c r="U561" s="4"/>
      <c r="V561"/>
      <c r="W561">
        <v>5734.8</v>
      </c>
      <c r="X561"/>
      <c r="Y561" t="inlineStr">
        <is>
          <t>Pending Appointment</t>
        </is>
      </c>
      <c r="Z561" t="inlineStr">
        <is>
          <t>Continuous Hiring</t>
        </is>
      </c>
      <c r="AA561">
        <v>3</v>
      </c>
      <c r="AB561" t="inlineStr">
        <is>
          <t>No Appointment Made</t>
        </is>
      </c>
      <c r="AC561"/>
      <c r="AD561" t="inlineStr">
        <is>
          <t>HR, Private Chef, Finance
Location : PJ</t>
        </is>
      </c>
      <c r="AE561"/>
      <c r="AF561"/>
      <c r="AG561" s="4"/>
      <c r="AH561" s="4"/>
      <c r="AI561">
        <v>0</v>
      </c>
      <c r="AJ561">
        <v>1</v>
      </c>
      <c r="AK561" t="inlineStr">
        <is>
          <t>Yes, I have</t>
        </is>
      </c>
      <c r="AL561">
        <v>2</v>
      </c>
      <c r="AM561" t="inlineStr">
        <is>
          <t>No, I don't need at all</t>
        </is>
      </c>
      <c r="AN561"/>
      <c r="AO561" t="inlineStr">
        <is>
          <t>No, I don't need at all</t>
        </is>
      </c>
      <c r="AP561" t="inlineStr">
        <is>
          <t>Every month (100%)</t>
        </is>
      </c>
      <c r="AQ561">
        <v>0</v>
      </c>
      <c r="AR561" t="inlineStr">
        <is>
          <t>Jobstreet, Free Job Portal</t>
        </is>
      </c>
      <c r="AS561" t="inlineStr">
        <is>
          <t>- Headcount: 3
- Hiring Job Details: HR, Private Chef, Finance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Jobstreet, Free Job Portal</t>
        </is>
      </c>
      <c r="AT561">
        <v>75</v>
      </c>
      <c r="AU561" t="inlineStr">
        <is>
          <t>0.75</t>
        </is>
      </c>
      <c r="AV561" t="inlineStr">
        <is>
          <t>5</t>
        </is>
      </c>
      <c r="AW561" t="inlineStr">
        <is>
          <t>0</t>
        </is>
      </c>
      <c r="AX561" t="inlineStr">
        <is>
          <t>Not Qualified</t>
        </is>
      </c>
      <c r="AY561" s="4"/>
      <c r="AZ561"/>
      <c r="BA561"/>
      <c r="BB561"/>
      <c r="BC561" t="inlineStr">
        <is>
          <t>- Headcount: 3
- Hiring Job Details: HR, Private Chef, Finance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Jobstreet, Free Job Portal</t>
        </is>
      </c>
      <c r="BD561" s="4">
        <v>46139.6668287037</v>
      </c>
      <c r="BE561" t="inlineStr">
        <is>
          <t>pending</t>
        </is>
      </c>
      <c r="BF561"/>
      <c r="BG561" t="inlineStr">
        <is>
          <t>Reschedule</t>
        </is>
      </c>
      <c r="BH561" t="inlineStr">
        <is>
          <t>Fauziah Maharan</t>
        </is>
      </c>
      <c r="BI561" t="inlineStr">
        <is>
          <t>Business / Mgmt Consulting</t>
        </is>
      </c>
      <c r="BJ561" s="4">
        <v>46144.75144675926</v>
      </c>
      <c r="BK561" s="4">
        <v>45209.50200231482</v>
      </c>
      <c r="BL561" t="inlineStr">
        <is>
          <t>0.0</t>
        </is>
      </c>
      <c r="BM561" t="inlineStr">
        <is>
          <t>6000.0</t>
        </is>
      </c>
      <c r="BN561" t="inlineStr">
        <is>
          <t>View Company Page</t>
        </is>
      </c>
      <c r="BO561" s="4">
        <v>46139.60424768519</v>
      </c>
      <c r="BP561">
        <v>169055</v>
      </c>
      <c r="BQ561">
        <v>123773</v>
      </c>
      <c r="BR561" t="inlineStr">
        <is>
          <t>Proforma</t>
        </is>
      </c>
      <c r="BS561" t="inlineStr">
        <is>
          <t>AI Yearly Professional Plan (Jan 26)</t>
        </is>
      </c>
      <c r="BT561">
        <v>77086</v>
      </c>
      <c r="BU561"/>
      <c r="BV561">
        <v>2730719</v>
      </c>
      <c r="BW561" t="inlineStr">
        <is>
          <t>Customer Inquiry</t>
        </is>
      </c>
      <c r="BX561"/>
      <c r="BY561"/>
      <c r="BZ561" s="4"/>
      <c r="CA561"/>
      <c r="CB561"/>
      <c r="CC561" s="4"/>
      <c r="CD561" t="inlineStr">
        <is>
          <t>5</t>
        </is>
      </c>
      <c r="CE561" t="inlineStr">
        <is>
          <t>0</t>
        </is>
      </c>
      <c r="CF561" t="inlineStr">
        <is>
          <t>Q2-W04</t>
        </is>
      </c>
      <c r="CG561" t="inlineStr">
        <is>
          <t>Q2-W04</t>
        </is>
      </c>
      <c r="CH561"/>
      <c r="CI561"/>
      <c r="CJ561" t="inlineStr">
        <is>
          <t>Paid</t>
        </is>
      </c>
      <c r="CK561" t="inlineStr">
        <is>
          <t>Eligible</t>
        </is>
      </c>
      <c r="CL561"/>
      <c r="CM561"/>
    </row>
    <row r="562" ht="25.5" customHeight="1">
      <c r="A562" t="inlineStr">
        <is>
          <t>121830</t>
        </is>
      </c>
      <c r="B562" s="2"/>
      <c r="C562"/>
      <c r="D562" s="3">
        <v>46139.64162037037</v>
      </c>
      <c r="E562" t="inlineStr">
        <is>
          <t>Q2-W04</t>
        </is>
      </c>
      <c r="F562" t="inlineStr">
        <is>
          <t>Angel  Low</t>
        </is>
      </c>
      <c r="G562" t="inlineStr">
        <is>
          <t>Customer</t>
        </is>
      </c>
      <c r="H562" s="2" t="str">
        <f>=HYPERLINK("https://upbox.ajobthing.my/customer/121830", "https://upbox.ajobthing.my/customer/121830")</f>
        <v>https://upbox.ajobthing.my/customer/121830</v>
      </c>
      <c r="I562" t="inlineStr">
        <is>
          <t>Len Woh (Seremban) Sdn Bhd</t>
        </is>
      </c>
      <c r="J562" t="inlineStr">
        <is>
          <t>Whale</t>
        </is>
      </c>
      <c r="K562" t="inlineStr">
        <is>
          <t>Angel Low</t>
        </is>
      </c>
      <c r="L562" s="4"/>
      <c r="M562" s="4">
        <v>46139.64208333333</v>
      </c>
      <c r="N562"/>
      <c r="O562">
        <v>5832</v>
      </c>
      <c r="P562" s="4"/>
      <c r="Q562" s="4">
        <v>46142.8930787037</v>
      </c>
      <c r="R562"/>
      <c r="S562">
        <v>5832</v>
      </c>
      <c r="T562" s="4">
        <v>46142.8930787037</v>
      </c>
      <c r="U562" s="4"/>
      <c r="V562"/>
      <c r="W562">
        <v>5832</v>
      </c>
      <c r="X562"/>
      <c r="Y562" t="inlineStr">
        <is>
          <t>Pending Appointment</t>
        </is>
      </c>
      <c r="Z562"/>
      <c r="AA562">
        <v>1</v>
      </c>
      <c r="AB562" t="inlineStr">
        <is>
          <t>No Appointment Made</t>
        </is>
      </c>
      <c r="AC562"/>
      <c r="AD562" t="inlineStr">
        <is>
          <t xml:space="preserve">1 sales , mandarin speaker urgent </t>
        </is>
      </c>
      <c r="AE562"/>
      <c r="AF562"/>
      <c r="AG562" s="4"/>
      <c r="AH562" s="4"/>
      <c r="AI562"/>
      <c r="AJ562"/>
      <c r="AK562"/>
      <c r="AL562"/>
      <c r="AM562"/>
      <c r="AN562"/>
      <c r="AO562"/>
      <c r="AP562"/>
      <c r="AQ562"/>
      <c r="AR562"/>
      <c r="AS562" t="inlineStr">
        <is>
          <t>- Headcount: 1
- Hiring Job Details: 1 sales, mandarin speaker urgent
- Hiring Urgency: Not specified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is>
      </c>
      <c r="AT562">
        <v>65</v>
      </c>
      <c r="AU562" t="inlineStr">
        <is>
          <t>0.65</t>
        </is>
      </c>
      <c r="AV562" t="inlineStr">
        <is>
          <t>5</t>
        </is>
      </c>
      <c r="AW562" t="inlineStr">
        <is>
          <t>0</t>
        </is>
      </c>
      <c r="AX562" t="inlineStr">
        <is>
          <t>Not Qualified</t>
        </is>
      </c>
      <c r="AY562" s="4"/>
      <c r="AZ562"/>
      <c r="BA562"/>
      <c r="BB562"/>
      <c r="BC562" t="inlineStr">
        <is>
          <t>confirm pacakge</t>
        </is>
      </c>
      <c r="BD562" s="4">
        <v>46141.72451388889</v>
      </c>
      <c r="BE562" t="inlineStr">
        <is>
          <t>paid</t>
        </is>
      </c>
      <c r="BF562" t="inlineStr">
        <is>
          <t>Q2-W04</t>
        </is>
      </c>
      <c r="BG562" t="inlineStr">
        <is>
          <t>Reschedule</t>
        </is>
      </c>
      <c r="BH562" t="inlineStr">
        <is>
          <t>Fauziah Maharan</t>
        </is>
      </c>
      <c r="BI562" t="inlineStr">
        <is>
          <t>Food / Beverage</t>
        </is>
      </c>
      <c r="BJ562" s="4">
        <v>46144.75025462963</v>
      </c>
      <c r="BK562" s="4">
        <v>43728.7316087963</v>
      </c>
      <c r="BL562" t="inlineStr">
        <is>
          <t>8964.0</t>
        </is>
      </c>
      <c r="BM562" t="inlineStr">
        <is>
          <t>600.0</t>
        </is>
      </c>
      <c r="BN562" t="inlineStr">
        <is>
          <t>View Company Page</t>
        </is>
      </c>
      <c r="BO562" s="4">
        <v>46140.49790509259</v>
      </c>
      <c r="BP562">
        <v>169061</v>
      </c>
      <c r="BQ562">
        <v>95230</v>
      </c>
      <c r="BR562" t="inlineStr">
        <is>
          <t>Online</t>
        </is>
      </c>
      <c r="BS562"/>
      <c r="BT562">
        <v>95230</v>
      </c>
      <c r="BU562"/>
      <c r="BV562">
        <v>2736187</v>
      </c>
      <c r="BW562" t="inlineStr">
        <is>
          <t>Follow Up : Invoice Sent 75%</t>
        </is>
      </c>
      <c r="BX562">
        <v>22</v>
      </c>
      <c r="BY562">
        <v>16</v>
      </c>
      <c r="BZ562" s="4">
        <v>46059.63644675926</v>
      </c>
      <c r="CA562">
        <v>280</v>
      </c>
      <c r="CB562">
        <v>280</v>
      </c>
      <c r="CC562" s="4"/>
      <c r="CD562" t="inlineStr">
        <is>
          <t>5</t>
        </is>
      </c>
      <c r="CE562" t="inlineStr">
        <is>
          <t>0</t>
        </is>
      </c>
      <c r="CF562" t="inlineStr">
        <is>
          <t>Q2-W04</t>
        </is>
      </c>
      <c r="CG562" t="inlineStr">
        <is>
          <t>Q2-W04</t>
        </is>
      </c>
      <c r="CH562" t="inlineStr">
        <is>
          <t>Q2-W04</t>
        </is>
      </c>
      <c r="CI562"/>
      <c r="CJ562" t="inlineStr">
        <is>
          <t>Paid</t>
        </is>
      </c>
      <c r="CK562" t="inlineStr">
        <is>
          <t>Eligible</t>
        </is>
      </c>
      <c r="CL562"/>
      <c r="CM562"/>
    </row>
    <row r="563" ht="25.5" customHeight="1">
      <c r="A563" t="inlineStr">
        <is>
          <t>203661</t>
        </is>
      </c>
      <c r="B563" s="2"/>
      <c r="C563"/>
      <c r="D563" s="3">
        <v>46139.68633101852</v>
      </c>
      <c r="E563" t="inlineStr">
        <is>
          <t>Q2-W04</t>
        </is>
      </c>
      <c r="F563" t="inlineStr">
        <is>
          <t>Alan KY</t>
        </is>
      </c>
      <c r="G563" t="inlineStr">
        <is>
          <t>Customer</t>
        </is>
      </c>
      <c r="H563" s="2" t="str">
        <f>=HYPERLINK("https://upbox.ajobthing.my/customer/203661", "https://upbox.ajobthing.my/customer/203661")</f>
        <v>https://upbox.ajobthing.my/customer/203661</v>
      </c>
      <c r="I563" t="inlineStr">
        <is>
          <t>Z Star Concept</t>
        </is>
      </c>
      <c r="J563" t="inlineStr">
        <is>
          <t>Whale</t>
        </is>
      </c>
      <c r="K563" t="inlineStr">
        <is>
          <t>Alan KY</t>
        </is>
      </c>
      <c r="L563" s="4"/>
      <c r="M563" s="4">
        <v>46139.68133101852</v>
      </c>
      <c r="N563"/>
      <c r="O563">
        <v>5832</v>
      </c>
      <c r="P563" s="4"/>
      <c r="Q563" s="4"/>
      <c r="R563"/>
      <c r="S563"/>
      <c r="T563" s="4"/>
      <c r="U563" s="4"/>
      <c r="V563"/>
      <c r="W563"/>
      <c r="X563"/>
      <c r="Y563" t="inlineStr">
        <is>
          <t>Pending Appointment</t>
        </is>
      </c>
      <c r="Z563" t="inlineStr">
        <is>
          <t>Hiring Now</t>
        </is>
      </c>
      <c r="AA563">
        <v>3</v>
      </c>
      <c r="AB563" t="inlineStr">
        <is>
          <t>No Appointment Made</t>
        </is>
      </c>
      <c r="AC563"/>
      <c r="AD563" t="inlineStr">
        <is>
          <t xml:space="preserve"> - account executive 20 cleaner site supervisor 1 
Based in Johor </t>
        </is>
      </c>
      <c r="AE563"/>
      <c r="AF563"/>
      <c r="AG563" s="4"/>
      <c r="AH563" s="4"/>
      <c r="AI563"/>
      <c r="AJ563">
        <v>2</v>
      </c>
      <c r="AK563" t="inlineStr">
        <is>
          <t>No, I don't need at all</t>
        </is>
      </c>
      <c r="AL563"/>
      <c r="AM563" t="inlineStr">
        <is>
          <t>No, I don't need at all</t>
        </is>
      </c>
      <c r="AN563"/>
      <c r="AO563" t="inlineStr">
        <is>
          <t>No, I don't need at all</t>
        </is>
      </c>
      <c r="AP563" t="inlineStr">
        <is>
          <t>Once per quarter (75%)</t>
        </is>
      </c>
      <c r="AQ563"/>
      <c r="AR563" t="inlineStr">
        <is>
          <t>Jobstreet</t>
        </is>
      </c>
      <c r="AS563" t="inlineStr">
        <is>
          <t>- Headcount: 3
- Hiring Job Details: 2 account executives, 1 cleaner site supervisor; based in Johor
- Hiring Urgency: Hiring Now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563">
        <v>100</v>
      </c>
      <c r="AU563" t="inlineStr">
        <is>
          <t>1.00</t>
        </is>
      </c>
      <c r="AV563" t="inlineStr">
        <is>
          <t>5</t>
        </is>
      </c>
      <c r="AW563" t="inlineStr">
        <is>
          <t>0</t>
        </is>
      </c>
      <c r="AX563" t="inlineStr">
        <is>
          <t>Not Qualified</t>
        </is>
      </c>
      <c r="AY563" s="4"/>
      <c r="AZ563"/>
      <c r="BA563"/>
      <c r="BB563"/>
      <c r="BC563" t="inlineStr">
        <is>
          <t>- Headcount: 3
- Hiring Job Details: 2 account executives, 1 cleaner site supervisor; based in Johor
- Hiring Urgency: Hiring Now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BD563" s="4">
        <v>46139.70836805556</v>
      </c>
      <c r="BE563"/>
      <c r="BF563"/>
      <c r="BG563" t="inlineStr">
        <is>
          <t>Reschedule</t>
        </is>
      </c>
      <c r="BH563" t="inlineStr">
        <is>
          <t>Reagen</t>
        </is>
      </c>
      <c r="BI563"/>
      <c r="BJ563" s="4">
        <v>46144.75436342593</v>
      </c>
      <c r="BK563" s="4">
        <v>46137.43939814815</v>
      </c>
      <c r="BL563" t="inlineStr">
        <is>
          <t>0.0</t>
        </is>
      </c>
      <c r="BM563" t="inlineStr">
        <is>
          <t>0.0</t>
        </is>
      </c>
      <c r="BN563" t="inlineStr">
        <is>
          <t>View Create Job Page V4</t>
        </is>
      </c>
      <c r="BO563" s="4">
        <v>46137.45936342593</v>
      </c>
      <c r="BP563">
        <v>169084</v>
      </c>
      <c r="BQ563"/>
      <c r="BR563"/>
      <c r="BS563"/>
      <c r="BT563"/>
      <c r="BU563"/>
      <c r="BV563">
        <v>2731353</v>
      </c>
      <c r="BW563" t="inlineStr">
        <is>
          <t>Customer Inquiry</t>
        </is>
      </c>
      <c r="BX563"/>
      <c r="BY563"/>
      <c r="BZ563" s="4"/>
      <c r="CA563"/>
      <c r="CB563"/>
      <c r="CC563" s="4"/>
      <c r="CD563" t="inlineStr">
        <is>
          <t>5</t>
        </is>
      </c>
      <c r="CE563" t="inlineStr">
        <is>
          <t>0</t>
        </is>
      </c>
      <c r="CF563" t="inlineStr">
        <is>
          <t>Q2-W04</t>
        </is>
      </c>
      <c r="CG563"/>
      <c r="CH563"/>
      <c r="CI563"/>
      <c r="CJ563" t="inlineStr">
        <is>
          <t>No Paid</t>
        </is>
      </c>
      <c r="CK563" t="inlineStr">
        <is>
          <t>Eligible</t>
        </is>
      </c>
      <c r="CL563"/>
      <c r="CM563"/>
    </row>
    <row r="564" ht="25.5" customHeight="1">
      <c r="A564" t="inlineStr">
        <is>
          <t>169338</t>
        </is>
      </c>
      <c r="B564" s="2"/>
      <c r="C564"/>
      <c r="D564" s="3">
        <v>46139.68746527778</v>
      </c>
      <c r="E564" t="inlineStr">
        <is>
          <t>Q2-W04</t>
        </is>
      </c>
      <c r="F564" t="inlineStr">
        <is>
          <t>andy@ajobthing.com</t>
        </is>
      </c>
      <c r="G564" t="inlineStr">
        <is>
          <t>Customer</t>
        </is>
      </c>
      <c r="H564" s="2" t="str">
        <f>=HYPERLINK("https://upbox.ajobthing.my/customer/169338", "https://upbox.ajobthing.my/customer/169338")</f>
        <v>https://upbox.ajobthing.my/customer/169338</v>
      </c>
      <c r="I564" t="inlineStr">
        <is>
          <t>EB Frozen Food Sdn Bhd</t>
        </is>
      </c>
      <c r="J564" t="inlineStr">
        <is>
          <t>Whale</t>
        </is>
      </c>
      <c r="K564" t="inlineStr">
        <is>
          <t>Andy</t>
        </is>
      </c>
      <c r="L564" s="4"/>
      <c r="M564" s="4">
        <v>46139.68951388889</v>
      </c>
      <c r="N564"/>
      <c r="O564">
        <v>3456</v>
      </c>
      <c r="P564" s="4"/>
      <c r="Q564" s="4">
        <v>46140.474641203706</v>
      </c>
      <c r="R564"/>
      <c r="S564">
        <v>0</v>
      </c>
      <c r="T564" s="4"/>
      <c r="U564" s="4"/>
      <c r="V564"/>
      <c r="W564"/>
      <c r="X564" t="inlineStr">
        <is>
          <t>andy@ajobthing.com</t>
        </is>
      </c>
      <c r="Y564" t="inlineStr">
        <is>
          <t>Done Appointment</t>
        </is>
      </c>
      <c r="Z564" t="inlineStr">
        <is>
          <t>Continuous Hiring</t>
        </is>
      </c>
      <c r="AA564">
        <v>3</v>
      </c>
      <c r="AB564" t="inlineStr">
        <is>
          <t>Appointment Made</t>
        </is>
      </c>
      <c r="AC564" t="inlineStr">
        <is>
          <t>Enterprise (&gt;300 employees)</t>
        </is>
      </c>
      <c r="AD564" t="inlineStr">
        <is>
          <t>Human Resource Manager, Costing Executive , PA director</t>
        </is>
      </c>
      <c r="AE564" t="inlineStr">
        <is>
          <t>HR Manager / Talent Manager</t>
        </is>
      </c>
      <c r="AF564">
        <v>10000</v>
      </c>
      <c r="AG564" s="4">
        <v>46139.666666666664</v>
      </c>
      <c r="AH564" s="4">
        <v>46139.6875</v>
      </c>
      <c r="AI564">
        <v>20000</v>
      </c>
      <c r="AJ564">
        <v>4</v>
      </c>
      <c r="AK564" t="inlineStr">
        <is>
          <t>Yes, I have</t>
        </is>
      </c>
      <c r="AL564">
        <v>4</v>
      </c>
      <c r="AM564" t="inlineStr">
        <is>
          <t>No, I don't need at all</t>
        </is>
      </c>
      <c r="AN564"/>
      <c r="AO564" t="inlineStr">
        <is>
          <t>Yes, I have</t>
        </is>
      </c>
      <c r="AP564" t="inlineStr">
        <is>
          <t>Once per quarter (75%)</t>
        </is>
      </c>
      <c r="AQ564">
        <v>20</v>
      </c>
      <c r="AR564" t="inlineStr">
        <is>
          <t>Jobstreet</t>
        </is>
      </c>
      <c r="AS564" t="inlineStr">
        <is>
          <t>- Headcount: 3
- Hiring Job Details: Human Resource Manager, Costing Executive, PA director
- Hiring Urgency: Continuous Hiring
- Number of outlets: 4
- Have recruiter team: Yes
- Number of recruiter in company: 4
- Have ATS system: No, I don't need at all
- Have career website: Yes
- Current hiring budget: RM10,000
- Whole year budget: RM20,000.00
- Whole year number of vacancies: 20
- Hiring frequency: Once per quarter (75%)
- External job portal: Jobstreet</t>
        </is>
      </c>
      <c r="AT564">
        <v>105</v>
      </c>
      <c r="AU564" t="inlineStr">
        <is>
          <t>1.05</t>
        </is>
      </c>
      <c r="AV564" t="inlineStr">
        <is>
          <t>50</t>
        </is>
      </c>
      <c r="AW564" t="inlineStr">
        <is>
          <t>0.5</t>
        </is>
      </c>
      <c r="AX564" t="inlineStr">
        <is>
          <t>Not Qualified</t>
        </is>
      </c>
      <c r="AY564" s="4">
        <v>46139.69918981481</v>
      </c>
      <c r="AZ564" t="inlineStr">
        <is>
          <t>Base Assistant</t>
        </is>
      </c>
      <c r="BA564"/>
      <c r="BB564"/>
      <c r="BC564" t="inlineStr">
        <is>
          <t>- Headcount: 3
- Hiring Job Details: Human Resource Manager, Costing Executive, PA director
- Hiring Urgency: Continuous Hiring
- Number of outlets: 4
- Have recruiter team: Yes
- Number of recruiter in company: 4
- Have ATS system: No, I don't need at all
- Have career website: Yes
- Current hiring budget: RM10,000
- Whole year budget: RM20,000.00
- Whole year number of vacancies: 20
- Hiring frequency: Once per quarter (75%)
- External job portal: Jobstreet</t>
        </is>
      </c>
      <c r="BD564" s="4">
        <v>46139.70836805556</v>
      </c>
      <c r="BE564" t="inlineStr">
        <is>
          <t>paid</t>
        </is>
      </c>
      <c r="BF564"/>
      <c r="BG564" t="inlineStr">
        <is>
          <t>Reschedule</t>
        </is>
      </c>
      <c r="BH564"/>
      <c r="BI564"/>
      <c r="BJ564" s="4">
        <v>46144.75136574074</v>
      </c>
      <c r="BK564" s="4">
        <v>45126.72690972222</v>
      </c>
      <c r="BL564" t="inlineStr">
        <is>
          <t>0.0</t>
        </is>
      </c>
      <c r="BM564" t="inlineStr">
        <is>
          <t>12600.0</t>
        </is>
      </c>
      <c r="BN564" t="inlineStr">
        <is>
          <t>View Company Page</t>
        </is>
      </c>
      <c r="BO564" s="4">
        <v>46140.73291666667</v>
      </c>
      <c r="BP564">
        <v>169090</v>
      </c>
      <c r="BQ564">
        <v>123850</v>
      </c>
      <c r="BR564" t="inlineStr">
        <is>
          <t>Proforma</t>
        </is>
      </c>
      <c r="BS564" t="inlineStr">
        <is>
          <t>Free Part-Time Job</t>
        </is>
      </c>
      <c r="BT564"/>
      <c r="BU564"/>
      <c r="BV564">
        <v>2731354</v>
      </c>
      <c r="BW564" t="inlineStr">
        <is>
          <t>Customer Inquiry</t>
        </is>
      </c>
      <c r="BX564">
        <v>302</v>
      </c>
      <c r="BY564">
        <v>301</v>
      </c>
      <c r="BZ564" s="4">
        <v>46140.501655092594</v>
      </c>
      <c r="CA564"/>
      <c r="CB564"/>
      <c r="CC564" s="4"/>
      <c r="CD564" t="inlineStr">
        <is>
          <t>70</t>
        </is>
      </c>
      <c r="CE564" t="inlineStr">
        <is>
          <t>0.8</t>
        </is>
      </c>
      <c r="CF564" t="inlineStr">
        <is>
          <t>Q2-W04</t>
        </is>
      </c>
      <c r="CG564" t="inlineStr">
        <is>
          <t>Q2-W04</t>
        </is>
      </c>
      <c r="CH564"/>
      <c r="CI564" t="inlineStr">
        <is>
          <t>Q2-W04</t>
        </is>
      </c>
      <c r="CJ564" t="inlineStr">
        <is>
          <t>No Paid</t>
        </is>
      </c>
      <c r="CK564" t="inlineStr">
        <is>
          <t>Eligible</t>
        </is>
      </c>
      <c r="CL564"/>
      <c r="CM564" t="inlineStr">
        <is>
          <t>Q2-W04</t>
        </is>
      </c>
    </row>
    <row r="565" ht="25.5" customHeight="1">
      <c r="A565" t="inlineStr">
        <is>
          <t>202231</t>
        </is>
      </c>
      <c r="B565" s="2"/>
      <c r="C565"/>
      <c r="D565" s="3">
        <v>46139.725636574076</v>
      </c>
      <c r="E565" t="inlineStr">
        <is>
          <t>Q2-W04</t>
        </is>
      </c>
      <c r="F565" t="inlineStr">
        <is>
          <t>Yvonne Lee</t>
        </is>
      </c>
      <c r="G565" t="inlineStr">
        <is>
          <t>Customer</t>
        </is>
      </c>
      <c r="H565" s="2" t="str">
        <f>=HYPERLINK("https://upbox.ajobthing.my/customer/202231", "https://upbox.ajobthing.my/customer/202231")</f>
        <v>https://upbox.ajobthing.my/customer/202231</v>
      </c>
      <c r="I565" t="inlineStr">
        <is>
          <t>Print Lab Pte Ltd</t>
        </is>
      </c>
      <c r="J565" t="inlineStr">
        <is>
          <t>Whale</t>
        </is>
      </c>
      <c r="K565" t="inlineStr">
        <is>
          <t>Yvonne</t>
        </is>
      </c>
      <c r="L565" s="4"/>
      <c r="M565" s="4">
        <v>46141.42613425926</v>
      </c>
      <c r="N565"/>
      <c r="O565">
        <v>10800</v>
      </c>
      <c r="P565" s="4"/>
      <c r="Q565" s="4">
        <v>46099.510729166665</v>
      </c>
      <c r="R565"/>
      <c r="S565">
        <v>0</v>
      </c>
      <c r="T565" s="4"/>
      <c r="U565" s="4"/>
      <c r="V565"/>
      <c r="W565"/>
      <c r="X565"/>
      <c r="Y565" t="inlineStr">
        <is>
          <t>Pending Appointment</t>
        </is>
      </c>
      <c r="Z565" t="inlineStr">
        <is>
          <t>Hiring Now</t>
        </is>
      </c>
      <c r="AA565">
        <v>2</v>
      </c>
      <c r="AB565" t="inlineStr">
        <is>
          <t>No Appointment Made</t>
        </is>
      </c>
      <c r="AC565"/>
      <c r="AD565" t="inlineStr">
        <is>
          <t>1) Operator
2) Machine Operator</t>
        </is>
      </c>
      <c r="AE565"/>
      <c r="AF565">
        <v>10000</v>
      </c>
      <c r="AG565" s="4"/>
      <c r="AH565" s="4"/>
      <c r="AI565">
        <v>10000</v>
      </c>
      <c r="AJ565">
        <v>2</v>
      </c>
      <c r="AK565" t="inlineStr">
        <is>
          <t>Yes, I have</t>
        </is>
      </c>
      <c r="AL565">
        <v>4</v>
      </c>
      <c r="AM565" t="inlineStr">
        <is>
          <t>No, I don't need at all</t>
        </is>
      </c>
      <c r="AN565"/>
      <c r="AO565" t="inlineStr">
        <is>
          <t>No, but I want in future</t>
        </is>
      </c>
      <c r="AP565" t="inlineStr">
        <is>
          <t>Every month (100%)</t>
        </is>
      </c>
      <c r="AQ565">
        <v>40</v>
      </c>
      <c r="AR565" t="inlineStr">
        <is>
          <t>Jobstreet</t>
        </is>
      </c>
      <c r="AS565" t="inlineStr">
        <is>
          <t>- Headcount: 2
- Hiring Job Details: 1) Operator 2) Machine Operator
- Hiring Urgency: Hiring Now
- Number of outlets: 2
- Have recruiter team: Yes
- Number of recruiter in company: 4
- Have ATS system: No, I don't need at all
- Have career website: No, but I want in future
- Current hiring budget: RM10,000
- Whole year budget: RM10,000.00
- Whole year number of vacancies: 40
- Hiring frequency: Every month (100%)
- External job portal: Jobstreet</t>
        </is>
      </c>
      <c r="AT565">
        <v>115</v>
      </c>
      <c r="AU565" t="inlineStr">
        <is>
          <t>1.15</t>
        </is>
      </c>
      <c r="AV565" t="inlineStr">
        <is>
          <t>15</t>
        </is>
      </c>
      <c r="AW565" t="inlineStr">
        <is>
          <t>0</t>
        </is>
      </c>
      <c r="AX565" t="inlineStr">
        <is>
          <t>Not Qualified</t>
        </is>
      </c>
      <c r="AY565" s="4"/>
      <c r="AZ565"/>
      <c r="BA565"/>
      <c r="BB565"/>
      <c r="BC565" t="inlineStr">
        <is>
          <t>Quotation shared.</t>
        </is>
      </c>
      <c r="BD565" s="4">
        <v>46141.4546875</v>
      </c>
      <c r="BE565" t="inlineStr">
        <is>
          <t>paid</t>
        </is>
      </c>
      <c r="BF565"/>
      <c r="BG565" t="inlineStr">
        <is>
          <t>Reschedule</t>
        </is>
      </c>
      <c r="BH565" t="inlineStr">
        <is>
          <t>andy@ajobthing.com</t>
        </is>
      </c>
      <c r="BI565"/>
      <c r="BJ565" s="4">
        <v>46144.75398148148</v>
      </c>
      <c r="BK565" s="4">
        <v>46099.510416666664</v>
      </c>
      <c r="BL565" t="inlineStr">
        <is>
          <t>0.0</t>
        </is>
      </c>
      <c r="BM565" t="inlineStr">
        <is>
          <t>0.0</t>
        </is>
      </c>
      <c r="BN565" t="inlineStr">
        <is>
          <t>Publish Job</t>
        </is>
      </c>
      <c r="BO565" s="4">
        <v>46107.43329861111</v>
      </c>
      <c r="BP565">
        <v>169411</v>
      </c>
      <c r="BQ565">
        <v>117694</v>
      </c>
      <c r="BR565" t="inlineStr">
        <is>
          <t>Proforma</t>
        </is>
      </c>
      <c r="BS565" t="inlineStr">
        <is>
          <t>Free Singapore Job</t>
        </is>
      </c>
      <c r="BT565"/>
      <c r="BU565"/>
      <c r="BV565">
        <v>2734548</v>
      </c>
      <c r="BW565" t="inlineStr">
        <is>
          <t>Inquire for Hiring Needs : Quotation Sent 50%</t>
        </is>
      </c>
      <c r="BX565"/>
      <c r="BY565"/>
      <c r="BZ565" s="4"/>
      <c r="CA565">
        <v>10</v>
      </c>
      <c r="CB565">
        <v>10</v>
      </c>
      <c r="CC565" s="4"/>
      <c r="CD565" t="inlineStr">
        <is>
          <t>20</t>
        </is>
      </c>
      <c r="CE565" t="inlineStr">
        <is>
          <t>0</t>
        </is>
      </c>
      <c r="CF565" t="inlineStr">
        <is>
          <t>Q2-W04</t>
        </is>
      </c>
      <c r="CG565" t="inlineStr">
        <is>
          <t>Q1-W11</t>
        </is>
      </c>
      <c r="CH565"/>
      <c r="CI565"/>
      <c r="CJ565" t="inlineStr">
        <is>
          <t>No Paid</t>
        </is>
      </c>
      <c r="CK565" t="inlineStr">
        <is>
          <t>Eligible</t>
        </is>
      </c>
      <c r="CL565"/>
      <c r="CM565"/>
    </row>
    <row r="566" ht="25.5" customHeight="1">
      <c r="A566" t="inlineStr">
        <is>
          <t>144519</t>
        </is>
      </c>
      <c r="B566" s="2"/>
      <c r="C566"/>
      <c r="D566" s="3">
        <v>46140.401400462964</v>
      </c>
      <c r="E566" t="inlineStr">
        <is>
          <t>Q2-W04</t>
        </is>
      </c>
      <c r="F566" t="inlineStr">
        <is>
          <t>Yuli</t>
        </is>
      </c>
      <c r="G566" t="inlineStr">
        <is>
          <t>Customer</t>
        </is>
      </c>
      <c r="H566" s="2" t="str">
        <f>=HYPERLINK("https://upbox.ajobthing.my/customer/144519", "https://upbox.ajobthing.my/customer/144519")</f>
        <v>https://upbox.ajobthing.my/customer/144519</v>
      </c>
      <c r="I566" t="inlineStr">
        <is>
          <t>Wintergreen Upholstery Sdn Bhd</t>
        </is>
      </c>
      <c r="J566" t="inlineStr">
        <is>
          <t>Whale</t>
        </is>
      </c>
      <c r="K566" t="inlineStr">
        <is>
          <t>YuLi</t>
        </is>
      </c>
      <c r="L566" s="4"/>
      <c r="M566" s="4">
        <v>46140.404178240744</v>
      </c>
      <c r="N566"/>
      <c r="O566">
        <v>5508</v>
      </c>
      <c r="P566" s="4"/>
      <c r="Q566" s="4">
        <v>45841.613703703704</v>
      </c>
      <c r="R566"/>
      <c r="S566">
        <v>3672</v>
      </c>
      <c r="T566" s="4">
        <v>45841.613703703704</v>
      </c>
      <c r="U566" s="4"/>
      <c r="V566"/>
      <c r="W566">
        <v>3672</v>
      </c>
      <c r="X566"/>
      <c r="Y566" t="inlineStr">
        <is>
          <t>Pending Appointment</t>
        </is>
      </c>
      <c r="Z566" t="inlineStr">
        <is>
          <t>Hiring Now</t>
        </is>
      </c>
      <c r="AA566">
        <v>1</v>
      </c>
      <c r="AB566" t="inlineStr">
        <is>
          <t>No Appointment Made</t>
        </is>
      </c>
      <c r="AC566"/>
      <c r="AD566" t="inlineStr">
        <is>
          <t>1 Admin</t>
        </is>
      </c>
      <c r="AE566"/>
      <c r="AF566"/>
      <c r="AG566" s="4"/>
      <c r="AH566" s="4"/>
      <c r="AI566"/>
      <c r="AJ566"/>
      <c r="AK566"/>
      <c r="AL566"/>
      <c r="AM566"/>
      <c r="AN566"/>
      <c r="AO566"/>
      <c r="AP566"/>
      <c r="AQ566"/>
      <c r="AR566" t="inlineStr">
        <is>
          <t>Jobstreet</t>
        </is>
      </c>
      <c r="AS566" t="inlineStr">
        <is>
          <t>- Headcount: 1
- Hiring Job Details: 1 Admin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is>
      </c>
      <c r="AT566">
        <v>65</v>
      </c>
      <c r="AU566" t="inlineStr">
        <is>
          <t>0.65</t>
        </is>
      </c>
      <c r="AV566" t="inlineStr">
        <is>
          <t>5</t>
        </is>
      </c>
      <c r="AW566" t="inlineStr">
        <is>
          <t>0</t>
        </is>
      </c>
      <c r="AX566" t="inlineStr">
        <is>
          <t>Not Qualified</t>
        </is>
      </c>
      <c r="AY566" s="4"/>
      <c r="AZ566"/>
      <c r="BA566"/>
      <c r="BB566"/>
      <c r="BC566" t="inlineStr">
        <is>
          <t>Reshare quotation to Ms. Kuan</t>
        </is>
      </c>
      <c r="BD566" s="4">
        <v>46142.39261574074</v>
      </c>
      <c r="BE566" t="inlineStr">
        <is>
          <t>paid</t>
        </is>
      </c>
      <c r="BF566"/>
      <c r="BG566" t="inlineStr">
        <is>
          <t>Reschedule</t>
        </is>
      </c>
      <c r="BH566" t="inlineStr">
        <is>
          <t>Fauziah Maharan</t>
        </is>
      </c>
      <c r="BI566" t="inlineStr">
        <is>
          <t>General / Wholesale Trading</t>
        </is>
      </c>
      <c r="BJ566" s="4">
        <v>46144.75074074074</v>
      </c>
      <c r="BK566" s="4">
        <v>44526.56091435185</v>
      </c>
      <c r="BL566" t="inlineStr">
        <is>
          <t>3672.0</t>
        </is>
      </c>
      <c r="BM566" t="inlineStr">
        <is>
          <t>1800.0</t>
        </is>
      </c>
      <c r="BN566" t="inlineStr">
        <is>
          <t>User Visit(Logged In)</t>
        </is>
      </c>
      <c r="BO566" s="4">
        <v>46140.410416666666</v>
      </c>
      <c r="BP566">
        <v>169131</v>
      </c>
      <c r="BQ566">
        <v>80531</v>
      </c>
      <c r="BR566" t="inlineStr">
        <is>
          <t>Online</t>
        </is>
      </c>
      <c r="BS566"/>
      <c r="BT566">
        <v>80531</v>
      </c>
      <c r="BU566"/>
      <c r="BV566">
        <v>2736464</v>
      </c>
      <c r="BW566" t="inlineStr">
        <is>
          <t>Follow Up : Quotation Sent 50%</t>
        </is>
      </c>
      <c r="BX566">
        <v>6</v>
      </c>
      <c r="BY566">
        <v>1</v>
      </c>
      <c r="BZ566" s="4">
        <v>46037.44751157407</v>
      </c>
      <c r="CA566">
        <v>60</v>
      </c>
      <c r="CB566">
        <v>46</v>
      </c>
      <c r="CC566" s="4">
        <v>45987.443506944444</v>
      </c>
      <c r="CD566" t="inlineStr">
        <is>
          <t>5</t>
        </is>
      </c>
      <c r="CE566" t="inlineStr">
        <is>
          <t>0</t>
        </is>
      </c>
      <c r="CF566" t="inlineStr">
        <is>
          <t>Q2-W04</t>
        </is>
      </c>
      <c r="CG566"/>
      <c r="CH566"/>
      <c r="CI566"/>
      <c r="CJ566" t="inlineStr">
        <is>
          <t>Paid</t>
        </is>
      </c>
      <c r="CK566" t="inlineStr">
        <is>
          <t>Eligible</t>
        </is>
      </c>
      <c r="CL566"/>
      <c r="CM566"/>
    </row>
    <row r="567" ht="25.5" customHeight="1">
      <c r="A567" t="inlineStr">
        <is>
          <t>174191</t>
        </is>
      </c>
      <c r="B567" s="2"/>
      <c r="C567"/>
      <c r="D567" s="3">
        <v>46140.4533912037</v>
      </c>
      <c r="E567" t="inlineStr">
        <is>
          <t>Q2-W04</t>
        </is>
      </c>
      <c r="F567" t="inlineStr">
        <is>
          <t>Jess</t>
        </is>
      </c>
      <c r="G567" t="inlineStr">
        <is>
          <t>Customer</t>
        </is>
      </c>
      <c r="H567" s="2" t="str">
        <f>=HYPERLINK("https://upbox.ajobthing.my/customer/174191", "https://upbox.ajobthing.my/customer/174191")</f>
        <v>https://upbox.ajobthing.my/customer/174191</v>
      </c>
      <c r="I567" t="inlineStr">
        <is>
          <t>Global Success Haulage Sdn Bhd</t>
        </is>
      </c>
      <c r="J567" t="inlineStr">
        <is>
          <t>Whale</t>
        </is>
      </c>
      <c r="K567" t="inlineStr">
        <is>
          <t>Jess Lim</t>
        </is>
      </c>
      <c r="L567" s="4"/>
      <c r="M567" s="4">
        <v>46140.45413194445</v>
      </c>
      <c r="N567"/>
      <c r="O567">
        <v>3576.96</v>
      </c>
      <c r="P567" s="4"/>
      <c r="Q567" s="4">
        <v>45586.623240740744</v>
      </c>
      <c r="R567"/>
      <c r="S567">
        <v>2916</v>
      </c>
      <c r="T567" s="4">
        <v>45586.623240740744</v>
      </c>
      <c r="U567" s="4"/>
      <c r="V567"/>
      <c r="W567">
        <v>2916</v>
      </c>
      <c r="X567"/>
      <c r="Y567" t="inlineStr">
        <is>
          <t>Pending Appointment</t>
        </is>
      </c>
      <c r="Z567" t="inlineStr">
        <is>
          <t>Hiring Now</t>
        </is>
      </c>
      <c r="AA567">
        <v>2</v>
      </c>
      <c r="AB567" t="inlineStr">
        <is>
          <t>No Appointment Made</t>
        </is>
      </c>
      <c r="AC567"/>
      <c r="AD567" t="inlineStr">
        <is>
          <t>customer service 2</t>
        </is>
      </c>
      <c r="AE567"/>
      <c r="AF567">
        <v>3600</v>
      </c>
      <c r="AG567" s="4"/>
      <c r="AH567" s="4"/>
      <c r="AI567"/>
      <c r="AJ567">
        <v>1</v>
      </c>
      <c r="AK567" t="inlineStr">
        <is>
          <t>No, I don't need at all</t>
        </is>
      </c>
      <c r="AL567">
        <v>1</v>
      </c>
      <c r="AM567" t="inlineStr">
        <is>
          <t>No, I don't need at all</t>
        </is>
      </c>
      <c r="AN567"/>
      <c r="AO567" t="inlineStr">
        <is>
          <t>No, I don't need at all</t>
        </is>
      </c>
      <c r="AP567" t="inlineStr">
        <is>
          <t>Once a year (25%)</t>
        </is>
      </c>
      <c r="AQ567"/>
      <c r="AR567" t="inlineStr">
        <is>
          <t>Jobstreet</t>
        </is>
      </c>
      <c r="AS567" t="inlineStr">
        <is>
          <t>- Headcount: 2
- Hiring Job Details: customer service 2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is>
      </c>
      <c r="AT567">
        <v>105</v>
      </c>
      <c r="AU567" t="inlineStr">
        <is>
          <t>1.05</t>
        </is>
      </c>
      <c r="AV567" t="inlineStr">
        <is>
          <t>15</t>
        </is>
      </c>
      <c r="AW567" t="inlineStr">
        <is>
          <t>0</t>
        </is>
      </c>
      <c r="AX567" t="inlineStr">
        <is>
          <t>Not Qualified</t>
        </is>
      </c>
      <c r="AY567" s="4"/>
      <c r="AZ567"/>
      <c r="BA567"/>
      <c r="BB567"/>
      <c r="BC567" t="inlineStr">
        <is>
          <t>expired job</t>
        </is>
      </c>
      <c r="BD567" s="4">
        <v>46141.394108796296</v>
      </c>
      <c r="BE567" t="inlineStr">
        <is>
          <t>paid</t>
        </is>
      </c>
      <c r="BF567"/>
      <c r="BG567" t="inlineStr">
        <is>
          <t>Reschedule</t>
        </is>
      </c>
      <c r="BH567" t="inlineStr">
        <is>
          <t>Fauziah Maharan</t>
        </is>
      </c>
      <c r="BI567" t="inlineStr">
        <is>
          <t>Transportation / Logistics</t>
        </is>
      </c>
      <c r="BJ567" s="4">
        <v>46144.751550925925</v>
      </c>
      <c r="BK567" s="4">
        <v>45293.48070601852</v>
      </c>
      <c r="BL567" t="inlineStr">
        <is>
          <t>0.0</t>
        </is>
      </c>
      <c r="BM567" t="inlineStr">
        <is>
          <t>0.0</t>
        </is>
      </c>
      <c r="BN567" t="inlineStr">
        <is>
          <t>View Jobmanager Page</t>
        </is>
      </c>
      <c r="BO567" s="4">
        <v>46141.60664351852</v>
      </c>
      <c r="BP567">
        <v>169155</v>
      </c>
      <c r="BQ567">
        <v>74018</v>
      </c>
      <c r="BR567" t="inlineStr">
        <is>
          <t>Online</t>
        </is>
      </c>
      <c r="BS567"/>
      <c r="BT567">
        <v>74018</v>
      </c>
      <c r="BU567"/>
      <c r="BV567">
        <v>2734096</v>
      </c>
      <c r="BW567" t="inlineStr">
        <is>
          <t>Service / Technical : Job Outcome Enquiry</t>
        </is>
      </c>
      <c r="BX567"/>
      <c r="BY567"/>
      <c r="BZ567" s="4"/>
      <c r="CA567"/>
      <c r="CB567"/>
      <c r="CC567" s="4"/>
      <c r="CD567" t="inlineStr">
        <is>
          <t>20</t>
        </is>
      </c>
      <c r="CE567" t="inlineStr">
        <is>
          <t>0</t>
        </is>
      </c>
      <c r="CF567" t="inlineStr">
        <is>
          <t>Q2-W04</t>
        </is>
      </c>
      <c r="CG567"/>
      <c r="CH567"/>
      <c r="CI567"/>
      <c r="CJ567" t="inlineStr">
        <is>
          <t>Paid</t>
        </is>
      </c>
      <c r="CK567" t="inlineStr">
        <is>
          <t>Eligible</t>
        </is>
      </c>
      <c r="CL567"/>
      <c r="CM567"/>
    </row>
    <row r="568" ht="25.5" customHeight="1">
      <c r="A568" t="inlineStr">
        <is>
          <t>173380</t>
        </is>
      </c>
      <c r="B568" s="2"/>
      <c r="C568"/>
      <c r="D568" s="3">
        <v>46140.456192129626</v>
      </c>
      <c r="E568" t="inlineStr">
        <is>
          <t>Q2-W04</t>
        </is>
      </c>
      <c r="F568" t="inlineStr">
        <is>
          <t>Angel  Low</t>
        </is>
      </c>
      <c r="G568" t="inlineStr">
        <is>
          <t>Customer</t>
        </is>
      </c>
      <c r="H568" s="2" t="str">
        <f>=HYPERLINK("https://upbox.ajobthing.my/customer/173380", "https://upbox.ajobthing.my/customer/173380")</f>
        <v>https://upbox.ajobthing.my/customer/173380</v>
      </c>
      <c r="I568" t="inlineStr">
        <is>
          <t>Pixology Tech Sdn Bhd</t>
        </is>
      </c>
      <c r="J568" t="inlineStr">
        <is>
          <t>Whale</t>
        </is>
      </c>
      <c r="K568" t="inlineStr">
        <is>
          <t>Angel Low</t>
        </is>
      </c>
      <c r="L568" s="4"/>
      <c r="M568" s="4">
        <v>46140.458020833335</v>
      </c>
      <c r="N568"/>
      <c r="O568">
        <v>5508</v>
      </c>
      <c r="P568" s="4"/>
      <c r="Q568" s="4">
        <v>46142.550162037034</v>
      </c>
      <c r="R568"/>
      <c r="S568">
        <v>3672</v>
      </c>
      <c r="T568" s="4">
        <v>46142.550162037034</v>
      </c>
      <c r="U568" s="4"/>
      <c r="V568"/>
      <c r="W568">
        <v>3672</v>
      </c>
      <c r="X568"/>
      <c r="Y568" t="inlineStr">
        <is>
          <t>Pending Appointment</t>
        </is>
      </c>
      <c r="Z568"/>
      <c r="AA568">
        <v>10</v>
      </c>
      <c r="AB568" t="inlineStr">
        <is>
          <t>No Appointment Made</t>
        </is>
      </c>
      <c r="AC568"/>
      <c r="AD568" t="inlineStr">
        <is>
          <t xml:space="preserve">10 sales </t>
        </is>
      </c>
      <c r="AE568"/>
      <c r="AF568"/>
      <c r="AG568" s="4"/>
      <c r="AH568" s="4"/>
      <c r="AI568"/>
      <c r="AJ568"/>
      <c r="AK568"/>
      <c r="AL568"/>
      <c r="AM568"/>
      <c r="AN568"/>
      <c r="AO568"/>
      <c r="AP568"/>
      <c r="AQ568"/>
      <c r="AR568"/>
      <c r="AS568" t="inlineStr">
        <is>
          <t>- Headcount: 10
- Hiring Job Details: 10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568">
        <v>60</v>
      </c>
      <c r="AU568" t="inlineStr">
        <is>
          <t>0.60</t>
        </is>
      </c>
      <c r="AV568" t="inlineStr">
        <is>
          <t>10</t>
        </is>
      </c>
      <c r="AW568" t="inlineStr">
        <is>
          <t>0</t>
        </is>
      </c>
      <c r="AX568" t="inlineStr">
        <is>
          <t>Not Qualified</t>
        </is>
      </c>
      <c r="AY568" s="4"/>
      <c r="AZ568"/>
      <c r="BA568"/>
      <c r="BB568"/>
      <c r="BC568" t="inlineStr">
        <is>
          <t>done payment</t>
        </is>
      </c>
      <c r="BD568" s="4">
        <v>46142.497083333335</v>
      </c>
      <c r="BE568" t="inlineStr">
        <is>
          <t>paid</t>
        </is>
      </c>
      <c r="BF568" t="inlineStr">
        <is>
          <t>Q2-W04</t>
        </is>
      </c>
      <c r="BG568" t="inlineStr">
        <is>
          <t>Reschedule</t>
        </is>
      </c>
      <c r="BH568" t="inlineStr">
        <is>
          <t>Fauziah Maharan</t>
        </is>
      </c>
      <c r="BI568" t="inlineStr">
        <is>
          <t>Electrical / Electronics</t>
        </is>
      </c>
      <c r="BJ568" s="4">
        <v>46144.75150462963</v>
      </c>
      <c r="BK568" s="4">
        <v>45260.45238425926</v>
      </c>
      <c r="BL568" t="inlineStr">
        <is>
          <t>1296.0</t>
        </is>
      </c>
      <c r="BM568" t="inlineStr">
        <is>
          <t>1200.0</t>
        </is>
      </c>
      <c r="BN568" t="inlineStr">
        <is>
          <t>View Company Page</t>
        </is>
      </c>
      <c r="BO568" s="4">
        <v>46136.53666666667</v>
      </c>
      <c r="BP568">
        <v>169158</v>
      </c>
      <c r="BQ568">
        <v>95196</v>
      </c>
      <c r="BR568" t="inlineStr">
        <is>
          <t>Online</t>
        </is>
      </c>
      <c r="BS568"/>
      <c r="BT568">
        <v>95196</v>
      </c>
      <c r="BU568"/>
      <c r="BV568">
        <v>2737266</v>
      </c>
      <c r="BW568" t="inlineStr">
        <is>
          <t>Follow Up : Win - Customer Paid</t>
        </is>
      </c>
      <c r="BX568">
        <v>6</v>
      </c>
      <c r="BY568">
        <v>6</v>
      </c>
      <c r="BZ568" s="4"/>
      <c r="CA568">
        <v>60</v>
      </c>
      <c r="CB568">
        <v>60</v>
      </c>
      <c r="CC568" s="4"/>
      <c r="CD568" t="inlineStr">
        <is>
          <t>15</t>
        </is>
      </c>
      <c r="CE568" t="inlineStr">
        <is>
          <t>0</t>
        </is>
      </c>
      <c r="CF568" t="inlineStr">
        <is>
          <t>Q2-W04</t>
        </is>
      </c>
      <c r="CG568" t="inlineStr">
        <is>
          <t>Q2-W04</t>
        </is>
      </c>
      <c r="CH568" t="inlineStr">
        <is>
          <t>Q2-W04</t>
        </is>
      </c>
      <c r="CI568"/>
      <c r="CJ568" t="inlineStr">
        <is>
          <t>Paid</t>
        </is>
      </c>
      <c r="CK568" t="inlineStr">
        <is>
          <t>Eligible</t>
        </is>
      </c>
      <c r="CL568"/>
      <c r="CM568"/>
    </row>
    <row r="569" ht="25.5" customHeight="1">
      <c r="A569" t="inlineStr">
        <is>
          <t>151245</t>
        </is>
      </c>
      <c r="B569" s="2"/>
      <c r="C569"/>
      <c r="D569" s="3">
        <v>46140.46303240741</v>
      </c>
      <c r="E569" t="inlineStr">
        <is>
          <t>Q2-W04</t>
        </is>
      </c>
      <c r="F569" t="inlineStr">
        <is>
          <t>Yuli</t>
        </is>
      </c>
      <c r="G569" t="inlineStr">
        <is>
          <t>Customer</t>
        </is>
      </c>
      <c r="H569" s="2" t="str">
        <f>=HYPERLINK("https://upbox.ajobthing.my/customer/151245", "https://upbox.ajobthing.my/customer/151245")</f>
        <v>https://upbox.ajobthing.my/customer/151245</v>
      </c>
      <c r="I569" t="inlineStr">
        <is>
          <t>Yelaoshr Education Group Sdn. Bhd.</t>
        </is>
      </c>
      <c r="J569" t="inlineStr">
        <is>
          <t>Whale</t>
        </is>
      </c>
      <c r="K569" t="inlineStr">
        <is>
          <t>YuLi</t>
        </is>
      </c>
      <c r="L569" s="4"/>
      <c r="M569" s="4">
        <v>46140.46399305556</v>
      </c>
      <c r="N569"/>
      <c r="O569">
        <v>10381</v>
      </c>
      <c r="P569" s="4"/>
      <c r="Q569" s="4">
        <v>46120.6887037037</v>
      </c>
      <c r="R569"/>
      <c r="S569">
        <v>0</v>
      </c>
      <c r="T569" s="4">
        <v>46092.60800925926</v>
      </c>
      <c r="U569" s="4"/>
      <c r="V569"/>
      <c r="W569">
        <v>5076</v>
      </c>
      <c r="X569"/>
      <c r="Y569" t="inlineStr">
        <is>
          <t>Pending Appointment</t>
        </is>
      </c>
      <c r="Z569" t="inlineStr">
        <is>
          <t>Hiring Now</t>
        </is>
      </c>
      <c r="AA569">
        <v>2</v>
      </c>
      <c r="AB569" t="inlineStr">
        <is>
          <t>No Appointment Made</t>
        </is>
      </c>
      <c r="AC569"/>
      <c r="AD569" t="inlineStr">
        <is>
          <t>Franchise Businesss Development Executive
Reading programmer teacher</t>
        </is>
      </c>
      <c r="AE569"/>
      <c r="AF569">
        <v>4212</v>
      </c>
      <c r="AG569" s="4"/>
      <c r="AH569" s="4"/>
      <c r="AI569"/>
      <c r="AJ569"/>
      <c r="AK569"/>
      <c r="AL569"/>
      <c r="AM569"/>
      <c r="AN569"/>
      <c r="AO569"/>
      <c r="AP569"/>
      <c r="AQ569"/>
      <c r="AR569" t="inlineStr">
        <is>
          <t>Free Job Portal</t>
        </is>
      </c>
      <c r="AS569" t="inlineStr">
        <is>
          <t>- Headcount: 2
- Hiring Job Details: Franchise Business Development Executive, Reading programmer teacher
- Number of outlets: Not available
- Have recruiter team: Not available
- Number of recruiter in company: Not available
- Have ATS system: Not available
- Have career website: Not available
- Current hiring budget: RM4,212.00
- Whole year budget: Not available
- Whole year number of vacancies: Not available
- Hiring frequency: Not available
- External job portal: Free Job Portal
- Hiring Urgency: Hiring Now</t>
        </is>
      </c>
      <c r="AT569">
        <v>65</v>
      </c>
      <c r="AU569" t="inlineStr">
        <is>
          <t>0.65</t>
        </is>
      </c>
      <c r="AV569" t="inlineStr">
        <is>
          <t>15</t>
        </is>
      </c>
      <c r="AW569" t="inlineStr">
        <is>
          <t>0</t>
        </is>
      </c>
      <c r="AX569" t="inlineStr">
        <is>
          <t>Not Qualified</t>
        </is>
      </c>
      <c r="AY569" s="4"/>
      <c r="AZ569"/>
      <c r="BA569"/>
      <c r="BB569"/>
      <c r="BC569" t="inlineStr">
        <is>
          <t>- Headcount: 2
- Hiring Job Details: Franchise Business Development Executive, Reading programmer teacher
- Number of outlets: Not available
- Have recruiter team: Not available
- Number of recruiter in company: Not available
- Have ATS system: Not available
- Have career website: Not available
- Current hiring budget: RM4,212.00
- Whole year budget: Not available
- Whole year number of vacancies: Not available
- Hiring frequency: Not available
- External job portal: Free Job Portal
- Hiring Urgency: Hiring Now</t>
        </is>
      </c>
      <c r="BD569" s="4">
        <v>46140.50001157408</v>
      </c>
      <c r="BE569" t="inlineStr">
        <is>
          <t>paid</t>
        </is>
      </c>
      <c r="BF569" t="inlineStr">
        <is>
          <t>Q1-W10</t>
        </is>
      </c>
      <c r="BG569" t="inlineStr">
        <is>
          <t>Reschedule</t>
        </is>
      </c>
      <c r="BH569" t="inlineStr">
        <is>
          <t>Fauziah Maharan</t>
        </is>
      </c>
      <c r="BI569" t="inlineStr">
        <is>
          <t>Education / Training</t>
        </is>
      </c>
      <c r="BJ569" s="4">
        <v>46144.75087962963</v>
      </c>
      <c r="BK569" s="4">
        <v>44649.62163194444</v>
      </c>
      <c r="BL569" t="inlineStr">
        <is>
          <t>5076.0</t>
        </is>
      </c>
      <c r="BM569" t="inlineStr">
        <is>
          <t>0.0</t>
        </is>
      </c>
      <c r="BN569" t="inlineStr">
        <is>
          <t>View Company Page</t>
        </is>
      </c>
      <c r="BO569" s="4">
        <v>46142.40472222222</v>
      </c>
      <c r="BP569">
        <v>169167</v>
      </c>
      <c r="BQ569">
        <v>121066</v>
      </c>
      <c r="BR569" t="inlineStr">
        <is>
          <t>Proforma</t>
        </is>
      </c>
      <c r="BS569" t="inlineStr">
        <is>
          <t>Free Part-Time Job</t>
        </is>
      </c>
      <c r="BT569">
        <v>7408</v>
      </c>
      <c r="BU569"/>
      <c r="BV569">
        <v>2732302</v>
      </c>
      <c r="BW569" t="inlineStr">
        <is>
          <t>Customer Inquiry</t>
        </is>
      </c>
      <c r="BX569">
        <v>8</v>
      </c>
      <c r="BY569">
        <v>0</v>
      </c>
      <c r="BZ569" s="4">
        <v>46140.4552662037</v>
      </c>
      <c r="CA569">
        <v>70</v>
      </c>
      <c r="CB569">
        <v>64</v>
      </c>
      <c r="CC569" s="4">
        <v>46095.645902777775</v>
      </c>
      <c r="CD569" t="inlineStr">
        <is>
          <t>20</t>
        </is>
      </c>
      <c r="CE569" t="inlineStr">
        <is>
          <t>0</t>
        </is>
      </c>
      <c r="CF569" t="inlineStr">
        <is>
          <t>Q2-W04</t>
        </is>
      </c>
      <c r="CG569" t="inlineStr">
        <is>
          <t>Q2-W01</t>
        </is>
      </c>
      <c r="CH569" t="inlineStr">
        <is>
          <t>Q1-W10</t>
        </is>
      </c>
      <c r="CI569"/>
      <c r="CJ569" t="inlineStr">
        <is>
          <t>Paid</t>
        </is>
      </c>
      <c r="CK569" t="inlineStr">
        <is>
          <t>Eligible</t>
        </is>
      </c>
      <c r="CL569"/>
      <c r="CM569"/>
    </row>
    <row r="570" ht="25.5" customHeight="1">
      <c r="A570" t="inlineStr">
        <is>
          <t>179196</t>
        </is>
      </c>
      <c r="B570" s="2"/>
      <c r="C570"/>
      <c r="D570" s="3">
        <v>46140.46309027778</v>
      </c>
      <c r="E570" t="inlineStr">
        <is>
          <t>Q2-W04</t>
        </is>
      </c>
      <c r="F570" t="inlineStr">
        <is>
          <t>Ken Yi</t>
        </is>
      </c>
      <c r="G570" t="inlineStr">
        <is>
          <t>Customer</t>
        </is>
      </c>
      <c r="H570" s="2" t="str">
        <f>=HYPERLINK("https://upbox.ajobthing.my/customer/179196", "https://upbox.ajobthing.my/customer/179196")</f>
        <v>https://upbox.ajobthing.my/customer/179196</v>
      </c>
      <c r="I570" t="inlineStr">
        <is>
          <t>PM Advisory Group Sdn Bhd</t>
        </is>
      </c>
      <c r="J570" t="inlineStr">
        <is>
          <t>Whale</t>
        </is>
      </c>
      <c r="K570" t="inlineStr">
        <is>
          <t>Kenyi</t>
        </is>
      </c>
      <c r="L570" s="4"/>
      <c r="M570" s="4">
        <v>46140.4609837963</v>
      </c>
      <c r="N570"/>
      <c r="O570">
        <v>10381</v>
      </c>
      <c r="P570" s="4"/>
      <c r="Q570" s="4">
        <v>45520.463217592594</v>
      </c>
      <c r="R570"/>
      <c r="S570">
        <v>540</v>
      </c>
      <c r="T570" s="4">
        <v>45520.463217592594</v>
      </c>
      <c r="U570" s="4"/>
      <c r="V570"/>
      <c r="W570">
        <v>540</v>
      </c>
      <c r="X570"/>
      <c r="Y570" t="inlineStr">
        <is>
          <t>Pending Appointment</t>
        </is>
      </c>
      <c r="Z570" t="inlineStr">
        <is>
          <t>Hiring Now</t>
        </is>
      </c>
      <c r="AA570">
        <v>1</v>
      </c>
      <c r="AB570" t="inlineStr">
        <is>
          <t>No Appointment Made</t>
        </is>
      </c>
      <c r="AC570"/>
      <c r="AD570" t="inlineStr">
        <is>
          <t>Flash Sales</t>
        </is>
      </c>
      <c r="AE570"/>
      <c r="AF570">
        <v>0</v>
      </c>
      <c r="AG570" s="4"/>
      <c r="AH570" s="4"/>
      <c r="AI570">
        <v>0</v>
      </c>
      <c r="AJ570">
        <v>1</v>
      </c>
      <c r="AK570" t="inlineStr">
        <is>
          <t>No, I don't need at all</t>
        </is>
      </c>
      <c r="AL570">
        <v>0</v>
      </c>
      <c r="AM570" t="inlineStr">
        <is>
          <t>No, I don't need at all</t>
        </is>
      </c>
      <c r="AN570"/>
      <c r="AO570" t="inlineStr">
        <is>
          <t>No, I don't need at all</t>
        </is>
      </c>
      <c r="AP570" t="inlineStr">
        <is>
          <t>Every month (100%)</t>
        </is>
      </c>
      <c r="AQ570">
        <v>1</v>
      </c>
      <c r="AR570" t="inlineStr">
        <is>
          <t>Did not use any job portal</t>
        </is>
      </c>
      <c r="AS570" t="inlineStr">
        <is>
          <t>- Headcount: 1
- Hiring Job Details: Flash Sales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Did not use any job portal</t>
        </is>
      </c>
      <c r="AT570">
        <v>110</v>
      </c>
      <c r="AU570" t="inlineStr">
        <is>
          <t>1.10</t>
        </is>
      </c>
      <c r="AV570" t="inlineStr">
        <is>
          <t>15</t>
        </is>
      </c>
      <c r="AW570" t="inlineStr">
        <is>
          <t>0</t>
        </is>
      </c>
      <c r="AX570" t="inlineStr">
        <is>
          <t>Not Qualified</t>
        </is>
      </c>
      <c r="AY570" s="4"/>
      <c r="AZ570"/>
      <c r="BA570"/>
      <c r="BB570"/>
      <c r="BC570" t="inlineStr">
        <is>
          <t>Follow up with the client about the job posting.</t>
        </is>
      </c>
      <c r="BD570" s="4">
        <v>46141.49912037037</v>
      </c>
      <c r="BE570" t="inlineStr">
        <is>
          <t>paid</t>
        </is>
      </c>
      <c r="BF570"/>
      <c r="BG570" t="inlineStr">
        <is>
          <t>Reschedule</t>
        </is>
      </c>
      <c r="BH570" t="inlineStr">
        <is>
          <t>Fauziah Maharan</t>
        </is>
      </c>
      <c r="BI570" t="inlineStr">
        <is>
          <t>Insurance</t>
        </is>
      </c>
      <c r="BJ570" s="4">
        <v>46144.75178240741</v>
      </c>
      <c r="BK570" s="4">
        <v>45450.40917824074</v>
      </c>
      <c r="BL570" t="inlineStr">
        <is>
          <t>0.0</t>
        </is>
      </c>
      <c r="BM570" t="inlineStr">
        <is>
          <t>0.0</t>
        </is>
      </c>
      <c r="BN570" t="inlineStr">
        <is>
          <t>View Jobmanager Page</t>
        </is>
      </c>
      <c r="BO570" s="4">
        <v>45812.53357638889</v>
      </c>
      <c r="BP570">
        <v>169163</v>
      </c>
      <c r="BQ570">
        <v>72130</v>
      </c>
      <c r="BR570" t="inlineStr">
        <is>
          <t>Online</t>
        </is>
      </c>
      <c r="BS570"/>
      <c r="BT570">
        <v>72130</v>
      </c>
      <c r="BU570"/>
      <c r="BV570">
        <v>2734855</v>
      </c>
      <c r="BW570" t="inlineStr">
        <is>
          <t>Follow Up : Decision Pending</t>
        </is>
      </c>
      <c r="BX570"/>
      <c r="BY570"/>
      <c r="BZ570" s="4"/>
      <c r="CA570"/>
      <c r="CB570"/>
      <c r="CC570" s="4"/>
      <c r="CD570" t="inlineStr">
        <is>
          <t>20</t>
        </is>
      </c>
      <c r="CE570" t="inlineStr">
        <is>
          <t>0</t>
        </is>
      </c>
      <c r="CF570" t="inlineStr">
        <is>
          <t>Q2-W04</t>
        </is>
      </c>
      <c r="CG570"/>
      <c r="CH570"/>
      <c r="CI570"/>
      <c r="CJ570" t="inlineStr">
        <is>
          <t>Paid</t>
        </is>
      </c>
      <c r="CK570" t="inlineStr">
        <is>
          <t>Eligible</t>
        </is>
      </c>
      <c r="CL570"/>
      <c r="CM570"/>
    </row>
    <row r="571" ht="25.5" customHeight="1">
      <c r="A571" t="inlineStr">
        <is>
          <t>203277</t>
        </is>
      </c>
      <c r="B571" s="2"/>
      <c r="C571"/>
      <c r="D571" s="3">
        <v>46140.46921296296</v>
      </c>
      <c r="E571" t="inlineStr">
        <is>
          <t>Q2-W04</t>
        </is>
      </c>
      <c r="F571" t="inlineStr">
        <is>
          <t>Yuli</t>
        </is>
      </c>
      <c r="G571" t="inlineStr">
        <is>
          <t>Customer</t>
        </is>
      </c>
      <c r="H571" s="2" t="str">
        <f>=HYPERLINK("https://upbox.ajobthing.my/customer/203277", "https://upbox.ajobthing.my/customer/203277")</f>
        <v>https://upbox.ajobthing.my/customer/203277</v>
      </c>
      <c r="I571" t="inlineStr">
        <is>
          <t>Amelia Resources (m) Sdn. Bhd.</t>
        </is>
      </c>
      <c r="J571" t="inlineStr">
        <is>
          <t>Whale</t>
        </is>
      </c>
      <c r="K571" t="inlineStr">
        <is>
          <t>YuLi</t>
        </is>
      </c>
      <c r="L571" s="4"/>
      <c r="M571" s="4">
        <v>46140.46965277778</v>
      </c>
      <c r="N571"/>
      <c r="O571">
        <v>5412.96</v>
      </c>
      <c r="P571" s="4"/>
      <c r="Q571" s="4">
        <v>46140.456296296295</v>
      </c>
      <c r="R571"/>
      <c r="S571">
        <v>0</v>
      </c>
      <c r="T571" s="4"/>
      <c r="U571" s="4"/>
      <c r="V571"/>
      <c r="W571"/>
      <c r="X571"/>
      <c r="Y571" t="inlineStr">
        <is>
          <t>Pending Appointment</t>
        </is>
      </c>
      <c r="Z571" t="inlineStr">
        <is>
          <t>Hiring Now</t>
        </is>
      </c>
      <c r="AA571">
        <v>1</v>
      </c>
      <c r="AB571" t="inlineStr">
        <is>
          <t>No Appointment Made</t>
        </is>
      </c>
      <c r="AC571"/>
      <c r="AD571" t="inlineStr">
        <is>
          <t>1 Gold Sales Consultant</t>
        </is>
      </c>
      <c r="AE571"/>
      <c r="AF571"/>
      <c r="AG571" s="4"/>
      <c r="AH571" s="4"/>
      <c r="AI571"/>
      <c r="AJ571"/>
      <c r="AK571"/>
      <c r="AL571"/>
      <c r="AM571"/>
      <c r="AN571"/>
      <c r="AO571"/>
      <c r="AP571"/>
      <c r="AQ571"/>
      <c r="AR571" t="inlineStr">
        <is>
          <t>Free Job Portal</t>
        </is>
      </c>
      <c r="AS571" t="inlineStr">
        <is>
          <t>- Headcount: 1
- Hiring Job Details: 1 Gold Sales Consultant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Free Job Portal</t>
        </is>
      </c>
      <c r="AT571">
        <v>85</v>
      </c>
      <c r="AU571" t="inlineStr">
        <is>
          <t>0.85</t>
        </is>
      </c>
      <c r="AV571" t="inlineStr">
        <is>
          <t>5</t>
        </is>
      </c>
      <c r="AW571" t="inlineStr">
        <is>
          <t>0</t>
        </is>
      </c>
      <c r="AX571" t="inlineStr">
        <is>
          <t>Not Qualified</t>
        </is>
      </c>
      <c r="AY571" s="4"/>
      <c r="AZ571"/>
      <c r="BA571"/>
      <c r="BB571"/>
      <c r="BC571" t="inlineStr">
        <is>
          <t>quotation shared</t>
        </is>
      </c>
      <c r="BD571" s="4">
        <v>46141.42207175926</v>
      </c>
      <c r="BE571" t="inlineStr">
        <is>
          <t>paid</t>
        </is>
      </c>
      <c r="BF571"/>
      <c r="BG571" t="inlineStr">
        <is>
          <t>Reschedule</t>
        </is>
      </c>
      <c r="BH571" t="inlineStr">
        <is>
          <t>Fauziah Maharan</t>
        </is>
      </c>
      <c r="BI571"/>
      <c r="BJ571" s="4">
        <v>46144.75425925926</v>
      </c>
      <c r="BK571" s="4">
        <v>46127.68719907408</v>
      </c>
      <c r="BL571" t="inlineStr">
        <is>
          <t>0.0</t>
        </is>
      </c>
      <c r="BM571" t="inlineStr">
        <is>
          <t>10800.0</t>
        </is>
      </c>
      <c r="BN571" t="inlineStr">
        <is>
          <t>View Company Page</t>
        </is>
      </c>
      <c r="BO571" s="4">
        <v>46140.45961805555</v>
      </c>
      <c r="BP571">
        <v>169171</v>
      </c>
      <c r="BQ571">
        <v>123841</v>
      </c>
      <c r="BR571" t="inlineStr">
        <is>
          <t>Proforma</t>
        </is>
      </c>
      <c r="BS571" t="inlineStr">
        <is>
          <t>Free Internship Job</t>
        </is>
      </c>
      <c r="BT571"/>
      <c r="BU571"/>
      <c r="BV571">
        <v>2734304</v>
      </c>
      <c r="BW571" t="inlineStr">
        <is>
          <t>Customer Inquiry</t>
        </is>
      </c>
      <c r="BX571">
        <v>1</v>
      </c>
      <c r="BY571">
        <v>1</v>
      </c>
      <c r="BZ571" s="4"/>
      <c r="CA571"/>
      <c r="CB571"/>
      <c r="CC571" s="4"/>
      <c r="CD571" t="inlineStr">
        <is>
          <t>5</t>
        </is>
      </c>
      <c r="CE571" t="inlineStr">
        <is>
          <t>0</t>
        </is>
      </c>
      <c r="CF571" t="inlineStr">
        <is>
          <t>Q2-W04</t>
        </is>
      </c>
      <c r="CG571" t="inlineStr">
        <is>
          <t>Q2-W04</t>
        </is>
      </c>
      <c r="CH571"/>
      <c r="CI571"/>
      <c r="CJ571" t="inlineStr">
        <is>
          <t>No Paid</t>
        </is>
      </c>
      <c r="CK571" t="inlineStr">
        <is>
          <t>Eligible</t>
        </is>
      </c>
      <c r="CL571"/>
      <c r="CM571"/>
    </row>
    <row r="572" ht="25.5" customHeight="1">
      <c r="A572" t="inlineStr">
        <is>
          <t>131608</t>
        </is>
      </c>
      <c r="B572" s="2"/>
      <c r="C572"/>
      <c r="D572" s="3">
        <v>46140.48231481481</v>
      </c>
      <c r="E572" t="inlineStr">
        <is>
          <t>Q2-W04</t>
        </is>
      </c>
      <c r="F572" t="inlineStr">
        <is>
          <t>Ratha</t>
        </is>
      </c>
      <c r="G572" t="inlineStr">
        <is>
          <t>Customer</t>
        </is>
      </c>
      <c r="H572" s="2" t="str">
        <f>=HYPERLINK("https://upbox.ajobthing.my/customer/131608", "https://upbox.ajobthing.my/customer/131608")</f>
        <v>https://upbox.ajobthing.my/customer/131608</v>
      </c>
      <c r="I572" t="inlineStr">
        <is>
          <t>Live Gadget Sdn Bhd</t>
        </is>
      </c>
      <c r="J572" t="inlineStr">
        <is>
          <t>Whale</t>
        </is>
      </c>
      <c r="K572" t="inlineStr">
        <is>
          <t>Ratha</t>
        </is>
      </c>
      <c r="L572" s="4"/>
      <c r="M572" s="4">
        <v>46140.48395833333</v>
      </c>
      <c r="N572"/>
      <c r="O572">
        <v>5832</v>
      </c>
      <c r="P572" s="4"/>
      <c r="Q572" s="4">
        <v>46142.77777777778</v>
      </c>
      <c r="R572"/>
      <c r="S572">
        <v>864</v>
      </c>
      <c r="T572" s="4">
        <v>46142.77777777778</v>
      </c>
      <c r="U572" s="4"/>
      <c r="V572"/>
      <c r="W572">
        <v>864</v>
      </c>
      <c r="X572"/>
      <c r="Y572" t="inlineStr">
        <is>
          <t>Pending Appointment</t>
        </is>
      </c>
      <c r="Z572" t="inlineStr">
        <is>
          <t>Continuous Hiring</t>
        </is>
      </c>
      <c r="AA572">
        <v>1</v>
      </c>
      <c r="AB572" t="inlineStr">
        <is>
          <t>No Appointment Made</t>
        </is>
      </c>
      <c r="AC572"/>
      <c r="AD572" t="inlineStr">
        <is>
          <t>Sales - on going
Location : KL</t>
        </is>
      </c>
      <c r="AE572"/>
      <c r="AF572"/>
      <c r="AG572" s="4"/>
      <c r="AH572" s="4"/>
      <c r="AI572">
        <v>0</v>
      </c>
      <c r="AJ572">
        <v>1</v>
      </c>
      <c r="AK572" t="inlineStr">
        <is>
          <t>Yes, I have</t>
        </is>
      </c>
      <c r="AL572">
        <v>2</v>
      </c>
      <c r="AM572" t="inlineStr">
        <is>
          <t>No, I don't need at all</t>
        </is>
      </c>
      <c r="AN572"/>
      <c r="AO572" t="inlineStr">
        <is>
          <t>No, I don't need at all</t>
        </is>
      </c>
      <c r="AP572" t="inlineStr">
        <is>
          <t>Every month (100%)</t>
        </is>
      </c>
      <c r="AQ572">
        <v>0</v>
      </c>
      <c r="AR572" t="inlineStr">
        <is>
          <t>Did not use any job portal</t>
        </is>
      </c>
      <c r="AS572" t="inlineStr">
        <is>
          <t>- Headcount: 1
- Hiring Job Details: Sales - on going, Location: KL
- Hiring Urgency: Continuous Hiring
- Number of outlets: 1
- Have recruiter team: Yes
- Number of recruiter in company: 2
- Have ATS system: No, I don't need at all
- Have career website: No, I don't need at all
- Current hiring budget: No data
- Whole year budget: RM0.00
- Whole year number of vacancies: 0
- Hiring frequency: Every month (100%)
- External job portal: Did not use any job portal</t>
        </is>
      </c>
      <c r="AT572">
        <v>75</v>
      </c>
      <c r="AU572" t="inlineStr">
        <is>
          <t>0.75</t>
        </is>
      </c>
      <c r="AV572" t="inlineStr">
        <is>
          <t>5</t>
        </is>
      </c>
      <c r="AW572" t="inlineStr">
        <is>
          <t>0</t>
        </is>
      </c>
      <c r="AX572" t="inlineStr">
        <is>
          <t>Not Qualified</t>
        </is>
      </c>
      <c r="AY572" s="4"/>
      <c r="AZ572"/>
      <c r="BA572"/>
      <c r="BB572"/>
      <c r="BC572" t="inlineStr">
        <is>
          <t>- Headcount: 1
- Hiring Job Details: Sales - on going, Location: KL
- Hiring Urgency: Continuous Hiring
- Number of outlets: 1
- Have recruiter team: Yes
- Number of recruiter in company: 2
- Have ATS system: No, I don't need at all
- Have career website: No, I don't need at all
- Current hiring budget: No data
- Whole year budget: RM0.00
- Whole year number of vacancies: 0
- Hiring frequency: Every month (100%)
- External job portal: Did not use any job portal</t>
        </is>
      </c>
      <c r="BD572" s="4">
        <v>46140.500023148146</v>
      </c>
      <c r="BE572" t="inlineStr">
        <is>
          <t>paid</t>
        </is>
      </c>
      <c r="BF572" t="inlineStr">
        <is>
          <t>Q2-W04</t>
        </is>
      </c>
      <c r="BG572" t="inlineStr">
        <is>
          <t>Reschedule</t>
        </is>
      </c>
      <c r="BH572" t="inlineStr">
        <is>
          <t>Fauziah Maharan</t>
        </is>
      </c>
      <c r="BI572" t="inlineStr">
        <is>
          <t>IT / Hardware</t>
        </is>
      </c>
      <c r="BJ572" s="4">
        <v>46144.75047453704</v>
      </c>
      <c r="BK572" s="4">
        <v>44142.05069444444</v>
      </c>
      <c r="BL572" t="inlineStr">
        <is>
          <t>0.0</t>
        </is>
      </c>
      <c r="BM572" t="inlineStr">
        <is>
          <t>0.0</t>
        </is>
      </c>
      <c r="BN572" t="inlineStr">
        <is>
          <t>PA Visit - Job Card</t>
        </is>
      </c>
      <c r="BO572" s="4">
        <v>46142.778969907406</v>
      </c>
      <c r="BP572">
        <v>169193</v>
      </c>
      <c r="BQ572">
        <v>95223</v>
      </c>
      <c r="BR572" t="inlineStr">
        <is>
          <t>Online</t>
        </is>
      </c>
      <c r="BS572"/>
      <c r="BT572">
        <v>95223</v>
      </c>
      <c r="BU572"/>
      <c r="BV572">
        <v>2732312</v>
      </c>
      <c r="BW572" t="inlineStr">
        <is>
          <t>Customer Inquiry</t>
        </is>
      </c>
      <c r="BX572">
        <v>1</v>
      </c>
      <c r="BY572">
        <v>0</v>
      </c>
      <c r="BZ572" s="4">
        <v>46142.77777777778</v>
      </c>
      <c r="CA572">
        <v>10</v>
      </c>
      <c r="CB572">
        <v>10</v>
      </c>
      <c r="CC572" s="4"/>
      <c r="CD572" t="inlineStr">
        <is>
          <t>5</t>
        </is>
      </c>
      <c r="CE572" t="inlineStr">
        <is>
          <t>0</t>
        </is>
      </c>
      <c r="CF572" t="inlineStr">
        <is>
          <t>Q2-W04</t>
        </is>
      </c>
      <c r="CG572" t="inlineStr">
        <is>
          <t>Q2-W04</t>
        </is>
      </c>
      <c r="CH572" t="inlineStr">
        <is>
          <t>Q2-W04</t>
        </is>
      </c>
      <c r="CI572"/>
      <c r="CJ572" t="inlineStr">
        <is>
          <t>Paid</t>
        </is>
      </c>
      <c r="CK572" t="inlineStr">
        <is>
          <t>Eligible</t>
        </is>
      </c>
      <c r="CL572"/>
      <c r="CM572"/>
    </row>
    <row r="573" ht="25.5" customHeight="1">
      <c r="A573" t="inlineStr">
        <is>
          <t>177573</t>
        </is>
      </c>
      <c r="B573" s="2"/>
      <c r="C573"/>
      <c r="D573" s="3">
        <v>46140.483622685184</v>
      </c>
      <c r="E573" t="inlineStr">
        <is>
          <t>Q2-W04</t>
        </is>
      </c>
      <c r="F573" t="inlineStr">
        <is>
          <t>Josh</t>
        </is>
      </c>
      <c r="G573" t="inlineStr">
        <is>
          <t>Customer</t>
        </is>
      </c>
      <c r="H573" s="2" t="str">
        <f>=HYPERLINK("https://upbox.ajobthing.my/customer/177573", "https://upbox.ajobthing.my/customer/177573")</f>
        <v>https://upbox.ajobthing.my/customer/177573</v>
      </c>
      <c r="I573" t="inlineStr">
        <is>
          <t>Tiny Steps Child Care Centre</t>
        </is>
      </c>
      <c r="J573" t="inlineStr">
        <is>
          <t>Whale</t>
        </is>
      </c>
      <c r="K573" t="inlineStr">
        <is>
          <t>Josh</t>
        </is>
      </c>
      <c r="L573" s="4"/>
      <c r="M573" s="4">
        <v>46140.48373842592</v>
      </c>
      <c r="N573"/>
      <c r="O573">
        <v>6048</v>
      </c>
      <c r="P573" s="4"/>
      <c r="Q573" s="4">
        <v>45418.49909722222</v>
      </c>
      <c r="R573"/>
      <c r="S573">
        <v>0</v>
      </c>
      <c r="T573" s="4">
        <v>45404.50034722222</v>
      </c>
      <c r="U573" s="4"/>
      <c r="V573"/>
      <c r="W573">
        <v>648</v>
      </c>
      <c r="X573"/>
      <c r="Y573" t="inlineStr">
        <is>
          <t>Pending Appointment</t>
        </is>
      </c>
      <c r="Z573" t="inlineStr">
        <is>
          <t>Hiring Later</t>
        </is>
      </c>
      <c r="AA573">
        <v>1</v>
      </c>
      <c r="AB573" t="inlineStr">
        <is>
          <t>No Appointment Made</t>
        </is>
      </c>
      <c r="AC573"/>
      <c r="AD573" t="inlineStr">
        <is>
          <t xml:space="preserve">1 teacher </t>
        </is>
      </c>
      <c r="AE573"/>
      <c r="AF573">
        <v>3000</v>
      </c>
      <c r="AG573" s="4"/>
      <c r="AH573" s="4"/>
      <c r="AI573"/>
      <c r="AJ573"/>
      <c r="AK573" t="inlineStr">
        <is>
          <t>Yes, I have</t>
        </is>
      </c>
      <c r="AL573"/>
      <c r="AM573"/>
      <c r="AN573"/>
      <c r="AO573"/>
      <c r="AP573" t="inlineStr">
        <is>
          <t>Once a year (25%)</t>
        </is>
      </c>
      <c r="AQ573"/>
      <c r="AR573"/>
      <c r="AS573" t="inlineStr">
        <is>
          <t>- Headcount: 1
- Hiring Job Details: 1 teacher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
- Hiring Urgency: Hiring Later</t>
        </is>
      </c>
      <c r="AT573">
        <v>75</v>
      </c>
      <c r="AU573" t="inlineStr">
        <is>
          <t>0.75</t>
        </is>
      </c>
      <c r="AV573" t="inlineStr">
        <is>
          <t>15</t>
        </is>
      </c>
      <c r="AW573" t="inlineStr">
        <is>
          <t>0</t>
        </is>
      </c>
      <c r="AX573" t="inlineStr">
        <is>
          <t>Not Qualified</t>
        </is>
      </c>
      <c r="AY573" s="4"/>
      <c r="AZ573"/>
      <c r="BA573"/>
      <c r="BB573"/>
      <c r="BC573" t="inlineStr">
        <is>
          <t>- Headcount: 1
- Hiring Job Details: 1 teacher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
- Hiring Urgency: Hiring Later</t>
        </is>
      </c>
      <c r="BD573" s="4">
        <v>46140.500023148146</v>
      </c>
      <c r="BE573" t="inlineStr">
        <is>
          <t>paid</t>
        </is>
      </c>
      <c r="BF573"/>
      <c r="BG573" t="inlineStr">
        <is>
          <t>Reschedule</t>
        </is>
      </c>
      <c r="BH573" t="inlineStr">
        <is>
          <t>Fauziah Maharan</t>
        </is>
      </c>
      <c r="BI573" t="inlineStr">
        <is>
          <t>Education / Training</t>
        </is>
      </c>
      <c r="BJ573" s="4">
        <v>46144.75171296296</v>
      </c>
      <c r="BK573" s="4">
        <v>45404.48001157407</v>
      </c>
      <c r="BL573" t="inlineStr">
        <is>
          <t>0.0</t>
        </is>
      </c>
      <c r="BM573" t="inlineStr">
        <is>
          <t>0.0</t>
        </is>
      </c>
      <c r="BN573" t="inlineStr">
        <is>
          <t>View Candidate Search Page</t>
        </is>
      </c>
      <c r="BO573" s="4">
        <v>45894.52417824074</v>
      </c>
      <c r="BP573">
        <v>169192</v>
      </c>
      <c r="BQ573">
        <v>89586</v>
      </c>
      <c r="BR573" t="inlineStr">
        <is>
          <t>Proforma</t>
        </is>
      </c>
      <c r="BS573" t="inlineStr">
        <is>
          <t>SLG 10</t>
        </is>
      </c>
      <c r="BT573">
        <v>68199</v>
      </c>
      <c r="BU573"/>
      <c r="BV573">
        <v>2732313</v>
      </c>
      <c r="BW573" t="inlineStr">
        <is>
          <t>Customer Inquiry</t>
        </is>
      </c>
      <c r="BX573"/>
      <c r="BY573"/>
      <c r="BZ573" s="4"/>
      <c r="CA573"/>
      <c r="CB573"/>
      <c r="CC573" s="4"/>
      <c r="CD573" t="inlineStr">
        <is>
          <t>20</t>
        </is>
      </c>
      <c r="CE573" t="inlineStr">
        <is>
          <t>0</t>
        </is>
      </c>
      <c r="CF573" t="inlineStr">
        <is>
          <t>Q2-W04</t>
        </is>
      </c>
      <c r="CG573"/>
      <c r="CH573"/>
      <c r="CI573"/>
      <c r="CJ573" t="inlineStr">
        <is>
          <t>Paid</t>
        </is>
      </c>
      <c r="CK573" t="inlineStr">
        <is>
          <t>Eligible</t>
        </is>
      </c>
      <c r="CL573"/>
      <c r="CM573"/>
    </row>
    <row r="574" ht="25.5" customHeight="1">
      <c r="A574" t="inlineStr">
        <is>
          <t>203730</t>
        </is>
      </c>
      <c r="B574" s="2"/>
      <c r="C574"/>
      <c r="D574" s="3">
        <v>46140.50763888889</v>
      </c>
      <c r="E574" t="inlineStr">
        <is>
          <t>Q2-W04</t>
        </is>
      </c>
      <c r="F574" t="inlineStr">
        <is>
          <t>Janice Yap</t>
        </is>
      </c>
      <c r="G574" t="inlineStr">
        <is>
          <t>Customer</t>
        </is>
      </c>
      <c r="H574" s="2" t="str">
        <f>=HYPERLINK("https://upbox.ajobthing.my/customer/203730", "https://upbox.ajobthing.my/customer/203730")</f>
        <v>https://upbox.ajobthing.my/customer/203730</v>
      </c>
      <c r="I574" t="inlineStr">
        <is>
          <t>EZZYWEALTH SDN BHD</t>
        </is>
      </c>
      <c r="J574" t="inlineStr">
        <is>
          <t>Whale</t>
        </is>
      </c>
      <c r="K574" t="inlineStr">
        <is>
          <t>Janice</t>
        </is>
      </c>
      <c r="L574" s="4"/>
      <c r="M574" s="4">
        <v>46140.14543981481</v>
      </c>
      <c r="N574"/>
      <c r="O574">
        <v>3888</v>
      </c>
      <c r="P574" s="4"/>
      <c r="Q574" s="4">
        <v>46140.58773148148</v>
      </c>
      <c r="R574"/>
      <c r="S574">
        <v>3672</v>
      </c>
      <c r="T574" s="4">
        <v>46140.58773148148</v>
      </c>
      <c r="U574" s="4"/>
      <c r="V574"/>
      <c r="W574">
        <v>3672</v>
      </c>
      <c r="X574"/>
      <c r="Y574" t="inlineStr">
        <is>
          <t>Pending Appointment</t>
        </is>
      </c>
      <c r="Z574" t="inlineStr">
        <is>
          <t>Hiring Now</t>
        </is>
      </c>
      <c r="AA574">
        <v>3</v>
      </c>
      <c r="AB574" t="inlineStr">
        <is>
          <t>No Appointment Made</t>
        </is>
      </c>
      <c r="AC574"/>
      <c r="AD574" t="inlineStr">
        <is>
          <t>Physiotherapist // digital marketing  // sales executive</t>
        </is>
      </c>
      <c r="AE574"/>
      <c r="AF574">
        <v>0</v>
      </c>
      <c r="AG574" s="4"/>
      <c r="AH574" s="4"/>
      <c r="AI574">
        <v>0</v>
      </c>
      <c r="AJ574"/>
      <c r="AK574" t="inlineStr">
        <is>
          <t>No, I don't need at all</t>
        </is>
      </c>
      <c r="AL574">
        <v>0</v>
      </c>
      <c r="AM574" t="inlineStr">
        <is>
          <t>No, I don't need at all</t>
        </is>
      </c>
      <c r="AN574"/>
      <c r="AO574" t="inlineStr">
        <is>
          <t>No, I don't need at all</t>
        </is>
      </c>
      <c r="AP574" t="inlineStr">
        <is>
          <t>Once a year (25%)</t>
        </is>
      </c>
      <c r="AQ574">
        <v>3</v>
      </c>
      <c r="AR574"/>
      <c r="AS574" t="inlineStr">
        <is>
          <t>- Headcount: 3
- Hiring Job Details: Physiotherapist, digital marketing, sales executive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None</t>
        </is>
      </c>
      <c r="AT574">
        <v>95</v>
      </c>
      <c r="AU574" t="inlineStr">
        <is>
          <t>0.95</t>
        </is>
      </c>
      <c r="AV574" t="inlineStr">
        <is>
          <t>15</t>
        </is>
      </c>
      <c r="AW574" t="inlineStr">
        <is>
          <t>0</t>
        </is>
      </c>
      <c r="AX574" t="inlineStr">
        <is>
          <t>Not Qualified</t>
        </is>
      </c>
      <c r="AY574" s="4"/>
      <c r="AZ574"/>
      <c r="BA574"/>
      <c r="BB574"/>
      <c r="BC574" t="inlineStr">
        <is>
          <t>Confirm with PIC about the brand name - total create 3 brand name</t>
        </is>
      </c>
      <c r="BD574" s="4">
        <v>46142.597592592596</v>
      </c>
      <c r="BE574" t="inlineStr">
        <is>
          <t>paid</t>
        </is>
      </c>
      <c r="BF574" t="inlineStr">
        <is>
          <t>Q2-W04</t>
        </is>
      </c>
      <c r="BG574" t="inlineStr">
        <is>
          <t>Reschedule</t>
        </is>
      </c>
      <c r="BH574" t="inlineStr">
        <is>
          <t>Yee Hang</t>
        </is>
      </c>
      <c r="BI574"/>
      <c r="BJ574" s="4">
        <v>46144.75438657407</v>
      </c>
      <c r="BK574" s="4">
        <v>46140.478738425925</v>
      </c>
      <c r="BL574" t="inlineStr">
        <is>
          <t>3672.0</t>
        </is>
      </c>
      <c r="BM574" t="inlineStr">
        <is>
          <t>1800.0</t>
        </is>
      </c>
      <c r="BN574" t="inlineStr">
        <is>
          <t>View Company Page</t>
        </is>
      </c>
      <c r="BO574" s="4">
        <v>46143.6953587963</v>
      </c>
      <c r="BP574">
        <v>169188</v>
      </c>
      <c r="BQ574">
        <v>94955</v>
      </c>
      <c r="BR574" t="inlineStr">
        <is>
          <t>Online</t>
        </is>
      </c>
      <c r="BS574"/>
      <c r="BT574">
        <v>94955</v>
      </c>
      <c r="BU574"/>
      <c r="BV574">
        <v>2737672</v>
      </c>
      <c r="BW574" t="inlineStr">
        <is>
          <t>Service / Technical : Help To Post Job</t>
        </is>
      </c>
      <c r="BX574">
        <v>6</v>
      </c>
      <c r="BY574">
        <v>4</v>
      </c>
      <c r="BZ574" s="4">
        <v>46143.69516203704</v>
      </c>
      <c r="CA574">
        <v>60</v>
      </c>
      <c r="CB574">
        <v>60</v>
      </c>
      <c r="CC574" s="4"/>
      <c r="CD574" t="inlineStr">
        <is>
          <t>20</t>
        </is>
      </c>
      <c r="CE574" t="inlineStr">
        <is>
          <t>0</t>
        </is>
      </c>
      <c r="CF574" t="inlineStr">
        <is>
          <t>Q2-W04</t>
        </is>
      </c>
      <c r="CG574" t="inlineStr">
        <is>
          <t>Q2-W04</t>
        </is>
      </c>
      <c r="CH574" t="inlineStr">
        <is>
          <t>Q2-W04</t>
        </is>
      </c>
      <c r="CI574"/>
      <c r="CJ574" t="inlineStr">
        <is>
          <t>Paid</t>
        </is>
      </c>
      <c r="CK574" t="inlineStr">
        <is>
          <t>Eligible</t>
        </is>
      </c>
      <c r="CL574"/>
      <c r="CM574"/>
    </row>
    <row r="575" ht="25.5" customHeight="1">
      <c r="A575" t="inlineStr">
        <is>
          <t>32781</t>
        </is>
      </c>
      <c r="B575" s="2"/>
      <c r="C575"/>
      <c r="D575" s="3">
        <v>46140.51834490741</v>
      </c>
      <c r="E575" t="inlineStr">
        <is>
          <t>Q2-W04</t>
        </is>
      </c>
      <c r="F575" t="inlineStr">
        <is>
          <t>Yuli</t>
        </is>
      </c>
      <c r="G575" t="inlineStr">
        <is>
          <t>Customer</t>
        </is>
      </c>
      <c r="H575" s="2" t="str">
        <f>=HYPERLINK("https://upbox.ajobthing.my/customer/32781", "https://upbox.ajobthing.my/customer/32781")</f>
        <v>https://upbox.ajobthing.my/customer/32781</v>
      </c>
      <c r="I575" t="inlineStr">
        <is>
          <t>KOI Cafe Malaysia Sdn Bhd</t>
        </is>
      </c>
      <c r="J575" t="inlineStr">
        <is>
          <t>Whale</t>
        </is>
      </c>
      <c r="K575" t="inlineStr">
        <is>
          <t>YuLi</t>
        </is>
      </c>
      <c r="L575" s="4"/>
      <c r="M575" s="4">
        <v>46140.52662037037</v>
      </c>
      <c r="N575"/>
      <c r="O575">
        <v>10381</v>
      </c>
      <c r="P575" s="4"/>
      <c r="Q575" s="4">
        <v>45975.47393518518</v>
      </c>
      <c r="R575"/>
      <c r="S575">
        <v>7905.6</v>
      </c>
      <c r="T575" s="4">
        <v>45975.47393518518</v>
      </c>
      <c r="U575" s="4"/>
      <c r="V575"/>
      <c r="W575">
        <v>7905.6</v>
      </c>
      <c r="X575"/>
      <c r="Y575" t="inlineStr">
        <is>
          <t>Pending Appointment</t>
        </is>
      </c>
      <c r="Z575" t="inlineStr">
        <is>
          <t>Hiring Now</t>
        </is>
      </c>
      <c r="AA575">
        <v>1</v>
      </c>
      <c r="AB575" t="inlineStr">
        <is>
          <t>No Appointment Made</t>
        </is>
      </c>
      <c r="AC575"/>
      <c r="AD575" t="inlineStr">
        <is>
          <t>Barista</t>
        </is>
      </c>
      <c r="AE575"/>
      <c r="AF575"/>
      <c r="AG575" s="4"/>
      <c r="AH575" s="4"/>
      <c r="AI575"/>
      <c r="AJ575"/>
      <c r="AK575"/>
      <c r="AL575"/>
      <c r="AM575"/>
      <c r="AN575"/>
      <c r="AO575"/>
      <c r="AP575" t="inlineStr">
        <is>
          <t>Every month (100%)</t>
        </is>
      </c>
      <c r="AQ575"/>
      <c r="AR575" t="inlineStr">
        <is>
          <t>Free Job Portal</t>
        </is>
      </c>
      <c r="AS575" t="inlineStr">
        <is>
          <t>- Headcount: 1
- Hiring Job Details: Barista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Every month (100%)
- External job portal: Free Job Portal</t>
        </is>
      </c>
      <c r="AT575">
        <v>75</v>
      </c>
      <c r="AU575" t="inlineStr">
        <is>
          <t>0.75</t>
        </is>
      </c>
      <c r="AV575" t="inlineStr">
        <is>
          <t>5</t>
        </is>
      </c>
      <c r="AW575" t="inlineStr">
        <is>
          <t>0</t>
        </is>
      </c>
      <c r="AX575" t="inlineStr">
        <is>
          <t>Not Qualified</t>
        </is>
      </c>
      <c r="AY575" s="4"/>
      <c r="AZ575"/>
      <c r="BA575"/>
      <c r="BB575"/>
      <c r="BC575" t="inlineStr">
        <is>
          <t>share quotation</t>
        </is>
      </c>
      <c r="BD575" s="4">
        <v>46140.55321759259</v>
      </c>
      <c r="BE575" t="inlineStr">
        <is>
          <t>paid</t>
        </is>
      </c>
      <c r="BF575"/>
      <c r="BG575" t="inlineStr">
        <is>
          <t>Reschedule</t>
        </is>
      </c>
      <c r="BH575" t="inlineStr">
        <is>
          <t>Fauziah Maharan</t>
        </is>
      </c>
      <c r="BI575" t="inlineStr">
        <is>
          <t>Food / Beverage</t>
        </is>
      </c>
      <c r="BJ575" s="4">
        <v>46144.75457175926</v>
      </c>
      <c r="BK575" s="4">
        <v>42748.50497685185</v>
      </c>
      <c r="BL575" t="inlineStr">
        <is>
          <t>17841.0</t>
        </is>
      </c>
      <c r="BM575" t="inlineStr">
        <is>
          <t>1800.0</t>
        </is>
      </c>
      <c r="BN575" t="inlineStr">
        <is>
          <t>View Company Page</t>
        </is>
      </c>
      <c r="BO575" s="4">
        <v>46142.43241898148</v>
      </c>
      <c r="BP575">
        <v>169231</v>
      </c>
      <c r="BQ575">
        <v>6743</v>
      </c>
      <c r="BR575" t="inlineStr">
        <is>
          <t>Manual (Paid)</t>
        </is>
      </c>
      <c r="BS575" t="inlineStr">
        <is>
          <t>AI Yearly Enhanced Plan-RM 200 discount until 17.11.25
- JobAI by AJobThing
- AI Yearly Enhanced Plan of 8 AI Job Ads + 8 Free AI Job Ads with Booster
- 16 AI Job Ad will be published on Maukerja, Ricebowl and our partner platforms
- 16 AI Job Ad will be published for 45 days
- 16 Booster Plus
- 16 Free Candidates Profiles Unlock
- 16  Part time job ad, each job ad publish for 45 days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t>
        </is>
      </c>
      <c r="BT575">
        <v>6743</v>
      </c>
      <c r="BU575"/>
      <c r="BV575">
        <v>2732529</v>
      </c>
      <c r="BW575" t="inlineStr">
        <is>
          <t>Follow Up : Quotation Sent 50%</t>
        </is>
      </c>
      <c r="BX575">
        <v>29</v>
      </c>
      <c r="BY575">
        <v>7</v>
      </c>
      <c r="BZ575" s="4">
        <v>46097.56869212963</v>
      </c>
      <c r="CA575">
        <v>280</v>
      </c>
      <c r="CB575">
        <v>280</v>
      </c>
      <c r="CC575" s="4"/>
      <c r="CD575" t="inlineStr">
        <is>
          <t>5</t>
        </is>
      </c>
      <c r="CE575" t="inlineStr">
        <is>
          <t>0</t>
        </is>
      </c>
      <c r="CF575" t="inlineStr">
        <is>
          <t>Q2-W04</t>
        </is>
      </c>
      <c r="CG575"/>
      <c r="CH575"/>
      <c r="CI575"/>
      <c r="CJ575" t="inlineStr">
        <is>
          <t>Paid</t>
        </is>
      </c>
      <c r="CK575" t="inlineStr">
        <is>
          <t>Eligible</t>
        </is>
      </c>
      <c r="CL575"/>
      <c r="CM575"/>
    </row>
    <row r="576" ht="25.5" customHeight="1">
      <c r="A576" t="inlineStr">
        <is>
          <t>50545</t>
        </is>
      </c>
      <c r="B576" s="2"/>
      <c r="C576"/>
      <c r="D576" s="3">
        <v>46140.55832175926</v>
      </c>
      <c r="E576" t="inlineStr">
        <is>
          <t>Q2-W04</t>
        </is>
      </c>
      <c r="F576" t="inlineStr">
        <is>
          <t>Yuli</t>
        </is>
      </c>
      <c r="G576" t="inlineStr">
        <is>
          <t>Customer</t>
        </is>
      </c>
      <c r="H576" s="2" t="str">
        <f>=HYPERLINK("https://upbox.ajobthing.my/customer/50545", "https://upbox.ajobthing.my/customer/50545")</f>
        <v>https://upbox.ajobthing.my/customer/50545</v>
      </c>
      <c r="I576" t="inlineStr">
        <is>
          <t>Wonder Juniors Enterprise</t>
        </is>
      </c>
      <c r="J576" t="inlineStr">
        <is>
          <t>Whale</t>
        </is>
      </c>
      <c r="K576" t="inlineStr">
        <is>
          <t>YuLi</t>
        </is>
      </c>
      <c r="L576" s="4"/>
      <c r="M576" s="4">
        <v>46140.65462962963</v>
      </c>
      <c r="N576"/>
      <c r="O576">
        <v>3576.96</v>
      </c>
      <c r="P576" s="4"/>
      <c r="Q576" s="4">
        <v>46141.90358796297</v>
      </c>
      <c r="R576"/>
      <c r="S576">
        <v>5412.96</v>
      </c>
      <c r="T576" s="4">
        <v>45743.60188657408</v>
      </c>
      <c r="U576" s="4"/>
      <c r="V576"/>
      <c r="W576">
        <v>2916</v>
      </c>
      <c r="X576"/>
      <c r="Y576" t="inlineStr">
        <is>
          <t>Pending Appointment</t>
        </is>
      </c>
      <c r="Z576" t="inlineStr">
        <is>
          <t>Hiring Now</t>
        </is>
      </c>
      <c r="AA576">
        <v>1</v>
      </c>
      <c r="AB576" t="inlineStr">
        <is>
          <t>No Appointment Made</t>
        </is>
      </c>
      <c r="AC576"/>
      <c r="AD576" t="inlineStr">
        <is>
          <t>Mandarin Teacher</t>
        </is>
      </c>
      <c r="AE576"/>
      <c r="AF576"/>
      <c r="AG576" s="4"/>
      <c r="AH576" s="4"/>
      <c r="AI576"/>
      <c r="AJ576">
        <v>15</v>
      </c>
      <c r="AK576" t="inlineStr">
        <is>
          <t>No, I don't need at all</t>
        </is>
      </c>
      <c r="AL576"/>
      <c r="AM576"/>
      <c r="AN576"/>
      <c r="AO576"/>
      <c r="AP576"/>
      <c r="AQ576"/>
      <c r="AR576" t="inlineStr">
        <is>
          <t>Free Job Portal</t>
        </is>
      </c>
      <c r="AS576" t="inlineStr">
        <is>
          <t>- Headcount: 1
- Hiring Job Details: Mandarin Teacher
- Hiring Urgency: Hiring Now
- Number of outlets: 15
- Have recruiter team: No, I don't need at all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Free Job Portal</t>
        </is>
      </c>
      <c r="AT576">
        <v>75</v>
      </c>
      <c r="AU576" t="inlineStr">
        <is>
          <t>0.75</t>
        </is>
      </c>
      <c r="AV576" t="inlineStr">
        <is>
          <t>5</t>
        </is>
      </c>
      <c r="AW576" t="inlineStr">
        <is>
          <t>0</t>
        </is>
      </c>
      <c r="AX576" t="inlineStr">
        <is>
          <t>Not Qualified</t>
        </is>
      </c>
      <c r="AY576" s="4"/>
      <c r="AZ576"/>
      <c r="BA576"/>
      <c r="BB576"/>
      <c r="BC576" t="inlineStr">
        <is>
          <t>received acknowledgement on invoice</t>
        </is>
      </c>
      <c r="BD576" s="4">
        <v>46141.92054398148</v>
      </c>
      <c r="BE576" t="inlineStr">
        <is>
          <t>pending</t>
        </is>
      </c>
      <c r="BF576"/>
      <c r="BG576" t="inlineStr">
        <is>
          <t>Reschedule</t>
        </is>
      </c>
      <c r="BH576" t="inlineStr">
        <is>
          <t>Fauziah Maharan</t>
        </is>
      </c>
      <c r="BI576" t="inlineStr">
        <is>
          <t>Education / Training</t>
        </is>
      </c>
      <c r="BJ576" s="4">
        <v>46144.756064814814</v>
      </c>
      <c r="BK576" s="4">
        <v>43299.58060185185</v>
      </c>
      <c r="BL576" t="inlineStr">
        <is>
          <t>0.0</t>
        </is>
      </c>
      <c r="BM576" t="inlineStr">
        <is>
          <t>0.0</t>
        </is>
      </c>
      <c r="BN576" t="inlineStr">
        <is>
          <t>View Company Page</t>
        </is>
      </c>
      <c r="BO576" s="4">
        <v>46144.636655092596</v>
      </c>
      <c r="BP576">
        <v>169300</v>
      </c>
      <c r="BQ576">
        <v>7756</v>
      </c>
      <c r="BR576" t="inlineStr">
        <is>
          <t>Manual</t>
        </is>
      </c>
      <c r="BS576" t="inlineStr">
        <is>
          <t>AI Yearly Professional Plan-RM 588 DIscount until 30.04.26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576">
        <v>78019</v>
      </c>
      <c r="BU576"/>
      <c r="BV576">
        <v>2736432</v>
      </c>
      <c r="BW576" t="inlineStr">
        <is>
          <t>Follow Up : Invoice Sent 75%</t>
        </is>
      </c>
      <c r="BX576"/>
      <c r="BY576"/>
      <c r="BZ576" s="4"/>
      <c r="CA576"/>
      <c r="CB576"/>
      <c r="CC576" s="4"/>
      <c r="CD576" t="inlineStr">
        <is>
          <t>5</t>
        </is>
      </c>
      <c r="CE576" t="inlineStr">
        <is>
          <t>0</t>
        </is>
      </c>
      <c r="CF576" t="inlineStr">
        <is>
          <t>Q2-W04</t>
        </is>
      </c>
      <c r="CG576" t="inlineStr">
        <is>
          <t>Q2-W04</t>
        </is>
      </c>
      <c r="CH576"/>
      <c r="CI576"/>
      <c r="CJ576" t="inlineStr">
        <is>
          <t>Paid</t>
        </is>
      </c>
      <c r="CK576" t="inlineStr">
        <is>
          <t>Eligible</t>
        </is>
      </c>
      <c r="CL576"/>
      <c r="CM576"/>
    </row>
    <row r="577" ht="25.5" customHeight="1">
      <c r="A577" t="inlineStr">
        <is>
          <t>203566</t>
        </is>
      </c>
      <c r="B577" s="2"/>
      <c r="C577"/>
      <c r="D577" s="3">
        <v>46140.585393518515</v>
      </c>
      <c r="E577" t="inlineStr">
        <is>
          <t>Q2-W04</t>
        </is>
      </c>
      <c r="F577" t="inlineStr">
        <is>
          <t>Ratha</t>
        </is>
      </c>
      <c r="G577" t="inlineStr">
        <is>
          <t>Customer</t>
        </is>
      </c>
      <c r="H577" s="2" t="str">
        <f>=HYPERLINK("https://upbox.ajobthing.my/customer/203566", "https://upbox.ajobthing.my/customer/203566")</f>
        <v>https://upbox.ajobthing.my/customer/203566</v>
      </c>
      <c r="I577" t="inlineStr">
        <is>
          <t>Jk Integrated Planning</t>
        </is>
      </c>
      <c r="J577" t="inlineStr">
        <is>
          <t>Whale</t>
        </is>
      </c>
      <c r="K577" t="inlineStr">
        <is>
          <t>Ratha</t>
        </is>
      </c>
      <c r="L577" s="4"/>
      <c r="M577" s="4">
        <v>46135.508043981485</v>
      </c>
      <c r="N577"/>
      <c r="O577">
        <v>5832</v>
      </c>
      <c r="P577" s="4"/>
      <c r="Q577" s="4">
        <v>46142.8819212963</v>
      </c>
      <c r="R577"/>
      <c r="S577">
        <v>3888</v>
      </c>
      <c r="T577" s="4">
        <v>46142.8819212963</v>
      </c>
      <c r="U577" s="4"/>
      <c r="V577"/>
      <c r="W577">
        <v>3888</v>
      </c>
      <c r="X577"/>
      <c r="Y577" t="inlineStr">
        <is>
          <t>Pending Appointment</t>
        </is>
      </c>
      <c r="Z577" t="inlineStr">
        <is>
          <t>Continuous Hiring</t>
        </is>
      </c>
      <c r="AA577">
        <v>2</v>
      </c>
      <c r="AB577" t="inlineStr">
        <is>
          <t>No Appointment Made</t>
        </is>
      </c>
      <c r="AC577"/>
      <c r="AD577" t="inlineStr">
        <is>
          <t xml:space="preserve">1 BD, 1 Recruitment (Location: Ipoh) </t>
        </is>
      </c>
      <c r="AE577"/>
      <c r="AF577"/>
      <c r="AG577" s="4"/>
      <c r="AH577" s="4"/>
      <c r="AI577">
        <v>0</v>
      </c>
      <c r="AJ577">
        <v>1</v>
      </c>
      <c r="AK577" t="inlineStr">
        <is>
          <t>Yes, I have</t>
        </is>
      </c>
      <c r="AL577">
        <v>2</v>
      </c>
      <c r="AM577" t="inlineStr">
        <is>
          <t>No, I don't need at all</t>
        </is>
      </c>
      <c r="AN577"/>
      <c r="AO577" t="inlineStr">
        <is>
          <t>No, I don't need at all</t>
        </is>
      </c>
      <c r="AP577" t="inlineStr">
        <is>
          <t>Every month (100%)</t>
        </is>
      </c>
      <c r="AQ577">
        <v>0</v>
      </c>
      <c r="AR577" t="inlineStr">
        <is>
          <t>Jobstreet, Free Job Portal</t>
        </is>
      </c>
      <c r="AS577" t="inlineStr">
        <is>
          <t>- Headcount: 2
- Hiring Job Details: 1 BD, 1 Recruitment (Location: Ipoh)
- Hiring Urgency: Continuous Hiring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Jobstreet, Free Job Portal</t>
        </is>
      </c>
      <c r="AT577">
        <v>95</v>
      </c>
      <c r="AU577" t="inlineStr">
        <is>
          <t>0.95</t>
        </is>
      </c>
      <c r="AV577" t="inlineStr">
        <is>
          <t>5</t>
        </is>
      </c>
      <c r="AW577" t="inlineStr">
        <is>
          <t>0</t>
        </is>
      </c>
      <c r="AX577" t="inlineStr">
        <is>
          <t>Not Qualified</t>
        </is>
      </c>
      <c r="AY577" s="4"/>
      <c r="AZ577"/>
      <c r="BA577"/>
      <c r="BB577"/>
      <c r="BC577" t="inlineStr">
        <is>
          <t>paid</t>
        </is>
      </c>
      <c r="BD577" s="4">
        <v>46142.490428240744</v>
      </c>
      <c r="BE577" t="inlineStr">
        <is>
          <t>paid</t>
        </is>
      </c>
      <c r="BF577" t="inlineStr">
        <is>
          <t>Q2-W04</t>
        </is>
      </c>
      <c r="BG577" t="inlineStr">
        <is>
          <t>Reschedule</t>
        </is>
      </c>
      <c r="BH577" t="inlineStr">
        <is>
          <t>Fauziah Maharan</t>
        </is>
      </c>
      <c r="BI577" t="inlineStr">
        <is>
          <t>Insurance</t>
        </is>
      </c>
      <c r="BJ577" s="4">
        <v>46144.75435185185</v>
      </c>
      <c r="BK577" s="4">
        <v>46135.480405092596</v>
      </c>
      <c r="BL577" t="inlineStr">
        <is>
          <t>3888.0</t>
        </is>
      </c>
      <c r="BM577" t="inlineStr">
        <is>
          <t>3000.0</t>
        </is>
      </c>
      <c r="BN577" t="inlineStr">
        <is>
          <t>View Company Page</t>
        </is>
      </c>
      <c r="BO577" s="4">
        <v>46142.66814814815</v>
      </c>
      <c r="BP577">
        <v>168525</v>
      </c>
      <c r="BQ577">
        <v>95228</v>
      </c>
      <c r="BR577" t="inlineStr">
        <is>
          <t>Online</t>
        </is>
      </c>
      <c r="BS577"/>
      <c r="BT577">
        <v>95228</v>
      </c>
      <c r="BU577"/>
      <c r="BV577">
        <v>2737225</v>
      </c>
      <c r="BW577" t="inlineStr">
        <is>
          <t>Follow Up : Win - Customer Paid</t>
        </is>
      </c>
      <c r="BX577">
        <v>6</v>
      </c>
      <c r="BY577">
        <v>6</v>
      </c>
      <c r="BZ577" s="4"/>
      <c r="CA577">
        <v>60</v>
      </c>
      <c r="CB577">
        <v>60</v>
      </c>
      <c r="CC577" s="4"/>
      <c r="CD577" t="inlineStr">
        <is>
          <t>5</t>
        </is>
      </c>
      <c r="CE577" t="inlineStr">
        <is>
          <t>0</t>
        </is>
      </c>
      <c r="CF577" t="inlineStr">
        <is>
          <t>Q2-W03</t>
        </is>
      </c>
      <c r="CG577" t="inlineStr">
        <is>
          <t>Q2-W04</t>
        </is>
      </c>
      <c r="CH577" t="inlineStr">
        <is>
          <t>Q2-W04</t>
        </is>
      </c>
      <c r="CI577"/>
      <c r="CJ577" t="inlineStr">
        <is>
          <t>Paid</t>
        </is>
      </c>
      <c r="CK577" t="inlineStr">
        <is>
          <t>Eligible</t>
        </is>
      </c>
      <c r="CL577"/>
      <c r="CM577"/>
    </row>
    <row r="578" ht="25.5" customHeight="1">
      <c r="A578" t="inlineStr">
        <is>
          <t>181786</t>
        </is>
      </c>
      <c r="B578" s="2"/>
      <c r="C578"/>
      <c r="D578" s="3">
        <v>46140.59361111111</v>
      </c>
      <c r="E578" t="inlineStr">
        <is>
          <t>Q2-W04</t>
        </is>
      </c>
      <c r="F578" t="inlineStr">
        <is>
          <t>Alan KY</t>
        </is>
      </c>
      <c r="G578" t="inlineStr">
        <is>
          <t>Customer</t>
        </is>
      </c>
      <c r="H578" s="2" t="str">
        <f>=HYPERLINK("https://upbox.ajobthing.my/customer/181786", "https://upbox.ajobthing.my/customer/181786")</f>
        <v>https://upbox.ajobthing.my/customer/181786</v>
      </c>
      <c r="I578" t="inlineStr">
        <is>
          <t>BMC Travel Sdn Bhd</t>
        </is>
      </c>
      <c r="J578" t="inlineStr">
        <is>
          <t>Whale</t>
        </is>
      </c>
      <c r="K578" t="inlineStr">
        <is>
          <t>Alan KY</t>
        </is>
      </c>
      <c r="L578" s="4"/>
      <c r="M578" s="4">
        <v>46140.58467592593</v>
      </c>
      <c r="N578"/>
      <c r="O578">
        <v>3576.96</v>
      </c>
      <c r="P578" s="4"/>
      <c r="Q578" s="4">
        <v>46140.70181712963</v>
      </c>
      <c r="R578"/>
      <c r="S578">
        <v>3576.96</v>
      </c>
      <c r="T578" s="4">
        <v>46140.70181712963</v>
      </c>
      <c r="U578" s="4"/>
      <c r="V578"/>
      <c r="W578">
        <v>3576.96</v>
      </c>
      <c r="X578"/>
      <c r="Y578" t="inlineStr">
        <is>
          <t>Pending Appointment</t>
        </is>
      </c>
      <c r="Z578" t="inlineStr">
        <is>
          <t>Hiring Now</t>
        </is>
      </c>
      <c r="AA578">
        <v>2</v>
      </c>
      <c r="AB578" t="inlineStr">
        <is>
          <t>No Appointment Made</t>
        </is>
      </c>
      <c r="AC578"/>
      <c r="AD578" t="inlineStr">
        <is>
          <t xml:space="preserve">1 admin , 1 ops field executive, in KL </t>
        </is>
      </c>
      <c r="AE578"/>
      <c r="AF578"/>
      <c r="AG578" s="4"/>
      <c r="AH578" s="4"/>
      <c r="AI578"/>
      <c r="AJ578">
        <v>1</v>
      </c>
      <c r="AK578" t="inlineStr">
        <is>
          <t>No, I don't need at all</t>
        </is>
      </c>
      <c r="AL578"/>
      <c r="AM578" t="inlineStr">
        <is>
          <t>No, I don't need at all</t>
        </is>
      </c>
      <c r="AN578"/>
      <c r="AO578" t="inlineStr">
        <is>
          <t>No, I don't need at all</t>
        </is>
      </c>
      <c r="AP578" t="inlineStr">
        <is>
          <t>Once per quarter (75%)</t>
        </is>
      </c>
      <c r="AQ578"/>
      <c r="AR578" t="inlineStr">
        <is>
          <t>Jobstreet</t>
        </is>
      </c>
      <c r="AS578" t="inlineStr">
        <is>
          <t>- Headcount: 2
- Hiring Job Details: 1 admin, 1 ops field executive, in KL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578">
        <v>100</v>
      </c>
      <c r="AU578" t="inlineStr">
        <is>
          <t>1.00</t>
        </is>
      </c>
      <c r="AV578" t="inlineStr">
        <is>
          <t>5</t>
        </is>
      </c>
      <c r="AW578" t="inlineStr">
        <is>
          <t>0</t>
        </is>
      </c>
      <c r="AX578" t="inlineStr">
        <is>
          <t>Not Qualified</t>
        </is>
      </c>
      <c r="AY578" s="4"/>
      <c r="AZ578"/>
      <c r="BA578"/>
      <c r="BB578"/>
      <c r="BC578" t="inlineStr">
        <is>
          <t>Inform package assigned</t>
        </is>
      </c>
      <c r="BD578" s="4">
        <v>46142.72329861111</v>
      </c>
      <c r="BE578" t="inlineStr">
        <is>
          <t>paid</t>
        </is>
      </c>
      <c r="BF578" t="inlineStr">
        <is>
          <t>Q2-W04</t>
        </is>
      </c>
      <c r="BG578" t="inlineStr">
        <is>
          <t>Reschedule</t>
        </is>
      </c>
      <c r="BH578" t="inlineStr">
        <is>
          <t>Reagen</t>
        </is>
      </c>
      <c r="BI578" t="inlineStr">
        <is>
          <t>Travel / Tourism</t>
        </is>
      </c>
      <c r="BJ578" s="4">
        <v>46144.75188657407</v>
      </c>
      <c r="BK578" s="4">
        <v>45523.590682870374</v>
      </c>
      <c r="BL578" t="inlineStr">
        <is>
          <t>6492.96</t>
        </is>
      </c>
      <c r="BM578" t="inlineStr">
        <is>
          <t>600.0</t>
        </is>
      </c>
      <c r="BN578" t="inlineStr">
        <is>
          <t>View Company Page</t>
        </is>
      </c>
      <c r="BO578" s="4">
        <v>46142.742430555554</v>
      </c>
      <c r="BP578">
        <v>169243</v>
      </c>
      <c r="BQ578">
        <v>94989</v>
      </c>
      <c r="BR578" t="inlineStr">
        <is>
          <t>Online</t>
        </is>
      </c>
      <c r="BS578"/>
      <c r="BT578">
        <v>94989</v>
      </c>
      <c r="BU578"/>
      <c r="BV578">
        <v>2738368</v>
      </c>
      <c r="BW578" t="inlineStr">
        <is>
          <t>Follow Up : Win - Customer Paid</t>
        </is>
      </c>
      <c r="BX578">
        <v>13</v>
      </c>
      <c r="BY578">
        <v>6</v>
      </c>
      <c r="BZ578" s="4">
        <v>46142.741261574076</v>
      </c>
      <c r="CA578">
        <v>180</v>
      </c>
      <c r="CB578">
        <v>175</v>
      </c>
      <c r="CC578" s="4">
        <v>46112.594675925924</v>
      </c>
      <c r="CD578" t="inlineStr">
        <is>
          <t>5</t>
        </is>
      </c>
      <c r="CE578" t="inlineStr">
        <is>
          <t>0</t>
        </is>
      </c>
      <c r="CF578" t="inlineStr">
        <is>
          <t>Q2-W04</t>
        </is>
      </c>
      <c r="CG578" t="inlineStr">
        <is>
          <t>Q2-W04</t>
        </is>
      </c>
      <c r="CH578" t="inlineStr">
        <is>
          <t>Q2-W04</t>
        </is>
      </c>
      <c r="CI578"/>
      <c r="CJ578" t="inlineStr">
        <is>
          <t>Paid</t>
        </is>
      </c>
      <c r="CK578" t="inlineStr">
        <is>
          <t>Eligible</t>
        </is>
      </c>
      <c r="CL578"/>
      <c r="CM578"/>
    </row>
    <row r="579" ht="25.5" customHeight="1">
      <c r="A579" t="inlineStr">
        <is>
          <t>4329012</t>
        </is>
      </c>
      <c r="B579" s="2"/>
      <c r="C579"/>
      <c r="D579" s="3">
        <v>46140.601481481484</v>
      </c>
      <c r="E579" t="inlineStr">
        <is>
          <t>Q2-W04</t>
        </is>
      </c>
      <c r="F579" t="inlineStr">
        <is>
          <t>Ratha</t>
        </is>
      </c>
      <c r="G579" t="inlineStr">
        <is>
          <t>Lead</t>
        </is>
      </c>
      <c r="H579" s="2" t="str">
        <f>=HYPERLINK("https://upbox.ajobthing.my/leads/4329012", "https://upbox.ajobthing.my/leads/4329012")</f>
        <v>https://upbox.ajobthing.my/leads/4329012</v>
      </c>
      <c r="I579" t="inlineStr">
        <is>
          <t>JAG Capital Berhad</t>
        </is>
      </c>
      <c r="J579" t="inlineStr">
        <is>
          <t>Whale</t>
        </is>
      </c>
      <c r="K579" t="inlineStr">
        <is>
          <t>Ratha</t>
        </is>
      </c>
      <c r="L579" s="4"/>
      <c r="M579" s="4">
        <v>46140.60234953704</v>
      </c>
      <c r="N579"/>
      <c r="O579">
        <v>5832</v>
      </c>
      <c r="P579" s="4"/>
      <c r="Q579" s="4"/>
      <c r="R579"/>
      <c r="S579"/>
      <c r="T579" s="4"/>
      <c r="U579" s="4"/>
      <c r="V579"/>
      <c r="W579"/>
      <c r="X579"/>
      <c r="Y579" t="inlineStr">
        <is>
          <t>Pending Appointment</t>
        </is>
      </c>
      <c r="Z579" t="inlineStr">
        <is>
          <t>Continuous Hiring</t>
        </is>
      </c>
      <c r="AA579">
        <v>3</v>
      </c>
      <c r="AB579" t="inlineStr">
        <is>
          <t>No Appointment Made</t>
        </is>
      </c>
      <c r="AC579"/>
      <c r="AD579" t="inlineStr">
        <is>
          <t>Sales
Manager Account
QA
Location : Jalan Ampang / Senawang (work location)
</t>
        </is>
      </c>
      <c r="AE579"/>
      <c r="AF579"/>
      <c r="AG579" s="4"/>
      <c r="AH579" s="4"/>
      <c r="AI579">
        <v>0</v>
      </c>
      <c r="AJ579">
        <v>2</v>
      </c>
      <c r="AK579" t="inlineStr">
        <is>
          <t>Yes, I have</t>
        </is>
      </c>
      <c r="AL579">
        <v>2</v>
      </c>
      <c r="AM579" t="inlineStr">
        <is>
          <t>No, I don't need at all</t>
        </is>
      </c>
      <c r="AN579"/>
      <c r="AO579" t="inlineStr">
        <is>
          <t>Yes, I have</t>
        </is>
      </c>
      <c r="AP579" t="inlineStr">
        <is>
          <t>Every month (100%)</t>
        </is>
      </c>
      <c r="AQ579">
        <v>0</v>
      </c>
      <c r="AR579" t="inlineStr">
        <is>
          <t>Free Job Portal</t>
        </is>
      </c>
      <c r="AS579" t="inlineStr">
        <is>
          <t>- Headcount: 3
- Hiring Job Details: Sales, Manager Account, QA (work location: Jalan Ampang / Senawang)
- Hiring Urgency: Continuous Hiring
- Number of outlets: 2
- Have recruiter team: Yes
- Number of recruiter in company: 2
- Have ATS system: No, I don't need at all
- Have career website: Yes
- Current hiring budget: Not specified
- Whole year budget: RM0.00
- Whole year number of vacancies: 0
- Hiring frequency: Every month (100%)
- External job portal: Free Job Portal</t>
        </is>
      </c>
      <c r="AT579">
        <v>65</v>
      </c>
      <c r="AU579" t="inlineStr">
        <is>
          <t>0.65</t>
        </is>
      </c>
      <c r="AV579" t="inlineStr">
        <is>
          <t>5</t>
        </is>
      </c>
      <c r="AW579" t="inlineStr">
        <is>
          <t>0</t>
        </is>
      </c>
      <c r="AX579" t="inlineStr">
        <is>
          <t>Not Qualified</t>
        </is>
      </c>
      <c r="AY579" s="4"/>
      <c r="AZ579"/>
      <c r="BA579"/>
      <c r="BB579"/>
      <c r="BC579"/>
      <c r="BD579" s="4"/>
      <c r="BE579"/>
      <c r="BF579"/>
      <c r="BG579" t="inlineStr">
        <is>
          <t>Reschedule</t>
        </is>
      </c>
      <c r="BH579" t="inlineStr">
        <is>
          <t>Fauziah Maharan</t>
        </is>
      </c>
      <c r="BI579"/>
      <c r="BJ579" s="4">
        <v>46144.75592592593</v>
      </c>
      <c r="BK579" s="4">
        <v>46140.421319444446</v>
      </c>
      <c r="BL579" t="inlineStr">
        <is>
          <t>0.0</t>
        </is>
      </c>
      <c r="BM579" t="inlineStr">
        <is>
          <t>0.0</t>
        </is>
      </c>
      <c r="BN579"/>
      <c r="BO579" s="4"/>
      <c r="BP579">
        <v>169252</v>
      </c>
      <c r="BQ579"/>
      <c r="BR579"/>
      <c r="BS579"/>
      <c r="BT579"/>
      <c r="BU579"/>
      <c r="BV579"/>
      <c r="BW579"/>
      <c r="BX579"/>
      <c r="BY579"/>
      <c r="BZ579" s="4"/>
      <c r="CA579"/>
      <c r="CB579"/>
      <c r="CC579" s="4"/>
      <c r="CD579" t="inlineStr">
        <is>
          <t>5</t>
        </is>
      </c>
      <c r="CE579" t="inlineStr">
        <is>
          <t>0</t>
        </is>
      </c>
      <c r="CF579" t="inlineStr">
        <is>
          <t>Q2-W04</t>
        </is>
      </c>
      <c r="CG579"/>
      <c r="CH579"/>
      <c r="CI579"/>
      <c r="CJ579" t="inlineStr">
        <is>
          <t>No Paid</t>
        </is>
      </c>
      <c r="CK579" t="inlineStr">
        <is>
          <t>Eligible</t>
        </is>
      </c>
      <c r="CL579"/>
      <c r="CM579"/>
    </row>
    <row r="580" ht="25.5" customHeight="1">
      <c r="A580" t="inlineStr">
        <is>
          <t>192019</t>
        </is>
      </c>
      <c r="B580" s="2"/>
      <c r="C580"/>
      <c r="D580" s="3">
        <v>46140.602326388886</v>
      </c>
      <c r="E580" t="inlineStr">
        <is>
          <t>Q2-W04</t>
        </is>
      </c>
      <c r="F580" t="inlineStr">
        <is>
          <t>Clover</t>
        </is>
      </c>
      <c r="G580" t="inlineStr">
        <is>
          <t>Customer</t>
        </is>
      </c>
      <c r="H580" s="2" t="str">
        <f>=HYPERLINK("https://upbox.ajobthing.my/customer/192019", "https://upbox.ajobthing.my/customer/192019")</f>
        <v>https://upbox.ajobthing.my/customer/192019</v>
      </c>
      <c r="I580" t="inlineStr">
        <is>
          <t>Baysis Protective Coatings Sdn Bhd</t>
        </is>
      </c>
      <c r="J580" t="inlineStr">
        <is>
          <t>Whale</t>
        </is>
      </c>
      <c r="K580" t="inlineStr">
        <is>
          <t>Clover</t>
        </is>
      </c>
      <c r="L580" s="4"/>
      <c r="M580" s="4">
        <v>46140.60255787037</v>
      </c>
      <c r="N580"/>
      <c r="O580">
        <v>3888</v>
      </c>
      <c r="P580" s="4"/>
      <c r="Q580" s="4">
        <v>46100.41829861111</v>
      </c>
      <c r="R580"/>
      <c r="S580">
        <v>0</v>
      </c>
      <c r="T580" s="4">
        <v>45818.73972222222</v>
      </c>
      <c r="U580" s="4"/>
      <c r="V580"/>
      <c r="W580">
        <v>3132</v>
      </c>
      <c r="X580"/>
      <c r="Y580" t="inlineStr">
        <is>
          <t>Pending Appointment</t>
        </is>
      </c>
      <c r="Z580" t="inlineStr">
        <is>
          <t>Hiring Now</t>
        </is>
      </c>
      <c r="AA580">
        <v>1</v>
      </c>
      <c r="AB580" t="inlineStr">
        <is>
          <t>No Appointment Made</t>
        </is>
      </c>
      <c r="AC580"/>
      <c r="AD580" t="inlineStr">
        <is>
          <t>Call PIC Mr ZC 60123329036 npu, hire admin cum account exec/ account assistant, prefer chi, construction, JB, suggest stand</t>
        </is>
      </c>
      <c r="AE580"/>
      <c r="AF580">
        <v>3000</v>
      </c>
      <c r="AG580" s="4"/>
      <c r="AH580" s="4"/>
      <c r="AI580">
        <v>3000</v>
      </c>
      <c r="AJ580">
        <v>1</v>
      </c>
      <c r="AK580" t="inlineStr">
        <is>
          <t>No, but I want in future</t>
        </is>
      </c>
      <c r="AL580">
        <v>1</v>
      </c>
      <c r="AM580" t="inlineStr">
        <is>
          <t>No, but I want in future</t>
        </is>
      </c>
      <c r="AN580"/>
      <c r="AO580" t="inlineStr">
        <is>
          <t>No, but I want in future</t>
        </is>
      </c>
      <c r="AP580" t="inlineStr">
        <is>
          <t>Once per quarter (75%)</t>
        </is>
      </c>
      <c r="AQ580">
        <v>2</v>
      </c>
      <c r="AR580" t="inlineStr">
        <is>
          <t>Did not use any job portal</t>
        </is>
      </c>
      <c r="AS580" t="inlineStr">
        <is>
          <t>- Headcount: 1
- Hiring Job Details: 1 admin cum account exec/account assistant (prefer Chinese, construction background, based in JB; call PIC Mr ZC 60123329036 npu,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Once per quarter (75%)
- External job portal: Did not use any</t>
        </is>
      </c>
      <c r="AT580">
        <v>115</v>
      </c>
      <c r="AU580" t="inlineStr">
        <is>
          <t>1.15</t>
        </is>
      </c>
      <c r="AV580" t="inlineStr">
        <is>
          <t>15</t>
        </is>
      </c>
      <c r="AW580" t="inlineStr">
        <is>
          <t>0</t>
        </is>
      </c>
      <c r="AX580" t="inlineStr">
        <is>
          <t>Not Qualified</t>
        </is>
      </c>
      <c r="AY580" s="4"/>
      <c r="AZ580"/>
      <c r="BA580"/>
      <c r="BB580"/>
      <c r="BC580" t="inlineStr">
        <is>
          <t>Call PIC Mr ZC 60123329036 , wa fu</t>
        </is>
      </c>
      <c r="BD580" s="4">
        <v>46142.67894675926</v>
      </c>
      <c r="BE580" t="inlineStr">
        <is>
          <t>paid</t>
        </is>
      </c>
      <c r="BF580"/>
      <c r="BG580" t="inlineStr">
        <is>
          <t>Reschedule</t>
        </is>
      </c>
      <c r="BH580" t="inlineStr">
        <is>
          <t>Reagen</t>
        </is>
      </c>
      <c r="BI580" t="inlineStr">
        <is>
          <t>Construction / Building</t>
        </is>
      </c>
      <c r="BJ580" s="4">
        <v>46144.7524537037</v>
      </c>
      <c r="BK580" s="4">
        <v>45807.487291666665</v>
      </c>
      <c r="BL580" t="inlineStr">
        <is>
          <t>3132.0</t>
        </is>
      </c>
      <c r="BM580" t="inlineStr">
        <is>
          <t>2400.0</t>
        </is>
      </c>
      <c r="BN580" t="inlineStr">
        <is>
          <t>View Candidate Search Page</t>
        </is>
      </c>
      <c r="BO580" s="4">
        <v>46100.587222222224</v>
      </c>
      <c r="BP580">
        <v>169254</v>
      </c>
      <c r="BQ580">
        <v>117963</v>
      </c>
      <c r="BR580" t="inlineStr">
        <is>
          <t>Proforma</t>
        </is>
      </c>
      <c r="BS580" t="inlineStr">
        <is>
          <t>Free Part-Time Job</t>
        </is>
      </c>
      <c r="BT580">
        <v>79978</v>
      </c>
      <c r="BU580"/>
      <c r="BV580">
        <v>2738140</v>
      </c>
      <c r="BW580" t="inlineStr">
        <is>
          <t>No Answer : Voicemail - WA sent to customer</t>
        </is>
      </c>
      <c r="BX580">
        <v>6</v>
      </c>
      <c r="BY580">
        <v>0</v>
      </c>
      <c r="BZ580" s="4">
        <v>45918.74230324074</v>
      </c>
      <c r="CA580">
        <v>120</v>
      </c>
      <c r="CB580">
        <v>38</v>
      </c>
      <c r="CC580" s="4">
        <v>46085.65373842593</v>
      </c>
      <c r="CD580" t="inlineStr">
        <is>
          <t>20</t>
        </is>
      </c>
      <c r="CE580" t="inlineStr">
        <is>
          <t>0</t>
        </is>
      </c>
      <c r="CF580" t="inlineStr">
        <is>
          <t>Q2-W04</t>
        </is>
      </c>
      <c r="CG580" t="inlineStr">
        <is>
          <t>Q1-W11</t>
        </is>
      </c>
      <c r="CH580"/>
      <c r="CI580"/>
      <c r="CJ580" t="inlineStr">
        <is>
          <t>Paid</t>
        </is>
      </c>
      <c r="CK580" t="inlineStr">
        <is>
          <t>Eligible</t>
        </is>
      </c>
      <c r="CL580"/>
      <c r="CM580"/>
    </row>
    <row r="581" ht="25.5" customHeight="1">
      <c r="A581" t="inlineStr">
        <is>
          <t>92111</t>
        </is>
      </c>
      <c r="B581" s="2"/>
      <c r="C581"/>
      <c r="D581" s="3">
        <v>46140.60438657407</v>
      </c>
      <c r="E581" t="inlineStr">
        <is>
          <t>Q2-W04</t>
        </is>
      </c>
      <c r="F581" t="inlineStr">
        <is>
          <t>Ken Yi</t>
        </is>
      </c>
      <c r="G581" t="inlineStr">
        <is>
          <t>Customer</t>
        </is>
      </c>
      <c r="H581" s="2" t="str">
        <f>=HYPERLINK("https://upbox.ajobthing.my/customer/92111", "https://upbox.ajobthing.my/customer/92111")</f>
        <v>https://upbox.ajobthing.my/customer/92111</v>
      </c>
      <c r="I581" t="inlineStr">
        <is>
          <t>Seven Pillars Group Sdn Bhd</t>
        </is>
      </c>
      <c r="J581" t="inlineStr">
        <is>
          <t>Whale</t>
        </is>
      </c>
      <c r="K581" t="inlineStr">
        <is>
          <t>Kenyi</t>
        </is>
      </c>
      <c r="L581" s="4"/>
      <c r="M581" s="4">
        <v>46140.605208333334</v>
      </c>
      <c r="N581"/>
      <c r="O581">
        <v>3888</v>
      </c>
      <c r="P581" s="4"/>
      <c r="Q581" s="4">
        <v>46141.59662037037</v>
      </c>
      <c r="R581"/>
      <c r="S581">
        <v>3888</v>
      </c>
      <c r="T581" s="4">
        <v>45869.72528935185</v>
      </c>
      <c r="U581" s="4"/>
      <c r="V581"/>
      <c r="W581">
        <v>3672</v>
      </c>
      <c r="X581"/>
      <c r="Y581" t="inlineStr">
        <is>
          <t>Pending Appointment</t>
        </is>
      </c>
      <c r="Z581" t="inlineStr">
        <is>
          <t>Hiring Now</t>
        </is>
      </c>
      <c r="AA581">
        <v>1</v>
      </c>
      <c r="AB581" t="inlineStr">
        <is>
          <t>No Appointment Made</t>
        </is>
      </c>
      <c r="AC581"/>
      <c r="AD581" t="inlineStr">
        <is>
          <t>Renewal</t>
        </is>
      </c>
      <c r="AE581"/>
      <c r="AF581">
        <v>0</v>
      </c>
      <c r="AG581" s="4"/>
      <c r="AH581" s="4"/>
      <c r="AI581">
        <v>0</v>
      </c>
      <c r="AJ581">
        <v>1</v>
      </c>
      <c r="AK581" t="inlineStr">
        <is>
          <t>Yes, I have</t>
        </is>
      </c>
      <c r="AL581">
        <v>1</v>
      </c>
      <c r="AM581" t="inlineStr">
        <is>
          <t>No, I don't need at all</t>
        </is>
      </c>
      <c r="AN581"/>
      <c r="AO581" t="inlineStr">
        <is>
          <t>No, I don't need at all</t>
        </is>
      </c>
      <c r="AP581" t="inlineStr">
        <is>
          <t>Every month (100%)</t>
        </is>
      </c>
      <c r="AQ581">
        <v>1</v>
      </c>
      <c r="AR581" t="inlineStr">
        <is>
          <t>Jobstreet</t>
        </is>
      </c>
      <c r="AS581" t="inlineStr">
        <is>
          <t>- Headcount: 1
- Hiring Job Details: Renewal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t>
        </is>
      </c>
      <c r="AT581">
        <v>115</v>
      </c>
      <c r="AU581" t="inlineStr">
        <is>
          <t>1.15</t>
        </is>
      </c>
      <c r="AV581" t="inlineStr">
        <is>
          <t>15</t>
        </is>
      </c>
      <c r="AW581" t="inlineStr">
        <is>
          <t>0</t>
        </is>
      </c>
      <c r="AX581" t="inlineStr">
        <is>
          <t>Not Qualified</t>
        </is>
      </c>
      <c r="AY581" s="4"/>
      <c r="AZ581"/>
      <c r="BA581"/>
      <c r="BB581"/>
      <c r="BC581" t="inlineStr">
        <is>
          <t>See payment can get by today anot, to close monthly deal</t>
        </is>
      </c>
      <c r="BD581" s="4">
        <v>46142.494166666664</v>
      </c>
      <c r="BE581" t="inlineStr">
        <is>
          <t>pending</t>
        </is>
      </c>
      <c r="BF581"/>
      <c r="BG581" t="inlineStr">
        <is>
          <t>Reschedule</t>
        </is>
      </c>
      <c r="BH581" t="inlineStr">
        <is>
          <t>Fauziah Maharan</t>
        </is>
      </c>
      <c r="BI581" t="inlineStr">
        <is>
          <t>General / Wholesale Trading</t>
        </is>
      </c>
      <c r="BJ581" s="4">
        <v>46144.756157407406</v>
      </c>
      <c r="BK581" s="4">
        <v>43417.08261574074</v>
      </c>
      <c r="BL581" t="inlineStr">
        <is>
          <t>3672.0</t>
        </is>
      </c>
      <c r="BM581" t="inlineStr">
        <is>
          <t>4050.0</t>
        </is>
      </c>
      <c r="BN581" t="inlineStr">
        <is>
          <t>View Company Page</t>
        </is>
      </c>
      <c r="BO581" s="4">
        <v>46140.59082175926</v>
      </c>
      <c r="BP581">
        <v>169257</v>
      </c>
      <c r="BQ581">
        <v>7752</v>
      </c>
      <c r="BR581" t="inlineStr">
        <is>
          <t>Manual</t>
        </is>
      </c>
      <c r="BS581"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581">
        <v>81207</v>
      </c>
      <c r="BU581"/>
      <c r="BV581">
        <v>2737253</v>
      </c>
      <c r="BW581" t="inlineStr">
        <is>
          <t>Follow Up : Payment Pending</t>
        </is>
      </c>
      <c r="BX581">
        <v>6</v>
      </c>
      <c r="BY581">
        <v>0</v>
      </c>
      <c r="BZ581" s="4">
        <v>46084.7983912037</v>
      </c>
      <c r="CA581">
        <v>60</v>
      </c>
      <c r="CB581">
        <v>52</v>
      </c>
      <c r="CC581" s="4">
        <v>45953.69900462963</v>
      </c>
      <c r="CD581" t="inlineStr">
        <is>
          <t>20</t>
        </is>
      </c>
      <c r="CE581" t="inlineStr">
        <is>
          <t>0</t>
        </is>
      </c>
      <c r="CF581" t="inlineStr">
        <is>
          <t>Q2-W04</t>
        </is>
      </c>
      <c r="CG581" t="inlineStr">
        <is>
          <t>Q2-W04</t>
        </is>
      </c>
      <c r="CH581"/>
      <c r="CI581"/>
      <c r="CJ581" t="inlineStr">
        <is>
          <t>Paid</t>
        </is>
      </c>
      <c r="CK581" t="inlineStr">
        <is>
          <t>Eligible</t>
        </is>
      </c>
      <c r="CL581"/>
      <c r="CM581"/>
    </row>
    <row r="582" ht="25.5" customHeight="1">
      <c r="A582" t="inlineStr">
        <is>
          <t>203410</t>
        </is>
      </c>
      <c r="B582" s="2"/>
      <c r="C582"/>
      <c r="D582" s="3">
        <v>46140.61143518519</v>
      </c>
      <c r="E582" t="inlineStr">
        <is>
          <t>Q2-W04</t>
        </is>
      </c>
      <c r="F582" t="inlineStr">
        <is>
          <t>Lucas</t>
        </is>
      </c>
      <c r="G582" t="inlineStr">
        <is>
          <t>Customer</t>
        </is>
      </c>
      <c r="H582" s="2" t="str">
        <f>=HYPERLINK("https://upbox.ajobthing.my/customer/203410", "https://upbox.ajobthing.my/customer/203410")</f>
        <v>https://upbox.ajobthing.my/customer/203410</v>
      </c>
      <c r="I582" t="inlineStr">
        <is>
          <t>VSconsultancy</t>
        </is>
      </c>
      <c r="J582" t="inlineStr">
        <is>
          <t>Whale</t>
        </is>
      </c>
      <c r="K582" t="inlineStr">
        <is>
          <t>Lucas</t>
        </is>
      </c>
      <c r="L582" s="4"/>
      <c r="M582" s="4">
        <v>46140.60780092593</v>
      </c>
      <c r="N582"/>
      <c r="O582">
        <v>3576.96</v>
      </c>
      <c r="P582" s="4"/>
      <c r="Q582" s="4"/>
      <c r="R582"/>
      <c r="S582"/>
      <c r="T582" s="4"/>
      <c r="U582" s="4"/>
      <c r="V582"/>
      <c r="W582"/>
      <c r="X582"/>
      <c r="Y582" t="inlineStr">
        <is>
          <t>Pending Appointment</t>
        </is>
      </c>
      <c r="Z582" t="inlineStr">
        <is>
          <t>Hiring Now</t>
        </is>
      </c>
      <c r="AA582">
        <v>1</v>
      </c>
      <c r="AB582" t="inlineStr">
        <is>
          <t>No Appointment Made</t>
        </is>
      </c>
      <c r="AC582"/>
      <c r="AD582" t="inlineStr">
        <is>
          <t xml:space="preserve">1 nursing </t>
        </is>
      </c>
      <c r="AE582"/>
      <c r="AF582">
        <v>800</v>
      </c>
      <c r="AG582" s="4"/>
      <c r="AH582" s="4"/>
      <c r="AI582">
        <v>800</v>
      </c>
      <c r="AJ582">
        <v>0</v>
      </c>
      <c r="AK582" t="inlineStr">
        <is>
          <t>No, I don't need at all</t>
        </is>
      </c>
      <c r="AL582">
        <v>0</v>
      </c>
      <c r="AM582" t="inlineStr">
        <is>
          <t>No, I don't need at all</t>
        </is>
      </c>
      <c r="AN582"/>
      <c r="AO582" t="inlineStr">
        <is>
          <t>No, I don't need at all</t>
        </is>
      </c>
      <c r="AP582" t="inlineStr">
        <is>
          <t>Once a year (25%)</t>
        </is>
      </c>
      <c r="AQ582">
        <v>1</v>
      </c>
      <c r="AR582" t="inlineStr">
        <is>
          <t>Did not use any job portal</t>
        </is>
      </c>
      <c r="AS582" t="inlineStr">
        <is>
          <t>- Headcount: 1
- Hiring Job Details: 1 nursing
- Hiring Urgency: Hiring Now
- Number of outlets: 0
- Have recruiter team: No, I don't need at all
- Number of recruiter in company: 0
- Have ATS system: No, I don't need at all
- Have career website: No, I don't need at all
- Current hiring budget: RM800
- Whole year budget: RM800.00
- Whole year number of vacancies: 1
- Hiring frequency: Once a year (25%)
- External job portal: Did not use any job portal</t>
        </is>
      </c>
      <c r="AT582">
        <v>115</v>
      </c>
      <c r="AU582" t="inlineStr">
        <is>
          <t>1.15</t>
        </is>
      </c>
      <c r="AV582" t="inlineStr">
        <is>
          <t>15</t>
        </is>
      </c>
      <c r="AW582" t="inlineStr">
        <is>
          <t>0</t>
        </is>
      </c>
      <c r="AX582" t="inlineStr">
        <is>
          <t>Not Qualified</t>
        </is>
      </c>
      <c r="AY582" s="4"/>
      <c r="AZ582"/>
      <c r="BA582"/>
      <c r="BB582"/>
      <c r="BC582" t="inlineStr">
        <is>
          <t>- Headcount: 1
- Hiring Job Details: 1 nursing
- Hiring Urgency: Hiring Now
- Number of outlets: 0
- Have recruiter team: No, I don't need at all
- Number of recruiter in company: 0
- Have ATS system: No, I don't need at all
- Have career website: No, I don't need at all
- Current hiring budget: RM800
- Whole year budget: RM800.00
- Whole year number of vacancies: 1
- Hiring frequency: Once a year (25%)
- External job portal: Did not use any job portal</t>
        </is>
      </c>
      <c r="BD582" s="4">
        <v>46140.625081018516</v>
      </c>
      <c r="BE582"/>
      <c r="BF582"/>
      <c r="BG582" t="inlineStr">
        <is>
          <t>Reschedule</t>
        </is>
      </c>
      <c r="BH582" t="inlineStr">
        <is>
          <t>Yee Hang</t>
        </is>
      </c>
      <c r="BI582"/>
      <c r="BJ582" s="4">
        <v>46144.75430555556</v>
      </c>
      <c r="BK582" s="4">
        <v>46132.41055555556</v>
      </c>
      <c r="BL582" t="inlineStr">
        <is>
          <t>0.0</t>
        </is>
      </c>
      <c r="BM582" t="inlineStr">
        <is>
          <t>12000.0</t>
        </is>
      </c>
      <c r="BN582" t="inlineStr">
        <is>
          <t>View Create Job Page V4</t>
        </is>
      </c>
      <c r="BO582" s="4">
        <v>46140.476793981485</v>
      </c>
      <c r="BP582">
        <v>169259</v>
      </c>
      <c r="BQ582"/>
      <c r="BR582"/>
      <c r="BS582"/>
      <c r="BT582"/>
      <c r="BU582"/>
      <c r="BV582">
        <v>2732931</v>
      </c>
      <c r="BW582" t="inlineStr">
        <is>
          <t>Customer Inquiry</t>
        </is>
      </c>
      <c r="BX582"/>
      <c r="BY582"/>
      <c r="BZ582" s="4"/>
      <c r="CA582"/>
      <c r="CB582"/>
      <c r="CC582" s="4"/>
      <c r="CD582" t="inlineStr">
        <is>
          <t>20</t>
        </is>
      </c>
      <c r="CE582" t="inlineStr">
        <is>
          <t>0</t>
        </is>
      </c>
      <c r="CF582" t="inlineStr">
        <is>
          <t>Q2-W04</t>
        </is>
      </c>
      <c r="CG582"/>
      <c r="CH582"/>
      <c r="CI582"/>
      <c r="CJ582" t="inlineStr">
        <is>
          <t>No Paid</t>
        </is>
      </c>
      <c r="CK582" t="inlineStr">
        <is>
          <t>Eligible</t>
        </is>
      </c>
      <c r="CL582"/>
      <c r="CM582"/>
    </row>
    <row r="583" ht="25.5" customHeight="1">
      <c r="A583" t="inlineStr">
        <is>
          <t>178318</t>
        </is>
      </c>
      <c r="B583" s="2"/>
      <c r="C583"/>
      <c r="D583" s="3">
        <v>46140.622349537036</v>
      </c>
      <c r="E583" t="inlineStr">
        <is>
          <t>Q2-W04</t>
        </is>
      </c>
      <c r="F583" t="inlineStr">
        <is>
          <t>Yvonne Lee</t>
        </is>
      </c>
      <c r="G583" t="inlineStr">
        <is>
          <t>Customer</t>
        </is>
      </c>
      <c r="H583" s="2" t="str">
        <f>=HYPERLINK("https://upbox.ajobthing.my/customer/178318", "https://upbox.ajobthing.my/customer/178318")</f>
        <v>https://upbox.ajobthing.my/customer/178318</v>
      </c>
      <c r="I583" t="inlineStr">
        <is>
          <t>Ahza Group</t>
        </is>
      </c>
      <c r="J583" t="inlineStr">
        <is>
          <t>Whale</t>
        </is>
      </c>
      <c r="K583" t="inlineStr">
        <is>
          <t>Yvonne</t>
        </is>
      </c>
      <c r="L583" s="4"/>
      <c r="M583" s="4">
        <v>46140.635671296295</v>
      </c>
      <c r="N583"/>
      <c r="O583">
        <v>6048</v>
      </c>
      <c r="P583" s="4"/>
      <c r="Q583" s="4"/>
      <c r="R583"/>
      <c r="S583"/>
      <c r="T583" s="4"/>
      <c r="U583" s="4"/>
      <c r="V583"/>
      <c r="W583"/>
      <c r="X583"/>
      <c r="Y583" t="inlineStr">
        <is>
          <t>Pending Appointment</t>
        </is>
      </c>
      <c r="Z583" t="inlineStr">
        <is>
          <t>Hiring Later</t>
        </is>
      </c>
      <c r="AA583">
        <v>1</v>
      </c>
      <c r="AB583" t="inlineStr">
        <is>
          <t>No Appointment Made</t>
        </is>
      </c>
      <c r="AC583"/>
      <c r="AD583" t="inlineStr">
        <is>
          <t>1) Marketing executive</t>
        </is>
      </c>
      <c r="AE583"/>
      <c r="AF583">
        <v>6000</v>
      </c>
      <c r="AG583" s="4"/>
      <c r="AH583" s="4"/>
      <c r="AI583">
        <v>6000</v>
      </c>
      <c r="AJ583">
        <v>1</v>
      </c>
      <c r="AK583" t="inlineStr">
        <is>
          <t>Yes, I have</t>
        </is>
      </c>
      <c r="AL583">
        <v>2</v>
      </c>
      <c r="AM583" t="inlineStr">
        <is>
          <t>No, I don't need at all</t>
        </is>
      </c>
      <c r="AN583"/>
      <c r="AO583" t="inlineStr">
        <is>
          <t>No, I don't need at all</t>
        </is>
      </c>
      <c r="AP583" t="inlineStr">
        <is>
          <t>Once per quarter (75%)</t>
        </is>
      </c>
      <c r="AQ583">
        <v>6</v>
      </c>
      <c r="AR583" t="inlineStr">
        <is>
          <t>Free Job Portal</t>
        </is>
      </c>
      <c r="AS583" t="inlineStr">
        <is>
          <t>- Headcount: 1
- Hiring Job Details: 1 marketing executive
- Hiring Urgency: Hiring Later
- Number of outlets: 1
- Have recruiter team: Yes
- Number of recruiter in company: 2
- Have ATS system: No, I don't need at all
- Have career website: No, I don't need at all
- Current hiring budget: RM6,000
- Whole year budget: RM6,000.00
- Whole year number of vacancies: 6
- Hiring frequency: Once per quarter (75%)
- External job portal: Free Job Portal</t>
        </is>
      </c>
      <c r="AT583">
        <v>110</v>
      </c>
      <c r="AU583" t="inlineStr">
        <is>
          <t>1.10</t>
        </is>
      </c>
      <c r="AV583" t="inlineStr">
        <is>
          <t>15</t>
        </is>
      </c>
      <c r="AW583" t="inlineStr">
        <is>
          <t>0</t>
        </is>
      </c>
      <c r="AX583" t="inlineStr">
        <is>
          <t>Not Qualified</t>
        </is>
      </c>
      <c r="AY583" s="4"/>
      <c r="AZ583"/>
      <c r="BA583"/>
      <c r="BB583"/>
      <c r="BC583" t="inlineStr">
        <is>
          <t>Quotation shared.</t>
        </is>
      </c>
      <c r="BD583" s="4">
        <v>46141.47684027778</v>
      </c>
      <c r="BE583"/>
      <c r="BF583"/>
      <c r="BG583" t="inlineStr">
        <is>
          <t>Reschedule</t>
        </is>
      </c>
      <c r="BH583" t="inlineStr">
        <is>
          <t>andy@ajobthing.com</t>
        </is>
      </c>
      <c r="BI583" t="inlineStr">
        <is>
          <t>Insurance</t>
        </is>
      </c>
      <c r="BJ583" s="4">
        <v>46144.75173611111</v>
      </c>
      <c r="BK583" s="4">
        <v>45425.50515046297</v>
      </c>
      <c r="BL583" t="inlineStr">
        <is>
          <t>0.0</t>
        </is>
      </c>
      <c r="BM583" t="inlineStr">
        <is>
          <t>0.0</t>
        </is>
      </c>
      <c r="BN583" t="inlineStr">
        <is>
          <t>User Visit(Logged In)</t>
        </is>
      </c>
      <c r="BO583" s="4">
        <v>45425.50519675926</v>
      </c>
      <c r="BP583">
        <v>169277</v>
      </c>
      <c r="BQ583"/>
      <c r="BR583"/>
      <c r="BS583"/>
      <c r="BT583"/>
      <c r="BU583"/>
      <c r="BV583">
        <v>2734723</v>
      </c>
      <c r="BW583" t="inlineStr">
        <is>
          <t>Inquire for Hiring Needs : Quotation Sent 50%</t>
        </is>
      </c>
      <c r="BX583"/>
      <c r="BY583"/>
      <c r="BZ583" s="4"/>
      <c r="CA583"/>
      <c r="CB583"/>
      <c r="CC583" s="4"/>
      <c r="CD583" t="inlineStr">
        <is>
          <t>20</t>
        </is>
      </c>
      <c r="CE583" t="inlineStr">
        <is>
          <t>0</t>
        </is>
      </c>
      <c r="CF583" t="inlineStr">
        <is>
          <t>Q2-W04</t>
        </is>
      </c>
      <c r="CG583"/>
      <c r="CH583"/>
      <c r="CI583"/>
      <c r="CJ583" t="inlineStr">
        <is>
          <t>No Paid</t>
        </is>
      </c>
      <c r="CK583" t="inlineStr">
        <is>
          <t>Eligible</t>
        </is>
      </c>
      <c r="CL583"/>
      <c r="CM583"/>
    </row>
    <row r="584" ht="25.5" customHeight="1">
      <c r="A584" t="inlineStr">
        <is>
          <t>137091</t>
        </is>
      </c>
      <c r="B584" s="2"/>
      <c r="C584"/>
      <c r="D584" s="3">
        <v>46140.650509259256</v>
      </c>
      <c r="E584" t="inlineStr">
        <is>
          <t>Q2-W04</t>
        </is>
      </c>
      <c r="F584" t="inlineStr">
        <is>
          <t>Angel  Low</t>
        </is>
      </c>
      <c r="G584" t="inlineStr">
        <is>
          <t>Customer</t>
        </is>
      </c>
      <c r="H584" s="2" t="str">
        <f>=HYPERLINK("https://upbox.ajobthing.my/customer/137091", "https://upbox.ajobthing.my/customer/137091")</f>
        <v>https://upbox.ajobthing.my/customer/137091</v>
      </c>
      <c r="I584" t="inlineStr">
        <is>
          <t>BW Yee Seng Steel Industries Sdn Bhd</t>
        </is>
      </c>
      <c r="J584" t="inlineStr">
        <is>
          <t>Whale</t>
        </is>
      </c>
      <c r="K584" t="inlineStr">
        <is>
          <t>Angel Low</t>
        </is>
      </c>
      <c r="L584" s="4"/>
      <c r="M584" s="4">
        <v>46140.65394675926</v>
      </c>
      <c r="N584"/>
      <c r="O584">
        <v>5412.96</v>
      </c>
      <c r="P584" s="4"/>
      <c r="Q584" s="4">
        <v>46136.681967592594</v>
      </c>
      <c r="R584"/>
      <c r="S584">
        <v>0</v>
      </c>
      <c r="T584" s="4">
        <v>45889.622025462966</v>
      </c>
      <c r="U584" s="4"/>
      <c r="V584"/>
      <c r="W584">
        <v>3672</v>
      </c>
      <c r="X584"/>
      <c r="Y584" t="inlineStr">
        <is>
          <t>Pending Appointment</t>
        </is>
      </c>
      <c r="Z584"/>
      <c r="AA584">
        <v>4</v>
      </c>
      <c r="AB584" t="inlineStr">
        <is>
          <t>No Appointment Made</t>
        </is>
      </c>
      <c r="AC584"/>
      <c r="AD584" t="inlineStr">
        <is>
          <t xml:space="preserve">3 sales exec mandarin speaker 1 manager </t>
        </is>
      </c>
      <c r="AE584"/>
      <c r="AF584"/>
      <c r="AG584" s="4"/>
      <c r="AH584" s="4"/>
      <c r="AI584"/>
      <c r="AJ584"/>
      <c r="AK584"/>
      <c r="AL584"/>
      <c r="AM584"/>
      <c r="AN584"/>
      <c r="AO584"/>
      <c r="AP584"/>
      <c r="AQ584"/>
      <c r="AR584"/>
      <c r="AS584" t="inlineStr">
        <is>
          <t>- Headcount: 4
- Hiring Job Details: 3 sales exec mandarin speaker, 1 manager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584">
        <v>65</v>
      </c>
      <c r="AU584" t="inlineStr">
        <is>
          <t>0.65</t>
        </is>
      </c>
      <c r="AV584" t="inlineStr">
        <is>
          <t>5</t>
        </is>
      </c>
      <c r="AW584" t="inlineStr">
        <is>
          <t>0</t>
        </is>
      </c>
      <c r="AX584" t="inlineStr">
        <is>
          <t>Not Qualified</t>
        </is>
      </c>
      <c r="AY584" s="4"/>
      <c r="AZ584"/>
      <c r="BA584"/>
      <c r="BB584"/>
      <c r="BC584" t="inlineStr">
        <is>
          <t>- Headcount: 4
- Hiring Job Details: 3 sales exec mandarin speaker, 1 manager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BD584" s="4">
        <v>46140.66670138889</v>
      </c>
      <c r="BE584" t="inlineStr">
        <is>
          <t>paid</t>
        </is>
      </c>
      <c r="BF584"/>
      <c r="BG584" t="inlineStr">
        <is>
          <t>Reschedule</t>
        </is>
      </c>
      <c r="BH584" t="inlineStr">
        <is>
          <t>Fauziah Maharan</t>
        </is>
      </c>
      <c r="BI584" t="inlineStr">
        <is>
          <t>Manufacturing / Production</t>
        </is>
      </c>
      <c r="BJ584" s="4">
        <v>46144.75059027778</v>
      </c>
      <c r="BK584" s="4">
        <v>44300.61834490741</v>
      </c>
      <c r="BL584" t="inlineStr">
        <is>
          <t>6588.0</t>
        </is>
      </c>
      <c r="BM584" t="inlineStr">
        <is>
          <t>8400.0</t>
        </is>
      </c>
      <c r="BN584" t="inlineStr">
        <is>
          <t>People Search Page : Unlock Candidate</t>
        </is>
      </c>
      <c r="BO584" s="4">
        <v>46141.767118055555</v>
      </c>
      <c r="BP584">
        <v>169298</v>
      </c>
      <c r="BQ584">
        <v>123693</v>
      </c>
      <c r="BR584" t="inlineStr">
        <is>
          <t>Proforma</t>
        </is>
      </c>
      <c r="BS584" t="inlineStr">
        <is>
          <t>Free Part-Time Job</t>
        </is>
      </c>
      <c r="BT584">
        <v>81712</v>
      </c>
      <c r="BU584"/>
      <c r="BV584">
        <v>2733285</v>
      </c>
      <c r="BW584" t="inlineStr">
        <is>
          <t>Customer Inquiry</t>
        </is>
      </c>
      <c r="BX584">
        <v>6</v>
      </c>
      <c r="BY584">
        <v>0</v>
      </c>
      <c r="BZ584" s="4">
        <v>46030.728634259256</v>
      </c>
      <c r="CA584">
        <v>60</v>
      </c>
      <c r="CB584">
        <v>37</v>
      </c>
      <c r="CC584" s="4">
        <v>46141.767118055555</v>
      </c>
      <c r="CD584" t="inlineStr">
        <is>
          <t>5</t>
        </is>
      </c>
      <c r="CE584" t="inlineStr">
        <is>
          <t>0</t>
        </is>
      </c>
      <c r="CF584" t="inlineStr">
        <is>
          <t>Q2-W04</t>
        </is>
      </c>
      <c r="CG584" t="inlineStr">
        <is>
          <t>Q2-W04</t>
        </is>
      </c>
      <c r="CH584"/>
      <c r="CI584"/>
      <c r="CJ584" t="inlineStr">
        <is>
          <t>Paid</t>
        </is>
      </c>
      <c r="CK584" t="inlineStr">
        <is>
          <t>Eligible</t>
        </is>
      </c>
      <c r="CL584"/>
      <c r="CM584"/>
    </row>
    <row r="585" ht="25.5" customHeight="1">
      <c r="A585" t="inlineStr">
        <is>
          <t>46408</t>
        </is>
      </c>
      <c r="B585" s="2"/>
      <c r="C585"/>
      <c r="D585" s="3">
        <v>46140.65215277778</v>
      </c>
      <c r="E585" t="inlineStr">
        <is>
          <t>Q2-W04</t>
        </is>
      </c>
      <c r="F585" t="inlineStr">
        <is>
          <t>Yvonne Lee</t>
        </is>
      </c>
      <c r="G585" t="inlineStr">
        <is>
          <t>Customer</t>
        </is>
      </c>
      <c r="H585" s="2" t="str">
        <f>=HYPERLINK("https://upbox.ajobthing.my/customer/46408", "https://upbox.ajobthing.my/customer/46408")</f>
        <v>https://upbox.ajobthing.my/customer/46408</v>
      </c>
      <c r="I585" t="inlineStr">
        <is>
          <t>Syncmax Management</t>
        </is>
      </c>
      <c r="J585" t="inlineStr">
        <is>
          <t>Whale</t>
        </is>
      </c>
      <c r="K585" t="inlineStr">
        <is>
          <t>Yvonne</t>
        </is>
      </c>
      <c r="L585" s="4"/>
      <c r="M585" s="4">
        <v>46094.76755787037</v>
      </c>
      <c r="N585"/>
      <c r="O585">
        <v>3888</v>
      </c>
      <c r="P585" s="4"/>
      <c r="Q585" s="4">
        <v>46141.672430555554</v>
      </c>
      <c r="R585"/>
      <c r="S585">
        <v>3888</v>
      </c>
      <c r="T585" s="4">
        <v>46141.672430555554</v>
      </c>
      <c r="U585" s="4"/>
      <c r="V585"/>
      <c r="W585">
        <v>3888</v>
      </c>
      <c r="X585"/>
      <c r="Y585" t="inlineStr">
        <is>
          <t>Pending Appointment</t>
        </is>
      </c>
      <c r="Z585" t="inlineStr">
        <is>
          <t>Hiring Now</t>
        </is>
      </c>
      <c r="AA585">
        <v>1</v>
      </c>
      <c r="AB585" t="inlineStr">
        <is>
          <t>No Appointment Made</t>
        </is>
      </c>
      <c r="AC585"/>
      <c r="AD585" t="inlineStr">
        <is>
          <t>1) Marketing</t>
        </is>
      </c>
      <c r="AE585"/>
      <c r="AF585">
        <v>5000</v>
      </c>
      <c r="AG585" s="4"/>
      <c r="AH585" s="4"/>
      <c r="AI585">
        <v>5000</v>
      </c>
      <c r="AJ585">
        <v>1</v>
      </c>
      <c r="AK585" t="inlineStr">
        <is>
          <t>Yes, I have</t>
        </is>
      </c>
      <c r="AL585">
        <v>2</v>
      </c>
      <c r="AM585" t="inlineStr">
        <is>
          <t>No, but I want in future</t>
        </is>
      </c>
      <c r="AN585"/>
      <c r="AO585" t="inlineStr">
        <is>
          <t>No, I don't need at all</t>
        </is>
      </c>
      <c r="AP585" t="inlineStr">
        <is>
          <t>Once per quarter (75%)</t>
        </is>
      </c>
      <c r="AQ585">
        <v>6</v>
      </c>
      <c r="AR585" t="inlineStr">
        <is>
          <t>Jobstreet</t>
        </is>
      </c>
      <c r="AS585" t="inlineStr">
        <is>
          <t>- Headcount: 1
- Hiring Job Details: 1 Marketing
- Number of outlets: 1
- Have recruiter team: Yes
- Number of recruiter in company: 2
- Have ATS system: No, but want in future
- Have career website: No at all
- Current hiring budget: RM5,000
- Hiring frequency: Once per quarter (75%)
- Whole year budget: RM5,000.00
- Whole year number of vacancies: 6
- External job portal: Jobstreet
- Hiring Urgency: Hiring Now</t>
        </is>
      </c>
      <c r="AT585">
        <v>115</v>
      </c>
      <c r="AU585" t="inlineStr">
        <is>
          <t>1.15</t>
        </is>
      </c>
      <c r="AV585" t="inlineStr">
        <is>
          <t>15</t>
        </is>
      </c>
      <c r="AW585" t="inlineStr">
        <is>
          <t>0</t>
        </is>
      </c>
      <c r="AX585" t="inlineStr">
        <is>
          <t>Not Qualified</t>
        </is>
      </c>
      <c r="AY585" s="4"/>
      <c r="AZ585"/>
      <c r="BA585"/>
      <c r="BB585"/>
      <c r="BC585" t="inlineStr">
        <is>
          <t>- Headcount: 1
- Hiring Job Details: 1 Marketing
- Number of outlets: 1
- Have recruiter team: Yes
- Number of recruiter in company: 2
- Have ATS system: No, but want in future
- Have career website: No at all
- Current hiring budget: RM5,000
- Hiring frequency: Once per quarter (75%)
- Whole year budget: RM5,000.00
- Whole year number of vacancies: 6
- External job portal: Jobstreet
- Hiring Urgency: Hiring Now</t>
        </is>
      </c>
      <c r="BD585" s="4">
        <v>46140.66670138889</v>
      </c>
      <c r="BE585" t="inlineStr">
        <is>
          <t>paid</t>
        </is>
      </c>
      <c r="BF585" t="inlineStr">
        <is>
          <t>Q2-W04</t>
        </is>
      </c>
      <c r="BG585" t="inlineStr">
        <is>
          <t>Reschedule</t>
        </is>
      </c>
      <c r="BH585" t="inlineStr">
        <is>
          <t>andy@ajobthing.com</t>
        </is>
      </c>
      <c r="BI585" t="inlineStr">
        <is>
          <t>Exhibitions / Event Mgmt</t>
        </is>
      </c>
      <c r="BJ585" s="4">
        <v>46144.756006944444</v>
      </c>
      <c r="BK585" s="4">
        <v>43158.60755787037</v>
      </c>
      <c r="BL585" t="inlineStr">
        <is>
          <t>10152.0</t>
        </is>
      </c>
      <c r="BM585" t="inlineStr">
        <is>
          <t>0.0</t>
        </is>
      </c>
      <c r="BN585" t="inlineStr">
        <is>
          <t>View Company Page</t>
        </is>
      </c>
      <c r="BO585" s="4">
        <v>46142.62258101852</v>
      </c>
      <c r="BP585">
        <v>162342</v>
      </c>
      <c r="BQ585">
        <v>7738</v>
      </c>
      <c r="BR585" t="inlineStr">
        <is>
          <t>Manual (Paid)</t>
        </is>
      </c>
      <c r="BS585"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585">
        <v>7738</v>
      </c>
      <c r="BU585"/>
      <c r="BV585">
        <v>2733286</v>
      </c>
      <c r="BW585" t="inlineStr">
        <is>
          <t>Customer Inquiry</t>
        </is>
      </c>
      <c r="BX585">
        <v>18</v>
      </c>
      <c r="BY585">
        <v>5</v>
      </c>
      <c r="BZ585" s="4">
        <v>46142.535775462966</v>
      </c>
      <c r="CA585">
        <v>180</v>
      </c>
      <c r="CB585">
        <v>180</v>
      </c>
      <c r="CC585" s="4"/>
      <c r="CD585" t="inlineStr">
        <is>
          <t>20</t>
        </is>
      </c>
      <c r="CE585" t="inlineStr">
        <is>
          <t>0</t>
        </is>
      </c>
      <c r="CF585" t="inlineStr">
        <is>
          <t>Q1-W11</t>
        </is>
      </c>
      <c r="CG585" t="inlineStr">
        <is>
          <t>Q2-W04</t>
        </is>
      </c>
      <c r="CH585" t="inlineStr">
        <is>
          <t>Q2-W04</t>
        </is>
      </c>
      <c r="CI585"/>
      <c r="CJ585" t="inlineStr">
        <is>
          <t>Paid</t>
        </is>
      </c>
      <c r="CK585" t="inlineStr">
        <is>
          <t>Eligible</t>
        </is>
      </c>
      <c r="CL585"/>
      <c r="CM585"/>
    </row>
    <row r="586" ht="25.5" customHeight="1">
      <c r="A586" t="inlineStr">
        <is>
          <t>193636</t>
        </is>
      </c>
      <c r="B586" s="2"/>
      <c r="C586"/>
      <c r="D586" s="3">
        <v>46140.697916666664</v>
      </c>
      <c r="E586" t="inlineStr">
        <is>
          <t>Q2-W04</t>
        </is>
      </c>
      <c r="F586" t="inlineStr">
        <is>
          <t>Ken Yi</t>
        </is>
      </c>
      <c r="G586" t="inlineStr">
        <is>
          <t>Customer</t>
        </is>
      </c>
      <c r="H586" s="2" t="str">
        <f>=HYPERLINK("https://upbox.ajobthing.my/customer/193636", "https://upbox.ajobthing.my/customer/193636")</f>
        <v>https://upbox.ajobthing.my/customer/193636</v>
      </c>
      <c r="I586" t="inlineStr">
        <is>
          <t>Jiabeikang Sdn Bhd</t>
        </is>
      </c>
      <c r="J586" t="inlineStr">
        <is>
          <t>Whale</t>
        </is>
      </c>
      <c r="K586" t="inlineStr">
        <is>
          <t>Kenyi</t>
        </is>
      </c>
      <c r="L586" s="4"/>
      <c r="M586" s="4">
        <v>46140.699837962966</v>
      </c>
      <c r="N586"/>
      <c r="O586">
        <v>3576.96</v>
      </c>
      <c r="P586" s="4"/>
      <c r="Q586" s="4">
        <v>46100.61537037037</v>
      </c>
      <c r="R586"/>
      <c r="S586">
        <v>1620</v>
      </c>
      <c r="T586" s="4">
        <v>46100.61537037037</v>
      </c>
      <c r="U586" s="4"/>
      <c r="V586"/>
      <c r="W586">
        <v>1620</v>
      </c>
      <c r="X586"/>
      <c r="Y586" t="inlineStr">
        <is>
          <t>Pending Appointment</t>
        </is>
      </c>
      <c r="Z586" t="inlineStr">
        <is>
          <t>Hiring Now</t>
        </is>
      </c>
      <c r="AA586">
        <v>1</v>
      </c>
      <c r="AB586" t="inlineStr">
        <is>
          <t>No Appointment Made</t>
        </is>
      </c>
      <c r="AC586"/>
      <c r="AD586" t="inlineStr">
        <is>
          <t>Live Host very important urgent 1</t>
        </is>
      </c>
      <c r="AE586"/>
      <c r="AF586">
        <v>3576.96</v>
      </c>
      <c r="AG586" s="4"/>
      <c r="AH586" s="4"/>
      <c r="AI586">
        <v>0</v>
      </c>
      <c r="AJ586">
        <v>1</v>
      </c>
      <c r="AK586" t="inlineStr">
        <is>
          <t>Yes, I have</t>
        </is>
      </c>
      <c r="AL586">
        <v>1</v>
      </c>
      <c r="AM586" t="inlineStr">
        <is>
          <t>No, I don't need at all</t>
        </is>
      </c>
      <c r="AN586"/>
      <c r="AO586" t="inlineStr">
        <is>
          <t>No, I don't need at all</t>
        </is>
      </c>
      <c r="AP586" t="inlineStr">
        <is>
          <t>Every month (100%)</t>
        </is>
      </c>
      <c r="AQ586">
        <v>5</v>
      </c>
      <c r="AR586" t="inlineStr">
        <is>
          <t>Did not use any job portal</t>
        </is>
      </c>
      <c r="AS586" t="inlineStr">
        <is>
          <t>- Headcount: 1
- Hiring Job Details: 1 very important urgent Live Host
- Hiring Urgency: Hiring Now
- Number of outlets: 1
- Have recruiter team: Yes
- Number of recruiter in company: 1
- Have ATS system: No, don't need at all
- Have career website: No, don't need at all
- Current hiring budget: RM3,577
- Whole year budget: RM0.00
- Whole year number of vacancies: 5
- Hiring frequency: Every month (100%)
- External job portal: Did not use any</t>
        </is>
      </c>
      <c r="AT586">
        <v>110</v>
      </c>
      <c r="AU586" t="inlineStr">
        <is>
          <t>1.10</t>
        </is>
      </c>
      <c r="AV586" t="inlineStr">
        <is>
          <t>15</t>
        </is>
      </c>
      <c r="AW586" t="inlineStr">
        <is>
          <t>0</t>
        </is>
      </c>
      <c r="AX586" t="inlineStr">
        <is>
          <t>Not Qualified</t>
        </is>
      </c>
      <c r="AY586" s="4"/>
      <c r="AZ586"/>
      <c r="BA586"/>
      <c r="BB586"/>
      <c r="BC586" t="inlineStr">
        <is>
          <t>Very very bad response for the live host</t>
        </is>
      </c>
      <c r="BD586" s="4">
        <v>46141.45819444444</v>
      </c>
      <c r="BE586" t="inlineStr">
        <is>
          <t>paid</t>
        </is>
      </c>
      <c r="BF586" t="inlineStr">
        <is>
          <t>Q1-W11</t>
        </is>
      </c>
      <c r="BG586" t="inlineStr">
        <is>
          <t>Reschedule</t>
        </is>
      </c>
      <c r="BH586" t="inlineStr">
        <is>
          <t>Fauziah Maharan</t>
        </is>
      </c>
      <c r="BI586" t="inlineStr">
        <is>
          <t>Business / Mgmt Consulting</t>
        </is>
      </c>
      <c r="BJ586" s="4">
        <v>46144.75263888889</v>
      </c>
      <c r="BK586" s="4">
        <v>45849.4984375</v>
      </c>
      <c r="BL586" t="inlineStr">
        <is>
          <t>6588.0</t>
        </is>
      </c>
      <c r="BM586" t="inlineStr">
        <is>
          <t>0.0</t>
        </is>
      </c>
      <c r="BN586" t="inlineStr">
        <is>
          <t>People Search Page : Unlock Candidate</t>
        </is>
      </c>
      <c r="BO586" s="4">
        <v>46142.66648148148</v>
      </c>
      <c r="BP586">
        <v>169339</v>
      </c>
      <c r="BQ586">
        <v>7483</v>
      </c>
      <c r="BR586" t="inlineStr">
        <is>
          <t>Manual (Paid)</t>
        </is>
      </c>
      <c r="BS586" t="inlineStr">
        <is>
          <t>AI Candidate Search 100
- AI Candidate Search Package for 80+20 Profiles
- Retrieve 80 profiles and contact with 80+20 candidates
- Package valid for 3 months
- Access to My Talent Pool
- Access to Chat
- AJobThing Care included
方案详情：
80+20 份人才档案 AI 搜才套餐
获取 80 份档案并联系 80+20 位候选人
方案有效期为 3 个月
访问“我的专属人才库” (My Talent Pool)
使用即时聊天功能 (Chat)
包含 AJobThing 招聘保障服务 (AJobThing Care)</t>
        </is>
      </c>
      <c r="BT586">
        <v>7483</v>
      </c>
      <c r="BU586"/>
      <c r="BV586">
        <v>2734561</v>
      </c>
      <c r="BW586" t="inlineStr">
        <is>
          <t>Service / Technical : Job Outcome Enquiry</t>
        </is>
      </c>
      <c r="BX586">
        <v>6</v>
      </c>
      <c r="BY586">
        <v>0</v>
      </c>
      <c r="BZ586" s="4">
        <v>46136.61951388889</v>
      </c>
      <c r="CA586">
        <v>160</v>
      </c>
      <c r="CB586">
        <v>42</v>
      </c>
      <c r="CC586" s="4">
        <v>46142.66646990741</v>
      </c>
      <c r="CD586" t="inlineStr">
        <is>
          <t>20</t>
        </is>
      </c>
      <c r="CE586" t="inlineStr">
        <is>
          <t>0</t>
        </is>
      </c>
      <c r="CF586" t="inlineStr">
        <is>
          <t>Q2-W04</t>
        </is>
      </c>
      <c r="CG586" t="inlineStr">
        <is>
          <t>Q1-W11</t>
        </is>
      </c>
      <c r="CH586" t="inlineStr">
        <is>
          <t>Q1-W11</t>
        </is>
      </c>
      <c r="CI586"/>
      <c r="CJ586" t="inlineStr">
        <is>
          <t>Paid</t>
        </is>
      </c>
      <c r="CK586" t="inlineStr">
        <is>
          <t>Eligible</t>
        </is>
      </c>
      <c r="CL586"/>
      <c r="CM586"/>
    </row>
    <row r="587" ht="25.5" customHeight="1">
      <c r="A587" t="inlineStr">
        <is>
          <t>200657</t>
        </is>
      </c>
      <c r="B587" s="2"/>
      <c r="C587"/>
      <c r="D587" s="3">
        <v>46140.71366898148</v>
      </c>
      <c r="E587" t="inlineStr">
        <is>
          <t>Q2-W04</t>
        </is>
      </c>
      <c r="F587" t="inlineStr">
        <is>
          <t>Alan KY</t>
        </is>
      </c>
      <c r="G587" t="inlineStr">
        <is>
          <t>Customer</t>
        </is>
      </c>
      <c r="H587" s="2" t="str">
        <f>=HYPERLINK("https://upbox.ajobthing.my/customer/200657", "https://upbox.ajobthing.my/customer/200657")</f>
        <v>https://upbox.ajobthing.my/customer/200657</v>
      </c>
      <c r="I587" t="inlineStr">
        <is>
          <t>Gagasan Nadi Cergas Sdn Bhd</t>
        </is>
      </c>
      <c r="J587" t="inlineStr">
        <is>
          <t>Whale</t>
        </is>
      </c>
      <c r="K587" t="inlineStr">
        <is>
          <t>Alan KY</t>
        </is>
      </c>
      <c r="L587" s="4"/>
      <c r="M587" s="4">
        <v>46140.714467592596</v>
      </c>
      <c r="N587"/>
      <c r="O587">
        <v>5412.96</v>
      </c>
      <c r="P587" s="4"/>
      <c r="Q587" s="4"/>
      <c r="R587"/>
      <c r="S587"/>
      <c r="T587" s="4"/>
      <c r="U587" s="4"/>
      <c r="V587"/>
      <c r="W587"/>
      <c r="X587"/>
      <c r="Y587" t="inlineStr">
        <is>
          <t>Pending Appointment</t>
        </is>
      </c>
      <c r="Z587" t="inlineStr">
        <is>
          <t>Hiring Now</t>
        </is>
      </c>
      <c r="AA587">
        <v>10</v>
      </c>
      <c r="AB587" t="inlineStr">
        <is>
          <t>No Appointment Made</t>
        </is>
      </c>
      <c r="AC587"/>
      <c r="AD587" t="inlineStr">
        <is>
          <t xml:space="preserve">10 position, based in selangor </t>
        </is>
      </c>
      <c r="AE587"/>
      <c r="AF587"/>
      <c r="AG587" s="4"/>
      <c r="AH587" s="4"/>
      <c r="AI587"/>
      <c r="AJ587">
        <v>1</v>
      </c>
      <c r="AK587" t="inlineStr">
        <is>
          <t>No, I don't need at all</t>
        </is>
      </c>
      <c r="AL587">
        <v>0</v>
      </c>
      <c r="AM587" t="inlineStr">
        <is>
          <t>No, I don't need at all</t>
        </is>
      </c>
      <c r="AN587"/>
      <c r="AO587" t="inlineStr">
        <is>
          <t>No, I don't need at all</t>
        </is>
      </c>
      <c r="AP587" t="inlineStr">
        <is>
          <t>Once per quarter (75%)</t>
        </is>
      </c>
      <c r="AQ587"/>
      <c r="AR587" t="inlineStr">
        <is>
          <t>Jobstreet</t>
        </is>
      </c>
      <c r="AS587" t="inlineStr">
        <is>
          <t>- Headcount: 10
- Hiring Job Details: 10 positions, based in Selangor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587">
        <v>85</v>
      </c>
      <c r="AU587" t="inlineStr">
        <is>
          <t>0.85</t>
        </is>
      </c>
      <c r="AV587" t="inlineStr">
        <is>
          <t>10</t>
        </is>
      </c>
      <c r="AW587" t="inlineStr">
        <is>
          <t>0</t>
        </is>
      </c>
      <c r="AX587" t="inlineStr">
        <is>
          <t>Not Qualified</t>
        </is>
      </c>
      <c r="AY587" s="4"/>
      <c r="AZ587"/>
      <c r="BA587"/>
      <c r="BB587"/>
      <c r="BC587" t="inlineStr">
        <is>
          <t>- Headcount: 10
- Hiring Job Details: 10 positions, based in Selangor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BD587" s="4">
        <v>46140.750231481485</v>
      </c>
      <c r="BE587"/>
      <c r="BF587"/>
      <c r="BG587" t="inlineStr">
        <is>
          <t>Reschedule</t>
        </is>
      </c>
      <c r="BH587" t="inlineStr">
        <is>
          <t>Reagen</t>
        </is>
      </c>
      <c r="BI587"/>
      <c r="BJ587" s="4">
        <v>46144.75361111111</v>
      </c>
      <c r="BK587" s="4">
        <v>46048.37458333333</v>
      </c>
      <c r="BL587" t="inlineStr">
        <is>
          <t>0.0</t>
        </is>
      </c>
      <c r="BM587" t="inlineStr">
        <is>
          <t>6000.0</t>
        </is>
      </c>
      <c r="BN587" t="inlineStr">
        <is>
          <t>View Company Page</t>
        </is>
      </c>
      <c r="BO587" s="4">
        <v>46048.383680555555</v>
      </c>
      <c r="BP587">
        <v>169353</v>
      </c>
      <c r="BQ587"/>
      <c r="BR587"/>
      <c r="BS587"/>
      <c r="BT587"/>
      <c r="BU587"/>
      <c r="BV587">
        <v>2733941</v>
      </c>
      <c r="BW587" t="inlineStr">
        <is>
          <t>Customer Inquiry</t>
        </is>
      </c>
      <c r="BX587"/>
      <c r="BY587"/>
      <c r="BZ587" s="4"/>
      <c r="CA587"/>
      <c r="CB587"/>
      <c r="CC587" s="4"/>
      <c r="CD587" t="inlineStr">
        <is>
          <t>15</t>
        </is>
      </c>
      <c r="CE587" t="inlineStr">
        <is>
          <t>0</t>
        </is>
      </c>
      <c r="CF587" t="inlineStr">
        <is>
          <t>Q2-W04</t>
        </is>
      </c>
      <c r="CG587"/>
      <c r="CH587"/>
      <c r="CI587"/>
      <c r="CJ587" t="inlineStr">
        <is>
          <t>No Paid</t>
        </is>
      </c>
      <c r="CK587" t="inlineStr">
        <is>
          <t>Eligible</t>
        </is>
      </c>
      <c r="CL587"/>
      <c r="CM587"/>
    </row>
    <row r="588" ht="25.5" customHeight="1">
      <c r="A588" t="inlineStr">
        <is>
          <t>197082</t>
        </is>
      </c>
      <c r="B588" s="2"/>
      <c r="C588"/>
      <c r="D588" s="3">
        <v>46140.71672453704</v>
      </c>
      <c r="E588" t="inlineStr">
        <is>
          <t>Q2-W04</t>
        </is>
      </c>
      <c r="F588" t="inlineStr">
        <is>
          <t>Chia Yee</t>
        </is>
      </c>
      <c r="G588" t="inlineStr">
        <is>
          <t>Customer</t>
        </is>
      </c>
      <c r="H588" s="2" t="str">
        <f>=HYPERLINK("https://upbox.ajobthing.my/customer/197082", "https://upbox.ajobthing.my/customer/197082")</f>
        <v>https://upbox.ajobthing.my/customer/197082</v>
      </c>
      <c r="I588" t="inlineStr">
        <is>
          <t>Iswanah Resources Sdn. Bhd.</t>
        </is>
      </c>
      <c r="J588" t="inlineStr">
        <is>
          <t>Whale</t>
        </is>
      </c>
      <c r="K588" t="inlineStr">
        <is>
          <t>Chia Yee</t>
        </is>
      </c>
      <c r="L588" s="4"/>
      <c r="M588" s="4">
        <v>46140.7172337963</v>
      </c>
      <c r="N588"/>
      <c r="O588">
        <v>4656.96</v>
      </c>
      <c r="P588" s="4"/>
      <c r="Q588" s="4">
        <v>45995.62378472222</v>
      </c>
      <c r="R588"/>
      <c r="S588">
        <v>0</v>
      </c>
      <c r="T588" s="4">
        <v>45945.51478009259</v>
      </c>
      <c r="U588" s="4"/>
      <c r="V588"/>
      <c r="W588">
        <v>864</v>
      </c>
      <c r="X588"/>
      <c r="Y588" t="inlineStr">
        <is>
          <t>Pending Appointment</t>
        </is>
      </c>
      <c r="Z588" t="inlineStr">
        <is>
          <t>Continuous Hiring</t>
        </is>
      </c>
      <c r="AA588">
        <v>4</v>
      </c>
      <c r="AB588" t="inlineStr">
        <is>
          <t>No Appointment Made</t>
        </is>
      </c>
      <c r="AC588"/>
      <c r="AD588" t="inlineStr">
        <is>
          <t xml:space="preserve"> 4 phsiotherapy</t>
        </is>
      </c>
      <c r="AE588"/>
      <c r="AF588">
        <v>0</v>
      </c>
      <c r="AG588" s="4"/>
      <c r="AH588" s="4"/>
      <c r="AI588">
        <v>0</v>
      </c>
      <c r="AJ588">
        <v>1</v>
      </c>
      <c r="AK588" t="inlineStr">
        <is>
          <t>No, I don't need at all</t>
        </is>
      </c>
      <c r="AL588">
        <v>1</v>
      </c>
      <c r="AM588" t="inlineStr">
        <is>
          <t>No, I don't need at all</t>
        </is>
      </c>
      <c r="AN588"/>
      <c r="AO588" t="inlineStr">
        <is>
          <t>No, I don't need at all</t>
        </is>
      </c>
      <c r="AP588" t="inlineStr">
        <is>
          <t>Once a year (25%)</t>
        </is>
      </c>
      <c r="AQ588">
        <v>4</v>
      </c>
      <c r="AR588" t="inlineStr">
        <is>
          <t>Did not use any job portal</t>
        </is>
      </c>
      <c r="AS588" t="inlineStr">
        <is>
          <t>- Headcount: 4
- Hiring Job Details: 4 physiotherapy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4
- Hiring frequency: Once a year (25%)
- External job portal: Did not use any job portal</t>
        </is>
      </c>
      <c r="AT588">
        <v>110</v>
      </c>
      <c r="AU588" t="inlineStr">
        <is>
          <t>1.10</t>
        </is>
      </c>
      <c r="AV588" t="inlineStr">
        <is>
          <t>15</t>
        </is>
      </c>
      <c r="AW588" t="inlineStr">
        <is>
          <t>0</t>
        </is>
      </c>
      <c r="AX588" t="inlineStr">
        <is>
          <t>Not Qualified</t>
        </is>
      </c>
      <c r="AY588" s="4"/>
      <c r="AZ588"/>
      <c r="BA588"/>
      <c r="BB588"/>
      <c r="BC588" t="inlineStr">
        <is>
          <t>Called, no ans. WA</t>
        </is>
      </c>
      <c r="BD588" s="4">
        <v>46142.44484953704</v>
      </c>
      <c r="BE588" t="inlineStr">
        <is>
          <t>paid</t>
        </is>
      </c>
      <c r="BF588"/>
      <c r="BG588" t="inlineStr">
        <is>
          <t>Reschedule</t>
        </is>
      </c>
      <c r="BH588" t="inlineStr">
        <is>
          <t>Reagen</t>
        </is>
      </c>
      <c r="BI588"/>
      <c r="BJ588" s="4">
        <v>46144.752858796295</v>
      </c>
      <c r="BK588" s="4">
        <v>45940.43274305556</v>
      </c>
      <c r="BL588" t="inlineStr">
        <is>
          <t>864.0</t>
        </is>
      </c>
      <c r="BM588" t="inlineStr">
        <is>
          <t>600.0</t>
        </is>
      </c>
      <c r="BN588" t="inlineStr">
        <is>
          <t>PA Email CTA Click</t>
        </is>
      </c>
      <c r="BO588" s="4">
        <v>46034.44747685185</v>
      </c>
      <c r="BP588">
        <v>169355</v>
      </c>
      <c r="BQ588">
        <v>112637</v>
      </c>
      <c r="BR588" t="inlineStr">
        <is>
          <t>Proforma</t>
        </is>
      </c>
      <c r="BS588" t="inlineStr">
        <is>
          <t>A La Carte AI Job Ad Free</t>
        </is>
      </c>
      <c r="BT588">
        <v>83306</v>
      </c>
      <c r="BU588"/>
      <c r="BV588">
        <v>2736828</v>
      </c>
      <c r="BW588" t="inlineStr">
        <is>
          <t>No Answer : Voicemail - WA sent to customer</t>
        </is>
      </c>
      <c r="BX588"/>
      <c r="BY588"/>
      <c r="BZ588" s="4"/>
      <c r="CA588"/>
      <c r="CB588"/>
      <c r="CC588" s="4"/>
      <c r="CD588" t="inlineStr">
        <is>
          <t>20</t>
        </is>
      </c>
      <c r="CE588" t="inlineStr">
        <is>
          <t>0</t>
        </is>
      </c>
      <c r="CF588" t="inlineStr">
        <is>
          <t>Q2-W04</t>
        </is>
      </c>
      <c r="CG588"/>
      <c r="CH588"/>
      <c r="CI588"/>
      <c r="CJ588" t="inlineStr">
        <is>
          <t>Paid</t>
        </is>
      </c>
      <c r="CK588" t="inlineStr">
        <is>
          <t>Eligible</t>
        </is>
      </c>
      <c r="CL588"/>
      <c r="CM588"/>
    </row>
    <row r="589" ht="25.5" customHeight="1">
      <c r="A589" t="inlineStr">
        <is>
          <t>190991</t>
        </is>
      </c>
      <c r="B589" s="2"/>
      <c r="C589"/>
      <c r="D589" s="3">
        <v>46140.71912037037</v>
      </c>
      <c r="E589" t="inlineStr">
        <is>
          <t>Q2-W04</t>
        </is>
      </c>
      <c r="F589" t="inlineStr">
        <is>
          <t>Yuli</t>
        </is>
      </c>
      <c r="G589" t="inlineStr">
        <is>
          <t>Customer</t>
        </is>
      </c>
      <c r="H589" s="2" t="str">
        <f>=HYPERLINK("https://upbox.ajobthing.my/customer/190991", "https://upbox.ajobthing.my/customer/190991")</f>
        <v>https://upbox.ajobthing.my/customer/190991</v>
      </c>
      <c r="I589" t="inlineStr">
        <is>
          <t>Hai Kah Lang Sdn Bhd</t>
        </is>
      </c>
      <c r="J589" t="inlineStr">
        <is>
          <t>Whale</t>
        </is>
      </c>
      <c r="K589" t="inlineStr">
        <is>
          <t>YuLi</t>
        </is>
      </c>
      <c r="L589" s="4"/>
      <c r="M589" s="4">
        <v>46140.70196759259</v>
      </c>
      <c r="N589"/>
      <c r="O589">
        <v>10381</v>
      </c>
      <c r="P589" s="4"/>
      <c r="Q589" s="4">
        <v>45796.45178240741</v>
      </c>
      <c r="R589"/>
      <c r="S589">
        <v>9612</v>
      </c>
      <c r="T589" s="4">
        <v>45796.45178240741</v>
      </c>
      <c r="U589" s="4"/>
      <c r="V589"/>
      <c r="W589">
        <v>9612</v>
      </c>
      <c r="X589"/>
      <c r="Y589" t="inlineStr">
        <is>
          <t>Pending Appointment</t>
        </is>
      </c>
      <c r="Z589" t="inlineStr">
        <is>
          <t>Hiring Now</t>
        </is>
      </c>
      <c r="AA589">
        <v>3</v>
      </c>
      <c r="AB589" t="inlineStr">
        <is>
          <t>No Appointment Made</t>
        </is>
      </c>
      <c r="AC589"/>
      <c r="AD589" t="inlineStr">
        <is>
          <t>Supply Chain
HR
Service Crew</t>
        </is>
      </c>
      <c r="AE589"/>
      <c r="AF589"/>
      <c r="AG589" s="4"/>
      <c r="AH589" s="4"/>
      <c r="AI589"/>
      <c r="AJ589"/>
      <c r="AK589" t="inlineStr">
        <is>
          <t>No, I don't need at all</t>
        </is>
      </c>
      <c r="AL589"/>
      <c r="AM589"/>
      <c r="AN589"/>
      <c r="AO589"/>
      <c r="AP589" t="inlineStr">
        <is>
          <t>Every month (100%)</t>
        </is>
      </c>
      <c r="AQ589"/>
      <c r="AR589" t="inlineStr">
        <is>
          <t>Jobstreet</t>
        </is>
      </c>
      <c r="AS589" t="inlineStr">
        <is>
          <t>- Headcount: 3
- Hiring Job Details: Supply Chain, HR, Service Crew
- Hiring Urgency: Hiring Now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Every month (100%)
- External job portal: Jobstreet</t>
        </is>
      </c>
      <c r="AT589">
        <v>75</v>
      </c>
      <c r="AU589" t="inlineStr">
        <is>
          <t>0.75</t>
        </is>
      </c>
      <c r="AV589" t="inlineStr">
        <is>
          <t>5</t>
        </is>
      </c>
      <c r="AW589" t="inlineStr">
        <is>
          <t>0</t>
        </is>
      </c>
      <c r="AX589" t="inlineStr">
        <is>
          <t>Not Qualified</t>
        </is>
      </c>
      <c r="AY589" s="4"/>
      <c r="AZ589"/>
      <c r="BA589"/>
      <c r="BB589"/>
      <c r="BC589" t="inlineStr">
        <is>
          <t>- Headcount: 3
- Hiring Job Details: Supply Chain, HR, Service Crew
- Hiring Urgency: Hiring Now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Every month (100%)
- External job portal: Jobstreet</t>
        </is>
      </c>
      <c r="BD589" s="4">
        <v>46140.750231481485</v>
      </c>
      <c r="BE589" t="inlineStr">
        <is>
          <t>paid</t>
        </is>
      </c>
      <c r="BF589"/>
      <c r="BG589" t="inlineStr">
        <is>
          <t>Reschedule</t>
        </is>
      </c>
      <c r="BH589" t="inlineStr">
        <is>
          <t>Fauziah Maharan</t>
        </is>
      </c>
      <c r="BI589" t="inlineStr">
        <is>
          <t>Food / Beverage</t>
        </is>
      </c>
      <c r="BJ589" s="4">
        <v>46144.75239583333</v>
      </c>
      <c r="BK589" s="4">
        <v>45785.48142361111</v>
      </c>
      <c r="BL589" t="inlineStr">
        <is>
          <t>9612.0</t>
        </is>
      </c>
      <c r="BM589" t="inlineStr">
        <is>
          <t>4200.0</t>
        </is>
      </c>
      <c r="BN589" t="inlineStr">
        <is>
          <t>View Company Page</t>
        </is>
      </c>
      <c r="BO589" s="4">
        <v>46141.70909722222</v>
      </c>
      <c r="BP589">
        <v>169342</v>
      </c>
      <c r="BQ589">
        <v>5820</v>
      </c>
      <c r="BR589" t="inlineStr">
        <is>
          <t>Manual (Paid)</t>
        </is>
      </c>
      <c r="BS589" t="inlineStr">
        <is>
          <t>- Limited Time Discount RM 450 until 15.05.25
- Job Slot SME of 3 Job Slot + 2 Free Job Slot
- Each month RM 160.20, Normal Price: RM 1296
- 5 Job Slot will be published on Maukerja, Ricebowl, Epicareer, Facebook, Google and Linkedin
- 5 Job Slot will be published for 1 year
- 300 People Search
- 5 Free Upgrade to Premium Job Ad
- Free Company Page Consultation
- Premium Company Page for 12 months
- Package valid for 12 months</t>
        </is>
      </c>
      <c r="BT589">
        <v>5820</v>
      </c>
      <c r="BU589"/>
      <c r="BV589">
        <v>2733945</v>
      </c>
      <c r="BW589" t="inlineStr">
        <is>
          <t>Customer Inquiry</t>
        </is>
      </c>
      <c r="BX589">
        <v>5</v>
      </c>
      <c r="BY589">
        <v>-19</v>
      </c>
      <c r="BZ589" s="4">
        <v>46107.40951388889</v>
      </c>
      <c r="CA589">
        <v>245</v>
      </c>
      <c r="CB589">
        <v>241</v>
      </c>
      <c r="CC589" s="4">
        <v>46063.72938657407</v>
      </c>
      <c r="CD589" t="inlineStr">
        <is>
          <t>5</t>
        </is>
      </c>
      <c r="CE589" t="inlineStr">
        <is>
          <t>0</t>
        </is>
      </c>
      <c r="CF589" t="inlineStr">
        <is>
          <t>Q2-W04</t>
        </is>
      </c>
      <c r="CG589"/>
      <c r="CH589"/>
      <c r="CI589"/>
      <c r="CJ589" t="inlineStr">
        <is>
          <t>Paid</t>
        </is>
      </c>
      <c r="CK589" t="inlineStr">
        <is>
          <t>Eligible</t>
        </is>
      </c>
      <c r="CL589"/>
      <c r="CM589"/>
    </row>
    <row r="590" ht="25.5" customHeight="1">
      <c r="A590" t="inlineStr">
        <is>
          <t>150951</t>
        </is>
      </c>
      <c r="B590" s="2"/>
      <c r="C590"/>
      <c r="D590" s="3">
        <v>46140.74061342593</v>
      </c>
      <c r="E590" t="inlineStr">
        <is>
          <t>Q2-W04</t>
        </is>
      </c>
      <c r="F590" t="inlineStr">
        <is>
          <t>Yuli</t>
        </is>
      </c>
      <c r="G590" t="inlineStr">
        <is>
          <t>Customer</t>
        </is>
      </c>
      <c r="H590" s="2" t="str">
        <f>=HYPERLINK("https://upbox.ajobthing.my/customer/150951", "https://upbox.ajobthing.my/customer/150951")</f>
        <v>https://upbox.ajobthing.my/customer/150951</v>
      </c>
      <c r="I590" t="inlineStr">
        <is>
          <t>iDynamics Software Sdn Bhd</t>
        </is>
      </c>
      <c r="J590" t="inlineStr">
        <is>
          <t>Whale</t>
        </is>
      </c>
      <c r="K590" t="inlineStr">
        <is>
          <t>YuLi</t>
        </is>
      </c>
      <c r="L590" s="4"/>
      <c r="M590" s="4">
        <v>46140.742164351854</v>
      </c>
      <c r="N590"/>
      <c r="O590">
        <v>5412.96</v>
      </c>
      <c r="P590" s="4"/>
      <c r="Q590" s="4">
        <v>45971.60722222222</v>
      </c>
      <c r="R590"/>
      <c r="S590">
        <v>3672</v>
      </c>
      <c r="T590" s="4">
        <v>45971.60722222222</v>
      </c>
      <c r="U590" s="4"/>
      <c r="V590"/>
      <c r="W590">
        <v>3672</v>
      </c>
      <c r="X590"/>
      <c r="Y590" t="inlineStr">
        <is>
          <t>Pending Appointment</t>
        </is>
      </c>
      <c r="Z590" t="inlineStr">
        <is>
          <t>Hiring Now</t>
        </is>
      </c>
      <c r="AA590">
        <v>1</v>
      </c>
      <c r="AB590" t="inlineStr">
        <is>
          <t>No Appointment Made</t>
        </is>
      </c>
      <c r="AC590"/>
      <c r="AD590" t="inlineStr">
        <is>
          <t>Sales Executive</t>
        </is>
      </c>
      <c r="AE590"/>
      <c r="AF590"/>
      <c r="AG590" s="4"/>
      <c r="AH590" s="4"/>
      <c r="AI590"/>
      <c r="AJ590"/>
      <c r="AK590"/>
      <c r="AL590"/>
      <c r="AM590"/>
      <c r="AN590"/>
      <c r="AO590"/>
      <c r="AP590" t="inlineStr">
        <is>
          <t>Every month (100%)</t>
        </is>
      </c>
      <c r="AQ590"/>
      <c r="AR590" t="inlineStr">
        <is>
          <t>Hiredly</t>
        </is>
      </c>
      <c r="AS590" t="inlineStr">
        <is>
          <t>- Headcount: 1
- Hiring Job Details: Sales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Hiredly</t>
        </is>
      </c>
      <c r="AT590">
        <v>75</v>
      </c>
      <c r="AU590" t="inlineStr">
        <is>
          <t>0.75</t>
        </is>
      </c>
      <c r="AV590" t="inlineStr">
        <is>
          <t>5</t>
        </is>
      </c>
      <c r="AW590" t="inlineStr">
        <is>
          <t>0</t>
        </is>
      </c>
      <c r="AX590" t="inlineStr">
        <is>
          <t>Not Qualified</t>
        </is>
      </c>
      <c r="AY590" s="4"/>
      <c r="AZ590"/>
      <c r="BA590"/>
      <c r="BB590"/>
      <c r="BC590" t="inlineStr">
        <is>
          <t>- Headcount: 1
- Hiring Job Details: Sales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Hiredly</t>
        </is>
      </c>
      <c r="BD590" s="4">
        <v>46140.750231481485</v>
      </c>
      <c r="BE590" t="inlineStr">
        <is>
          <t>paid</t>
        </is>
      </c>
      <c r="BF590"/>
      <c r="BG590" t="inlineStr">
        <is>
          <t>Reschedule</t>
        </is>
      </c>
      <c r="BH590" t="inlineStr">
        <is>
          <t>Fauziah Maharan</t>
        </is>
      </c>
      <c r="BI590" t="inlineStr">
        <is>
          <t>IT / Software</t>
        </is>
      </c>
      <c r="BJ590" s="4">
        <v>46144.75084490741</v>
      </c>
      <c r="BK590" s="4">
        <v>44644.464780092596</v>
      </c>
      <c r="BL590" t="inlineStr">
        <is>
          <t>3672.0</t>
        </is>
      </c>
      <c r="BM590" t="inlineStr">
        <is>
          <t>4950.0</t>
        </is>
      </c>
      <c r="BN590" t="inlineStr">
        <is>
          <t>View Company Page</t>
        </is>
      </c>
      <c r="BO590" s="4">
        <v>46129.66303240741</v>
      </c>
      <c r="BP590">
        <v>169371</v>
      </c>
      <c r="BQ590">
        <v>84043</v>
      </c>
      <c r="BR590" t="inlineStr">
        <is>
          <t>Online</t>
        </is>
      </c>
      <c r="BS590"/>
      <c r="BT590">
        <v>84043</v>
      </c>
      <c r="BU590"/>
      <c r="BV590">
        <v>2733951</v>
      </c>
      <c r="BW590" t="inlineStr">
        <is>
          <t>Customer Inquiry</t>
        </is>
      </c>
      <c r="BX590">
        <v>6</v>
      </c>
      <c r="BY590">
        <v>0</v>
      </c>
      <c r="BZ590" s="4">
        <v>46092.87530092592</v>
      </c>
      <c r="CA590">
        <v>60</v>
      </c>
      <c r="CB590">
        <v>0</v>
      </c>
      <c r="CC590" s="4">
        <v>46090.49900462963</v>
      </c>
      <c r="CD590" t="inlineStr">
        <is>
          <t>5</t>
        </is>
      </c>
      <c r="CE590" t="inlineStr">
        <is>
          <t>0</t>
        </is>
      </c>
      <c r="CF590" t="inlineStr">
        <is>
          <t>Q2-W04</t>
        </is>
      </c>
      <c r="CG590"/>
      <c r="CH590"/>
      <c r="CI590"/>
      <c r="CJ590" t="inlineStr">
        <is>
          <t>Paid</t>
        </is>
      </c>
      <c r="CK590" t="inlineStr">
        <is>
          <t>Eligible</t>
        </is>
      </c>
      <c r="CL590"/>
      <c r="CM590"/>
    </row>
    <row r="591" ht="25.5" customHeight="1">
      <c r="A591" t="inlineStr">
        <is>
          <t>129520</t>
        </is>
      </c>
      <c r="B591" s="2"/>
      <c r="C591"/>
      <c r="D591" s="3">
        <v>46140.75537037037</v>
      </c>
      <c r="E591" t="inlineStr">
        <is>
          <t>Q2-W04</t>
        </is>
      </c>
      <c r="F591" t="inlineStr">
        <is>
          <t>Yvonne Lee</t>
        </is>
      </c>
      <c r="G591" t="inlineStr">
        <is>
          <t>Customer</t>
        </is>
      </c>
      <c r="H591" s="2" t="str">
        <f>=HYPERLINK("https://upbox.ajobthing.my/customer/129520", "https://upbox.ajobthing.my/customer/129520")</f>
        <v>https://upbox.ajobthing.my/customer/129520</v>
      </c>
      <c r="I591" t="inlineStr">
        <is>
          <t>Asian Pac Holdings Berhad</t>
        </is>
      </c>
      <c r="J591" t="inlineStr">
        <is>
          <t>Whale</t>
        </is>
      </c>
      <c r="K591" t="inlineStr">
        <is>
          <t>Yvonne</t>
        </is>
      </c>
      <c r="L591" s="4"/>
      <c r="M591" s="4">
        <v>46140.759722222225</v>
      </c>
      <c r="N591"/>
      <c r="O591">
        <v>11448</v>
      </c>
      <c r="P591" s="4"/>
      <c r="Q591" s="4"/>
      <c r="R591"/>
      <c r="S591"/>
      <c r="T591" s="4"/>
      <c r="U591" s="4"/>
      <c r="V591"/>
      <c r="W591"/>
      <c r="X591"/>
      <c r="Y591" t="inlineStr">
        <is>
          <t>Pending Appointment</t>
        </is>
      </c>
      <c r="Z591" t="inlineStr">
        <is>
          <t>Hiring Later</t>
        </is>
      </c>
      <c r="AA591">
        <v>1</v>
      </c>
      <c r="AB591" t="inlineStr">
        <is>
          <t>No Appointment Made</t>
        </is>
      </c>
      <c r="AC591"/>
      <c r="AD591" t="inlineStr">
        <is>
          <t>1) Marketing</t>
        </is>
      </c>
      <c r="AE591"/>
      <c r="AF591">
        <v>7000</v>
      </c>
      <c r="AG591" s="4"/>
      <c r="AH591" s="4"/>
      <c r="AI591">
        <v>7000</v>
      </c>
      <c r="AJ591">
        <v>6</v>
      </c>
      <c r="AK591" t="inlineStr">
        <is>
          <t>Yes, I have</t>
        </is>
      </c>
      <c r="AL591">
        <v>3</v>
      </c>
      <c r="AM591" t="inlineStr">
        <is>
          <t>No, I don't need at all</t>
        </is>
      </c>
      <c r="AN591"/>
      <c r="AO591" t="inlineStr">
        <is>
          <t>No, I don't need at all</t>
        </is>
      </c>
      <c r="AP591" t="inlineStr">
        <is>
          <t>Once per quarter (75%)</t>
        </is>
      </c>
      <c r="AQ591">
        <v>20</v>
      </c>
      <c r="AR591" t="inlineStr">
        <is>
          <t>Jobstreet, Free Job Portal</t>
        </is>
      </c>
      <c r="AS591" t="inlineStr">
        <is>
          <t>- Headcount: 1
- Hiring Job Details: 1 Marketing
- Hiring Urgency: Hiring Later
- Number of outlets: 6
- Have recruiter team: Yes
- Number of recruiter in company: 3
- Have ATS system: No, I don't need at all
- Have career website: No, I don't need at all
- Current hiring budget: RM7,000
- Whole year budget: RM7,000.00
- Whole year number of vacancies: 20
- Hiring frequency: Once per quarter (75%)
- External job portal: Jobstreet, Free Job Portal</t>
        </is>
      </c>
      <c r="AT591">
        <v>115</v>
      </c>
      <c r="AU591" t="inlineStr">
        <is>
          <t>1.15</t>
        </is>
      </c>
      <c r="AV591" t="inlineStr">
        <is>
          <t>15</t>
        </is>
      </c>
      <c r="AW591" t="inlineStr">
        <is>
          <t>0</t>
        </is>
      </c>
      <c r="AX591" t="inlineStr">
        <is>
          <t>Not Qualified</t>
        </is>
      </c>
      <c r="AY591" s="4"/>
      <c r="AZ591"/>
      <c r="BA591"/>
      <c r="BB591"/>
      <c r="BC591" t="inlineStr">
        <is>
          <t>Quotation shared,
088-275 888
niza
hra.kk@asianpac.com.my</t>
        </is>
      </c>
      <c r="BD591" s="4">
        <v>46141.46744212963</v>
      </c>
      <c r="BE591"/>
      <c r="BF591"/>
      <c r="BG591" t="inlineStr">
        <is>
          <t>Reschedule</t>
        </is>
      </c>
      <c r="BH591" t="inlineStr">
        <is>
          <t>andy@ajobthing.com</t>
        </is>
      </c>
      <c r="BI591"/>
      <c r="BJ591" s="4">
        <v>46144.75042824074</v>
      </c>
      <c r="BK591" s="4">
        <v>44081.671261574076</v>
      </c>
      <c r="BL591" t="inlineStr">
        <is>
          <t>0.0</t>
        </is>
      </c>
      <c r="BM591" t="inlineStr">
        <is>
          <t>26400.0</t>
        </is>
      </c>
      <c r="BN591" t="inlineStr">
        <is>
          <t>View Jobmanager Page</t>
        </is>
      </c>
      <c r="BO591" s="4">
        <v>44081.71943287037</v>
      </c>
      <c r="BP591">
        <v>169376</v>
      </c>
      <c r="BQ591"/>
      <c r="BR591"/>
      <c r="BS591"/>
      <c r="BT591"/>
      <c r="BU591"/>
      <c r="BV591">
        <v>2734668</v>
      </c>
      <c r="BW591" t="inlineStr">
        <is>
          <t>Inquire for Hiring Needs : Quotation Sent 50%</t>
        </is>
      </c>
      <c r="BX591"/>
      <c r="BY591"/>
      <c r="BZ591" s="4"/>
      <c r="CA591"/>
      <c r="CB591"/>
      <c r="CC591" s="4"/>
      <c r="CD591" t="inlineStr">
        <is>
          <t>20</t>
        </is>
      </c>
      <c r="CE591" t="inlineStr">
        <is>
          <t>0</t>
        </is>
      </c>
      <c r="CF591" t="inlineStr">
        <is>
          <t>Q2-W04</t>
        </is>
      </c>
      <c r="CG591"/>
      <c r="CH591"/>
      <c r="CI591"/>
      <c r="CJ591" t="inlineStr">
        <is>
          <t>No Paid</t>
        </is>
      </c>
      <c r="CK591" t="inlineStr">
        <is>
          <t>Eligible</t>
        </is>
      </c>
      <c r="CL591"/>
      <c r="CM591"/>
    </row>
    <row r="592" ht="25.5" customHeight="1">
      <c r="A592" t="inlineStr">
        <is>
          <t>132687</t>
        </is>
      </c>
      <c r="B592" s="2"/>
      <c r="C592"/>
      <c r="D592" s="3">
        <v>46141.39518518518</v>
      </c>
      <c r="E592" t="inlineStr">
        <is>
          <t>Q2-W04</t>
        </is>
      </c>
      <c r="F592" t="inlineStr">
        <is>
          <t>Yuli</t>
        </is>
      </c>
      <c r="G592" t="inlineStr">
        <is>
          <t>Customer</t>
        </is>
      </c>
      <c r="H592" s="2" t="str">
        <f>=HYPERLINK("https://upbox.ajobthing.my/customer/132687", "https://upbox.ajobthing.my/customer/132687")</f>
        <v>https://upbox.ajobthing.my/customer/132687</v>
      </c>
      <c r="I592" t="inlineStr">
        <is>
          <t>WL Great Builder Engineering Sdn Bhd</t>
        </is>
      </c>
      <c r="J592" t="inlineStr">
        <is>
          <t>Whale</t>
        </is>
      </c>
      <c r="K592" t="inlineStr">
        <is>
          <t>YuLi</t>
        </is>
      </c>
      <c r="L592" s="4"/>
      <c r="M592" s="4">
        <v>46141.39633101852</v>
      </c>
      <c r="N592"/>
      <c r="O592">
        <v>5412.96</v>
      </c>
      <c r="P592" s="4"/>
      <c r="Q592" s="4">
        <v>46007.61701388889</v>
      </c>
      <c r="R592"/>
      <c r="S592">
        <v>3348</v>
      </c>
      <c r="T592" s="4">
        <v>46007.61701388889</v>
      </c>
      <c r="U592" s="4"/>
      <c r="V592"/>
      <c r="W592">
        <v>3348</v>
      </c>
      <c r="X592"/>
      <c r="Y592" t="inlineStr">
        <is>
          <t>Pending Appointment</t>
        </is>
      </c>
      <c r="Z592" t="inlineStr">
        <is>
          <t>Hiring Now</t>
        </is>
      </c>
      <c r="AA592">
        <v>3</v>
      </c>
      <c r="AB592" t="inlineStr">
        <is>
          <t>No Appointment Made</t>
        </is>
      </c>
      <c r="AC592"/>
      <c r="AD592" t="inlineStr">
        <is>
          <t>Interior Designer
Senior Accounts Executive
Assistant Interior Designer</t>
        </is>
      </c>
      <c r="AE592"/>
      <c r="AF592"/>
      <c r="AG592" s="4"/>
      <c r="AH592" s="4"/>
      <c r="AI592"/>
      <c r="AJ592"/>
      <c r="AK592" t="inlineStr">
        <is>
          <t>No, I don't need at all</t>
        </is>
      </c>
      <c r="AL592">
        <v>1</v>
      </c>
      <c r="AM592"/>
      <c r="AN592"/>
      <c r="AO592"/>
      <c r="AP592" t="inlineStr">
        <is>
          <t>Once per quarter (75%)</t>
        </is>
      </c>
      <c r="AQ592"/>
      <c r="AR592" t="inlineStr">
        <is>
          <t>Did not use any job portal</t>
        </is>
      </c>
      <c r="AS592" t="inlineStr">
        <is>
          <t>- Headcount: 3
- Hiring Job Details: Interior Designer, Senior Accounts Executive, Assistant Interior Designer
- Hiring Urgency: Hiring Now
- Number of outlets: Not provided
- Have recruiter team: No, I don't need at all
- Number of recruiter in company: 1
- Have ATS system: Not provided
- Have career website: Not provided
- Current hiring budget: Not provided
- Whole year budget: Not provided
- Whole year number of vacancies: Not provided
- Hiring frequency: Once per quarter (75%)
- External job portal: Did not use any job portal</t>
        </is>
      </c>
      <c r="AT592">
        <v>75</v>
      </c>
      <c r="AU592" t="inlineStr">
        <is>
          <t>0.75</t>
        </is>
      </c>
      <c r="AV592" t="inlineStr">
        <is>
          <t>5</t>
        </is>
      </c>
      <c r="AW592" t="inlineStr">
        <is>
          <t>0</t>
        </is>
      </c>
      <c r="AX592" t="inlineStr">
        <is>
          <t>Not Qualified</t>
        </is>
      </c>
      <c r="AY592" s="4"/>
      <c r="AZ592"/>
      <c r="BA592"/>
      <c r="BB592"/>
      <c r="BC592" t="inlineStr">
        <is>
          <t>- Headcount: 3
- Hiring Job Details: Interior Designer, Senior Accounts Executive, Assistant Interior Designer
- Hiring Urgency: Hiring Now
- Number of outlets: Not provided
- Have recruiter team: No, I don't need at all
- Number of recruiter in company: 1
- Have ATS system: Not provided
- Have career website: Not provided
- Current hiring budget: Not provided
- Whole year budget: Not provided
- Whole year number of vacancies: Not provided
- Hiring frequency: Once per quarter (75%)
- External job portal: Did not use any job portal</t>
        </is>
      </c>
      <c r="BD592" s="4">
        <v>46141.41667824074</v>
      </c>
      <c r="BE592" t="inlineStr">
        <is>
          <t>paid</t>
        </is>
      </c>
      <c r="BF592"/>
      <c r="BG592" t="inlineStr">
        <is>
          <t>Reschedule</t>
        </is>
      </c>
      <c r="BH592" t="inlineStr">
        <is>
          <t>Fauziah Maharan</t>
        </is>
      </c>
      <c r="BI592" t="inlineStr">
        <is>
          <t>Construction / Building</t>
        </is>
      </c>
      <c r="BJ592" s="4">
        <v>46144.75050925926</v>
      </c>
      <c r="BK592" s="4">
        <v>44187.82944444445</v>
      </c>
      <c r="BL592" t="inlineStr">
        <is>
          <t>3348.0</t>
        </is>
      </c>
      <c r="BM592" t="inlineStr">
        <is>
          <t>0.0</t>
        </is>
      </c>
      <c r="BN592" t="inlineStr">
        <is>
          <t>PA Visit - Job Card</t>
        </is>
      </c>
      <c r="BO592" s="4">
        <v>46144.02746527778</v>
      </c>
      <c r="BP592">
        <v>169391</v>
      </c>
      <c r="BQ592">
        <v>85012</v>
      </c>
      <c r="BR592" t="inlineStr">
        <is>
          <t>Online</t>
        </is>
      </c>
      <c r="BS592"/>
      <c r="BT592">
        <v>85012</v>
      </c>
      <c r="BU592"/>
      <c r="BV592">
        <v>2734261</v>
      </c>
      <c r="BW592" t="inlineStr">
        <is>
          <t>Customer Inquiry</t>
        </is>
      </c>
      <c r="BX592">
        <v>6</v>
      </c>
      <c r="BY592">
        <v>0</v>
      </c>
      <c r="BZ592" s="4">
        <v>46127.71822916667</v>
      </c>
      <c r="CA592">
        <v>60</v>
      </c>
      <c r="CB592">
        <v>17</v>
      </c>
      <c r="CC592" s="4">
        <v>46134.46670138889</v>
      </c>
      <c r="CD592" t="inlineStr">
        <is>
          <t>5</t>
        </is>
      </c>
      <c r="CE592" t="inlineStr">
        <is>
          <t>0</t>
        </is>
      </c>
      <c r="CF592" t="inlineStr">
        <is>
          <t>Q2-W04</t>
        </is>
      </c>
      <c r="CG592"/>
      <c r="CH592"/>
      <c r="CI592"/>
      <c r="CJ592" t="inlineStr">
        <is>
          <t>Paid</t>
        </is>
      </c>
      <c r="CK592" t="inlineStr">
        <is>
          <t>Eligible</t>
        </is>
      </c>
      <c r="CL592"/>
      <c r="CM592"/>
    </row>
    <row r="593" ht="25.5" customHeight="1">
      <c r="A593" t="inlineStr">
        <is>
          <t>202911</t>
        </is>
      </c>
      <c r="B593" s="2"/>
      <c r="C593"/>
      <c r="D593" s="3">
        <v>46141.39857638889</v>
      </c>
      <c r="E593" t="inlineStr">
        <is>
          <t>Q2-W04</t>
        </is>
      </c>
      <c r="F593" t="inlineStr">
        <is>
          <t>Carmen</t>
        </is>
      </c>
      <c r="G593" t="inlineStr">
        <is>
          <t>Customer</t>
        </is>
      </c>
      <c r="H593" s="2" t="str">
        <f>=HYPERLINK("https://upbox.ajobthing.my/customer/202911", "https://upbox.ajobthing.my/customer/202911")</f>
        <v>https://upbox.ajobthing.my/customer/202911</v>
      </c>
      <c r="I593" t="inlineStr">
        <is>
          <t>Focus Chemical Sdn Bhd</t>
        </is>
      </c>
      <c r="J593" t="inlineStr">
        <is>
          <t>Whale</t>
        </is>
      </c>
      <c r="K593" t="inlineStr">
        <is>
          <t>Carmen</t>
        </is>
      </c>
      <c r="L593" s="4"/>
      <c r="M593" s="4">
        <v>46141.38170138889</v>
      </c>
      <c r="N593"/>
      <c r="O593">
        <v>5412.96</v>
      </c>
      <c r="P593" s="4"/>
      <c r="Q593" s="4"/>
      <c r="R593"/>
      <c r="S593"/>
      <c r="T593" s="4"/>
      <c r="U593" s="4"/>
      <c r="V593"/>
      <c r="W593"/>
      <c r="X593"/>
      <c r="Y593" t="inlineStr">
        <is>
          <t>Pending Appointment</t>
        </is>
      </c>
      <c r="Z593" t="inlineStr">
        <is>
          <t>Continuous Hiring</t>
        </is>
      </c>
      <c r="AA593">
        <v>3</v>
      </c>
      <c r="AB593" t="inlineStr">
        <is>
          <t>No Appointment Made</t>
        </is>
      </c>
      <c r="AC593"/>
      <c r="AD593" t="inlineStr">
        <is>
          <t xml:space="preserve">1 admin, 1 purchaser, 1 intern </t>
        </is>
      </c>
      <c r="AE593"/>
      <c r="AF593">
        <v>0</v>
      </c>
      <c r="AG593" s="4"/>
      <c r="AH593" s="4"/>
      <c r="AI593"/>
      <c r="AJ593"/>
      <c r="AK593"/>
      <c r="AL593"/>
      <c r="AM593"/>
      <c r="AN593"/>
      <c r="AO593"/>
      <c r="AP593" t="inlineStr">
        <is>
          <t>Once per quarter (75%)</t>
        </is>
      </c>
      <c r="AQ593"/>
      <c r="AR593"/>
      <c r="AS593" t="inlineStr">
        <is>
          <t>- Headcount: 3
- Hiring Job Details: 1 admin, 1 purchaser, 1 intern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per quarter (75%)
- External job portal: Not available</t>
        </is>
      </c>
      <c r="AT593">
        <v>70</v>
      </c>
      <c r="AU593" t="inlineStr">
        <is>
          <t>0.70</t>
        </is>
      </c>
      <c r="AV593" t="inlineStr">
        <is>
          <t>15</t>
        </is>
      </c>
      <c r="AW593" t="inlineStr">
        <is>
          <t>0</t>
        </is>
      </c>
      <c r="AX593" t="inlineStr">
        <is>
          <t>Not Qualified</t>
        </is>
      </c>
      <c r="AY593" s="4"/>
      <c r="AZ593"/>
      <c r="BA593"/>
      <c r="BB593"/>
      <c r="BC593" t="inlineStr">
        <is>
          <t>- Headcount: 3
- Hiring Job Details: 1 admin, 1 purchaser, 1 intern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per quarter (75%)
- External job portal: Not available</t>
        </is>
      </c>
      <c r="BD593" s="4">
        <v>46141.41667824074</v>
      </c>
      <c r="BE593"/>
      <c r="BF593"/>
      <c r="BG593" t="inlineStr">
        <is>
          <t>Reschedule</t>
        </is>
      </c>
      <c r="BH593" t="inlineStr">
        <is>
          <t>Reagen</t>
        </is>
      </c>
      <c r="BI593"/>
      <c r="BJ593" s="4">
        <v>46144.754166666666</v>
      </c>
      <c r="BK593" s="4">
        <v>46119.41392361111</v>
      </c>
      <c r="BL593" t="inlineStr">
        <is>
          <t>0.0</t>
        </is>
      </c>
      <c r="BM593" t="inlineStr">
        <is>
          <t>7800.0</t>
        </is>
      </c>
      <c r="BN593"/>
      <c r="BO593" s="4"/>
      <c r="BP593">
        <v>169387</v>
      </c>
      <c r="BQ593"/>
      <c r="BR593"/>
      <c r="BS593"/>
      <c r="BT593"/>
      <c r="BU593"/>
      <c r="BV593">
        <v>2734263</v>
      </c>
      <c r="BW593" t="inlineStr">
        <is>
          <t>Customer Inquiry</t>
        </is>
      </c>
      <c r="BX593"/>
      <c r="BY593"/>
      <c r="BZ593" s="4"/>
      <c r="CA593"/>
      <c r="CB593"/>
      <c r="CC593" s="4"/>
      <c r="CD593" t="inlineStr">
        <is>
          <t>20</t>
        </is>
      </c>
      <c r="CE593" t="inlineStr">
        <is>
          <t>0</t>
        </is>
      </c>
      <c r="CF593" t="inlineStr">
        <is>
          <t>Q2-W04</t>
        </is>
      </c>
      <c r="CG593"/>
      <c r="CH593"/>
      <c r="CI593"/>
      <c r="CJ593" t="inlineStr">
        <is>
          <t>No Paid</t>
        </is>
      </c>
      <c r="CK593" t="inlineStr">
        <is>
          <t>Eligible</t>
        </is>
      </c>
      <c r="CL593"/>
      <c r="CM593"/>
    </row>
    <row r="594" ht="25.5" customHeight="1">
      <c r="A594" t="inlineStr">
        <is>
          <t>4279756</t>
        </is>
      </c>
      <c r="B594" s="2"/>
      <c r="C594"/>
      <c r="D594" s="3">
        <v>46141.43195601852</v>
      </c>
      <c r="E594" t="inlineStr">
        <is>
          <t>Q2-W04</t>
        </is>
      </c>
      <c r="F594" t="inlineStr">
        <is>
          <t>Yuli</t>
        </is>
      </c>
      <c r="G594" t="inlineStr">
        <is>
          <t>Lead</t>
        </is>
      </c>
      <c r="H594" s="2" t="str">
        <f>=HYPERLINK("https://upbox.ajobthing.my/leads/4279756", "https://upbox.ajobthing.my/leads/4279756")</f>
        <v>https://upbox.ajobthing.my/leads/4279756</v>
      </c>
      <c r="I594" t="inlineStr">
        <is>
          <t>GM Klang</t>
        </is>
      </c>
      <c r="J594" t="inlineStr">
        <is>
          <t>Whale</t>
        </is>
      </c>
      <c r="K594" t="inlineStr">
        <is>
          <t>YuLi</t>
        </is>
      </c>
      <c r="L594" s="4"/>
      <c r="M594" s="4">
        <v>46140.66195601852</v>
      </c>
      <c r="N594"/>
      <c r="O594">
        <v>5412.96</v>
      </c>
      <c r="P594" s="4"/>
      <c r="Q594" s="4"/>
      <c r="R594"/>
      <c r="S594"/>
      <c r="T594" s="4"/>
      <c r="U594" s="4"/>
      <c r="V594"/>
      <c r="W594"/>
      <c r="X594" t="inlineStr">
        <is>
          <t>Yuli</t>
        </is>
      </c>
      <c r="Y594" t="inlineStr">
        <is>
          <t>Pending Appointment</t>
        </is>
      </c>
      <c r="Z594" t="inlineStr">
        <is>
          <t>Hiring Now</t>
        </is>
      </c>
      <c r="AA594">
        <v>3</v>
      </c>
      <c r="AB594" t="inlineStr">
        <is>
          <t>Appointment Made</t>
        </is>
      </c>
      <c r="AC594" t="inlineStr">
        <is>
          <t>Mid-size (50-100 employees)</t>
        </is>
      </c>
      <c r="AD594" t="inlineStr">
        <is>
          <t>Leasing executive. Account Executive, Admin Executive</t>
        </is>
      </c>
      <c r="AE594" t="inlineStr">
        <is>
          <t>HR Manager / Talent Manager</t>
        </is>
      </c>
      <c r="AF594"/>
      <c r="AG594" s="4">
        <v>46140.583333333336</v>
      </c>
      <c r="AH594" s="4">
        <v>46140.625</v>
      </c>
      <c r="AI594"/>
      <c r="AJ594"/>
      <c r="AK594" t="inlineStr">
        <is>
          <t>Yes, I have</t>
        </is>
      </c>
      <c r="AL594">
        <v>2</v>
      </c>
      <c r="AM594"/>
      <c r="AN594"/>
      <c r="AO594"/>
      <c r="AP594" t="inlineStr">
        <is>
          <t>Every month (100%)</t>
        </is>
      </c>
      <c r="AQ594"/>
      <c r="AR594" t="inlineStr">
        <is>
          <t>Jobstreet</t>
        </is>
      </c>
      <c r="AS594" t="inlineStr">
        <is>
          <t>- Headcount: Not specified
- Hiring Job Details: Leasing executive, Account Executive, Admin Executive
- Hiring Urgency: Hiring Now
- Number of outlets: Not specified
- Have recruiter team: Yes
- Number of recruiter in company: 2
- Have ATS system: Not specified
- Have career website: Not specified
- Current hiring budget: Not specified
- Whole year budget: Not specified
- Whole year number of vacancies: Not specified
- Hiring frequency: Every month (100%)
- External job portal: Jobstreet</t>
        </is>
      </c>
      <c r="AT594">
        <v>85</v>
      </c>
      <c r="AU594" t="inlineStr">
        <is>
          <t>0.85</t>
        </is>
      </c>
      <c r="AV594" t="inlineStr">
        <is>
          <t>25</t>
        </is>
      </c>
      <c r="AW594" t="inlineStr">
        <is>
          <t>0</t>
        </is>
      </c>
      <c r="AX594" t="inlineStr">
        <is>
          <t>Not Qualified</t>
        </is>
      </c>
      <c r="AY594" s="4"/>
      <c r="AZ594"/>
      <c r="BA594"/>
      <c r="BB594"/>
      <c r="BC594"/>
      <c r="BD594" s="4"/>
      <c r="BE594"/>
      <c r="BF594"/>
      <c r="BG594" t="inlineStr">
        <is>
          <t>Reschedule</t>
        </is>
      </c>
      <c r="BH594" t="inlineStr">
        <is>
          <t>Fauziah Maharan</t>
        </is>
      </c>
      <c r="BI594"/>
      <c r="BJ594" s="4">
        <v>46144.75581018518</v>
      </c>
      <c r="BK594" s="4">
        <v>46126.373344907406</v>
      </c>
      <c r="BL594" t="inlineStr">
        <is>
          <t>0.0</t>
        </is>
      </c>
      <c r="BM594" t="inlineStr">
        <is>
          <t>9000.0</t>
        </is>
      </c>
      <c r="BN594"/>
      <c r="BO594" s="4"/>
      <c r="BP594">
        <v>169306</v>
      </c>
      <c r="BQ594"/>
      <c r="BR594"/>
      <c r="BS594"/>
      <c r="BT594"/>
      <c r="BU594"/>
      <c r="BV594"/>
      <c r="BW594"/>
      <c r="BX594"/>
      <c r="BY594"/>
      <c r="BZ594" s="4"/>
      <c r="CA594"/>
      <c r="CB594"/>
      <c r="CC594" s="4"/>
      <c r="CD594" t="inlineStr">
        <is>
          <t>35</t>
        </is>
      </c>
      <c r="CE594" t="inlineStr">
        <is>
          <t>0</t>
        </is>
      </c>
      <c r="CF594" t="inlineStr">
        <is>
          <t>Q2-W04</t>
        </is>
      </c>
      <c r="CG594"/>
      <c r="CH594"/>
      <c r="CI594"/>
      <c r="CJ594" t="inlineStr">
        <is>
          <t>No Paid</t>
        </is>
      </c>
      <c r="CK594" t="inlineStr">
        <is>
          <t>Eligible</t>
        </is>
      </c>
      <c r="CL594"/>
      <c r="CM594"/>
    </row>
    <row r="595" ht="25.5" customHeight="1">
      <c r="A595" t="inlineStr">
        <is>
          <t>4279756</t>
        </is>
      </c>
      <c r="B595" s="2"/>
      <c r="C595"/>
      <c r="D595" s="3">
        <v>46141.43471064815</v>
      </c>
      <c r="E595" t="inlineStr">
        <is>
          <t>Q2-W04</t>
        </is>
      </c>
      <c r="F595" t="inlineStr">
        <is>
          <t>Yuli</t>
        </is>
      </c>
      <c r="G595" t="inlineStr">
        <is>
          <t>Lead</t>
        </is>
      </c>
      <c r="H595" s="2" t="str">
        <f>=HYPERLINK("https://upbox.ajobthing.my/leads/4279756", "https://upbox.ajobthing.my/leads/4279756")</f>
        <v>https://upbox.ajobthing.my/leads/4279756</v>
      </c>
      <c r="I595" t="inlineStr">
        <is>
          <t>GM Klang</t>
        </is>
      </c>
      <c r="J595" t="inlineStr">
        <is>
          <t>Whale</t>
        </is>
      </c>
      <c r="K595" t="inlineStr">
        <is>
          <t>YuLi</t>
        </is>
      </c>
      <c r="L595" s="4"/>
      <c r="M595" s="4">
        <v>46140.66195601852</v>
      </c>
      <c r="N595"/>
      <c r="O595">
        <v>5412.96</v>
      </c>
      <c r="P595" s="4"/>
      <c r="Q595" s="4"/>
      <c r="R595"/>
      <c r="S595"/>
      <c r="T595" s="4"/>
      <c r="U595" s="4"/>
      <c r="V595"/>
      <c r="W595"/>
      <c r="X595" t="inlineStr">
        <is>
          <t>Fauziah Maharan</t>
        </is>
      </c>
      <c r="Y595" t="inlineStr">
        <is>
          <t>Done Appointment</t>
        </is>
      </c>
      <c r="Z595" t="inlineStr">
        <is>
          <t>Hiring Now</t>
        </is>
      </c>
      <c r="AA595">
        <v>3</v>
      </c>
      <c r="AB595" t="inlineStr">
        <is>
          <t>Appointment Made</t>
        </is>
      </c>
      <c r="AC595" t="inlineStr">
        <is>
          <t>Enterprise (&gt;300 employees)</t>
        </is>
      </c>
      <c r="AD595" t="inlineStr">
        <is>
          <t>Leasing Executive
Admin Executive
Accounts Executive</t>
        </is>
      </c>
      <c r="AE595" t="inlineStr">
        <is>
          <t>HR Manager / Talent Manager</t>
        </is>
      </c>
      <c r="AF595">
        <v>6000</v>
      </c>
      <c r="AG595" s="4">
        <v>46140.583333333336</v>
      </c>
      <c r="AH595" s="4">
        <v>46140.625</v>
      </c>
      <c r="AI595"/>
      <c r="AJ595"/>
      <c r="AK595" t="inlineStr">
        <is>
          <t>Yes, I have</t>
        </is>
      </c>
      <c r="AL595">
        <v>3</v>
      </c>
      <c r="AM595" t="inlineStr">
        <is>
          <t>No, I don't need at all</t>
        </is>
      </c>
      <c r="AN595"/>
      <c r="AO595" t="inlineStr">
        <is>
          <t>No, I don't need at all</t>
        </is>
      </c>
      <c r="AP595" t="inlineStr">
        <is>
          <t>Once per quarter (75%)</t>
        </is>
      </c>
      <c r="AQ595"/>
      <c r="AR595" t="inlineStr">
        <is>
          <t>Jobstreet</t>
        </is>
      </c>
      <c r="AS595" t="inlineStr">
        <is>
          <t>- Headcount: 3
- Hiring Job Details: Leasing Executive, Admin Executive, Accounts Executive
- Number of outlets: N/A
- Have recruiter team: Yes
- Number of recruiter in company: 3
- Have ATS system: No, I don't need at all
- Have career website: No, I don't need at all
- Current hiring budget: RM6,000.00
- Whole year budget: N/A
- Whole year number of vacancies: N/A
- Hiring frequency: Once per quarter (75%)
- External job portal: Jobstreet
- Hiring Urgency: Hiring Now</t>
        </is>
      </c>
      <c r="AT595">
        <v>85</v>
      </c>
      <c r="AU595" t="inlineStr">
        <is>
          <t>0.85</t>
        </is>
      </c>
      <c r="AV595" t="inlineStr">
        <is>
          <t>50</t>
        </is>
      </c>
      <c r="AW595" t="inlineStr">
        <is>
          <t>0.5</t>
        </is>
      </c>
      <c r="AX595" t="inlineStr">
        <is>
          <t>Not Qualified</t>
        </is>
      </c>
      <c r="AY595" s="4">
        <v>46141.43555555555</v>
      </c>
      <c r="AZ595" t="inlineStr">
        <is>
          <t>Fauziah Maharan</t>
        </is>
      </c>
      <c r="BA595"/>
      <c r="BB595"/>
      <c r="BC595"/>
      <c r="BD595" s="4"/>
      <c r="BE595"/>
      <c r="BF595"/>
      <c r="BG595" t="inlineStr">
        <is>
          <t>Reschedule</t>
        </is>
      </c>
      <c r="BH595" t="inlineStr">
        <is>
          <t>Fauziah Maharan</t>
        </is>
      </c>
      <c r="BI595"/>
      <c r="BJ595" s="4">
        <v>46144.75581018518</v>
      </c>
      <c r="BK595" s="4">
        <v>46126.373344907406</v>
      </c>
      <c r="BL595" t="inlineStr">
        <is>
          <t>0.0</t>
        </is>
      </c>
      <c r="BM595" t="inlineStr">
        <is>
          <t>9000.0</t>
        </is>
      </c>
      <c r="BN595"/>
      <c r="BO595" s="4"/>
      <c r="BP595">
        <v>169306</v>
      </c>
      <c r="BQ595"/>
      <c r="BR595"/>
      <c r="BS595"/>
      <c r="BT595"/>
      <c r="BU595"/>
      <c r="BV595"/>
      <c r="BW595"/>
      <c r="BX595"/>
      <c r="BY595"/>
      <c r="BZ595" s="4"/>
      <c r="CA595"/>
      <c r="CB595"/>
      <c r="CC595" s="4"/>
      <c r="CD595" t="inlineStr">
        <is>
          <t>70</t>
        </is>
      </c>
      <c r="CE595" t="inlineStr">
        <is>
          <t>0.8</t>
        </is>
      </c>
      <c r="CF595" t="inlineStr">
        <is>
          <t>Q2-W04</t>
        </is>
      </c>
      <c r="CG595"/>
      <c r="CH595"/>
      <c r="CI595" t="inlineStr">
        <is>
          <t>Q2-W04</t>
        </is>
      </c>
      <c r="CJ595" t="inlineStr">
        <is>
          <t>No Paid</t>
        </is>
      </c>
      <c r="CK595" t="inlineStr">
        <is>
          <t>Eligible</t>
        </is>
      </c>
      <c r="CL595"/>
      <c r="CM595" t="inlineStr">
        <is>
          <t>Q2-W04</t>
        </is>
      </c>
    </row>
    <row r="596" ht="25.5" customHeight="1">
      <c r="A596" t="inlineStr">
        <is>
          <t>203775</t>
        </is>
      </c>
      <c r="B596" s="2"/>
      <c r="C596"/>
      <c r="D596" s="3">
        <v>46141.43950231482</v>
      </c>
      <c r="E596" t="inlineStr">
        <is>
          <t>Q2-W04</t>
        </is>
      </c>
      <c r="F596" t="inlineStr">
        <is>
          <t>Yuli</t>
        </is>
      </c>
      <c r="G596" t="inlineStr">
        <is>
          <t>Customer</t>
        </is>
      </c>
      <c r="H596" s="2" t="str">
        <f>=HYPERLINK("https://upbox.ajobthing.my/customer/203775", "https://upbox.ajobthing.my/customer/203775")</f>
        <v>https://upbox.ajobthing.my/customer/203775</v>
      </c>
      <c r="I596" t="inlineStr">
        <is>
          <t>Mc Surfaces Industries Sdn Bhd</t>
        </is>
      </c>
      <c r="J596" t="inlineStr">
        <is>
          <t>Whale</t>
        </is>
      </c>
      <c r="K596" t="inlineStr">
        <is>
          <t>YuLi</t>
        </is>
      </c>
      <c r="L596" s="4"/>
      <c r="M596" s="4">
        <v>46141.44778935185</v>
      </c>
      <c r="N596"/>
      <c r="O596">
        <v>5412.96</v>
      </c>
      <c r="P596" s="4"/>
      <c r="Q596" s="4"/>
      <c r="R596"/>
      <c r="S596"/>
      <c r="T596" s="4"/>
      <c r="U596" s="4"/>
      <c r="V596"/>
      <c r="W596"/>
      <c r="X596"/>
      <c r="Y596" t="inlineStr">
        <is>
          <t>Pending Appointment</t>
        </is>
      </c>
      <c r="Z596" t="inlineStr">
        <is>
          <t>Hiring Now</t>
        </is>
      </c>
      <c r="AA596">
        <v>4</v>
      </c>
      <c r="AB596" t="inlineStr">
        <is>
          <t>No Appointment Made</t>
        </is>
      </c>
      <c r="AC596"/>
      <c r="AD596" t="inlineStr">
        <is>
          <t>Store/Warehouse keeper-1
maintenance foreman specilise for machinary and vehicle-1
Purchasing assistant-1
Sales support cum admin ( export) -1
Expansion</t>
        </is>
      </c>
      <c r="AE596"/>
      <c r="AF596"/>
      <c r="AG596" s="4"/>
      <c r="AH596" s="4"/>
      <c r="AI596"/>
      <c r="AJ596"/>
      <c r="AK596"/>
      <c r="AL596"/>
      <c r="AM596"/>
      <c r="AN596"/>
      <c r="AO596"/>
      <c r="AP596" t="inlineStr">
        <is>
          <t>Once per quarter (75%)</t>
        </is>
      </c>
      <c r="AQ596"/>
      <c r="AR596" t="inlineStr">
        <is>
          <t>Jobstreet, Free Job Portal</t>
        </is>
      </c>
      <c r="AS596" t="inlineStr">
        <is>
          <t>- Headcount: 4
- Hiring Job Details: Store/Warehouse keeper-1, maintenance foreman specialise for machinary and vehicle-1, Purchasing assistant-1, Sales support cum admin (export)-1 (for expansion)
- Hiring Urgency: Hiring Now
- Number of outlets: N/A
- Have recruiter team: N/A
- Number of recruiter in company: N/A
- Have ATS system: N/A
- Have career website: N/A
- Current hiring budget: N/A
- Whole year budget: N/A
- Whole year number of vacancies: N/A
- Hiring frequency: Once per quarter (75%)
- External job portal: Jobstreet, Free Job Portal</t>
        </is>
      </c>
      <c r="AT596">
        <v>75</v>
      </c>
      <c r="AU596" t="inlineStr">
        <is>
          <t>0.75</t>
        </is>
      </c>
      <c r="AV596" t="inlineStr">
        <is>
          <t>5</t>
        </is>
      </c>
      <c r="AW596" t="inlineStr">
        <is>
          <t>0</t>
        </is>
      </c>
      <c r="AX596" t="inlineStr">
        <is>
          <t>Not Qualified</t>
        </is>
      </c>
      <c r="AY596" s="4"/>
      <c r="AZ596"/>
      <c r="BA596"/>
      <c r="BB596"/>
      <c r="BC596" t="inlineStr">
        <is>
          <t>quotation shared</t>
        </is>
      </c>
      <c r="BD596" s="4">
        <v>46141.53125</v>
      </c>
      <c r="BE596"/>
      <c r="BF596"/>
      <c r="BG596" t="inlineStr">
        <is>
          <t>Reschedule</t>
        </is>
      </c>
      <c r="BH596" t="inlineStr">
        <is>
          <t>Fauziah Maharan</t>
        </is>
      </c>
      <c r="BI596"/>
      <c r="BJ596" s="4">
        <v>46144.75438657407</v>
      </c>
      <c r="BK596" s="4">
        <v>46141.432905092595</v>
      </c>
      <c r="BL596" t="inlineStr">
        <is>
          <t>0.0</t>
        </is>
      </c>
      <c r="BM596" t="inlineStr">
        <is>
          <t>3000.0</t>
        </is>
      </c>
      <c r="BN596" t="inlineStr">
        <is>
          <t>View Company Page</t>
        </is>
      </c>
      <c r="BO596" s="4">
        <v>46142.4093287037</v>
      </c>
      <c r="BP596">
        <v>169423</v>
      </c>
      <c r="BQ596"/>
      <c r="BR596"/>
      <c r="BS596"/>
      <c r="BT596"/>
      <c r="BU596"/>
      <c r="BV596">
        <v>2734974</v>
      </c>
      <c r="BW596" t="inlineStr">
        <is>
          <t>Follow Up : Quotation Sent 50%</t>
        </is>
      </c>
      <c r="BX596"/>
      <c r="BY596"/>
      <c r="BZ596" s="4"/>
      <c r="CA596"/>
      <c r="CB596"/>
      <c r="CC596" s="4"/>
      <c r="CD596" t="inlineStr">
        <is>
          <t>5</t>
        </is>
      </c>
      <c r="CE596" t="inlineStr">
        <is>
          <t>0</t>
        </is>
      </c>
      <c r="CF596" t="inlineStr">
        <is>
          <t>Q2-W04</t>
        </is>
      </c>
      <c r="CG596"/>
      <c r="CH596"/>
      <c r="CI596"/>
      <c r="CJ596" t="inlineStr">
        <is>
          <t>No Paid</t>
        </is>
      </c>
      <c r="CK596" t="inlineStr">
        <is>
          <t>Eligible</t>
        </is>
      </c>
      <c r="CL596"/>
      <c r="CM596"/>
    </row>
    <row r="597" ht="25.5" customHeight="1">
      <c r="A597" t="inlineStr">
        <is>
          <t>6916</t>
        </is>
      </c>
      <c r="B597" s="2"/>
      <c r="C597"/>
      <c r="D597" s="3">
        <v>46141.4530787037</v>
      </c>
      <c r="E597" t="inlineStr">
        <is>
          <t>Q2-W04</t>
        </is>
      </c>
      <c r="F597" t="inlineStr">
        <is>
          <t>Yuli</t>
        </is>
      </c>
      <c r="G597" t="inlineStr">
        <is>
          <t>Customer</t>
        </is>
      </c>
      <c r="H597" s="2" t="str">
        <f>=HYPERLINK("https://upbox.ajobthing.my/customer/6916", "https://upbox.ajobthing.my/customer/6916")</f>
        <v>https://upbox.ajobthing.my/customer/6916</v>
      </c>
      <c r="I597" t="inlineStr">
        <is>
          <t>Bee Same Trading Sdn Bhd</t>
        </is>
      </c>
      <c r="J597" t="inlineStr">
        <is>
          <t>Whale</t>
        </is>
      </c>
      <c r="K597" t="inlineStr">
        <is>
          <t>YuLi</t>
        </is>
      </c>
      <c r="L597" s="4"/>
      <c r="M597" s="4">
        <v>46141.44902777778</v>
      </c>
      <c r="N597"/>
      <c r="O597">
        <v>5412.96</v>
      </c>
      <c r="P597" s="4"/>
      <c r="Q597" s="4">
        <v>46120.78815972222</v>
      </c>
      <c r="R597"/>
      <c r="S597">
        <v>3888</v>
      </c>
      <c r="T597" s="4">
        <v>46120.78815972222</v>
      </c>
      <c r="U597" s="4"/>
      <c r="V597"/>
      <c r="W597">
        <v>3888</v>
      </c>
      <c r="X597"/>
      <c r="Y597" t="inlineStr">
        <is>
          <t>Pending Appointment</t>
        </is>
      </c>
      <c r="Z597" t="inlineStr">
        <is>
          <t>Hiring Now</t>
        </is>
      </c>
      <c r="AA597">
        <v>3</v>
      </c>
      <c r="AB597" t="inlineStr">
        <is>
          <t>No Appointment Made</t>
        </is>
      </c>
      <c r="AC597"/>
      <c r="AD597" t="inlineStr">
        <is>
          <t>Accounts Executive
Sales
Merchadiser</t>
        </is>
      </c>
      <c r="AE597"/>
      <c r="AF597"/>
      <c r="AG597" s="4"/>
      <c r="AH597" s="4"/>
      <c r="AI597"/>
      <c r="AJ597"/>
      <c r="AK597"/>
      <c r="AL597"/>
      <c r="AM597"/>
      <c r="AN597"/>
      <c r="AO597"/>
      <c r="AP597"/>
      <c r="AQ597"/>
      <c r="AR597" t="inlineStr">
        <is>
          <t>Jobstreet</t>
        </is>
      </c>
      <c r="AS597" t="inlineStr">
        <is>
          <t>- Headcount: 3
- Hiring Job Details: Accounts Executive, Sales, Merchadiser
- Number of outlets: N/A
- Have recruiter team: N/A
- Number of recruiter in company: N/A
- Have ATS system: N/A
- Have career website: N/A
- Current hiring budget: N/A
- Whole year budget: N/A
- Whole year number of vacancies: N/A
- Hiring frequency: N/A
- External job portal: Jobstreet
- Hiring Urgency: Hiring Now</t>
        </is>
      </c>
      <c r="AT597">
        <v>65</v>
      </c>
      <c r="AU597" t="inlineStr">
        <is>
          <t>0.65</t>
        </is>
      </c>
      <c r="AV597" t="inlineStr">
        <is>
          <t>5</t>
        </is>
      </c>
      <c r="AW597" t="inlineStr">
        <is>
          <t>0</t>
        </is>
      </c>
      <c r="AX597" t="inlineStr">
        <is>
          <t>Not Qualified</t>
        </is>
      </c>
      <c r="AY597" s="4"/>
      <c r="AZ597"/>
      <c r="BA597"/>
      <c r="BB597"/>
      <c r="BC597" t="inlineStr">
        <is>
          <t>share quotation as seriena mentioned can share</t>
        </is>
      </c>
      <c r="BD597" s="4">
        <v>46141.476435185185</v>
      </c>
      <c r="BE597" t="inlineStr">
        <is>
          <t>paid</t>
        </is>
      </c>
      <c r="BF597" t="inlineStr">
        <is>
          <t>Q2-W01</t>
        </is>
      </c>
      <c r="BG597" t="inlineStr">
        <is>
          <t>Reschedule</t>
        </is>
      </c>
      <c r="BH597" t="inlineStr">
        <is>
          <t>Fauziah Maharan</t>
        </is>
      </c>
      <c r="BI597" t="inlineStr">
        <is>
          <t>Retail / Merchandise</t>
        </is>
      </c>
      <c r="BJ597" s="4">
        <v>46144.75612268518</v>
      </c>
      <c r="BK597" s="4">
        <v>42444.49599537037</v>
      </c>
      <c r="BL597" t="inlineStr">
        <is>
          <t>0.0</t>
        </is>
      </c>
      <c r="BM597" t="inlineStr">
        <is>
          <t>10500.0</t>
        </is>
      </c>
      <c r="BN597" t="inlineStr">
        <is>
          <t>View Company Page</t>
        </is>
      </c>
      <c r="BO597" s="4">
        <v>46135.325</v>
      </c>
      <c r="BP597">
        <v>169424</v>
      </c>
      <c r="BQ597">
        <v>92275</v>
      </c>
      <c r="BR597" t="inlineStr">
        <is>
          <t>Online</t>
        </is>
      </c>
      <c r="BS597"/>
      <c r="BT597">
        <v>92275</v>
      </c>
      <c r="BU597"/>
      <c r="BV597">
        <v>2734721</v>
      </c>
      <c r="BW597" t="inlineStr">
        <is>
          <t>Follow Up : Quotation Sent 50%</t>
        </is>
      </c>
      <c r="BX597">
        <v>6</v>
      </c>
      <c r="BY597">
        <v>3</v>
      </c>
      <c r="BZ597" s="4">
        <v>46132.54329861111</v>
      </c>
      <c r="CA597">
        <v>60</v>
      </c>
      <c r="CB597">
        <v>59</v>
      </c>
      <c r="CC597" s="4">
        <v>46135.325578703705</v>
      </c>
      <c r="CD597" t="inlineStr">
        <is>
          <t>5</t>
        </is>
      </c>
      <c r="CE597" t="inlineStr">
        <is>
          <t>0</t>
        </is>
      </c>
      <c r="CF597" t="inlineStr">
        <is>
          <t>Q2-W04</t>
        </is>
      </c>
      <c r="CG597" t="inlineStr">
        <is>
          <t>Q2-W01</t>
        </is>
      </c>
      <c r="CH597" t="inlineStr">
        <is>
          <t>Q2-W01</t>
        </is>
      </c>
      <c r="CI597"/>
      <c r="CJ597" t="inlineStr">
        <is>
          <t>Paid</t>
        </is>
      </c>
      <c r="CK597" t="inlineStr">
        <is>
          <t>Eligible</t>
        </is>
      </c>
      <c r="CL597"/>
      <c r="CM597"/>
    </row>
    <row r="598" ht="25.5" customHeight="1">
      <c r="A598" t="inlineStr">
        <is>
          <t>22997</t>
        </is>
      </c>
      <c r="B598" s="2"/>
      <c r="C598"/>
      <c r="D598" s="3">
        <v>46141.458645833336</v>
      </c>
      <c r="E598" t="inlineStr">
        <is>
          <t>Q2-W04</t>
        </is>
      </c>
      <c r="F598" t="inlineStr">
        <is>
          <t>Yuli</t>
        </is>
      </c>
      <c r="G598" t="inlineStr">
        <is>
          <t>Customer</t>
        </is>
      </c>
      <c r="H598" s="2" t="str">
        <f>=HYPERLINK("https://upbox.ajobthing.my/customer/22997", "https://upbox.ajobthing.my/customer/22997")</f>
        <v>https://upbox.ajobthing.my/customer/22997</v>
      </c>
      <c r="I598" t="inlineStr">
        <is>
          <t>TSL Catering F&amp;B Sdn Bhd</t>
        </is>
      </c>
      <c r="J598" t="inlineStr">
        <is>
          <t>Whale</t>
        </is>
      </c>
      <c r="K598" t="inlineStr">
        <is>
          <t>YuLi</t>
        </is>
      </c>
      <c r="L598" s="4"/>
      <c r="M598" s="4">
        <v>46141.459548611114</v>
      </c>
      <c r="N598"/>
      <c r="O598">
        <v>5508</v>
      </c>
      <c r="P598" s="4"/>
      <c r="Q598" s="4">
        <v>46021.68393518519</v>
      </c>
      <c r="R598"/>
      <c r="S598">
        <v>324</v>
      </c>
      <c r="T598" s="4">
        <v>46021.68393518519</v>
      </c>
      <c r="U598" s="4"/>
      <c r="V598"/>
      <c r="W598">
        <v>324</v>
      </c>
      <c r="X598"/>
      <c r="Y598" t="inlineStr">
        <is>
          <t>Pending Appointment</t>
        </is>
      </c>
      <c r="Z598" t="inlineStr">
        <is>
          <t>Hiring Now</t>
        </is>
      </c>
      <c r="AA598">
        <v>1</v>
      </c>
      <c r="AB598" t="inlineStr">
        <is>
          <t>No Appointment Made</t>
        </is>
      </c>
      <c r="AC598"/>
      <c r="AD598" t="inlineStr">
        <is>
          <t>Purchasing executive</t>
        </is>
      </c>
      <c r="AE598"/>
      <c r="AF598"/>
      <c r="AG598" s="4"/>
      <c r="AH598" s="4"/>
      <c r="AI598"/>
      <c r="AJ598"/>
      <c r="AK598" t="inlineStr">
        <is>
          <t>Yes, I have</t>
        </is>
      </c>
      <c r="AL598">
        <v>1</v>
      </c>
      <c r="AM598"/>
      <c r="AN598"/>
      <c r="AO598"/>
      <c r="AP598" t="inlineStr">
        <is>
          <t>Once per quarter (75%)</t>
        </is>
      </c>
      <c r="AQ598"/>
      <c r="AR598" t="inlineStr">
        <is>
          <t>Jobstreet</t>
        </is>
      </c>
      <c r="AS598" t="inlineStr">
        <is>
          <t>- Headcount: 1
- Hiring Job Details: 1 Purchasing executive
- Hiring Urgency: Hiring Now
- Number of outlets: Not available
- Have recruiter team: Yes
- Number of recruiter in company: 1
- Have ATS system: Not available
- Have career website: Not available
- Current hiring budget: Not available
- Whole year budget: Not available
- Whole year number of vacancies: Not available
- Hiring frequency: Once per quarter (75%)
- External job portal: Jobstreet</t>
        </is>
      </c>
      <c r="AT598">
        <v>95</v>
      </c>
      <c r="AU598" t="inlineStr">
        <is>
          <t>0.95</t>
        </is>
      </c>
      <c r="AV598" t="inlineStr">
        <is>
          <t>5</t>
        </is>
      </c>
      <c r="AW598" t="inlineStr">
        <is>
          <t>0</t>
        </is>
      </c>
      <c r="AX598" t="inlineStr">
        <is>
          <t>Not Qualified</t>
        </is>
      </c>
      <c r="AY598" s="4"/>
      <c r="AZ598"/>
      <c r="BA598"/>
      <c r="BB598"/>
      <c r="BC598" t="inlineStr">
        <is>
          <t>- Headcount: 1
- Hiring Job Details: 1 Purchasing executive
- Hiring Urgency: Hiring Now
- Number of outlets: Not available
- Have recruiter team: Yes
- Number of recruiter in company: 1
- Have ATS system: Not available
- Have career website: Not available
- Current hiring budget: Not available
- Whole year budget: Not available
- Whole year number of vacancies: Not available
- Hiring frequency: Once per quarter (75%)
- External job portal: Jobstreet</t>
        </is>
      </c>
      <c r="BD598" s="4">
        <v>46141.500023148146</v>
      </c>
      <c r="BE598" t="inlineStr">
        <is>
          <t>paid</t>
        </is>
      </c>
      <c r="BF598"/>
      <c r="BG598" t="inlineStr">
        <is>
          <t>Reschedule</t>
        </is>
      </c>
      <c r="BH598" t="inlineStr">
        <is>
          <t>Fauziah Maharan</t>
        </is>
      </c>
      <c r="BI598" t="inlineStr">
        <is>
          <t>Food / Beverage</t>
        </is>
      </c>
      <c r="BJ598" s="4">
        <v>46144.75444444444</v>
      </c>
      <c r="BK598" s="4">
        <v>42502.49821759259</v>
      </c>
      <c r="BL598" t="inlineStr">
        <is>
          <t>12204.0</t>
        </is>
      </c>
      <c r="BM598" t="inlineStr">
        <is>
          <t>600.0</t>
        </is>
      </c>
      <c r="BN598" t="inlineStr">
        <is>
          <t>View Company Page</t>
        </is>
      </c>
      <c r="BO598" s="4">
        <v>46134.49862268518</v>
      </c>
      <c r="BP598">
        <v>169428</v>
      </c>
      <c r="BQ598">
        <v>85247</v>
      </c>
      <c r="BR598" t="inlineStr">
        <is>
          <t>Online</t>
        </is>
      </c>
      <c r="BS598"/>
      <c r="BT598">
        <v>85247</v>
      </c>
      <c r="BU598"/>
      <c r="BV598">
        <v>2734860</v>
      </c>
      <c r="BW598" t="inlineStr">
        <is>
          <t>Customer Inquiry</t>
        </is>
      </c>
      <c r="BX598">
        <v>24</v>
      </c>
      <c r="BY598">
        <v>0</v>
      </c>
      <c r="BZ598" s="4">
        <v>46097.5825462963</v>
      </c>
      <c r="CA598">
        <v>240</v>
      </c>
      <c r="CB598">
        <v>234</v>
      </c>
      <c r="CC598" s="4">
        <v>46117.898564814815</v>
      </c>
      <c r="CD598" t="inlineStr">
        <is>
          <t>5</t>
        </is>
      </c>
      <c r="CE598" t="inlineStr">
        <is>
          <t>0</t>
        </is>
      </c>
      <c r="CF598" t="inlineStr">
        <is>
          <t>Q2-W04</t>
        </is>
      </c>
      <c r="CG598"/>
      <c r="CH598"/>
      <c r="CI598"/>
      <c r="CJ598" t="inlineStr">
        <is>
          <t>Paid</t>
        </is>
      </c>
      <c r="CK598" t="inlineStr">
        <is>
          <t>Eligible</t>
        </is>
      </c>
      <c r="CL598"/>
      <c r="CM598"/>
    </row>
    <row r="599" ht="25.5" customHeight="1">
      <c r="A599" t="inlineStr">
        <is>
          <t>22992</t>
        </is>
      </c>
      <c r="B599" s="2"/>
      <c r="C599"/>
      <c r="D599" s="3">
        <v>46141.49041666667</v>
      </c>
      <c r="E599" t="inlineStr">
        <is>
          <t>Q2-W04</t>
        </is>
      </c>
      <c r="F599" t="inlineStr">
        <is>
          <t>Yvonne Lee</t>
        </is>
      </c>
      <c r="G599" t="inlineStr">
        <is>
          <t>Customer</t>
        </is>
      </c>
      <c r="H599" s="2" t="str">
        <f>=HYPERLINK("https://upbox.ajobthing.my/customer/22992", "https://upbox.ajobthing.my/customer/22992")</f>
        <v>https://upbox.ajobthing.my/customer/22992</v>
      </c>
      <c r="I599" t="inlineStr">
        <is>
          <t>Dataxet Malaysia Sdn Bhd</t>
        </is>
      </c>
      <c r="J599" t="inlineStr">
        <is>
          <t>Whale</t>
        </is>
      </c>
      <c r="K599" t="inlineStr">
        <is>
          <t>Yvonne</t>
        </is>
      </c>
      <c r="L599" s="4"/>
      <c r="M599" s="4">
        <v>46141.49539351852</v>
      </c>
      <c r="N599"/>
      <c r="O599">
        <v>11448</v>
      </c>
      <c r="P599" s="4"/>
      <c r="Q599" s="4">
        <v>44636.16170138889</v>
      </c>
      <c r="R599"/>
      <c r="S599">
        <v>2650</v>
      </c>
      <c r="T599" s="4">
        <v>44636.00001157408</v>
      </c>
      <c r="U599" s="4"/>
      <c r="V599"/>
      <c r="W599">
        <v>2650</v>
      </c>
      <c r="X599"/>
      <c r="Y599" t="inlineStr">
        <is>
          <t>Pending Appointment</t>
        </is>
      </c>
      <c r="Z599" t="inlineStr">
        <is>
          <t>Hiring Later</t>
        </is>
      </c>
      <c r="AA599">
        <v>2</v>
      </c>
      <c r="AB599" t="inlineStr">
        <is>
          <t>No Appointment Made</t>
        </is>
      </c>
      <c r="AC599"/>
      <c r="AD599" t="inlineStr">
        <is>
          <t>1) Administration 
2) Media Executive</t>
        </is>
      </c>
      <c r="AE599"/>
      <c r="AF599">
        <v>10000</v>
      </c>
      <c r="AG599" s="4"/>
      <c r="AH599" s="4"/>
      <c r="AI599">
        <v>10000</v>
      </c>
      <c r="AJ599">
        <v>1</v>
      </c>
      <c r="AK599"/>
      <c r="AL599">
        <v>1</v>
      </c>
      <c r="AM599" t="inlineStr">
        <is>
          <t>No, I don't need at all</t>
        </is>
      </c>
      <c r="AN599"/>
      <c r="AO599" t="inlineStr">
        <is>
          <t>No, I don't need at all</t>
        </is>
      </c>
      <c r="AP599" t="inlineStr">
        <is>
          <t>Once a year (25%)</t>
        </is>
      </c>
      <c r="AQ599">
        <v>20</v>
      </c>
      <c r="AR599" t="inlineStr">
        <is>
          <t>Free Job Portal</t>
        </is>
      </c>
      <c r="AS599" t="inlineStr">
        <is>
          <t>- Headcount: 2
- Hiring Job Details: 1) Administration 2) Media Executive
- Hiring Urgency: Hiring Later
- Number of outlets: 1
- Have recruiter team: Unspecified
- Number of recruiter in company: 1
- Have ATS system: No, I don't need at all
- Have career website: No, I don't need at all
- Current hiring budget: RM10,000
- Whole year budget: RM10,000.00
- Whole year number of vacancies: 20
- Hiring frequency: Once a year (25%)
- External job portal: Free Job Portal</t>
        </is>
      </c>
      <c r="AT599">
        <v>75</v>
      </c>
      <c r="AU599" t="inlineStr">
        <is>
          <t>0.75</t>
        </is>
      </c>
      <c r="AV599" t="inlineStr">
        <is>
          <t>15</t>
        </is>
      </c>
      <c r="AW599" t="inlineStr">
        <is>
          <t>0</t>
        </is>
      </c>
      <c r="AX599" t="inlineStr">
        <is>
          <t>Not Qualified</t>
        </is>
      </c>
      <c r="AY599" s="4"/>
      <c r="AZ599"/>
      <c r="BA599"/>
      <c r="BB599"/>
      <c r="BC599" t="inlineStr">
        <is>
          <t>- Headcount: 2
- Hiring Job Details: 1) Administration 2) Media Executive
- Hiring Urgency: Hiring Later
- Number of outlets: 1
- Have recruiter team: Unspecified
- Number of recruiter in company: 1
- Have ATS system: No, I don't need at all
- Have career website: No, I don't need at all
- Current hiring budget: RM10,000
- Whole year budget: RM10,000.00
- Whole year number of vacancies: 20
- Hiring frequency: Once a year (25%)
- External job portal: Free Job Portal</t>
        </is>
      </c>
      <c r="BD599" s="4">
        <v>46141.50003472222</v>
      </c>
      <c r="BE599" t="inlineStr">
        <is>
          <t>paid</t>
        </is>
      </c>
      <c r="BF599"/>
      <c r="BG599" t="inlineStr">
        <is>
          <t>Reschedule</t>
        </is>
      </c>
      <c r="BH599" t="inlineStr">
        <is>
          <t>andy@ajobthing.com</t>
        </is>
      </c>
      <c r="BI599" t="inlineStr">
        <is>
          <t>Entertainment / Media</t>
        </is>
      </c>
      <c r="BJ599" s="4">
        <v>46144.75444444444</v>
      </c>
      <c r="BK599" s="4">
        <v>42502.462546296294</v>
      </c>
      <c r="BL599" t="inlineStr">
        <is>
          <t>0.0</t>
        </is>
      </c>
      <c r="BM599" t="inlineStr">
        <is>
          <t>600.0</t>
        </is>
      </c>
      <c r="BN599" t="inlineStr">
        <is>
          <t>PA Visit - Applicant Manager</t>
        </is>
      </c>
      <c r="BO599" s="4">
        <v>45884.64710648148</v>
      </c>
      <c r="BP599">
        <v>169459</v>
      </c>
      <c r="BQ599">
        <v>56012</v>
      </c>
      <c r="BR599" t="inlineStr">
        <is>
          <t>Proforma</t>
        </is>
      </c>
      <c r="BS599" t="inlineStr">
        <is>
          <t>A la carte</t>
        </is>
      </c>
      <c r="BT599">
        <v>42128</v>
      </c>
      <c r="BU599"/>
      <c r="BV599">
        <v>2734876</v>
      </c>
      <c r="BW599" t="inlineStr">
        <is>
          <t>Customer Inquiry</t>
        </is>
      </c>
      <c r="BX599"/>
      <c r="BY599"/>
      <c r="BZ599" s="4"/>
      <c r="CA599"/>
      <c r="CB599"/>
      <c r="CC599" s="4"/>
      <c r="CD599" t="inlineStr">
        <is>
          <t>20</t>
        </is>
      </c>
      <c r="CE599" t="inlineStr">
        <is>
          <t>0</t>
        </is>
      </c>
      <c r="CF599" t="inlineStr">
        <is>
          <t>Q2-W04</t>
        </is>
      </c>
      <c r="CG599"/>
      <c r="CH599"/>
      <c r="CI599"/>
      <c r="CJ599" t="inlineStr">
        <is>
          <t>Paid</t>
        </is>
      </c>
      <c r="CK599" t="inlineStr">
        <is>
          <t>Eligible</t>
        </is>
      </c>
      <c r="CL599"/>
      <c r="CM599"/>
    </row>
    <row r="600" ht="25.5" customHeight="1">
      <c r="A600" t="inlineStr">
        <is>
          <t>195994</t>
        </is>
      </c>
      <c r="B600" s="2"/>
      <c r="C600"/>
      <c r="D600" s="3">
        <v>46141.49084490741</v>
      </c>
      <c r="E600" t="inlineStr">
        <is>
          <t>Q2-W04</t>
        </is>
      </c>
      <c r="F600" t="inlineStr">
        <is>
          <t>Eugene</t>
        </is>
      </c>
      <c r="G600" t="inlineStr">
        <is>
          <t>Customer</t>
        </is>
      </c>
      <c r="H600" s="2" t="str">
        <f>=HYPERLINK("https://upbox.ajobthing.my/customer/195994", "https://upbox.ajobthing.my/customer/195994")</f>
        <v>https://upbox.ajobthing.my/customer/195994</v>
      </c>
      <c r="I600" t="inlineStr">
        <is>
          <t>Teong Huat Medical Sdn Bhd</t>
        </is>
      </c>
      <c r="J600" t="inlineStr">
        <is>
          <t>Whale</t>
        </is>
      </c>
      <c r="K600" t="inlineStr">
        <is>
          <t>Eugene</t>
        </is>
      </c>
      <c r="L600" s="4"/>
      <c r="M600" s="4">
        <v>46141.4916087963</v>
      </c>
      <c r="N600"/>
      <c r="O600">
        <v>3576.96</v>
      </c>
      <c r="P600" s="4"/>
      <c r="Q600" s="4">
        <v>45918.58258101852</v>
      </c>
      <c r="R600"/>
      <c r="S600">
        <v>3888</v>
      </c>
      <c r="T600" s="4">
        <v>45918.58258101852</v>
      </c>
      <c r="U600" s="4"/>
      <c r="V600"/>
      <c r="W600">
        <v>3888</v>
      </c>
      <c r="X600"/>
      <c r="Y600" t="inlineStr">
        <is>
          <t>Pending Appointment</t>
        </is>
      </c>
      <c r="Z600" t="inlineStr">
        <is>
          <t>Hiring Later</t>
        </is>
      </c>
      <c r="AA600">
        <v>1</v>
      </c>
      <c r="AB600" t="inlineStr">
        <is>
          <t>No Appointment Made</t>
        </is>
      </c>
      <c r="AC600"/>
      <c r="AD600" t="inlineStr">
        <is>
          <t>1 finance admin, based in Penang</t>
        </is>
      </c>
      <c r="AE600"/>
      <c r="AF600">
        <v>3000</v>
      </c>
      <c r="AG600" s="4"/>
      <c r="AH600" s="4"/>
      <c r="AI600">
        <v>3000</v>
      </c>
      <c r="AJ600">
        <v>1</v>
      </c>
      <c r="AK600" t="inlineStr">
        <is>
          <t>No, I don't need at all</t>
        </is>
      </c>
      <c r="AL600">
        <v>1</v>
      </c>
      <c r="AM600" t="inlineStr">
        <is>
          <t>No, I don't need at all</t>
        </is>
      </c>
      <c r="AN600"/>
      <c r="AO600" t="inlineStr">
        <is>
          <t>No, I don't need at all</t>
        </is>
      </c>
      <c r="AP600" t="inlineStr">
        <is>
          <t>Once per quarter (75%)</t>
        </is>
      </c>
      <c r="AQ600">
        <v>2</v>
      </c>
      <c r="AR600" t="inlineStr">
        <is>
          <t>Free Job Portal</t>
        </is>
      </c>
      <c r="AS600" t="inlineStr">
        <is>
          <t>- Headcount: 1
- Hiring Job Details: 1 finance admin, based in Penang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per quarter (75%)
- External job portal: Free Job Portal</t>
        </is>
      </c>
      <c r="AT600">
        <v>115</v>
      </c>
      <c r="AU600" t="inlineStr">
        <is>
          <t>1.15</t>
        </is>
      </c>
      <c r="AV600" t="inlineStr">
        <is>
          <t>15</t>
        </is>
      </c>
      <c r="AW600" t="inlineStr">
        <is>
          <t>0</t>
        </is>
      </c>
      <c r="AX600" t="inlineStr">
        <is>
          <t>Not Qualified</t>
        </is>
      </c>
      <c r="AY600" s="4"/>
      <c r="AZ600"/>
      <c r="BA600"/>
      <c r="BB600"/>
      <c r="BC600" t="inlineStr">
        <is>
          <t>proof</t>
        </is>
      </c>
      <c r="BD600" s="4">
        <v>46141.56783564815</v>
      </c>
      <c r="BE600" t="inlineStr">
        <is>
          <t>paid</t>
        </is>
      </c>
      <c r="BF600"/>
      <c r="BG600" t="inlineStr">
        <is>
          <t>Reschedule</t>
        </is>
      </c>
      <c r="BH600" t="inlineStr">
        <is>
          <t>Edward Hoo</t>
        </is>
      </c>
      <c r="BI600" t="inlineStr">
        <is>
          <t>Healthcare / Medical</t>
        </is>
      </c>
      <c r="BJ600" s="4">
        <v>46144.75278935185</v>
      </c>
      <c r="BK600" s="4">
        <v>45910.75519675926</v>
      </c>
      <c r="BL600" t="inlineStr">
        <is>
          <t>3888.0</t>
        </is>
      </c>
      <c r="BM600" t="inlineStr">
        <is>
          <t>1200.0</t>
        </is>
      </c>
      <c r="BN600" t="inlineStr">
        <is>
          <t>View Company Page</t>
        </is>
      </c>
      <c r="BO600" s="4">
        <v>46140.65509259259</v>
      </c>
      <c r="BP600">
        <v>169456</v>
      </c>
      <c r="BQ600">
        <v>82479</v>
      </c>
      <c r="BR600" t="inlineStr">
        <is>
          <t>Online</t>
        </is>
      </c>
      <c r="BS600"/>
      <c r="BT600">
        <v>82479</v>
      </c>
      <c r="BU600"/>
      <c r="BV600">
        <v>2735063</v>
      </c>
      <c r="BW600" t="inlineStr">
        <is>
          <t>Customer Inquiry</t>
        </is>
      </c>
      <c r="BX600">
        <v>6</v>
      </c>
      <c r="BY600">
        <v>0</v>
      </c>
      <c r="BZ600" s="4">
        <v>46136.50074074074</v>
      </c>
      <c r="CA600">
        <v>60</v>
      </c>
      <c r="CB600">
        <v>14</v>
      </c>
      <c r="CC600" s="4">
        <v>46136.72545138889</v>
      </c>
      <c r="CD600" t="inlineStr">
        <is>
          <t>20</t>
        </is>
      </c>
      <c r="CE600" t="inlineStr">
        <is>
          <t>0</t>
        </is>
      </c>
      <c r="CF600" t="inlineStr">
        <is>
          <t>Q2-W04</t>
        </is>
      </c>
      <c r="CG600"/>
      <c r="CH600"/>
      <c r="CI600"/>
      <c r="CJ600" t="inlineStr">
        <is>
          <t>Paid</t>
        </is>
      </c>
      <c r="CK600" t="inlineStr">
        <is>
          <t>Eligible</t>
        </is>
      </c>
      <c r="CL600"/>
      <c r="CM600"/>
    </row>
    <row r="601" ht="25.5" customHeight="1">
      <c r="A601" t="inlineStr">
        <is>
          <t>145043</t>
        </is>
      </c>
      <c r="B601" s="2"/>
      <c r="C601"/>
      <c r="D601" s="3">
        <v>46141.50108796296</v>
      </c>
      <c r="E601" t="inlineStr">
        <is>
          <t>Q2-W04</t>
        </is>
      </c>
      <c r="F601" t="inlineStr">
        <is>
          <t>Ken Yi</t>
        </is>
      </c>
      <c r="G601" t="inlineStr">
        <is>
          <t>Customer</t>
        </is>
      </c>
      <c r="H601" s="2" t="str">
        <f>=HYPERLINK("https://upbox.ajobthing.my/customer/145043", "https://upbox.ajobthing.my/customer/145043")</f>
        <v>https://upbox.ajobthing.my/customer/145043</v>
      </c>
      <c r="I601" t="inlineStr">
        <is>
          <t xml:space="preserve">Delegasi Arif Sdn Bhd </t>
        </is>
      </c>
      <c r="J601" t="inlineStr">
        <is>
          <t>Whale</t>
        </is>
      </c>
      <c r="K601" t="inlineStr">
        <is>
          <t>Kenyi</t>
        </is>
      </c>
      <c r="L601" s="4"/>
      <c r="M601" s="4">
        <v>46141.50270833333</v>
      </c>
      <c r="N601"/>
      <c r="O601">
        <v>3576.96</v>
      </c>
      <c r="P601" s="4"/>
      <c r="Q601" s="4">
        <v>45008.52321759259</v>
      </c>
      <c r="R601"/>
      <c r="S601">
        <v>954</v>
      </c>
      <c r="T601" s="4">
        <v>45008.52321759259</v>
      </c>
      <c r="U601" s="4"/>
      <c r="V601"/>
      <c r="W601">
        <v>954</v>
      </c>
      <c r="X601"/>
      <c r="Y601" t="inlineStr">
        <is>
          <t>Pending Appointment</t>
        </is>
      </c>
      <c r="Z601" t="inlineStr">
        <is>
          <t>Hiring Now</t>
        </is>
      </c>
      <c r="AA601">
        <v>1</v>
      </c>
      <c r="AB601" t="inlineStr">
        <is>
          <t>No Appointment Made</t>
        </is>
      </c>
      <c r="AC601"/>
      <c r="AD601" t="inlineStr">
        <is>
          <t>Customer service 1</t>
        </is>
      </c>
      <c r="AE601"/>
      <c r="AF601">
        <v>0</v>
      </c>
      <c r="AG601" s="4"/>
      <c r="AH601" s="4"/>
      <c r="AI601">
        <v>0</v>
      </c>
      <c r="AJ601">
        <v>1</v>
      </c>
      <c r="AK601" t="inlineStr">
        <is>
          <t>Yes, I have</t>
        </is>
      </c>
      <c r="AL601">
        <v>1</v>
      </c>
      <c r="AM601" t="inlineStr">
        <is>
          <t>No, I don't need at all</t>
        </is>
      </c>
      <c r="AN601"/>
      <c r="AO601" t="inlineStr">
        <is>
          <t>No, I don't need at all</t>
        </is>
      </c>
      <c r="AP601" t="inlineStr">
        <is>
          <t>Every month (100%)</t>
        </is>
      </c>
      <c r="AQ601">
        <v>1</v>
      </c>
      <c r="AR601" t="inlineStr">
        <is>
          <t>Did not use any job portal</t>
        </is>
      </c>
      <c r="AS601" t="inlineStr">
        <is>
          <t>- Headcount: 1
- Hiring Job Details: 1 customer service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601">
        <v>110</v>
      </c>
      <c r="AU601" t="inlineStr">
        <is>
          <t>1.10</t>
        </is>
      </c>
      <c r="AV601" t="inlineStr">
        <is>
          <t>15</t>
        </is>
      </c>
      <c r="AW601" t="inlineStr">
        <is>
          <t>0</t>
        </is>
      </c>
      <c r="AX601" t="inlineStr">
        <is>
          <t>Not Qualified</t>
        </is>
      </c>
      <c r="AY601" s="4"/>
      <c r="AZ601"/>
      <c r="BA601"/>
      <c r="BB601"/>
      <c r="BC601" t="inlineStr">
        <is>
          <t>- Headcount: 1
- Hiring Job Details: 1 customer service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BD601" s="4">
        <v>46141.54168981482</v>
      </c>
      <c r="BE601" t="inlineStr">
        <is>
          <t>paid</t>
        </is>
      </c>
      <c r="BF601"/>
      <c r="BG601" t="inlineStr">
        <is>
          <t>Reschedule</t>
        </is>
      </c>
      <c r="BH601" t="inlineStr">
        <is>
          <t>Fauziah Maharan</t>
        </is>
      </c>
      <c r="BI601" t="inlineStr">
        <is>
          <t>Call Center / BPO</t>
        </is>
      </c>
      <c r="BJ601" s="4">
        <v>46144.75074074074</v>
      </c>
      <c r="BK601" s="4">
        <v>44536.55494212963</v>
      </c>
      <c r="BL601" t="inlineStr">
        <is>
          <t>0.0</t>
        </is>
      </c>
      <c r="BM601" t="inlineStr">
        <is>
          <t>600.0</t>
        </is>
      </c>
      <c r="BN601" t="inlineStr">
        <is>
          <t>View Company Page</t>
        </is>
      </c>
      <c r="BO601" s="4">
        <v>45008.532789351855</v>
      </c>
      <c r="BP601">
        <v>169465</v>
      </c>
      <c r="BQ601">
        <v>56911</v>
      </c>
      <c r="BR601" t="inlineStr">
        <is>
          <t>Online</t>
        </is>
      </c>
      <c r="BS601"/>
      <c r="BT601">
        <v>56911</v>
      </c>
      <c r="BU601"/>
      <c r="BV601">
        <v>2734998</v>
      </c>
      <c r="BW601" t="inlineStr">
        <is>
          <t>Customer Inquiry</t>
        </is>
      </c>
      <c r="BX601"/>
      <c r="BY601"/>
      <c r="BZ601" s="4"/>
      <c r="CA601"/>
      <c r="CB601"/>
      <c r="CC601" s="4"/>
      <c r="CD601" t="inlineStr">
        <is>
          <t>20</t>
        </is>
      </c>
      <c r="CE601" t="inlineStr">
        <is>
          <t>0</t>
        </is>
      </c>
      <c r="CF601" t="inlineStr">
        <is>
          <t>Q2-W04</t>
        </is>
      </c>
      <c r="CG601"/>
      <c r="CH601"/>
      <c r="CI601"/>
      <c r="CJ601" t="inlineStr">
        <is>
          <t>Paid</t>
        </is>
      </c>
      <c r="CK601" t="inlineStr">
        <is>
          <t>Eligible</t>
        </is>
      </c>
      <c r="CL601"/>
      <c r="CM601"/>
    </row>
    <row r="602" ht="25.5" customHeight="1">
      <c r="A602" t="inlineStr">
        <is>
          <t>175227</t>
        </is>
      </c>
      <c r="B602" s="2"/>
      <c r="C602"/>
      <c r="D602" s="3">
        <v>46141.59856481481</v>
      </c>
      <c r="E602" t="inlineStr">
        <is>
          <t>Q2-W04</t>
        </is>
      </c>
      <c r="F602" t="inlineStr">
        <is>
          <t>Angel  Low</t>
        </is>
      </c>
      <c r="G602" t="inlineStr">
        <is>
          <t>Customer</t>
        </is>
      </c>
      <c r="H602" s="2" t="str">
        <f>=HYPERLINK("https://upbox.ajobthing.my/customer/175227", "https://upbox.ajobthing.my/customer/175227")</f>
        <v>https://upbox.ajobthing.my/customer/175227</v>
      </c>
      <c r="I602" t="inlineStr">
        <is>
          <t>Yunyi Transportation (M) Sdn Bhd</t>
        </is>
      </c>
      <c r="J602" t="inlineStr">
        <is>
          <t>Whale</t>
        </is>
      </c>
      <c r="K602" t="inlineStr">
        <is>
          <t>Angel Low</t>
        </is>
      </c>
      <c r="L602" s="4"/>
      <c r="M602" s="4">
        <v>46141.60207175926</v>
      </c>
      <c r="N602"/>
      <c r="O602">
        <v>5412.96</v>
      </c>
      <c r="P602" s="4"/>
      <c r="Q602" s="4">
        <v>45792.59155092593</v>
      </c>
      <c r="R602"/>
      <c r="S602">
        <v>5292</v>
      </c>
      <c r="T602" s="4">
        <v>45792.59155092593</v>
      </c>
      <c r="U602" s="4"/>
      <c r="V602"/>
      <c r="W602">
        <v>5292</v>
      </c>
      <c r="X602"/>
      <c r="Y602" t="inlineStr">
        <is>
          <t>Pending Appointment</t>
        </is>
      </c>
      <c r="Z602"/>
      <c r="AA602">
        <v>1</v>
      </c>
      <c r="AB602" t="inlineStr">
        <is>
          <t>No Appointment Made</t>
        </is>
      </c>
      <c r="AC602"/>
      <c r="AD602" t="inlineStr">
        <is>
          <t xml:space="preserve">1 driver </t>
        </is>
      </c>
      <c r="AE602"/>
      <c r="AF602"/>
      <c r="AG602" s="4"/>
      <c r="AH602" s="4"/>
      <c r="AI602"/>
      <c r="AJ602"/>
      <c r="AK602"/>
      <c r="AL602"/>
      <c r="AM602"/>
      <c r="AN602"/>
      <c r="AO602"/>
      <c r="AP602"/>
      <c r="AQ602"/>
      <c r="AR602"/>
      <c r="AS602" t="inlineStr">
        <is>
          <t>- Headcount: 1
- Hiring Job Details: 1 driver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602">
        <v>60</v>
      </c>
      <c r="AU602" t="inlineStr">
        <is>
          <t>0.60</t>
        </is>
      </c>
      <c r="AV602" t="inlineStr">
        <is>
          <t>5</t>
        </is>
      </c>
      <c r="AW602" t="inlineStr">
        <is>
          <t>0</t>
        </is>
      </c>
      <c r="AX602" t="inlineStr">
        <is>
          <t>Not Qualified</t>
        </is>
      </c>
      <c r="AY602" s="4"/>
      <c r="AZ602"/>
      <c r="BA602"/>
      <c r="BB602"/>
      <c r="BC602" t="inlineStr">
        <is>
          <t>quo sent</t>
        </is>
      </c>
      <c r="BD602" s="4">
        <v>46141.6459837963</v>
      </c>
      <c r="BE602" t="inlineStr">
        <is>
          <t>paid</t>
        </is>
      </c>
      <c r="BF602"/>
      <c r="BG602" t="inlineStr">
        <is>
          <t>Reschedule</t>
        </is>
      </c>
      <c r="BH602" t="inlineStr">
        <is>
          <t>Fauziah Maharan</t>
        </is>
      </c>
      <c r="BI602" t="inlineStr">
        <is>
          <t>Transportation / Logistics</t>
        </is>
      </c>
      <c r="BJ602" s="4">
        <v>46144.751608796294</v>
      </c>
      <c r="BK602" s="4">
        <v>45328.45615740741</v>
      </c>
      <c r="BL602" t="inlineStr">
        <is>
          <t>5292.0</t>
        </is>
      </c>
      <c r="BM602" t="inlineStr">
        <is>
          <t>0.0</t>
        </is>
      </c>
      <c r="BN602" t="inlineStr">
        <is>
          <t>User Visit(Logged In)</t>
        </is>
      </c>
      <c r="BO602" s="4">
        <v>46141.63119212963</v>
      </c>
      <c r="BP602">
        <v>169503</v>
      </c>
      <c r="BQ602">
        <v>79299</v>
      </c>
      <c r="BR602" t="inlineStr">
        <is>
          <t>Online</t>
        </is>
      </c>
      <c r="BS602"/>
      <c r="BT602">
        <v>79299</v>
      </c>
      <c r="BU602"/>
      <c r="BV602">
        <v>2735644</v>
      </c>
      <c r="BW602" t="inlineStr">
        <is>
          <t>Customer Inquiry</t>
        </is>
      </c>
      <c r="BX602">
        <v>12</v>
      </c>
      <c r="BY602">
        <v>1</v>
      </c>
      <c r="BZ602" s="4">
        <v>45898.70726851852</v>
      </c>
      <c r="CA602">
        <v>240</v>
      </c>
      <c r="CB602">
        <v>240</v>
      </c>
      <c r="CC602" s="4"/>
      <c r="CD602" t="inlineStr">
        <is>
          <t>5</t>
        </is>
      </c>
      <c r="CE602" t="inlineStr">
        <is>
          <t>0</t>
        </is>
      </c>
      <c r="CF602" t="inlineStr">
        <is>
          <t>Q2-W04</t>
        </is>
      </c>
      <c r="CG602"/>
      <c r="CH602"/>
      <c r="CI602"/>
      <c r="CJ602" t="inlineStr">
        <is>
          <t>Paid</t>
        </is>
      </c>
      <c r="CK602" t="inlineStr">
        <is>
          <t>Eligible</t>
        </is>
      </c>
      <c r="CL602"/>
      <c r="CM602"/>
    </row>
    <row r="603" ht="25.5" customHeight="1">
      <c r="A603" t="inlineStr">
        <is>
          <t>191661</t>
        </is>
      </c>
      <c r="B603" s="2"/>
      <c r="C603"/>
      <c r="D603" s="3">
        <v>46141.61377314815</v>
      </c>
      <c r="E603" t="inlineStr">
        <is>
          <t>Q2-W04</t>
        </is>
      </c>
      <c r="F603" t="inlineStr">
        <is>
          <t>Jess</t>
        </is>
      </c>
      <c r="G603" t="inlineStr">
        <is>
          <t>Customer</t>
        </is>
      </c>
      <c r="H603" s="2" t="str">
        <f>=HYPERLINK("https://upbox.ajobthing.my/customer/191661", "https://upbox.ajobthing.my/customer/191661")</f>
        <v>https://upbox.ajobthing.my/customer/191661</v>
      </c>
      <c r="I603" t="inlineStr">
        <is>
          <t>Walking On Sunshine Sdn. Bhd.</t>
        </is>
      </c>
      <c r="J603" t="inlineStr">
        <is>
          <t>Whale</t>
        </is>
      </c>
      <c r="K603" t="inlineStr">
        <is>
          <t>Jess Lim</t>
        </is>
      </c>
      <c r="L603" s="4"/>
      <c r="M603" s="4">
        <v>46141.61824074074</v>
      </c>
      <c r="N603"/>
      <c r="O603">
        <v>11448</v>
      </c>
      <c r="P603" s="4"/>
      <c r="Q603" s="4">
        <v>46127.4522337963</v>
      </c>
      <c r="R603"/>
      <c r="S603">
        <v>0</v>
      </c>
      <c r="T603" s="4">
        <v>45808.88280092592</v>
      </c>
      <c r="U603" s="4"/>
      <c r="V603"/>
      <c r="W603">
        <v>5076</v>
      </c>
      <c r="X603"/>
      <c r="Y603" t="inlineStr">
        <is>
          <t>Pending Appointment</t>
        </is>
      </c>
      <c r="Z603" t="inlineStr">
        <is>
          <t>Hiring Now</t>
        </is>
      </c>
      <c r="AA603">
        <v>1</v>
      </c>
      <c r="AB603" t="inlineStr">
        <is>
          <t>No Appointment Made</t>
        </is>
      </c>
      <c r="AC603"/>
      <c r="AD603" t="inlineStr">
        <is>
          <t>f&amp;b crew staff</t>
        </is>
      </c>
      <c r="AE603"/>
      <c r="AF603">
        <v>5000</v>
      </c>
      <c r="AG603" s="4"/>
      <c r="AH603" s="4"/>
      <c r="AI603"/>
      <c r="AJ603">
        <v>3</v>
      </c>
      <c r="AK603" t="inlineStr">
        <is>
          <t>No, I don't need at all</t>
        </is>
      </c>
      <c r="AL603">
        <v>3</v>
      </c>
      <c r="AM603" t="inlineStr">
        <is>
          <t>No, I don't need at all</t>
        </is>
      </c>
      <c r="AN603"/>
      <c r="AO603" t="inlineStr">
        <is>
          <t>No, I don't need at all</t>
        </is>
      </c>
      <c r="AP603" t="inlineStr">
        <is>
          <t>Once a year (25%)</t>
        </is>
      </c>
      <c r="AQ603"/>
      <c r="AR603" t="inlineStr">
        <is>
          <t>Jobstreet</t>
        </is>
      </c>
      <c r="AS603" t="inlineStr">
        <is>
          <t>- Headcount: 1
- Hiring Job Details: f&amp;b crew staff
- Hiring Urgency: Hiring Now
- Number of outlets: 3
- Have recruiter team: No, I don't need at all
- Number of recruiter in company: 3
- Have ATS system: No, I don't need at all
- Have career website: No, I don't need at all
- Current hiring budget: RM5,000.00
- Whole year budget: Not available
- Whole year number of vacancies: Not available
- Hiring frequency: Once a year (25%)
- External job portal: Jobstreet</t>
        </is>
      </c>
      <c r="AT603">
        <v>95</v>
      </c>
      <c r="AU603" t="inlineStr">
        <is>
          <t>0.95</t>
        </is>
      </c>
      <c r="AV603" t="inlineStr">
        <is>
          <t>15</t>
        </is>
      </c>
      <c r="AW603" t="inlineStr">
        <is>
          <t>0</t>
        </is>
      </c>
      <c r="AX603" t="inlineStr">
        <is>
          <t>Not Qualified</t>
        </is>
      </c>
      <c r="AY603" s="4"/>
      <c r="AZ603"/>
      <c r="BA603"/>
      <c r="BB603"/>
      <c r="BC603" t="inlineStr">
        <is>
          <t>- Headcount: 1
- Hiring Job Details: f&amp;b crew staff
- Hiring Urgency: Hiring Now
- Number of outlets: 3
- Have recruiter team: No, I don't need at all
- Number of recruiter in company: 3
- Have ATS system: No, I don't need at all
- Have career website: No, I don't need at all
- Current hiring budget: RM5,000.00
- Whole year budget: Not available
- Whole year number of vacancies: Not available
- Hiring frequency: Once a year (25%)
- External job portal: Jobstreet</t>
        </is>
      </c>
      <c r="BD603" s="4">
        <v>46141.62503472222</v>
      </c>
      <c r="BE603" t="inlineStr">
        <is>
          <t>paid</t>
        </is>
      </c>
      <c r="BF603"/>
      <c r="BG603" t="inlineStr">
        <is>
          <t>Reschedule</t>
        </is>
      </c>
      <c r="BH603" t="inlineStr">
        <is>
          <t>Fauziah Maharan</t>
        </is>
      </c>
      <c r="BI603" t="inlineStr">
        <is>
          <t>Beauty / Fitness</t>
        </is>
      </c>
      <c r="BJ603" s="4">
        <v>46144.752430555556</v>
      </c>
      <c r="BK603" s="4">
        <v>45799.64979166666</v>
      </c>
      <c r="BL603" t="inlineStr">
        <is>
          <t>5076.0</t>
        </is>
      </c>
      <c r="BM603" t="inlineStr">
        <is>
          <t>0.0</t>
        </is>
      </c>
      <c r="BN603" t="inlineStr">
        <is>
          <t>User Visit(Logged In)</t>
        </is>
      </c>
      <c r="BO603" s="4">
        <v>46141.65305555556</v>
      </c>
      <c r="BP603">
        <v>169523</v>
      </c>
      <c r="BQ603">
        <v>122408</v>
      </c>
      <c r="BR603" t="inlineStr">
        <is>
          <t>Proforma</t>
        </is>
      </c>
      <c r="BS603" t="inlineStr">
        <is>
          <t>Free Part-Time Job</t>
        </is>
      </c>
      <c r="BT603">
        <v>79756</v>
      </c>
      <c r="BU603"/>
      <c r="BV603">
        <v>2735492</v>
      </c>
      <c r="BW603" t="inlineStr">
        <is>
          <t>Customer Inquiry</t>
        </is>
      </c>
      <c r="BX603">
        <v>12</v>
      </c>
      <c r="BY603">
        <v>0</v>
      </c>
      <c r="BZ603" s="4">
        <v>46112.57546296297</v>
      </c>
      <c r="CA603">
        <v>240</v>
      </c>
      <c r="CB603">
        <v>240</v>
      </c>
      <c r="CC603" s="4"/>
      <c r="CD603" t="inlineStr">
        <is>
          <t>20</t>
        </is>
      </c>
      <c r="CE603" t="inlineStr">
        <is>
          <t>0</t>
        </is>
      </c>
      <c r="CF603" t="inlineStr">
        <is>
          <t>Q2-W04</t>
        </is>
      </c>
      <c r="CG603" t="inlineStr">
        <is>
          <t>Q2-W02</t>
        </is>
      </c>
      <c r="CH603"/>
      <c r="CI603"/>
      <c r="CJ603" t="inlineStr">
        <is>
          <t>Paid</t>
        </is>
      </c>
      <c r="CK603" t="inlineStr">
        <is>
          <t>Eligible</t>
        </is>
      </c>
      <c r="CL603"/>
      <c r="CM603"/>
    </row>
    <row r="604" ht="25.5" customHeight="1">
      <c r="A604" t="inlineStr">
        <is>
          <t>197253</t>
        </is>
      </c>
      <c r="B604" s="2"/>
      <c r="C604"/>
      <c r="D604" s="3">
        <v>46141.62863425926</v>
      </c>
      <c r="E604" t="inlineStr">
        <is>
          <t>Q2-W04</t>
        </is>
      </c>
      <c r="F604" t="inlineStr">
        <is>
          <t>Eugene</t>
        </is>
      </c>
      <c r="G604" t="inlineStr">
        <is>
          <t>Customer</t>
        </is>
      </c>
      <c r="H604" s="2" t="str">
        <f>=HYPERLINK("https://upbox.ajobthing.my/customer/197253", "https://upbox.ajobthing.my/customer/197253")</f>
        <v>https://upbox.ajobthing.my/customer/197253</v>
      </c>
      <c r="I604" t="inlineStr">
        <is>
          <t>Reolink Technology Sdn. Bhd.</t>
        </is>
      </c>
      <c r="J604" t="inlineStr">
        <is>
          <t>Whale</t>
        </is>
      </c>
      <c r="K604" t="inlineStr">
        <is>
          <t>Eugene</t>
        </is>
      </c>
      <c r="L604" s="4"/>
      <c r="M604" s="4">
        <v>46141.508310185185</v>
      </c>
      <c r="N604"/>
      <c r="O604">
        <v>5412.96</v>
      </c>
      <c r="P604" s="4"/>
      <c r="Q604" s="4">
        <v>45946.60493055556</v>
      </c>
      <c r="R604"/>
      <c r="S604">
        <v>6048</v>
      </c>
      <c r="T604" s="4">
        <v>45946.60493055556</v>
      </c>
      <c r="U604" s="4"/>
      <c r="V604"/>
      <c r="W604">
        <v>6048</v>
      </c>
      <c r="X604"/>
      <c r="Y604" t="inlineStr">
        <is>
          <t>Pending Appointment</t>
        </is>
      </c>
      <c r="Z604" t="inlineStr">
        <is>
          <t>Hiring Now</t>
        </is>
      </c>
      <c r="AA604">
        <v>10</v>
      </c>
      <c r="AB604" t="inlineStr">
        <is>
          <t>No Appointment Made</t>
        </is>
      </c>
      <c r="AC604"/>
      <c r="AD604" t="inlineStr">
        <is>
          <t>10 positions, based in KL</t>
        </is>
      </c>
      <c r="AE604"/>
      <c r="AF604">
        <v>6000</v>
      </c>
      <c r="AG604" s="4"/>
      <c r="AH604" s="4"/>
      <c r="AI604">
        <v>6000</v>
      </c>
      <c r="AJ604">
        <v>1</v>
      </c>
      <c r="AK604" t="inlineStr">
        <is>
          <t>No, I don't need at all</t>
        </is>
      </c>
      <c r="AL604">
        <v>1</v>
      </c>
      <c r="AM604" t="inlineStr">
        <is>
          <t>No, I don't need at all</t>
        </is>
      </c>
      <c r="AN604"/>
      <c r="AO604" t="inlineStr">
        <is>
          <t>No, I don't need at all</t>
        </is>
      </c>
      <c r="AP604" t="inlineStr">
        <is>
          <t>Once a year (25%)</t>
        </is>
      </c>
      <c r="AQ604">
        <v>10</v>
      </c>
      <c r="AR604" t="inlineStr">
        <is>
          <t>Free Job Portal</t>
        </is>
      </c>
      <c r="AS604" t="inlineStr">
        <is>
          <t>- Headcount: 10
- Hiring Job Details: 10 positions, based in KL
- Hiring Urgency: Hiring Now
- Number of outlets: 1
- Have recruiter team: No, I don't need at all
- Number of recruiter in company: 1
- Have ATS system: No, I don't need at all
- Have career website: No, I don't need at all
- Current hiring budget: RM6,000
- Whole year budget: RM6,000.00
- Whole year number of vacancies: 10
- Hiring frequency: Once a year (25%)
- External job portal: Free Job Portal</t>
        </is>
      </c>
      <c r="AT604">
        <v>95</v>
      </c>
      <c r="AU604" t="inlineStr">
        <is>
          <t>0.95</t>
        </is>
      </c>
      <c r="AV604" t="inlineStr">
        <is>
          <t>20</t>
        </is>
      </c>
      <c r="AW604" t="inlineStr">
        <is>
          <t>0</t>
        </is>
      </c>
      <c r="AX604" t="inlineStr">
        <is>
          <t>Not Qualified</t>
        </is>
      </c>
      <c r="AY604" s="4"/>
      <c r="AZ604"/>
      <c r="BA604"/>
      <c r="BB604"/>
      <c r="BC604" t="inlineStr">
        <is>
          <t>- Headcount: 10
- Hiring Job Details: 10 positions, based in KL
- Hiring Urgency: Hiring Now
- Number of outlets: 1
- Have recruiter team: No, I don't need at all
- Number of recruiter in company: 1
- Have ATS system: No, I don't need at all
- Have career website: No, I don't need at all
- Current hiring budget: RM6,000
- Whole year budget: RM6,000.00
- Whole year number of vacancies: 10
- Hiring frequency: Once a year (25%)
- External job portal: Free Job Portal</t>
        </is>
      </c>
      <c r="BD604" s="4">
        <v>46141.66670138889</v>
      </c>
      <c r="BE604" t="inlineStr">
        <is>
          <t>paid</t>
        </is>
      </c>
      <c r="BF604"/>
      <c r="BG604" t="inlineStr">
        <is>
          <t>Reschedule</t>
        </is>
      </c>
      <c r="BH604" t="inlineStr">
        <is>
          <t>Edward Hoo</t>
        </is>
      </c>
      <c r="BI604" t="inlineStr">
        <is>
          <t>Consumer Products / FMCG</t>
        </is>
      </c>
      <c r="BJ604" s="4">
        <v>46144.75288194444</v>
      </c>
      <c r="BK604" s="4">
        <v>45945.38866898148</v>
      </c>
      <c r="BL604" t="inlineStr">
        <is>
          <t>6048.0</t>
        </is>
      </c>
      <c r="BM604" t="inlineStr">
        <is>
          <t>1800.0</t>
        </is>
      </c>
      <c r="BN604" t="inlineStr">
        <is>
          <t>View Company Page</t>
        </is>
      </c>
      <c r="BO604" s="4">
        <v>46142.681122685186</v>
      </c>
      <c r="BP604">
        <v>169469</v>
      </c>
      <c r="BQ604">
        <v>83347</v>
      </c>
      <c r="BR604" t="inlineStr">
        <is>
          <t>Online</t>
        </is>
      </c>
      <c r="BS604"/>
      <c r="BT604">
        <v>83347</v>
      </c>
      <c r="BU604"/>
      <c r="BV604">
        <v>2735773</v>
      </c>
      <c r="BW604" t="inlineStr">
        <is>
          <t>Customer Inquiry</t>
        </is>
      </c>
      <c r="BX604">
        <v>12</v>
      </c>
      <c r="BY604">
        <v>0</v>
      </c>
      <c r="BZ604" s="4">
        <v>46134.42184027778</v>
      </c>
      <c r="CA604">
        <v>120</v>
      </c>
      <c r="CB604">
        <v>57</v>
      </c>
      <c r="CC604" s="4">
        <v>46113.76043981482</v>
      </c>
      <c r="CD604" t="inlineStr">
        <is>
          <t>30</t>
        </is>
      </c>
      <c r="CE604" t="inlineStr">
        <is>
          <t>0</t>
        </is>
      </c>
      <c r="CF604" t="inlineStr">
        <is>
          <t>Q2-W04</t>
        </is>
      </c>
      <c r="CG604"/>
      <c r="CH604"/>
      <c r="CI604"/>
      <c r="CJ604" t="inlineStr">
        <is>
          <t>Paid</t>
        </is>
      </c>
      <c r="CK604" t="inlineStr">
        <is>
          <t>Eligible</t>
        </is>
      </c>
      <c r="CL604"/>
      <c r="CM604"/>
    </row>
    <row r="605" ht="25.5" customHeight="1">
      <c r="A605" t="inlineStr">
        <is>
          <t>190377</t>
        </is>
      </c>
      <c r="B605" s="2"/>
      <c r="C605"/>
      <c r="D605" s="3">
        <v>46141.63719907407</v>
      </c>
      <c r="E605" t="inlineStr">
        <is>
          <t>Q2-W04</t>
        </is>
      </c>
      <c r="F605" t="inlineStr">
        <is>
          <t>Keegan</t>
        </is>
      </c>
      <c r="G605" t="inlineStr">
        <is>
          <t>Customer</t>
        </is>
      </c>
      <c r="H605" s="2" t="str">
        <f>=HYPERLINK("https://upbox.ajobthing.my/customer/190377", "https://upbox.ajobthing.my/customer/190377")</f>
        <v>https://upbox.ajobthing.my/customer/190377</v>
      </c>
      <c r="I605" t="inlineStr">
        <is>
          <t>D Three Mobile Sdn Bhd</t>
        </is>
      </c>
      <c r="J605" t="inlineStr">
        <is>
          <t>Whale</t>
        </is>
      </c>
      <c r="K605" t="inlineStr">
        <is>
          <t>Keegan</t>
        </is>
      </c>
      <c r="L605" s="4"/>
      <c r="M605" s="4">
        <v>46141.637766203705</v>
      </c>
      <c r="N605"/>
      <c r="O605">
        <v>3576.96</v>
      </c>
      <c r="P605" s="4"/>
      <c r="Q605" s="4">
        <v>45777.762824074074</v>
      </c>
      <c r="R605"/>
      <c r="S605">
        <v>3132</v>
      </c>
      <c r="T605" s="4">
        <v>45777.762824074074</v>
      </c>
      <c r="U605" s="4"/>
      <c r="V605"/>
      <c r="W605">
        <v>3132</v>
      </c>
      <c r="X605"/>
      <c r="Y605" t="inlineStr">
        <is>
          <t>Pending Appointment</t>
        </is>
      </c>
      <c r="Z605" t="inlineStr">
        <is>
          <t>Hiring Now</t>
        </is>
      </c>
      <c r="AA605">
        <v>1</v>
      </c>
      <c r="AB605" t="inlineStr">
        <is>
          <t>No Appointment Made</t>
        </is>
      </c>
      <c r="AC605"/>
      <c r="AD605" t="inlineStr">
        <is>
          <t xml:space="preserve">1. Sales </t>
        </is>
      </c>
      <c r="AE605"/>
      <c r="AF605"/>
      <c r="AG605" s="4"/>
      <c r="AH605" s="4"/>
      <c r="AI605"/>
      <c r="AJ605">
        <v>1</v>
      </c>
      <c r="AK605" t="inlineStr">
        <is>
          <t>No, I don't need at all</t>
        </is>
      </c>
      <c r="AL605">
        <v>0</v>
      </c>
      <c r="AM605" t="inlineStr">
        <is>
          <t>No, I don't need at all</t>
        </is>
      </c>
      <c r="AN605"/>
      <c r="AO605" t="inlineStr">
        <is>
          <t>No, I don't need at all</t>
        </is>
      </c>
      <c r="AP605" t="inlineStr">
        <is>
          <t>Once per quarter (75%)</t>
        </is>
      </c>
      <c r="AQ605"/>
      <c r="AR605" t="inlineStr">
        <is>
          <t>Did not use any job portal</t>
        </is>
      </c>
      <c r="AS605"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605">
        <v>100</v>
      </c>
      <c r="AU605" t="inlineStr">
        <is>
          <t>1.00</t>
        </is>
      </c>
      <c r="AV605" t="inlineStr">
        <is>
          <t>5</t>
        </is>
      </c>
      <c r="AW605" t="inlineStr">
        <is>
          <t>0</t>
        </is>
      </c>
      <c r="AX605" t="inlineStr">
        <is>
          <t>Not Qualified</t>
        </is>
      </c>
      <c r="AY605" s="4"/>
      <c r="AZ605"/>
      <c r="BA605"/>
      <c r="BB605"/>
      <c r="BC605"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605" s="4">
        <v>46141.66670138889</v>
      </c>
      <c r="BE605" t="inlineStr">
        <is>
          <t>paid</t>
        </is>
      </c>
      <c r="BF605"/>
      <c r="BG605" t="inlineStr">
        <is>
          <t>Reschedule</t>
        </is>
      </c>
      <c r="BH605" t="inlineStr">
        <is>
          <t>Edward Hoo</t>
        </is>
      </c>
      <c r="BI605" t="inlineStr">
        <is>
          <t>Telecommunication</t>
        </is>
      </c>
      <c r="BJ605" s="4">
        <v>46144.75234953704</v>
      </c>
      <c r="BK605" s="4">
        <v>45769.60425925926</v>
      </c>
      <c r="BL605" t="inlineStr">
        <is>
          <t>3132.0</t>
        </is>
      </c>
      <c r="BM605" t="inlineStr">
        <is>
          <t>3600.0</t>
        </is>
      </c>
      <c r="BN605" t="inlineStr">
        <is>
          <t>View Jobmanager Page</t>
        </is>
      </c>
      <c r="BO605" s="4">
        <v>45920.54075231482</v>
      </c>
      <c r="BP605">
        <v>169534</v>
      </c>
      <c r="BQ605">
        <v>78927</v>
      </c>
      <c r="BR605" t="inlineStr">
        <is>
          <t>Online</t>
        </is>
      </c>
      <c r="BS605"/>
      <c r="BT605">
        <v>78927</v>
      </c>
      <c r="BU605"/>
      <c r="BV605">
        <v>2735776</v>
      </c>
      <c r="BW605" t="inlineStr">
        <is>
          <t>Customer Inquiry</t>
        </is>
      </c>
      <c r="BX605"/>
      <c r="BY605"/>
      <c r="BZ605" s="4"/>
      <c r="CA605"/>
      <c r="CB605"/>
      <c r="CC605" s="4"/>
      <c r="CD605" t="inlineStr">
        <is>
          <t>5</t>
        </is>
      </c>
      <c r="CE605" t="inlineStr">
        <is>
          <t>0</t>
        </is>
      </c>
      <c r="CF605" t="inlineStr">
        <is>
          <t>Q2-W04</t>
        </is>
      </c>
      <c r="CG605"/>
      <c r="CH605"/>
      <c r="CI605"/>
      <c r="CJ605" t="inlineStr">
        <is>
          <t>Paid</t>
        </is>
      </c>
      <c r="CK605" t="inlineStr">
        <is>
          <t>Eligible</t>
        </is>
      </c>
      <c r="CL605"/>
      <c r="CM605"/>
    </row>
    <row r="606" ht="25.5" customHeight="1">
      <c r="A606" t="inlineStr">
        <is>
          <t>190130</t>
        </is>
      </c>
      <c r="B606" s="2"/>
      <c r="C606"/>
      <c r="D606" s="3">
        <v>46141.670023148145</v>
      </c>
      <c r="E606" t="inlineStr">
        <is>
          <t>Q2-W04</t>
        </is>
      </c>
      <c r="F606" t="inlineStr">
        <is>
          <t>Yuli</t>
        </is>
      </c>
      <c r="G606" t="inlineStr">
        <is>
          <t>Customer</t>
        </is>
      </c>
      <c r="H606" s="2" t="str">
        <f>=HYPERLINK("https://upbox.ajobthing.my/customer/190130", "https://upbox.ajobthing.my/customer/190130")</f>
        <v>https://upbox.ajobthing.my/customer/190130</v>
      </c>
      <c r="I606" t="inlineStr">
        <is>
          <t>AZ Soft Global Sdn.&amp;nbsp;Bhd.</t>
        </is>
      </c>
      <c r="J606" t="inlineStr">
        <is>
          <t>Whale</t>
        </is>
      </c>
      <c r="K606" t="inlineStr">
        <is>
          <t>YuLi</t>
        </is>
      </c>
      <c r="L606" s="4"/>
      <c r="M606" s="4">
        <v>46141.66923611111</v>
      </c>
      <c r="N606"/>
      <c r="O606">
        <v>7572.96</v>
      </c>
      <c r="P606" s="4"/>
      <c r="Q606" s="4">
        <v>46142.55136574074</v>
      </c>
      <c r="R606"/>
      <c r="S606">
        <v>7572.96</v>
      </c>
      <c r="T606" s="4">
        <v>46142.55136574074</v>
      </c>
      <c r="U606" s="4"/>
      <c r="V606"/>
      <c r="W606">
        <v>7572.96</v>
      </c>
      <c r="X606"/>
      <c r="Y606" t="inlineStr">
        <is>
          <t>Pending Appointment</t>
        </is>
      </c>
      <c r="Z606" t="inlineStr">
        <is>
          <t>Hiring Now</t>
        </is>
      </c>
      <c r="AA606">
        <v>2</v>
      </c>
      <c r="AB606" t="inlineStr">
        <is>
          <t>No Appointment Made</t>
        </is>
      </c>
      <c r="AC606"/>
      <c r="AD606" t="inlineStr">
        <is>
          <t>1 Customer Service
2 Developer</t>
        </is>
      </c>
      <c r="AE606"/>
      <c r="AF606"/>
      <c r="AG606" s="4"/>
      <c r="AH606" s="4"/>
      <c r="AI606"/>
      <c r="AJ606"/>
      <c r="AK606"/>
      <c r="AL606"/>
      <c r="AM606"/>
      <c r="AN606"/>
      <c r="AO606"/>
      <c r="AP606" t="inlineStr">
        <is>
          <t>Every month (100%)</t>
        </is>
      </c>
      <c r="AQ606"/>
      <c r="AR606" t="inlineStr">
        <is>
          <t>Did not use any job portal</t>
        </is>
      </c>
      <c r="AS606" t="inlineStr">
        <is>
          <t>- Headcount: 2
- Hiring Job Details: 1 Customer Service, 2 Developer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Every month (100%)
- External job portal: Did not use any job portal</t>
        </is>
      </c>
      <c r="AT606">
        <v>75</v>
      </c>
      <c r="AU606" t="inlineStr">
        <is>
          <t>0.75</t>
        </is>
      </c>
      <c r="AV606" t="inlineStr">
        <is>
          <t>5</t>
        </is>
      </c>
      <c r="AW606" t="inlineStr">
        <is>
          <t>0</t>
        </is>
      </c>
      <c r="AX606" t="inlineStr">
        <is>
          <t>Not Qualified</t>
        </is>
      </c>
      <c r="AY606" s="4"/>
      <c r="AZ606"/>
      <c r="BA606"/>
      <c r="BB606"/>
      <c r="BC606" t="inlineStr">
        <is>
          <t>payment received for SME</t>
        </is>
      </c>
      <c r="BD606" s="4">
        <v>46142.522511574076</v>
      </c>
      <c r="BE606" t="inlineStr">
        <is>
          <t>paid</t>
        </is>
      </c>
      <c r="BF606" t="inlineStr">
        <is>
          <t>Q2-W04</t>
        </is>
      </c>
      <c r="BG606" t="inlineStr">
        <is>
          <t>Reschedule</t>
        </is>
      </c>
      <c r="BH606" t="inlineStr">
        <is>
          <t>Fauziah Maharan</t>
        </is>
      </c>
      <c r="BI606" t="inlineStr">
        <is>
          <t>IT / Software</t>
        </is>
      </c>
      <c r="BJ606" s="4">
        <v>46144.75234953704</v>
      </c>
      <c r="BK606" s="4">
        <v>45763.669953703706</v>
      </c>
      <c r="BL606" t="inlineStr">
        <is>
          <t>0.0</t>
        </is>
      </c>
      <c r="BM606" t="inlineStr">
        <is>
          <t>3000.0</t>
        </is>
      </c>
      <c r="BN606" t="inlineStr">
        <is>
          <t>User Visit(Logged In)</t>
        </is>
      </c>
      <c r="BO606" s="4">
        <v>46142.744375</v>
      </c>
      <c r="BP606">
        <v>169548</v>
      </c>
      <c r="BQ606">
        <v>7755</v>
      </c>
      <c r="BR606" t="inlineStr">
        <is>
          <t>Manual (Paid)</t>
        </is>
      </c>
      <c r="BS606" t="inlineStr">
        <is>
          <t>Job Slot SME
- SME Package for 2 Job Slot + 1 Free Job Slot
- 3 Job Slot will be published on Maukerja, Ricebowl, and partner platforms.
- 3 Job Slot will be published for 12 months + 2 Months extension
- Reusable listing for 12 months + 2 Months extension
- Free Standard Company Page for 12 months + 2 Months extension
- Free 18 Free Intern / Manager / Part-time / Volunteer / Freelance / Singapore Job
- Package valid for 12 months + 2 Months extension</t>
        </is>
      </c>
      <c r="BT606">
        <v>7755</v>
      </c>
      <c r="BU606"/>
      <c r="BV606">
        <v>2737407</v>
      </c>
      <c r="BW606" t="inlineStr">
        <is>
          <t>Follow Up : Win - Customer Paid</t>
        </is>
      </c>
      <c r="BX606">
        <v>3</v>
      </c>
      <c r="BY606">
        <v>3</v>
      </c>
      <c r="BZ606" s="4"/>
      <c r="CA606"/>
      <c r="CB606"/>
      <c r="CC606" s="4"/>
      <c r="CD606" t="inlineStr">
        <is>
          <t>5</t>
        </is>
      </c>
      <c r="CE606" t="inlineStr">
        <is>
          <t>0</t>
        </is>
      </c>
      <c r="CF606" t="inlineStr">
        <is>
          <t>Q2-W04</t>
        </is>
      </c>
      <c r="CG606" t="inlineStr">
        <is>
          <t>Q2-W04</t>
        </is>
      </c>
      <c r="CH606" t="inlineStr">
        <is>
          <t>Q2-W04</t>
        </is>
      </c>
      <c r="CI606"/>
      <c r="CJ606" t="inlineStr">
        <is>
          <t>Paid</t>
        </is>
      </c>
      <c r="CK606" t="inlineStr">
        <is>
          <t>Eligible</t>
        </is>
      </c>
      <c r="CL606"/>
      <c r="CM606"/>
    </row>
    <row r="607" ht="25.5" customHeight="1">
      <c r="A607" t="inlineStr">
        <is>
          <t>185313</t>
        </is>
      </c>
      <c r="B607" s="2"/>
      <c r="C607"/>
      <c r="D607" s="3">
        <v>46141.6830787037</v>
      </c>
      <c r="E607" t="inlineStr">
        <is>
          <t>Q2-W04</t>
        </is>
      </c>
      <c r="F607" t="inlineStr">
        <is>
          <t>Clover</t>
        </is>
      </c>
      <c r="G607" t="inlineStr">
        <is>
          <t>Customer</t>
        </is>
      </c>
      <c r="H607" s="2" t="str">
        <f>=HYPERLINK("https://upbox.ajobthing.my/customer/185313", "https://upbox.ajobthing.my/customer/185313")</f>
        <v>https://upbox.ajobthing.my/customer/185313</v>
      </c>
      <c r="I607" t="inlineStr">
        <is>
          <t>Mila Education Malaysia Sdn. Bhd.</t>
        </is>
      </c>
      <c r="J607" t="inlineStr">
        <is>
          <t>Whale</t>
        </is>
      </c>
      <c r="K607" t="inlineStr">
        <is>
          <t>Clover</t>
        </is>
      </c>
      <c r="L607" s="4"/>
      <c r="M607" s="4">
        <v>46141.68064814815</v>
      </c>
      <c r="N607"/>
      <c r="O607">
        <v>10381</v>
      </c>
      <c r="P607" s="4"/>
      <c r="Q607" s="4">
        <v>45793.45552083333</v>
      </c>
      <c r="R607"/>
      <c r="S607">
        <v>5508</v>
      </c>
      <c r="T607" s="4">
        <v>45793.45552083333</v>
      </c>
      <c r="U607" s="4"/>
      <c r="V607"/>
      <c r="W607">
        <v>5508</v>
      </c>
      <c r="X607"/>
      <c r="Y607" t="inlineStr">
        <is>
          <t>Pending Appointment</t>
        </is>
      </c>
      <c r="Z607" t="inlineStr">
        <is>
          <t>Hiring Now</t>
        </is>
      </c>
      <c r="AA607">
        <v>10</v>
      </c>
      <c r="AB607" t="inlineStr">
        <is>
          <t>No Appointment Made</t>
        </is>
      </c>
      <c r="AC607"/>
      <c r="AD607" t="inlineStr">
        <is>
          <t>Acedemic role, Lecturer (phd), assistant and more x2-3, sales support x3-4 , around 20 vacancies, prefer mandarin, education nilai, suggest pro</t>
        </is>
      </c>
      <c r="AE607"/>
      <c r="AF607">
        <v>5000</v>
      </c>
      <c r="AG607" s="4"/>
      <c r="AH607" s="4"/>
      <c r="AI607">
        <v>5000</v>
      </c>
      <c r="AJ607">
        <v>1</v>
      </c>
      <c r="AK607" t="inlineStr">
        <is>
          <t>No, but I want in future</t>
        </is>
      </c>
      <c r="AL607">
        <v>1</v>
      </c>
      <c r="AM607" t="inlineStr">
        <is>
          <t>No, but I want in future</t>
        </is>
      </c>
      <c r="AN607"/>
      <c r="AO607" t="inlineStr">
        <is>
          <t>No, but I want in future</t>
        </is>
      </c>
      <c r="AP607" t="inlineStr">
        <is>
          <t>Once per quarter (75%)</t>
        </is>
      </c>
      <c r="AQ607">
        <v>20</v>
      </c>
      <c r="AR607" t="inlineStr">
        <is>
          <t>Free Job Portal</t>
        </is>
      </c>
      <c r="AS607" t="inlineStr">
        <is>
          <t>- Headcount: 10
- Hiring Job Details: 20 vacancies including academic roles (Lecturer (PhD), assistant x2-3), sales support x3-4; prefer Mandarin, education nilai,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20
- Hiring frequency: Once per quarter (75%)
- External job portal: Free Job Portal</t>
        </is>
      </c>
      <c r="AT607">
        <v>95</v>
      </c>
      <c r="AU607" t="inlineStr">
        <is>
          <t>0.95</t>
        </is>
      </c>
      <c r="AV607" t="inlineStr">
        <is>
          <t>20</t>
        </is>
      </c>
      <c r="AW607" t="inlineStr">
        <is>
          <t>0</t>
        </is>
      </c>
      <c r="AX607" t="inlineStr">
        <is>
          <t>Not Qualified</t>
        </is>
      </c>
      <c r="AY607" s="4"/>
      <c r="AZ607"/>
      <c r="BA607"/>
      <c r="BB607"/>
      <c r="BC607" t="inlineStr">
        <is>
          <t>need time discuss with bos</t>
        </is>
      </c>
      <c r="BD607" s="4">
        <v>46142.691087962965</v>
      </c>
      <c r="BE607" t="inlineStr">
        <is>
          <t>paid</t>
        </is>
      </c>
      <c r="BF607"/>
      <c r="BG607" t="inlineStr">
        <is>
          <t>Reschedule</t>
        </is>
      </c>
      <c r="BH607" t="inlineStr">
        <is>
          <t>Reagen</t>
        </is>
      </c>
      <c r="BI607" t="inlineStr">
        <is>
          <t>Education / Training</t>
        </is>
      </c>
      <c r="BJ607" s="4">
        <v>46144.75204861111</v>
      </c>
      <c r="BK607" s="4">
        <v>45624.73195601852</v>
      </c>
      <c r="BL607" t="inlineStr">
        <is>
          <t>5508.0</t>
        </is>
      </c>
      <c r="BM607" t="inlineStr">
        <is>
          <t>0.0</t>
        </is>
      </c>
      <c r="BN607" t="inlineStr">
        <is>
          <t>PA Email CTA Click</t>
        </is>
      </c>
      <c r="BO607" s="4">
        <v>46126.510717592595</v>
      </c>
      <c r="BP607">
        <v>169553</v>
      </c>
      <c r="BQ607">
        <v>79328</v>
      </c>
      <c r="BR607" t="inlineStr">
        <is>
          <t>Online</t>
        </is>
      </c>
      <c r="BS607"/>
      <c r="BT607">
        <v>79328</v>
      </c>
      <c r="BU607"/>
      <c r="BV607">
        <v>2738204</v>
      </c>
      <c r="BW607" t="inlineStr">
        <is>
          <t>Follow Up : Decision Pending</t>
        </is>
      </c>
      <c r="BX607">
        <v>3</v>
      </c>
      <c r="BY607">
        <v>-8</v>
      </c>
      <c r="BZ607" s="4">
        <v>46027.513715277775</v>
      </c>
      <c r="CA607">
        <v>245</v>
      </c>
      <c r="CB607">
        <v>203</v>
      </c>
      <c r="CC607" s="4">
        <v>46030.640381944446</v>
      </c>
      <c r="CD607" t="inlineStr">
        <is>
          <t>30</t>
        </is>
      </c>
      <c r="CE607" t="inlineStr">
        <is>
          <t>0</t>
        </is>
      </c>
      <c r="CF607" t="inlineStr">
        <is>
          <t>Q2-W04</t>
        </is>
      </c>
      <c r="CG607"/>
      <c r="CH607"/>
      <c r="CI607"/>
      <c r="CJ607" t="inlineStr">
        <is>
          <t>Paid</t>
        </is>
      </c>
      <c r="CK607" t="inlineStr">
        <is>
          <t>Eligible</t>
        </is>
      </c>
      <c r="CL607"/>
      <c r="CM607"/>
    </row>
    <row r="608" ht="25.5" customHeight="1">
      <c r="A608" t="inlineStr">
        <is>
          <t>158543</t>
        </is>
      </c>
      <c r="B608" s="2"/>
      <c r="C608"/>
      <c r="D608" s="3">
        <v>46141.687743055554</v>
      </c>
      <c r="E608" t="inlineStr">
        <is>
          <t>Q2-W04</t>
        </is>
      </c>
      <c r="F608" t="inlineStr">
        <is>
          <t>Clover</t>
        </is>
      </c>
      <c r="G608" t="inlineStr">
        <is>
          <t>Customer</t>
        </is>
      </c>
      <c r="H608" s="2" t="str">
        <f>=HYPERLINK("https://upbox.ajobthing.my/customer/158543", "https://upbox.ajobthing.my/customer/158543")</f>
        <v>https://upbox.ajobthing.my/customer/158543</v>
      </c>
      <c r="I608" t="inlineStr">
        <is>
          <t>Thiam Sieng Steel Centre Sdn Bhd</t>
        </is>
      </c>
      <c r="J608" t="inlineStr">
        <is>
          <t>Whale</t>
        </is>
      </c>
      <c r="K608" t="inlineStr">
        <is>
          <t>Clover</t>
        </is>
      </c>
      <c r="L608" s="4"/>
      <c r="M608" s="4">
        <v>46141.6865625</v>
      </c>
      <c r="N608"/>
      <c r="O608">
        <v>10381</v>
      </c>
      <c r="P608" s="4"/>
      <c r="Q608" s="4">
        <v>45867.42122685185</v>
      </c>
      <c r="R608"/>
      <c r="S608">
        <v>6048</v>
      </c>
      <c r="T608" s="4">
        <v>45867.42122685185</v>
      </c>
      <c r="U608" s="4"/>
      <c r="V608"/>
      <c r="W608">
        <v>6048</v>
      </c>
      <c r="X608"/>
      <c r="Y608" t="inlineStr">
        <is>
          <t>Pending Appointment</t>
        </is>
      </c>
      <c r="Z608" t="inlineStr">
        <is>
          <t>Hiring Now</t>
        </is>
      </c>
      <c r="AA608">
        <v>2</v>
      </c>
      <c r="AB608" t="inlineStr">
        <is>
          <t>No Appointment Made</t>
        </is>
      </c>
      <c r="AC608"/>
      <c r="AD608" t="inlineStr">
        <is>
          <t xml:space="preserve">  hire sales marketing x1, purchasing x1, rawang, steel manufacturing,  wa first, suggest pro/en</t>
        </is>
      </c>
      <c r="AE608"/>
      <c r="AF608">
        <v>5000</v>
      </c>
      <c r="AG608" s="4"/>
      <c r="AH608" s="4"/>
      <c r="AI608">
        <v>5000</v>
      </c>
      <c r="AJ608">
        <v>1</v>
      </c>
      <c r="AK608" t="inlineStr">
        <is>
          <t>No, but I want in future</t>
        </is>
      </c>
      <c r="AL608">
        <v>1</v>
      </c>
      <c r="AM608" t="inlineStr">
        <is>
          <t>No, but I want in future</t>
        </is>
      </c>
      <c r="AN608"/>
      <c r="AO608" t="inlineStr">
        <is>
          <t>No, but I want in future</t>
        </is>
      </c>
      <c r="AP608" t="inlineStr">
        <is>
          <t>Once per quarter (75%)</t>
        </is>
      </c>
      <c r="AQ608">
        <v>4</v>
      </c>
      <c r="AR608" t="inlineStr">
        <is>
          <t>Jobstreet</t>
        </is>
      </c>
      <c r="AS608" t="inlineStr">
        <is>
          <t>- Headcount: 2
- Hiring Job Details: hire sales marketing x1, purchasing x1, rawang, steel manufacturing, wa first, suggest pro/en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Jobstreet</t>
        </is>
      </c>
      <c r="AT608">
        <v>115</v>
      </c>
      <c r="AU608" t="inlineStr">
        <is>
          <t>1.15</t>
        </is>
      </c>
      <c r="AV608" t="inlineStr">
        <is>
          <t>15</t>
        </is>
      </c>
      <c r="AW608" t="inlineStr">
        <is>
          <t>0</t>
        </is>
      </c>
      <c r="AX608" t="inlineStr">
        <is>
          <t>Not Qualified</t>
        </is>
      </c>
      <c r="AY608" s="4"/>
      <c r="AZ608"/>
      <c r="BA608"/>
      <c r="BB608"/>
      <c r="BC608" t="inlineStr">
        <is>
          <t>lost</t>
        </is>
      </c>
      <c r="BD608" s="4">
        <v>46142.634664351855</v>
      </c>
      <c r="BE608" t="inlineStr">
        <is>
          <t>paid</t>
        </is>
      </c>
      <c r="BF608"/>
      <c r="BG608" t="inlineStr">
        <is>
          <t>Reschedule</t>
        </is>
      </c>
      <c r="BH608" t="inlineStr">
        <is>
          <t>Reagen</t>
        </is>
      </c>
      <c r="BI608" t="inlineStr">
        <is>
          <t>Manufacturing / Production</t>
        </is>
      </c>
      <c r="BJ608" s="4">
        <v>46144.75104166667</v>
      </c>
      <c r="BK608" s="4">
        <v>44788.600810185184</v>
      </c>
      <c r="BL608" t="inlineStr">
        <is>
          <t>6048.0</t>
        </is>
      </c>
      <c r="BM608" t="inlineStr">
        <is>
          <t>0.0</t>
        </is>
      </c>
      <c r="BN608" t="inlineStr">
        <is>
          <t>View Jobmanager Page</t>
        </is>
      </c>
      <c r="BO608" s="4">
        <v>46115.70109953704</v>
      </c>
      <c r="BP608">
        <v>169556</v>
      </c>
      <c r="BQ608">
        <v>81110</v>
      </c>
      <c r="BR608" t="inlineStr">
        <is>
          <t>Online</t>
        </is>
      </c>
      <c r="BS608"/>
      <c r="BT608">
        <v>81110</v>
      </c>
      <c r="BU608"/>
      <c r="BV608">
        <v>2737916</v>
      </c>
      <c r="BW608" t="inlineStr">
        <is>
          <t>Follow Up : Lost - Free Portal</t>
        </is>
      </c>
      <c r="BX608">
        <v>12</v>
      </c>
      <c r="BY608">
        <v>0</v>
      </c>
      <c r="BZ608" s="4">
        <v>46079.46273148148</v>
      </c>
      <c r="CA608">
        <v>120</v>
      </c>
      <c r="CB608">
        <v>120</v>
      </c>
      <c r="CC608" s="4"/>
      <c r="CD608" t="inlineStr">
        <is>
          <t>20</t>
        </is>
      </c>
      <c r="CE608" t="inlineStr">
        <is>
          <t>0</t>
        </is>
      </c>
      <c r="CF608" t="inlineStr">
        <is>
          <t>Q2-W04</t>
        </is>
      </c>
      <c r="CG608"/>
      <c r="CH608"/>
      <c r="CI608"/>
      <c r="CJ608" t="inlineStr">
        <is>
          <t>Paid</t>
        </is>
      </c>
      <c r="CK608" t="inlineStr">
        <is>
          <t>Eligible</t>
        </is>
      </c>
      <c r="CL608"/>
      <c r="CM608"/>
    </row>
    <row r="609" ht="25.5" customHeight="1">
      <c r="A609" t="inlineStr">
        <is>
          <t>122441</t>
        </is>
      </c>
      <c r="B609" s="2"/>
      <c r="C609"/>
      <c r="D609" s="3">
        <v>46141.68832175926</v>
      </c>
      <c r="E609" t="inlineStr">
        <is>
          <t>Q2-W04</t>
        </is>
      </c>
      <c r="F609" t="inlineStr">
        <is>
          <t>Yuli</t>
        </is>
      </c>
      <c r="G609" t="inlineStr">
        <is>
          <t>Customer</t>
        </is>
      </c>
      <c r="H609" s="2" t="str">
        <f>=HYPERLINK("https://upbox.ajobthing.my/customer/122441", "https://upbox.ajobthing.my/customer/122441")</f>
        <v>https://upbox.ajobthing.my/customer/122441</v>
      </c>
      <c r="I609" t="inlineStr">
        <is>
          <t>Winning Mode Sdn Bhd</t>
        </is>
      </c>
      <c r="J609" t="inlineStr">
        <is>
          <t>Whale</t>
        </is>
      </c>
      <c r="K609" t="inlineStr">
        <is>
          <t>YuLi</t>
        </is>
      </c>
      <c r="L609" s="4"/>
      <c r="M609" s="4">
        <v>46141.68890046296</v>
      </c>
      <c r="N609"/>
      <c r="O609">
        <v>5412.96</v>
      </c>
      <c r="P609" s="4"/>
      <c r="Q609" s="4">
        <v>45777.91991898148</v>
      </c>
      <c r="R609"/>
      <c r="S609">
        <v>2916</v>
      </c>
      <c r="T609" s="4">
        <v>45777.91991898148</v>
      </c>
      <c r="U609" s="4"/>
      <c r="V609"/>
      <c r="W609">
        <v>2916</v>
      </c>
      <c r="X609"/>
      <c r="Y609" t="inlineStr">
        <is>
          <t>Pending Appointment</t>
        </is>
      </c>
      <c r="Z609" t="inlineStr">
        <is>
          <t>Hiring Now</t>
        </is>
      </c>
      <c r="AA609">
        <v>1</v>
      </c>
      <c r="AB609" t="inlineStr">
        <is>
          <t>No Appointment Made</t>
        </is>
      </c>
      <c r="AC609"/>
      <c r="AD609" t="inlineStr">
        <is>
          <t>wok chef</t>
        </is>
      </c>
      <c r="AE609"/>
      <c r="AF609"/>
      <c r="AG609" s="4"/>
      <c r="AH609" s="4"/>
      <c r="AI609"/>
      <c r="AJ609"/>
      <c r="AK609"/>
      <c r="AL609"/>
      <c r="AM609"/>
      <c r="AN609"/>
      <c r="AO609"/>
      <c r="AP609"/>
      <c r="AQ609"/>
      <c r="AR609" t="inlineStr">
        <is>
          <t>Free Job Portal</t>
        </is>
      </c>
      <c r="AS609" t="inlineStr">
        <is>
          <t>- Headcount: 1
- Hiring Job Details: 1 wok chef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Free Job Portal</t>
        </is>
      </c>
      <c r="AT609">
        <v>85</v>
      </c>
      <c r="AU609" t="inlineStr">
        <is>
          <t>0.85</t>
        </is>
      </c>
      <c r="AV609" t="inlineStr">
        <is>
          <t>5</t>
        </is>
      </c>
      <c r="AW609" t="inlineStr">
        <is>
          <t>0</t>
        </is>
      </c>
      <c r="AX609" t="inlineStr">
        <is>
          <t>Not Qualified</t>
        </is>
      </c>
      <c r="AY609" s="4"/>
      <c r="AZ609"/>
      <c r="BA609"/>
      <c r="BB609"/>
      <c r="BC609" t="inlineStr">
        <is>
          <t>- Headcount: 1
- Hiring Job Details: 1 wok chef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Free Job Portal</t>
        </is>
      </c>
      <c r="BD609" s="4">
        <v>46141.70837962963</v>
      </c>
      <c r="BE609" t="inlineStr">
        <is>
          <t>paid</t>
        </is>
      </c>
      <c r="BF609"/>
      <c r="BG609" t="inlineStr">
        <is>
          <t>Reschedule</t>
        </is>
      </c>
      <c r="BH609" t="inlineStr">
        <is>
          <t>Fauziah Maharan</t>
        </is>
      </c>
      <c r="BI609" t="inlineStr">
        <is>
          <t>Food / Beverage</t>
        </is>
      </c>
      <c r="BJ609" s="4">
        <v>46144.750289351854</v>
      </c>
      <c r="BK609" s="4">
        <v>43753.71152777778</v>
      </c>
      <c r="BL609" t="inlineStr">
        <is>
          <t>2916.0</t>
        </is>
      </c>
      <c r="BM609" t="inlineStr">
        <is>
          <t>0.0</t>
        </is>
      </c>
      <c r="BN609" t="inlineStr">
        <is>
          <t>PA Email CTA Click</t>
        </is>
      </c>
      <c r="BO609" s="4">
        <v>46142.45476851852</v>
      </c>
      <c r="BP609">
        <v>169559</v>
      </c>
      <c r="BQ609">
        <v>78936</v>
      </c>
      <c r="BR609" t="inlineStr">
        <is>
          <t>Online</t>
        </is>
      </c>
      <c r="BS609"/>
      <c r="BT609">
        <v>78936</v>
      </c>
      <c r="BU609"/>
      <c r="BV609">
        <v>2736068</v>
      </c>
      <c r="BW609" t="inlineStr">
        <is>
          <t>Customer Inquiry</t>
        </is>
      </c>
      <c r="BX609"/>
      <c r="BY609"/>
      <c r="BZ609" s="4"/>
      <c r="CA609"/>
      <c r="CB609"/>
      <c r="CC609" s="4"/>
      <c r="CD609" t="inlineStr">
        <is>
          <t>5</t>
        </is>
      </c>
      <c r="CE609" t="inlineStr">
        <is>
          <t>0</t>
        </is>
      </c>
      <c r="CF609" t="inlineStr">
        <is>
          <t>Q2-W04</t>
        </is>
      </c>
      <c r="CG609"/>
      <c r="CH609"/>
      <c r="CI609"/>
      <c r="CJ609" t="inlineStr">
        <is>
          <t>Paid</t>
        </is>
      </c>
      <c r="CK609" t="inlineStr">
        <is>
          <t>Eligible</t>
        </is>
      </c>
      <c r="CL609"/>
      <c r="CM609"/>
    </row>
    <row r="610" ht="25.5" customHeight="1">
      <c r="A610" t="inlineStr">
        <is>
          <t>180481</t>
        </is>
      </c>
      <c r="B610" s="2"/>
      <c r="C610"/>
      <c r="D610" s="3">
        <v>46141.69136574074</v>
      </c>
      <c r="E610" t="inlineStr">
        <is>
          <t>Q2-W04</t>
        </is>
      </c>
      <c r="F610" t="inlineStr">
        <is>
          <t>Clover</t>
        </is>
      </c>
      <c r="G610" t="inlineStr">
        <is>
          <t>Customer</t>
        </is>
      </c>
      <c r="H610" s="2" t="str">
        <f>=HYPERLINK("https://upbox.ajobthing.my/customer/180481", "https://upbox.ajobthing.my/customer/180481")</f>
        <v>https://upbox.ajobthing.my/customer/180481</v>
      </c>
      <c r="I610" t="inlineStr">
        <is>
          <t>Infinite Chiropractic Sdn Bhd</t>
        </is>
      </c>
      <c r="J610" t="inlineStr">
        <is>
          <t>Whale</t>
        </is>
      </c>
      <c r="K610" t="inlineStr">
        <is>
          <t>Clover</t>
        </is>
      </c>
      <c r="L610" s="4"/>
      <c r="M610" s="4">
        <v>46141.69353009259</v>
      </c>
      <c r="N610"/>
      <c r="O610">
        <v>3576.96</v>
      </c>
      <c r="P610" s="4"/>
      <c r="Q610" s="4">
        <v>46094.61975694444</v>
      </c>
      <c r="R610"/>
      <c r="S610">
        <v>1296</v>
      </c>
      <c r="T610" s="4">
        <v>46094.61975694444</v>
      </c>
      <c r="U610" s="4"/>
      <c r="V610"/>
      <c r="W610">
        <v>1296</v>
      </c>
      <c r="X610"/>
      <c r="Y610" t="inlineStr">
        <is>
          <t>Pending Appointment</t>
        </is>
      </c>
      <c r="Z610" t="inlineStr">
        <is>
          <t>Hiring Later</t>
        </is>
      </c>
      <c r="AA610">
        <v>2</v>
      </c>
      <c r="AB610" t="inlineStr">
        <is>
          <t>No Appointment Made</t>
        </is>
      </c>
      <c r="AC610"/>
      <c r="AD610" t="inlineStr">
        <is>
          <t>hiring later mid year customer service x1-2 chi, chiro cheras, suggest stand dis 288</t>
        </is>
      </c>
      <c r="AE610"/>
      <c r="AF610">
        <v>3000</v>
      </c>
      <c r="AG610" s="4"/>
      <c r="AH610" s="4"/>
      <c r="AI610">
        <v>3000</v>
      </c>
      <c r="AJ610">
        <v>1</v>
      </c>
      <c r="AK610" t="inlineStr">
        <is>
          <t>No, but I want in future</t>
        </is>
      </c>
      <c r="AL610">
        <v>1</v>
      </c>
      <c r="AM610" t="inlineStr">
        <is>
          <t>No, but I want in future</t>
        </is>
      </c>
      <c r="AN610"/>
      <c r="AO610" t="inlineStr">
        <is>
          <t>No, but I want in future</t>
        </is>
      </c>
      <c r="AP610" t="inlineStr">
        <is>
          <t>Twice a year (50%)</t>
        </is>
      </c>
      <c r="AQ610">
        <v>2</v>
      </c>
      <c r="AR610" t="inlineStr">
        <is>
          <t>Free Job Portal</t>
        </is>
      </c>
      <c r="AS610" t="inlineStr">
        <is>
          <t>- Headcount: 2
- Hiring Job Details: later mid year customer service x1-2 chi, chiro cheras, suggest stand dis 288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610">
        <v>100</v>
      </c>
      <c r="AU610" t="inlineStr">
        <is>
          <t>1.00</t>
        </is>
      </c>
      <c r="AV610" t="inlineStr">
        <is>
          <t>15</t>
        </is>
      </c>
      <c r="AW610" t="inlineStr">
        <is>
          <t>0</t>
        </is>
      </c>
      <c r="AX610" t="inlineStr">
        <is>
          <t>Not Qualified</t>
        </is>
      </c>
      <c r="AY610" s="4"/>
      <c r="AZ610"/>
      <c r="BA610"/>
      <c r="BB610"/>
      <c r="BC610" t="inlineStr">
        <is>
          <t>wa fu pic Paris 60125170428</t>
        </is>
      </c>
      <c r="BD610" s="4">
        <v>46142.62535879629</v>
      </c>
      <c r="BE610" t="inlineStr">
        <is>
          <t>paid</t>
        </is>
      </c>
      <c r="BF610" t="inlineStr">
        <is>
          <t>Q1-W11</t>
        </is>
      </c>
      <c r="BG610" t="inlineStr">
        <is>
          <t>Reschedule</t>
        </is>
      </c>
      <c r="BH610" t="inlineStr">
        <is>
          <t>Reagen</t>
        </is>
      </c>
      <c r="BI610" t="inlineStr">
        <is>
          <t>Healthcare / Medical</t>
        </is>
      </c>
      <c r="BJ610" s="4">
        <v>46144.75184027778</v>
      </c>
      <c r="BK610" s="4">
        <v>45486.39207175926</v>
      </c>
      <c r="BL610" t="inlineStr">
        <is>
          <t>6048.0</t>
        </is>
      </c>
      <c r="BM610" t="inlineStr">
        <is>
          <t>0.0</t>
        </is>
      </c>
      <c r="BN610" t="inlineStr">
        <is>
          <t>View Company Page</t>
        </is>
      </c>
      <c r="BO610" s="4">
        <v>46142.504282407404</v>
      </c>
      <c r="BP610">
        <v>169562</v>
      </c>
      <c r="BQ610">
        <v>88447</v>
      </c>
      <c r="BR610" t="inlineStr">
        <is>
          <t>Online</t>
        </is>
      </c>
      <c r="BS610"/>
      <c r="BT610">
        <v>88447</v>
      </c>
      <c r="BU610"/>
      <c r="BV610">
        <v>2737862</v>
      </c>
      <c r="BW610" t="inlineStr">
        <is>
          <t>No Answer : Voicemail - WA sent to customer</t>
        </is>
      </c>
      <c r="BX610"/>
      <c r="BY610"/>
      <c r="BZ610" s="4"/>
      <c r="CA610"/>
      <c r="CB610"/>
      <c r="CC610" s="4"/>
      <c r="CD610" t="inlineStr">
        <is>
          <t>20</t>
        </is>
      </c>
      <c r="CE610" t="inlineStr">
        <is>
          <t>0</t>
        </is>
      </c>
      <c r="CF610" t="inlineStr">
        <is>
          <t>Q2-W04</t>
        </is>
      </c>
      <c r="CG610" t="inlineStr">
        <is>
          <t>Q1-W11</t>
        </is>
      </c>
      <c r="CH610" t="inlineStr">
        <is>
          <t>Q1-W11</t>
        </is>
      </c>
      <c r="CI610"/>
      <c r="CJ610" t="inlineStr">
        <is>
          <t>Paid</t>
        </is>
      </c>
      <c r="CK610" t="inlineStr">
        <is>
          <t>Eligible</t>
        </is>
      </c>
      <c r="CL610"/>
      <c r="CM610"/>
    </row>
    <row r="611" ht="25.5" customHeight="1">
      <c r="A611" t="inlineStr">
        <is>
          <t>166195</t>
        </is>
      </c>
      <c r="B611" s="2"/>
      <c r="C611"/>
      <c r="D611" s="3">
        <v>46141.69530092592</v>
      </c>
      <c r="E611" t="inlineStr">
        <is>
          <t>Q2-W04</t>
        </is>
      </c>
      <c r="F611" t="inlineStr">
        <is>
          <t>Yuli</t>
        </is>
      </c>
      <c r="G611" t="inlineStr">
        <is>
          <t>Customer</t>
        </is>
      </c>
      <c r="H611" s="2" t="str">
        <f>=HYPERLINK("https://upbox.ajobthing.my/customer/166195", "https://upbox.ajobthing.my/customer/166195")</f>
        <v>https://upbox.ajobthing.my/customer/166195</v>
      </c>
      <c r="I611" t="inlineStr">
        <is>
          <t>TKS Capital Holdings Sdn. Bhd.</t>
        </is>
      </c>
      <c r="J611" t="inlineStr">
        <is>
          <t>Whale</t>
        </is>
      </c>
      <c r="K611" t="inlineStr">
        <is>
          <t>YuLi</t>
        </is>
      </c>
      <c r="L611" s="4"/>
      <c r="M611" s="4">
        <v>46141.69457175926</v>
      </c>
      <c r="N611"/>
      <c r="O611">
        <v>10381</v>
      </c>
      <c r="P611" s="4"/>
      <c r="Q611" s="4">
        <v>46092.664618055554</v>
      </c>
      <c r="R611"/>
      <c r="S611">
        <v>5616</v>
      </c>
      <c r="T611" s="4">
        <v>45575.46188657408</v>
      </c>
      <c r="U611" s="4"/>
      <c r="V611"/>
      <c r="W611">
        <v>5508</v>
      </c>
      <c r="X611"/>
      <c r="Y611" t="inlineStr">
        <is>
          <t>Pending Appointment</t>
        </is>
      </c>
      <c r="Z611" t="inlineStr">
        <is>
          <t>Hiring Now</t>
        </is>
      </c>
      <c r="AA611">
        <v>5</v>
      </c>
      <c r="AB611" t="inlineStr">
        <is>
          <t>No Appointment Made</t>
        </is>
      </c>
      <c r="AC611"/>
      <c r="AD611" t="inlineStr">
        <is>
          <t>HR 
Customer Service
Lorry Van Driver
Mechanic Techician
Sales</t>
        </is>
      </c>
      <c r="AE611"/>
      <c r="AF611"/>
      <c r="AG611" s="4"/>
      <c r="AH611" s="4"/>
      <c r="AI611"/>
      <c r="AJ611"/>
      <c r="AK611"/>
      <c r="AL611">
        <v>2</v>
      </c>
      <c r="AM611"/>
      <c r="AN611"/>
      <c r="AO611"/>
      <c r="AP611"/>
      <c r="AQ611"/>
      <c r="AR611" t="inlineStr">
        <is>
          <t>Free Job Portal</t>
        </is>
      </c>
      <c r="AS611" t="inlineStr">
        <is>
          <t>- Headcount: 5
- Hiring Job Details: HR, Customer Service, Lorry Van Driver, Mechanic Techician, Sales
- Hiring Urgency: Hiring Now
- Number of outlets: Not provided
- Have recruiter team: Not provided
- Number of recruiter in company: 2
- Have ATS system: Not provided
- Have career website: Not provided
- Current hiring budget: Not provided
- Whole year budget: Not provided
- Whole year number of vacancies: Not provided
- Hiring frequency: Not provided
- External job portal: Free Job Portal</t>
        </is>
      </c>
      <c r="AT611">
        <v>65</v>
      </c>
      <c r="AU611" t="inlineStr">
        <is>
          <t>0.65</t>
        </is>
      </c>
      <c r="AV611" t="inlineStr">
        <is>
          <t>10</t>
        </is>
      </c>
      <c r="AW611" t="inlineStr">
        <is>
          <t>0</t>
        </is>
      </c>
      <c r="AX611" t="inlineStr">
        <is>
          <t>Not Qualified</t>
        </is>
      </c>
      <c r="AY611" s="4"/>
      <c r="AZ611"/>
      <c r="BA611"/>
      <c r="BB611"/>
      <c r="BC611" t="inlineStr">
        <is>
          <t>- Headcount: 5
- Hiring Job Details: HR, Customer Service, Lorry Van Driver, Mechanic Techician, Sales
- Hiring Urgency: Hiring Now
- Number of outlets: Not provided
- Have recruiter team: Not provided
- Number of recruiter in company: 2
- Have ATS system: Not provided
- Have career website: Not provided
- Current hiring budget: Not provided
- Whole year budget: Not provided
- Whole year number of vacancies: Not provided
- Hiring frequency: Not provided
- External job portal: Free Job Portal</t>
        </is>
      </c>
      <c r="BD611" s="4">
        <v>46141.70837962963</v>
      </c>
      <c r="BE611" t="inlineStr">
        <is>
          <t>pending</t>
        </is>
      </c>
      <c r="BF611"/>
      <c r="BG611" t="inlineStr">
        <is>
          <t>Reschedule</t>
        </is>
      </c>
      <c r="BH611" t="inlineStr">
        <is>
          <t>Fauziah Maharan</t>
        </is>
      </c>
      <c r="BI611" t="inlineStr">
        <is>
          <t>Business / Mgmt Consulting</t>
        </is>
      </c>
      <c r="BJ611" s="4">
        <v>46144.751296296294</v>
      </c>
      <c r="BK611" s="4">
        <v>45028.447060185186</v>
      </c>
      <c r="BL611" t="inlineStr">
        <is>
          <t>0.0</t>
        </is>
      </c>
      <c r="BM611" t="inlineStr">
        <is>
          <t>0.0</t>
        </is>
      </c>
      <c r="BN611" t="inlineStr">
        <is>
          <t>User Visit(Logged In)</t>
        </is>
      </c>
      <c r="BO611" s="4">
        <v>46141.86890046296</v>
      </c>
      <c r="BP611">
        <v>169565</v>
      </c>
      <c r="BQ611">
        <v>116863</v>
      </c>
      <c r="BR611" t="inlineStr">
        <is>
          <t>Proforma</t>
        </is>
      </c>
      <c r="BS611" t="inlineStr">
        <is>
          <t>AI Yearly Professional Plan (Jan 26)</t>
        </is>
      </c>
      <c r="BT611">
        <v>73705</v>
      </c>
      <c r="BU611"/>
      <c r="BV611">
        <v>2736073</v>
      </c>
      <c r="BW611" t="inlineStr">
        <is>
          <t>Customer Inquiry</t>
        </is>
      </c>
      <c r="BX611"/>
      <c r="BY611"/>
      <c r="BZ611" s="4"/>
      <c r="CA611"/>
      <c r="CB611"/>
      <c r="CC611" s="4"/>
      <c r="CD611" t="inlineStr">
        <is>
          <t>15</t>
        </is>
      </c>
      <c r="CE611" t="inlineStr">
        <is>
          <t>0</t>
        </is>
      </c>
      <c r="CF611" t="inlineStr">
        <is>
          <t>Q2-W04</t>
        </is>
      </c>
      <c r="CG611" t="inlineStr">
        <is>
          <t>Q1-W10</t>
        </is>
      </c>
      <c r="CH611"/>
      <c r="CI611"/>
      <c r="CJ611" t="inlineStr">
        <is>
          <t>Paid</t>
        </is>
      </c>
      <c r="CK611" t="inlineStr">
        <is>
          <t>Eligible</t>
        </is>
      </c>
      <c r="CL611"/>
      <c r="CM611"/>
    </row>
    <row r="612" ht="25.5" customHeight="1">
      <c r="A612" t="inlineStr">
        <is>
          <t>4332111</t>
        </is>
      </c>
      <c r="B612" s="2"/>
      <c r="C612"/>
      <c r="D612" s="3">
        <v>46141.716099537036</v>
      </c>
      <c r="E612" t="inlineStr">
        <is>
          <t>Q2-W04</t>
        </is>
      </c>
      <c r="F612" t="inlineStr">
        <is>
          <t>Janice Yap</t>
        </is>
      </c>
      <c r="G612" t="inlineStr">
        <is>
          <t>Lead</t>
        </is>
      </c>
      <c r="H612" s="2" t="str">
        <f>=HYPERLINK("https://upbox.ajobthing.my/leads/4332111", "https://upbox.ajobthing.my/leads/4332111")</f>
        <v>https://upbox.ajobthing.my/leads/4332111</v>
      </c>
      <c r="I612" t="inlineStr">
        <is>
          <t>Thermos Malaysia Sdn Bhd</t>
        </is>
      </c>
      <c r="J612" t="inlineStr">
        <is>
          <t>Whale</t>
        </is>
      </c>
      <c r="K612" t="inlineStr">
        <is>
          <t>Janice</t>
        </is>
      </c>
      <c r="L612" s="4"/>
      <c r="M612" s="4">
        <v>46141.71398148148</v>
      </c>
      <c r="N612"/>
      <c r="O612">
        <v>3888</v>
      </c>
      <c r="P612" s="4"/>
      <c r="Q612" s="4"/>
      <c r="R612"/>
      <c r="S612"/>
      <c r="T612" s="4"/>
      <c r="U612" s="4"/>
      <c r="V612"/>
      <c r="W612"/>
      <c r="X612"/>
      <c r="Y612" t="inlineStr">
        <is>
          <t>Pending Appointment</t>
        </is>
      </c>
      <c r="Z612" t="inlineStr">
        <is>
          <t>Hiring Now</t>
        </is>
      </c>
      <c r="AA612">
        <v>3</v>
      </c>
      <c r="AB612" t="inlineStr">
        <is>
          <t>No Appointment Made</t>
        </is>
      </c>
      <c r="AC612"/>
      <c r="AD612" t="inlineStr">
        <is>
          <t>1 Retail asst, 1 promoter &amp; 1 live host</t>
        </is>
      </c>
      <c r="AE612"/>
      <c r="AF612">
        <v>0</v>
      </c>
      <c r="AG612" s="4"/>
      <c r="AH612" s="4"/>
      <c r="AI612">
        <v>0</v>
      </c>
      <c r="AJ612"/>
      <c r="AK612" t="inlineStr">
        <is>
          <t>No, I don't need at all</t>
        </is>
      </c>
      <c r="AL612">
        <v>0</v>
      </c>
      <c r="AM612" t="inlineStr">
        <is>
          <t>No, I don't need at all</t>
        </is>
      </c>
      <c r="AN612"/>
      <c r="AO612" t="inlineStr">
        <is>
          <t>No, I don't need at all</t>
        </is>
      </c>
      <c r="AP612" t="inlineStr">
        <is>
          <t>Once a year (25%)</t>
        </is>
      </c>
      <c r="AQ612">
        <v>3</v>
      </c>
      <c r="AR612"/>
      <c r="AS612" t="inlineStr">
        <is>
          <t>- Headcount: 3
- Hiring Job Details: 1 Retail asst, 1 promoter &amp; 1 live host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Not provided</t>
        </is>
      </c>
      <c r="AT612">
        <v>110</v>
      </c>
      <c r="AU612" t="inlineStr">
        <is>
          <t>1.10</t>
        </is>
      </c>
      <c r="AV612" t="inlineStr">
        <is>
          <t>15</t>
        </is>
      </c>
      <c r="AW612" t="inlineStr">
        <is>
          <t>0</t>
        </is>
      </c>
      <c r="AX612" t="inlineStr">
        <is>
          <t>Not Qualified</t>
        </is>
      </c>
      <c r="AY612" s="4"/>
      <c r="AZ612"/>
      <c r="BA612"/>
      <c r="BB612"/>
      <c r="BC612"/>
      <c r="BD612" s="4"/>
      <c r="BE612"/>
      <c r="BF612"/>
      <c r="BG612" t="inlineStr">
        <is>
          <t>Reschedule</t>
        </is>
      </c>
      <c r="BH612" t="inlineStr">
        <is>
          <t>Yee Hang</t>
        </is>
      </c>
      <c r="BI612"/>
      <c r="BJ612" s="4">
        <v>46144.755949074075</v>
      </c>
      <c r="BK612" s="4">
        <v>46141.668217592596</v>
      </c>
      <c r="BL612" t="inlineStr">
        <is>
          <t>0.0</t>
        </is>
      </c>
      <c r="BM612" t="inlineStr">
        <is>
          <t>6600.0</t>
        </is>
      </c>
      <c r="BN612"/>
      <c r="BO612" s="4"/>
      <c r="BP612">
        <v>169573</v>
      </c>
      <c r="BQ612"/>
      <c r="BR612"/>
      <c r="BS612"/>
      <c r="BT612"/>
      <c r="BU612"/>
      <c r="BV612"/>
      <c r="BW612"/>
      <c r="BX612"/>
      <c r="BY612"/>
      <c r="BZ612" s="4"/>
      <c r="CA612"/>
      <c r="CB612"/>
      <c r="CC612" s="4"/>
      <c r="CD612" t="inlineStr">
        <is>
          <t>20</t>
        </is>
      </c>
      <c r="CE612" t="inlineStr">
        <is>
          <t>0</t>
        </is>
      </c>
      <c r="CF612" t="inlineStr">
        <is>
          <t>Q2-W04</t>
        </is>
      </c>
      <c r="CG612"/>
      <c r="CH612"/>
      <c r="CI612"/>
      <c r="CJ612" t="inlineStr">
        <is>
          <t>No Paid</t>
        </is>
      </c>
      <c r="CK612" t="inlineStr">
        <is>
          <t>Eligible</t>
        </is>
      </c>
      <c r="CL612"/>
      <c r="CM612"/>
    </row>
    <row r="613" ht="25.5" customHeight="1">
      <c r="A613" t="inlineStr">
        <is>
          <t>156333</t>
        </is>
      </c>
      <c r="B613" s="2"/>
      <c r="C613"/>
      <c r="D613" s="3">
        <v>46141.86210648148</v>
      </c>
      <c r="E613" t="inlineStr">
        <is>
          <t>Q2-W04</t>
        </is>
      </c>
      <c r="F613" t="inlineStr">
        <is>
          <t>Yuli</t>
        </is>
      </c>
      <c r="G613" t="inlineStr">
        <is>
          <t>Customer</t>
        </is>
      </c>
      <c r="H613" s="2" t="str">
        <f>=HYPERLINK("https://upbox.ajobthing.my/customer/156333", "https://upbox.ajobthing.my/customer/156333")</f>
        <v>https://upbox.ajobthing.my/customer/156333</v>
      </c>
      <c r="I613" t="inlineStr">
        <is>
          <t>2 KM Enterprise</t>
        </is>
      </c>
      <c r="J613" t="inlineStr">
        <is>
          <t>Whale</t>
        </is>
      </c>
      <c r="K613" t="inlineStr">
        <is>
          <t>YuLi</t>
        </is>
      </c>
      <c r="L613" s="4"/>
      <c r="M613" s="4">
        <v>46141.84653935185</v>
      </c>
      <c r="N613"/>
      <c r="O613">
        <v>5412.96</v>
      </c>
      <c r="P613" s="4"/>
      <c r="Q613" s="4">
        <v>46141.762708333335</v>
      </c>
      <c r="R613"/>
      <c r="S613">
        <v>0</v>
      </c>
      <c r="T613" s="4">
        <v>45993.95951388889</v>
      </c>
      <c r="U613" s="4"/>
      <c r="V613"/>
      <c r="W613">
        <v>324</v>
      </c>
      <c r="X613"/>
      <c r="Y613" t="inlineStr">
        <is>
          <t>Pending Appointment</t>
        </is>
      </c>
      <c r="Z613" t="inlineStr">
        <is>
          <t>Hiring Now</t>
        </is>
      </c>
      <c r="AA613">
        <v>1</v>
      </c>
      <c r="AB613" t="inlineStr">
        <is>
          <t>No Appointment Made</t>
        </is>
      </c>
      <c r="AC613"/>
      <c r="AD613" t="inlineStr">
        <is>
          <t>1 Assistant HR Account Manager</t>
        </is>
      </c>
      <c r="AE613"/>
      <c r="AF613">
        <v>3672</v>
      </c>
      <c r="AG613" s="4"/>
      <c r="AH613" s="4"/>
      <c r="AI613"/>
      <c r="AJ613"/>
      <c r="AK613"/>
      <c r="AL613"/>
      <c r="AM613"/>
      <c r="AN613"/>
      <c r="AO613"/>
      <c r="AP613" t="inlineStr">
        <is>
          <t>Every month (100%)</t>
        </is>
      </c>
      <c r="AQ613"/>
      <c r="AR613" t="inlineStr">
        <is>
          <t>Jobstreet</t>
        </is>
      </c>
      <c r="AS613" t="inlineStr">
        <is>
          <t>- Headcount: 1
- Hiring Job Details: 1 Assistant HR Account Manager
- Hiring Urgency: Hiring Now
- Number of outlets: Not provided
- Have recruiter team: Not provided
- Number of recruiter in company: Not provided
- Have ATS system: Not provided
- Have career website: Not provided
- Current hiring budget: RM3,672.00
- Whole year budget: Not provided
- Whole year number of vacancies: Not provided
- Hiring frequency: Every month (100%)
- External job portal: Jobstreet</t>
        </is>
      </c>
      <c r="AT613">
        <v>95</v>
      </c>
      <c r="AU613" t="inlineStr">
        <is>
          <t>0.95</t>
        </is>
      </c>
      <c r="AV613" t="inlineStr">
        <is>
          <t>15</t>
        </is>
      </c>
      <c r="AW613" t="inlineStr">
        <is>
          <t>0</t>
        </is>
      </c>
      <c r="AX613" t="inlineStr">
        <is>
          <t>Not Qualified</t>
        </is>
      </c>
      <c r="AY613" s="4"/>
      <c r="AZ613"/>
      <c r="BA613"/>
      <c r="BB613"/>
      <c r="BC613" t="inlineStr">
        <is>
          <t>called and spoke to Kenny, he havent review the quote and job details, remind to check the job details</t>
        </is>
      </c>
      <c r="BD613" s="4">
        <v>46142.54849537037</v>
      </c>
      <c r="BE613" t="inlineStr">
        <is>
          <t>paid</t>
        </is>
      </c>
      <c r="BF613"/>
      <c r="BG613" t="inlineStr">
        <is>
          <t>Reschedule</t>
        </is>
      </c>
      <c r="BH613" t="inlineStr">
        <is>
          <t>Fauziah Maharan</t>
        </is>
      </c>
      <c r="BI613" t="inlineStr">
        <is>
          <t>Retail / Merchandise</t>
        </is>
      </c>
      <c r="BJ613" s="4">
        <v>46144.75099537037</v>
      </c>
      <c r="BK613" s="4">
        <v>44740.46142361111</v>
      </c>
      <c r="BL613" t="inlineStr">
        <is>
          <t>6156.0</t>
        </is>
      </c>
      <c r="BM613" t="inlineStr">
        <is>
          <t>1800.0</t>
        </is>
      </c>
      <c r="BN613" t="inlineStr">
        <is>
          <t>View Company Page</t>
        </is>
      </c>
      <c r="BO613" s="4">
        <v>46141.763344907406</v>
      </c>
      <c r="BP613">
        <v>169596</v>
      </c>
      <c r="BQ613">
        <v>124116</v>
      </c>
      <c r="BR613" t="inlineStr">
        <is>
          <t>Proforma</t>
        </is>
      </c>
      <c r="BS613" t="inlineStr">
        <is>
          <t>Free Internship Job</t>
        </is>
      </c>
      <c r="BT613">
        <v>84658</v>
      </c>
      <c r="BU613"/>
      <c r="BV613">
        <v>2737462</v>
      </c>
      <c r="BW613" t="inlineStr">
        <is>
          <t>Follow Up : Quotation Sent 50%</t>
        </is>
      </c>
      <c r="BX613">
        <v>7</v>
      </c>
      <c r="BY613">
        <v>2</v>
      </c>
      <c r="BZ613" s="4">
        <v>46105.692141203705</v>
      </c>
      <c r="CA613">
        <v>60</v>
      </c>
      <c r="CB613">
        <v>60</v>
      </c>
      <c r="CC613" s="4"/>
      <c r="CD613" t="inlineStr">
        <is>
          <t>20</t>
        </is>
      </c>
      <c r="CE613" t="inlineStr">
        <is>
          <t>0</t>
        </is>
      </c>
      <c r="CF613" t="inlineStr">
        <is>
          <t>Q2-W04</t>
        </is>
      </c>
      <c r="CG613" t="inlineStr">
        <is>
          <t>Q2-W04</t>
        </is>
      </c>
      <c r="CH613"/>
      <c r="CI613"/>
      <c r="CJ613" t="inlineStr">
        <is>
          <t>Paid</t>
        </is>
      </c>
      <c r="CK613" t="inlineStr">
        <is>
          <t>Eligible</t>
        </is>
      </c>
      <c r="CL613"/>
      <c r="CM613"/>
    </row>
    <row r="614" ht="25.5" customHeight="1">
      <c r="A614" t="inlineStr">
        <is>
          <t>203808</t>
        </is>
      </c>
      <c r="B614" s="2"/>
      <c r="C614"/>
      <c r="D614" s="3">
        <v>46142.41872685185</v>
      </c>
      <c r="E614" t="inlineStr">
        <is>
          <t>Q2-W04</t>
        </is>
      </c>
      <c r="F614" t="inlineStr">
        <is>
          <t>Yuli</t>
        </is>
      </c>
      <c r="G614" t="inlineStr">
        <is>
          <t>Customer</t>
        </is>
      </c>
      <c r="H614" s="2" t="str">
        <f>=HYPERLINK("https://upbox.ajobthing.my/customer/203808", "https://upbox.ajobthing.my/customer/203808")</f>
        <v>https://upbox.ajobthing.my/customer/203808</v>
      </c>
      <c r="I614" t="inlineStr">
        <is>
          <t>Nuaim Corporation (m) Sdb Bhd</t>
        </is>
      </c>
      <c r="J614" t="inlineStr">
        <is>
          <t>Whale</t>
        </is>
      </c>
      <c r="K614" t="inlineStr">
        <is>
          <t>YuLi</t>
        </is>
      </c>
      <c r="L614" s="4"/>
      <c r="M614" s="4">
        <v>46142.40741898148</v>
      </c>
      <c r="N614"/>
      <c r="O614">
        <v>3888</v>
      </c>
      <c r="P614" s="4"/>
      <c r="Q614" s="4"/>
      <c r="R614"/>
      <c r="S614"/>
      <c r="T614" s="4"/>
      <c r="U614" s="4"/>
      <c r="V614"/>
      <c r="W614"/>
      <c r="X614"/>
      <c r="Y614" t="inlineStr">
        <is>
          <t>Pending Appointment</t>
        </is>
      </c>
      <c r="Z614" t="inlineStr">
        <is>
          <t>Hiring Now</t>
        </is>
      </c>
      <c r="AA614">
        <v>1</v>
      </c>
      <c r="AB614" t="inlineStr">
        <is>
          <t>No Appointment Made</t>
        </is>
      </c>
      <c r="AC614"/>
      <c r="AD614" t="inlineStr">
        <is>
          <t>1 Cashier cum account clerk</t>
        </is>
      </c>
      <c r="AE614"/>
      <c r="AF614"/>
      <c r="AG614" s="4"/>
      <c r="AH614" s="4"/>
      <c r="AI614"/>
      <c r="AJ614">
        <v>2</v>
      </c>
      <c r="AK614"/>
      <c r="AL614"/>
      <c r="AM614"/>
      <c r="AN614"/>
      <c r="AO614"/>
      <c r="AP614"/>
      <c r="AQ614"/>
      <c r="AR614" t="inlineStr">
        <is>
          <t>Did not use any job portal</t>
        </is>
      </c>
      <c r="AS614" t="inlineStr">
        <is>
          <t>- Headcount: 1
- Hiring Job Details: 1 Cashier cum account clerk
- Hiring Urgency: Hiring Now
- Number of outlets: 2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Did not use any job portal</t>
        </is>
      </c>
      <c r="AT614">
        <v>85</v>
      </c>
      <c r="AU614" t="inlineStr">
        <is>
          <t>0.85</t>
        </is>
      </c>
      <c r="AV614" t="inlineStr">
        <is>
          <t>5</t>
        </is>
      </c>
      <c r="AW614" t="inlineStr">
        <is>
          <t>0</t>
        </is>
      </c>
      <c r="AX614" t="inlineStr">
        <is>
          <t>Not Qualified</t>
        </is>
      </c>
      <c r="AY614" s="4"/>
      <c r="AZ614"/>
      <c r="BA614"/>
      <c r="BB614"/>
      <c r="BC614" t="inlineStr">
        <is>
          <t>- Headcount: 1
- Hiring Job Details: 1 Cashier cum account clerk
- Hiring Urgency: Hiring Now
- Number of outlets: 2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Did not use any job portal</t>
        </is>
      </c>
      <c r="BD614" s="4">
        <v>46142.458969907406</v>
      </c>
      <c r="BE614"/>
      <c r="BF614"/>
      <c r="BG614" t="inlineStr">
        <is>
          <t>Reschedule</t>
        </is>
      </c>
      <c r="BH614" t="inlineStr">
        <is>
          <t>Fauziah Maharan</t>
        </is>
      </c>
      <c r="BI614"/>
      <c r="BJ614" s="4">
        <v>46144.75438657407</v>
      </c>
      <c r="BK614" s="4">
        <v>46142.37158564815</v>
      </c>
      <c r="BL614" t="inlineStr">
        <is>
          <t>0.0</t>
        </is>
      </c>
      <c r="BM614" t="inlineStr">
        <is>
          <t>0.0</t>
        </is>
      </c>
      <c r="BN614" t="inlineStr">
        <is>
          <t>View Notifications</t>
        </is>
      </c>
      <c r="BO614" s="4">
        <v>46142.39144675926</v>
      </c>
      <c r="BP614">
        <v>169601</v>
      </c>
      <c r="BQ614"/>
      <c r="BR614"/>
      <c r="BS614"/>
      <c r="BT614"/>
      <c r="BU614"/>
      <c r="BV614">
        <v>2736939</v>
      </c>
      <c r="BW614" t="inlineStr">
        <is>
          <t>Customer Inquiry</t>
        </is>
      </c>
      <c r="BX614"/>
      <c r="BY614"/>
      <c r="BZ614" s="4"/>
      <c r="CA614"/>
      <c r="CB614"/>
      <c r="CC614" s="4"/>
      <c r="CD614" t="inlineStr">
        <is>
          <t>5</t>
        </is>
      </c>
      <c r="CE614" t="inlineStr">
        <is>
          <t>0</t>
        </is>
      </c>
      <c r="CF614" t="inlineStr">
        <is>
          <t>Q2-W04</t>
        </is>
      </c>
      <c r="CG614"/>
      <c r="CH614"/>
      <c r="CI614"/>
      <c r="CJ614" t="inlineStr">
        <is>
          <t>No Paid</t>
        </is>
      </c>
      <c r="CK614" t="inlineStr">
        <is>
          <t>Eligible</t>
        </is>
      </c>
      <c r="CL614"/>
      <c r="CM614"/>
    </row>
    <row r="615" ht="25.5" customHeight="1">
      <c r="A615" t="inlineStr">
        <is>
          <t>168694</t>
        </is>
      </c>
      <c r="B615" s="2"/>
      <c r="C615"/>
      <c r="D615" s="3">
        <v>46142.436736111114</v>
      </c>
      <c r="E615" t="inlineStr">
        <is>
          <t>Q2-W04</t>
        </is>
      </c>
      <c r="F615" t="inlineStr">
        <is>
          <t>Yuli</t>
        </is>
      </c>
      <c r="G615" t="inlineStr">
        <is>
          <t>Customer</t>
        </is>
      </c>
      <c r="H615" s="2" t="str">
        <f>=HYPERLINK("https://upbox.ajobthing.my/customer/168694", "https://upbox.ajobthing.my/customer/168694")</f>
        <v>https://upbox.ajobthing.my/customer/168694</v>
      </c>
      <c r="I615" t="inlineStr">
        <is>
          <t>Rowex Sofa Concept (M) Sdn Bhd</t>
        </is>
      </c>
      <c r="J615" t="inlineStr">
        <is>
          <t>Whale</t>
        </is>
      </c>
      <c r="K615" t="inlineStr">
        <is>
          <t>YuLi</t>
        </is>
      </c>
      <c r="L615" s="4"/>
      <c r="M615" s="4">
        <v>46142.448287037034</v>
      </c>
      <c r="N615"/>
      <c r="O615">
        <v>5412.96</v>
      </c>
      <c r="P615" s="4"/>
      <c r="Q615" s="4">
        <v>45520.60215277778</v>
      </c>
      <c r="R615"/>
      <c r="S615">
        <v>2604.96</v>
      </c>
      <c r="T615" s="4">
        <v>45520.60215277778</v>
      </c>
      <c r="U615" s="4"/>
      <c r="V615"/>
      <c r="W615">
        <v>2604.96</v>
      </c>
      <c r="X615"/>
      <c r="Y615" t="inlineStr">
        <is>
          <t>Pending Appointment</t>
        </is>
      </c>
      <c r="Z615" t="inlineStr">
        <is>
          <t>Hiring Later</t>
        </is>
      </c>
      <c r="AA615">
        <v>3</v>
      </c>
      <c r="AB615" t="inlineStr">
        <is>
          <t>No Appointment Made</t>
        </is>
      </c>
      <c r="AC615"/>
      <c r="AD615" t="inlineStr">
        <is>
          <t>Accounts, HR, Intern</t>
        </is>
      </c>
      <c r="AE615"/>
      <c r="AF615">
        <v>3600</v>
      </c>
      <c r="AG615" s="4"/>
      <c r="AH615" s="4"/>
      <c r="AI615"/>
      <c r="AJ615"/>
      <c r="AK615"/>
      <c r="AL615"/>
      <c r="AM615"/>
      <c r="AN615"/>
      <c r="AO615"/>
      <c r="AP615" t="inlineStr">
        <is>
          <t>Once per quarter (75%)</t>
        </is>
      </c>
      <c r="AQ615"/>
      <c r="AR615" t="inlineStr">
        <is>
          <t>Jobstreet</t>
        </is>
      </c>
      <c r="AS615" t="inlineStr">
        <is>
          <t>- Headcount: 3
- Hiring Job Details: Accounts, HR, Intern
- Number of outlets: Not provided
- Have recruiter team: Not provided
- Number of recruiter in company: Not provided
- Have ATS system: Not provided
- Have career website: Not provided
- Current hiring budget: RM3,600.00
- Whole year budget: Not provided
- Whole year number of vacancies: Not provided
- Hiring frequency: Once per quarter (75%)
- External job portal: Jobstreet
- Hiring Urgency: Hiring Later</t>
        </is>
      </c>
      <c r="AT615">
        <v>35</v>
      </c>
      <c r="AU615" t="inlineStr">
        <is>
          <t>0.35</t>
        </is>
      </c>
      <c r="AV615" t="inlineStr">
        <is>
          <t>15</t>
        </is>
      </c>
      <c r="AW615" t="inlineStr">
        <is>
          <t>0</t>
        </is>
      </c>
      <c r="AX615" t="inlineStr">
        <is>
          <t>Not Qualified</t>
        </is>
      </c>
      <c r="AY615" s="4"/>
      <c r="AZ615"/>
      <c r="BA615"/>
      <c r="BB615"/>
      <c r="BC615" t="inlineStr">
        <is>
          <t>share quotation</t>
        </is>
      </c>
      <c r="BD615" s="4">
        <v>46142.469293981485</v>
      </c>
      <c r="BE615" t="inlineStr">
        <is>
          <t>paid</t>
        </is>
      </c>
      <c r="BF615"/>
      <c r="BG615" t="inlineStr">
        <is>
          <t>Reschedule</t>
        </is>
      </c>
      <c r="BH615" t="inlineStr">
        <is>
          <t>Fauziah Maharan</t>
        </is>
      </c>
      <c r="BI615" t="inlineStr">
        <is>
          <t>Retail / Merchandise</t>
        </is>
      </c>
      <c r="BJ615" s="4">
        <v>46144.75134259259</v>
      </c>
      <c r="BK615" s="4">
        <v>45107.76767361111</v>
      </c>
      <c r="BL615" t="inlineStr">
        <is>
          <t>0.0</t>
        </is>
      </c>
      <c r="BM615" t="inlineStr">
        <is>
          <t>600.0</t>
        </is>
      </c>
      <c r="BN615" t="inlineStr">
        <is>
          <t>View Company Page</t>
        </is>
      </c>
      <c r="BO615" s="4">
        <v>45999.60496527778</v>
      </c>
      <c r="BP615">
        <v>169632</v>
      </c>
      <c r="BQ615">
        <v>72150</v>
      </c>
      <c r="BR615" t="inlineStr">
        <is>
          <t>Online</t>
        </is>
      </c>
      <c r="BS615"/>
      <c r="BT615">
        <v>72150</v>
      </c>
      <c r="BU615"/>
      <c r="BV615">
        <v>2737077</v>
      </c>
      <c r="BW615" t="inlineStr">
        <is>
          <t>Follow Up : Quotation Sent 50%</t>
        </is>
      </c>
      <c r="BX615"/>
      <c r="BY615"/>
      <c r="BZ615" s="4"/>
      <c r="CA615"/>
      <c r="CB615"/>
      <c r="CC615" s="4"/>
      <c r="CD615" t="inlineStr">
        <is>
          <t>20</t>
        </is>
      </c>
      <c r="CE615" t="inlineStr">
        <is>
          <t>0</t>
        </is>
      </c>
      <c r="CF615" t="inlineStr">
        <is>
          <t>Q2-W04</t>
        </is>
      </c>
      <c r="CG615"/>
      <c r="CH615"/>
      <c r="CI615"/>
      <c r="CJ615" t="inlineStr">
        <is>
          <t>Paid</t>
        </is>
      </c>
      <c r="CK615" t="inlineStr">
        <is>
          <t>Eligible</t>
        </is>
      </c>
      <c r="CL615"/>
      <c r="CM615"/>
    </row>
    <row r="616" ht="25.5" customHeight="1">
      <c r="A616" t="inlineStr">
        <is>
          <t>152902</t>
        </is>
      </c>
      <c r="B616" s="2"/>
      <c r="C616"/>
      <c r="D616" s="3">
        <v>46142.43908564815</v>
      </c>
      <c r="E616" t="inlineStr">
        <is>
          <t>Q2-W04</t>
        </is>
      </c>
      <c r="F616" t="inlineStr">
        <is>
          <t>Josh</t>
        </is>
      </c>
      <c r="G616" t="inlineStr">
        <is>
          <t>Customer</t>
        </is>
      </c>
      <c r="H616" s="2" t="str">
        <f>=HYPERLINK("https://upbox.ajobthing.my/customer/152902", "https://upbox.ajobthing.my/customer/152902")</f>
        <v>https://upbox.ajobthing.my/customer/152902</v>
      </c>
      <c r="I616" t="inlineStr">
        <is>
          <t>Smart Reader Worldwide Sdn Bhd</t>
        </is>
      </c>
      <c r="J616" t="inlineStr">
        <is>
          <t>Whale</t>
        </is>
      </c>
      <c r="K616" t="inlineStr">
        <is>
          <t>Josh</t>
        </is>
      </c>
      <c r="L616" s="4"/>
      <c r="M616" s="4">
        <v>46142.44054398148</v>
      </c>
      <c r="N616"/>
      <c r="O616">
        <v>10381</v>
      </c>
      <c r="P616" s="4"/>
      <c r="Q616" s="4">
        <v>46120.7250462963</v>
      </c>
      <c r="R616"/>
      <c r="S616">
        <v>0</v>
      </c>
      <c r="T616" s="4">
        <v>45987.44548611111</v>
      </c>
      <c r="U616" s="4"/>
      <c r="V616"/>
      <c r="W616">
        <v>6048</v>
      </c>
      <c r="X616"/>
      <c r="Y616" t="inlineStr">
        <is>
          <t>Pending Appointment</t>
        </is>
      </c>
      <c r="Z616" t="inlineStr">
        <is>
          <t>Hiring Now</t>
        </is>
      </c>
      <c r="AA616">
        <v>1</v>
      </c>
      <c r="AB616" t="inlineStr">
        <is>
          <t>No Appointment Made</t>
        </is>
      </c>
      <c r="AC616"/>
      <c r="AD616" t="inlineStr">
        <is>
          <t>1 marketing</t>
        </is>
      </c>
      <c r="AE616"/>
      <c r="AF616">
        <v>3000</v>
      </c>
      <c r="AG616" s="4"/>
      <c r="AH616" s="4"/>
      <c r="AI616"/>
      <c r="AJ616"/>
      <c r="AK616" t="inlineStr">
        <is>
          <t>Yes, I have</t>
        </is>
      </c>
      <c r="AL616"/>
      <c r="AM616"/>
      <c r="AN616"/>
      <c r="AO616"/>
      <c r="AP616" t="inlineStr">
        <is>
          <t>Once a year (25%)</t>
        </is>
      </c>
      <c r="AQ616"/>
      <c r="AR616"/>
      <c r="AS616" t="inlineStr">
        <is>
          <t>- Headcount: 1
- Hiring Job Details: 1 marketing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616">
        <v>75</v>
      </c>
      <c r="AU616" t="inlineStr">
        <is>
          <t>0.75</t>
        </is>
      </c>
      <c r="AV616" t="inlineStr">
        <is>
          <t>15</t>
        </is>
      </c>
      <c r="AW616" t="inlineStr">
        <is>
          <t>0</t>
        </is>
      </c>
      <c r="AX616" t="inlineStr">
        <is>
          <t>Not Qualified</t>
        </is>
      </c>
      <c r="AY616" s="4"/>
      <c r="AZ616"/>
      <c r="BA616"/>
      <c r="BB616"/>
      <c r="BC616" t="inlineStr">
        <is>
          <t>- Headcount: 1
- Hiring Job Details: 1 marketing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BD616" s="4">
        <v>46142.458969907406</v>
      </c>
      <c r="BE616" t="inlineStr">
        <is>
          <t>paid</t>
        </is>
      </c>
      <c r="BF616"/>
      <c r="BG616" t="inlineStr">
        <is>
          <t>Reschedule</t>
        </is>
      </c>
      <c r="BH616" t="inlineStr">
        <is>
          <t>Fauziah Maharan</t>
        </is>
      </c>
      <c r="BI616" t="inlineStr">
        <is>
          <t>Education / Training</t>
        </is>
      </c>
      <c r="BJ616" s="4">
        <v>46144.750914351855</v>
      </c>
      <c r="BK616" s="4">
        <v>44673.70315972222</v>
      </c>
      <c r="BL616" t="inlineStr">
        <is>
          <t>8964.0</t>
        </is>
      </c>
      <c r="BM616" t="inlineStr">
        <is>
          <t>1050.0</t>
        </is>
      </c>
      <c r="BN616" t="inlineStr">
        <is>
          <t>View Company Page</t>
        </is>
      </c>
      <c r="BO616" s="4">
        <v>46141.72862268519</v>
      </c>
      <c r="BP616">
        <v>169619</v>
      </c>
      <c r="BQ616">
        <v>121082</v>
      </c>
      <c r="BR616" t="inlineStr">
        <is>
          <t>Proforma</t>
        </is>
      </c>
      <c r="BS616" t="inlineStr">
        <is>
          <t>Free Part-Time Job</t>
        </is>
      </c>
      <c r="BT616">
        <v>84497</v>
      </c>
      <c r="BU616"/>
      <c r="BV616">
        <v>2736947</v>
      </c>
      <c r="BW616" t="inlineStr">
        <is>
          <t>Customer Inquiry</t>
        </is>
      </c>
      <c r="BX616">
        <v>18</v>
      </c>
      <c r="BY616">
        <v>1</v>
      </c>
      <c r="BZ616" s="4">
        <v>46112.49184027778</v>
      </c>
      <c r="CA616">
        <v>240</v>
      </c>
      <c r="CB616">
        <v>184</v>
      </c>
      <c r="CC616" s="4">
        <v>46133.508935185186</v>
      </c>
      <c r="CD616" t="inlineStr">
        <is>
          <t>20</t>
        </is>
      </c>
      <c r="CE616" t="inlineStr">
        <is>
          <t>0</t>
        </is>
      </c>
      <c r="CF616" t="inlineStr">
        <is>
          <t>Q2-W04</t>
        </is>
      </c>
      <c r="CG616" t="inlineStr">
        <is>
          <t>Q2-W01</t>
        </is>
      </c>
      <c r="CH616"/>
      <c r="CI616"/>
      <c r="CJ616" t="inlineStr">
        <is>
          <t>Paid</t>
        </is>
      </c>
      <c r="CK616" t="inlineStr">
        <is>
          <t>Eligible</t>
        </is>
      </c>
      <c r="CL616"/>
      <c r="CM616"/>
    </row>
    <row r="617" ht="25.5" customHeight="1">
      <c r="A617" t="inlineStr">
        <is>
          <t>148950</t>
        </is>
      </c>
      <c r="B617" s="2"/>
      <c r="C617"/>
      <c r="D617" s="3">
        <v>46142.43950231482</v>
      </c>
      <c r="E617" t="inlineStr">
        <is>
          <t>Q2-W04</t>
        </is>
      </c>
      <c r="F617" t="inlineStr">
        <is>
          <t>Yuli</t>
        </is>
      </c>
      <c r="G617" t="inlineStr">
        <is>
          <t>Customer</t>
        </is>
      </c>
      <c r="H617" s="2" t="str">
        <f>=HYPERLINK("https://upbox.ajobthing.my/customer/148950", "https://upbox.ajobthing.my/customer/148950")</f>
        <v>https://upbox.ajobthing.my/customer/148950</v>
      </c>
      <c r="I617" t="inlineStr">
        <is>
          <t>Country Garden Pacificview Sdn Bhd</t>
        </is>
      </c>
      <c r="J617" t="inlineStr">
        <is>
          <t>Whale</t>
        </is>
      </c>
      <c r="K617" t="inlineStr">
        <is>
          <t>YuLi</t>
        </is>
      </c>
      <c r="L617" s="4"/>
      <c r="M617" s="4">
        <v>46142.44212962963</v>
      </c>
      <c r="N617"/>
      <c r="O617">
        <v>22693</v>
      </c>
      <c r="P617" s="4"/>
      <c r="Q617" s="4">
        <v>46142.46980324074</v>
      </c>
      <c r="R617"/>
      <c r="S617">
        <v>0</v>
      </c>
      <c r="T617" s="4">
        <v>45068.67627314815</v>
      </c>
      <c r="U617" s="4"/>
      <c r="V617"/>
      <c r="W617">
        <v>4452</v>
      </c>
      <c r="X617"/>
      <c r="Y617" t="inlineStr">
        <is>
          <t>Pending Appointment</t>
        </is>
      </c>
      <c r="Z617" t="inlineStr">
        <is>
          <t>Hiring Now</t>
        </is>
      </c>
      <c r="AA617">
        <v>5</v>
      </c>
      <c r="AB617" t="inlineStr">
        <is>
          <t>No Appointment Made</t>
        </is>
      </c>
      <c r="AC617"/>
      <c r="AD617" t="inlineStr">
        <is>
          <t>Customer Service, Receptionist, Technician, Intern, Front office</t>
        </is>
      </c>
      <c r="AE617"/>
      <c r="AF617">
        <v>10000</v>
      </c>
      <c r="AG617" s="4"/>
      <c r="AH617" s="4"/>
      <c r="AI617"/>
      <c r="AJ617"/>
      <c r="AK617" t="inlineStr">
        <is>
          <t>Yes, I have</t>
        </is>
      </c>
      <c r="AL617">
        <v>2</v>
      </c>
      <c r="AM617"/>
      <c r="AN617"/>
      <c r="AO617"/>
      <c r="AP617" t="inlineStr">
        <is>
          <t>Every month (100%)</t>
        </is>
      </c>
      <c r="AQ617"/>
      <c r="AR617" t="inlineStr">
        <is>
          <t>Jobstreet, Free Job Portal</t>
        </is>
      </c>
      <c r="AS617" t="inlineStr">
        <is>
          <t>- Headcount: 5
- Hiring Job Details: Customer Service, Receptionist, Technician, Intern, Front office
- Hiring Urgency: Hiring Now
- Number of outlets: Not provided
- Have recruiter team: Yes
- Number of recruiter in company: 2
- Have ATS system: Not provided
- Have career website: Not provided
- Current hiring budget: RM10,000.00
- Whole year budget: Not provided
- Whole year number of vacancies: Not provided
- Hiring frequency: Every month (100%)
- External job portal: Jobstreet, Free Job Portal</t>
        </is>
      </c>
      <c r="AT617">
        <v>50</v>
      </c>
      <c r="AU617" t="inlineStr">
        <is>
          <t>0.50</t>
        </is>
      </c>
      <c r="AV617" t="inlineStr">
        <is>
          <t>20</t>
        </is>
      </c>
      <c r="AW617" t="inlineStr">
        <is>
          <t>0</t>
        </is>
      </c>
      <c r="AX617" t="inlineStr">
        <is>
          <t>Not Qualified</t>
        </is>
      </c>
      <c r="AY617" s="4"/>
      <c r="AZ617"/>
      <c r="BA617"/>
      <c r="BB617"/>
      <c r="BC617" t="inlineStr">
        <is>
          <t>share quotation</t>
        </is>
      </c>
      <c r="BD617" s="4">
        <v>46142.480358796296</v>
      </c>
      <c r="BE617" t="inlineStr">
        <is>
          <t>paid</t>
        </is>
      </c>
      <c r="BF617"/>
      <c r="BG617" t="inlineStr">
        <is>
          <t>Reschedule</t>
        </is>
      </c>
      <c r="BH617" t="inlineStr">
        <is>
          <t>Fauziah Maharan</t>
        </is>
      </c>
      <c r="BI617" t="inlineStr">
        <is>
          <t>Sports</t>
        </is>
      </c>
      <c r="BJ617" s="4">
        <v>46144.75082175926</v>
      </c>
      <c r="BK617" s="4">
        <v>44615.46113425926</v>
      </c>
      <c r="BL617" t="inlineStr">
        <is>
          <t>0.0</t>
        </is>
      </c>
      <c r="BM617" t="inlineStr">
        <is>
          <t>33000.0</t>
        </is>
      </c>
      <c r="BN617" t="inlineStr">
        <is>
          <t>View Candidate Search Page</t>
        </is>
      </c>
      <c r="BO617" s="4">
        <v>46143.48037037037</v>
      </c>
      <c r="BP617">
        <v>169623</v>
      </c>
      <c r="BQ617">
        <v>124165</v>
      </c>
      <c r="BR617" t="inlineStr">
        <is>
          <t>Proforma</t>
        </is>
      </c>
      <c r="BS617" t="inlineStr">
        <is>
          <t>Free Internship Job</t>
        </is>
      </c>
      <c r="BT617">
        <v>58801</v>
      </c>
      <c r="BU617"/>
      <c r="BV617">
        <v>2737148</v>
      </c>
      <c r="BW617" t="inlineStr">
        <is>
          <t>Follow Up : Quotation Sent 50%</t>
        </is>
      </c>
      <c r="BX617">
        <v>5</v>
      </c>
      <c r="BY617">
        <v>4</v>
      </c>
      <c r="BZ617" s="4">
        <v>46143.47185185185</v>
      </c>
      <c r="CA617"/>
      <c r="CB617"/>
      <c r="CC617" s="4"/>
      <c r="CD617" t="inlineStr">
        <is>
          <t>30</t>
        </is>
      </c>
      <c r="CE617" t="inlineStr">
        <is>
          <t>0</t>
        </is>
      </c>
      <c r="CF617" t="inlineStr">
        <is>
          <t>Q2-W04</t>
        </is>
      </c>
      <c r="CG617" t="inlineStr">
        <is>
          <t>Q2-W04</t>
        </is>
      </c>
      <c r="CH617"/>
      <c r="CI617"/>
      <c r="CJ617" t="inlineStr">
        <is>
          <t>Paid</t>
        </is>
      </c>
      <c r="CK617" t="inlineStr">
        <is>
          <t>Eligible</t>
        </is>
      </c>
      <c r="CL617"/>
      <c r="CM617"/>
    </row>
    <row r="618" ht="25.5" customHeight="1">
      <c r="A618" t="inlineStr">
        <is>
          <t>180843</t>
        </is>
      </c>
      <c r="B618" s="2"/>
      <c r="C618"/>
      <c r="D618" s="3">
        <v>46142.44042824074</v>
      </c>
      <c r="E618" t="inlineStr">
        <is>
          <t>Q2-W04</t>
        </is>
      </c>
      <c r="F618" t="inlineStr">
        <is>
          <t>andy@ajobthing.com</t>
        </is>
      </c>
      <c r="G618" t="inlineStr">
        <is>
          <t>Customer</t>
        </is>
      </c>
      <c r="H618" s="2" t="str">
        <f>=HYPERLINK("https://upbox.ajobthing.my/customer/180843", "https://upbox.ajobthing.my/customer/180843")</f>
        <v>https://upbox.ajobthing.my/customer/180843</v>
      </c>
      <c r="I618" t="inlineStr">
        <is>
          <t>Allied Group Property Services Sdn Bhd</t>
        </is>
      </c>
      <c r="J618" t="inlineStr">
        <is>
          <t>Whale</t>
        </is>
      </c>
      <c r="K618" t="inlineStr">
        <is>
          <t>Andy</t>
        </is>
      </c>
      <c r="L618" s="4"/>
      <c r="M618" s="4">
        <v>46142.44068287037</v>
      </c>
      <c r="N618"/>
      <c r="O618">
        <v>3456</v>
      </c>
      <c r="P618" s="4"/>
      <c r="Q618" s="4">
        <v>46142.661157407405</v>
      </c>
      <c r="R618"/>
      <c r="S618">
        <v>0</v>
      </c>
      <c r="T618" s="4"/>
      <c r="U618" s="4"/>
      <c r="V618"/>
      <c r="W618"/>
      <c r="X618" t="inlineStr">
        <is>
          <t>andy@ajobthing.com</t>
        </is>
      </c>
      <c r="Y618" t="inlineStr">
        <is>
          <t>Done Appointment</t>
        </is>
      </c>
      <c r="Z618" t="inlineStr">
        <is>
          <t>Continuous Hiring</t>
        </is>
      </c>
      <c r="AA618">
        <v>3</v>
      </c>
      <c r="AB618" t="inlineStr">
        <is>
          <t>Appointment Made</t>
        </is>
      </c>
      <c r="AC618" t="inlineStr">
        <is>
          <t>Enterprise (&gt;300 employees)</t>
        </is>
      </c>
      <c r="AD618" t="inlineStr">
        <is>
          <t>Admin, Building Manager, Technician</t>
        </is>
      </c>
      <c r="AE618" t="inlineStr">
        <is>
          <t>C-Suite (CHR / COO / CEO)</t>
        </is>
      </c>
      <c r="AF618">
        <v>10000</v>
      </c>
      <c r="AG618" s="4">
        <v>46142.416666666664</v>
      </c>
      <c r="AH618" s="4">
        <v>46142.4375</v>
      </c>
      <c r="AI618">
        <v>20000</v>
      </c>
      <c r="AJ618">
        <v>2</v>
      </c>
      <c r="AK618" t="inlineStr">
        <is>
          <t>Yes, I have</t>
        </is>
      </c>
      <c r="AL618">
        <v>1</v>
      </c>
      <c r="AM618" t="inlineStr">
        <is>
          <t>No, I don't need at all</t>
        </is>
      </c>
      <c r="AN618"/>
      <c r="AO618" t="inlineStr">
        <is>
          <t>Yes, I have</t>
        </is>
      </c>
      <c r="AP618" t="inlineStr">
        <is>
          <t>Once per quarter (75%)</t>
        </is>
      </c>
      <c r="AQ618">
        <v>50</v>
      </c>
      <c r="AR618" t="inlineStr">
        <is>
          <t>Hiredly, Jobstreet, Free Job Portal</t>
        </is>
      </c>
      <c r="AS618" t="inlineStr">
        <is>
          <t>- Headcount: 3
- Hiring Job Details: Admin, Building Manager, Technician
- Hiring Urgency: Continuous Hiring
- Number of outlets: 2
- Have recruiter team: Yes
- Number of recruiter in company: 1
- Have ATS system: No, I don't need at all
- Have career website: Yes
- Current hiring budget: RM10,000
- Whole year budget: RM20,000.00
- Whole year number of vacancies: 50
- Hiring frequency: Once per quarter (75%)
- External job portal: Hiredly, Jobstreet, Free Job Portal</t>
        </is>
      </c>
      <c r="AT618">
        <v>105</v>
      </c>
      <c r="AU618" t="inlineStr">
        <is>
          <t>1.05</t>
        </is>
      </c>
      <c r="AV618" t="inlineStr">
        <is>
          <t>65</t>
        </is>
      </c>
      <c r="AW618" t="inlineStr">
        <is>
          <t>0.8</t>
        </is>
      </c>
      <c r="AX618" t="inlineStr">
        <is>
          <t>Not Qualified</t>
        </is>
      </c>
      <c r="AY618" s="4">
        <v>46142.45222222222</v>
      </c>
      <c r="AZ618" t="inlineStr">
        <is>
          <t>Base Assistant</t>
        </is>
      </c>
      <c r="BA618"/>
      <c r="BB618"/>
      <c r="BC618" t="inlineStr">
        <is>
          <t>- Headcount: 3
- Hiring Job Details: Admin, Building Manager, Technician
- Hiring Urgency: Continuous Hiring
- Number of outlets: 2
- Have recruiter team: Yes
- Number of recruiter in company: 1
- Have ATS system: No, I don't need at all
- Have career website: Yes
- Current hiring budget: RM10,000
- Whole year budget: RM20,000.00
- Whole year number of vacancies: 50
- Hiring frequency: Once per quarter (75%)
- External job portal: Hiredly, Jobstreet, Free Job Portal</t>
        </is>
      </c>
      <c r="BD618" s="4">
        <v>46142.45898148148</v>
      </c>
      <c r="BE618" t="inlineStr">
        <is>
          <t>paid</t>
        </is>
      </c>
      <c r="BF618"/>
      <c r="BG618" t="inlineStr">
        <is>
          <t>Reschedule</t>
        </is>
      </c>
      <c r="BH618"/>
      <c r="BI618" t="inlineStr">
        <is>
          <t>Property / Real Estate</t>
        </is>
      </c>
      <c r="BJ618" s="4">
        <v>46144.75184027778</v>
      </c>
      <c r="BK618" s="4">
        <v>45497.4046875</v>
      </c>
      <c r="BL618" t="inlineStr">
        <is>
          <t>0.0</t>
        </is>
      </c>
      <c r="BM618" t="inlineStr">
        <is>
          <t>6150.0</t>
        </is>
      </c>
      <c r="BN618" t="inlineStr">
        <is>
          <t>View Company Page</t>
        </is>
      </c>
      <c r="BO618" s="4">
        <v>45497.41594907407</v>
      </c>
      <c r="BP618">
        <v>169621</v>
      </c>
      <c r="BQ618">
        <v>124208</v>
      </c>
      <c r="BR618" t="inlineStr">
        <is>
          <t>Proforma</t>
        </is>
      </c>
      <c r="BS618" t="inlineStr">
        <is>
          <t>Job Ad 365 - SME 100 Free Trial</t>
        </is>
      </c>
      <c r="BT618"/>
      <c r="BU618"/>
      <c r="BV618">
        <v>2736949</v>
      </c>
      <c r="BW618" t="inlineStr">
        <is>
          <t>Customer Inquiry</t>
        </is>
      </c>
      <c r="BX618">
        <v>300</v>
      </c>
      <c r="BY618">
        <v>300</v>
      </c>
      <c r="BZ618" s="4"/>
      <c r="CA618"/>
      <c r="CB618"/>
      <c r="CC618" s="4"/>
      <c r="CD618" t="inlineStr">
        <is>
          <t>90</t>
        </is>
      </c>
      <c r="CE618" t="inlineStr">
        <is>
          <t>1.2</t>
        </is>
      </c>
      <c r="CF618" t="inlineStr">
        <is>
          <t>Q2-W04</t>
        </is>
      </c>
      <c r="CG618" t="inlineStr">
        <is>
          <t>Q2-W04</t>
        </is>
      </c>
      <c r="CH618"/>
      <c r="CI618" t="inlineStr">
        <is>
          <t>Q2-W04</t>
        </is>
      </c>
      <c r="CJ618" t="inlineStr">
        <is>
          <t>No Paid</t>
        </is>
      </c>
      <c r="CK618" t="inlineStr">
        <is>
          <t>Eligible</t>
        </is>
      </c>
      <c r="CL618"/>
      <c r="CM618" t="inlineStr">
        <is>
          <t>Q2-W04</t>
        </is>
      </c>
    </row>
    <row r="619" ht="25.5" customHeight="1">
      <c r="A619" t="inlineStr">
        <is>
          <t>185346</t>
        </is>
      </c>
      <c r="B619" s="2"/>
      <c r="C619"/>
      <c r="D619" s="3">
        <v>46142.4440625</v>
      </c>
      <c r="E619" t="inlineStr">
        <is>
          <t>Q2-W04</t>
        </is>
      </c>
      <c r="F619" t="inlineStr">
        <is>
          <t>Yvonne Lee</t>
        </is>
      </c>
      <c r="G619" t="inlineStr">
        <is>
          <t>Customer</t>
        </is>
      </c>
      <c r="H619" s="2" t="str">
        <f>=HYPERLINK("https://upbox.ajobthing.my/customer/185346", "https://upbox.ajobthing.my/customer/185346")</f>
        <v>https://upbox.ajobthing.my/customer/185346</v>
      </c>
      <c r="I619" t="inlineStr">
        <is>
          <t>Redezign Interior Sdn Bhd</t>
        </is>
      </c>
      <c r="J619" t="inlineStr">
        <is>
          <t>Whale</t>
        </is>
      </c>
      <c r="K619" t="inlineStr">
        <is>
          <t>Yvonne</t>
        </is>
      </c>
      <c r="L619" s="4"/>
      <c r="M619" s="4">
        <v>46142.446539351855</v>
      </c>
      <c r="N619"/>
      <c r="O619">
        <v>6048</v>
      </c>
      <c r="P619" s="4"/>
      <c r="Q619" s="4">
        <v>46142.749560185184</v>
      </c>
      <c r="R619"/>
      <c r="S619">
        <v>3888</v>
      </c>
      <c r="T619" s="4">
        <v>46142.749560185184</v>
      </c>
      <c r="U619" s="4"/>
      <c r="V619"/>
      <c r="W619">
        <v>3888</v>
      </c>
      <c r="X619"/>
      <c r="Y619" t="inlineStr">
        <is>
          <t>Pending Appointment</t>
        </is>
      </c>
      <c r="Z619" t="inlineStr">
        <is>
          <t>Hiring Now</t>
        </is>
      </c>
      <c r="AA619">
        <v>3</v>
      </c>
      <c r="AB619" t="inlineStr">
        <is>
          <t>No Appointment Made</t>
        </is>
      </c>
      <c r="AC619"/>
      <c r="AD619" t="inlineStr">
        <is>
          <t>1) interior design 
2) Drafter
3) ID
</t>
        </is>
      </c>
      <c r="AE619"/>
      <c r="AF619">
        <v>10000</v>
      </c>
      <c r="AG619" s="4"/>
      <c r="AH619" s="4"/>
      <c r="AI619">
        <v>10000</v>
      </c>
      <c r="AJ619">
        <v>1</v>
      </c>
      <c r="AK619" t="inlineStr">
        <is>
          <t>Yes, I have</t>
        </is>
      </c>
      <c r="AL619">
        <v>1</v>
      </c>
      <c r="AM619" t="inlineStr">
        <is>
          <t>No, I don't need at all</t>
        </is>
      </c>
      <c r="AN619"/>
      <c r="AO619" t="inlineStr">
        <is>
          <t>No, I don't need at all</t>
        </is>
      </c>
      <c r="AP619" t="inlineStr">
        <is>
          <t>Once per quarter (75%)</t>
        </is>
      </c>
      <c r="AQ619">
        <v>10</v>
      </c>
      <c r="AR619" t="inlineStr">
        <is>
          <t>Free Job Portal</t>
        </is>
      </c>
      <c r="AS619" t="inlineStr">
        <is>
          <t>- Headcount: 3
- Hiring Job Details: 1) interior design, 2) Drafter, 3) ID
- Hiring Urgency: Hiring Now
- Number of outlets: 1
- Have recruiter team: Yes
- Number of recruiter in company: 1
- Have ATS system: No, I don't need at all
- Have career website: No, I don't need at all
- Current hiring budget: RM10,000
- Whole year budget: RM10,000.00
- Whole year number of vacancies: 10
- Hiring frequency: Once per quarter (75%)
- External job portal: Free Job Portal</t>
        </is>
      </c>
      <c r="AT619">
        <v>95</v>
      </c>
      <c r="AU619" t="inlineStr">
        <is>
          <t>0.95</t>
        </is>
      </c>
      <c r="AV619" t="inlineStr">
        <is>
          <t>15</t>
        </is>
      </c>
      <c r="AW619" t="inlineStr">
        <is>
          <t>0</t>
        </is>
      </c>
      <c r="AX619" t="inlineStr">
        <is>
          <t>Not Qualified</t>
        </is>
      </c>
      <c r="AY619" s="4"/>
      <c r="AZ619"/>
      <c r="BA619"/>
      <c r="BB619"/>
      <c r="BC619" t="inlineStr">
        <is>
          <t>- Headcount: 3
- Hiring Job Details: 1) interior design, 2) Drafter, 3) ID
- Hiring Urgency: Hiring Now
- Number of outlets: 1
- Have recruiter team: Yes
- Number of recruiter in company: 1
- Have ATS system: No, I don't need at all
- Have career website: No, I don't need at all
- Current hiring budget: RM10,000
- Whole year budget: RM10,000.00
- Whole year number of vacancies: 10
- Hiring frequency: Once per quarter (75%)
- External job portal: Free Job Portal</t>
        </is>
      </c>
      <c r="BD619" s="4">
        <v>46142.45898148148</v>
      </c>
      <c r="BE619" t="inlineStr">
        <is>
          <t>paid</t>
        </is>
      </c>
      <c r="BF619" t="inlineStr">
        <is>
          <t>Q2-W04</t>
        </is>
      </c>
      <c r="BG619" t="inlineStr">
        <is>
          <t>Reschedule</t>
        </is>
      </c>
      <c r="BH619" t="inlineStr">
        <is>
          <t>andy@ajobthing.com</t>
        </is>
      </c>
      <c r="BI619" t="inlineStr">
        <is>
          <t>Arts / Design / Fashion</t>
        </is>
      </c>
      <c r="BJ619" s="4">
        <v>46144.75204861111</v>
      </c>
      <c r="BK619" s="4">
        <v>45625.67490740741</v>
      </c>
      <c r="BL619" t="inlineStr">
        <is>
          <t>2916.0</t>
        </is>
      </c>
      <c r="BM619" t="inlineStr">
        <is>
          <t>6600.0</t>
        </is>
      </c>
      <c r="BN619" t="inlineStr">
        <is>
          <t>View Company Page</t>
        </is>
      </c>
      <c r="BO619" s="4">
        <v>46142.5128587963</v>
      </c>
      <c r="BP619">
        <v>169629</v>
      </c>
      <c r="BQ619">
        <v>7769</v>
      </c>
      <c r="BR619" t="inlineStr">
        <is>
          <t>Manual (Paid)</t>
        </is>
      </c>
      <c r="BS619"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619">
        <v>7769</v>
      </c>
      <c r="BU619"/>
      <c r="BV619">
        <v>2736952</v>
      </c>
      <c r="BW619" t="inlineStr">
        <is>
          <t>Customer Inquiry</t>
        </is>
      </c>
      <c r="BX619">
        <v>12</v>
      </c>
      <c r="BY619">
        <v>6</v>
      </c>
      <c r="BZ619" s="4">
        <v>46043.50824074074</v>
      </c>
      <c r="CA619">
        <v>180</v>
      </c>
      <c r="CB619">
        <v>165</v>
      </c>
      <c r="CC619" s="4">
        <v>46001.61050925926</v>
      </c>
      <c r="CD619" t="inlineStr">
        <is>
          <t>20</t>
        </is>
      </c>
      <c r="CE619" t="inlineStr">
        <is>
          <t>0</t>
        </is>
      </c>
      <c r="CF619" t="inlineStr">
        <is>
          <t>Q2-W04</t>
        </is>
      </c>
      <c r="CG619" t="inlineStr">
        <is>
          <t>Q2-W04</t>
        </is>
      </c>
      <c r="CH619" t="inlineStr">
        <is>
          <t>Q2-W04</t>
        </is>
      </c>
      <c r="CI619"/>
      <c r="CJ619" t="inlineStr">
        <is>
          <t>Paid</t>
        </is>
      </c>
      <c r="CK619" t="inlineStr">
        <is>
          <t>Eligible</t>
        </is>
      </c>
      <c r="CL619"/>
      <c r="CM619"/>
    </row>
    <row r="620" ht="25.5" customHeight="1">
      <c r="A620" t="inlineStr">
        <is>
          <t>183613</t>
        </is>
      </c>
      <c r="B620" s="2"/>
      <c r="C620"/>
      <c r="D620" s="3">
        <v>46142.45177083334</v>
      </c>
      <c r="E620" t="inlineStr">
        <is>
          <t>Q2-W04</t>
        </is>
      </c>
      <c r="F620" t="inlineStr">
        <is>
          <t>Josh</t>
        </is>
      </c>
      <c r="G620" t="inlineStr">
        <is>
          <t>Customer</t>
        </is>
      </c>
      <c r="H620" s="2" t="str">
        <f>=HYPERLINK("https://upbox.ajobthing.my/customer/183613", "https://upbox.ajobthing.my/customer/183613")</f>
        <v>https://upbox.ajobthing.my/customer/183613</v>
      </c>
      <c r="I620" t="inlineStr">
        <is>
          <t>LCP Unity Sdn. Bhd.</t>
        </is>
      </c>
      <c r="J620" t="inlineStr">
        <is>
          <t>Whale</t>
        </is>
      </c>
      <c r="K620" t="inlineStr">
        <is>
          <t>Josh</t>
        </is>
      </c>
      <c r="L620" s="4"/>
      <c r="M620" s="4">
        <v>46142.45034722222</v>
      </c>
      <c r="N620"/>
      <c r="O620">
        <v>5412.96</v>
      </c>
      <c r="P620" s="4"/>
      <c r="Q620" s="4">
        <v>46142.747037037036</v>
      </c>
      <c r="R620"/>
      <c r="S620">
        <v>5412.96</v>
      </c>
      <c r="T620" s="4">
        <v>46142.747037037036</v>
      </c>
      <c r="U620" s="4"/>
      <c r="V620"/>
      <c r="W620">
        <v>5412.96</v>
      </c>
      <c r="X620"/>
      <c r="Y620" t="inlineStr">
        <is>
          <t>Pending Appointment</t>
        </is>
      </c>
      <c r="Z620" t="inlineStr">
        <is>
          <t>Hiring Now</t>
        </is>
      </c>
      <c r="AA620">
        <v>1</v>
      </c>
      <c r="AB620" t="inlineStr">
        <is>
          <t>No Appointment Made</t>
        </is>
      </c>
      <c r="AC620"/>
      <c r="AD620" t="inlineStr">
        <is>
          <t xml:space="preserve">1 marketing exe </t>
        </is>
      </c>
      <c r="AE620"/>
      <c r="AF620">
        <v>3000</v>
      </c>
      <c r="AG620" s="4"/>
      <c r="AH620" s="4"/>
      <c r="AI620"/>
      <c r="AJ620"/>
      <c r="AK620" t="inlineStr">
        <is>
          <t>Yes, I have</t>
        </is>
      </c>
      <c r="AL620">
        <v>1</v>
      </c>
      <c r="AM620" t="inlineStr">
        <is>
          <t>Yes, I have</t>
        </is>
      </c>
      <c r="AN620"/>
      <c r="AO620"/>
      <c r="AP620" t="inlineStr">
        <is>
          <t>Once a year (25%)</t>
        </is>
      </c>
      <c r="AQ620"/>
      <c r="AR620"/>
      <c r="AS620" t="inlineStr">
        <is>
          <t>- Headcount: 1
- Hiring Job Details: 1 marketing exe
- Hiring Urgency: Hiring Now
- Number of outlets: Not available
- Have recruiter team: Yes
- Number of recruiter in company: 1
- Have ATS system: Yes
- Have career website: Not available
- Current hiring budget: RM3,000.00
- Whole year budget: Not available
- Whole year number of vacancies: Not available
- Hiring frequency: Once a year (25%)
- External job portal: Not available</t>
        </is>
      </c>
      <c r="AT620">
        <v>95</v>
      </c>
      <c r="AU620" t="inlineStr">
        <is>
          <t>0.95</t>
        </is>
      </c>
      <c r="AV620" t="inlineStr">
        <is>
          <t>15</t>
        </is>
      </c>
      <c r="AW620" t="inlineStr">
        <is>
          <t>0</t>
        </is>
      </c>
      <c r="AX620" t="inlineStr">
        <is>
          <t>Not Qualified</t>
        </is>
      </c>
      <c r="AY620" s="4"/>
      <c r="AZ620"/>
      <c r="BA620"/>
      <c r="BB620"/>
      <c r="BC620" t="inlineStr">
        <is>
          <t>- Headcount: 1
- Hiring Job Details: 1 marketing exe
- Hiring Urgency: Hiring Now
- Number of outlets: Not available
- Have recruiter team: Yes
- Number of recruiter in company: 1
- Have ATS system: Yes
- Have career website: Not available
- Current hiring budget: RM3,000.00
- Whole year budget: Not available
- Whole year number of vacancies: Not available
- Hiring frequency: Once a year (25%)
- External job portal: Not available</t>
        </is>
      </c>
      <c r="BD620" s="4">
        <v>46142.45898148148</v>
      </c>
      <c r="BE620" t="inlineStr">
        <is>
          <t>paid</t>
        </is>
      </c>
      <c r="BF620" t="inlineStr">
        <is>
          <t>Q2-W04</t>
        </is>
      </c>
      <c r="BG620" t="inlineStr">
        <is>
          <t>Reschedule</t>
        </is>
      </c>
      <c r="BH620" t="inlineStr">
        <is>
          <t>Fauziah Maharan</t>
        </is>
      </c>
      <c r="BI620" t="inlineStr">
        <is>
          <t>Advertising / Marketing</t>
        </is>
      </c>
      <c r="BJ620" s="4">
        <v>46144.751967592594</v>
      </c>
      <c r="BK620" s="4">
        <v>45574.68513888889</v>
      </c>
      <c r="BL620" t="inlineStr">
        <is>
          <t>8640.0</t>
        </is>
      </c>
      <c r="BM620" t="inlineStr">
        <is>
          <t>0.0</t>
        </is>
      </c>
      <c r="BN620" t="inlineStr">
        <is>
          <t>View Create Job Page V4</t>
        </is>
      </c>
      <c r="BO620" s="4">
        <v>46142.46059027778</v>
      </c>
      <c r="BP620">
        <v>169633</v>
      </c>
      <c r="BQ620">
        <v>95220</v>
      </c>
      <c r="BR620" t="inlineStr">
        <is>
          <t>Online</t>
        </is>
      </c>
      <c r="BS620"/>
      <c r="BT620">
        <v>95220</v>
      </c>
      <c r="BU620"/>
      <c r="BV620">
        <v>2736955</v>
      </c>
      <c r="BW620" t="inlineStr">
        <is>
          <t>Customer Inquiry</t>
        </is>
      </c>
      <c r="BX620">
        <v>34</v>
      </c>
      <c r="BY620">
        <v>16</v>
      </c>
      <c r="BZ620" s="4">
        <v>46134.47142361111</v>
      </c>
      <c r="CA620">
        <v>400</v>
      </c>
      <c r="CB620">
        <v>392</v>
      </c>
      <c r="CC620" s="4">
        <v>46064.466886574075</v>
      </c>
      <c r="CD620" t="inlineStr">
        <is>
          <t>20</t>
        </is>
      </c>
      <c r="CE620" t="inlineStr">
        <is>
          <t>0</t>
        </is>
      </c>
      <c r="CF620" t="inlineStr">
        <is>
          <t>Q2-W04</t>
        </is>
      </c>
      <c r="CG620" t="inlineStr">
        <is>
          <t>Q2-W04</t>
        </is>
      </c>
      <c r="CH620" t="inlineStr">
        <is>
          <t>Q2-W04</t>
        </is>
      </c>
      <c r="CI620"/>
      <c r="CJ620" t="inlineStr">
        <is>
          <t>Paid</t>
        </is>
      </c>
      <c r="CK620" t="inlineStr">
        <is>
          <t>Eligible</t>
        </is>
      </c>
      <c r="CL620"/>
      <c r="CM620"/>
    </row>
    <row r="621" ht="25.5" customHeight="1">
      <c r="A621" t="inlineStr">
        <is>
          <t>203824</t>
        </is>
      </c>
      <c r="B621" s="2"/>
      <c r="C621"/>
      <c r="D621" s="3">
        <v>46142.46131944445</v>
      </c>
      <c r="E621" t="inlineStr">
        <is>
          <t>Q2-W04</t>
        </is>
      </c>
      <c r="F621" t="inlineStr">
        <is>
          <t>Ken Yi</t>
        </is>
      </c>
      <c r="G621" t="inlineStr">
        <is>
          <t>Customer</t>
        </is>
      </c>
      <c r="H621" s="2" t="str">
        <f>=HYPERLINK("https://upbox.ajobthing.my/customer/203824", "https://upbox.ajobthing.my/customer/203824")</f>
        <v>https://upbox.ajobthing.my/customer/203824</v>
      </c>
      <c r="I621" t="inlineStr">
        <is>
          <t>iFAST Global Hub AI Sdn Bhd</t>
        </is>
      </c>
      <c r="J621" t="inlineStr">
        <is>
          <t>Whale</t>
        </is>
      </c>
      <c r="K621" t="inlineStr">
        <is>
          <t>Kenyi</t>
        </is>
      </c>
      <c r="L621" s="4"/>
      <c r="M621" s="4">
        <v>46142.46175925926</v>
      </c>
      <c r="N621"/>
      <c r="O621">
        <v>5412.96</v>
      </c>
      <c r="P621" s="4"/>
      <c r="Q621" s="4"/>
      <c r="R621"/>
      <c r="S621"/>
      <c r="T621" s="4"/>
      <c r="U621" s="4"/>
      <c r="V621"/>
      <c r="W621"/>
      <c r="X621"/>
      <c r="Y621" t="inlineStr">
        <is>
          <t>Pending Appointment</t>
        </is>
      </c>
      <c r="Z621" t="inlineStr">
        <is>
          <t>Hiring Now</t>
        </is>
      </c>
      <c r="AA621">
        <v>1</v>
      </c>
      <c r="AB621" t="inlineStr">
        <is>
          <t>No Appointment Made</t>
        </is>
      </c>
      <c r="AC621"/>
      <c r="AD621" t="inlineStr">
        <is>
          <t>Share Proposal</t>
        </is>
      </c>
      <c r="AE621"/>
      <c r="AF621">
        <v>0</v>
      </c>
      <c r="AG621" s="4"/>
      <c r="AH621" s="4"/>
      <c r="AI621">
        <v>0</v>
      </c>
      <c r="AJ621">
        <v>1</v>
      </c>
      <c r="AK621" t="inlineStr">
        <is>
          <t>No, I don't need at all</t>
        </is>
      </c>
      <c r="AL621">
        <v>1</v>
      </c>
      <c r="AM621" t="inlineStr">
        <is>
          <t>No, I don't need at all</t>
        </is>
      </c>
      <c r="AN621"/>
      <c r="AO621" t="inlineStr">
        <is>
          <t>No, I don't need at all</t>
        </is>
      </c>
      <c r="AP621" t="inlineStr">
        <is>
          <t>Every month (100%)</t>
        </is>
      </c>
      <c r="AQ621">
        <v>1</v>
      </c>
      <c r="AR621" t="inlineStr">
        <is>
          <t>Did not use any job portal</t>
        </is>
      </c>
      <c r="AS621" t="inlineStr">
        <is>
          <t>- Headcount: 1
- Hiring Job Details: Share Proposal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621">
        <v>115</v>
      </c>
      <c r="AU621" t="inlineStr">
        <is>
          <t>1.15</t>
        </is>
      </c>
      <c r="AV621" t="inlineStr">
        <is>
          <t>15</t>
        </is>
      </c>
      <c r="AW621" t="inlineStr">
        <is>
          <t>0</t>
        </is>
      </c>
      <c r="AX621" t="inlineStr">
        <is>
          <t>Not Qualified</t>
        </is>
      </c>
      <c r="AY621" s="4"/>
      <c r="AZ621"/>
      <c r="BA621"/>
      <c r="BB621"/>
      <c r="BC621" t="inlineStr">
        <is>
          <t>- Headcount: 1
- Hiring Job Details: Share Proposal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BD621" s="4">
        <v>46142.500023148146</v>
      </c>
      <c r="BE621"/>
      <c r="BF621"/>
      <c r="BG621" t="inlineStr">
        <is>
          <t>Reschedule</t>
        </is>
      </c>
      <c r="BH621" t="inlineStr">
        <is>
          <t>Fauziah Maharan</t>
        </is>
      </c>
      <c r="BI621"/>
      <c r="BJ621" s="4">
        <v>46144.7544212963</v>
      </c>
      <c r="BK621" s="4">
        <v>46142.46021990741</v>
      </c>
      <c r="BL621" t="inlineStr">
        <is>
          <t>0.0</t>
        </is>
      </c>
      <c r="BM621" t="inlineStr">
        <is>
          <t>75000.0</t>
        </is>
      </c>
      <c r="BN621"/>
      <c r="BO621" s="4"/>
      <c r="BP621">
        <v>169640</v>
      </c>
      <c r="BQ621"/>
      <c r="BR621"/>
      <c r="BS621"/>
      <c r="BT621"/>
      <c r="BU621"/>
      <c r="BV621">
        <v>2737288</v>
      </c>
      <c r="BW621" t="inlineStr">
        <is>
          <t>Customer Inquiry</t>
        </is>
      </c>
      <c r="BX621"/>
      <c r="BY621"/>
      <c r="BZ621" s="4"/>
      <c r="CA621"/>
      <c r="CB621"/>
      <c r="CC621" s="4"/>
      <c r="CD621" t="inlineStr">
        <is>
          <t>20</t>
        </is>
      </c>
      <c r="CE621" t="inlineStr">
        <is>
          <t>0</t>
        </is>
      </c>
      <c r="CF621" t="inlineStr">
        <is>
          <t>Q2-W04</t>
        </is>
      </c>
      <c r="CG621"/>
      <c r="CH621"/>
      <c r="CI621"/>
      <c r="CJ621" t="inlineStr">
        <is>
          <t>No Paid</t>
        </is>
      </c>
      <c r="CK621" t="inlineStr">
        <is>
          <t>Eligible</t>
        </is>
      </c>
      <c r="CL621"/>
      <c r="CM621"/>
    </row>
    <row r="622" ht="25.5" customHeight="1">
      <c r="A622" t="inlineStr">
        <is>
          <t>152699</t>
        </is>
      </c>
      <c r="B622" s="2"/>
      <c r="C622"/>
      <c r="D622" s="3">
        <v>46142.46329861111</v>
      </c>
      <c r="E622" t="inlineStr">
        <is>
          <t>Q2-W04</t>
        </is>
      </c>
      <c r="F622" t="inlineStr">
        <is>
          <t>Ratha</t>
        </is>
      </c>
      <c r="G622" t="inlineStr">
        <is>
          <t>Customer</t>
        </is>
      </c>
      <c r="H622" s="2" t="str">
        <f>=HYPERLINK("https://upbox.ajobthing.my/customer/152699", "https://upbox.ajobthing.my/customer/152699")</f>
        <v>https://upbox.ajobthing.my/customer/152699</v>
      </c>
      <c r="I622" t="inlineStr">
        <is>
          <t xml:space="preserve">Malaysian Relief Agency </t>
        </is>
      </c>
      <c r="J622" t="inlineStr">
        <is>
          <t>Whale</t>
        </is>
      </c>
      <c r="K622" t="inlineStr">
        <is>
          <t>Ratha</t>
        </is>
      </c>
      <c r="L622" s="4"/>
      <c r="M622" s="4">
        <v>46142.465474537035</v>
      </c>
      <c r="N622"/>
      <c r="O622">
        <v>5412.96</v>
      </c>
      <c r="P622" s="4"/>
      <c r="Q622" s="4">
        <v>45639.307650462964</v>
      </c>
      <c r="R622"/>
      <c r="S622">
        <v>2808</v>
      </c>
      <c r="T622" s="4">
        <v>45350.62267361111</v>
      </c>
      <c r="U622" s="4"/>
      <c r="V622"/>
      <c r="W622">
        <v>2862</v>
      </c>
      <c r="X622"/>
      <c r="Y622" t="inlineStr">
        <is>
          <t>Pending Appointment</t>
        </is>
      </c>
      <c r="Z622" t="inlineStr">
        <is>
          <t>Hiring Now</t>
        </is>
      </c>
      <c r="AA622">
        <v>2</v>
      </c>
      <c r="AB622" t="inlineStr">
        <is>
          <t>No Appointment Made</t>
        </is>
      </c>
      <c r="AC622"/>
      <c r="AD622" t="inlineStr">
        <is>
          <t xml:space="preserve"> IT &amp; Asset Management Exec and Operation Executive (Medical &amp; Healthcare)
location : kl</t>
        </is>
      </c>
      <c r="AE622"/>
      <c r="AF622"/>
      <c r="AG622" s="4"/>
      <c r="AH622" s="4"/>
      <c r="AI622">
        <v>0</v>
      </c>
      <c r="AJ622">
        <v>1</v>
      </c>
      <c r="AK622" t="inlineStr">
        <is>
          <t>Yes, I have</t>
        </is>
      </c>
      <c r="AL622">
        <v>3</v>
      </c>
      <c r="AM622" t="inlineStr">
        <is>
          <t>No, I don't need at all</t>
        </is>
      </c>
      <c r="AN622"/>
      <c r="AO622" t="inlineStr">
        <is>
          <t>No, I don't need at all</t>
        </is>
      </c>
      <c r="AP622" t="inlineStr">
        <is>
          <t>Once per quarter (75%)</t>
        </is>
      </c>
      <c r="AQ622">
        <v>0</v>
      </c>
      <c r="AR622" t="inlineStr">
        <is>
          <t>Did not use any job portal</t>
        </is>
      </c>
      <c r="AS622" t="inlineStr">
        <is>
          <t>- Headcount: 2
- Hiring Job Details: IT &amp; Asset Management Exec and Operation Executive (Medical &amp; Healthcare), location: kl
- Hiring Urgency: Hiring Now
- Number of outlets: 1
- Have recruiter team: Yes
- Number of recruiter in company: 3
- Have ATS system: No, I don't need at all
- Have career website: No, I don't need at all
- Current hiring budget: Not specified
- Whole year budget: RM0.00
- Whole year number of vacancies: 0
- Hiring frequency: Once per quarter (75%)
- External job portal: Did not use any</t>
        </is>
      </c>
      <c r="AT622">
        <v>95</v>
      </c>
      <c r="AU622" t="inlineStr">
        <is>
          <t>0.95</t>
        </is>
      </c>
      <c r="AV622" t="inlineStr">
        <is>
          <t>5</t>
        </is>
      </c>
      <c r="AW622" t="inlineStr">
        <is>
          <t>0</t>
        </is>
      </c>
      <c r="AX622" t="inlineStr">
        <is>
          <t>Not Qualified</t>
        </is>
      </c>
      <c r="AY622" s="4"/>
      <c r="AZ622"/>
      <c r="BA622"/>
      <c r="BB622"/>
      <c r="BC622" t="inlineStr">
        <is>
          <t>- Headcount: 2
- Hiring Job Details: IT &amp; Asset Management Exec and Operation Executive (Medical &amp; Healthcare), location: kl
- Hiring Urgency: Hiring Now
- Number of outlets: 1
- Have recruiter team: Yes
- Number of recruiter in company: 3
- Have ATS system: No, I don't need at all
- Have career website: No, I don't need at all
- Current hiring budget: Not specified
- Whole year budget: RM0.00
- Whole year number of vacancies: 0
- Hiring frequency: Once per quarter (75%)
- External job portal: Did not use any</t>
        </is>
      </c>
      <c r="BD622" s="4">
        <v>46142.500023148146</v>
      </c>
      <c r="BE622" t="inlineStr">
        <is>
          <t>paid</t>
        </is>
      </c>
      <c r="BF622"/>
      <c r="BG622" t="inlineStr">
        <is>
          <t>Reschedule</t>
        </is>
      </c>
      <c r="BH622" t="inlineStr">
        <is>
          <t>Fauziah Maharan</t>
        </is>
      </c>
      <c r="BI622" t="inlineStr">
        <is>
          <t>Social Services / NGO</t>
        </is>
      </c>
      <c r="BJ622" s="4">
        <v>46144.750914351855</v>
      </c>
      <c r="BK622" s="4">
        <v>44671.66318287037</v>
      </c>
      <c r="BL622" t="inlineStr">
        <is>
          <t>0.0</t>
        </is>
      </c>
      <c r="BM622" t="inlineStr">
        <is>
          <t>600.0</t>
        </is>
      </c>
      <c r="BN622" t="inlineStr">
        <is>
          <t>View Jobmanager Page</t>
        </is>
      </c>
      <c r="BO622" s="4">
        <v>46057.45346064815</v>
      </c>
      <c r="BP622">
        <v>169645</v>
      </c>
      <c r="BQ622">
        <v>5421</v>
      </c>
      <c r="BR622" t="inlineStr">
        <is>
          <t>Manual</t>
        </is>
      </c>
      <c r="BS622" t="inlineStr">
        <is>
          <t>Yearly Standard Plan
- Yearly Standard Plan of 3 Instant Job Ads + 3 Free Instant Job Ads with Booster
- 6 Instant Job Ads will be published on Maukerja, Ricebowl, Epicareer, Facebook, Google and Linkedin
- 6 Instant Job Ads will be published for 45 days
- 6 Booster Plus (8 times bump up)
- 60 People Search
- Free up to 60 AI Recommended Profiles
- Free 6 Internship OR Manager Job Ads
- Premium Company Page for 14 months
- Package valid for 14 months</t>
        </is>
      </c>
      <c r="BT622">
        <v>66344</v>
      </c>
      <c r="BU622"/>
      <c r="BV622">
        <v>2737289</v>
      </c>
      <c r="BW622" t="inlineStr">
        <is>
          <t>Customer Inquiry</t>
        </is>
      </c>
      <c r="BX622"/>
      <c r="BY622"/>
      <c r="BZ622" s="4"/>
      <c r="CA622"/>
      <c r="CB622"/>
      <c r="CC622" s="4"/>
      <c r="CD622" t="inlineStr">
        <is>
          <t>5</t>
        </is>
      </c>
      <c r="CE622" t="inlineStr">
        <is>
          <t>0</t>
        </is>
      </c>
      <c r="CF622" t="inlineStr">
        <is>
          <t>Q2-W04</t>
        </is>
      </c>
      <c r="CG622"/>
      <c r="CH622"/>
      <c r="CI622"/>
      <c r="CJ622" t="inlineStr">
        <is>
          <t>Paid</t>
        </is>
      </c>
      <c r="CK622" t="inlineStr">
        <is>
          <t>Eligible</t>
        </is>
      </c>
      <c r="CL622"/>
      <c r="CM622"/>
    </row>
    <row r="623" ht="25.5" customHeight="1">
      <c r="A623" t="inlineStr">
        <is>
          <t>203820</t>
        </is>
      </c>
      <c r="B623" s="2"/>
      <c r="C623"/>
      <c r="D623" s="3">
        <v>46142.47976851852</v>
      </c>
      <c r="E623" t="inlineStr">
        <is>
          <t>Q2-W04</t>
        </is>
      </c>
      <c r="F623" t="inlineStr">
        <is>
          <t>Yvonne Lee</t>
        </is>
      </c>
      <c r="G623" t="inlineStr">
        <is>
          <t>Customer</t>
        </is>
      </c>
      <c r="H623" s="2" t="str">
        <f>=HYPERLINK("https://upbox.ajobthing.my/customer/203820", "https://upbox.ajobthing.my/customer/203820")</f>
        <v>https://upbox.ajobthing.my/customer/203820</v>
      </c>
      <c r="I623" t="inlineStr">
        <is>
          <t>Nandina REM Sbn Bhd</t>
        </is>
      </c>
      <c r="J623" t="inlineStr">
        <is>
          <t>Whale</t>
        </is>
      </c>
      <c r="K623" t="inlineStr">
        <is>
          <t>Yvonne</t>
        </is>
      </c>
      <c r="L623" s="4"/>
      <c r="M623" s="4">
        <v>46142.48533564815</v>
      </c>
      <c r="N623"/>
      <c r="O623">
        <v>11448</v>
      </c>
      <c r="P623" s="4"/>
      <c r="Q623" s="4"/>
      <c r="R623"/>
      <c r="S623"/>
      <c r="T623" s="4"/>
      <c r="U623" s="4"/>
      <c r="V623"/>
      <c r="W623"/>
      <c r="X623"/>
      <c r="Y623" t="inlineStr">
        <is>
          <t>Pending Appointment</t>
        </is>
      </c>
      <c r="Z623" t="inlineStr">
        <is>
          <t>Hiring Later</t>
        </is>
      </c>
      <c r="AA623">
        <v>2</v>
      </c>
      <c r="AB623" t="inlineStr">
        <is>
          <t>No Appointment Made</t>
        </is>
      </c>
      <c r="AC623"/>
      <c r="AD623" t="inlineStr">
        <is>
          <t>1) Internship
2) Marketing
</t>
        </is>
      </c>
      <c r="AE623"/>
      <c r="AF623">
        <v>10000</v>
      </c>
      <c r="AG623" s="4"/>
      <c r="AH623" s="4"/>
      <c r="AI623">
        <v>10000</v>
      </c>
      <c r="AJ623">
        <v>1</v>
      </c>
      <c r="AK623" t="inlineStr">
        <is>
          <t>Yes, I have</t>
        </is>
      </c>
      <c r="AL623">
        <v>3</v>
      </c>
      <c r="AM623" t="inlineStr">
        <is>
          <t>No, I don't need at all</t>
        </is>
      </c>
      <c r="AN623"/>
      <c r="AO623" t="inlineStr">
        <is>
          <t>No, I don't need at all</t>
        </is>
      </c>
      <c r="AP623" t="inlineStr">
        <is>
          <t>Once per quarter (75%)</t>
        </is>
      </c>
      <c r="AQ623">
        <v>30</v>
      </c>
      <c r="AR623" t="inlineStr">
        <is>
          <t>Jobstreet, Free Job Portal</t>
        </is>
      </c>
      <c r="AS623" t="inlineStr">
        <is>
          <t>- Headcount: 2
- Hiring Job Details: 1) Internship 2) Marketing
- Hiring Urgency: Hiring Later
- Number of outlets: 1
- Have recruiter team: Yes
- Number of recruiter in company: 3
- Have ATS system: No, I don't need at all
- Have career website: No, I don't need at all
- Current hiring budget: RM10,000
- Whole year budget: RM10,000.00
- Whole year number of vacancies: 30
- Hiring frequency: Once per quarter (75%)
- External job portal: Jobstreet, Free Job Portal</t>
        </is>
      </c>
      <c r="AT623">
        <v>95</v>
      </c>
      <c r="AU623" t="inlineStr">
        <is>
          <t>0.95</t>
        </is>
      </c>
      <c r="AV623" t="inlineStr">
        <is>
          <t>15</t>
        </is>
      </c>
      <c r="AW623" t="inlineStr">
        <is>
          <t>0</t>
        </is>
      </c>
      <c r="AX623" t="inlineStr">
        <is>
          <t>Not Qualified</t>
        </is>
      </c>
      <c r="AY623" s="4"/>
      <c r="AZ623"/>
      <c r="BA623"/>
      <c r="BB623"/>
      <c r="BC623" t="inlineStr">
        <is>
          <t>- Headcount: 2
- Hiring Job Details: 1) Internship 2) Marketing
- Hiring Urgency: Hiring Later
- Number of outlets: 1
- Have recruiter team: Yes
- Number of recruiter in company: 3
- Have ATS system: No, I don't need at all
- Have career website: No, I don't need at all
- Current hiring budget: RM10,000
- Whole year budget: RM10,000.00
- Whole year number of vacancies: 30
- Hiring frequency: Once per quarter (75%)
- External job portal: Jobstreet, Free Job Portal</t>
        </is>
      </c>
      <c r="BD623" s="4">
        <v>46142.50003472222</v>
      </c>
      <c r="BE623"/>
      <c r="BF623"/>
      <c r="BG623" t="inlineStr">
        <is>
          <t>Reschedule</t>
        </is>
      </c>
      <c r="BH623" t="inlineStr">
        <is>
          <t>andy@ajobthing.com</t>
        </is>
      </c>
      <c r="BI623"/>
      <c r="BJ623" s="4">
        <v>46144.7544212963</v>
      </c>
      <c r="BK623" s="4">
        <v>46142.44836805556</v>
      </c>
      <c r="BL623" t="inlineStr">
        <is>
          <t>0.0</t>
        </is>
      </c>
      <c r="BM623" t="inlineStr">
        <is>
          <t>0.0</t>
        </is>
      </c>
      <c r="BN623"/>
      <c r="BO623" s="4"/>
      <c r="BP623">
        <v>169658</v>
      </c>
      <c r="BQ623"/>
      <c r="BR623"/>
      <c r="BS623"/>
      <c r="BT623"/>
      <c r="BU623"/>
      <c r="BV623">
        <v>2737300</v>
      </c>
      <c r="BW623" t="inlineStr">
        <is>
          <t>Customer Inquiry</t>
        </is>
      </c>
      <c r="BX623"/>
      <c r="BY623"/>
      <c r="BZ623" s="4"/>
      <c r="CA623"/>
      <c r="CB623"/>
      <c r="CC623" s="4"/>
      <c r="CD623" t="inlineStr">
        <is>
          <t>20</t>
        </is>
      </c>
      <c r="CE623" t="inlineStr">
        <is>
          <t>0</t>
        </is>
      </c>
      <c r="CF623" t="inlineStr">
        <is>
          <t>Q2-W04</t>
        </is>
      </c>
      <c r="CG623"/>
      <c r="CH623"/>
      <c r="CI623"/>
      <c r="CJ623" t="inlineStr">
        <is>
          <t>No Paid</t>
        </is>
      </c>
      <c r="CK623" t="inlineStr">
        <is>
          <t>Eligible</t>
        </is>
      </c>
      <c r="CL623"/>
      <c r="CM623"/>
    </row>
    <row r="624" ht="25.5" customHeight="1">
      <c r="A624" t="inlineStr">
        <is>
          <t>150530</t>
        </is>
      </c>
      <c r="B624" s="2"/>
      <c r="C624"/>
      <c r="D624" s="3">
        <v>46142.48960648148</v>
      </c>
      <c r="E624" t="inlineStr">
        <is>
          <t>Q2-W04</t>
        </is>
      </c>
      <c r="F624" t="inlineStr">
        <is>
          <t>Yuli</t>
        </is>
      </c>
      <c r="G624" t="inlineStr">
        <is>
          <t>Customer</t>
        </is>
      </c>
      <c r="H624" s="2" t="str">
        <f>=HYPERLINK("https://upbox.ajobthing.my/customer/150530", "https://upbox.ajobthing.my/customer/150530")</f>
        <v>https://upbox.ajobthing.my/customer/150530</v>
      </c>
      <c r="I624" t="inlineStr">
        <is>
          <t>51Talk Training Sdn Bhd</t>
        </is>
      </c>
      <c r="J624" t="inlineStr">
        <is>
          <t>Whale</t>
        </is>
      </c>
      <c r="K624" t="inlineStr">
        <is>
          <t>YuLi</t>
        </is>
      </c>
      <c r="L624" s="4"/>
      <c r="M624" s="4">
        <v>46142.508888888886</v>
      </c>
      <c r="N624"/>
      <c r="O624">
        <v>7032.96</v>
      </c>
      <c r="P624" s="4"/>
      <c r="Q624" s="4">
        <v>45785.45350694445</v>
      </c>
      <c r="R624"/>
      <c r="S624">
        <v>8100</v>
      </c>
      <c r="T624" s="4">
        <v>45785.45350694445</v>
      </c>
      <c r="U624" s="4"/>
      <c r="V624"/>
      <c r="W624">
        <v>8100</v>
      </c>
      <c r="X624"/>
      <c r="Y624" t="inlineStr">
        <is>
          <t>Pending Appointment</t>
        </is>
      </c>
      <c r="Z624" t="inlineStr">
        <is>
          <t>Hiring Now</t>
        </is>
      </c>
      <c r="AA624">
        <v>15</v>
      </c>
      <c r="AB624" t="inlineStr">
        <is>
          <t>No Appointment Made</t>
        </is>
      </c>
      <c r="AC624"/>
      <c r="AD624" t="inlineStr">
        <is>
          <t>15 headcount for telemarketing</t>
        </is>
      </c>
      <c r="AE624"/>
      <c r="AF624"/>
      <c r="AG624" s="4"/>
      <c r="AH624" s="4"/>
      <c r="AI624"/>
      <c r="AJ624"/>
      <c r="AK624" t="inlineStr">
        <is>
          <t>Yes, I have</t>
        </is>
      </c>
      <c r="AL624">
        <v>3</v>
      </c>
      <c r="AM624"/>
      <c r="AN624"/>
      <c r="AO624"/>
      <c r="AP624" t="inlineStr">
        <is>
          <t>Every month (100%)</t>
        </is>
      </c>
      <c r="AQ624"/>
      <c r="AR624" t="inlineStr">
        <is>
          <t>Jobstreet, Linkedin (Paid)</t>
        </is>
      </c>
      <c r="AS624" t="inlineStr">
        <is>
          <t>- Headcount: 15
- Hiring Job Details: 15 headcount for telemarketing
- Hiring Urgency: Hiring Now
- Number of outlets: N/A
- Have recruiter team: Yes
- Number of recruiter in company: 3
- Have ATS system: N/A
- Have career website: N/A
- Current hiring budget: N/A
- Whole year budget: N/A
- Whole year number of vacancies: N/A
- Hiring frequency: Every month (100%)
- External job portal: Jobstreet,Linkedin (Paid)</t>
        </is>
      </c>
      <c r="AT624">
        <v>95</v>
      </c>
      <c r="AU624" t="inlineStr">
        <is>
          <t>0.95</t>
        </is>
      </c>
      <c r="AV624" t="inlineStr">
        <is>
          <t>15</t>
        </is>
      </c>
      <c r="AW624" t="inlineStr">
        <is>
          <t>0</t>
        </is>
      </c>
      <c r="AX624" t="inlineStr">
        <is>
          <t>Not Qualified</t>
        </is>
      </c>
      <c r="AY624" s="4"/>
      <c r="AZ624"/>
      <c r="BA624"/>
      <c r="BB624"/>
      <c r="BC624" t="inlineStr">
        <is>
          <t>QUOTATION shared</t>
        </is>
      </c>
      <c r="BD624" s="4">
        <v>46142.594409722224</v>
      </c>
      <c r="BE624" t="inlineStr">
        <is>
          <t>paid</t>
        </is>
      </c>
      <c r="BF624"/>
      <c r="BG624" t="inlineStr">
        <is>
          <t>Reschedule</t>
        </is>
      </c>
      <c r="BH624" t="inlineStr">
        <is>
          <t>Fauziah Maharan</t>
        </is>
      </c>
      <c r="BI624" t="inlineStr">
        <is>
          <t>Education / Training</t>
        </is>
      </c>
      <c r="BJ624" s="4">
        <v>46144.75084490741</v>
      </c>
      <c r="BK624" s="4">
        <v>44638.423726851855</v>
      </c>
      <c r="BL624" t="inlineStr">
        <is>
          <t>8100.0</t>
        </is>
      </c>
      <c r="BM624" t="inlineStr">
        <is>
          <t>18000.0</t>
        </is>
      </c>
      <c r="BN624" t="inlineStr">
        <is>
          <t>View Jobmanager Page</t>
        </is>
      </c>
      <c r="BO624" s="4">
        <v>46118.45758101852</v>
      </c>
      <c r="BP624">
        <v>169673</v>
      </c>
      <c r="BQ624">
        <v>5776</v>
      </c>
      <c r="BR624" t="inlineStr">
        <is>
          <t>Manual (Paid)</t>
        </is>
      </c>
      <c r="BS624" t="inlineStr">
        <is>
          <t>Package include: 
Website Banner for 30 days in Ricebowl, Design create by Ricebowl Marketing Team
Feature job for 30 days in RIcebowl and Maukerja
Validity:1 month</t>
        </is>
      </c>
      <c r="BT624">
        <v>5776</v>
      </c>
      <c r="BU624"/>
      <c r="BV624">
        <v>2737660</v>
      </c>
      <c r="BW624" t="inlineStr">
        <is>
          <t>Follow Up : Quotation Sent 50%</t>
        </is>
      </c>
      <c r="BX624"/>
      <c r="BY624"/>
      <c r="BZ624" s="4"/>
      <c r="CA624"/>
      <c r="CB624"/>
      <c r="CC624" s="4"/>
      <c r="CD624" t="inlineStr">
        <is>
          <t>20</t>
        </is>
      </c>
      <c r="CE624" t="inlineStr">
        <is>
          <t>0</t>
        </is>
      </c>
      <c r="CF624" t="inlineStr">
        <is>
          <t>Q2-W04</t>
        </is>
      </c>
      <c r="CG624"/>
      <c r="CH624"/>
      <c r="CI624"/>
      <c r="CJ624" t="inlineStr">
        <is>
          <t>Paid</t>
        </is>
      </c>
      <c r="CK624" t="inlineStr">
        <is>
          <t>Eligible</t>
        </is>
      </c>
      <c r="CL624"/>
      <c r="CM624"/>
    </row>
    <row r="625" ht="25.5" customHeight="1">
      <c r="A625" t="inlineStr">
        <is>
          <t>137168</t>
        </is>
      </c>
      <c r="B625" s="2"/>
      <c r="C625"/>
      <c r="D625" s="3">
        <v>46142.49350694445</v>
      </c>
      <c r="E625" t="inlineStr">
        <is>
          <t>Q2-W04</t>
        </is>
      </c>
      <c r="F625" t="inlineStr">
        <is>
          <t>Jess</t>
        </is>
      </c>
      <c r="G625" t="inlineStr">
        <is>
          <t>Customer</t>
        </is>
      </c>
      <c r="H625" s="2" t="str">
        <f>=HYPERLINK("https://upbox.ajobthing.my/customer/137168", "https://upbox.ajobthing.my/customer/137168")</f>
        <v>https://upbox.ajobthing.my/customer/137168</v>
      </c>
      <c r="I625" t="inlineStr">
        <is>
          <t>Easyspad Sdn Bhd</t>
        </is>
      </c>
      <c r="J625" t="inlineStr">
        <is>
          <t>Whale</t>
        </is>
      </c>
      <c r="K625" t="inlineStr">
        <is>
          <t>Jess Lim</t>
        </is>
      </c>
      <c r="L625" s="4"/>
      <c r="M625" s="4">
        <v>46142.49197916667</v>
      </c>
      <c r="N625"/>
      <c r="O625">
        <v>10381</v>
      </c>
      <c r="P625" s="4"/>
      <c r="Q625" s="4">
        <v>46119.65662037037</v>
      </c>
      <c r="R625"/>
      <c r="S625">
        <v>0</v>
      </c>
      <c r="T625" s="4">
        <v>45960.65638888889</v>
      </c>
      <c r="U625" s="4"/>
      <c r="V625"/>
      <c r="W625">
        <v>5724</v>
      </c>
      <c r="X625"/>
      <c r="Y625" t="inlineStr">
        <is>
          <t>Pending Appointment</t>
        </is>
      </c>
      <c r="Z625" t="inlineStr">
        <is>
          <t>Hiring Now</t>
        </is>
      </c>
      <c r="AA625">
        <v>3</v>
      </c>
      <c r="AB625" t="inlineStr">
        <is>
          <t>No Appointment Made</t>
        </is>
      </c>
      <c r="AC625"/>
      <c r="AD625" t="inlineStr">
        <is>
          <t>admin logistics finance</t>
        </is>
      </c>
      <c r="AE625"/>
      <c r="AF625">
        <v>5600</v>
      </c>
      <c r="AG625" s="4"/>
      <c r="AH625" s="4"/>
      <c r="AI625"/>
      <c r="AJ625">
        <v>1</v>
      </c>
      <c r="AK625" t="inlineStr">
        <is>
          <t>Yes, I have</t>
        </is>
      </c>
      <c r="AL625">
        <v>1</v>
      </c>
      <c r="AM625" t="inlineStr">
        <is>
          <t>No, I don't need at all</t>
        </is>
      </c>
      <c r="AN625"/>
      <c r="AO625" t="inlineStr">
        <is>
          <t>No, I don't need at all</t>
        </is>
      </c>
      <c r="AP625" t="inlineStr">
        <is>
          <t>Every month (100%)</t>
        </is>
      </c>
      <c r="AQ625"/>
      <c r="AR625" t="inlineStr">
        <is>
          <t>Jobstreet</t>
        </is>
      </c>
      <c r="AS625" t="inlineStr">
        <is>
          <t>- Headcount: 3
- Hiring Job Details: admin, logistics, finance
- Hiring Urgency: Hiring Now
- Number of outlets: 1
- Have recruiter team: Yes
- Number of recruiter in company: 1
- Have ATS system: No, I don't need at all
- Have career website: No, I don't need at all
- Current hiring budget: RM5,600.00
- Whole year budget: Not specified
- Whole year number of vacancies: Not specified
- Hiring frequency: Every month (100%)
- External job portal: Jobstreet</t>
        </is>
      </c>
      <c r="AT625">
        <v>95</v>
      </c>
      <c r="AU625" t="inlineStr">
        <is>
          <t>0.95</t>
        </is>
      </c>
      <c r="AV625" t="inlineStr">
        <is>
          <t>15</t>
        </is>
      </c>
      <c r="AW625" t="inlineStr">
        <is>
          <t>0</t>
        </is>
      </c>
      <c r="AX625" t="inlineStr">
        <is>
          <t>Not Qualified</t>
        </is>
      </c>
      <c r="AY625" s="4"/>
      <c r="AZ625"/>
      <c r="BA625"/>
      <c r="BB625"/>
      <c r="BC625" t="inlineStr">
        <is>
          <t>- Headcount: 3
- Hiring Job Details: admin, logistics, finance
- Hiring Urgency: Hiring Now
- Number of outlets: 1
- Have recruiter team: Yes
- Number of recruiter in company: 1
- Have ATS system: No, I don't need at all
- Have career website: No, I don't need at all
- Current hiring budget: RM5,600.00
- Whole year budget: Not specified
- Whole year number of vacancies: Not specified
- Hiring frequency: Every month (100%)
- External job portal: Jobstreet</t>
        </is>
      </c>
      <c r="BD625" s="4">
        <v>46142.50003472222</v>
      </c>
      <c r="BE625" t="inlineStr">
        <is>
          <t>paid</t>
        </is>
      </c>
      <c r="BF625"/>
      <c r="BG625" t="inlineStr">
        <is>
          <t>Reschedule</t>
        </is>
      </c>
      <c r="BH625" t="inlineStr">
        <is>
          <t>Fauziah Maharan</t>
        </is>
      </c>
      <c r="BI625" t="inlineStr">
        <is>
          <t>Other industries</t>
        </is>
      </c>
      <c r="BJ625" s="4">
        <v>46144.75059027778</v>
      </c>
      <c r="BK625" s="4">
        <v>44301.697696759256</v>
      </c>
      <c r="BL625" t="inlineStr">
        <is>
          <t>5724.0</t>
        </is>
      </c>
      <c r="BM625" t="inlineStr">
        <is>
          <t>3000.0</t>
        </is>
      </c>
      <c r="BN625" t="inlineStr">
        <is>
          <t>View Company Page</t>
        </is>
      </c>
      <c r="BO625" s="4">
        <v>46142.49570601852</v>
      </c>
      <c r="BP625">
        <v>169663</v>
      </c>
      <c r="BQ625">
        <v>120515</v>
      </c>
      <c r="BR625" t="inlineStr">
        <is>
          <t>Proforma</t>
        </is>
      </c>
      <c r="BS625" t="inlineStr">
        <is>
          <t>Free Part-Time Job</t>
        </is>
      </c>
      <c r="BT625">
        <v>83800</v>
      </c>
      <c r="BU625"/>
      <c r="BV625">
        <v>2737306</v>
      </c>
      <c r="BW625" t="inlineStr">
        <is>
          <t>Customer Inquiry</t>
        </is>
      </c>
      <c r="BX625">
        <v>12</v>
      </c>
      <c r="BY625">
        <v>0</v>
      </c>
      <c r="BZ625" s="4">
        <v>46106.45846064815</v>
      </c>
      <c r="CA625">
        <v>120</v>
      </c>
      <c r="CB625">
        <v>20</v>
      </c>
      <c r="CC625" s="4">
        <v>46134.62247685185</v>
      </c>
      <c r="CD625" t="inlineStr">
        <is>
          <t>20</t>
        </is>
      </c>
      <c r="CE625" t="inlineStr">
        <is>
          <t>0</t>
        </is>
      </c>
      <c r="CF625" t="inlineStr">
        <is>
          <t>Q2-W04</t>
        </is>
      </c>
      <c r="CG625" t="inlineStr">
        <is>
          <t>Q2-W01</t>
        </is>
      </c>
      <c r="CH625"/>
      <c r="CI625"/>
      <c r="CJ625" t="inlineStr">
        <is>
          <t>Paid</t>
        </is>
      </c>
      <c r="CK625" t="inlineStr">
        <is>
          <t>Eligible</t>
        </is>
      </c>
      <c r="CL625"/>
      <c r="CM625"/>
    </row>
    <row r="626" ht="25.5" customHeight="1">
      <c r="A626" t="inlineStr">
        <is>
          <t>6022</t>
        </is>
      </c>
      <c r="B626" s="2"/>
      <c r="C626"/>
      <c r="D626" s="3">
        <v>46142.50402777778</v>
      </c>
      <c r="E626" t="inlineStr">
        <is>
          <t>Q2-W04</t>
        </is>
      </c>
      <c r="F626" t="inlineStr">
        <is>
          <t>Ratha</t>
        </is>
      </c>
      <c r="G626" t="inlineStr">
        <is>
          <t>Customer</t>
        </is>
      </c>
      <c r="H626" s="2" t="str">
        <f>=HYPERLINK("https://upbox.ajobthing.my/customer/6022", "https://upbox.ajobthing.my/customer/6022")</f>
        <v>https://upbox.ajobthing.my/customer/6022</v>
      </c>
      <c r="I626" t="inlineStr">
        <is>
          <t>Ban Hin Bee Sdn Bhd</t>
        </is>
      </c>
      <c r="J626" t="inlineStr">
        <is>
          <t>Whale</t>
        </is>
      </c>
      <c r="K626" t="inlineStr">
        <is>
          <t>Ratha</t>
        </is>
      </c>
      <c r="L626" s="4"/>
      <c r="M626" s="4">
        <v>46142.506006944444</v>
      </c>
      <c r="N626"/>
      <c r="O626">
        <v>22248</v>
      </c>
      <c r="P626" s="4"/>
      <c r="Q626" s="4">
        <v>46111.630381944444</v>
      </c>
      <c r="R626"/>
      <c r="S626">
        <v>0</v>
      </c>
      <c r="T626" s="4">
        <v>45022.00001157408</v>
      </c>
      <c r="U626" s="4"/>
      <c r="V626"/>
      <c r="W626">
        <v>1908</v>
      </c>
      <c r="X626"/>
      <c r="Y626" t="inlineStr">
        <is>
          <t>Pending Appointment</t>
        </is>
      </c>
      <c r="Z626" t="inlineStr">
        <is>
          <t>Continuous Hiring</t>
        </is>
      </c>
      <c r="AA626">
        <v>3</v>
      </c>
      <c r="AB626" t="inlineStr">
        <is>
          <t>No Appointment Made</t>
        </is>
      </c>
      <c r="AC626"/>
      <c r="AD626" t="inlineStr">
        <is>
          <t>Another PIC - frequent hiring for Sales, Retail, Admin 
Location : 13</t>
        </is>
      </c>
      <c r="AE626"/>
      <c r="AF626"/>
      <c r="AG626" s="4"/>
      <c r="AH626" s="4"/>
      <c r="AI626">
        <v>0</v>
      </c>
      <c r="AJ626">
        <v>13</v>
      </c>
      <c r="AK626" t="inlineStr">
        <is>
          <t>Yes, I have</t>
        </is>
      </c>
      <c r="AL626">
        <v>3</v>
      </c>
      <c r="AM626" t="inlineStr">
        <is>
          <t>No, I don't need at all</t>
        </is>
      </c>
      <c r="AN626"/>
      <c r="AO626" t="inlineStr">
        <is>
          <t>Yes, I have</t>
        </is>
      </c>
      <c r="AP626" t="inlineStr">
        <is>
          <t>Every month (100%)</t>
        </is>
      </c>
      <c r="AQ626">
        <v>0</v>
      </c>
      <c r="AR626" t="inlineStr">
        <is>
          <t>Jobstreet, Free Job Portal</t>
        </is>
      </c>
      <c r="AS626" t="inlineStr">
        <is>
          <t>- Headcount: 3
- Hiring Job Details: Another PIC - frequent hiring for Sales, Retail, Admin
- Hiring Urgency: Continuous Hiring
- Number of outlets: 13
- Have recruiter team: Yes
- Number of recruiter in company: 3
- Have ATS system: No, I don't need at all
- Have career website: Yes
- Current hiring budget: Not specified
- Whole year budget: RM0.00
- Whole year number of vacancies: 0
- Hiring frequency: Every month (100%)
- External job portal: Jobstreet, Free Job Portal</t>
        </is>
      </c>
      <c r="AT626">
        <v>65</v>
      </c>
      <c r="AU626" t="inlineStr">
        <is>
          <t>0.65</t>
        </is>
      </c>
      <c r="AV626" t="inlineStr">
        <is>
          <t>5</t>
        </is>
      </c>
      <c r="AW626" t="inlineStr">
        <is>
          <t>0</t>
        </is>
      </c>
      <c r="AX626" t="inlineStr">
        <is>
          <t>Not Qualified</t>
        </is>
      </c>
      <c r="AY626" s="4"/>
      <c r="AZ626"/>
      <c r="BA626"/>
      <c r="BB626"/>
      <c r="BC626" t="inlineStr">
        <is>
          <t>- Headcount: 3
- Hiring Job Details: Another PIC - frequent hiring for Sales, Retail, Admin
- Hiring Urgency: Continuous Hiring
- Number of outlets: 13
- Have recruiter team: Yes
- Number of recruiter in company: 3
- Have ATS system: No, I don't need at all
- Have career website: Yes
- Current hiring budget: Not specified
- Whole year budget: RM0.00
- Whole year number of vacancies: 0
- Hiring frequency: Every month (100%)
- External job portal: Jobstreet, Free Job Portal</t>
        </is>
      </c>
      <c r="BD626" s="4">
        <v>46142.54168981482</v>
      </c>
      <c r="BE626" t="inlineStr">
        <is>
          <t>paid</t>
        </is>
      </c>
      <c r="BF626"/>
      <c r="BG626" t="inlineStr">
        <is>
          <t>Reschedule</t>
        </is>
      </c>
      <c r="BH626" t="inlineStr">
        <is>
          <t>Fauziah Maharan</t>
        </is>
      </c>
      <c r="BI626" t="inlineStr">
        <is>
          <t>Retail / Merchandise</t>
        </is>
      </c>
      <c r="BJ626" s="4">
        <v>46144.75609953704</v>
      </c>
      <c r="BK626" s="4">
        <v>42419.85978009259</v>
      </c>
      <c r="BL626" t="inlineStr">
        <is>
          <t>0.0</t>
        </is>
      </c>
      <c r="BM626" t="inlineStr">
        <is>
          <t>64650.0</t>
        </is>
      </c>
      <c r="BN626" t="inlineStr">
        <is>
          <t>View Company Page</t>
        </is>
      </c>
      <c r="BO626" s="4">
        <v>46142.50020833333</v>
      </c>
      <c r="BP626">
        <v>169672</v>
      </c>
      <c r="BQ626">
        <v>118567</v>
      </c>
      <c r="BR626" t="inlineStr">
        <is>
          <t>Proforma</t>
        </is>
      </c>
      <c r="BS626" t="inlineStr">
        <is>
          <t>Free Part-Time Job</t>
        </is>
      </c>
      <c r="BT626">
        <v>57282</v>
      </c>
      <c r="BU626"/>
      <c r="BV626">
        <v>2737438</v>
      </c>
      <c r="BW626" t="inlineStr">
        <is>
          <t>Customer Inquiry</t>
        </is>
      </c>
      <c r="BX626"/>
      <c r="BY626"/>
      <c r="BZ626" s="4"/>
      <c r="CA626">
        <v>10</v>
      </c>
      <c r="CB626">
        <v>10</v>
      </c>
      <c r="CC626" s="4"/>
      <c r="CD626" t="inlineStr">
        <is>
          <t>5</t>
        </is>
      </c>
      <c r="CE626" t="inlineStr">
        <is>
          <t>0</t>
        </is>
      </c>
      <c r="CF626" t="inlineStr">
        <is>
          <t>Q2-W04</t>
        </is>
      </c>
      <c r="CG626" t="inlineStr">
        <is>
          <t>Q1-W13</t>
        </is>
      </c>
      <c r="CH626"/>
      <c r="CI626"/>
      <c r="CJ626" t="inlineStr">
        <is>
          <t>Paid</t>
        </is>
      </c>
      <c r="CK626" t="inlineStr">
        <is>
          <t>Eligible</t>
        </is>
      </c>
      <c r="CL626"/>
      <c r="CM626"/>
    </row>
    <row r="627" ht="25.5" customHeight="1">
      <c r="A627" t="inlineStr">
        <is>
          <t>203823</t>
        </is>
      </c>
      <c r="B627" s="2"/>
      <c r="C627"/>
      <c r="D627" s="3">
        <v>46142.51013888889</v>
      </c>
      <c r="E627" t="inlineStr">
        <is>
          <t>Q2-W04</t>
        </is>
      </c>
      <c r="F627" t="inlineStr">
        <is>
          <t>Yvonne Lee</t>
        </is>
      </c>
      <c r="G627" t="inlineStr">
        <is>
          <t>Customer</t>
        </is>
      </c>
      <c r="H627" s="2" t="str">
        <f>=HYPERLINK("https://upbox.ajobthing.my/customer/203823", "https://upbox.ajobthing.my/customer/203823")</f>
        <v>https://upbox.ajobthing.my/customer/203823</v>
      </c>
      <c r="I627" t="inlineStr">
        <is>
          <t>The Grove Reserve Pte Ltd</t>
        </is>
      </c>
      <c r="J627" t="inlineStr">
        <is>
          <t>Whale</t>
        </is>
      </c>
      <c r="K627" t="inlineStr">
        <is>
          <t>Yvonne</t>
        </is>
      </c>
      <c r="L627" s="4"/>
      <c r="M627" s="4">
        <v>46142.51871527778</v>
      </c>
      <c r="N627"/>
      <c r="O627">
        <v>3024</v>
      </c>
      <c r="P627" s="4"/>
      <c r="Q627" s="4"/>
      <c r="R627"/>
      <c r="S627"/>
      <c r="T627" s="4"/>
      <c r="U627" s="4"/>
      <c r="V627"/>
      <c r="W627"/>
      <c r="X627"/>
      <c r="Y627" t="inlineStr">
        <is>
          <t>Pending Appointment</t>
        </is>
      </c>
      <c r="Z627" t="inlineStr">
        <is>
          <t>Hiring Now</t>
        </is>
      </c>
      <c r="AA627">
        <v>1</v>
      </c>
      <c r="AB627" t="inlineStr">
        <is>
          <t>No Appointment Made</t>
        </is>
      </c>
      <c r="AC627"/>
      <c r="AD627" t="inlineStr">
        <is>
          <t>1) Mark</t>
        </is>
      </c>
      <c r="AE627"/>
      <c r="AF627">
        <v>10000</v>
      </c>
      <c r="AG627" s="4"/>
      <c r="AH627" s="4"/>
      <c r="AI627">
        <v>10000</v>
      </c>
      <c r="AJ627">
        <v>8</v>
      </c>
      <c r="AK627" t="inlineStr">
        <is>
          <t>Yes, I have</t>
        </is>
      </c>
      <c r="AL627">
        <v>4</v>
      </c>
      <c r="AM627" t="inlineStr">
        <is>
          <t>No, I don't need at all</t>
        </is>
      </c>
      <c r="AN627"/>
      <c r="AO627" t="inlineStr">
        <is>
          <t>No, I don't need at all</t>
        </is>
      </c>
      <c r="AP627" t="inlineStr">
        <is>
          <t>Once per quarter (75%)</t>
        </is>
      </c>
      <c r="AQ627">
        <v>20</v>
      </c>
      <c r="AR627" t="inlineStr">
        <is>
          <t>Jobstreet</t>
        </is>
      </c>
      <c r="AS627" t="inlineStr">
        <is>
          <t>- Headcount: 1
- Hiring Job Details: 1) Mark
- Hiring Urgency: Hiring Now
- Number of outlets: 8
- Have recruiter team: Yes, I have
- Number of recruiter in company: 4
- Have ATS system: No, I don't need at all
- Have career website: No, I don't need at all
- Current hiring budget: RM10,000
- Whole year budget: RM10,000.00
- Whole year number of vacancies: 20
- Hiring frequency: Once per quarter (75%)
- External job portal: Jobstreet</t>
        </is>
      </c>
      <c r="AT627">
        <v>110</v>
      </c>
      <c r="AU627" t="inlineStr">
        <is>
          <t>1.10</t>
        </is>
      </c>
      <c r="AV627" t="inlineStr">
        <is>
          <t>15</t>
        </is>
      </c>
      <c r="AW627" t="inlineStr">
        <is>
          <t>0</t>
        </is>
      </c>
      <c r="AX627" t="inlineStr">
        <is>
          <t>Not Qualified</t>
        </is>
      </c>
      <c r="AY627" s="4"/>
      <c r="AZ627"/>
      <c r="BA627"/>
      <c r="BB627"/>
      <c r="BC627" t="inlineStr">
        <is>
          <t>Quotation shared.</t>
        </is>
      </c>
      <c r="BD627" s="4">
        <v>46142.59128472222</v>
      </c>
      <c r="BE627"/>
      <c r="BF627"/>
      <c r="BG627" t="inlineStr">
        <is>
          <t>Reschedule</t>
        </is>
      </c>
      <c r="BH627" t="inlineStr">
        <is>
          <t>andy@ajobthing.com</t>
        </is>
      </c>
      <c r="BI627"/>
      <c r="BJ627" s="4">
        <v>46144.7544212963</v>
      </c>
      <c r="BK627" s="4">
        <v>46142.45983796296</v>
      </c>
      <c r="BL627" t="inlineStr">
        <is>
          <t>0.0</t>
        </is>
      </c>
      <c r="BM627" t="inlineStr">
        <is>
          <t>0.0</t>
        </is>
      </c>
      <c r="BN627" t="inlineStr">
        <is>
          <t>View Company Page</t>
        </is>
      </c>
      <c r="BO627" s="4">
        <v>46142.46061342592</v>
      </c>
      <c r="BP627">
        <v>169675</v>
      </c>
      <c r="BQ627"/>
      <c r="BR627"/>
      <c r="BS627"/>
      <c r="BT627"/>
      <c r="BU627"/>
      <c r="BV627">
        <v>2737646</v>
      </c>
      <c r="BW627" t="inlineStr">
        <is>
          <t>Inquire for Hiring Needs : Quotation Sent 50%</t>
        </is>
      </c>
      <c r="BX627"/>
      <c r="BY627"/>
      <c r="BZ627" s="4"/>
      <c r="CA627"/>
      <c r="CB627"/>
      <c r="CC627" s="4"/>
      <c r="CD627" t="inlineStr">
        <is>
          <t>20</t>
        </is>
      </c>
      <c r="CE627" t="inlineStr">
        <is>
          <t>0</t>
        </is>
      </c>
      <c r="CF627" t="inlineStr">
        <is>
          <t>Q2-W04</t>
        </is>
      </c>
      <c r="CG627"/>
      <c r="CH627"/>
      <c r="CI627"/>
      <c r="CJ627" t="inlineStr">
        <is>
          <t>No Paid</t>
        </is>
      </c>
      <c r="CK627" t="inlineStr">
        <is>
          <t>Eligible</t>
        </is>
      </c>
      <c r="CL627"/>
      <c r="CM627"/>
    </row>
    <row r="628" ht="25.5" customHeight="1">
      <c r="A628" t="inlineStr">
        <is>
          <t>165769</t>
        </is>
      </c>
      <c r="B628" s="2"/>
      <c r="C628"/>
      <c r="D628" s="3">
        <v>46142.571805555555</v>
      </c>
      <c r="E628" t="inlineStr">
        <is>
          <t>Q2-W04</t>
        </is>
      </c>
      <c r="F628" t="inlineStr">
        <is>
          <t>Ratha</t>
        </is>
      </c>
      <c r="G628" t="inlineStr">
        <is>
          <t>Customer</t>
        </is>
      </c>
      <c r="H628" s="2" t="str">
        <f>=HYPERLINK("https://upbox.ajobthing.my/customer/165769", "https://upbox.ajobthing.my/customer/165769")</f>
        <v>https://upbox.ajobthing.my/customer/165769</v>
      </c>
      <c r="I628" t="inlineStr">
        <is>
          <t>Artworld Technology Sdn Bhd</t>
        </is>
      </c>
      <c r="J628" t="inlineStr">
        <is>
          <t>Whale</t>
        </is>
      </c>
      <c r="K628" t="inlineStr">
        <is>
          <t>Ratha</t>
        </is>
      </c>
      <c r="L628" s="4"/>
      <c r="M628" s="4">
        <v>46142.572534722225</v>
      </c>
      <c r="N628"/>
      <c r="O628">
        <v>5832</v>
      </c>
      <c r="P628" s="4"/>
      <c r="Q628" s="4">
        <v>45653.371875</v>
      </c>
      <c r="R628"/>
      <c r="S628">
        <v>5292</v>
      </c>
      <c r="T628" s="4">
        <v>45653.371875</v>
      </c>
      <c r="U628" s="4"/>
      <c r="V628"/>
      <c r="W628">
        <v>5292</v>
      </c>
      <c r="X628"/>
      <c r="Y628" t="inlineStr">
        <is>
          <t>Pending Appointment</t>
        </is>
      </c>
      <c r="Z628" t="inlineStr">
        <is>
          <t>Hiring Now</t>
        </is>
      </c>
      <c r="AA628">
        <v>4</v>
      </c>
      <c r="AB628" t="inlineStr">
        <is>
          <t>No Appointment Made</t>
        </is>
      </c>
      <c r="AC628"/>
      <c r="AD628" t="inlineStr">
        <is>
          <t>SALES 
TECHNICAL
ADMID SALES COR
Location : kl</t>
        </is>
      </c>
      <c r="AE628"/>
      <c r="AF628"/>
      <c r="AG628" s="4"/>
      <c r="AH628" s="4"/>
      <c r="AI628">
        <v>0</v>
      </c>
      <c r="AJ628">
        <v>1</v>
      </c>
      <c r="AK628" t="inlineStr">
        <is>
          <t>Yes, I have</t>
        </is>
      </c>
      <c r="AL628">
        <v>2</v>
      </c>
      <c r="AM628" t="inlineStr">
        <is>
          <t>No, I don't need at all</t>
        </is>
      </c>
      <c r="AN628"/>
      <c r="AO628" t="inlineStr">
        <is>
          <t>Yes, I have</t>
        </is>
      </c>
      <c r="AP628" t="inlineStr">
        <is>
          <t>Once per quarter (75%)</t>
        </is>
      </c>
      <c r="AQ628">
        <v>0</v>
      </c>
      <c r="AR628" t="inlineStr">
        <is>
          <t>Did not use any job portal</t>
        </is>
      </c>
      <c r="AS628" t="inlineStr">
        <is>
          <t>- Headcount: 4
- Hiring Job Details: SALES, TECHNICAL, ADMID SALES COR (Location: kl)
- Hiring Urgency: Hiring Now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Did not use any</t>
        </is>
      </c>
      <c r="AT628">
        <v>75</v>
      </c>
      <c r="AU628" t="inlineStr">
        <is>
          <t>0.75</t>
        </is>
      </c>
      <c r="AV628" t="inlineStr">
        <is>
          <t>5</t>
        </is>
      </c>
      <c r="AW628" t="inlineStr">
        <is>
          <t>0</t>
        </is>
      </c>
      <c r="AX628" t="inlineStr">
        <is>
          <t>Not Qualified</t>
        </is>
      </c>
      <c r="AY628" s="4"/>
      <c r="AZ628"/>
      <c r="BA628"/>
      <c r="BB628"/>
      <c r="BC628" t="inlineStr">
        <is>
          <t>- Headcount: 4
- Hiring Job Details: SALES, TECHNICAL, ADMID SALES COR (Location: kl)
- Hiring Urgency: Hiring Now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Did not use any</t>
        </is>
      </c>
      <c r="BD628" s="4">
        <v>46142.58335648148</v>
      </c>
      <c r="BE628" t="inlineStr">
        <is>
          <t>paid</t>
        </is>
      </c>
      <c r="BF628"/>
      <c r="BG628" t="inlineStr">
        <is>
          <t>Reschedule</t>
        </is>
      </c>
      <c r="BH628" t="inlineStr">
        <is>
          <t>Fauziah Maharan</t>
        </is>
      </c>
      <c r="BI628" t="inlineStr">
        <is>
          <t>Heavy Industrial / Machinery</t>
        </is>
      </c>
      <c r="BJ628" s="4">
        <v>46144.75127314815</v>
      </c>
      <c r="BK628" s="4">
        <v>45013.42563657407</v>
      </c>
      <c r="BL628" t="inlineStr">
        <is>
          <t>0.0</t>
        </is>
      </c>
      <c r="BM628" t="inlineStr">
        <is>
          <t>600.0</t>
        </is>
      </c>
      <c r="BN628" t="inlineStr">
        <is>
          <t>View Company Page</t>
        </is>
      </c>
      <c r="BO628" s="4">
        <v>46142.53971064815</v>
      </c>
      <c r="BP628">
        <v>169680</v>
      </c>
      <c r="BQ628">
        <v>75649</v>
      </c>
      <c r="BR628" t="inlineStr">
        <is>
          <t>Online</t>
        </is>
      </c>
      <c r="BS628"/>
      <c r="BT628">
        <v>75649</v>
      </c>
      <c r="BU628"/>
      <c r="BV628">
        <v>2737584</v>
      </c>
      <c r="BW628" t="inlineStr">
        <is>
          <t>Customer Inquiry</t>
        </is>
      </c>
      <c r="BX628"/>
      <c r="BY628"/>
      <c r="BZ628" s="4"/>
      <c r="CA628"/>
      <c r="CB628"/>
      <c r="CC628" s="4"/>
      <c r="CD628" t="inlineStr">
        <is>
          <t>5</t>
        </is>
      </c>
      <c r="CE628" t="inlineStr">
        <is>
          <t>0</t>
        </is>
      </c>
      <c r="CF628" t="inlineStr">
        <is>
          <t>Q2-W04</t>
        </is>
      </c>
      <c r="CG628"/>
      <c r="CH628"/>
      <c r="CI628"/>
      <c r="CJ628" t="inlineStr">
        <is>
          <t>Paid</t>
        </is>
      </c>
      <c r="CK628" t="inlineStr">
        <is>
          <t>Eligible</t>
        </is>
      </c>
      <c r="CL628"/>
      <c r="CM628"/>
    </row>
    <row r="629" ht="25.5" customHeight="1">
      <c r="A629" t="inlineStr">
        <is>
          <t>39446</t>
        </is>
      </c>
      <c r="B629" s="2"/>
      <c r="C629"/>
      <c r="D629" s="3">
        <v>46142.596863425926</v>
      </c>
      <c r="E629" t="inlineStr">
        <is>
          <t>Q2-W04</t>
        </is>
      </c>
      <c r="F629" t="inlineStr">
        <is>
          <t>Yvonne Lee</t>
        </is>
      </c>
      <c r="G629" t="inlineStr">
        <is>
          <t>Customer</t>
        </is>
      </c>
      <c r="H629" s="2" t="str">
        <f>=HYPERLINK("https://upbox.ajobthing.my/customer/39446", "https://upbox.ajobthing.my/customer/39446")</f>
        <v>https://upbox.ajobthing.my/customer/39446</v>
      </c>
      <c r="I629" t="inlineStr">
        <is>
          <t>Minconsult Sdn Bhd</t>
        </is>
      </c>
      <c r="J629" t="inlineStr">
        <is>
          <t>Whale</t>
        </is>
      </c>
      <c r="K629" t="inlineStr">
        <is>
          <t>Yvonne</t>
        </is>
      </c>
      <c r="L629" s="4"/>
      <c r="M629" s="4">
        <v>46142.60240740741</v>
      </c>
      <c r="N629"/>
      <c r="O629">
        <v>21600</v>
      </c>
      <c r="P629" s="4"/>
      <c r="Q629" s="4"/>
      <c r="R629"/>
      <c r="S629"/>
      <c r="T629" s="4"/>
      <c r="U629" s="4"/>
      <c r="V629"/>
      <c r="W629"/>
      <c r="X629"/>
      <c r="Y629" t="inlineStr">
        <is>
          <t>Pending Appointment</t>
        </is>
      </c>
      <c r="Z629" t="inlineStr">
        <is>
          <t>Hiring Now</t>
        </is>
      </c>
      <c r="AA629">
        <v>2</v>
      </c>
      <c r="AB629" t="inlineStr">
        <is>
          <t>No Appointment Made</t>
        </is>
      </c>
      <c r="AC629"/>
      <c r="AD629" t="inlineStr">
        <is>
          <t xml:space="preserve"> 1) engineering 2) draft engineer </t>
        </is>
      </c>
      <c r="AE629"/>
      <c r="AF629">
        <v>12000</v>
      </c>
      <c r="AG629" s="4"/>
      <c r="AH629" s="4"/>
      <c r="AI629">
        <v>12000</v>
      </c>
      <c r="AJ629">
        <v>1</v>
      </c>
      <c r="AK629" t="inlineStr">
        <is>
          <t>Yes, I have</t>
        </is>
      </c>
      <c r="AL629">
        <v>5</v>
      </c>
      <c r="AM629" t="inlineStr">
        <is>
          <t>No, but I want in future</t>
        </is>
      </c>
      <c r="AN629"/>
      <c r="AO629" t="inlineStr">
        <is>
          <t>Yes, I have</t>
        </is>
      </c>
      <c r="AP629" t="inlineStr">
        <is>
          <t>Every month (100%)</t>
        </is>
      </c>
      <c r="AQ629">
        <v>44</v>
      </c>
      <c r="AR629" t="inlineStr">
        <is>
          <t>Jobstreet, Linkedin (Paid)</t>
        </is>
      </c>
      <c r="AS629" t="inlineStr">
        <is>
          <t>- Headcount: 2
- Hiring Job Details: 1 engineering, 2 draft engineer
- Hiring Urgency: Hiring Now
- Number of outlets: 1
- Have recruiter team: Yes
- Number of recruiter in company: 5
- Have ATS system: No, but want in future
- Have career website: Yes
- Current hiring budget: RM12,000
- Whole year budget: RM12,000.00
- Whole year number of vacancies: 44
- Hiring frequency: Every month (100%)
- External job portal: Jobstreet, Linkedin (Paid)</t>
        </is>
      </c>
      <c r="AT629">
        <v>115</v>
      </c>
      <c r="AU629" t="inlineStr">
        <is>
          <t>1.15</t>
        </is>
      </c>
      <c r="AV629" t="inlineStr">
        <is>
          <t>20</t>
        </is>
      </c>
      <c r="AW629" t="inlineStr">
        <is>
          <t>0</t>
        </is>
      </c>
      <c r="AX629" t="inlineStr">
        <is>
          <t>Not Qualified</t>
        </is>
      </c>
      <c r="AY629" s="4"/>
      <c r="AZ629"/>
      <c r="BA629"/>
      <c r="BB629"/>
      <c r="BC629" t="inlineStr">
        <is>
          <t>Quotation shared.</t>
        </is>
      </c>
      <c r="BD629" s="4">
        <v>46142.73229166667</v>
      </c>
      <c r="BE629"/>
      <c r="BF629"/>
      <c r="BG629" t="inlineStr">
        <is>
          <t>Reschedule</t>
        </is>
      </c>
      <c r="BH629" t="inlineStr">
        <is>
          <t>andy@ajobthing.com</t>
        </is>
      </c>
      <c r="BI629" t="inlineStr">
        <is>
          <t>Engineering / Technical Consulting</t>
        </is>
      </c>
      <c r="BJ629" s="4">
        <v>46144.75506944444</v>
      </c>
      <c r="BK629" s="4">
        <v>42927.65513888889</v>
      </c>
      <c r="BL629" t="inlineStr">
        <is>
          <t>0.0</t>
        </is>
      </c>
      <c r="BM629" t="inlineStr">
        <is>
          <t>7800.0</t>
        </is>
      </c>
      <c r="BN629"/>
      <c r="BO629" s="4"/>
      <c r="BP629">
        <v>169695</v>
      </c>
      <c r="BQ629"/>
      <c r="BR629"/>
      <c r="BS629"/>
      <c r="BT629"/>
      <c r="BU629"/>
      <c r="BV629">
        <v>2738427</v>
      </c>
      <c r="BW629" t="inlineStr">
        <is>
          <t>Inquire for Hiring Needs : Quotation Sent 50%</t>
        </is>
      </c>
      <c r="BX629"/>
      <c r="BY629"/>
      <c r="BZ629" s="4"/>
      <c r="CA629"/>
      <c r="CB629"/>
      <c r="CC629" s="4"/>
      <c r="CD629" t="inlineStr">
        <is>
          <t>25</t>
        </is>
      </c>
      <c r="CE629" t="inlineStr">
        <is>
          <t>0</t>
        </is>
      </c>
      <c r="CF629" t="inlineStr">
        <is>
          <t>Q2-W04</t>
        </is>
      </c>
      <c r="CG629"/>
      <c r="CH629"/>
      <c r="CI629"/>
      <c r="CJ629" t="inlineStr">
        <is>
          <t>No Paid</t>
        </is>
      </c>
      <c r="CK629" t="inlineStr">
        <is>
          <t>Eligible</t>
        </is>
      </c>
      <c r="CL629"/>
      <c r="CM629"/>
    </row>
    <row r="630" ht="25.5" customHeight="1">
      <c r="A630" t="inlineStr">
        <is>
          <t>203821</t>
        </is>
      </c>
      <c r="B630" s="2"/>
      <c r="C630"/>
      <c r="D630" s="3">
        <v>46142.60304398148</v>
      </c>
      <c r="E630" t="inlineStr">
        <is>
          <t>Q2-W04</t>
        </is>
      </c>
      <c r="F630" t="inlineStr">
        <is>
          <t>Janice Yap</t>
        </is>
      </c>
      <c r="G630" t="inlineStr">
        <is>
          <t>Customer</t>
        </is>
      </c>
      <c r="H630" s="2" t="str">
        <f>=HYPERLINK("https://upbox.ajobthing.my/customer/203821", "https://upbox.ajobthing.my/customer/203821")</f>
        <v>https://upbox.ajobthing.my/customer/203821</v>
      </c>
      <c r="I630" t="inlineStr">
        <is>
          <t>Thermos Malaysia Sdn Bhd</t>
        </is>
      </c>
      <c r="J630" t="inlineStr">
        <is>
          <t>Whale</t>
        </is>
      </c>
      <c r="K630" t="inlineStr">
        <is>
          <t>Janice</t>
        </is>
      </c>
      <c r="L630" s="4"/>
      <c r="M630" s="4">
        <v>46142.11954861111</v>
      </c>
      <c r="N630"/>
      <c r="O630">
        <v>3888</v>
      </c>
      <c r="P630" s="4"/>
      <c r="Q630" s="4">
        <v>46142.94511574074</v>
      </c>
      <c r="R630"/>
      <c r="S630">
        <v>3576.96</v>
      </c>
      <c r="T630" s="4">
        <v>46142.94511574074</v>
      </c>
      <c r="U630" s="4"/>
      <c r="V630"/>
      <c r="W630">
        <v>3576.96</v>
      </c>
      <c r="X630"/>
      <c r="Y630" t="inlineStr">
        <is>
          <t>Pending Appointment</t>
        </is>
      </c>
      <c r="Z630" t="inlineStr">
        <is>
          <t>Hiring Now</t>
        </is>
      </c>
      <c r="AA630">
        <v>3</v>
      </c>
      <c r="AB630" t="inlineStr">
        <is>
          <t>No Appointment Made</t>
        </is>
      </c>
      <c r="AC630"/>
      <c r="AD630" t="inlineStr">
        <is>
          <t>Retail asst, promoter &amp; live host</t>
        </is>
      </c>
      <c r="AE630"/>
      <c r="AF630">
        <v>0</v>
      </c>
      <c r="AG630" s="4"/>
      <c r="AH630" s="4"/>
      <c r="AI630">
        <v>0</v>
      </c>
      <c r="AJ630"/>
      <c r="AK630" t="inlineStr">
        <is>
          <t>No, I don't need at all</t>
        </is>
      </c>
      <c r="AL630">
        <v>0</v>
      </c>
      <c r="AM630" t="inlineStr">
        <is>
          <t>No, I don't need at all</t>
        </is>
      </c>
      <c r="AN630"/>
      <c r="AO630" t="inlineStr">
        <is>
          <t>No, I don't need at all</t>
        </is>
      </c>
      <c r="AP630" t="inlineStr">
        <is>
          <t>Once a year (25%)</t>
        </is>
      </c>
      <c r="AQ630">
        <v>3</v>
      </c>
      <c r="AR630"/>
      <c r="AS630" t="inlineStr">
        <is>
          <t>- Headcount: 3
- Hiring Job Details: Retail asst, promoter &amp; live host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N/A</t>
        </is>
      </c>
      <c r="AT630">
        <v>95</v>
      </c>
      <c r="AU630" t="inlineStr">
        <is>
          <t>0.95</t>
        </is>
      </c>
      <c r="AV630" t="inlineStr">
        <is>
          <t>15</t>
        </is>
      </c>
      <c r="AW630" t="inlineStr">
        <is>
          <t>0</t>
        </is>
      </c>
      <c r="AX630" t="inlineStr">
        <is>
          <t>Not Qualified</t>
        </is>
      </c>
      <c r="AY630" s="4"/>
      <c r="AZ630"/>
      <c r="BA630"/>
      <c r="BB630"/>
      <c r="BC630" t="inlineStr">
        <is>
          <t>Customer paid - Win // help to verify company account // don't active package 1st</t>
        </is>
      </c>
      <c r="BD630" s="4">
        <v>46142.68457175926</v>
      </c>
      <c r="BE630" t="inlineStr">
        <is>
          <t>paid</t>
        </is>
      </c>
      <c r="BF630" t="inlineStr">
        <is>
          <t>Q2-W04</t>
        </is>
      </c>
      <c r="BG630" t="inlineStr">
        <is>
          <t>Reschedule</t>
        </is>
      </c>
      <c r="BH630" t="inlineStr">
        <is>
          <t>Yee Hang</t>
        </is>
      </c>
      <c r="BI630"/>
      <c r="BJ630" s="4">
        <v>46144.7544212963</v>
      </c>
      <c r="BK630" s="4">
        <v>46142.4528587963</v>
      </c>
      <c r="BL630" t="inlineStr">
        <is>
          <t>3576.0</t>
        </is>
      </c>
      <c r="BM630" t="inlineStr">
        <is>
          <t>6600.0</t>
        </is>
      </c>
      <c r="BN630"/>
      <c r="BO630" s="4"/>
      <c r="BP630">
        <v>169635</v>
      </c>
      <c r="BQ630">
        <v>7763</v>
      </c>
      <c r="BR630" t="inlineStr">
        <is>
          <t>Manual (Paid)</t>
        </is>
      </c>
      <c r="BS630"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630">
        <v>7763</v>
      </c>
      <c r="BU630"/>
      <c r="BV630">
        <v>2738167</v>
      </c>
      <c r="BW630" t="inlineStr">
        <is>
          <t>Follow Up : Win - Customer Paid</t>
        </is>
      </c>
      <c r="BX630">
        <v>1</v>
      </c>
      <c r="BY630">
        <v>1</v>
      </c>
      <c r="BZ630" s="4"/>
      <c r="CA630">
        <v>60</v>
      </c>
      <c r="CB630">
        <v>60</v>
      </c>
      <c r="CC630" s="4"/>
      <c r="CD630" t="inlineStr">
        <is>
          <t>20</t>
        </is>
      </c>
      <c r="CE630" t="inlineStr">
        <is>
          <t>0</t>
        </is>
      </c>
      <c r="CF630" t="inlineStr">
        <is>
          <t>Q2-W04</t>
        </is>
      </c>
      <c r="CG630" t="inlineStr">
        <is>
          <t>Q2-W04</t>
        </is>
      </c>
      <c r="CH630" t="inlineStr">
        <is>
          <t>Q2-W04</t>
        </is>
      </c>
      <c r="CI630"/>
      <c r="CJ630" t="inlineStr">
        <is>
          <t>Paid</t>
        </is>
      </c>
      <c r="CK630" t="inlineStr">
        <is>
          <t>Eligible</t>
        </is>
      </c>
      <c r="CL630"/>
      <c r="CM630"/>
    </row>
    <row r="631" ht="25.5" customHeight="1">
      <c r="A631" t="inlineStr">
        <is>
          <t>121914</t>
        </is>
      </c>
      <c r="B631" s="2"/>
      <c r="C631"/>
      <c r="D631" s="3">
        <v>46142.638703703706</v>
      </c>
      <c r="E631" t="inlineStr">
        <is>
          <t>Q2-W04</t>
        </is>
      </c>
      <c r="F631" t="inlineStr">
        <is>
          <t>Yvonne Lee</t>
        </is>
      </c>
      <c r="G631" t="inlineStr">
        <is>
          <t>Customer</t>
        </is>
      </c>
      <c r="H631" s="2" t="str">
        <f>=HYPERLINK("https://upbox.ajobthing.my/customer/121914", "https://upbox.ajobthing.my/customer/121914")</f>
        <v>https://upbox.ajobthing.my/customer/121914</v>
      </c>
      <c r="I631" t="inlineStr">
        <is>
          <t>MGKL Resources</t>
        </is>
      </c>
      <c r="J631" t="inlineStr">
        <is>
          <t>Whale</t>
        </is>
      </c>
      <c r="K631" t="inlineStr">
        <is>
          <t>Yvonne</t>
        </is>
      </c>
      <c r="L631" s="4"/>
      <c r="M631" s="4">
        <v>46142.64424768519</v>
      </c>
      <c r="N631"/>
      <c r="O631">
        <v>10800</v>
      </c>
      <c r="P631" s="4"/>
      <c r="Q631" s="4">
        <v>45210.66496527778</v>
      </c>
      <c r="R631"/>
      <c r="S631">
        <v>2968</v>
      </c>
      <c r="T631" s="4">
        <v>45210.66496527778</v>
      </c>
      <c r="U631" s="4"/>
      <c r="V631"/>
      <c r="W631">
        <v>2968</v>
      </c>
      <c r="X631"/>
      <c r="Y631" t="inlineStr">
        <is>
          <t>Pending Appointment</t>
        </is>
      </c>
      <c r="Z631" t="inlineStr">
        <is>
          <t>Hiring Now</t>
        </is>
      </c>
      <c r="AA631">
        <v>3</v>
      </c>
      <c r="AB631" t="inlineStr">
        <is>
          <t>No Appointment Made</t>
        </is>
      </c>
      <c r="AC631"/>
      <c r="AD631" t="inlineStr">
        <is>
          <t>1) Unit Manager
2) Senior Sales Representative
3) Sales Representative</t>
        </is>
      </c>
      <c r="AE631"/>
      <c r="AF631">
        <v>10000</v>
      </c>
      <c r="AG631" s="4"/>
      <c r="AH631" s="4"/>
      <c r="AI631">
        <v>10000</v>
      </c>
      <c r="AJ631">
        <v>1</v>
      </c>
      <c r="AK631" t="inlineStr">
        <is>
          <t>Yes, I have</t>
        </is>
      </c>
      <c r="AL631">
        <v>2</v>
      </c>
      <c r="AM631" t="inlineStr">
        <is>
          <t>No, I don't need at all</t>
        </is>
      </c>
      <c r="AN631"/>
      <c r="AO631" t="inlineStr">
        <is>
          <t>No, I don't need at all</t>
        </is>
      </c>
      <c r="AP631" t="inlineStr">
        <is>
          <t>Every month (100%)</t>
        </is>
      </c>
      <c r="AQ631">
        <v>100</v>
      </c>
      <c r="AR631" t="inlineStr">
        <is>
          <t>Indeed (Paid)</t>
        </is>
      </c>
      <c r="AS631" t="inlineStr">
        <is>
          <t>- Headcount: 3
- Hiring Job Details: 1 Unit Manager, 2 Senior Sales Representative, 3 Sales Representative
- Hiring Urgency: Hiring Now
- Number of outlets: 1
- Have recruiter team: Yes
- Number of recruiter in company: 2
- Have ATS system: No, I don't need at all
- Have career website: No, I don't need at all
- Current hiring budget: RM10,000
- Whole year budget: RM10,000.00
- Whole year number of vacancies: 100
- Hiring frequency: Every month (100%)
- External job portal: Indeed (Paid)</t>
        </is>
      </c>
      <c r="AT631">
        <v>115</v>
      </c>
      <c r="AU631" t="inlineStr">
        <is>
          <t>1.15</t>
        </is>
      </c>
      <c r="AV631" t="inlineStr">
        <is>
          <t>15</t>
        </is>
      </c>
      <c r="AW631" t="inlineStr">
        <is>
          <t>0</t>
        </is>
      </c>
      <c r="AX631" t="inlineStr">
        <is>
          <t>Not Qualified</t>
        </is>
      </c>
      <c r="AY631" s="4"/>
      <c r="AZ631"/>
      <c r="BA631"/>
      <c r="BB631"/>
      <c r="BC631" t="inlineStr">
        <is>
          <t>Quotation shared.</t>
        </is>
      </c>
      <c r="BD631" s="4">
        <v>46142.72920138889</v>
      </c>
      <c r="BE631" t="inlineStr">
        <is>
          <t>paid</t>
        </is>
      </c>
      <c r="BF631"/>
      <c r="BG631" t="inlineStr">
        <is>
          <t>Reschedule</t>
        </is>
      </c>
      <c r="BH631" t="inlineStr">
        <is>
          <t>andy@ajobthing.com</t>
        </is>
      </c>
      <c r="BI631" t="inlineStr">
        <is>
          <t>Insurance</t>
        </is>
      </c>
      <c r="BJ631" s="4">
        <v>46144.75025462963</v>
      </c>
      <c r="BK631" s="4">
        <v>43732.620104166665</v>
      </c>
      <c r="BL631" t="inlineStr">
        <is>
          <t>0.0</t>
        </is>
      </c>
      <c r="BM631" t="inlineStr">
        <is>
          <t>0.0</t>
        </is>
      </c>
      <c r="BN631" t="inlineStr">
        <is>
          <t>View Jobmanager Page</t>
        </is>
      </c>
      <c r="BO631" s="4">
        <v>45672.51416666667</v>
      </c>
      <c r="BP631">
        <v>169715</v>
      </c>
      <c r="BQ631">
        <v>62887</v>
      </c>
      <c r="BR631" t="inlineStr">
        <is>
          <t>Online</t>
        </is>
      </c>
      <c r="BS631"/>
      <c r="BT631">
        <v>62887</v>
      </c>
      <c r="BU631"/>
      <c r="BV631">
        <v>2738392</v>
      </c>
      <c r="BW631" t="inlineStr">
        <is>
          <t>Inquire for Hiring Needs : Quotation Sent 50%</t>
        </is>
      </c>
      <c r="BX631"/>
      <c r="BY631"/>
      <c r="BZ631" s="4"/>
      <c r="CA631"/>
      <c r="CB631"/>
      <c r="CC631" s="4"/>
      <c r="CD631" t="inlineStr">
        <is>
          <t>20</t>
        </is>
      </c>
      <c r="CE631" t="inlineStr">
        <is>
          <t>0</t>
        </is>
      </c>
      <c r="CF631" t="inlineStr">
        <is>
          <t>Q2-W04</t>
        </is>
      </c>
      <c r="CG631"/>
      <c r="CH631"/>
      <c r="CI631"/>
      <c r="CJ631" t="inlineStr">
        <is>
          <t>Paid</t>
        </is>
      </c>
      <c r="CK631" t="inlineStr">
        <is>
          <t>Eligible</t>
        </is>
      </c>
      <c r="CL631"/>
      <c r="CM631"/>
    </row>
    <row r="632" ht="25.5" customHeight="1">
      <c r="A632" t="inlineStr">
        <is>
          <t>147375</t>
        </is>
      </c>
      <c r="B632" s="2"/>
      <c r="C632"/>
      <c r="D632" s="3">
        <v>46142.65930555556</v>
      </c>
      <c r="E632" t="inlineStr">
        <is>
          <t>Q2-W04</t>
        </is>
      </c>
      <c r="F632" t="inlineStr">
        <is>
          <t>Yuli</t>
        </is>
      </c>
      <c r="G632" t="inlineStr">
        <is>
          <t>Customer</t>
        </is>
      </c>
      <c r="H632" s="2" t="str">
        <f>=HYPERLINK("https://upbox.ajobthing.my/customer/147375", "https://upbox.ajobthing.my/customer/147375")</f>
        <v>https://upbox.ajobthing.my/customer/147375</v>
      </c>
      <c r="I632" t="inlineStr">
        <is>
          <t>Sisley Cosmetics Sdn Bhd</t>
        </is>
      </c>
      <c r="J632" t="inlineStr">
        <is>
          <t>Whale</t>
        </is>
      </c>
      <c r="K632" t="inlineStr">
        <is>
          <t>YuLi</t>
        </is>
      </c>
      <c r="L632" s="4"/>
      <c r="M632" s="4">
        <v>46142.65988425926</v>
      </c>
      <c r="N632"/>
      <c r="O632">
        <v>1296</v>
      </c>
      <c r="P632" s="4"/>
      <c r="Q632" s="4">
        <v>45306.00001157408</v>
      </c>
      <c r="R632"/>
      <c r="S632">
        <v>636</v>
      </c>
      <c r="T632" s="4">
        <v>45306.00001157408</v>
      </c>
      <c r="U632" s="4"/>
      <c r="V632"/>
      <c r="W632">
        <v>636</v>
      </c>
      <c r="X632"/>
      <c r="Y632" t="inlineStr">
        <is>
          <t>Pending Appointment</t>
        </is>
      </c>
      <c r="Z632" t="inlineStr">
        <is>
          <t>Hiring Now</t>
        </is>
      </c>
      <c r="AA632">
        <v>1</v>
      </c>
      <c r="AB632" t="inlineStr">
        <is>
          <t>No Appointment Made</t>
        </is>
      </c>
      <c r="AC632"/>
      <c r="AD632" t="inlineStr">
        <is>
          <t>1 Beautician</t>
        </is>
      </c>
      <c r="AE632"/>
      <c r="AF632"/>
      <c r="AG632" s="4"/>
      <c r="AH632" s="4"/>
      <c r="AI632"/>
      <c r="AJ632"/>
      <c r="AK632" t="inlineStr">
        <is>
          <t>No, I don't need at all</t>
        </is>
      </c>
      <c r="AL632"/>
      <c r="AM632"/>
      <c r="AN632"/>
      <c r="AO632"/>
      <c r="AP632"/>
      <c r="AQ632"/>
      <c r="AR632" t="inlineStr">
        <is>
          <t>Did not use any job portal</t>
        </is>
      </c>
      <c r="AS632" t="inlineStr">
        <is>
          <t>- Headcount: 1
- Hiring Job Details: 1 Beautician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
- Hiring Urgency: Hiring Now</t>
        </is>
      </c>
      <c r="AT632">
        <v>65</v>
      </c>
      <c r="AU632" t="inlineStr">
        <is>
          <t>0.65</t>
        </is>
      </c>
      <c r="AV632" t="inlineStr">
        <is>
          <t>5</t>
        </is>
      </c>
      <c r="AW632" t="inlineStr">
        <is>
          <t>0</t>
        </is>
      </c>
      <c r="AX632" t="inlineStr">
        <is>
          <t>Not Qualified</t>
        </is>
      </c>
      <c r="AY632" s="4"/>
      <c r="AZ632"/>
      <c r="BA632"/>
      <c r="BB632"/>
      <c r="BC632" t="inlineStr">
        <is>
          <t>share quotation</t>
        </is>
      </c>
      <c r="BD632" s="4">
        <v>46142.75111111111</v>
      </c>
      <c r="BE632" t="inlineStr">
        <is>
          <t>paid</t>
        </is>
      </c>
      <c r="BF632"/>
      <c r="BG632" t="inlineStr">
        <is>
          <t>Reschedule</t>
        </is>
      </c>
      <c r="BH632" t="inlineStr">
        <is>
          <t>Fauziah Maharan</t>
        </is>
      </c>
      <c r="BI632" t="inlineStr">
        <is>
          <t>Beauty / Fitness</t>
        </is>
      </c>
      <c r="BJ632" s="4">
        <v>46144.75077546296</v>
      </c>
      <c r="BK632" s="4">
        <v>44580.73166666667</v>
      </c>
      <c r="BL632" t="inlineStr">
        <is>
          <t>0.0</t>
        </is>
      </c>
      <c r="BM632" t="inlineStr">
        <is>
          <t>0.0</t>
        </is>
      </c>
      <c r="BN632" t="inlineStr">
        <is>
          <t>People Search Page : Save Candidate</t>
        </is>
      </c>
      <c r="BO632" s="4">
        <v>45782.71585648148</v>
      </c>
      <c r="BP632">
        <v>169721</v>
      </c>
      <c r="BQ632">
        <v>65229</v>
      </c>
      <c r="BR632" t="inlineStr">
        <is>
          <t>Online</t>
        </is>
      </c>
      <c r="BS632"/>
      <c r="BT632">
        <v>65229</v>
      </c>
      <c r="BU632"/>
      <c r="BV632">
        <v>2738490</v>
      </c>
      <c r="BW632" t="inlineStr">
        <is>
          <t>Follow Up : Quotation Sent 50%</t>
        </is>
      </c>
      <c r="BX632"/>
      <c r="BY632"/>
      <c r="BZ632" s="4"/>
      <c r="CA632"/>
      <c r="CB632"/>
      <c r="CC632" s="4"/>
      <c r="CD632" t="inlineStr">
        <is>
          <t>5</t>
        </is>
      </c>
      <c r="CE632" t="inlineStr">
        <is>
          <t>0</t>
        </is>
      </c>
      <c r="CF632" t="inlineStr">
        <is>
          <t>Q2-W04</t>
        </is>
      </c>
      <c r="CG632"/>
      <c r="CH632"/>
      <c r="CI632"/>
      <c r="CJ632" t="inlineStr">
        <is>
          <t>Paid</t>
        </is>
      </c>
      <c r="CK632" t="inlineStr">
        <is>
          <t>Eligible</t>
        </is>
      </c>
      <c r="CL632"/>
      <c r="CM632"/>
    </row>
    <row r="633" ht="25.5" customHeight="1">
      <c r="A633" t="inlineStr">
        <is>
          <t>173755</t>
        </is>
      </c>
      <c r="B633" s="2"/>
      <c r="C633"/>
      <c r="D633" s="3">
        <v>46142.67177083333</v>
      </c>
      <c r="E633" t="inlineStr">
        <is>
          <t>Q2-W04</t>
        </is>
      </c>
      <c r="F633" t="inlineStr">
        <is>
          <t>Alan KY</t>
        </is>
      </c>
      <c r="G633" t="inlineStr">
        <is>
          <t>Customer</t>
        </is>
      </c>
      <c r="H633" s="2" t="str">
        <f>=HYPERLINK("https://upbox.ajobthing.my/customer/173755", "https://upbox.ajobthing.my/customer/173755")</f>
        <v>https://upbox.ajobthing.my/customer/173755</v>
      </c>
      <c r="I633" t="inlineStr">
        <is>
          <t>Boon Hua Motor Sdn Bhd</t>
        </is>
      </c>
      <c r="J633" t="inlineStr">
        <is>
          <t>Whale</t>
        </is>
      </c>
      <c r="K633" t="inlineStr">
        <is>
          <t>Alan KY</t>
        </is>
      </c>
      <c r="L633" s="4"/>
      <c r="M633" s="4">
        <v>46142.682118055556</v>
      </c>
      <c r="N633"/>
      <c r="O633">
        <v>13189</v>
      </c>
      <c r="P633" s="4"/>
      <c r="Q633" s="4">
        <v>46020.74081018518</v>
      </c>
      <c r="R633"/>
      <c r="S633">
        <v>5184</v>
      </c>
      <c r="T633" s="4">
        <v>46020.74081018518</v>
      </c>
      <c r="U633" s="4"/>
      <c r="V633"/>
      <c r="W633">
        <v>5184</v>
      </c>
      <c r="X633"/>
      <c r="Y633" t="inlineStr">
        <is>
          <t>Pending Appointment</t>
        </is>
      </c>
      <c r="Z633" t="inlineStr">
        <is>
          <t>Continuous Hiring</t>
        </is>
      </c>
      <c r="AA633">
        <v>1</v>
      </c>
      <c r="AB633" t="inlineStr">
        <is>
          <t>No Appointment Made</t>
        </is>
      </c>
      <c r="AC633"/>
      <c r="AD633" t="inlineStr">
        <is>
          <t>live host and sales advisor, long term hire 
Based in KL Selangor 
</t>
        </is>
      </c>
      <c r="AE633"/>
      <c r="AF633"/>
      <c r="AG633" s="4"/>
      <c r="AH633" s="4"/>
      <c r="AI633"/>
      <c r="AJ633">
        <v>5</v>
      </c>
      <c r="AK633" t="inlineStr">
        <is>
          <t>No, I don't need at all</t>
        </is>
      </c>
      <c r="AL633"/>
      <c r="AM633" t="inlineStr">
        <is>
          <t>No, I don't need at all</t>
        </is>
      </c>
      <c r="AN633"/>
      <c r="AO633" t="inlineStr">
        <is>
          <t>No, I don't need at all</t>
        </is>
      </c>
      <c r="AP633" t="inlineStr">
        <is>
          <t>Every month (100%)</t>
        </is>
      </c>
      <c r="AQ633"/>
      <c r="AR633" t="inlineStr">
        <is>
          <t>Indeed (Paid), Jobstreet</t>
        </is>
      </c>
      <c r="AS633" t="inlineStr">
        <is>
          <t>- Headcount: 1
- Hiring Job Details: live host and sales advisor, long term hire; Based in KL Selangor
- Hiring Urgency: Continuous Hiring
- Number of outlets: 5
- Have recruiter team: No, I don't need at all
- Number of recruiter in company: N/A
- Have ATS system: No, I don't need at all
- Have career website: No, I don't need at all
- Current hiring budget: N/A
- Whole year budget: N/A
- Whole year number of vacancies: N/A
- Hiring frequency: Every month (100%)
- External job portal: Indeed (Paid), Jobstreet</t>
        </is>
      </c>
      <c r="AT633">
        <v>75</v>
      </c>
      <c r="AU633" t="inlineStr">
        <is>
          <t>0.75</t>
        </is>
      </c>
      <c r="AV633" t="inlineStr">
        <is>
          <t>5</t>
        </is>
      </c>
      <c r="AW633" t="inlineStr">
        <is>
          <t>0</t>
        </is>
      </c>
      <c r="AX633" t="inlineStr">
        <is>
          <t>Not Qualified</t>
        </is>
      </c>
      <c r="AY633" s="4"/>
      <c r="AZ633"/>
      <c r="BA633"/>
      <c r="BB633"/>
      <c r="BC633" t="inlineStr">
        <is>
          <t>- Headcount: 1
- Hiring Job Details: live host and sales advisor, long term hire; Based in KL Selangor
- Hiring Urgency: Continuous Hiring
- Number of outlets: 5
- Have recruiter team: No, I don't need at all
- Number of recruiter in company: N/A
- Have ATS system: No, I don't need at all
- Have career website: No, I don't need at all
- Current hiring budget: N/A
- Whole year budget: N/A
- Whole year number of vacancies: N/A
- Hiring frequency: Every month (100%)
- External job portal: Indeed (Paid), Jobstreet</t>
        </is>
      </c>
      <c r="BD633" s="4">
        <v>46142.708391203705</v>
      </c>
      <c r="BE633" t="inlineStr">
        <is>
          <t>paid</t>
        </is>
      </c>
      <c r="BF633"/>
      <c r="BG633" t="inlineStr">
        <is>
          <t>Reschedule</t>
        </is>
      </c>
      <c r="BH633" t="inlineStr">
        <is>
          <t>Reagen</t>
        </is>
      </c>
      <c r="BI633" t="inlineStr">
        <is>
          <t>Automobile / Automotive</t>
        </is>
      </c>
      <c r="BJ633" s="4">
        <v>46144.75152777778</v>
      </c>
      <c r="BK633" s="4">
        <v>45273.65689814815</v>
      </c>
      <c r="BL633" t="inlineStr">
        <is>
          <t>5184.0</t>
        </is>
      </c>
      <c r="BM633" t="inlineStr">
        <is>
          <t>1800.0</t>
        </is>
      </c>
      <c r="BN633" t="inlineStr">
        <is>
          <t>View Candidate Search Page</t>
        </is>
      </c>
      <c r="BO633" s="4">
        <v>46142.65914351852</v>
      </c>
      <c r="BP633">
        <v>169732</v>
      </c>
      <c r="BQ633">
        <v>85220</v>
      </c>
      <c r="BR633" t="inlineStr">
        <is>
          <t>Online</t>
        </is>
      </c>
      <c r="BS633"/>
      <c r="BT633">
        <v>85220</v>
      </c>
      <c r="BU633"/>
      <c r="BV633">
        <v>2738279</v>
      </c>
      <c r="BW633" t="inlineStr">
        <is>
          <t>Customer Inquiry</t>
        </is>
      </c>
      <c r="BX633">
        <v>12</v>
      </c>
      <c r="BY633">
        <v>0</v>
      </c>
      <c r="BZ633" s="4">
        <v>46125.516076388885</v>
      </c>
      <c r="CA633">
        <v>120</v>
      </c>
      <c r="CB633">
        <v>0</v>
      </c>
      <c r="CC633" s="4">
        <v>46115.00817129629</v>
      </c>
      <c r="CD633" t="inlineStr">
        <is>
          <t>5</t>
        </is>
      </c>
      <c r="CE633" t="inlineStr">
        <is>
          <t>0</t>
        </is>
      </c>
      <c r="CF633" t="inlineStr">
        <is>
          <t>Q2-W04</t>
        </is>
      </c>
      <c r="CG633"/>
      <c r="CH633"/>
      <c r="CI633"/>
      <c r="CJ633" t="inlineStr">
        <is>
          <t>Paid</t>
        </is>
      </c>
      <c r="CK633" t="inlineStr">
        <is>
          <t>Eligible</t>
        </is>
      </c>
      <c r="CL633"/>
      <c r="CM633"/>
    </row>
    <row r="634" ht="25.5" customHeight="1">
      <c r="A634" t="inlineStr">
        <is>
          <t>45198</t>
        </is>
      </c>
      <c r="B634" s="2"/>
      <c r="C634"/>
      <c r="D634" s="3">
        <v>46142.68407407407</v>
      </c>
      <c r="E634" t="inlineStr">
        <is>
          <t>Q2-W04</t>
        </is>
      </c>
      <c r="F634" t="inlineStr">
        <is>
          <t>Josh</t>
        </is>
      </c>
      <c r="G634" t="inlineStr">
        <is>
          <t>Customer</t>
        </is>
      </c>
      <c r="H634" s="2" t="str">
        <f>=HYPERLINK("https://upbox.ajobthing.my/customer/45198", "https://upbox.ajobthing.my/customer/45198")</f>
        <v>https://upbox.ajobthing.my/customer/45198</v>
      </c>
      <c r="I634" t="inlineStr">
        <is>
          <t>CKL Performance Parts Sdn Bhd</t>
        </is>
      </c>
      <c r="J634" t="inlineStr">
        <is>
          <t>Whale</t>
        </is>
      </c>
      <c r="K634" t="inlineStr">
        <is>
          <t>Josh</t>
        </is>
      </c>
      <c r="L634" s="4"/>
      <c r="M634" s="4">
        <v>46142.674305555556</v>
      </c>
      <c r="N634"/>
      <c r="O634">
        <v>7140.96</v>
      </c>
      <c r="P634" s="4"/>
      <c r="Q634" s="4">
        <v>46142.88601851852</v>
      </c>
      <c r="R634"/>
      <c r="S634">
        <v>7140.96</v>
      </c>
      <c r="T634" s="4">
        <v>46142.88601851852</v>
      </c>
      <c r="U634" s="4"/>
      <c r="V634"/>
      <c r="W634">
        <v>7140.96</v>
      </c>
      <c r="X634"/>
      <c r="Y634" t="inlineStr">
        <is>
          <t>Pending Appointment</t>
        </is>
      </c>
      <c r="Z634" t="inlineStr">
        <is>
          <t>Hiring Now</t>
        </is>
      </c>
      <c r="AA634">
        <v>1</v>
      </c>
      <c r="AB634" t="inlineStr">
        <is>
          <t>No Appointment Made</t>
        </is>
      </c>
      <c r="AC634"/>
      <c r="AD634" t="inlineStr">
        <is>
          <t xml:space="preserve">1 MECHANIC </t>
        </is>
      </c>
      <c r="AE634"/>
      <c r="AF634">
        <v>5000</v>
      </c>
      <c r="AG634" s="4"/>
      <c r="AH634" s="4"/>
      <c r="AI634"/>
      <c r="AJ634"/>
      <c r="AK634" t="inlineStr">
        <is>
          <t>Yes, I have</t>
        </is>
      </c>
      <c r="AL634"/>
      <c r="AM634"/>
      <c r="AN634"/>
      <c r="AO634"/>
      <c r="AP634" t="inlineStr">
        <is>
          <t>Once a year (25%)</t>
        </is>
      </c>
      <c r="AQ634"/>
      <c r="AR634"/>
      <c r="AS634" t="inlineStr">
        <is>
          <t>- Headcount: 1
- Hiring Job Details: 1 MECHANIC
- Hiring Urgency: Hiring Now
- Number of outlets: Not provided
- Have recruiter team: Yes
- Number of recruiter in company: Not provided
- Have ATS system: Not provided
- Have career website: Not provided
- Current hiring budget: RM5,000.00
- Whole year budget: Not provided
- Whole year number of vacancies: Not provided
- Hiring frequency: Once a year (25%)
- External job portal: Not provided</t>
        </is>
      </c>
      <c r="AT634">
        <v>95</v>
      </c>
      <c r="AU634" t="inlineStr">
        <is>
          <t>0.95</t>
        </is>
      </c>
      <c r="AV634" t="inlineStr">
        <is>
          <t>15</t>
        </is>
      </c>
      <c r="AW634" t="inlineStr">
        <is>
          <t>0</t>
        </is>
      </c>
      <c r="AX634" t="inlineStr">
        <is>
          <t>Not Qualified</t>
        </is>
      </c>
      <c r="AY634" s="4"/>
      <c r="AZ634"/>
      <c r="BA634"/>
      <c r="BB634"/>
      <c r="BC634" t="inlineStr">
        <is>
          <t>- Headcount: 1
- Hiring Job Details: 1 MECHANIC
- Hiring Urgency: Hiring Now
- Number of outlets: Not provided
- Have recruiter team: Yes
- Number of recruiter in company: Not provided
- Have ATS system: Not provided
- Have career website: Not provided
- Current hiring budget: RM5,000.00
- Whole year budget: Not provided
- Whole year number of vacancies: Not provided
- Hiring frequency: Once a year (25%)
- External job portal: Not provided</t>
        </is>
      </c>
      <c r="BD634" s="4">
        <v>46142.708391203705</v>
      </c>
      <c r="BE634" t="inlineStr">
        <is>
          <t>paid</t>
        </is>
      </c>
      <c r="BF634" t="inlineStr">
        <is>
          <t>Q2-W04</t>
        </is>
      </c>
      <c r="BG634" t="inlineStr">
        <is>
          <t>Reschedule</t>
        </is>
      </c>
      <c r="BH634" t="inlineStr">
        <is>
          <t>Fauziah Maharan</t>
        </is>
      </c>
      <c r="BI634" t="inlineStr">
        <is>
          <t>Automobile / Automotive</t>
        </is>
      </c>
      <c r="BJ634" s="4">
        <v>46144.7559837963</v>
      </c>
      <c r="BK634" s="4">
        <v>43110.605150462965</v>
      </c>
      <c r="BL634" t="inlineStr">
        <is>
          <t>11028.0</t>
        </is>
      </c>
      <c r="BM634" t="inlineStr">
        <is>
          <t>0.0</t>
        </is>
      </c>
      <c r="BN634" t="inlineStr">
        <is>
          <t>View Candidate Search Page</t>
        </is>
      </c>
      <c r="BO634" s="4">
        <v>46144.635104166664</v>
      </c>
      <c r="BP634">
        <v>169728</v>
      </c>
      <c r="BQ634">
        <v>7765</v>
      </c>
      <c r="BR634" t="inlineStr">
        <is>
          <t>Manual (Paid)</t>
        </is>
      </c>
      <c r="BS634" t="inlineStr">
        <is>
          <t>AI Yearly Professional Plan
- AI Yearly Professional Plan of 8 AI Job Ads + 8 Free AI Job Ads with Booster
- 16 AI Job Ad will be published on Maukerja, Ricebowl and our partner platforms
- 16 AI Job Ad will be published for 45 days
- 16 Booster Plus
- 320 Free Candidates Profiles Unlock
- 6x Free Job Ad monthly (total 72 in a year) for any type of Intern / High Pay / Part-time / Volunteer / Freelance / Singapore Job
- 1 Free Company Page
- Package valid for 1 year
- AI Instant Match for 30 profiles
- AI Daily Talent Recommendation for 2 profiles daily
- AI "Open to Work" Detector for 2 profiles
- AI Smart Filter
- AI Post Job Assistant
- Ajobthing CARE
- Promo discount valid until 30 Apr 2026</t>
        </is>
      </c>
      <c r="BT634">
        <v>7765</v>
      </c>
      <c r="BU634"/>
      <c r="BV634">
        <v>2738281</v>
      </c>
      <c r="BW634" t="inlineStr">
        <is>
          <t>Customer Inquiry</t>
        </is>
      </c>
      <c r="BX634">
        <v>17</v>
      </c>
      <c r="BY634">
        <v>14</v>
      </c>
      <c r="BZ634" s="4">
        <v>46143.49423611111</v>
      </c>
      <c r="CA634">
        <v>305</v>
      </c>
      <c r="CB634">
        <v>298</v>
      </c>
      <c r="CC634" s="4">
        <v>46143.90621527778</v>
      </c>
      <c r="CD634" t="inlineStr">
        <is>
          <t>20</t>
        </is>
      </c>
      <c r="CE634" t="inlineStr">
        <is>
          <t>0</t>
        </is>
      </c>
      <c r="CF634" t="inlineStr">
        <is>
          <t>Q2-W04</t>
        </is>
      </c>
      <c r="CG634" t="inlineStr">
        <is>
          <t>Q2-W04</t>
        </is>
      </c>
      <c r="CH634" t="inlineStr">
        <is>
          <t>Q2-W04</t>
        </is>
      </c>
      <c r="CI634"/>
      <c r="CJ634" t="inlineStr">
        <is>
          <t>Paid</t>
        </is>
      </c>
      <c r="CK634" t="inlineStr">
        <is>
          <t>Eligible</t>
        </is>
      </c>
      <c r="CL634"/>
      <c r="CM634"/>
    </row>
    <row r="635" ht="25.5" customHeight="1">
      <c r="A635" t="inlineStr">
        <is>
          <t>135582</t>
        </is>
      </c>
      <c r="B635" s="2"/>
      <c r="C635"/>
      <c r="D635" s="3">
        <v>46142.870254629626</v>
      </c>
      <c r="E635" t="inlineStr">
        <is>
          <t>Q2-W04</t>
        </is>
      </c>
      <c r="F635" t="inlineStr">
        <is>
          <t>Yuli</t>
        </is>
      </c>
      <c r="G635" t="inlineStr">
        <is>
          <t>Customer</t>
        </is>
      </c>
      <c r="H635" s="2" t="str">
        <f>=HYPERLINK("https://upbox.ajobthing.my/customer/135582", "https://upbox.ajobthing.my/customer/135582")</f>
        <v>https://upbox.ajobthing.my/customer/135582</v>
      </c>
      <c r="I635" t="inlineStr">
        <is>
          <t>RPG Digitals Store</t>
        </is>
      </c>
      <c r="J635" t="inlineStr">
        <is>
          <t>Whale</t>
        </is>
      </c>
      <c r="K635" t="inlineStr">
        <is>
          <t>YuLi</t>
        </is>
      </c>
      <c r="L635" s="4"/>
      <c r="M635" s="4">
        <v>46142.76640046296</v>
      </c>
      <c r="N635"/>
      <c r="O635">
        <v>10381</v>
      </c>
      <c r="P635" s="4"/>
      <c r="Q635" s="4">
        <v>46125.79282407407</v>
      </c>
      <c r="R635"/>
      <c r="S635">
        <v>0</v>
      </c>
      <c r="T635" s="4">
        <v>45657</v>
      </c>
      <c r="U635" s="4"/>
      <c r="V635"/>
      <c r="W635">
        <v>5097.6</v>
      </c>
      <c r="X635"/>
      <c r="Y635" t="inlineStr">
        <is>
          <t>Pending Appointment</t>
        </is>
      </c>
      <c r="Z635" t="inlineStr">
        <is>
          <t>Hiring Now</t>
        </is>
      </c>
      <c r="AA635">
        <v>4</v>
      </c>
      <c r="AB635" t="inlineStr">
        <is>
          <t>No Appointment Made</t>
        </is>
      </c>
      <c r="AC635"/>
      <c r="AD635" t="inlineStr">
        <is>
          <t>Finance Intern, Finance Manager, Tax Manager, Customer Service</t>
        </is>
      </c>
      <c r="AE635"/>
      <c r="AF635">
        <v>5600</v>
      </c>
      <c r="AG635" s="4"/>
      <c r="AH635" s="4"/>
      <c r="AI635"/>
      <c r="AJ635"/>
      <c r="AK635"/>
      <c r="AL635"/>
      <c r="AM635"/>
      <c r="AN635"/>
      <c r="AO635"/>
      <c r="AP635" t="inlineStr">
        <is>
          <t>Every month (100%)</t>
        </is>
      </c>
      <c r="AQ635"/>
      <c r="AR635" t="inlineStr">
        <is>
          <t>Jobstreet</t>
        </is>
      </c>
      <c r="AS635" t="inlineStr">
        <is>
          <t>- Headcount: 4
- Hiring Job Details: Finance Intern, Finance Manager, Tax Manager, Customer Service
- Hiring Urgency: Hiring Now
- Number of outlets: Not provided
- Have recruiter team: Not provided
- Number of recruiter in company: Not provided
- Have ATS system: Not provided
- Have career website: Not provided
- Current hiring budget: RM5,600.00
- Whole year budget: Not provided
- Whole year number of vacancies: Not provided
- Hiring frequency: Every month (100%)
- External job portal: Jobstreet</t>
        </is>
      </c>
      <c r="AT635">
        <v>35</v>
      </c>
      <c r="AU635" t="inlineStr">
        <is>
          <t>0.35</t>
        </is>
      </c>
      <c r="AV635" t="inlineStr">
        <is>
          <t>15</t>
        </is>
      </c>
      <c r="AW635" t="inlineStr">
        <is>
          <t>0</t>
        </is>
      </c>
      <c r="AX635" t="inlineStr">
        <is>
          <t>Not Qualified</t>
        </is>
      </c>
      <c r="AY635" s="4"/>
      <c r="AZ635"/>
      <c r="BA635"/>
      <c r="BB635"/>
      <c r="BC635" t="inlineStr">
        <is>
          <t>- Headcount: 4
- Hiring Job Details: Finance Intern, Finance Manager, Tax Manager, Customer Service
- Hiring Urgency: Hiring Now
- Number of outlets: Not provided
- Have recruiter team: Not provided
- Number of recruiter in company: Not provided
- Have ATS system: Not provided
- Have career website: Not provided
- Current hiring budget: RM5,600.00
- Whole year budget: Not provided
- Whole year number of vacancies: Not provided
- Hiring frequency: Every month (100%)
- External job portal: Jobstreet</t>
        </is>
      </c>
      <c r="BD635" s="4">
        <v>46142.875127314815</v>
      </c>
      <c r="BE635" t="inlineStr">
        <is>
          <t>paid</t>
        </is>
      </c>
      <c r="BF635"/>
      <c r="BG635" t="inlineStr">
        <is>
          <t>Reschedule</t>
        </is>
      </c>
      <c r="BH635" t="inlineStr">
        <is>
          <t>Fauziah Maharan</t>
        </is>
      </c>
      <c r="BI635" t="inlineStr">
        <is>
          <t>Retail / Merchandise</t>
        </is>
      </c>
      <c r="BJ635" s="4">
        <v>46144.750555555554</v>
      </c>
      <c r="BK635" s="4">
        <v>44269.813414351855</v>
      </c>
      <c r="BL635" t="inlineStr">
        <is>
          <t>0.0</t>
        </is>
      </c>
      <c r="BM635" t="inlineStr">
        <is>
          <t>0.0</t>
        </is>
      </c>
      <c r="BN635" t="inlineStr">
        <is>
          <t>View Company Page</t>
        </is>
      </c>
      <c r="BO635" s="4">
        <v>46142.75641203704</v>
      </c>
      <c r="BP635">
        <v>169754</v>
      </c>
      <c r="BQ635">
        <v>122098</v>
      </c>
      <c r="BR635" t="inlineStr">
        <is>
          <t>Proforma</t>
        </is>
      </c>
      <c r="BS635" t="inlineStr">
        <is>
          <t>Free Internship Job</t>
        </is>
      </c>
      <c r="BT635">
        <v>75799</v>
      </c>
      <c r="BU635"/>
      <c r="BV635">
        <v>2738569</v>
      </c>
      <c r="BW635" t="inlineStr">
        <is>
          <t>Customer Inquiry</t>
        </is>
      </c>
      <c r="BX635"/>
      <c r="BY635"/>
      <c r="BZ635" s="4"/>
      <c r="CA635"/>
      <c r="CB635"/>
      <c r="CC635" s="4"/>
      <c r="CD635" t="inlineStr">
        <is>
          <t>20</t>
        </is>
      </c>
      <c r="CE635" t="inlineStr">
        <is>
          <t>0</t>
        </is>
      </c>
      <c r="CF635" t="inlineStr">
        <is>
          <t>Q2-W04</t>
        </is>
      </c>
      <c r="CG635" t="inlineStr">
        <is>
          <t>Q2-W02</t>
        </is>
      </c>
      <c r="CH635"/>
      <c r="CI635"/>
      <c r="CJ635" t="inlineStr">
        <is>
          <t>Paid</t>
        </is>
      </c>
      <c r="CK635" t="inlineStr">
        <is>
          <t>Eligible</t>
        </is>
      </c>
      <c r="CL635"/>
      <c r="CM635"/>
    </row>
    <row r="636" ht="25.5" customHeight="1">
      <c r="A636" t="inlineStr">
        <is>
          <t>149357</t>
        </is>
      </c>
      <c r="B636" s="2"/>
      <c r="C636"/>
      <c r="D636" s="3">
        <v>46142.87420138889</v>
      </c>
      <c r="E636" t="inlineStr">
        <is>
          <t>Q2-W04</t>
        </is>
      </c>
      <c r="F636" t="inlineStr">
        <is>
          <t>Yuli</t>
        </is>
      </c>
      <c r="G636" t="inlineStr">
        <is>
          <t>Customer</t>
        </is>
      </c>
      <c r="H636" s="2" t="str">
        <f>=HYPERLINK("https://upbox.ajobthing.my/customer/149357", "https://upbox.ajobthing.my/customer/149357")</f>
        <v>https://upbox.ajobthing.my/customer/149357</v>
      </c>
      <c r="I636" t="inlineStr">
        <is>
          <t>Penn-Mart Toys (M) Sdn Bhd</t>
        </is>
      </c>
      <c r="J636" t="inlineStr">
        <is>
          <t>Whale</t>
        </is>
      </c>
      <c r="K636" t="inlineStr">
        <is>
          <t>YuLi</t>
        </is>
      </c>
      <c r="L636" s="4"/>
      <c r="M636" s="4">
        <v>46142.87702546296</v>
      </c>
      <c r="N636"/>
      <c r="O636">
        <v>10381</v>
      </c>
      <c r="P636" s="4"/>
      <c r="Q636" s="4">
        <v>45887.91966435185</v>
      </c>
      <c r="R636"/>
      <c r="S636">
        <v>5832</v>
      </c>
      <c r="T636" s="4">
        <v>45671.488171296296</v>
      </c>
      <c r="U636" s="4"/>
      <c r="V636"/>
      <c r="W636">
        <v>540</v>
      </c>
      <c r="X636"/>
      <c r="Y636" t="inlineStr">
        <is>
          <t>Pending Appointment</t>
        </is>
      </c>
      <c r="Z636" t="inlineStr">
        <is>
          <t>Hiring Now</t>
        </is>
      </c>
      <c r="AA636">
        <v>4</v>
      </c>
      <c r="AB636" t="inlineStr">
        <is>
          <t>No Appointment Made</t>
        </is>
      </c>
      <c r="AC636"/>
      <c r="AD636" t="inlineStr">
        <is>
          <t xml:space="preserve">Retail Cashier, Warehouse, Customer Service, Business Development, </t>
        </is>
      </c>
      <c r="AE636"/>
      <c r="AF636"/>
      <c r="AG636" s="4"/>
      <c r="AH636" s="4"/>
      <c r="AI636"/>
      <c r="AJ636"/>
      <c r="AK636"/>
      <c r="AL636"/>
      <c r="AM636"/>
      <c r="AN636"/>
      <c r="AO636"/>
      <c r="AP636" t="inlineStr">
        <is>
          <t>Every month (100%)</t>
        </is>
      </c>
      <c r="AQ636"/>
      <c r="AR636" t="inlineStr">
        <is>
          <t>Did not use any job portal</t>
        </is>
      </c>
      <c r="AS636" t="inlineStr">
        <is>
          <t>- Headcount: 4
- Hiring Job Details: Retail Cashier, Warehouse, Customer Service, Business Development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Every month (100%)
- External job portal: Did not use any job portal</t>
        </is>
      </c>
      <c r="AT636">
        <v>70</v>
      </c>
      <c r="AU636" t="inlineStr">
        <is>
          <t>0.70</t>
        </is>
      </c>
      <c r="AV636" t="inlineStr">
        <is>
          <t>5</t>
        </is>
      </c>
      <c r="AW636" t="inlineStr">
        <is>
          <t>0</t>
        </is>
      </c>
      <c r="AX636" t="inlineStr">
        <is>
          <t>Not Qualified</t>
        </is>
      </c>
      <c r="AY636" s="4"/>
      <c r="AZ636"/>
      <c r="BA636"/>
      <c r="BB636"/>
      <c r="BC636" t="inlineStr">
        <is>
          <t>share quotation</t>
        </is>
      </c>
      <c r="BD636" s="4">
        <v>46142.91405092592</v>
      </c>
      <c r="BE636" t="inlineStr">
        <is>
          <t>pending</t>
        </is>
      </c>
      <c r="BF636"/>
      <c r="BG636" t="inlineStr">
        <is>
          <t>Reschedule</t>
        </is>
      </c>
      <c r="BH636" t="inlineStr">
        <is>
          <t>Fauziah Maharan</t>
        </is>
      </c>
      <c r="BI636" t="inlineStr">
        <is>
          <t>Retail / Merchandise</t>
        </is>
      </c>
      <c r="BJ636" s="4">
        <v>46144.75082175926</v>
      </c>
      <c r="BK636" s="4">
        <v>44622.65053240741</v>
      </c>
      <c r="BL636" t="inlineStr">
        <is>
          <t>0.0</t>
        </is>
      </c>
      <c r="BM636" t="inlineStr">
        <is>
          <t>1200.0</t>
        </is>
      </c>
      <c r="BN636" t="inlineStr">
        <is>
          <t>View Company Page</t>
        </is>
      </c>
      <c r="BO636" s="4">
        <v>46000.71880787037</v>
      </c>
      <c r="BP636">
        <v>169761</v>
      </c>
      <c r="BQ636">
        <v>108236</v>
      </c>
      <c r="BR636" t="inlineStr">
        <is>
          <t>Proforma</t>
        </is>
      </c>
      <c r="BS636" t="inlineStr">
        <is>
          <t>Job Slot SME</t>
        </is>
      </c>
      <c r="BT636">
        <v>76105</v>
      </c>
      <c r="BU636"/>
      <c r="BV636">
        <v>2738578</v>
      </c>
      <c r="BW636" t="inlineStr">
        <is>
          <t>Follow Up : Quotation Sent 50%</t>
        </is>
      </c>
      <c r="BX636"/>
      <c r="BY636"/>
      <c r="BZ636" s="4"/>
      <c r="CA636"/>
      <c r="CB636"/>
      <c r="CC636" s="4"/>
      <c r="CD636" t="inlineStr">
        <is>
          <t>5</t>
        </is>
      </c>
      <c r="CE636" t="inlineStr">
        <is>
          <t>0</t>
        </is>
      </c>
      <c r="CF636" t="inlineStr">
        <is>
          <t>Q2-W04</t>
        </is>
      </c>
      <c r="CG636"/>
      <c r="CH636"/>
      <c r="CI636"/>
      <c r="CJ636" t="inlineStr">
        <is>
          <t>Paid</t>
        </is>
      </c>
      <c r="CK636" t="inlineStr">
        <is>
          <t>Eligible</t>
        </is>
      </c>
      <c r="CL636"/>
      <c r="CM636"/>
    </row>
    <row r="637" ht="25.5" customHeight="1">
      <c r="A637" t="inlineStr">
        <is>
          <t>199651</t>
        </is>
      </c>
      <c r="B637" s="2"/>
      <c r="C637"/>
      <c r="D637" s="3">
        <v>46142.883993055555</v>
      </c>
      <c r="E637" t="inlineStr">
        <is>
          <t>Q2-W04</t>
        </is>
      </c>
      <c r="F637" t="inlineStr">
        <is>
          <t>Yuli</t>
        </is>
      </c>
      <c r="G637" t="inlineStr">
        <is>
          <t>Customer</t>
        </is>
      </c>
      <c r="H637" s="2" t="str">
        <f>=HYPERLINK("https://upbox.ajobthing.my/customer/199651", "https://upbox.ajobthing.my/customer/199651")</f>
        <v>https://upbox.ajobthing.my/customer/199651</v>
      </c>
      <c r="I637" t="inlineStr">
        <is>
          <t>YHL Realty Holding Sdn. Bhd.</t>
        </is>
      </c>
      <c r="J637" t="inlineStr">
        <is>
          <t>Whale</t>
        </is>
      </c>
      <c r="K637" t="inlineStr">
        <is>
          <t>YuLi</t>
        </is>
      </c>
      <c r="L637" s="4"/>
      <c r="M637" s="4">
        <v>46142.7547337963</v>
      </c>
      <c r="N637"/>
      <c r="O637">
        <v>10381</v>
      </c>
      <c r="P637" s="4"/>
      <c r="Q637" s="4">
        <v>46066.91043981481</v>
      </c>
      <c r="R637"/>
      <c r="S637">
        <v>0</v>
      </c>
      <c r="T637" s="4">
        <v>46044.585185185184</v>
      </c>
      <c r="U637" s="4"/>
      <c r="V637"/>
      <c r="W637">
        <v>5508</v>
      </c>
      <c r="X637"/>
      <c r="Y637" t="inlineStr">
        <is>
          <t>Pending Appointment</t>
        </is>
      </c>
      <c r="Z637" t="inlineStr">
        <is>
          <t>Hiring Now</t>
        </is>
      </c>
      <c r="AA637">
        <v>5</v>
      </c>
      <c r="AB637" t="inlineStr">
        <is>
          <t>No Appointment Made</t>
        </is>
      </c>
      <c r="AC637"/>
      <c r="AD637" t="inlineStr">
        <is>
          <t>Security, Sous Chef, Intern, F &amp; B attendant, Executive Lounge attendant</t>
        </is>
      </c>
      <c r="AE637"/>
      <c r="AF637">
        <v>5000</v>
      </c>
      <c r="AG637" s="4"/>
      <c r="AH637" s="4"/>
      <c r="AI637"/>
      <c r="AJ637"/>
      <c r="AK637" t="inlineStr">
        <is>
          <t>Yes, I have</t>
        </is>
      </c>
      <c r="AL637">
        <v>2</v>
      </c>
      <c r="AM637" t="inlineStr">
        <is>
          <t>No, I don't need at all</t>
        </is>
      </c>
      <c r="AN637"/>
      <c r="AO637"/>
      <c r="AP637" t="inlineStr">
        <is>
          <t>Every month (100%)</t>
        </is>
      </c>
      <c r="AQ637"/>
      <c r="AR637" t="inlineStr">
        <is>
          <t>Free Job Portal</t>
        </is>
      </c>
      <c r="AS637" t="inlineStr">
        <is>
          <t>- Headcount: 5
- Hiring Job Details: Security, Sous Chef, Intern, F &amp; B attendant, Executive Lounge attendant
- Hiring Urgency: Hiring Now
- Number of outlets: Not provided
- Have recruiter team: Yes
- Number of recruiter in company: 2
- Have ATS system: No, I don't need at all
- Have career website: Not provided
- Current hiring budget: RM5,000.00
- Whole year budget: Not provided
- Whole year number of vacancies: Not provided
- Hiring frequency: Every month (100%)
- External job portal: Free Job Portal</t>
        </is>
      </c>
      <c r="AT637">
        <v>75</v>
      </c>
      <c r="AU637" t="inlineStr">
        <is>
          <t>0.75</t>
        </is>
      </c>
      <c r="AV637" t="inlineStr">
        <is>
          <t>20</t>
        </is>
      </c>
      <c r="AW637" t="inlineStr">
        <is>
          <t>0</t>
        </is>
      </c>
      <c r="AX637" t="inlineStr">
        <is>
          <t>Not Qualified</t>
        </is>
      </c>
      <c r="AY637" s="4"/>
      <c r="AZ637"/>
      <c r="BA637"/>
      <c r="BB637"/>
      <c r="BC637" t="inlineStr">
        <is>
          <t>- Headcount: 5
- Hiring Job Details: Security, Sous Chef, Intern, F &amp; B attendant, Executive Lounge attendant
- Hiring Urgency: Hiring Now
- Number of outlets: Not provided
- Have recruiter team: Yes
- Number of recruiter in company: 2
- Have ATS system: No, I don't need at all
- Have career website: Not provided
- Current hiring budget: RM5,000.00
- Whole year budget: Not provided
- Whole year number of vacancies: Not provided
- Hiring frequency: Every month (100%)
- External job portal: Free Job Portal</t>
        </is>
      </c>
      <c r="BD637" s="4">
        <v>46142.91668981482</v>
      </c>
      <c r="BE637" t="inlineStr">
        <is>
          <t>paid</t>
        </is>
      </c>
      <c r="BF637" t="inlineStr">
        <is>
          <t>Q1-W03</t>
        </is>
      </c>
      <c r="BG637" t="inlineStr">
        <is>
          <t>Reschedule</t>
        </is>
      </c>
      <c r="BH637" t="inlineStr">
        <is>
          <t>Fauziah Maharan</t>
        </is>
      </c>
      <c r="BI637"/>
      <c r="BJ637" s="4">
        <v>46144.75334490741</v>
      </c>
      <c r="BK637" s="4">
        <v>46013.7353125</v>
      </c>
      <c r="BL637" t="inlineStr">
        <is>
          <t>5508.0</t>
        </is>
      </c>
      <c r="BM637" t="inlineStr">
        <is>
          <t>0.0</t>
        </is>
      </c>
      <c r="BN637" t="inlineStr">
        <is>
          <t>PA Email CTA Click</t>
        </is>
      </c>
      <c r="BO637" s="4">
        <v>46144.334699074076</v>
      </c>
      <c r="BP637">
        <v>169749</v>
      </c>
      <c r="BQ637">
        <v>115421</v>
      </c>
      <c r="BR637" t="inlineStr">
        <is>
          <t>Proforma</t>
        </is>
      </c>
      <c r="BS637" t="inlineStr">
        <is>
          <t>Free Internship Job</t>
        </is>
      </c>
      <c r="BT637">
        <v>6950</v>
      </c>
      <c r="BU637"/>
      <c r="BV637">
        <v>2738580</v>
      </c>
      <c r="BW637" t="inlineStr">
        <is>
          <t>Customer Inquiry</t>
        </is>
      </c>
      <c r="BX637">
        <v>12</v>
      </c>
      <c r="BY637">
        <v>0</v>
      </c>
      <c r="BZ637" s="4">
        <v>46141.68981481482</v>
      </c>
      <c r="CA637">
        <v>120</v>
      </c>
      <c r="CB637">
        <v>120</v>
      </c>
      <c r="CC637" s="4"/>
      <c r="CD637" t="inlineStr">
        <is>
          <t>30</t>
        </is>
      </c>
      <c r="CE637" t="inlineStr">
        <is>
          <t>0</t>
        </is>
      </c>
      <c r="CF637" t="inlineStr">
        <is>
          <t>Q2-W04</t>
        </is>
      </c>
      <c r="CG637" t="inlineStr">
        <is>
          <t>Q1-W07</t>
        </is>
      </c>
      <c r="CH637" t="inlineStr">
        <is>
          <t>Q1-W03</t>
        </is>
      </c>
      <c r="CI637"/>
      <c r="CJ637" t="inlineStr">
        <is>
          <t>Paid</t>
        </is>
      </c>
      <c r="CK637" t="inlineStr">
        <is>
          <t>Eligible</t>
        </is>
      </c>
      <c r="CL637"/>
      <c r="CM637"/>
    </row>
    <row r="638" ht="25.5" customHeight="1">
      <c r="A638" t="inlineStr">
        <is>
          <t>4284678</t>
        </is>
      </c>
      <c r="B638" s="2"/>
      <c r="C638"/>
      <c r="D638" s="3">
        <v>46136.44193287037</v>
      </c>
      <c r="E638" t="inlineStr">
        <is>
          <t>Q2-W04</t>
        </is>
      </c>
      <c r="F638" t="inlineStr">
        <is>
          <t>Lucas</t>
        </is>
      </c>
      <c r="G638" t="inlineStr">
        <is>
          <t>Lead</t>
        </is>
      </c>
      <c r="H638" s="2" t="str">
        <f>=HYPERLINK("https://upbox.ajobthing.my/leads/4284678", "https://upbox.ajobthing.my/leads/4284678")</f>
        <v>https://upbox.ajobthing.my/leads/4284678</v>
      </c>
      <c r="I638" t="inlineStr">
        <is>
          <t>KINTA PRESS &amp; PACKAGING (M) SDN.BHD.</t>
        </is>
      </c>
      <c r="J638"/>
      <c r="K638" t="inlineStr">
        <is>
          <t>Lucas</t>
        </is>
      </c>
      <c r="L638" s="4"/>
      <c r="M638" s="4">
        <v>46136.4393287037</v>
      </c>
      <c r="N638"/>
      <c r="O638">
        <v>6048</v>
      </c>
      <c r="P638" s="4"/>
      <c r="Q638" s="4"/>
      <c r="R638"/>
      <c r="S638"/>
      <c r="T638" s="4"/>
      <c r="U638" s="4"/>
      <c r="V638"/>
      <c r="W638"/>
      <c r="X638"/>
      <c r="Y638" t="inlineStr">
        <is>
          <t>Pending Appointment</t>
        </is>
      </c>
      <c r="Z638" t="inlineStr">
        <is>
          <t>Hiring Now</t>
        </is>
      </c>
      <c r="AA638">
        <v>3</v>
      </c>
      <c r="AB638" t="inlineStr">
        <is>
          <t>No Appointment Made</t>
        </is>
      </c>
      <c r="AC638"/>
      <c r="AD638" t="inlineStr">
        <is>
          <t>1 Sales Coordinator, 1 QA officer, 1 Maintenance Assistant.</t>
        </is>
      </c>
      <c r="AE638"/>
      <c r="AF638">
        <v>0</v>
      </c>
      <c r="AG638" s="4"/>
      <c r="AH638" s="4"/>
      <c r="AI638">
        <v>0</v>
      </c>
      <c r="AJ638">
        <v>0</v>
      </c>
      <c r="AK638" t="inlineStr">
        <is>
          <t>No, I don't need at all</t>
        </is>
      </c>
      <c r="AL638">
        <v>0</v>
      </c>
      <c r="AM638" t="inlineStr">
        <is>
          <t>No, I don't need at all</t>
        </is>
      </c>
      <c r="AN638"/>
      <c r="AO638" t="inlineStr">
        <is>
          <t>No, I don't need at all</t>
        </is>
      </c>
      <c r="AP638" t="inlineStr">
        <is>
          <t>Once a year (25%)</t>
        </is>
      </c>
      <c r="AQ638">
        <v>3</v>
      </c>
      <c r="AR638" t="inlineStr">
        <is>
          <t>Did not use any job portal</t>
        </is>
      </c>
      <c r="AS638" t="inlineStr">
        <is>
          <t>- Headcount: 3
- Hiring Job Details: 1 Sales Coordinator, 1 QA officer, 1 Maintenance Assistant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is>
      </c>
      <c r="AT638">
        <v>115</v>
      </c>
      <c r="AU638" t="inlineStr">
        <is>
          <t>1.15</t>
        </is>
      </c>
      <c r="AV638" t="inlineStr">
        <is>
          <t>15</t>
        </is>
      </c>
      <c r="AW638" t="inlineStr">
        <is>
          <t>0</t>
        </is>
      </c>
      <c r="AX638" t="inlineStr">
        <is>
          <t>Not Qualified</t>
        </is>
      </c>
      <c r="AY638" s="4"/>
      <c r="AZ638"/>
      <c r="BA638"/>
      <c r="BB638"/>
      <c r="BC638"/>
      <c r="BD638" s="4"/>
      <c r="BE638"/>
      <c r="BF638"/>
      <c r="BG638" t="inlineStr">
        <is>
          <t>Reschedule</t>
        </is>
      </c>
      <c r="BH638" t="inlineStr">
        <is>
          <t>Yee Hang</t>
        </is>
      </c>
      <c r="BI638"/>
      <c r="BJ638" s="4">
        <v>46144.755833333336</v>
      </c>
      <c r="BK638" s="4">
        <v>46127.46271990741</v>
      </c>
      <c r="BL638"/>
      <c r="BM638"/>
      <c r="BN638"/>
      <c r="BO638" s="4"/>
      <c r="BP638">
        <v>168718</v>
      </c>
      <c r="BQ638"/>
      <c r="BR638"/>
      <c r="BS638"/>
      <c r="BT638"/>
      <c r="BU638"/>
      <c r="BV638"/>
      <c r="BW638"/>
      <c r="BX638"/>
      <c r="BY638"/>
      <c r="BZ638" s="4"/>
      <c r="CA638"/>
      <c r="CB638"/>
      <c r="CC638" s="4"/>
      <c r="CD638" t="inlineStr">
        <is>
          <t>20</t>
        </is>
      </c>
      <c r="CE638" t="inlineStr">
        <is>
          <t>0</t>
        </is>
      </c>
      <c r="CF638" t="inlineStr">
        <is>
          <t>Q2-W04</t>
        </is>
      </c>
      <c r="CG638"/>
      <c r="CH638"/>
      <c r="CI638"/>
      <c r="CJ638" t="inlineStr">
        <is>
          <t>No Paid</t>
        </is>
      </c>
      <c r="CK638" t="inlineStr">
        <is>
          <t>Not Eligible</t>
        </is>
      </c>
      <c r="CL638"/>
      <c r="CM638"/>
    </row>
    <row r="639" ht="25.5" customHeight="1">
      <c r="A639" t="inlineStr">
        <is>
          <t>4318917</t>
        </is>
      </c>
      <c r="B639" s="2"/>
      <c r="C639"/>
      <c r="D639" s="3">
        <v>46136.4825</v>
      </c>
      <c r="E639" t="inlineStr">
        <is>
          <t>Q2-W04</t>
        </is>
      </c>
      <c r="F639" t="inlineStr">
        <is>
          <t>Eugene</t>
        </is>
      </c>
      <c r="G639" t="inlineStr">
        <is>
          <t>Lead</t>
        </is>
      </c>
      <c r="H639" s="2" t="str">
        <f>=HYPERLINK("https://upbox.ajobthing.my/leads/4318917", "https://upbox.ajobthing.my/leads/4318917")</f>
        <v>https://upbox.ajobthing.my/leads/4318917</v>
      </c>
      <c r="I639" t="inlineStr">
        <is>
          <t>LANSY JOHAN AND COMPANY</t>
        </is>
      </c>
      <c r="J639"/>
      <c r="K639" t="inlineStr">
        <is>
          <t>Eugene</t>
        </is>
      </c>
      <c r="L639" s="4"/>
      <c r="M639" s="4">
        <v>46136.4828125</v>
      </c>
      <c r="N639"/>
      <c r="O639">
        <v>3888</v>
      </c>
      <c r="P639" s="4"/>
      <c r="Q639" s="4"/>
      <c r="R639"/>
      <c r="S639"/>
      <c r="T639" s="4"/>
      <c r="U639" s="4"/>
      <c r="V639"/>
      <c r="W639"/>
      <c r="X639"/>
      <c r="Y639" t="inlineStr">
        <is>
          <t>Pending Appointment</t>
        </is>
      </c>
      <c r="Z639" t="inlineStr">
        <is>
          <t>Hiring Now</t>
        </is>
      </c>
      <c r="AA639">
        <v>1</v>
      </c>
      <c r="AB639" t="inlineStr">
        <is>
          <t>No Appointment Made</t>
        </is>
      </c>
      <c r="AC639"/>
      <c r="AD639" t="inlineStr">
        <is>
          <t>1 positions, based in Kuching</t>
        </is>
      </c>
      <c r="AE639"/>
      <c r="AF639">
        <v>1200</v>
      </c>
      <c r="AG639" s="4"/>
      <c r="AH639" s="4"/>
      <c r="AI639">
        <v>1200</v>
      </c>
      <c r="AJ639">
        <v>1</v>
      </c>
      <c r="AK639" t="inlineStr">
        <is>
          <t>No, I don't need at all</t>
        </is>
      </c>
      <c r="AL639">
        <v>1</v>
      </c>
      <c r="AM639" t="inlineStr">
        <is>
          <t>No, I don't need at all</t>
        </is>
      </c>
      <c r="AN639"/>
      <c r="AO639" t="inlineStr">
        <is>
          <t>No, I don't need at all</t>
        </is>
      </c>
      <c r="AP639" t="inlineStr">
        <is>
          <t>Once a year (25%)</t>
        </is>
      </c>
      <c r="AQ639">
        <v>1</v>
      </c>
      <c r="AR639" t="inlineStr">
        <is>
          <t>Did not use any job portal</t>
        </is>
      </c>
      <c r="AS639" t="inlineStr">
        <is>
          <t>- Headcount: 1
- Hiring Job Details: 1 position, based in Kuching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t>
        </is>
      </c>
      <c r="AT639">
        <v>100</v>
      </c>
      <c r="AU639" t="inlineStr">
        <is>
          <t>1.00</t>
        </is>
      </c>
      <c r="AV639" t="inlineStr">
        <is>
          <t>15</t>
        </is>
      </c>
      <c r="AW639" t="inlineStr">
        <is>
          <t>0</t>
        </is>
      </c>
      <c r="AX639" t="inlineStr">
        <is>
          <t>Not Qualified</t>
        </is>
      </c>
      <c r="AY639" s="4"/>
      <c r="AZ639"/>
      <c r="BA639"/>
      <c r="BB639"/>
      <c r="BC639"/>
      <c r="BD639" s="4"/>
      <c r="BE639"/>
      <c r="BF639"/>
      <c r="BG639" t="inlineStr">
        <is>
          <t>Reschedule</t>
        </is>
      </c>
      <c r="BH639" t="inlineStr">
        <is>
          <t>Edward Hoo</t>
        </is>
      </c>
      <c r="BI639"/>
      <c r="BJ639" s="4">
        <v>46144.755902777775</v>
      </c>
      <c r="BK639" s="4">
        <v>46136.42853009259</v>
      </c>
      <c r="BL639"/>
      <c r="BM639"/>
      <c r="BN639"/>
      <c r="BO639" s="4"/>
      <c r="BP639">
        <v>168766</v>
      </c>
      <c r="BQ639"/>
      <c r="BR639"/>
      <c r="BS639"/>
      <c r="BT639"/>
      <c r="BU639"/>
      <c r="BV639"/>
      <c r="BW639"/>
      <c r="BX639"/>
      <c r="BY639"/>
      <c r="BZ639" s="4"/>
      <c r="CA639"/>
      <c r="CB639"/>
      <c r="CC639" s="4"/>
      <c r="CD639" t="inlineStr">
        <is>
          <t>20</t>
        </is>
      </c>
      <c r="CE639" t="inlineStr">
        <is>
          <t>0</t>
        </is>
      </c>
      <c r="CF639" t="inlineStr">
        <is>
          <t>Q2-W04</t>
        </is>
      </c>
      <c r="CG639"/>
      <c r="CH639"/>
      <c r="CI639"/>
      <c r="CJ639" t="inlineStr">
        <is>
          <t>No Paid</t>
        </is>
      </c>
      <c r="CK639" t="inlineStr">
        <is>
          <t>Not Eligible</t>
        </is>
      </c>
      <c r="CL639"/>
      <c r="CM639"/>
    </row>
    <row r="640" ht="25.5" customHeight="1">
      <c r="A640" t="inlineStr">
        <is>
          <t>4320083</t>
        </is>
      </c>
      <c r="B640" s="2"/>
      <c r="C640"/>
      <c r="D640" s="3">
        <v>46136.678032407406</v>
      </c>
      <c r="E640" t="inlineStr">
        <is>
          <t>Q2-W04</t>
        </is>
      </c>
      <c r="F640" t="inlineStr">
        <is>
          <t>Chia Yee</t>
        </is>
      </c>
      <c r="G640" t="inlineStr">
        <is>
          <t>Lead</t>
        </is>
      </c>
      <c r="H640" s="2" t="str">
        <f>=HYPERLINK("https://upbox.ajobthing.my/leads/4320083", "https://upbox.ajobthing.my/leads/4320083")</f>
        <v>https://upbox.ajobthing.my/leads/4320083</v>
      </c>
      <c r="I640" t="inlineStr">
        <is>
          <t>Mel Detailing Enterprise</t>
        </is>
      </c>
      <c r="J640"/>
      <c r="K640" t="inlineStr">
        <is>
          <t>Chia Yee</t>
        </is>
      </c>
      <c r="L640" s="4"/>
      <c r="M640" s="4">
        <v>46136.681979166664</v>
      </c>
      <c r="N640"/>
      <c r="O640">
        <v>6048</v>
      </c>
      <c r="P640" s="4"/>
      <c r="Q640" s="4"/>
      <c r="R640"/>
      <c r="S640"/>
      <c r="T640" s="4"/>
      <c r="U640" s="4"/>
      <c r="V640"/>
      <c r="W640"/>
      <c r="X640"/>
      <c r="Y640" t="inlineStr">
        <is>
          <t>Pending Appointment</t>
        </is>
      </c>
      <c r="Z640" t="inlineStr">
        <is>
          <t>Hiring Now</t>
        </is>
      </c>
      <c r="AA640">
        <v>8</v>
      </c>
      <c r="AB640" t="inlineStr">
        <is>
          <t>No Appointment Made</t>
        </is>
      </c>
      <c r="AC640"/>
      <c r="AD640" t="inlineStr">
        <is>
          <t>1 Manager, 1 Supervisor, 5-10 Technician, 1 Admin cum  Accountant</t>
        </is>
      </c>
      <c r="AE640"/>
      <c r="AF640">
        <v>0</v>
      </c>
      <c r="AG640" s="4"/>
      <c r="AH640" s="4"/>
      <c r="AI640">
        <v>0</v>
      </c>
      <c r="AJ640">
        <v>1</v>
      </c>
      <c r="AK640" t="inlineStr">
        <is>
          <t>No, I don't need at all</t>
        </is>
      </c>
      <c r="AL640">
        <v>1</v>
      </c>
      <c r="AM640" t="inlineStr">
        <is>
          <t>No, I don't need at all</t>
        </is>
      </c>
      <c r="AN640"/>
      <c r="AO640" t="inlineStr">
        <is>
          <t>No, I don't need at all</t>
        </is>
      </c>
      <c r="AP640" t="inlineStr">
        <is>
          <t>Once a year (25%)</t>
        </is>
      </c>
      <c r="AQ640">
        <v>13</v>
      </c>
      <c r="AR640" t="inlineStr">
        <is>
          <t>Did not use any job portal</t>
        </is>
      </c>
      <c r="AS640" t="inlineStr">
        <is>
          <t>- Headcount: 8
- Hiring Job Details: 1 Manager, 1 Supervisor, 5-10 Technician, 1 Admin cum Accountant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13
- Hiring frequency: Once a year (25%)
- External job portal: Did not use any job portal</t>
        </is>
      </c>
      <c r="AT640">
        <v>95</v>
      </c>
      <c r="AU640" t="inlineStr">
        <is>
          <t>0.95</t>
        </is>
      </c>
      <c r="AV640" t="inlineStr">
        <is>
          <t>20</t>
        </is>
      </c>
      <c r="AW640" t="inlineStr">
        <is>
          <t>0</t>
        </is>
      </c>
      <c r="AX640" t="inlineStr">
        <is>
          <t>Not Qualified</t>
        </is>
      </c>
      <c r="AY640" s="4"/>
      <c r="AZ640"/>
      <c r="BA640"/>
      <c r="BB640"/>
      <c r="BC640"/>
      <c r="BD640" s="4"/>
      <c r="BE640"/>
      <c r="BF640"/>
      <c r="BG640" t="inlineStr">
        <is>
          <t>Reschedule</t>
        </is>
      </c>
      <c r="BH640" t="inlineStr">
        <is>
          <t>Reagen</t>
        </is>
      </c>
      <c r="BI640"/>
      <c r="BJ640" s="4">
        <v>46144.75592592593</v>
      </c>
      <c r="BK640" s="4">
        <v>46136.65561342592</v>
      </c>
      <c r="BL640"/>
      <c r="BM640"/>
      <c r="BN640"/>
      <c r="BO640" s="4"/>
      <c r="BP640">
        <v>168859</v>
      </c>
      <c r="BQ640"/>
      <c r="BR640"/>
      <c r="BS640"/>
      <c r="BT640"/>
      <c r="BU640"/>
      <c r="BV640"/>
      <c r="BW640"/>
      <c r="BX640"/>
      <c r="BY640"/>
      <c r="BZ640" s="4"/>
      <c r="CA640"/>
      <c r="CB640"/>
      <c r="CC640" s="4"/>
      <c r="CD640" t="inlineStr">
        <is>
          <t>30</t>
        </is>
      </c>
      <c r="CE640" t="inlineStr">
        <is>
          <t>0</t>
        </is>
      </c>
      <c r="CF640" t="inlineStr">
        <is>
          <t>Q2-W04</t>
        </is>
      </c>
      <c r="CG640"/>
      <c r="CH640"/>
      <c r="CI640"/>
      <c r="CJ640" t="inlineStr">
        <is>
          <t>No Paid</t>
        </is>
      </c>
      <c r="CK640" t="inlineStr">
        <is>
          <t>Eligible</t>
        </is>
      </c>
      <c r="CL640"/>
      <c r="CM640"/>
    </row>
    <row r="641" ht="25.5" customHeight="1">
      <c r="A641" t="inlineStr">
        <is>
          <t>4315830</t>
        </is>
      </c>
      <c r="B641" s="2"/>
      <c r="C641"/>
      <c r="D641" s="3">
        <v>46136.69703703704</v>
      </c>
      <c r="E641" t="inlineStr">
        <is>
          <t>Q2-W04</t>
        </is>
      </c>
      <c r="F641" t="inlineStr">
        <is>
          <t>Alan KY</t>
        </is>
      </c>
      <c r="G641" t="inlineStr">
        <is>
          <t>Lead</t>
        </is>
      </c>
      <c r="H641" s="2" t="str">
        <f>=HYPERLINK("https://upbox.ajobthing.my/leads/4315830", "https://upbox.ajobthing.my/leads/4315830")</f>
        <v>https://upbox.ajobthing.my/leads/4315830</v>
      </c>
      <c r="I641" t="inlineStr">
        <is>
          <t xml:space="preserve"> Wing Heong Food Industries Sdn Bhd </t>
        </is>
      </c>
      <c r="J641"/>
      <c r="K641" t="inlineStr">
        <is>
          <t>Alan KY</t>
        </is>
      </c>
      <c r="L641" s="4"/>
      <c r="M641" s="4">
        <v>46141.6446875</v>
      </c>
      <c r="N641"/>
      <c r="O641">
        <v>3576.96</v>
      </c>
      <c r="P641" s="4"/>
      <c r="Q641" s="4"/>
      <c r="R641"/>
      <c r="S641"/>
      <c r="T641" s="4"/>
      <c r="U641" s="4"/>
      <c r="V641"/>
      <c r="W641"/>
      <c r="X641"/>
      <c r="Y641" t="inlineStr">
        <is>
          <t>Pending Appointment</t>
        </is>
      </c>
      <c r="Z641" t="inlineStr">
        <is>
          <t>Hiring Now</t>
        </is>
      </c>
      <c r="AA641">
        <v>4</v>
      </c>
      <c r="AB641" t="inlineStr">
        <is>
          <t>No Appointment Made</t>
        </is>
      </c>
      <c r="AC641"/>
      <c r="AD641" t="inlineStr">
        <is>
          <t xml:space="preserve">marketing executive 1
finance executive 1 
retail assistant 2
Based in KL Selangor </t>
        </is>
      </c>
      <c r="AE641"/>
      <c r="AF641"/>
      <c r="AG641" s="4"/>
      <c r="AH641" s="4"/>
      <c r="AI641"/>
      <c r="AJ641">
        <v>6</v>
      </c>
      <c r="AK641" t="inlineStr">
        <is>
          <t>No, I don't need at all</t>
        </is>
      </c>
      <c r="AL641">
        <v>0</v>
      </c>
      <c r="AM641" t="inlineStr">
        <is>
          <t>No, I don't need at all</t>
        </is>
      </c>
      <c r="AN641"/>
      <c r="AO641" t="inlineStr">
        <is>
          <t>No, I don't need at all</t>
        </is>
      </c>
      <c r="AP641" t="inlineStr">
        <is>
          <t>Once per quarter (75%)</t>
        </is>
      </c>
      <c r="AQ641"/>
      <c r="AR641" t="inlineStr">
        <is>
          <t>Jobstreet</t>
        </is>
      </c>
      <c r="AS641" t="inlineStr">
        <is>
          <t>- Headcount: 4.
- Hiring Job Details: 1 marketing executive, 1 finance executive, 2 retail assistants (based in KL Selangor)
- Hiring Urgency: Hiring Now
- Number of outlets: 6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641">
        <v>95</v>
      </c>
      <c r="AU641" t="inlineStr">
        <is>
          <t>0.95</t>
        </is>
      </c>
      <c r="AV641" t="inlineStr">
        <is>
          <t>5</t>
        </is>
      </c>
      <c r="AW641" t="inlineStr">
        <is>
          <t>0</t>
        </is>
      </c>
      <c r="AX641" t="inlineStr">
        <is>
          <t>Not Qualified</t>
        </is>
      </c>
      <c r="AY641" s="4"/>
      <c r="AZ641"/>
      <c r="BA641"/>
      <c r="BB641"/>
      <c r="BC641"/>
      <c r="BD641" s="4"/>
      <c r="BE641"/>
      <c r="BF641"/>
      <c r="BG641" t="inlineStr">
        <is>
          <t>Reschedule</t>
        </is>
      </c>
      <c r="BH641" t="inlineStr">
        <is>
          <t>Reagen</t>
        </is>
      </c>
      <c r="BI641"/>
      <c r="BJ641" s="4">
        <v>46144.755902777775</v>
      </c>
      <c r="BK641" s="4">
        <v>46135.69872685185</v>
      </c>
      <c r="BL641"/>
      <c r="BM641"/>
      <c r="BN641"/>
      <c r="BO641" s="4"/>
      <c r="BP641">
        <v>169536</v>
      </c>
      <c r="BQ641"/>
      <c r="BR641"/>
      <c r="BS641"/>
      <c r="BT641"/>
      <c r="BU641"/>
      <c r="BV641"/>
      <c r="BW641"/>
      <c r="BX641"/>
      <c r="BY641"/>
      <c r="BZ641" s="4"/>
      <c r="CA641"/>
      <c r="CB641"/>
      <c r="CC641" s="4"/>
      <c r="CD641" t="inlineStr">
        <is>
          <t>5</t>
        </is>
      </c>
      <c r="CE641" t="inlineStr">
        <is>
          <t>0</t>
        </is>
      </c>
      <c r="CF641" t="inlineStr">
        <is>
          <t>Q2-W04</t>
        </is>
      </c>
      <c r="CG641"/>
      <c r="CH641"/>
      <c r="CI641"/>
      <c r="CJ641" t="inlineStr">
        <is>
          <t>No Paid</t>
        </is>
      </c>
      <c r="CK641" t="inlineStr">
        <is>
          <t>Not Eligible</t>
        </is>
      </c>
      <c r="CL641"/>
      <c r="CM641"/>
    </row>
    <row r="642" ht="25.5" customHeight="1">
      <c r="A642" t="inlineStr">
        <is>
          <t>4329072</t>
        </is>
      </c>
      <c r="B642" s="2"/>
      <c r="C642"/>
      <c r="D642" s="3">
        <v>46140.49219907408</v>
      </c>
      <c r="E642" t="inlineStr">
        <is>
          <t>Q2-W04</t>
        </is>
      </c>
      <c r="F642" t="inlineStr">
        <is>
          <t>Jeff Lee</t>
        </is>
      </c>
      <c r="G642" t="inlineStr">
        <is>
          <t>Lead</t>
        </is>
      </c>
      <c r="H642" s="2" t="str">
        <f>=HYPERLINK("https://upbox.ajobthing.my/leads/4329072", "https://upbox.ajobthing.my/leads/4329072")</f>
        <v>https://upbox.ajobthing.my/leads/4329072</v>
      </c>
      <c r="I642" t="inlineStr">
        <is>
          <t xml:space="preserve">AR Lucky Glass Merchant </t>
        </is>
      </c>
      <c r="J642"/>
      <c r="K642" t="inlineStr">
        <is>
          <t>Jeff Lee</t>
        </is>
      </c>
      <c r="L642" s="4"/>
      <c r="M642" s="4">
        <v>46140.49074074074</v>
      </c>
      <c r="N642"/>
      <c r="O642">
        <v>3576.96</v>
      </c>
      <c r="P642" s="4"/>
      <c r="Q642" s="4"/>
      <c r="R642"/>
      <c r="S642"/>
      <c r="T642" s="4"/>
      <c r="U642" s="4"/>
      <c r="V642"/>
      <c r="W642"/>
      <c r="X642"/>
      <c r="Y642" t="inlineStr">
        <is>
          <t>Pending Appointment</t>
        </is>
      </c>
      <c r="Z642" t="inlineStr">
        <is>
          <t>Hiring Now</t>
        </is>
      </c>
      <c r="AA642">
        <v>1</v>
      </c>
      <c r="AB642" t="inlineStr">
        <is>
          <t>No Appointment Made</t>
        </is>
      </c>
      <c r="AC642"/>
      <c r="AD642" t="inlineStr">
        <is>
          <t xml:space="preserve">1 operator </t>
        </is>
      </c>
      <c r="AE642"/>
      <c r="AF642">
        <v>0</v>
      </c>
      <c r="AG642" s="4"/>
      <c r="AH642" s="4"/>
      <c r="AI642">
        <v>0</v>
      </c>
      <c r="AJ642">
        <v>0</v>
      </c>
      <c r="AK642" t="inlineStr">
        <is>
          <t>No, I don't need at all</t>
        </is>
      </c>
      <c r="AL642">
        <v>0</v>
      </c>
      <c r="AM642" t="inlineStr">
        <is>
          <t>No, I don't need at all</t>
        </is>
      </c>
      <c r="AN642"/>
      <c r="AO642" t="inlineStr">
        <is>
          <t>No, I don't need at all</t>
        </is>
      </c>
      <c r="AP642" t="inlineStr">
        <is>
          <t>Once a year (25%)</t>
        </is>
      </c>
      <c r="AQ642">
        <v>1</v>
      </c>
      <c r="AR642" t="inlineStr">
        <is>
          <t>Did not use any job portal</t>
        </is>
      </c>
      <c r="AS642" t="inlineStr">
        <is>
          <t>- Headcount: 1
- Hiring Job Details: 1 operator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642">
        <v>115</v>
      </c>
      <c r="AU642" t="inlineStr">
        <is>
          <t>1.15</t>
        </is>
      </c>
      <c r="AV642" t="inlineStr">
        <is>
          <t>15</t>
        </is>
      </c>
      <c r="AW642" t="inlineStr">
        <is>
          <t>0</t>
        </is>
      </c>
      <c r="AX642" t="inlineStr">
        <is>
          <t>Not Qualified</t>
        </is>
      </c>
      <c r="AY642" s="4"/>
      <c r="AZ642"/>
      <c r="BA642"/>
      <c r="BB642"/>
      <c r="BC642"/>
      <c r="BD642" s="4"/>
      <c r="BE642"/>
      <c r="BF642"/>
      <c r="BG642" t="inlineStr">
        <is>
          <t>Reschedule</t>
        </is>
      </c>
      <c r="BH642" t="inlineStr">
        <is>
          <t>Yee Hang</t>
        </is>
      </c>
      <c r="BI642"/>
      <c r="BJ642" s="4">
        <v>46144.75592592593</v>
      </c>
      <c r="BK642" s="4">
        <v>46140.48155092593</v>
      </c>
      <c r="BL642"/>
      <c r="BM642"/>
      <c r="BN642"/>
      <c r="BO642" s="4"/>
      <c r="BP642">
        <v>169202</v>
      </c>
      <c r="BQ642"/>
      <c r="BR642"/>
      <c r="BS642"/>
      <c r="BT642"/>
      <c r="BU642"/>
      <c r="BV642"/>
      <c r="BW642"/>
      <c r="BX642"/>
      <c r="BY642"/>
      <c r="BZ642" s="4"/>
      <c r="CA642"/>
      <c r="CB642"/>
      <c r="CC642" s="4"/>
      <c r="CD642" t="inlineStr">
        <is>
          <t>20</t>
        </is>
      </c>
      <c r="CE642" t="inlineStr">
        <is>
          <t>0</t>
        </is>
      </c>
      <c r="CF642" t="inlineStr">
        <is>
          <t>Q2-W04</t>
        </is>
      </c>
      <c r="CG642"/>
      <c r="CH642"/>
      <c r="CI642"/>
      <c r="CJ642" t="inlineStr">
        <is>
          <t>No Paid</t>
        </is>
      </c>
      <c r="CK642" t="inlineStr">
        <is>
          <t>Not Eligible</t>
        </is>
      </c>
      <c r="CL642"/>
      <c r="CM642"/>
    </row>
    <row r="643" ht="25.5" customHeight="1">
      <c r="A643" t="inlineStr">
        <is>
          <t>4329246</t>
        </is>
      </c>
      <c r="B643" s="2"/>
      <c r="C643"/>
      <c r="D643" s="3">
        <v>46140.61101851852</v>
      </c>
      <c r="E643" t="inlineStr">
        <is>
          <t>Q2-W04</t>
        </is>
      </c>
      <c r="F643" t="inlineStr">
        <is>
          <t>Jess</t>
        </is>
      </c>
      <c r="G643" t="inlineStr">
        <is>
          <t>Lead</t>
        </is>
      </c>
      <c r="H643" s="2" t="str">
        <f>=HYPERLINK("https://upbox.ajobthing.my/leads/4329246", "https://upbox.ajobthing.my/leads/4329246")</f>
        <v>https://upbox.ajobthing.my/leads/4329246</v>
      </c>
      <c r="I643" t="inlineStr">
        <is>
          <t xml:space="preserve"> Tamasek group sdn bhd</t>
        </is>
      </c>
      <c r="J643"/>
      <c r="K643" t="inlineStr">
        <is>
          <t>Jess Lim</t>
        </is>
      </c>
      <c r="L643" s="4"/>
      <c r="M643" s="4">
        <v>46140.611979166664</v>
      </c>
      <c r="N643"/>
      <c r="O643">
        <v>6048</v>
      </c>
      <c r="P643" s="4"/>
      <c r="Q643" s="4"/>
      <c r="R643"/>
      <c r="S643"/>
      <c r="T643" s="4"/>
      <c r="U643" s="4"/>
      <c r="V643"/>
      <c r="W643"/>
      <c r="X643"/>
      <c r="Y643" t="inlineStr">
        <is>
          <t>Pending Appointment</t>
        </is>
      </c>
      <c r="Z643" t="inlineStr">
        <is>
          <t>Hiring Now</t>
        </is>
      </c>
      <c r="AA643">
        <v>9</v>
      </c>
      <c r="AB643" t="inlineStr">
        <is>
          <t>No Appointment Made</t>
        </is>
      </c>
      <c r="AC643"/>
      <c r="AD643" t="inlineStr">
        <is>
          <t>driver hr 9 positions</t>
        </is>
      </c>
      <c r="AE643"/>
      <c r="AF643">
        <v>3600</v>
      </c>
      <c r="AG643" s="4"/>
      <c r="AH643" s="4"/>
      <c r="AI643"/>
      <c r="AJ643">
        <v>1</v>
      </c>
      <c r="AK643" t="inlineStr">
        <is>
          <t>No, I don't need at all</t>
        </is>
      </c>
      <c r="AL643">
        <v>3</v>
      </c>
      <c r="AM643" t="inlineStr">
        <is>
          <t>No, I don't need at all</t>
        </is>
      </c>
      <c r="AN643"/>
      <c r="AO643" t="inlineStr">
        <is>
          <t>No, I don't need at all</t>
        </is>
      </c>
      <c r="AP643" t="inlineStr">
        <is>
          <t>Once a year (25%)</t>
        </is>
      </c>
      <c r="AQ643"/>
      <c r="AR643" t="inlineStr">
        <is>
          <t>Free Job Portal</t>
        </is>
      </c>
      <c r="AS643" t="inlineStr">
        <is>
          <t>- Headcount: 9
- Hiring Job Details: driver, hr (9 positions)
- Hiring Urgency: Hiring Now
- Number of outlets: 1
- Have recruiter team: No, I don't need at all
- Number of recruiter in company: 3
- Have ATS system: No, I don't need at all
- Have career website: No, I don't need at all
- Current hiring budget: RM3,600.00
- Whole year budget: Not specified
- Whole year number of vacancies: Not specified
- Hiring frequency: Once a year (25%)
- External job portal: Free Job Portal</t>
        </is>
      </c>
      <c r="AT643">
        <v>95</v>
      </c>
      <c r="AU643" t="inlineStr">
        <is>
          <t>0.95</t>
        </is>
      </c>
      <c r="AV643" t="inlineStr">
        <is>
          <t>20</t>
        </is>
      </c>
      <c r="AW643" t="inlineStr">
        <is>
          <t>0</t>
        </is>
      </c>
      <c r="AX643" t="inlineStr">
        <is>
          <t>Not Qualified</t>
        </is>
      </c>
      <c r="AY643" s="4"/>
      <c r="AZ643"/>
      <c r="BA643"/>
      <c r="BB643"/>
      <c r="BC643"/>
      <c r="BD643" s="4"/>
      <c r="BE643"/>
      <c r="BF643"/>
      <c r="BG643" t="inlineStr">
        <is>
          <t>Reschedule</t>
        </is>
      </c>
      <c r="BH643" t="inlineStr">
        <is>
          <t>Fauziah Maharan</t>
        </is>
      </c>
      <c r="BI643"/>
      <c r="BJ643" s="4">
        <v>46144.755949074075</v>
      </c>
      <c r="BK643" s="4">
        <v>46140.5919212963</v>
      </c>
      <c r="BL643"/>
      <c r="BM643"/>
      <c r="BN643"/>
      <c r="BO643" s="4"/>
      <c r="BP643">
        <v>169260</v>
      </c>
      <c r="BQ643"/>
      <c r="BR643"/>
      <c r="BS643"/>
      <c r="BT643"/>
      <c r="BU643"/>
      <c r="BV643"/>
      <c r="BW643"/>
      <c r="BX643"/>
      <c r="BY643"/>
      <c r="BZ643" s="4"/>
      <c r="CA643"/>
      <c r="CB643"/>
      <c r="CC643" s="4"/>
      <c r="CD643" t="inlineStr">
        <is>
          <t>30</t>
        </is>
      </c>
      <c r="CE643" t="inlineStr">
        <is>
          <t>0</t>
        </is>
      </c>
      <c r="CF643" t="inlineStr">
        <is>
          <t>Q2-W04</t>
        </is>
      </c>
      <c r="CG643"/>
      <c r="CH643"/>
      <c r="CI643"/>
      <c r="CJ643" t="inlineStr">
        <is>
          <t>No Paid</t>
        </is>
      </c>
      <c r="CK643" t="inlineStr">
        <is>
          <t>Eligible</t>
        </is>
      </c>
      <c r="CL643"/>
      <c r="CM643"/>
    </row>
    <row r="644" ht="25.5" customHeight="1">
      <c r="A644" t="inlineStr">
        <is>
          <t>4328945</t>
        </is>
      </c>
      <c r="B644" s="2"/>
      <c r="C644"/>
      <c r="D644" s="3">
        <v>46140.62799768519</v>
      </c>
      <c r="E644" t="inlineStr">
        <is>
          <t>Q2-W04</t>
        </is>
      </c>
      <c r="F644" t="inlineStr">
        <is>
          <t>Josh</t>
        </is>
      </c>
      <c r="G644" t="inlineStr">
        <is>
          <t>Lead</t>
        </is>
      </c>
      <c r="H644" s="2" t="str">
        <f>=HYPERLINK("https://upbox.ajobthing.my/leads/4328945", "https://upbox.ajobthing.my/leads/4328945")</f>
        <v>https://upbox.ajobthing.my/leads/4328945</v>
      </c>
      <c r="I644" t="inlineStr">
        <is>
          <t xml:space="preserve">Beauty Wisdom Energy Growth Studio </t>
        </is>
      </c>
      <c r="J644"/>
      <c r="K644" t="inlineStr">
        <is>
          <t>Josh</t>
        </is>
      </c>
      <c r="L644" s="4"/>
      <c r="M644" s="4">
        <v>46140.62929398148</v>
      </c>
      <c r="N644"/>
      <c r="O644">
        <v>1512</v>
      </c>
      <c r="P644" s="4"/>
      <c r="Q644" s="4"/>
      <c r="R644"/>
      <c r="S644"/>
      <c r="T644" s="4"/>
      <c r="U644" s="4"/>
      <c r="V644"/>
      <c r="W644"/>
      <c r="X644"/>
      <c r="Y644" t="inlineStr">
        <is>
          <t>Pending Appointment</t>
        </is>
      </c>
      <c r="Z644" t="inlineStr">
        <is>
          <t>Hiring Now</t>
        </is>
      </c>
      <c r="AA644">
        <v>1</v>
      </c>
      <c r="AB644" t="inlineStr">
        <is>
          <t>No Appointment Made</t>
        </is>
      </c>
      <c r="AC644"/>
      <c r="AD644" t="inlineStr">
        <is>
          <t xml:space="preserve">1 marketing executive </t>
        </is>
      </c>
      <c r="AE644"/>
      <c r="AF644">
        <v>1500</v>
      </c>
      <c r="AG644" s="4"/>
      <c r="AH644" s="4"/>
      <c r="AI644"/>
      <c r="AJ644"/>
      <c r="AK644" t="inlineStr">
        <is>
          <t>Yes, I have</t>
        </is>
      </c>
      <c r="AL644"/>
      <c r="AM644"/>
      <c r="AN644"/>
      <c r="AO644"/>
      <c r="AP644" t="inlineStr">
        <is>
          <t>Once a year (25%)</t>
        </is>
      </c>
      <c r="AQ644"/>
      <c r="AR644"/>
      <c r="AS644" t="inlineStr">
        <is>
          <t>- Headcount: 1
- Hiring Job Details: 1 marketing executive
- Hiring Urgency: Hiring Now
- Number of outlets: Not specified
- Have recruiter team: Yes
- Number of recruiter in company: Not specified
- Have ATS system: Not specified
- Have career website: Not specified
- Current hiring budget: RM1,500.00
- Whole year budget: Not specified
- Whole year number of vacancies: Not specified
- Hiring frequency: Once a year (25%)
- External job portal: Not specified</t>
        </is>
      </c>
      <c r="AT644">
        <v>95</v>
      </c>
      <c r="AU644" t="inlineStr">
        <is>
          <t>0.95</t>
        </is>
      </c>
      <c r="AV644" t="inlineStr">
        <is>
          <t>15</t>
        </is>
      </c>
      <c r="AW644" t="inlineStr">
        <is>
          <t>0</t>
        </is>
      </c>
      <c r="AX644" t="inlineStr">
        <is>
          <t>Not Qualified</t>
        </is>
      </c>
      <c r="AY644" s="4"/>
      <c r="AZ644"/>
      <c r="BA644"/>
      <c r="BB644"/>
      <c r="BC644"/>
      <c r="BD644" s="4"/>
      <c r="BE644"/>
      <c r="BF644"/>
      <c r="BG644" t="inlineStr">
        <is>
          <t>Reschedule</t>
        </is>
      </c>
      <c r="BH644" t="inlineStr">
        <is>
          <t>Fauziah Maharan</t>
        </is>
      </c>
      <c r="BI644"/>
      <c r="BJ644" s="4">
        <v>46144.75592592593</v>
      </c>
      <c r="BK644" s="4">
        <v>46140.31298611111</v>
      </c>
      <c r="BL644"/>
      <c r="BM644"/>
      <c r="BN644"/>
      <c r="BO644" s="4"/>
      <c r="BP644">
        <v>169274</v>
      </c>
      <c r="BQ644"/>
      <c r="BR644"/>
      <c r="BS644"/>
      <c r="BT644"/>
      <c r="BU644"/>
      <c r="BV644"/>
      <c r="BW644"/>
      <c r="BX644"/>
      <c r="BY644"/>
      <c r="BZ644" s="4"/>
      <c r="CA644"/>
      <c r="CB644"/>
      <c r="CC644" s="4"/>
      <c r="CD644" t="inlineStr">
        <is>
          <t>20</t>
        </is>
      </c>
      <c r="CE644" t="inlineStr">
        <is>
          <t>0</t>
        </is>
      </c>
      <c r="CF644" t="inlineStr">
        <is>
          <t>Q2-W04</t>
        </is>
      </c>
      <c r="CG644"/>
      <c r="CH644"/>
      <c r="CI644"/>
      <c r="CJ644" t="inlineStr">
        <is>
          <t>No Paid</t>
        </is>
      </c>
      <c r="CK644" t="inlineStr">
        <is>
          <t>Not Eligible</t>
        </is>
      </c>
      <c r="CL644"/>
      <c r="CM644"/>
    </row>
    <row r="645" ht="25.5" customHeight="1">
      <c r="A645" t="inlineStr">
        <is>
          <t>4329241</t>
        </is>
      </c>
      <c r="B645" s="2"/>
      <c r="C645"/>
      <c r="D645" s="3">
        <v>46140.66341435185</v>
      </c>
      <c r="E645" t="inlineStr">
        <is>
          <t>Q2-W04</t>
        </is>
      </c>
      <c r="F645" t="inlineStr">
        <is>
          <t>Dickson</t>
        </is>
      </c>
      <c r="G645" t="inlineStr">
        <is>
          <t>Lead</t>
        </is>
      </c>
      <c r="H645" s="2" t="str">
        <f>=HYPERLINK("https://upbox.ajobthing.my/leads/4329241", "https://upbox.ajobthing.my/leads/4329241")</f>
        <v>https://upbox.ajobthing.my/leads/4329241</v>
      </c>
      <c r="I645" t="inlineStr">
        <is>
          <t xml:space="preserve"> Voltedge Sdn Bhd</t>
        </is>
      </c>
      <c r="J645"/>
      <c r="K645" t="inlineStr">
        <is>
          <t>Dickson</t>
        </is>
      </c>
      <c r="L645" s="4"/>
      <c r="M645" s="4">
        <v>46140.66443287037</v>
      </c>
      <c r="N645"/>
      <c r="O645">
        <v>3888</v>
      </c>
      <c r="P645" s="4"/>
      <c r="Q645" s="4"/>
      <c r="R645"/>
      <c r="S645"/>
      <c r="T645" s="4"/>
      <c r="U645" s="4"/>
      <c r="V645"/>
      <c r="W645"/>
      <c r="X645"/>
      <c r="Y645" t="inlineStr">
        <is>
          <t>Pending Appointment</t>
        </is>
      </c>
      <c r="Z645" t="inlineStr">
        <is>
          <t>Hiring Now</t>
        </is>
      </c>
      <c r="AA645">
        <v>1</v>
      </c>
      <c r="AB645" t="inlineStr">
        <is>
          <t>No Appointment Made</t>
        </is>
      </c>
      <c r="AC645"/>
      <c r="AD645" t="inlineStr">
        <is>
          <t>1 senior electrical engineer</t>
        </is>
      </c>
      <c r="AE645"/>
      <c r="AF645"/>
      <c r="AG645" s="4"/>
      <c r="AH645" s="4"/>
      <c r="AI645"/>
      <c r="AJ645">
        <v>1</v>
      </c>
      <c r="AK645" t="inlineStr">
        <is>
          <t>No, I don't need at all</t>
        </is>
      </c>
      <c r="AL645"/>
      <c r="AM645" t="inlineStr">
        <is>
          <t>No, I don't need at all</t>
        </is>
      </c>
      <c r="AN645"/>
      <c r="AO645" t="inlineStr">
        <is>
          <t>No, I don't need at all</t>
        </is>
      </c>
      <c r="AP645" t="inlineStr">
        <is>
          <t>Once per quarter (75%)</t>
        </is>
      </c>
      <c r="AQ645"/>
      <c r="AR645"/>
      <c r="AS645" t="inlineStr">
        <is>
          <t>- Headcount: 1
- Hiring Job Details: 1 senior electrical engineer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645">
        <v>95</v>
      </c>
      <c r="AU645" t="inlineStr">
        <is>
          <t>0.95</t>
        </is>
      </c>
      <c r="AV645" t="inlineStr">
        <is>
          <t>5</t>
        </is>
      </c>
      <c r="AW645" t="inlineStr">
        <is>
          <t>0</t>
        </is>
      </c>
      <c r="AX645" t="inlineStr">
        <is>
          <t>Not Qualified</t>
        </is>
      </c>
      <c r="AY645" s="4"/>
      <c r="AZ645"/>
      <c r="BA645"/>
      <c r="BB645"/>
      <c r="BC645"/>
      <c r="BD645" s="4"/>
      <c r="BE645"/>
      <c r="BF645"/>
      <c r="BG645" t="inlineStr">
        <is>
          <t>Reschedule</t>
        </is>
      </c>
      <c r="BH645" t="inlineStr">
        <is>
          <t>Edward Hoo</t>
        </is>
      </c>
      <c r="BI645"/>
      <c r="BJ645" s="4">
        <v>46144.755949074075</v>
      </c>
      <c r="BK645" s="4">
        <v>46140.5919212963</v>
      </c>
      <c r="BL645"/>
      <c r="BM645"/>
      <c r="BN645"/>
      <c r="BO645" s="4"/>
      <c r="BP645">
        <v>169310</v>
      </c>
      <c r="BQ645"/>
      <c r="BR645"/>
      <c r="BS645"/>
      <c r="BT645"/>
      <c r="BU645"/>
      <c r="BV645"/>
      <c r="BW645"/>
      <c r="BX645"/>
      <c r="BY645"/>
      <c r="BZ645" s="4"/>
      <c r="CA645"/>
      <c r="CB645"/>
      <c r="CC645" s="4"/>
      <c r="CD645" t="inlineStr">
        <is>
          <t>5</t>
        </is>
      </c>
      <c r="CE645" t="inlineStr">
        <is>
          <t>0</t>
        </is>
      </c>
      <c r="CF645" t="inlineStr">
        <is>
          <t>Q2-W04</t>
        </is>
      </c>
      <c r="CG645"/>
      <c r="CH645"/>
      <c r="CI645"/>
      <c r="CJ645" t="inlineStr">
        <is>
          <t>No Paid</t>
        </is>
      </c>
      <c r="CK645" t="inlineStr">
        <is>
          <t>Not Eligible</t>
        </is>
      </c>
      <c r="CL645"/>
      <c r="CM645"/>
    </row>
    <row r="646" ht="25.5" customHeight="1">
      <c r="A646" t="inlineStr">
        <is>
          <t>4329375</t>
        </is>
      </c>
      <c r="B646" s="2"/>
      <c r="C646"/>
      <c r="D646" s="3">
        <v>46140.69752314815</v>
      </c>
      <c r="E646" t="inlineStr">
        <is>
          <t>Q2-W04</t>
        </is>
      </c>
      <c r="F646" t="inlineStr">
        <is>
          <t>Josh</t>
        </is>
      </c>
      <c r="G646" t="inlineStr">
        <is>
          <t>Lead</t>
        </is>
      </c>
      <c r="H646" s="2" t="str">
        <f>=HYPERLINK("https://upbox.ajobthing.my/leads/4329375", "https://upbox.ajobthing.my/leads/4329375")</f>
        <v>https://upbox.ajobthing.my/leads/4329375</v>
      </c>
      <c r="I646" t="inlineStr">
        <is>
          <t xml:space="preserve">Thug Life life Empire </t>
        </is>
      </c>
      <c r="J646"/>
      <c r="K646" t="inlineStr">
        <is>
          <t>Josh</t>
        </is>
      </c>
      <c r="L646" s="4"/>
      <c r="M646" s="4">
        <v>46140.69912037037</v>
      </c>
      <c r="N646"/>
      <c r="O646">
        <v>1296</v>
      </c>
      <c r="P646" s="4"/>
      <c r="Q646" s="4"/>
      <c r="R646"/>
      <c r="S646"/>
      <c r="T646" s="4"/>
      <c r="U646" s="4"/>
      <c r="V646"/>
      <c r="W646"/>
      <c r="X646"/>
      <c r="Y646" t="inlineStr">
        <is>
          <t>Pending Appointment</t>
        </is>
      </c>
      <c r="Z646" t="inlineStr">
        <is>
          <t>Hiring Now</t>
        </is>
      </c>
      <c r="AA646">
        <v>30</v>
      </c>
      <c r="AB646" t="inlineStr">
        <is>
          <t>No Appointment Made</t>
        </is>
      </c>
      <c r="AC646"/>
      <c r="AD646" t="inlineStr">
        <is>
          <t>warehouse - 30</t>
        </is>
      </c>
      <c r="AE646"/>
      <c r="AF646">
        <v>5000</v>
      </c>
      <c r="AG646" s="4"/>
      <c r="AH646" s="4"/>
      <c r="AI646"/>
      <c r="AJ646"/>
      <c r="AK646" t="inlineStr">
        <is>
          <t>Yes, I have</t>
        </is>
      </c>
      <c r="AL646">
        <v>1</v>
      </c>
      <c r="AM646"/>
      <c r="AN646"/>
      <c r="AO646"/>
      <c r="AP646"/>
      <c r="AQ646"/>
      <c r="AR646"/>
      <c r="AS646" t="inlineStr">
        <is>
          <t>- Headcount: 30
- Hiring Job Details: 30 warehouse staff
- Hiring Urgency: Hiring Now
- Number of outlets: Not provided
- Have recruiter team: Yes
- Number of recruiter in company: 1
- Have ATS system: Not provided
- Have career website: Not provided
- Current hiring budget: RM5,000.00
- Whole year budget: Not provided
- Whole year number of vacancies: Not provided
- Hiring frequency: Not provided
- External job portal: Not provided</t>
        </is>
      </c>
      <c r="AT646">
        <v>90</v>
      </c>
      <c r="AU646" t="inlineStr">
        <is>
          <t>0.90</t>
        </is>
      </c>
      <c r="AV646" t="inlineStr">
        <is>
          <t>25</t>
        </is>
      </c>
      <c r="AW646" t="inlineStr">
        <is>
          <t>0</t>
        </is>
      </c>
      <c r="AX646" t="inlineStr">
        <is>
          <t>Not Qualified</t>
        </is>
      </c>
      <c r="AY646" s="4"/>
      <c r="AZ646"/>
      <c r="BA646"/>
      <c r="BB646"/>
      <c r="BC646"/>
      <c r="BD646" s="4"/>
      <c r="BE646"/>
      <c r="BF646"/>
      <c r="BG646" t="inlineStr">
        <is>
          <t>Reschedule</t>
        </is>
      </c>
      <c r="BH646" t="inlineStr">
        <is>
          <t>Fauziah Maharan</t>
        </is>
      </c>
      <c r="BI646"/>
      <c r="BJ646" s="4">
        <v>46144.755949074075</v>
      </c>
      <c r="BK646" s="4">
        <v>46140.68619212963</v>
      </c>
      <c r="BL646"/>
      <c r="BM646"/>
      <c r="BN646"/>
      <c r="BO646" s="4"/>
      <c r="BP646">
        <v>169338</v>
      </c>
      <c r="BQ646"/>
      <c r="BR646"/>
      <c r="BS646"/>
      <c r="BT646"/>
      <c r="BU646"/>
      <c r="BV646"/>
      <c r="BW646"/>
      <c r="BX646"/>
      <c r="BY646"/>
      <c r="BZ646" s="4"/>
      <c r="CA646"/>
      <c r="CB646"/>
      <c r="CC646" s="4"/>
      <c r="CD646" t="inlineStr">
        <is>
          <t>35</t>
        </is>
      </c>
      <c r="CE646" t="inlineStr">
        <is>
          <t>0</t>
        </is>
      </c>
      <c r="CF646" t="inlineStr">
        <is>
          <t>Q2-W04</t>
        </is>
      </c>
      <c r="CG646"/>
      <c r="CH646"/>
      <c r="CI646"/>
      <c r="CJ646" t="inlineStr">
        <is>
          <t>No Paid</t>
        </is>
      </c>
      <c r="CK646" t="inlineStr">
        <is>
          <t>Eligible</t>
        </is>
      </c>
      <c r="CL646"/>
      <c r="CM646"/>
    </row>
    <row r="647" ht="25.5" customHeight="1">
      <c r="A647" t="inlineStr">
        <is>
          <t>4329212</t>
        </is>
      </c>
      <c r="B647" s="2"/>
      <c r="C647"/>
      <c r="D647" s="3">
        <v>46140.71496527778</v>
      </c>
      <c r="E647" t="inlineStr">
        <is>
          <t>Q2-W04</t>
        </is>
      </c>
      <c r="F647" t="inlineStr">
        <is>
          <t>Lucas</t>
        </is>
      </c>
      <c r="G647" t="inlineStr">
        <is>
          <t>Lead</t>
        </is>
      </c>
      <c r="H647" s="2" t="str">
        <f>=HYPERLINK("https://upbox.ajobthing.my/leads/4329212", "https://upbox.ajobthing.my/leads/4329212")</f>
        <v>https://upbox.ajobthing.my/leads/4329212</v>
      </c>
      <c r="I647" t="inlineStr">
        <is>
          <t xml:space="preserve">Quantium Solutions </t>
        </is>
      </c>
      <c r="J647"/>
      <c r="K647" t="inlineStr">
        <is>
          <t>Lucas</t>
        </is>
      </c>
      <c r="L647" s="4"/>
      <c r="M647" s="4">
        <v>46140.71310185185</v>
      </c>
      <c r="N647"/>
      <c r="O647">
        <v>3576.96</v>
      </c>
      <c r="P647" s="4"/>
      <c r="Q647" s="4"/>
      <c r="R647"/>
      <c r="S647"/>
      <c r="T647" s="4"/>
      <c r="U647" s="4"/>
      <c r="V647"/>
      <c r="W647"/>
      <c r="X647"/>
      <c r="Y647" t="inlineStr">
        <is>
          <t>Pending Appointment</t>
        </is>
      </c>
      <c r="Z647" t="inlineStr">
        <is>
          <t>Hiring Now</t>
        </is>
      </c>
      <c r="AA647">
        <v>5</v>
      </c>
      <c r="AB647" t="inlineStr">
        <is>
          <t>No Appointment Made</t>
        </is>
      </c>
      <c r="AC647"/>
      <c r="AD647" t="inlineStr">
        <is>
          <t xml:space="preserve">5 logistic </t>
        </is>
      </c>
      <c r="AE647"/>
      <c r="AF647">
        <v>0</v>
      </c>
      <c r="AG647" s="4"/>
      <c r="AH647" s="4"/>
      <c r="AI647">
        <v>0</v>
      </c>
      <c r="AJ647">
        <v>0</v>
      </c>
      <c r="AK647" t="inlineStr">
        <is>
          <t>No, I don't need at all</t>
        </is>
      </c>
      <c r="AL647">
        <v>0</v>
      </c>
      <c r="AM647" t="inlineStr">
        <is>
          <t>No, I don't need at all</t>
        </is>
      </c>
      <c r="AN647"/>
      <c r="AO647" t="inlineStr">
        <is>
          <t>No, I don't need at all</t>
        </is>
      </c>
      <c r="AP647" t="inlineStr">
        <is>
          <t>Once a year (25%)</t>
        </is>
      </c>
      <c r="AQ647">
        <v>5</v>
      </c>
      <c r="AR647" t="inlineStr">
        <is>
          <t>Did not use any job portal</t>
        </is>
      </c>
      <c r="AS647" t="inlineStr">
        <is>
          <t>- Headcount: 5
- Hiring Job Details: 5 logistic
- Number of outlets: 0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
- Hiring Urgency: Hiring Now</t>
        </is>
      </c>
      <c r="AT647">
        <v>110</v>
      </c>
      <c r="AU647" t="inlineStr">
        <is>
          <t>1.10</t>
        </is>
      </c>
      <c r="AV647" t="inlineStr">
        <is>
          <t>20</t>
        </is>
      </c>
      <c r="AW647" t="inlineStr">
        <is>
          <t>0</t>
        </is>
      </c>
      <c r="AX647" t="inlineStr">
        <is>
          <t>Not Qualified</t>
        </is>
      </c>
      <c r="AY647" s="4"/>
      <c r="AZ647"/>
      <c r="BA647"/>
      <c r="BB647"/>
      <c r="BC647"/>
      <c r="BD647" s="4"/>
      <c r="BE647"/>
      <c r="BF647"/>
      <c r="BG647" t="inlineStr">
        <is>
          <t>Reschedule</t>
        </is>
      </c>
      <c r="BH647" t="inlineStr">
        <is>
          <t>Yee Hang</t>
        </is>
      </c>
      <c r="BI647"/>
      <c r="BJ647" s="4">
        <v>46144.75592592593</v>
      </c>
      <c r="BK647" s="4">
        <v>46140.58405092593</v>
      </c>
      <c r="BL647"/>
      <c r="BM647"/>
      <c r="BN647"/>
      <c r="BO647" s="4"/>
      <c r="BP647">
        <v>169352</v>
      </c>
      <c r="BQ647"/>
      <c r="BR647"/>
      <c r="BS647"/>
      <c r="BT647"/>
      <c r="BU647"/>
      <c r="BV647"/>
      <c r="BW647"/>
      <c r="BX647"/>
      <c r="BY647"/>
      <c r="BZ647" s="4"/>
      <c r="CA647"/>
      <c r="CB647"/>
      <c r="CC647" s="4"/>
      <c r="CD647" t="inlineStr">
        <is>
          <t>30</t>
        </is>
      </c>
      <c r="CE647" t="inlineStr">
        <is>
          <t>0</t>
        </is>
      </c>
      <c r="CF647" t="inlineStr">
        <is>
          <t>Q2-W04</t>
        </is>
      </c>
      <c r="CG647"/>
      <c r="CH647"/>
      <c r="CI647"/>
      <c r="CJ647" t="inlineStr">
        <is>
          <t>No Paid</t>
        </is>
      </c>
      <c r="CK647" t="inlineStr">
        <is>
          <t>Not Eligible</t>
        </is>
      </c>
      <c r="CL647"/>
      <c r="CM647"/>
    </row>
    <row r="648" ht="25.5" customHeight="1">
      <c r="A648" t="inlineStr">
        <is>
          <t>4332859</t>
        </is>
      </c>
      <c r="B648" s="2"/>
      <c r="C648"/>
      <c r="D648" s="3">
        <v>46142.418171296296</v>
      </c>
      <c r="E648" t="inlineStr">
        <is>
          <t>Q2-W04</t>
        </is>
      </c>
      <c r="F648" t="inlineStr">
        <is>
          <t>Yuli</t>
        </is>
      </c>
      <c r="G648" t="inlineStr">
        <is>
          <t>Lead</t>
        </is>
      </c>
      <c r="H648" s="2" t="str">
        <f>=HYPERLINK("https://upbox.ajobthing.my/leads/4332859", "https://upbox.ajobthing.my/leads/4332859")</f>
        <v>https://upbox.ajobthing.my/leads/4332859</v>
      </c>
      <c r="I648" t="inlineStr">
        <is>
          <t>Naree Thai Cafe &amp; Restaurant</t>
        </is>
      </c>
      <c r="J648"/>
      <c r="K648" t="inlineStr">
        <is>
          <t>YuLi</t>
        </is>
      </c>
      <c r="L648" s="4"/>
      <c r="M648" s="4">
        <v>46142.41552083333</v>
      </c>
      <c r="N648"/>
      <c r="O648">
        <v>1296</v>
      </c>
      <c r="P648" s="4"/>
      <c r="Q648" s="4"/>
      <c r="R648"/>
      <c r="S648"/>
      <c r="T648" s="4"/>
      <c r="U648" s="4"/>
      <c r="V648"/>
      <c r="W648"/>
      <c r="X648"/>
      <c r="Y648" t="inlineStr">
        <is>
          <t>Pending Appointment</t>
        </is>
      </c>
      <c r="Z648" t="inlineStr">
        <is>
          <t>Hiring Now</t>
        </is>
      </c>
      <c r="AA648">
        <v>1</v>
      </c>
      <c r="AB648" t="inlineStr">
        <is>
          <t>No Appointment Made</t>
        </is>
      </c>
      <c r="AC648"/>
      <c r="AD648" t="inlineStr">
        <is>
          <t>1 Thai Chef</t>
        </is>
      </c>
      <c r="AE648"/>
      <c r="AF648"/>
      <c r="AG648" s="4"/>
      <c r="AH648" s="4"/>
      <c r="AI648"/>
      <c r="AJ648"/>
      <c r="AK648"/>
      <c r="AL648"/>
      <c r="AM648"/>
      <c r="AN648"/>
      <c r="AO648"/>
      <c r="AP648"/>
      <c r="AQ648"/>
      <c r="AR648" t="inlineStr">
        <is>
          <t>Did not use any job portal</t>
        </is>
      </c>
      <c r="AS648" t="inlineStr">
        <is>
          <t>- Headcount: 1
- Hiring Job Details: 1 Thai Chef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is>
      </c>
      <c r="AT648">
        <v>80</v>
      </c>
      <c r="AU648" t="inlineStr">
        <is>
          <t>0.80</t>
        </is>
      </c>
      <c r="AV648" t="inlineStr">
        <is>
          <t>5</t>
        </is>
      </c>
      <c r="AW648" t="inlineStr">
        <is>
          <t>0</t>
        </is>
      </c>
      <c r="AX648" t="inlineStr">
        <is>
          <t>Not Qualified</t>
        </is>
      </c>
      <c r="AY648" s="4"/>
      <c r="AZ648"/>
      <c r="BA648"/>
      <c r="BB648"/>
      <c r="BC648"/>
      <c r="BD648" s="4"/>
      <c r="BE648"/>
      <c r="BF648"/>
      <c r="BG648" t="inlineStr">
        <is>
          <t>Reschedule</t>
        </is>
      </c>
      <c r="BH648" t="inlineStr">
        <is>
          <t>Fauziah Maharan</t>
        </is>
      </c>
      <c r="BI648"/>
      <c r="BJ648" s="4">
        <v>46144.755949074075</v>
      </c>
      <c r="BK648" s="4">
        <v>46141.81207175926</v>
      </c>
      <c r="BL648"/>
      <c r="BM648"/>
      <c r="BN648"/>
      <c r="BO648" s="4"/>
      <c r="BP648">
        <v>169605</v>
      </c>
      <c r="BQ648"/>
      <c r="BR648"/>
      <c r="BS648"/>
      <c r="BT648"/>
      <c r="BU648"/>
      <c r="BV648"/>
      <c r="BW648"/>
      <c r="BX648"/>
      <c r="BY648"/>
      <c r="BZ648" s="4"/>
      <c r="CA648"/>
      <c r="CB648"/>
      <c r="CC648" s="4"/>
      <c r="CD648" t="inlineStr">
        <is>
          <t>5</t>
        </is>
      </c>
      <c r="CE648" t="inlineStr">
        <is>
          <t>0</t>
        </is>
      </c>
      <c r="CF648" t="inlineStr">
        <is>
          <t>Q2-W04</t>
        </is>
      </c>
      <c r="CG648"/>
      <c r="CH648"/>
      <c r="CI648"/>
      <c r="CJ648" t="inlineStr">
        <is>
          <t>No Paid</t>
        </is>
      </c>
      <c r="CK648" t="inlineStr">
        <is>
          <t>Not Eligible</t>
        </is>
      </c>
      <c r="CL648"/>
      <c r="CM648"/>
    </row>
    <row r="649" ht="25.5" customHeight="1">
      <c r="A649" t="inlineStr">
        <is>
          <t>4333636</t>
        </is>
      </c>
      <c r="B649" s="2"/>
      <c r="C649"/>
      <c r="D649" s="3">
        <v>46142.42304398148</v>
      </c>
      <c r="E649" t="inlineStr">
        <is>
          <t>Q2-W04</t>
        </is>
      </c>
      <c r="F649" t="inlineStr">
        <is>
          <t>Carmen</t>
        </is>
      </c>
      <c r="G649" t="inlineStr">
        <is>
          <t>Lead</t>
        </is>
      </c>
      <c r="H649" s="2" t="str">
        <f>=HYPERLINK("https://upbox.ajobthing.my/leads/4333636", "https://upbox.ajobthing.my/leads/4333636")</f>
        <v>https://upbox.ajobthing.my/leads/4333636</v>
      </c>
      <c r="I649" t="inlineStr">
        <is>
          <t xml:space="preserve">VigoHomes Realty Sdn Bhd </t>
        </is>
      </c>
      <c r="J649"/>
      <c r="K649" t="inlineStr">
        <is>
          <t>Carmen</t>
        </is>
      </c>
      <c r="L649" s="4"/>
      <c r="M649" s="4">
        <v>46142.423368055555</v>
      </c>
      <c r="N649"/>
      <c r="O649">
        <v>3888</v>
      </c>
      <c r="P649" s="4"/>
      <c r="Q649" s="4"/>
      <c r="R649"/>
      <c r="S649"/>
      <c r="T649" s="4"/>
      <c r="U649" s="4"/>
      <c r="V649"/>
      <c r="W649"/>
      <c r="X649"/>
      <c r="Y649" t="inlineStr">
        <is>
          <t>Pending Appointment</t>
        </is>
      </c>
      <c r="Z649" t="inlineStr">
        <is>
          <t>Hiring Now</t>
        </is>
      </c>
      <c r="AA649">
        <v>11</v>
      </c>
      <c r="AB649" t="inlineStr">
        <is>
          <t>No Appointment Made</t>
        </is>
      </c>
      <c r="AC649"/>
      <c r="AD649" t="inlineStr">
        <is>
          <t>1 admin ; 10 property agent</t>
        </is>
      </c>
      <c r="AE649"/>
      <c r="AF649">
        <v>0</v>
      </c>
      <c r="AG649" s="4"/>
      <c r="AH649" s="4"/>
      <c r="AI649"/>
      <c r="AJ649"/>
      <c r="AK649"/>
      <c r="AL649"/>
      <c r="AM649"/>
      <c r="AN649"/>
      <c r="AO649"/>
      <c r="AP649" t="inlineStr">
        <is>
          <t>Every month (100%)</t>
        </is>
      </c>
      <c r="AQ649"/>
      <c r="AR649"/>
      <c r="AS649" t="inlineStr">
        <is>
          <t>- Headcount: 11
- Hiring Job Details: 1 admin ; 10 property agent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Every month (100%)
- External job portal: Not available</t>
        </is>
      </c>
      <c r="AT649">
        <v>75</v>
      </c>
      <c r="AU649" t="inlineStr">
        <is>
          <t>0.75</t>
        </is>
      </c>
      <c r="AV649" t="inlineStr">
        <is>
          <t>25</t>
        </is>
      </c>
      <c r="AW649" t="inlineStr">
        <is>
          <t>0</t>
        </is>
      </c>
      <c r="AX649" t="inlineStr">
        <is>
          <t>Not Qualified</t>
        </is>
      </c>
      <c r="AY649" s="4"/>
      <c r="AZ649"/>
      <c r="BA649"/>
      <c r="BB649"/>
      <c r="BC649"/>
      <c r="BD649" s="4"/>
      <c r="BE649"/>
      <c r="BF649"/>
      <c r="BG649" t="inlineStr">
        <is>
          <t>Reschedule</t>
        </is>
      </c>
      <c r="BH649" t="inlineStr">
        <is>
          <t>Reagen</t>
        </is>
      </c>
      <c r="BI649"/>
      <c r="BJ649" s="4">
        <v>46144.755949074075</v>
      </c>
      <c r="BK649" s="4">
        <v>46141.953148148146</v>
      </c>
      <c r="BL649"/>
      <c r="BM649"/>
      <c r="BN649"/>
      <c r="BO649" s="4"/>
      <c r="BP649">
        <v>169610</v>
      </c>
      <c r="BQ649"/>
      <c r="BR649"/>
      <c r="BS649"/>
      <c r="BT649"/>
      <c r="BU649"/>
      <c r="BV649"/>
      <c r="BW649"/>
      <c r="BX649"/>
      <c r="BY649"/>
      <c r="BZ649" s="4"/>
      <c r="CA649"/>
      <c r="CB649"/>
      <c r="CC649" s="4"/>
      <c r="CD649" t="inlineStr">
        <is>
          <t>35</t>
        </is>
      </c>
      <c r="CE649" t="inlineStr">
        <is>
          <t>0</t>
        </is>
      </c>
      <c r="CF649" t="inlineStr">
        <is>
          <t>Q2-W04</t>
        </is>
      </c>
      <c r="CG649"/>
      <c r="CH649"/>
      <c r="CI649"/>
      <c r="CJ649" t="inlineStr">
        <is>
          <t>No Paid</t>
        </is>
      </c>
      <c r="CK649" t="inlineStr">
        <is>
          <t>Eligible</t>
        </is>
      </c>
      <c r="CL649"/>
      <c r="CM649"/>
    </row>
    <row r="650" ht="25.5" customHeight="1">
      <c r="A650" t="inlineStr">
        <is>
          <t>4335168</t>
        </is>
      </c>
      <c r="B650" s="2"/>
      <c r="C650"/>
      <c r="D650" s="3">
        <v>46142.5987962963</v>
      </c>
      <c r="E650" t="inlineStr">
        <is>
          <t>Q2-W04</t>
        </is>
      </c>
      <c r="F650" t="inlineStr">
        <is>
          <t>Luqman</t>
        </is>
      </c>
      <c r="G650" t="inlineStr">
        <is>
          <t>Lead</t>
        </is>
      </c>
      <c r="H650" s="2" t="str">
        <f>=HYPERLINK("https://upbox.ajobthing.my/leads/4335168", "https://upbox.ajobthing.my/leads/4335168")</f>
        <v>https://upbox.ajobthing.my/leads/4335168</v>
      </c>
      <c r="I650" t="inlineStr">
        <is>
          <t xml:space="preserve">Gedung Din Collection </t>
        </is>
      </c>
      <c r="J650"/>
      <c r="K650" t="inlineStr">
        <is>
          <t>Luqman</t>
        </is>
      </c>
      <c r="L650" s="4"/>
      <c r="M650" s="4">
        <v>46142.60229166667</v>
      </c>
      <c r="N650"/>
      <c r="O650">
        <v>1512</v>
      </c>
      <c r="P650" s="4"/>
      <c r="Q650" s="4"/>
      <c r="R650"/>
      <c r="S650"/>
      <c r="T650" s="4"/>
      <c r="U650" s="4"/>
      <c r="V650"/>
      <c r="W650"/>
      <c r="X650"/>
      <c r="Y650" t="inlineStr">
        <is>
          <t>Pending Appointment</t>
        </is>
      </c>
      <c r="Z650" t="inlineStr">
        <is>
          <t>Hiring Later</t>
        </is>
      </c>
      <c r="AA650">
        <v>1</v>
      </c>
      <c r="AB650" t="inlineStr">
        <is>
          <t>No Appointment Made</t>
        </is>
      </c>
      <c r="AC650"/>
      <c r="AD650" t="inlineStr">
        <is>
          <t>1. Account/HR</t>
        </is>
      </c>
      <c r="AE650"/>
      <c r="AF650">
        <v>1200</v>
      </c>
      <c r="AG650" s="4"/>
      <c r="AH650" s="4"/>
      <c r="AI650">
        <v>1200</v>
      </c>
      <c r="AJ650"/>
      <c r="AK650" t="inlineStr">
        <is>
          <t>Yes, I have</t>
        </is>
      </c>
      <c r="AL650">
        <v>2</v>
      </c>
      <c r="AM650" t="inlineStr">
        <is>
          <t>No, I don't need at all</t>
        </is>
      </c>
      <c r="AN650"/>
      <c r="AO650" t="inlineStr">
        <is>
          <t>No, but I want in future</t>
        </is>
      </c>
      <c r="AP650" t="inlineStr">
        <is>
          <t>Once a year (25%)</t>
        </is>
      </c>
      <c r="AQ650">
        <v>2</v>
      </c>
      <c r="AR650" t="inlineStr">
        <is>
          <t>Free Job Portal</t>
        </is>
      </c>
      <c r="AS650" t="inlineStr">
        <is>
          <t>- Headcount: 1
- Hiring Job Details: 1 Account/HR
- Hiring Urgency: Hiring Later
- Number of outlets: None
- Have recruiter team: Yes
- Number of recruiter in company: 2
- Have ATS system: No, I don't need at all
- Have career website: No, but I want in future
- Current hiring budget: RM1,200
- Whole year budget: RM1,200.00
- Whole year number of vacancies: 2
- Hiring frequency: Once a year (25%)
- External job portal: Free Job Portal</t>
        </is>
      </c>
      <c r="AT650">
        <v>110</v>
      </c>
      <c r="AU650" t="inlineStr">
        <is>
          <t>1.10</t>
        </is>
      </c>
      <c r="AV650" t="inlineStr">
        <is>
          <t>15</t>
        </is>
      </c>
      <c r="AW650" t="inlineStr">
        <is>
          <t>0</t>
        </is>
      </c>
      <c r="AX650" t="inlineStr">
        <is>
          <t>Not Qualified</t>
        </is>
      </c>
      <c r="AY650" s="4"/>
      <c r="AZ650"/>
      <c r="BA650"/>
      <c r="BB650"/>
      <c r="BC650"/>
      <c r="BD650" s="4"/>
      <c r="BE650"/>
      <c r="BF650"/>
      <c r="BG650" t="inlineStr">
        <is>
          <t>Reschedule</t>
        </is>
      </c>
      <c r="BH650" t="inlineStr">
        <is>
          <t>Edward Hoo</t>
        </is>
      </c>
      <c r="BI650"/>
      <c r="BJ650" s="4">
        <v>46144.755949074075</v>
      </c>
      <c r="BK650" s="4">
        <v>46142.48479166667</v>
      </c>
      <c r="BL650"/>
      <c r="BM650"/>
      <c r="BN650"/>
      <c r="BO650" s="4"/>
      <c r="BP650">
        <v>169694</v>
      </c>
      <c r="BQ650"/>
      <c r="BR650"/>
      <c r="BS650"/>
      <c r="BT650"/>
      <c r="BU650"/>
      <c r="BV650"/>
      <c r="BW650"/>
      <c r="BX650"/>
      <c r="BY650"/>
      <c r="BZ650" s="4"/>
      <c r="CA650"/>
      <c r="CB650"/>
      <c r="CC650" s="4"/>
      <c r="CD650" t="inlineStr">
        <is>
          <t>20</t>
        </is>
      </c>
      <c r="CE650" t="inlineStr">
        <is>
          <t>0</t>
        </is>
      </c>
      <c r="CF650" t="inlineStr">
        <is>
          <t>Q2-W04</t>
        </is>
      </c>
      <c r="CG650"/>
      <c r="CH650"/>
      <c r="CI650"/>
      <c r="CJ650" t="inlineStr">
        <is>
          <t>No Paid</t>
        </is>
      </c>
      <c r="CK650" t="inlineStr">
        <is>
          <t>Not Eligible</t>
        </is>
      </c>
      <c r="CL650"/>
      <c r="CM650"/>
    </row>
    <row r="651" ht="25.5" customHeight="1">
      <c r="A651" t="inlineStr">
        <is>
          <t>128959</t>
        </is>
      </c>
      <c r="B651" s="2"/>
      <c r="C651"/>
      <c r="D651" s="3">
        <v>46129.411770833336</v>
      </c>
      <c r="E651" t="inlineStr">
        <is>
          <t>Q2-W03</t>
        </is>
      </c>
      <c r="F651" t="inlineStr">
        <is>
          <t>Janice Yap</t>
        </is>
      </c>
      <c r="G651" t="inlineStr">
        <is>
          <t>Customer</t>
        </is>
      </c>
      <c r="H651" s="2" t="str">
        <f>=HYPERLINK("https://upbox.ajobthing.my/customer/128959", "https://upbox.ajobthing.my/customer/128959")</f>
        <v>https://upbox.ajobthing.my/customer/128959</v>
      </c>
      <c r="I651" t="inlineStr">
        <is>
          <t>KL Coffee Club</t>
        </is>
      </c>
      <c r="J651" t="inlineStr">
        <is>
          <t>Dolphin</t>
        </is>
      </c>
      <c r="K651" t="inlineStr">
        <is>
          <t>Janice</t>
        </is>
      </c>
      <c r="L651" s="4"/>
      <c r="M651" s="4">
        <v>46129.40806712963</v>
      </c>
      <c r="N651"/>
      <c r="O651">
        <v>3888</v>
      </c>
      <c r="P651" s="4"/>
      <c r="Q651" s="4"/>
      <c r="R651"/>
      <c r="S651"/>
      <c r="T651" s="4"/>
      <c r="U651" s="4"/>
      <c r="V651"/>
      <c r="W651"/>
      <c r="X651"/>
      <c r="Y651" t="inlineStr">
        <is>
          <t>Pending Appointment</t>
        </is>
      </c>
      <c r="Z651" t="inlineStr">
        <is>
          <t>Hiring Now</t>
        </is>
      </c>
      <c r="AA651">
        <v>2</v>
      </c>
      <c r="AB651" t="inlineStr">
        <is>
          <t>No Appointment Made</t>
        </is>
      </c>
      <c r="AC651"/>
      <c r="AD651" t="inlineStr">
        <is>
          <t xml:space="preserve">2 waiter and waitress </t>
        </is>
      </c>
      <c r="AE651"/>
      <c r="AF651">
        <v>0</v>
      </c>
      <c r="AG651" s="4"/>
      <c r="AH651" s="4"/>
      <c r="AI651">
        <v>0</v>
      </c>
      <c r="AJ651"/>
      <c r="AK651" t="inlineStr">
        <is>
          <t>No, I don't need at all</t>
        </is>
      </c>
      <c r="AL651">
        <v>0</v>
      </c>
      <c r="AM651" t="inlineStr">
        <is>
          <t>No, I don't need at all</t>
        </is>
      </c>
      <c r="AN651"/>
      <c r="AO651" t="inlineStr">
        <is>
          <t>No, I don't need at all</t>
        </is>
      </c>
      <c r="AP651" t="inlineStr">
        <is>
          <t>Once a year (25%)</t>
        </is>
      </c>
      <c r="AQ651">
        <v>2</v>
      </c>
      <c r="AR651"/>
      <c r="AS651" t="inlineStr">
        <is>
          <t>- Headcount: 2
- Hiring Job Details: 2 waiter and waitress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Not specified</t>
        </is>
      </c>
      <c r="AT651">
        <v>100</v>
      </c>
      <c r="AU651" t="inlineStr">
        <is>
          <t>1.00</t>
        </is>
      </c>
      <c r="AV651" t="inlineStr">
        <is>
          <t>15</t>
        </is>
      </c>
      <c r="AW651" t="inlineStr">
        <is>
          <t>0</t>
        </is>
      </c>
      <c r="AX651" t="inlineStr">
        <is>
          <t>Not Qualified</t>
        </is>
      </c>
      <c r="AY651" s="4"/>
      <c r="AZ651"/>
      <c r="BA651"/>
      <c r="BB651"/>
      <c r="BC651" t="inlineStr">
        <is>
          <t>Not to proceed // found candidates ady</t>
        </is>
      </c>
      <c r="BD651" s="4">
        <v>46133.484143518515</v>
      </c>
      <c r="BE651"/>
      <c r="BF651"/>
      <c r="BG651" t="inlineStr">
        <is>
          <t>Reschedule</t>
        </is>
      </c>
      <c r="BH651" t="inlineStr">
        <is>
          <t>Yee Hang</t>
        </is>
      </c>
      <c r="BI651"/>
      <c r="BJ651" s="4">
        <v>46144.75042824074</v>
      </c>
      <c r="BK651" s="4">
        <v>44069.49886574074</v>
      </c>
      <c r="BL651" t="inlineStr">
        <is>
          <t>0.0</t>
        </is>
      </c>
      <c r="BM651" t="inlineStr">
        <is>
          <t>0.0</t>
        </is>
      </c>
      <c r="BN651" t="inlineStr">
        <is>
          <t>User Register</t>
        </is>
      </c>
      <c r="BO651" s="4">
        <v>44069.498877314814</v>
      </c>
      <c r="BP651">
        <v>167520</v>
      </c>
      <c r="BQ651"/>
      <c r="BR651"/>
      <c r="BS651"/>
      <c r="BT651"/>
      <c r="BU651"/>
      <c r="BV651">
        <v>2717467</v>
      </c>
      <c r="BW651" t="inlineStr">
        <is>
          <t>Follow Up : Lost - Free Portal</t>
        </is>
      </c>
      <c r="BX651"/>
      <c r="BY651"/>
      <c r="BZ651" s="4"/>
      <c r="CA651"/>
      <c r="CB651"/>
      <c r="CC651" s="4"/>
      <c r="CD651" t="inlineStr">
        <is>
          <t>20</t>
        </is>
      </c>
      <c r="CE651" t="inlineStr">
        <is>
          <t>0</t>
        </is>
      </c>
      <c r="CF651" t="inlineStr">
        <is>
          <t>Q2-W03</t>
        </is>
      </c>
      <c r="CG651"/>
      <c r="CH651"/>
      <c r="CI651"/>
      <c r="CJ651" t="inlineStr">
        <is>
          <t>No Paid</t>
        </is>
      </c>
      <c r="CK651" t="inlineStr">
        <is>
          <t>Not Eligible</t>
        </is>
      </c>
      <c r="CL651"/>
      <c r="CM651"/>
    </row>
    <row r="652" ht="25.5" customHeight="1">
      <c r="A652" t="inlineStr">
        <is>
          <t>157829</t>
        </is>
      </c>
      <c r="B652" s="2"/>
      <c r="C652"/>
      <c r="D652" s="3">
        <v>46129.42225694445</v>
      </c>
      <c r="E652" t="inlineStr">
        <is>
          <t>Q2-W03</t>
        </is>
      </c>
      <c r="F652" t="inlineStr">
        <is>
          <t>Luqman</t>
        </is>
      </c>
      <c r="G652" t="inlineStr">
        <is>
          <t>Customer</t>
        </is>
      </c>
      <c r="H652" s="2" t="str">
        <f>=HYPERLINK("https://upbox.ajobthing.my/customer/157829", "https://upbox.ajobthing.my/customer/157829")</f>
        <v>https://upbox.ajobthing.my/customer/157829</v>
      </c>
      <c r="I652" t="inlineStr">
        <is>
          <t>Maxi Stone Marketing Sdn Bhd</t>
        </is>
      </c>
      <c r="J652" t="inlineStr">
        <is>
          <t>Dolphin</t>
        </is>
      </c>
      <c r="K652" t="inlineStr">
        <is>
          <t>Luqman</t>
        </is>
      </c>
      <c r="L652" s="4"/>
      <c r="M652" s="4">
        <v>46129.42238425926</v>
      </c>
      <c r="N652"/>
      <c r="O652">
        <v>1296</v>
      </c>
      <c r="P652" s="4"/>
      <c r="Q652" s="4">
        <v>46130.602175925924</v>
      </c>
      <c r="R652"/>
      <c r="S652">
        <v>864</v>
      </c>
      <c r="T652" s="4">
        <v>46130.602175925924</v>
      </c>
      <c r="U652" s="4"/>
      <c r="V652"/>
      <c r="W652">
        <v>864</v>
      </c>
      <c r="X652"/>
      <c r="Y652" t="inlineStr">
        <is>
          <t>Pending Appointment</t>
        </is>
      </c>
      <c r="Z652" t="inlineStr">
        <is>
          <t>Hiring Now</t>
        </is>
      </c>
      <c r="AA652">
        <v>1</v>
      </c>
      <c r="AB652" t="inlineStr">
        <is>
          <t>No Appointment Made</t>
        </is>
      </c>
      <c r="AC652"/>
      <c r="AD652" t="inlineStr">
        <is>
          <t xml:space="preserve">1. Manufacturing &amp; Production </t>
        </is>
      </c>
      <c r="AE652"/>
      <c r="AF652">
        <v>1200</v>
      </c>
      <c r="AG652" s="4"/>
      <c r="AH652" s="4"/>
      <c r="AI652">
        <v>1200</v>
      </c>
      <c r="AJ652"/>
      <c r="AK652" t="inlineStr">
        <is>
          <t>Yes, I have</t>
        </is>
      </c>
      <c r="AL652">
        <v>2</v>
      </c>
      <c r="AM652" t="inlineStr">
        <is>
          <t>No, I don't need at all</t>
        </is>
      </c>
      <c r="AN652"/>
      <c r="AO652" t="inlineStr">
        <is>
          <t>Yes, I have</t>
        </is>
      </c>
      <c r="AP652" t="inlineStr">
        <is>
          <t>Once a year (25%)</t>
        </is>
      </c>
      <c r="AQ652">
        <v>1</v>
      </c>
      <c r="AR652" t="inlineStr">
        <is>
          <t>Jobstreet</t>
        </is>
      </c>
      <c r="AS652" t="inlineStr">
        <is>
          <t>- Headcount: 1
- Hiring Job Details: 1 Manufacturing &amp; Production
- Hiring Urgency: Hiring Now
- Number of outlets: Not provided
- Have recruiter team: Yes
- Number of recruiter in company: 2
- Have ATS system: No, I don't need at all
- Have career website: Yes
- Current hiring budget: RM1,200
- Whole year budget: RM1,200.00
- Whole year number of vacancies: 1
- Hiring frequency: Once a year (25%)
- External job portal: Jobstreet</t>
        </is>
      </c>
      <c r="AT652">
        <v>115</v>
      </c>
      <c r="AU652" t="inlineStr">
        <is>
          <t>1.15</t>
        </is>
      </c>
      <c r="AV652" t="inlineStr">
        <is>
          <t>15</t>
        </is>
      </c>
      <c r="AW652" t="inlineStr">
        <is>
          <t>0</t>
        </is>
      </c>
      <c r="AX652" t="inlineStr">
        <is>
          <t>Not Qualified</t>
        </is>
      </c>
      <c r="AY652" s="4"/>
      <c r="AZ652"/>
      <c r="BA652"/>
      <c r="BB652"/>
      <c r="BC652" t="inlineStr">
        <is>
          <t>Google review</t>
        </is>
      </c>
      <c r="BD652" s="4">
        <v>46142.46068287037</v>
      </c>
      <c r="BE652" t="inlineStr">
        <is>
          <t>paid</t>
        </is>
      </c>
      <c r="BF652" t="inlineStr">
        <is>
          <t>Q2-W03</t>
        </is>
      </c>
      <c r="BG652" t="inlineStr">
        <is>
          <t>Reschedule</t>
        </is>
      </c>
      <c r="BH652" t="inlineStr">
        <is>
          <t>Edward Hoo</t>
        </is>
      </c>
      <c r="BI652" t="inlineStr">
        <is>
          <t>Manufacturing / Production</t>
        </is>
      </c>
      <c r="BJ652" s="4">
        <v>46144.75101851852</v>
      </c>
      <c r="BK652" s="4">
        <v>44771.680601851855</v>
      </c>
      <c r="BL652" t="inlineStr">
        <is>
          <t>1728.0</t>
        </is>
      </c>
      <c r="BM652" t="inlineStr">
        <is>
          <t>600.0</t>
        </is>
      </c>
      <c r="BN652" t="inlineStr">
        <is>
          <t>View Candidate Search Page</t>
        </is>
      </c>
      <c r="BO652" s="4">
        <v>46142.37688657407</v>
      </c>
      <c r="BP652">
        <v>167525</v>
      </c>
      <c r="BQ652">
        <v>94192</v>
      </c>
      <c r="BR652" t="inlineStr">
        <is>
          <t>Online</t>
        </is>
      </c>
      <c r="BS652"/>
      <c r="BT652">
        <v>94192</v>
      </c>
      <c r="BU652"/>
      <c r="BV652">
        <v>2736997</v>
      </c>
      <c r="BW652" t="inlineStr">
        <is>
          <t>Service / Technical : Job Outcome Enquiry</t>
        </is>
      </c>
      <c r="BX652">
        <v>1</v>
      </c>
      <c r="BY652">
        <v>0</v>
      </c>
      <c r="BZ652" s="4">
        <v>46132.454618055555</v>
      </c>
      <c r="CA652">
        <v>10</v>
      </c>
      <c r="CB652">
        <v>2</v>
      </c>
      <c r="CC652" s="4">
        <v>46141.457604166666</v>
      </c>
      <c r="CD652" t="inlineStr">
        <is>
          <t>20</t>
        </is>
      </c>
      <c r="CE652" t="inlineStr">
        <is>
          <t>0</t>
        </is>
      </c>
      <c r="CF652" t="inlineStr">
        <is>
          <t>Q2-W03</t>
        </is>
      </c>
      <c r="CG652" t="inlineStr">
        <is>
          <t>Q2-W03</t>
        </is>
      </c>
      <c r="CH652" t="inlineStr">
        <is>
          <t>Q2-W03</t>
        </is>
      </c>
      <c r="CI652"/>
      <c r="CJ652" t="inlineStr">
        <is>
          <t>Paid</t>
        </is>
      </c>
      <c r="CK652" t="inlineStr">
        <is>
          <t>Not Eligible</t>
        </is>
      </c>
      <c r="CL652"/>
      <c r="CM652"/>
    </row>
    <row r="653" ht="25.5" customHeight="1">
      <c r="A653" t="inlineStr">
        <is>
          <t>118565</t>
        </is>
      </c>
      <c r="B653" s="2"/>
      <c r="C653"/>
      <c r="D653" s="3">
        <v>46129.42822916667</v>
      </c>
      <c r="E653" t="inlineStr">
        <is>
          <t>Q2-W03</t>
        </is>
      </c>
      <c r="F653" t="inlineStr">
        <is>
          <t>Alan KY</t>
        </is>
      </c>
      <c r="G653" t="inlineStr">
        <is>
          <t>Customer</t>
        </is>
      </c>
      <c r="H653" s="2" t="str">
        <f>=HYPERLINK("https://upbox.ajobthing.my/customer/118565", "https://upbox.ajobthing.my/customer/118565")</f>
        <v>https://upbox.ajobthing.my/customer/118565</v>
      </c>
      <c r="I653" t="inlineStr">
        <is>
          <t>MKAZ Travel Network Sdn Bhd</t>
        </is>
      </c>
      <c r="J653" t="inlineStr">
        <is>
          <t>Dolphin</t>
        </is>
      </c>
      <c r="K653" t="inlineStr">
        <is>
          <t>Alan KY</t>
        </is>
      </c>
      <c r="L653" s="4"/>
      <c r="M653" s="4">
        <v>46129.45113425926</v>
      </c>
      <c r="N653"/>
      <c r="O653">
        <v>3888</v>
      </c>
      <c r="P653" s="4"/>
      <c r="Q653" s="4">
        <v>46128.835694444446</v>
      </c>
      <c r="R653"/>
      <c r="S653">
        <v>0</v>
      </c>
      <c r="T653" s="4">
        <v>45119.620092592595</v>
      </c>
      <c r="U653" s="4"/>
      <c r="V653"/>
      <c r="W653">
        <v>1696</v>
      </c>
      <c r="X653"/>
      <c r="Y653" t="inlineStr">
        <is>
          <t>Pending Appointment</t>
        </is>
      </c>
      <c r="Z653" t="inlineStr">
        <is>
          <t>Hiring Now</t>
        </is>
      </c>
      <c r="AA653">
        <v>2</v>
      </c>
      <c r="AB653" t="inlineStr">
        <is>
          <t>No Appointment Made</t>
        </is>
      </c>
      <c r="AC653"/>
      <c r="AD653" t="inlineStr">
        <is>
          <t xml:space="preserve">logistic assistant 2 , based in selangor 
Upcoming might have more opening </t>
        </is>
      </c>
      <c r="AE653"/>
      <c r="AF653"/>
      <c r="AG653" s="4"/>
      <c r="AH653" s="4"/>
      <c r="AI653"/>
      <c r="AJ653"/>
      <c r="AK653" t="inlineStr">
        <is>
          <t>No, I don't need at all</t>
        </is>
      </c>
      <c r="AL653"/>
      <c r="AM653" t="inlineStr">
        <is>
          <t>No, I don't need at all</t>
        </is>
      </c>
      <c r="AN653"/>
      <c r="AO653" t="inlineStr">
        <is>
          <t>No, I don't need at all</t>
        </is>
      </c>
      <c r="AP653" t="inlineStr">
        <is>
          <t>Once per quarter (75%)</t>
        </is>
      </c>
      <c r="AQ653"/>
      <c r="AR653" t="inlineStr">
        <is>
          <t>Indeed (Paid)</t>
        </is>
      </c>
      <c r="AS653" t="inlineStr">
        <is>
          <t>- Headcount: 2
- Hiring Job Details: 2 logistic assistants, based in Selangor; upcoming might have more openings
- Hiring Urgency: Hiring Now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Indeed (Paid)</t>
        </is>
      </c>
      <c r="AT653">
        <v>95</v>
      </c>
      <c r="AU653" t="inlineStr">
        <is>
          <t>0.95</t>
        </is>
      </c>
      <c r="AV653" t="inlineStr">
        <is>
          <t>5</t>
        </is>
      </c>
      <c r="AW653" t="inlineStr">
        <is>
          <t>0</t>
        </is>
      </c>
      <c r="AX653" t="inlineStr">
        <is>
          <t>Not Qualified</t>
        </is>
      </c>
      <c r="AY653" s="4"/>
      <c r="AZ653"/>
      <c r="BA653"/>
      <c r="BB653"/>
      <c r="BC653" t="inlineStr">
        <is>
          <t>Pending decision yet. Still in consideration</t>
        </is>
      </c>
      <c r="BD653" s="4">
        <v>46142.481099537035</v>
      </c>
      <c r="BE653" t="inlineStr">
        <is>
          <t>paid</t>
        </is>
      </c>
      <c r="BF653"/>
      <c r="BG653" t="inlineStr">
        <is>
          <t>Reschedule</t>
        </is>
      </c>
      <c r="BH653" t="inlineStr">
        <is>
          <t>Reagen</t>
        </is>
      </c>
      <c r="BI653" t="inlineStr">
        <is>
          <t>Transportation / Logistics</t>
        </is>
      </c>
      <c r="BJ653" s="4">
        <v>46144.75019675926</v>
      </c>
      <c r="BK653" s="4">
        <v>43602.034467592595</v>
      </c>
      <c r="BL653" t="inlineStr">
        <is>
          <t>0.0</t>
        </is>
      </c>
      <c r="BM653" t="inlineStr">
        <is>
          <t>0.0</t>
        </is>
      </c>
      <c r="BN653" t="inlineStr">
        <is>
          <t>View Applicant Page</t>
        </is>
      </c>
      <c r="BO653" s="4">
        <v>45189.66740740741</v>
      </c>
      <c r="BP653">
        <v>167541</v>
      </c>
      <c r="BQ653">
        <v>122835</v>
      </c>
      <c r="BR653" t="inlineStr">
        <is>
          <t>Proforma</t>
        </is>
      </c>
      <c r="BS653" t="inlineStr">
        <is>
          <t>Free Internship Job</t>
        </is>
      </c>
      <c r="BT653">
        <v>60418</v>
      </c>
      <c r="BU653"/>
      <c r="BV653">
        <v>2737153</v>
      </c>
      <c r="BW653" t="inlineStr">
        <is>
          <t>Follow Up : Decision Pending</t>
        </is>
      </c>
      <c r="BX653"/>
      <c r="BY653"/>
      <c r="BZ653" s="4"/>
      <c r="CA653"/>
      <c r="CB653"/>
      <c r="CC653" s="4"/>
      <c r="CD653" t="inlineStr">
        <is>
          <t>5</t>
        </is>
      </c>
      <c r="CE653" t="inlineStr">
        <is>
          <t>0</t>
        </is>
      </c>
      <c r="CF653" t="inlineStr">
        <is>
          <t>Q2-W03</t>
        </is>
      </c>
      <c r="CG653" t="inlineStr">
        <is>
          <t>Q2-W02</t>
        </is>
      </c>
      <c r="CH653"/>
      <c r="CI653"/>
      <c r="CJ653" t="inlineStr">
        <is>
          <t>Paid</t>
        </is>
      </c>
      <c r="CK653" t="inlineStr">
        <is>
          <t>Not Eligible</t>
        </is>
      </c>
      <c r="CL653"/>
      <c r="CM653"/>
    </row>
    <row r="654" ht="25.5" customHeight="1">
      <c r="A654" t="inlineStr">
        <is>
          <t>203330</t>
        </is>
      </c>
      <c r="B654" s="2"/>
      <c r="C654"/>
      <c r="D654" s="3">
        <v>46129.439363425925</v>
      </c>
      <c r="E654" t="inlineStr">
        <is>
          <t>Q2-W03</t>
        </is>
      </c>
      <c r="F654" t="inlineStr">
        <is>
          <t>Keegan</t>
        </is>
      </c>
      <c r="G654" t="inlineStr">
        <is>
          <t>Customer</t>
        </is>
      </c>
      <c r="H654" s="2" t="str">
        <f>=HYPERLINK("https://upbox.ajobthing.my/customer/203330", "https://upbox.ajobthing.my/customer/203330")</f>
        <v>https://upbox.ajobthing.my/customer/203330</v>
      </c>
      <c r="I654" t="inlineStr">
        <is>
          <t>Tem Event Solution</t>
        </is>
      </c>
      <c r="J654" t="inlineStr">
        <is>
          <t>Dolphin</t>
        </is>
      </c>
      <c r="K654" t="inlineStr">
        <is>
          <t>Keegan</t>
        </is>
      </c>
      <c r="L654" s="4"/>
      <c r="M654" s="4">
        <v>46129.444502314815</v>
      </c>
      <c r="N654"/>
      <c r="O654">
        <v>6048</v>
      </c>
      <c r="P654" s="4"/>
      <c r="Q654" s="4"/>
      <c r="R654"/>
      <c r="S654"/>
      <c r="T654" s="4"/>
      <c r="U654" s="4"/>
      <c r="V654"/>
      <c r="W654"/>
      <c r="X654"/>
      <c r="Y654" t="inlineStr">
        <is>
          <t>Pending Appointment</t>
        </is>
      </c>
      <c r="Z654" t="inlineStr">
        <is>
          <t>Hiring Now</t>
        </is>
      </c>
      <c r="AA654">
        <v>4</v>
      </c>
      <c r="AB654" t="inlineStr">
        <is>
          <t>No Appointment Made</t>
        </is>
      </c>
      <c r="AC654"/>
      <c r="AD654" t="inlineStr">
        <is>
          <t xml:space="preserve">1. Sales 
2. Event manager 
3. Site Supervisor 
4. Driver </t>
        </is>
      </c>
      <c r="AE654"/>
      <c r="AF654"/>
      <c r="AG654" s="4"/>
      <c r="AH654" s="4"/>
      <c r="AI654"/>
      <c r="AJ654">
        <v>1</v>
      </c>
      <c r="AK654" t="inlineStr">
        <is>
          <t>No, I don't need at all</t>
        </is>
      </c>
      <c r="AL654">
        <v>0</v>
      </c>
      <c r="AM654" t="inlineStr">
        <is>
          <t>No, I don't need at all</t>
        </is>
      </c>
      <c r="AN654"/>
      <c r="AO654" t="inlineStr">
        <is>
          <t>No, I don't need at all</t>
        </is>
      </c>
      <c r="AP654" t="inlineStr">
        <is>
          <t>Once per quarter (75%)</t>
        </is>
      </c>
      <c r="AQ654"/>
      <c r="AR654" t="inlineStr">
        <is>
          <t>Did not use any job portal</t>
        </is>
      </c>
      <c r="AS654" t="inlineStr">
        <is>
          <t>- Headcount: 4
- Hiring Job Details: 1. Sales 2. Event manager 3. Site Supervisor 4.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654">
        <v>75</v>
      </c>
      <c r="AU654" t="inlineStr">
        <is>
          <t>0.75</t>
        </is>
      </c>
      <c r="AV654" t="inlineStr">
        <is>
          <t>5</t>
        </is>
      </c>
      <c r="AW654" t="inlineStr">
        <is>
          <t>0</t>
        </is>
      </c>
      <c r="AX654" t="inlineStr">
        <is>
          <t>Not Qualified</t>
        </is>
      </c>
      <c r="AY654" s="4"/>
      <c r="AZ654"/>
      <c r="BA654"/>
      <c r="BB654"/>
      <c r="BC654" t="inlineStr">
        <is>
          <t>Still pending decision</t>
        </is>
      </c>
      <c r="BD654" s="4">
        <v>46142.7103587963</v>
      </c>
      <c r="BE654"/>
      <c r="BF654"/>
      <c r="BG654" t="inlineStr">
        <is>
          <t>Reschedule</t>
        </is>
      </c>
      <c r="BH654" t="inlineStr">
        <is>
          <t>Edward Hoo</t>
        </is>
      </c>
      <c r="BI654"/>
      <c r="BJ654" s="4">
        <v>46144.754282407404</v>
      </c>
      <c r="BK654" s="4">
        <v>46128.734456018516</v>
      </c>
      <c r="BL654" t="inlineStr">
        <is>
          <t>0.0</t>
        </is>
      </c>
      <c r="BM654" t="inlineStr">
        <is>
          <t>1200.0</t>
        </is>
      </c>
      <c r="BN654" t="inlineStr">
        <is>
          <t>View Company Page</t>
        </is>
      </c>
      <c r="BO654" s="4">
        <v>46134.67335648148</v>
      </c>
      <c r="BP654">
        <v>167537</v>
      </c>
      <c r="BQ654"/>
      <c r="BR654"/>
      <c r="BS654"/>
      <c r="BT654"/>
      <c r="BU654"/>
      <c r="BV654">
        <v>2738300</v>
      </c>
      <c r="BW654" t="inlineStr">
        <is>
          <t>Follow Up : Decision Pending</t>
        </is>
      </c>
      <c r="BX654"/>
      <c r="BY654"/>
      <c r="BZ654" s="4"/>
      <c r="CA654"/>
      <c r="CB654"/>
      <c r="CC654" s="4"/>
      <c r="CD654" t="inlineStr">
        <is>
          <t>5</t>
        </is>
      </c>
      <c r="CE654" t="inlineStr">
        <is>
          <t>0</t>
        </is>
      </c>
      <c r="CF654" t="inlineStr">
        <is>
          <t>Q2-W03</t>
        </is>
      </c>
      <c r="CG654"/>
      <c r="CH654"/>
      <c r="CI654"/>
      <c r="CJ654" t="inlineStr">
        <is>
          <t>No Paid</t>
        </is>
      </c>
      <c r="CK654" t="inlineStr">
        <is>
          <t>Not Eligible</t>
        </is>
      </c>
      <c r="CL654"/>
      <c r="CM654"/>
    </row>
    <row r="655" ht="25.5" customHeight="1">
      <c r="A655" t="inlineStr">
        <is>
          <t>181087</t>
        </is>
      </c>
      <c r="B655" s="2"/>
      <c r="C655"/>
      <c r="D655" s="3">
        <v>46129.441712962966</v>
      </c>
      <c r="E655" t="inlineStr">
        <is>
          <t>Q2-W03</t>
        </is>
      </c>
      <c r="F655" t="inlineStr">
        <is>
          <t>Carmen</t>
        </is>
      </c>
      <c r="G655" t="inlineStr">
        <is>
          <t>Customer</t>
        </is>
      </c>
      <c r="H655" s="2" t="str">
        <f>=HYPERLINK("https://upbox.ajobthing.my/customer/181087", "https://upbox.ajobthing.my/customer/181087")</f>
        <v>https://upbox.ajobthing.my/customer/181087</v>
      </c>
      <c r="I655" t="inlineStr">
        <is>
          <t>Aldpro Corporate Services Sdn Bhd</t>
        </is>
      </c>
      <c r="J655" t="inlineStr">
        <is>
          <t>Dolphin</t>
        </is>
      </c>
      <c r="K655" t="inlineStr">
        <is>
          <t>Carmen</t>
        </is>
      </c>
      <c r="L655" s="4"/>
      <c r="M655" s="4">
        <v>46129.44180555556</v>
      </c>
      <c r="N655"/>
      <c r="O655">
        <v>1296</v>
      </c>
      <c r="P655" s="4"/>
      <c r="Q655" s="4">
        <v>46122.60267361111</v>
      </c>
      <c r="R655"/>
      <c r="S655">
        <v>0</v>
      </c>
      <c r="T655" s="4"/>
      <c r="U655" s="4"/>
      <c r="V655"/>
      <c r="W655"/>
      <c r="X655"/>
      <c r="Y655" t="inlineStr">
        <is>
          <t>Pending Appointment</t>
        </is>
      </c>
      <c r="Z655" t="inlineStr">
        <is>
          <t>Hiring Now</t>
        </is>
      </c>
      <c r="AA655">
        <v>2</v>
      </c>
      <c r="AB655" t="inlineStr">
        <is>
          <t>No Appointment Made</t>
        </is>
      </c>
      <c r="AC655"/>
      <c r="AD655" t="inlineStr">
        <is>
          <t>2 financial consultant</t>
        </is>
      </c>
      <c r="AE655"/>
      <c r="AF655">
        <v>1000</v>
      </c>
      <c r="AG655" s="4"/>
      <c r="AH655" s="4"/>
      <c r="AI655"/>
      <c r="AJ655"/>
      <c r="AK655"/>
      <c r="AL655"/>
      <c r="AM655"/>
      <c r="AN655"/>
      <c r="AO655"/>
      <c r="AP655"/>
      <c r="AQ655"/>
      <c r="AR655"/>
      <c r="AS655" t="inlineStr">
        <is>
          <t>- Headcount: 2
- Hiring Job Details: 2 financial consultant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Not provided
- External job portal: Not provided</t>
        </is>
      </c>
      <c r="AT655">
        <v>85</v>
      </c>
      <c r="AU655" t="inlineStr">
        <is>
          <t>0.85</t>
        </is>
      </c>
      <c r="AV655" t="inlineStr">
        <is>
          <t>15</t>
        </is>
      </c>
      <c r="AW655" t="inlineStr">
        <is>
          <t>0</t>
        </is>
      </c>
      <c r="AX655" t="inlineStr">
        <is>
          <t>Not Qualified</t>
        </is>
      </c>
      <c r="AY655" s="4"/>
      <c r="AZ655"/>
      <c r="BA655"/>
      <c r="BB655"/>
      <c r="BC655" t="inlineStr">
        <is>
          <t>npu</t>
        </is>
      </c>
      <c r="BD655" s="4">
        <v>46139.71934027778</v>
      </c>
      <c r="BE655" t="inlineStr">
        <is>
          <t>paid</t>
        </is>
      </c>
      <c r="BF655"/>
      <c r="BG655" t="inlineStr">
        <is>
          <t>Reschedule</t>
        </is>
      </c>
      <c r="BH655" t="inlineStr">
        <is>
          <t>Reagen</t>
        </is>
      </c>
      <c r="BI655" t="inlineStr">
        <is>
          <t>Business / Mgmt Consulting</t>
        </is>
      </c>
      <c r="BJ655" s="4">
        <v>46144.751863425925</v>
      </c>
      <c r="BK655" s="4">
        <v>45504.45925925926</v>
      </c>
      <c r="BL655" t="inlineStr">
        <is>
          <t>0.0</t>
        </is>
      </c>
      <c r="BM655" t="inlineStr">
        <is>
          <t>0.0</t>
        </is>
      </c>
      <c r="BN655" t="inlineStr">
        <is>
          <t>View Create Job Page V4</t>
        </is>
      </c>
      <c r="BO655" s="4">
        <v>46122.60896990741</v>
      </c>
      <c r="BP655">
        <v>167536</v>
      </c>
      <c r="BQ655">
        <v>121710</v>
      </c>
      <c r="BR655" t="inlineStr">
        <is>
          <t>Proforma</t>
        </is>
      </c>
      <c r="BS655" t="inlineStr">
        <is>
          <t>Free Part-Time Job</t>
        </is>
      </c>
      <c r="BT655"/>
      <c r="BU655"/>
      <c r="BV655">
        <v>2731415</v>
      </c>
      <c r="BW655" t="inlineStr">
        <is>
          <t>No Answer : Voicemail - WA sent to customer</t>
        </is>
      </c>
      <c r="BX655"/>
      <c r="BY655"/>
      <c r="BZ655" s="4"/>
      <c r="CA655"/>
      <c r="CB655"/>
      <c r="CC655" s="4"/>
      <c r="CD655" t="inlineStr">
        <is>
          <t>20</t>
        </is>
      </c>
      <c r="CE655" t="inlineStr">
        <is>
          <t>0</t>
        </is>
      </c>
      <c r="CF655" t="inlineStr">
        <is>
          <t>Q2-W03</t>
        </is>
      </c>
      <c r="CG655" t="inlineStr">
        <is>
          <t>Q2-W02</t>
        </is>
      </c>
      <c r="CH655"/>
      <c r="CI655"/>
      <c r="CJ655" t="inlineStr">
        <is>
          <t>No Paid</t>
        </is>
      </c>
      <c r="CK655" t="inlineStr">
        <is>
          <t>Not Eligible</t>
        </is>
      </c>
      <c r="CL655"/>
      <c r="CM655"/>
    </row>
    <row r="656" ht="25.5" customHeight="1">
      <c r="A656" t="inlineStr">
        <is>
          <t>148711</t>
        </is>
      </c>
      <c r="B656" s="2"/>
      <c r="C656"/>
      <c r="D656" s="3">
        <v>46129.44598379629</v>
      </c>
      <c r="E656" t="inlineStr">
        <is>
          <t>Q2-W03</t>
        </is>
      </c>
      <c r="F656" t="inlineStr">
        <is>
          <t>Eugene</t>
        </is>
      </c>
      <c r="G656" t="inlineStr">
        <is>
          <t>Customer</t>
        </is>
      </c>
      <c r="H656" s="2" t="str">
        <f>=HYPERLINK("https://upbox.ajobthing.my/customer/148711", "https://upbox.ajobthing.my/customer/148711")</f>
        <v>https://upbox.ajobthing.my/customer/148711</v>
      </c>
      <c r="I656" t="inlineStr">
        <is>
          <t>Hogo Shipping (M) Sdn Bhd</t>
        </is>
      </c>
      <c r="J656" t="inlineStr">
        <is>
          <t>Dolphin</t>
        </is>
      </c>
      <c r="K656" t="inlineStr">
        <is>
          <t>Eugene</t>
        </is>
      </c>
      <c r="L656" s="4"/>
      <c r="M656" s="4">
        <v>46129.44636574074</v>
      </c>
      <c r="N656"/>
      <c r="O656">
        <v>3888</v>
      </c>
      <c r="P656" s="4"/>
      <c r="Q656" s="4">
        <v>46129.82001157408</v>
      </c>
      <c r="R656"/>
      <c r="S656">
        <v>1296</v>
      </c>
      <c r="T656" s="4">
        <v>46129.82001157408</v>
      </c>
      <c r="U656" s="4"/>
      <c r="V656"/>
      <c r="W656">
        <v>1296</v>
      </c>
      <c r="X656"/>
      <c r="Y656" t="inlineStr">
        <is>
          <t>Pending Appointment</t>
        </is>
      </c>
      <c r="Z656" t="inlineStr">
        <is>
          <t>Hiring Now</t>
        </is>
      </c>
      <c r="AA656">
        <v>1</v>
      </c>
      <c r="AB656" t="inlineStr">
        <is>
          <t>No Appointment Made</t>
        </is>
      </c>
      <c r="AC656"/>
      <c r="AD656" t="inlineStr">
        <is>
          <t>1 customer service, based in Klang</t>
        </is>
      </c>
      <c r="AE656"/>
      <c r="AF656">
        <v>3000</v>
      </c>
      <c r="AG656" s="4"/>
      <c r="AH656" s="4"/>
      <c r="AI656">
        <v>3000</v>
      </c>
      <c r="AJ656">
        <v>1</v>
      </c>
      <c r="AK656" t="inlineStr">
        <is>
          <t>No, I don't need at all</t>
        </is>
      </c>
      <c r="AL656">
        <v>1</v>
      </c>
      <c r="AM656" t="inlineStr">
        <is>
          <t>No, I don't need at all</t>
        </is>
      </c>
      <c r="AN656"/>
      <c r="AO656" t="inlineStr">
        <is>
          <t>No, I don't need at all</t>
        </is>
      </c>
      <c r="AP656" t="inlineStr">
        <is>
          <t>Twice a year (50%)</t>
        </is>
      </c>
      <c r="AQ656">
        <v>2</v>
      </c>
      <c r="AR656" t="inlineStr">
        <is>
          <t>Jobstreet, Hiredly</t>
        </is>
      </c>
      <c r="AS656" t="inlineStr">
        <is>
          <t>- Headcount: 1
- Hiring Job Details: 1 customer service, based in Klang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Jobstreet, Hiredly</t>
        </is>
      </c>
      <c r="AT656">
        <v>115</v>
      </c>
      <c r="AU656" t="inlineStr">
        <is>
          <t>1.15</t>
        </is>
      </c>
      <c r="AV656" t="inlineStr">
        <is>
          <t>15</t>
        </is>
      </c>
      <c r="AW656" t="inlineStr">
        <is>
          <t>0</t>
        </is>
      </c>
      <c r="AX656" t="inlineStr">
        <is>
          <t>Not Qualified</t>
        </is>
      </c>
      <c r="AY656" s="4"/>
      <c r="AZ656"/>
      <c r="BA656"/>
      <c r="BB656"/>
      <c r="BC656" t="inlineStr">
        <is>
          <t>servicing</t>
        </is>
      </c>
      <c r="BD656" s="4">
        <v>46135.451319444444</v>
      </c>
      <c r="BE656" t="inlineStr">
        <is>
          <t>paid</t>
        </is>
      </c>
      <c r="BF656" t="inlineStr">
        <is>
          <t>Q2-W03</t>
        </is>
      </c>
      <c r="BG656" t="inlineStr">
        <is>
          <t>Reschedule</t>
        </is>
      </c>
      <c r="BH656" t="inlineStr">
        <is>
          <t>Edward Hoo</t>
        </is>
      </c>
      <c r="BI656" t="inlineStr">
        <is>
          <t>Transportation / Logistics</t>
        </is>
      </c>
      <c r="BJ656" s="4">
        <v>46144.75079861111</v>
      </c>
      <c r="BK656" s="4">
        <v>44610.65105324074</v>
      </c>
      <c r="BL656" t="inlineStr">
        <is>
          <t>1296.0</t>
        </is>
      </c>
      <c r="BM656" t="inlineStr">
        <is>
          <t>750.0</t>
        </is>
      </c>
      <c r="BN656" t="inlineStr">
        <is>
          <t>PA Visit - Job Card</t>
        </is>
      </c>
      <c r="BO656" s="4">
        <v>46141.584131944444</v>
      </c>
      <c r="BP656">
        <v>167538</v>
      </c>
      <c r="BQ656">
        <v>94155</v>
      </c>
      <c r="BR656" t="inlineStr">
        <is>
          <t>Online</t>
        </is>
      </c>
      <c r="BS656"/>
      <c r="BT656">
        <v>94155</v>
      </c>
      <c r="BU656"/>
      <c r="BV656">
        <v>2722601</v>
      </c>
      <c r="BW656" t="inlineStr">
        <is>
          <t>Service / Technical : Job Outcome Enquiry</t>
        </is>
      </c>
      <c r="BX656">
        <v>1</v>
      </c>
      <c r="BY656">
        <v>0</v>
      </c>
      <c r="BZ656" s="4">
        <v>46132.67888888889</v>
      </c>
      <c r="CA656">
        <v>23</v>
      </c>
      <c r="CB656">
        <v>4</v>
      </c>
      <c r="CC656" s="4">
        <v>46140.56049768518</v>
      </c>
      <c r="CD656" t="inlineStr">
        <is>
          <t>20</t>
        </is>
      </c>
      <c r="CE656" t="inlineStr">
        <is>
          <t>0</t>
        </is>
      </c>
      <c r="CF656" t="inlineStr">
        <is>
          <t>Q2-W03</t>
        </is>
      </c>
      <c r="CG656" t="inlineStr">
        <is>
          <t>Q2-W03</t>
        </is>
      </c>
      <c r="CH656" t="inlineStr">
        <is>
          <t>Q2-W03</t>
        </is>
      </c>
      <c r="CI656"/>
      <c r="CJ656" t="inlineStr">
        <is>
          <t>Paid</t>
        </is>
      </c>
      <c r="CK656" t="inlineStr">
        <is>
          <t>Not Eligible</t>
        </is>
      </c>
      <c r="CL656"/>
      <c r="CM656"/>
    </row>
    <row r="657" ht="25.5" customHeight="1">
      <c r="A657" t="inlineStr">
        <is>
          <t>200733</t>
        </is>
      </c>
      <c r="B657" s="2"/>
      <c r="C657"/>
      <c r="D657" s="3">
        <v>46129.44634259259</v>
      </c>
      <c r="E657" t="inlineStr">
        <is>
          <t>Q2-W03</t>
        </is>
      </c>
      <c r="F657" t="inlineStr">
        <is>
          <t>Clover</t>
        </is>
      </c>
      <c r="G657" t="inlineStr">
        <is>
          <t>Customer</t>
        </is>
      </c>
      <c r="H657" s="2" t="str">
        <f>=HYPERLINK("https://upbox.ajobthing.my/customer/200733", "https://upbox.ajobthing.my/customer/200733")</f>
        <v>https://upbox.ajobthing.my/customer/200733</v>
      </c>
      <c r="I657" t="inlineStr">
        <is>
          <t>C&amp;f Supply Partners Sdn. Bhd.</t>
        </is>
      </c>
      <c r="J657" t="inlineStr">
        <is>
          <t>Dolphin</t>
        </is>
      </c>
      <c r="K657" t="inlineStr">
        <is>
          <t>Clover</t>
        </is>
      </c>
      <c r="L657" s="4"/>
      <c r="M657" s="4">
        <v>46129.44719907407</v>
      </c>
      <c r="N657"/>
      <c r="O657">
        <v>3888</v>
      </c>
      <c r="P657" s="4"/>
      <c r="Q657" s="4"/>
      <c r="R657"/>
      <c r="S657"/>
      <c r="T657" s="4"/>
      <c r="U657" s="4"/>
      <c r="V657"/>
      <c r="W657"/>
      <c r="X657"/>
      <c r="Y657" t="inlineStr">
        <is>
          <t>Pending Appointment</t>
        </is>
      </c>
      <c r="Z657" t="inlineStr">
        <is>
          <t>Hiring Later</t>
        </is>
      </c>
      <c r="AA657">
        <v>1</v>
      </c>
      <c r="AB657" t="inlineStr">
        <is>
          <t>No Appointment Made</t>
        </is>
      </c>
      <c r="AC657"/>
      <c r="AD657" t="inlineStr">
        <is>
          <t>account exec x1, prefer chi, full set account, sunway pyramid, alcohol trading, explain need cs, suggest stand</t>
        </is>
      </c>
      <c r="AE657"/>
      <c r="AF657">
        <v>3000</v>
      </c>
      <c r="AG657" s="4"/>
      <c r="AH657" s="4"/>
      <c r="AI657">
        <v>3000</v>
      </c>
      <c r="AJ657">
        <v>1</v>
      </c>
      <c r="AK657" t="inlineStr">
        <is>
          <t>No, but I want in future</t>
        </is>
      </c>
      <c r="AL657">
        <v>1</v>
      </c>
      <c r="AM657" t="inlineStr">
        <is>
          <t>No, but I want in future</t>
        </is>
      </c>
      <c r="AN657"/>
      <c r="AO657" t="inlineStr">
        <is>
          <t>No, but I want in future</t>
        </is>
      </c>
      <c r="AP657" t="inlineStr">
        <is>
          <t>Twice a year (50%)</t>
        </is>
      </c>
      <c r="AQ657">
        <v>2</v>
      </c>
      <c r="AR657" t="inlineStr">
        <is>
          <t>Did not use any job portal</t>
        </is>
      </c>
      <c r="AS657" t="inlineStr">
        <is>
          <t>- Headcount: 1
- Hiring Job Details: 1 account exec, prefer chi, full set account, sunway pyramid, alcohol trading, explain need cs,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657">
        <v>115</v>
      </c>
      <c r="AU657" t="inlineStr">
        <is>
          <t>1.15</t>
        </is>
      </c>
      <c r="AV657" t="inlineStr">
        <is>
          <t>15</t>
        </is>
      </c>
      <c r="AW657" t="inlineStr">
        <is>
          <t>0</t>
        </is>
      </c>
      <c r="AX657" t="inlineStr">
        <is>
          <t>Not Qualified</t>
        </is>
      </c>
      <c r="AY657" s="4"/>
      <c r="AZ657"/>
      <c r="BA657"/>
      <c r="BB657"/>
      <c r="BC657" t="inlineStr">
        <is>
          <t>Previous experience not good all no relevant and plan expensive, prefer JS, budget concern</t>
        </is>
      </c>
      <c r="BD657" s="4">
        <v>46134.664988425924</v>
      </c>
      <c r="BE657"/>
      <c r="BF657"/>
      <c r="BG657" t="inlineStr">
        <is>
          <t>Reschedule</t>
        </is>
      </c>
      <c r="BH657" t="inlineStr">
        <is>
          <t>Reagen</t>
        </is>
      </c>
      <c r="BI657"/>
      <c r="BJ657" s="4">
        <v>46144.75363425926</v>
      </c>
      <c r="BK657" s="4">
        <v>46049.69961805556</v>
      </c>
      <c r="BL657" t="inlineStr">
        <is>
          <t>0.0</t>
        </is>
      </c>
      <c r="BM657" t="inlineStr">
        <is>
          <t>1200.0</t>
        </is>
      </c>
      <c r="BN657" t="inlineStr">
        <is>
          <t>View Company Page</t>
        </is>
      </c>
      <c r="BO657" s="4">
        <v>46049.70019675926</v>
      </c>
      <c r="BP657">
        <v>167539</v>
      </c>
      <c r="BQ657"/>
      <c r="BR657"/>
      <c r="BS657"/>
      <c r="BT657"/>
      <c r="BU657"/>
      <c r="BV657">
        <v>2721305</v>
      </c>
      <c r="BW657" t="inlineStr">
        <is>
          <t>Follow Up : Lost - Paid Portal</t>
        </is>
      </c>
      <c r="BX657"/>
      <c r="BY657"/>
      <c r="BZ657" s="4"/>
      <c r="CA657"/>
      <c r="CB657"/>
      <c r="CC657" s="4"/>
      <c r="CD657" t="inlineStr">
        <is>
          <t>20</t>
        </is>
      </c>
      <c r="CE657" t="inlineStr">
        <is>
          <t>0</t>
        </is>
      </c>
      <c r="CF657" t="inlineStr">
        <is>
          <t>Q2-W03</t>
        </is>
      </c>
      <c r="CG657"/>
      <c r="CH657"/>
      <c r="CI657"/>
      <c r="CJ657" t="inlineStr">
        <is>
          <t>No Paid</t>
        </is>
      </c>
      <c r="CK657" t="inlineStr">
        <is>
          <t>Not Eligible</t>
        </is>
      </c>
      <c r="CL657"/>
      <c r="CM657"/>
    </row>
    <row r="658" ht="25.5" customHeight="1">
      <c r="A658" t="inlineStr">
        <is>
          <t>198316</t>
        </is>
      </c>
      <c r="B658" s="2"/>
      <c r="C658"/>
      <c r="D658" s="3">
        <v>46129.44666666666</v>
      </c>
      <c r="E658" t="inlineStr">
        <is>
          <t>Q2-W03</t>
        </is>
      </c>
      <c r="F658" t="inlineStr">
        <is>
          <t>Ratha</t>
        </is>
      </c>
      <c r="G658" t="inlineStr">
        <is>
          <t>Customer</t>
        </is>
      </c>
      <c r="H658" s="2" t="str">
        <f>=HYPERLINK("https://upbox.ajobthing.my/customer/198316", "https://upbox.ajobthing.my/customer/198316")</f>
        <v>https://upbox.ajobthing.my/customer/198316</v>
      </c>
      <c r="I658" t="inlineStr">
        <is>
          <t>Tadika Generasi Cemerlang Sdn. Bhd.	</t>
        </is>
      </c>
      <c r="J658" t="inlineStr">
        <is>
          <t>Dolphin</t>
        </is>
      </c>
      <c r="K658" t="inlineStr">
        <is>
          <t>Ratha</t>
        </is>
      </c>
      <c r="L658" s="4"/>
      <c r="M658" s="4">
        <v>46125.47640046296</v>
      </c>
      <c r="N658"/>
      <c r="O658">
        <v>3672</v>
      </c>
      <c r="P658" s="4"/>
      <c r="Q658" s="4">
        <v>46129.636875</v>
      </c>
      <c r="R658"/>
      <c r="S658">
        <v>1296</v>
      </c>
      <c r="T658" s="4">
        <v>46129.636875</v>
      </c>
      <c r="U658" s="4"/>
      <c r="V658"/>
      <c r="W658">
        <v>1296</v>
      </c>
      <c r="X658"/>
      <c r="Y658" t="inlineStr">
        <is>
          <t>Pending Appointment</t>
        </is>
      </c>
      <c r="Z658" t="inlineStr">
        <is>
          <t>Hiring Now</t>
        </is>
      </c>
      <c r="AA658">
        <v>1</v>
      </c>
      <c r="AB658" t="inlineStr">
        <is>
          <t>No Appointment Made</t>
        </is>
      </c>
      <c r="AC658"/>
      <c r="AD658" t="inlineStr">
        <is>
          <t>Kindergarten Teacher
location : Sungai Besi</t>
        </is>
      </c>
      <c r="AE658"/>
      <c r="AF658"/>
      <c r="AG658" s="4"/>
      <c r="AH658" s="4"/>
      <c r="AI658">
        <v>0</v>
      </c>
      <c r="AJ658">
        <v>1</v>
      </c>
      <c r="AK658" t="inlineStr">
        <is>
          <t>Yes, I have</t>
        </is>
      </c>
      <c r="AL658">
        <v>2</v>
      </c>
      <c r="AM658" t="inlineStr">
        <is>
          <t>No, I don't need at all</t>
        </is>
      </c>
      <c r="AN658"/>
      <c r="AO658" t="inlineStr">
        <is>
          <t>No, I don't need at all</t>
        </is>
      </c>
      <c r="AP658" t="inlineStr">
        <is>
          <t>Twice a year (50%)</t>
        </is>
      </c>
      <c r="AQ658">
        <v>0</v>
      </c>
      <c r="AR658" t="inlineStr">
        <is>
          <t>Did not use any job portal</t>
        </is>
      </c>
      <c r="AS658" t="inlineStr">
        <is>
          <t>- Headcount: 1
- Hiring Job Details: 1 Kindergarten Teacher (location: Sungai Besi)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is>
      </c>
      <c r="AT658">
        <v>100</v>
      </c>
      <c r="AU658" t="inlineStr">
        <is>
          <t>1.00</t>
        </is>
      </c>
      <c r="AV658" t="inlineStr">
        <is>
          <t>5</t>
        </is>
      </c>
      <c r="AW658" t="inlineStr">
        <is>
          <t>0</t>
        </is>
      </c>
      <c r="AX658" t="inlineStr">
        <is>
          <t>Not Qualified</t>
        </is>
      </c>
      <c r="AY658" s="4"/>
      <c r="AZ658"/>
      <c r="BA658"/>
      <c r="BB658"/>
      <c r="BC658" t="inlineStr">
        <is>
          <t>post ad</t>
        </is>
      </c>
      <c r="BD658" s="4">
        <v>46140.53795138889</v>
      </c>
      <c r="BE658" t="inlineStr">
        <is>
          <t>paid</t>
        </is>
      </c>
      <c r="BF658" t="inlineStr">
        <is>
          <t>Q2-W03</t>
        </is>
      </c>
      <c r="BG658" t="inlineStr">
        <is>
          <t>Reschedule</t>
        </is>
      </c>
      <c r="BH658" t="inlineStr">
        <is>
          <t>Fauziah Maharan</t>
        </is>
      </c>
      <c r="BI658" t="inlineStr">
        <is>
          <t>Education / Training</t>
        </is>
      </c>
      <c r="BJ658" s="4">
        <v>46144.753020833334</v>
      </c>
      <c r="BK658" s="4">
        <v>45978.400092592594</v>
      </c>
      <c r="BL658" t="inlineStr">
        <is>
          <t>2592.0</t>
        </is>
      </c>
      <c r="BM658" t="inlineStr">
        <is>
          <t>0.0</t>
        </is>
      </c>
      <c r="BN658" t="inlineStr">
        <is>
          <t>View Company Page</t>
        </is>
      </c>
      <c r="BO658" s="4">
        <v>46140.529016203705</v>
      </c>
      <c r="BP658">
        <v>166672</v>
      </c>
      <c r="BQ658">
        <v>94089</v>
      </c>
      <c r="BR658" t="inlineStr">
        <is>
          <t>Online</t>
        </is>
      </c>
      <c r="BS658"/>
      <c r="BT658">
        <v>94089</v>
      </c>
      <c r="BU658"/>
      <c r="BV658">
        <v>2732494</v>
      </c>
      <c r="BW658" t="inlineStr">
        <is>
          <t>Service / Technical : Help To Post Job</t>
        </is>
      </c>
      <c r="BX658">
        <v>1</v>
      </c>
      <c r="BY658">
        <v>0</v>
      </c>
      <c r="BZ658" s="4">
        <v>46140.52854166667</v>
      </c>
      <c r="CA658">
        <v>10</v>
      </c>
      <c r="CB658">
        <v>10</v>
      </c>
      <c r="CC658" s="4"/>
      <c r="CD658" t="inlineStr">
        <is>
          <t>5</t>
        </is>
      </c>
      <c r="CE658" t="inlineStr">
        <is>
          <t>0</t>
        </is>
      </c>
      <c r="CF658" t="inlineStr">
        <is>
          <t>Q2-W02</t>
        </is>
      </c>
      <c r="CG658" t="inlineStr">
        <is>
          <t>Q2-W03</t>
        </is>
      </c>
      <c r="CH658" t="inlineStr">
        <is>
          <t>Q2-W03</t>
        </is>
      </c>
      <c r="CI658"/>
      <c r="CJ658" t="inlineStr">
        <is>
          <t>Paid</t>
        </is>
      </c>
      <c r="CK658" t="inlineStr">
        <is>
          <t>Not Eligible</t>
        </is>
      </c>
      <c r="CL658"/>
      <c r="CM658"/>
    </row>
    <row r="659" ht="25.5" customHeight="1">
      <c r="A659" t="inlineStr">
        <is>
          <t>170594</t>
        </is>
      </c>
      <c r="B659" s="2"/>
      <c r="C659"/>
      <c r="D659" s="3">
        <v>46129.461550925924</v>
      </c>
      <c r="E659" t="inlineStr">
        <is>
          <t>Q2-W03</t>
        </is>
      </c>
      <c r="F659" t="inlineStr">
        <is>
          <t>Jia Hui</t>
        </is>
      </c>
      <c r="G659" t="inlineStr">
        <is>
          <t>Customer</t>
        </is>
      </c>
      <c r="H659" s="2" t="str">
        <f>=HYPERLINK("https://upbox.ajobthing.my/customer/170594", "https://upbox.ajobthing.my/customer/170594")</f>
        <v>https://upbox.ajobthing.my/customer/170594</v>
      </c>
      <c r="I659" t="inlineStr">
        <is>
          <t>Polykelinik Sri Reko</t>
        </is>
      </c>
      <c r="J659" t="inlineStr">
        <is>
          <t>Dolphin</t>
        </is>
      </c>
      <c r="K659" t="inlineStr">
        <is>
          <t>Jia Hui</t>
        </is>
      </c>
      <c r="L659" s="4"/>
      <c r="M659" s="4">
        <v>46129.45872685185</v>
      </c>
      <c r="N659"/>
      <c r="O659">
        <v>3888</v>
      </c>
      <c r="P659" s="4"/>
      <c r="Q659" s="4">
        <v>45299.59050925926</v>
      </c>
      <c r="R659"/>
      <c r="S659">
        <v>636</v>
      </c>
      <c r="T659" s="4">
        <v>45299.59050925926</v>
      </c>
      <c r="U659" s="4"/>
      <c r="V659"/>
      <c r="W659">
        <v>636</v>
      </c>
      <c r="X659"/>
      <c r="Y659" t="inlineStr">
        <is>
          <t>Pending Appointment</t>
        </is>
      </c>
      <c r="Z659" t="inlineStr">
        <is>
          <t>Hiring Now</t>
        </is>
      </c>
      <c r="AA659">
        <v>2</v>
      </c>
      <c r="AB659" t="inlineStr">
        <is>
          <t>No Appointment Made</t>
        </is>
      </c>
      <c r="AC659"/>
      <c r="AD659" t="inlineStr">
        <is>
          <t>1 doctor, 1 clinic assistant</t>
        </is>
      </c>
      <c r="AE659"/>
      <c r="AF659">
        <v>500</v>
      </c>
      <c r="AG659" s="4"/>
      <c r="AH659" s="4"/>
      <c r="AI659"/>
      <c r="AJ659"/>
      <c r="AK659" t="inlineStr">
        <is>
          <t>No, but I want in future</t>
        </is>
      </c>
      <c r="AL659"/>
      <c r="AM659"/>
      <c r="AN659"/>
      <c r="AO659"/>
      <c r="AP659" t="inlineStr">
        <is>
          <t>Once a year (25%)</t>
        </is>
      </c>
      <c r="AQ659"/>
      <c r="AR659"/>
      <c r="AS659" t="inlineStr">
        <is>
          <t>- Headcount: 2
- Hiring Job Details: 1 doctor, 1 clinic assistant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is>
      </c>
      <c r="AT659">
        <v>95</v>
      </c>
      <c r="AU659" t="inlineStr">
        <is>
          <t>0.95</t>
        </is>
      </c>
      <c r="AV659" t="inlineStr">
        <is>
          <t>15</t>
        </is>
      </c>
      <c r="AW659" t="inlineStr">
        <is>
          <t>0</t>
        </is>
      </c>
      <c r="AX659" t="inlineStr">
        <is>
          <t>Not Qualified</t>
        </is>
      </c>
      <c r="AY659" s="4"/>
      <c r="AZ659"/>
      <c r="BA659"/>
      <c r="BB659"/>
      <c r="BC659" t="inlineStr">
        <is>
          <t>no respond</t>
        </is>
      </c>
      <c r="BD659" s="4">
        <v>46133.48335648148</v>
      </c>
      <c r="BE659" t="inlineStr">
        <is>
          <t>paid</t>
        </is>
      </c>
      <c r="BF659"/>
      <c r="BG659" t="inlineStr">
        <is>
          <t>Reschedule</t>
        </is>
      </c>
      <c r="BH659" t="inlineStr">
        <is>
          <t>Reagen</t>
        </is>
      </c>
      <c r="BI659" t="inlineStr">
        <is>
          <t>Healthcare / Medical</t>
        </is>
      </c>
      <c r="BJ659" s="4">
        <v>46144.75142361111</v>
      </c>
      <c r="BK659" s="4">
        <v>45167.51457175926</v>
      </c>
      <c r="BL659" t="inlineStr">
        <is>
          <t>0.0</t>
        </is>
      </c>
      <c r="BM659" t="inlineStr">
        <is>
          <t>0.0</t>
        </is>
      </c>
      <c r="BN659" t="inlineStr">
        <is>
          <t>PA Visit - Email</t>
        </is>
      </c>
      <c r="BO659" s="4">
        <v>45378.4725</v>
      </c>
      <c r="BP659">
        <v>167550</v>
      </c>
      <c r="BQ659">
        <v>65082</v>
      </c>
      <c r="BR659" t="inlineStr">
        <is>
          <t>Online</t>
        </is>
      </c>
      <c r="BS659"/>
      <c r="BT659">
        <v>65082</v>
      </c>
      <c r="BU659"/>
      <c r="BV659">
        <v>2717464</v>
      </c>
      <c r="BW659" t="inlineStr">
        <is>
          <t>Customer Inquiry</t>
        </is>
      </c>
      <c r="BX659"/>
      <c r="BY659"/>
      <c r="BZ659" s="4"/>
      <c r="CA659"/>
      <c r="CB659"/>
      <c r="CC659" s="4"/>
      <c r="CD659" t="inlineStr">
        <is>
          <t>20</t>
        </is>
      </c>
      <c r="CE659" t="inlineStr">
        <is>
          <t>0</t>
        </is>
      </c>
      <c r="CF659" t="inlineStr">
        <is>
          <t>Q2-W03</t>
        </is>
      </c>
      <c r="CG659"/>
      <c r="CH659"/>
      <c r="CI659"/>
      <c r="CJ659" t="inlineStr">
        <is>
          <t>Paid</t>
        </is>
      </c>
      <c r="CK659" t="inlineStr">
        <is>
          <t>Not Eligible</t>
        </is>
      </c>
      <c r="CL659"/>
      <c r="CM659"/>
    </row>
    <row r="660" ht="25.5" customHeight="1">
      <c r="A660" t="inlineStr">
        <is>
          <t>178236</t>
        </is>
      </c>
      <c r="B660" s="2"/>
      <c r="C660"/>
      <c r="D660" s="3">
        <v>46129.467569444445</v>
      </c>
      <c r="E660" t="inlineStr">
        <is>
          <t>Q2-W03</t>
        </is>
      </c>
      <c r="F660" t="inlineStr">
        <is>
          <t>Keegan</t>
        </is>
      </c>
      <c r="G660" t="inlineStr">
        <is>
          <t>Customer</t>
        </is>
      </c>
      <c r="H660" s="2" t="str">
        <f>=HYPERLINK("https://upbox.ajobthing.my/customer/178236", "https://upbox.ajobthing.my/customer/178236")</f>
        <v>https://upbox.ajobthing.my/customer/178236</v>
      </c>
      <c r="I660" t="inlineStr">
        <is>
          <t>Salam Synergy</t>
        </is>
      </c>
      <c r="J660" t="inlineStr">
        <is>
          <t>Dolphin</t>
        </is>
      </c>
      <c r="K660" t="inlineStr">
        <is>
          <t>Keegan</t>
        </is>
      </c>
      <c r="L660" s="4"/>
      <c r="M660" s="4">
        <v>46129.46766203704</v>
      </c>
      <c r="N660"/>
      <c r="O660">
        <v>3888</v>
      </c>
      <c r="P660" s="4"/>
      <c r="Q660" s="4">
        <v>46007.39255787037</v>
      </c>
      <c r="R660"/>
      <c r="S660">
        <v>864</v>
      </c>
      <c r="T660" s="4">
        <v>45953.61803240741</v>
      </c>
      <c r="U660" s="4"/>
      <c r="V660"/>
      <c r="W660">
        <v>864</v>
      </c>
      <c r="X660"/>
      <c r="Y660" t="inlineStr">
        <is>
          <t>Pending Appointment</t>
        </is>
      </c>
      <c r="Z660" t="inlineStr">
        <is>
          <t>Hiring Now</t>
        </is>
      </c>
      <c r="AA660">
        <v>2</v>
      </c>
      <c r="AB660" t="inlineStr">
        <is>
          <t>No Appointment Made</t>
        </is>
      </c>
      <c r="AC660"/>
      <c r="AD660" t="inlineStr">
        <is>
          <t xml:space="preserve">1. Admin 
2. Manager </t>
        </is>
      </c>
      <c r="AE660"/>
      <c r="AF660"/>
      <c r="AG660" s="4"/>
      <c r="AH660" s="4"/>
      <c r="AI660"/>
      <c r="AJ660">
        <v>1</v>
      </c>
      <c r="AK660" t="inlineStr">
        <is>
          <t>No, I don't need at all</t>
        </is>
      </c>
      <c r="AL660">
        <v>0</v>
      </c>
      <c r="AM660" t="inlineStr">
        <is>
          <t>No, I don't need at all</t>
        </is>
      </c>
      <c r="AN660"/>
      <c r="AO660" t="inlineStr">
        <is>
          <t>No, I don't need at all</t>
        </is>
      </c>
      <c r="AP660" t="inlineStr">
        <is>
          <t>Once per quarter (75%)</t>
        </is>
      </c>
      <c r="AQ660"/>
      <c r="AR660" t="inlineStr">
        <is>
          <t>Did not use any job portal</t>
        </is>
      </c>
      <c r="AS660" t="inlineStr">
        <is>
          <t>- Headcount: 2
- Hiring Job Details: 1. Admin\n2.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660">
        <v>75</v>
      </c>
      <c r="AU660" t="inlineStr">
        <is>
          <t>0.75</t>
        </is>
      </c>
      <c r="AV660" t="inlineStr">
        <is>
          <t>5</t>
        </is>
      </c>
      <c r="AW660" t="inlineStr">
        <is>
          <t>0</t>
        </is>
      </c>
      <c r="AX660" t="inlineStr">
        <is>
          <t>Not Qualified</t>
        </is>
      </c>
      <c r="AY660" s="4"/>
      <c r="AZ660"/>
      <c r="BA660"/>
      <c r="BB660"/>
      <c r="BC660" t="inlineStr">
        <is>
          <t>f/up on decision</t>
        </is>
      </c>
      <c r="BD660" s="4">
        <v>46135.46431712963</v>
      </c>
      <c r="BE660" t="inlineStr">
        <is>
          <t>pending</t>
        </is>
      </c>
      <c r="BF660"/>
      <c r="BG660" t="inlineStr">
        <is>
          <t>Reschedule</t>
        </is>
      </c>
      <c r="BH660" t="inlineStr">
        <is>
          <t>Edward Hoo</t>
        </is>
      </c>
      <c r="BI660" t="inlineStr">
        <is>
          <t>Property / Real Estate</t>
        </is>
      </c>
      <c r="BJ660" s="4">
        <v>46144.75173611111</v>
      </c>
      <c r="BK660" s="4">
        <v>45422.44876157407</v>
      </c>
      <c r="BL660" t="inlineStr">
        <is>
          <t>864.0</t>
        </is>
      </c>
      <c r="BM660" t="inlineStr">
        <is>
          <t>0.0</t>
        </is>
      </c>
      <c r="BN660" t="inlineStr">
        <is>
          <t>View Company Page</t>
        </is>
      </c>
      <c r="BO660" s="4">
        <v>46006.547326388885</v>
      </c>
      <c r="BP660">
        <v>167557</v>
      </c>
      <c r="BQ660">
        <v>113010</v>
      </c>
      <c r="BR660" t="inlineStr">
        <is>
          <t>Proforma</t>
        </is>
      </c>
      <c r="BS660" t="inlineStr">
        <is>
          <t>A La Carte AI Job Ad (May 25)</t>
        </is>
      </c>
      <c r="BT660">
        <v>83550</v>
      </c>
      <c r="BU660"/>
      <c r="BV660">
        <v>2722731</v>
      </c>
      <c r="BW660" t="inlineStr">
        <is>
          <t>Follow Up : Decision Pending</t>
        </is>
      </c>
      <c r="BX660"/>
      <c r="BY660"/>
      <c r="BZ660" s="4"/>
      <c r="CA660"/>
      <c r="CB660"/>
      <c r="CC660" s="4"/>
      <c r="CD660" t="inlineStr">
        <is>
          <t>5</t>
        </is>
      </c>
      <c r="CE660" t="inlineStr">
        <is>
          <t>0</t>
        </is>
      </c>
      <c r="CF660" t="inlineStr">
        <is>
          <t>Q2-W03</t>
        </is>
      </c>
      <c r="CG660"/>
      <c r="CH660"/>
      <c r="CI660"/>
      <c r="CJ660" t="inlineStr">
        <is>
          <t>Paid</t>
        </is>
      </c>
      <c r="CK660" t="inlineStr">
        <is>
          <t>Not Eligible</t>
        </is>
      </c>
      <c r="CL660"/>
      <c r="CM660"/>
    </row>
    <row r="661" ht="25.5" customHeight="1">
      <c r="A661" t="inlineStr">
        <is>
          <t>193796</t>
        </is>
      </c>
      <c r="B661" s="2"/>
      <c r="C661"/>
      <c r="D661" s="3">
        <v>46129.48099537037</v>
      </c>
      <c r="E661" t="inlineStr">
        <is>
          <t>Q2-W03</t>
        </is>
      </c>
      <c r="F661" t="inlineStr">
        <is>
          <t>Chia Yee</t>
        </is>
      </c>
      <c r="G661" t="inlineStr">
        <is>
          <t>Customer</t>
        </is>
      </c>
      <c r="H661" s="2" t="str">
        <f>=HYPERLINK("https://upbox.ajobthing.my/customer/193796", "https://upbox.ajobthing.my/customer/193796")</f>
        <v>https://upbox.ajobthing.my/customer/193796</v>
      </c>
      <c r="I661" t="inlineStr">
        <is>
          <t>Exceltec Machinery</t>
        </is>
      </c>
      <c r="J661" t="inlineStr">
        <is>
          <t>Dolphin</t>
        </is>
      </c>
      <c r="K661" t="inlineStr">
        <is>
          <t>Chia Yee</t>
        </is>
      </c>
      <c r="L661" s="4"/>
      <c r="M661" s="4">
        <v>46129.481203703705</v>
      </c>
      <c r="N661"/>
      <c r="O661">
        <v>1296</v>
      </c>
      <c r="P661" s="4"/>
      <c r="Q661" s="4">
        <v>45961.44818287037</v>
      </c>
      <c r="R661"/>
      <c r="S661">
        <v>648</v>
      </c>
      <c r="T661" s="4">
        <v>45961.44818287037</v>
      </c>
      <c r="U661" s="4"/>
      <c r="V661"/>
      <c r="W661">
        <v>648</v>
      </c>
      <c r="X661"/>
      <c r="Y661" t="inlineStr">
        <is>
          <t>Pending Appointment</t>
        </is>
      </c>
      <c r="Z661" t="inlineStr">
        <is>
          <t>Hiring Now</t>
        </is>
      </c>
      <c r="AA661">
        <v>1</v>
      </c>
      <c r="AB661" t="inlineStr">
        <is>
          <t>No Appointment Made</t>
        </is>
      </c>
      <c r="AC661"/>
      <c r="AD661" t="inlineStr">
        <is>
          <t>1 Technician</t>
        </is>
      </c>
      <c r="AE661"/>
      <c r="AF661">
        <v>0</v>
      </c>
      <c r="AG661" s="4"/>
      <c r="AH661" s="4"/>
      <c r="AI661">
        <v>0</v>
      </c>
      <c r="AJ661">
        <v>1</v>
      </c>
      <c r="AK661" t="inlineStr">
        <is>
          <t>No, I don't need at all</t>
        </is>
      </c>
      <c r="AL661">
        <v>1</v>
      </c>
      <c r="AM661" t="inlineStr">
        <is>
          <t>No, I don't need at all</t>
        </is>
      </c>
      <c r="AN661"/>
      <c r="AO661" t="inlineStr">
        <is>
          <t>No, I don't need at all</t>
        </is>
      </c>
      <c r="AP661" t="inlineStr">
        <is>
          <t>Once a year (25%)</t>
        </is>
      </c>
      <c r="AQ661">
        <v>1</v>
      </c>
      <c r="AR661" t="inlineStr">
        <is>
          <t>Did not use any job portal</t>
        </is>
      </c>
      <c r="AS661" t="inlineStr">
        <is>
          <t>- Headcount: 1
- Hiring Job Details: 1 Technician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661">
        <v>115</v>
      </c>
      <c r="AU661" t="inlineStr">
        <is>
          <t>1.15</t>
        </is>
      </c>
      <c r="AV661" t="inlineStr">
        <is>
          <t>15</t>
        </is>
      </c>
      <c r="AW661" t="inlineStr">
        <is>
          <t>0</t>
        </is>
      </c>
      <c r="AX661" t="inlineStr">
        <is>
          <t>Not Qualified</t>
        </is>
      </c>
      <c r="AY661" s="4"/>
      <c r="AZ661"/>
      <c r="BA661"/>
      <c r="BB661"/>
      <c r="BC661" t="inlineStr">
        <is>
          <t>Called Ms. tey, no budget for this. Use fb to find</t>
        </is>
      </c>
      <c r="BD661" s="4">
        <v>46133.44684027778</v>
      </c>
      <c r="BE661" t="inlineStr">
        <is>
          <t>paid</t>
        </is>
      </c>
      <c r="BF661"/>
      <c r="BG661" t="inlineStr">
        <is>
          <t>Reschedule</t>
        </is>
      </c>
      <c r="BH661" t="inlineStr">
        <is>
          <t>Reagen</t>
        </is>
      </c>
      <c r="BI661"/>
      <c r="BJ661" s="4">
        <v>46144.75263888889</v>
      </c>
      <c r="BK661" s="4">
        <v>45853.61337962963</v>
      </c>
      <c r="BL661" t="inlineStr">
        <is>
          <t>1296.0</t>
        </is>
      </c>
      <c r="BM661" t="inlineStr">
        <is>
          <t>0.0</t>
        </is>
      </c>
      <c r="BN661" t="inlineStr">
        <is>
          <t>View Jobmanager Page</t>
        </is>
      </c>
      <c r="BO661" s="4">
        <v>45980.7091087963</v>
      </c>
      <c r="BP661">
        <v>167563</v>
      </c>
      <c r="BQ661">
        <v>83819</v>
      </c>
      <c r="BR661" t="inlineStr">
        <is>
          <t>Online</t>
        </is>
      </c>
      <c r="BS661"/>
      <c r="BT661">
        <v>83819</v>
      </c>
      <c r="BU661"/>
      <c r="BV661">
        <v>2717201</v>
      </c>
      <c r="BW661" t="inlineStr">
        <is>
          <t>Follow Up : Budget Concern</t>
        </is>
      </c>
      <c r="BX661"/>
      <c r="BY661"/>
      <c r="BZ661" s="4"/>
      <c r="CA661"/>
      <c r="CB661"/>
      <c r="CC661" s="4"/>
      <c r="CD661" t="inlineStr">
        <is>
          <t>20</t>
        </is>
      </c>
      <c r="CE661" t="inlineStr">
        <is>
          <t>0</t>
        </is>
      </c>
      <c r="CF661" t="inlineStr">
        <is>
          <t>Q2-W03</t>
        </is>
      </c>
      <c r="CG661"/>
      <c r="CH661"/>
      <c r="CI661"/>
      <c r="CJ661" t="inlineStr">
        <is>
          <t>Paid</t>
        </is>
      </c>
      <c r="CK661" t="inlineStr">
        <is>
          <t>Not Eligible</t>
        </is>
      </c>
      <c r="CL661"/>
      <c r="CM661"/>
    </row>
    <row r="662" ht="25.5" customHeight="1">
      <c r="A662" t="inlineStr">
        <is>
          <t>202273</t>
        </is>
      </c>
      <c r="B662" s="2"/>
      <c r="C662"/>
      <c r="D662" s="3">
        <v>46129.481087962966</v>
      </c>
      <c r="E662" t="inlineStr">
        <is>
          <t>Q2-W03</t>
        </is>
      </c>
      <c r="F662" t="inlineStr">
        <is>
          <t>Clover</t>
        </is>
      </c>
      <c r="G662" t="inlineStr">
        <is>
          <t>Customer</t>
        </is>
      </c>
      <c r="H662" s="2" t="str">
        <f>=HYPERLINK("https://upbox.ajobthing.my/customer/202273", "https://upbox.ajobthing.my/customer/202273")</f>
        <v>https://upbox.ajobthing.my/customer/202273</v>
      </c>
      <c r="I662" t="inlineStr">
        <is>
          <t>Yayasan Restu</t>
        </is>
      </c>
      <c r="J662" t="inlineStr">
        <is>
          <t>Dolphin</t>
        </is>
      </c>
      <c r="K662" t="inlineStr">
        <is>
          <t>Clover</t>
        </is>
      </c>
      <c r="L662" s="4"/>
      <c r="M662" s="4">
        <v>46129.48059027778</v>
      </c>
      <c r="N662"/>
      <c r="O662">
        <v>6048</v>
      </c>
      <c r="P662" s="4"/>
      <c r="Q662" s="4"/>
      <c r="R662"/>
      <c r="S662"/>
      <c r="T662" s="4"/>
      <c r="U662" s="4"/>
      <c r="V662"/>
      <c r="W662"/>
      <c r="X662"/>
      <c r="Y662" t="inlineStr">
        <is>
          <t>Pending Appointment</t>
        </is>
      </c>
      <c r="Z662" t="inlineStr">
        <is>
          <t>Hiring Now</t>
        </is>
      </c>
      <c r="AA662">
        <v>4</v>
      </c>
      <c r="AB662" t="inlineStr">
        <is>
          <t>No Appointment Made</t>
        </is>
      </c>
      <c r="AC662"/>
      <c r="AD662" t="inlineStr">
        <is>
          <t>Hire Architect,x1, Quantity surveyor x1, HR Exec x1, PA x1  prefer malay, construction company, shah alam, suggest pro</t>
        </is>
      </c>
      <c r="AE662"/>
      <c r="AF662">
        <v>5000</v>
      </c>
      <c r="AG662" s="4"/>
      <c r="AH662" s="4"/>
      <c r="AI662">
        <v>5000</v>
      </c>
      <c r="AJ662">
        <v>1</v>
      </c>
      <c r="AK662" t="inlineStr">
        <is>
          <t>No, but I want in future</t>
        </is>
      </c>
      <c r="AL662">
        <v>1</v>
      </c>
      <c r="AM662" t="inlineStr">
        <is>
          <t>No, but I want in future</t>
        </is>
      </c>
      <c r="AN662"/>
      <c r="AO662" t="inlineStr">
        <is>
          <t>No, but I want in future</t>
        </is>
      </c>
      <c r="AP662" t="inlineStr">
        <is>
          <t>Once per quarter (75%)</t>
        </is>
      </c>
      <c r="AQ662">
        <v>4</v>
      </c>
      <c r="AR662" t="inlineStr">
        <is>
          <t>Jobstreet</t>
        </is>
      </c>
      <c r="AS662" t="inlineStr">
        <is>
          <t>- Headcount: Not specified
- Hiring Job Details: Hire Architect x1, Quantity surveyor x1, HR Exec x1, PA x1 (prefer malay), construction company, shah alam,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Jobstreet</t>
        </is>
      </c>
      <c r="AT662">
        <v>105</v>
      </c>
      <c r="AU662" t="inlineStr">
        <is>
          <t>1.05</t>
        </is>
      </c>
      <c r="AV662" t="inlineStr">
        <is>
          <t>15</t>
        </is>
      </c>
      <c r="AW662" t="inlineStr">
        <is>
          <t>0</t>
        </is>
      </c>
      <c r="AX662" t="inlineStr">
        <is>
          <t>Not Qualified</t>
        </is>
      </c>
      <c r="AY662" s="4"/>
      <c r="AZ662"/>
      <c r="BA662"/>
      <c r="BB662"/>
      <c r="BC662" t="inlineStr">
        <is>
          <t>- Headcount: Not specified
- Hiring Job Details: Hire Architect x1, Quantity surveyor x1, HR Exec x1, PA x1 (prefer malay), construction company, shah alam,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Jobstreet</t>
        </is>
      </c>
      <c r="BD662" s="4">
        <v>46129.50003472222</v>
      </c>
      <c r="BE662"/>
      <c r="BF662"/>
      <c r="BG662" t="inlineStr">
        <is>
          <t>Reschedule</t>
        </is>
      </c>
      <c r="BH662" t="inlineStr">
        <is>
          <t>Reagen</t>
        </is>
      </c>
      <c r="BI662"/>
      <c r="BJ662" s="4">
        <v>46144.75400462963</v>
      </c>
      <c r="BK662" s="4">
        <v>46100.42166666667</v>
      </c>
      <c r="BL662" t="inlineStr">
        <is>
          <t>0.0</t>
        </is>
      </c>
      <c r="BM662" t="inlineStr">
        <is>
          <t>1200.0</t>
        </is>
      </c>
      <c r="BN662"/>
      <c r="BO662" s="4"/>
      <c r="BP662">
        <v>167561</v>
      </c>
      <c r="BQ662"/>
      <c r="BR662"/>
      <c r="BS662"/>
      <c r="BT662"/>
      <c r="BU662"/>
      <c r="BV662">
        <v>2711728</v>
      </c>
      <c r="BW662" t="inlineStr">
        <is>
          <t>Customer Inquiry</t>
        </is>
      </c>
      <c r="BX662"/>
      <c r="BY662"/>
      <c r="BZ662" s="4"/>
      <c r="CA662"/>
      <c r="CB662"/>
      <c r="CC662" s="4"/>
      <c r="CD662" t="inlineStr">
        <is>
          <t>20</t>
        </is>
      </c>
      <c r="CE662" t="inlineStr">
        <is>
          <t>0</t>
        </is>
      </c>
      <c r="CF662" t="inlineStr">
        <is>
          <t>Q2-W03</t>
        </is>
      </c>
      <c r="CG662"/>
      <c r="CH662"/>
      <c r="CI662"/>
      <c r="CJ662" t="inlineStr">
        <is>
          <t>No Paid</t>
        </is>
      </c>
      <c r="CK662" t="inlineStr">
        <is>
          <t>Not Eligible</t>
        </is>
      </c>
      <c r="CL662"/>
      <c r="CM662"/>
    </row>
    <row r="663" ht="25.5" customHeight="1">
      <c r="A663" t="inlineStr">
        <is>
          <t>143064</t>
        </is>
      </c>
      <c r="B663" s="2"/>
      <c r="C663"/>
      <c r="D663" s="3">
        <v>46129.49203703704</v>
      </c>
      <c r="E663" t="inlineStr">
        <is>
          <t>Q2-W03</t>
        </is>
      </c>
      <c r="F663" t="inlineStr">
        <is>
          <t>Alan KY</t>
        </is>
      </c>
      <c r="G663" t="inlineStr">
        <is>
          <t>Customer</t>
        </is>
      </c>
      <c r="H663" s="2" t="str">
        <f>=HYPERLINK("https://upbox.ajobthing.my/customer/143064", "https://upbox.ajobthing.my/customer/143064")</f>
        <v>https://upbox.ajobthing.my/customer/143064</v>
      </c>
      <c r="I663" t="inlineStr">
        <is>
          <t>Ag Barrel Sdn Bhd</t>
        </is>
      </c>
      <c r="J663" t="inlineStr">
        <is>
          <t>Dolphin</t>
        </is>
      </c>
      <c r="K663" t="inlineStr">
        <is>
          <t>Alan KY</t>
        </is>
      </c>
      <c r="L663" s="4"/>
      <c r="M663" s="4">
        <v>46129.492430555554</v>
      </c>
      <c r="N663"/>
      <c r="O663">
        <v>3888</v>
      </c>
      <c r="P663" s="4"/>
      <c r="Q663" s="4">
        <v>46132.48892361111</v>
      </c>
      <c r="R663"/>
      <c r="S663">
        <v>864</v>
      </c>
      <c r="T663" s="4">
        <v>46132.48892361111</v>
      </c>
      <c r="U663" s="4"/>
      <c r="V663"/>
      <c r="W663">
        <v>864</v>
      </c>
      <c r="X663"/>
      <c r="Y663" t="inlineStr">
        <is>
          <t>Pending Appointment</t>
        </is>
      </c>
      <c r="Z663" t="inlineStr">
        <is>
          <t>Hiring Now</t>
        </is>
      </c>
      <c r="AA663">
        <v>1</v>
      </c>
      <c r="AB663" t="inlineStr">
        <is>
          <t>No Appointment Made</t>
        </is>
      </c>
      <c r="AC663"/>
      <c r="AD663" t="inlineStr">
        <is>
          <t xml:space="preserve">1 HR Assistant, based in selangor </t>
        </is>
      </c>
      <c r="AE663"/>
      <c r="AF663"/>
      <c r="AG663" s="4"/>
      <c r="AH663" s="4"/>
      <c r="AI663"/>
      <c r="AJ663"/>
      <c r="AK663" t="inlineStr">
        <is>
          <t>No, I don't need at all</t>
        </is>
      </c>
      <c r="AL663"/>
      <c r="AM663" t="inlineStr">
        <is>
          <t>No, I don't need at all</t>
        </is>
      </c>
      <c r="AN663"/>
      <c r="AO663" t="inlineStr">
        <is>
          <t>No, I don't need at all</t>
        </is>
      </c>
      <c r="AP663" t="inlineStr">
        <is>
          <t>Once per quarter (75%)</t>
        </is>
      </c>
      <c r="AQ663"/>
      <c r="AR663"/>
      <c r="AS663" t="inlineStr">
        <is>
          <t>- Headcount: 1
- Hiring Job Details: 1 HR Assistant, based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AT663">
        <v>90</v>
      </c>
      <c r="AU663" t="inlineStr">
        <is>
          <t>0.90</t>
        </is>
      </c>
      <c r="AV663" t="inlineStr">
        <is>
          <t>5</t>
        </is>
      </c>
      <c r="AW663" t="inlineStr">
        <is>
          <t>0</t>
        </is>
      </c>
      <c r="AX663" t="inlineStr">
        <is>
          <t>Not Qualified</t>
        </is>
      </c>
      <c r="AY663" s="4"/>
      <c r="AZ663"/>
      <c r="BA663"/>
      <c r="BB663"/>
      <c r="BC663" t="inlineStr">
        <is>
          <t>- Headcount: 1
- Hiring Job Details: 1 HR Assistant, based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BD663" s="4">
        <v>46129.50003472222</v>
      </c>
      <c r="BE663" t="inlineStr">
        <is>
          <t>paid</t>
        </is>
      </c>
      <c r="BF663" t="inlineStr">
        <is>
          <t>Q2-W03</t>
        </is>
      </c>
      <c r="BG663" t="inlineStr">
        <is>
          <t>Reschedule</t>
        </is>
      </c>
      <c r="BH663" t="inlineStr">
        <is>
          <t>Reagen</t>
        </is>
      </c>
      <c r="BI663" t="inlineStr">
        <is>
          <t>Other industries</t>
        </is>
      </c>
      <c r="BJ663" s="4">
        <v>46144.75069444445</v>
      </c>
      <c r="BK663" s="4">
        <v>44499.80299768518</v>
      </c>
      <c r="BL663" t="inlineStr">
        <is>
          <t>0.0</t>
        </is>
      </c>
      <c r="BM663" t="inlineStr">
        <is>
          <t>0.0</t>
        </is>
      </c>
      <c r="BN663" t="inlineStr">
        <is>
          <t>User Visit(Logged In)</t>
        </is>
      </c>
      <c r="BO663" s="4">
        <v>46141.432442129626</v>
      </c>
      <c r="BP663">
        <v>167571</v>
      </c>
      <c r="BQ663">
        <v>94345</v>
      </c>
      <c r="BR663" t="inlineStr">
        <is>
          <t>Online</t>
        </is>
      </c>
      <c r="BS663"/>
      <c r="BT663">
        <v>94345</v>
      </c>
      <c r="BU663"/>
      <c r="BV663">
        <v>2711732</v>
      </c>
      <c r="BW663" t="inlineStr">
        <is>
          <t>Customer Inquiry</t>
        </is>
      </c>
      <c r="BX663">
        <v>1</v>
      </c>
      <c r="BY663">
        <v>0</v>
      </c>
      <c r="BZ663" s="4">
        <v>46132.48892361111</v>
      </c>
      <c r="CA663">
        <v>10</v>
      </c>
      <c r="CB663">
        <v>10</v>
      </c>
      <c r="CC663" s="4"/>
      <c r="CD663" t="inlineStr">
        <is>
          <t>5</t>
        </is>
      </c>
      <c r="CE663" t="inlineStr">
        <is>
          <t>0</t>
        </is>
      </c>
      <c r="CF663" t="inlineStr">
        <is>
          <t>Q2-W03</t>
        </is>
      </c>
      <c r="CG663" t="inlineStr">
        <is>
          <t>Q2-W03</t>
        </is>
      </c>
      <c r="CH663" t="inlineStr">
        <is>
          <t>Q2-W03</t>
        </is>
      </c>
      <c r="CI663"/>
      <c r="CJ663" t="inlineStr">
        <is>
          <t>Paid</t>
        </is>
      </c>
      <c r="CK663" t="inlineStr">
        <is>
          <t>Not Eligible</t>
        </is>
      </c>
      <c r="CL663"/>
      <c r="CM663"/>
    </row>
    <row r="664" ht="25.5" customHeight="1">
      <c r="A664" t="inlineStr">
        <is>
          <t>199799</t>
        </is>
      </c>
      <c r="B664" s="2"/>
      <c r="C664"/>
      <c r="D664" s="3">
        <v>46129.49493055556</v>
      </c>
      <c r="E664" t="inlineStr">
        <is>
          <t>Q2-W03</t>
        </is>
      </c>
      <c r="F664" t="inlineStr">
        <is>
          <t>Keegan</t>
        </is>
      </c>
      <c r="G664" t="inlineStr">
        <is>
          <t>Customer</t>
        </is>
      </c>
      <c r="H664" s="2" t="str">
        <f>=HYPERLINK("https://upbox.ajobthing.my/customer/199799", "https://upbox.ajobthing.my/customer/199799")</f>
        <v>https://upbox.ajobthing.my/customer/199799</v>
      </c>
      <c r="I664" t="inlineStr">
        <is>
          <t>Yoyoy Kamphora Sdn Bhd</t>
        </is>
      </c>
      <c r="J664" t="inlineStr">
        <is>
          <t>Dolphin</t>
        </is>
      </c>
      <c r="K664" t="inlineStr">
        <is>
          <t>Keegan</t>
        </is>
      </c>
      <c r="L664" s="4"/>
      <c r="M664" s="4">
        <v>46129.495</v>
      </c>
      <c r="N664"/>
      <c r="O664">
        <v>3888</v>
      </c>
      <c r="P664" s="4"/>
      <c r="Q664" s="4"/>
      <c r="R664"/>
      <c r="S664"/>
      <c r="T664" s="4"/>
      <c r="U664" s="4"/>
      <c r="V664"/>
      <c r="W664"/>
      <c r="X664"/>
      <c r="Y664" t="inlineStr">
        <is>
          <t>Pending Appointment</t>
        </is>
      </c>
      <c r="Z664" t="inlineStr">
        <is>
          <t>Hiring Now</t>
        </is>
      </c>
      <c r="AA664">
        <v>2</v>
      </c>
      <c r="AB664" t="inlineStr">
        <is>
          <t>No Appointment Made</t>
        </is>
      </c>
      <c r="AC664"/>
      <c r="AD664" t="inlineStr">
        <is>
          <t>1. Spa therapist
2. Spa supervisor / spa assistant manager</t>
        </is>
      </c>
      <c r="AE664"/>
      <c r="AF664"/>
      <c r="AG664" s="4"/>
      <c r="AH664" s="4"/>
      <c r="AI664"/>
      <c r="AJ664">
        <v>1</v>
      </c>
      <c r="AK664" t="inlineStr">
        <is>
          <t>No, I don't need at all</t>
        </is>
      </c>
      <c r="AL664">
        <v>0</v>
      </c>
      <c r="AM664" t="inlineStr">
        <is>
          <t>No, I don't need at all</t>
        </is>
      </c>
      <c r="AN664"/>
      <c r="AO664" t="inlineStr">
        <is>
          <t>No, I don't need at all</t>
        </is>
      </c>
      <c r="AP664" t="inlineStr">
        <is>
          <t>Once per quarter (75%)</t>
        </is>
      </c>
      <c r="AQ664"/>
      <c r="AR664" t="inlineStr">
        <is>
          <t>Did not use any job portal</t>
        </is>
      </c>
      <c r="AS664" t="inlineStr">
        <is>
          <t>- Headcount: 2
- Hiring Job Details: 1. Spa therapist 2. Spa supervisor / spa assistant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664">
        <v>85</v>
      </c>
      <c r="AU664" t="inlineStr">
        <is>
          <t>0.85</t>
        </is>
      </c>
      <c r="AV664" t="inlineStr">
        <is>
          <t>5</t>
        </is>
      </c>
      <c r="AW664" t="inlineStr">
        <is>
          <t>0</t>
        </is>
      </c>
      <c r="AX664" t="inlineStr">
        <is>
          <t>Not Qualified</t>
        </is>
      </c>
      <c r="AY664" s="4"/>
      <c r="AZ664"/>
      <c r="BA664"/>
      <c r="BB664"/>
      <c r="BC664" t="inlineStr">
        <is>
          <t>- Headcount: 2
- Hiring Job Details: 1. Spa therapist 2. Spa supervisor / spa assistant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664" s="4">
        <v>46129.50003472222</v>
      </c>
      <c r="BE664"/>
      <c r="BF664"/>
      <c r="BG664" t="inlineStr">
        <is>
          <t>Reschedule</t>
        </is>
      </c>
      <c r="BH664" t="inlineStr">
        <is>
          <t>Edward Hoo</t>
        </is>
      </c>
      <c r="BI664" t="inlineStr">
        <is>
          <t>Beauty / Fitness</t>
        </is>
      </c>
      <c r="BJ664" s="4">
        <v>46144.7533912037</v>
      </c>
      <c r="BK664" s="4">
        <v>46019.94980324074</v>
      </c>
      <c r="BL664" t="inlineStr">
        <is>
          <t>0.0</t>
        </is>
      </c>
      <c r="BM664" t="inlineStr">
        <is>
          <t>0.0</t>
        </is>
      </c>
      <c r="BN664" t="inlineStr">
        <is>
          <t>View Company Page</t>
        </is>
      </c>
      <c r="BO664" s="4">
        <v>46019.98511574074</v>
      </c>
      <c r="BP664">
        <v>167575</v>
      </c>
      <c r="BQ664"/>
      <c r="BR664"/>
      <c r="BS664"/>
      <c r="BT664"/>
      <c r="BU664"/>
      <c r="BV664">
        <v>2711735</v>
      </c>
      <c r="BW664" t="inlineStr">
        <is>
          <t>Customer Inquiry</t>
        </is>
      </c>
      <c r="BX664"/>
      <c r="BY664"/>
      <c r="BZ664" s="4"/>
      <c r="CA664"/>
      <c r="CB664"/>
      <c r="CC664" s="4"/>
      <c r="CD664" t="inlineStr">
        <is>
          <t>5</t>
        </is>
      </c>
      <c r="CE664" t="inlineStr">
        <is>
          <t>0</t>
        </is>
      </c>
      <c r="CF664" t="inlineStr">
        <is>
          <t>Q2-W03</t>
        </is>
      </c>
      <c r="CG664"/>
      <c r="CH664"/>
      <c r="CI664"/>
      <c r="CJ664" t="inlineStr">
        <is>
          <t>No Paid</t>
        </is>
      </c>
      <c r="CK664" t="inlineStr">
        <is>
          <t>Not Eligible</t>
        </is>
      </c>
      <c r="CL664"/>
      <c r="CM664"/>
    </row>
    <row r="665" ht="25.5" customHeight="1">
      <c r="A665" t="inlineStr">
        <is>
          <t>195263</t>
        </is>
      </c>
      <c r="B665" s="2"/>
      <c r="C665"/>
      <c r="D665" s="3">
        <v>46129.49532407407</v>
      </c>
      <c r="E665" t="inlineStr">
        <is>
          <t>Q2-W03</t>
        </is>
      </c>
      <c r="F665" t="inlineStr">
        <is>
          <t>Evan</t>
        </is>
      </c>
      <c r="G665" t="inlineStr">
        <is>
          <t>Customer</t>
        </is>
      </c>
      <c r="H665" s="2" t="str">
        <f>=HYPERLINK("https://upbox.ajobthing.my/customer/195263", "https://upbox.ajobthing.my/customer/195263")</f>
        <v>https://upbox.ajobthing.my/customer/195263</v>
      </c>
      <c r="I665" t="inlineStr">
        <is>
          <t>FTA Healthcare Sdn Bhd</t>
        </is>
      </c>
      <c r="J665" t="inlineStr">
        <is>
          <t>Dolphin</t>
        </is>
      </c>
      <c r="K665" t="inlineStr">
        <is>
          <t>Evan</t>
        </is>
      </c>
      <c r="L665" s="4"/>
      <c r="M665" s="4">
        <v>46129.49465277778</v>
      </c>
      <c r="N665"/>
      <c r="O665">
        <v>3888</v>
      </c>
      <c r="P665" s="4"/>
      <c r="Q665" s="4">
        <v>45932.680393518516</v>
      </c>
      <c r="R665"/>
      <c r="S665">
        <v>648</v>
      </c>
      <c r="T665" s="4">
        <v>45932.680393518516</v>
      </c>
      <c r="U665" s="4"/>
      <c r="V665"/>
      <c r="W665">
        <v>648</v>
      </c>
      <c r="X665"/>
      <c r="Y665" t="inlineStr">
        <is>
          <t>Pending Appointment</t>
        </is>
      </c>
      <c r="Z665" t="inlineStr">
        <is>
          <t>Hiring Now</t>
        </is>
      </c>
      <c r="AA665">
        <v>1</v>
      </c>
      <c r="AB665" t="inlineStr">
        <is>
          <t>No Appointment Made</t>
        </is>
      </c>
      <c r="AC665"/>
      <c r="AD665" t="inlineStr">
        <is>
          <t>1 sales, all base in Malaysia</t>
        </is>
      </c>
      <c r="AE665"/>
      <c r="AF665">
        <v>1</v>
      </c>
      <c r="AG665" s="4"/>
      <c r="AH665" s="4"/>
      <c r="AI665">
        <v>1</v>
      </c>
      <c r="AJ665">
        <v>1</v>
      </c>
      <c r="AK665" t="inlineStr">
        <is>
          <t>No, I don't need at all</t>
        </is>
      </c>
      <c r="AL665">
        <v>0</v>
      </c>
      <c r="AM665" t="inlineStr">
        <is>
          <t>No, I don't need at all</t>
        </is>
      </c>
      <c r="AN665"/>
      <c r="AO665" t="inlineStr">
        <is>
          <t>No, I don't need at all</t>
        </is>
      </c>
      <c r="AP665" t="inlineStr">
        <is>
          <t>Once a year (25%)</t>
        </is>
      </c>
      <c r="AQ665">
        <v>1</v>
      </c>
      <c r="AR665" t="inlineStr">
        <is>
          <t>Jobstreet</t>
        </is>
      </c>
      <c r="AS665"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AT665">
        <v>115</v>
      </c>
      <c r="AU665" t="inlineStr">
        <is>
          <t>1.15</t>
        </is>
      </c>
      <c r="AV665" t="inlineStr">
        <is>
          <t>15</t>
        </is>
      </c>
      <c r="AW665" t="inlineStr">
        <is>
          <t>0</t>
        </is>
      </c>
      <c r="AX665" t="inlineStr">
        <is>
          <t>Not Qualified</t>
        </is>
      </c>
      <c r="AY665" s="4"/>
      <c r="AZ665"/>
      <c r="BA665"/>
      <c r="BB665"/>
      <c r="BC665"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BD665" s="4">
        <v>46129.50003472222</v>
      </c>
      <c r="BE665" t="inlineStr">
        <is>
          <t>paid</t>
        </is>
      </c>
      <c r="BF665"/>
      <c r="BG665" t="inlineStr">
        <is>
          <t>Reschedule</t>
        </is>
      </c>
      <c r="BH665" t="inlineStr">
        <is>
          <t>Edward Hoo</t>
        </is>
      </c>
      <c r="BI665"/>
      <c r="BJ665" s="4">
        <v>46144.7527662037</v>
      </c>
      <c r="BK665" s="4">
        <v>45891.39952546296</v>
      </c>
      <c r="BL665" t="inlineStr">
        <is>
          <t>1512.0</t>
        </is>
      </c>
      <c r="BM665" t="inlineStr">
        <is>
          <t>0.0</t>
        </is>
      </c>
      <c r="BN665" t="inlineStr">
        <is>
          <t>View Jobmanager Page</t>
        </is>
      </c>
      <c r="BO665" s="4">
        <v>45971.600011574075</v>
      </c>
      <c r="BP665">
        <v>167574</v>
      </c>
      <c r="BQ665">
        <v>82951</v>
      </c>
      <c r="BR665" t="inlineStr">
        <is>
          <t>Online</t>
        </is>
      </c>
      <c r="BS665"/>
      <c r="BT665">
        <v>82951</v>
      </c>
      <c r="BU665"/>
      <c r="BV665">
        <v>2711736</v>
      </c>
      <c r="BW665" t="inlineStr">
        <is>
          <t>Customer Inquiry</t>
        </is>
      </c>
      <c r="BX665"/>
      <c r="BY665"/>
      <c r="BZ665" s="4"/>
      <c r="CA665"/>
      <c r="CB665"/>
      <c r="CC665" s="4"/>
      <c r="CD665" t="inlineStr">
        <is>
          <t>20</t>
        </is>
      </c>
      <c r="CE665" t="inlineStr">
        <is>
          <t>0</t>
        </is>
      </c>
      <c r="CF665" t="inlineStr">
        <is>
          <t>Q2-W03</t>
        </is>
      </c>
      <c r="CG665"/>
      <c r="CH665"/>
      <c r="CI665"/>
      <c r="CJ665" t="inlineStr">
        <is>
          <t>Paid</t>
        </is>
      </c>
      <c r="CK665" t="inlineStr">
        <is>
          <t>Not Eligible</t>
        </is>
      </c>
      <c r="CL665"/>
      <c r="CM665"/>
    </row>
    <row r="666" ht="25.5" customHeight="1">
      <c r="A666" t="inlineStr">
        <is>
          <t>201970</t>
        </is>
      </c>
      <c r="B666" s="2"/>
      <c r="C666"/>
      <c r="D666" s="3">
        <v>46129.49680555556</v>
      </c>
      <c r="E666" t="inlineStr">
        <is>
          <t>Q2-W03</t>
        </is>
      </c>
      <c r="F666" t="inlineStr">
        <is>
          <t>Ken Yi</t>
        </is>
      </c>
      <c r="G666" t="inlineStr">
        <is>
          <t>Customer</t>
        </is>
      </c>
      <c r="H666" s="2" t="str">
        <f>=HYPERLINK("https://upbox.ajobthing.my/customer/201970", "https://upbox.ajobthing.my/customer/201970")</f>
        <v>https://upbox.ajobthing.my/customer/201970</v>
      </c>
      <c r="I666" t="inlineStr">
        <is>
          <t>Luchtech Engineering Sdn Bhd</t>
        </is>
      </c>
      <c r="J666" t="inlineStr">
        <is>
          <t>Dolphin</t>
        </is>
      </c>
      <c r="K666" t="inlineStr">
        <is>
          <t>Kenyi</t>
        </is>
      </c>
      <c r="L666" s="4"/>
      <c r="M666" s="4">
        <v>46093.46947916667</v>
      </c>
      <c r="N666"/>
      <c r="O666">
        <v>1296</v>
      </c>
      <c r="P666" s="4"/>
      <c r="Q666" s="4">
        <v>46132.625</v>
      </c>
      <c r="R666"/>
      <c r="S666">
        <v>3672</v>
      </c>
      <c r="T666" s="4">
        <v>46132.625</v>
      </c>
      <c r="U666" s="4"/>
      <c r="V666"/>
      <c r="W666">
        <v>3672</v>
      </c>
      <c r="X666"/>
      <c r="Y666" t="inlineStr">
        <is>
          <t>Pending Appointment</t>
        </is>
      </c>
      <c r="Z666" t="inlineStr">
        <is>
          <t>Hiring Now</t>
        </is>
      </c>
      <c r="AA666">
        <v>2</v>
      </c>
      <c r="AB666" t="inlineStr">
        <is>
          <t>No Appointment Made</t>
        </is>
      </c>
      <c r="AC666"/>
      <c r="AD666" t="inlineStr">
        <is>
          <t>Operation, Sales</t>
        </is>
      </c>
      <c r="AE666"/>
      <c r="AF666">
        <v>3671</v>
      </c>
      <c r="AG666" s="4"/>
      <c r="AH666" s="4"/>
      <c r="AI666">
        <v>0</v>
      </c>
      <c r="AJ666">
        <v>1</v>
      </c>
      <c r="AK666" t="inlineStr">
        <is>
          <t>Yes, I have</t>
        </is>
      </c>
      <c r="AL666">
        <v>2</v>
      </c>
      <c r="AM666" t="inlineStr">
        <is>
          <t>No, I don't need at all</t>
        </is>
      </c>
      <c r="AN666"/>
      <c r="AO666" t="inlineStr">
        <is>
          <t>No, I don't need at all</t>
        </is>
      </c>
      <c r="AP666" t="inlineStr">
        <is>
          <t>Every month (100%)</t>
        </is>
      </c>
      <c r="AQ666">
        <v>1</v>
      </c>
      <c r="AR666" t="inlineStr">
        <is>
          <t>Free Job Portal</t>
        </is>
      </c>
      <c r="AS666" t="inlineStr">
        <is>
          <t>- Headcount: 2
- Hiring Job Details: Operation, Sales
- Hiring Urgency: Hiring Now
- Number of outlets: 1
- Have recruiter team: Yes
- Number of recruiter in company: 2
- Have ATS system: No, I don't need at all
- Have career website: No, I don't need at all
- Current hiring budget: RM3,671
- Whole year budget: RM0.00
- Whole year number of vacancies: 1
- Hiring frequency: Every month (100%)
- External job portal: Free Job Portal</t>
        </is>
      </c>
      <c r="AT666">
        <v>115</v>
      </c>
      <c r="AU666" t="inlineStr">
        <is>
          <t>1.15</t>
        </is>
      </c>
      <c r="AV666" t="inlineStr">
        <is>
          <t>15</t>
        </is>
      </c>
      <c r="AW666" t="inlineStr">
        <is>
          <t>0</t>
        </is>
      </c>
      <c r="AX666" t="inlineStr">
        <is>
          <t>Not Qualified</t>
        </is>
      </c>
      <c r="AY666" s="4"/>
      <c r="AZ666"/>
      <c r="BA666"/>
      <c r="BB666"/>
      <c r="BC666" t="inlineStr">
        <is>
          <t>Help to post job</t>
        </is>
      </c>
      <c r="BD666" s="4">
        <v>46136.57954861111</v>
      </c>
      <c r="BE666" t="inlineStr">
        <is>
          <t>paid</t>
        </is>
      </c>
      <c r="BF666" t="inlineStr">
        <is>
          <t>Q2-W03</t>
        </is>
      </c>
      <c r="BG666" t="inlineStr">
        <is>
          <t>Reschedule</t>
        </is>
      </c>
      <c r="BH666" t="inlineStr">
        <is>
          <t>Fauziah Maharan</t>
        </is>
      </c>
      <c r="BI666" t="inlineStr">
        <is>
          <t>Engineering / Technical Consulting</t>
        </is>
      </c>
      <c r="BJ666" s="4">
        <v>46144.753900462965</v>
      </c>
      <c r="BK666" s="4">
        <v>46092.54903935185</v>
      </c>
      <c r="BL666" t="inlineStr">
        <is>
          <t>3672.0</t>
        </is>
      </c>
      <c r="BM666" t="inlineStr">
        <is>
          <t>1200.0</t>
        </is>
      </c>
      <c r="BN666" t="inlineStr">
        <is>
          <t>Send Chat to Applicant</t>
        </is>
      </c>
      <c r="BO666" s="4">
        <v>46144.45921296296</v>
      </c>
      <c r="BP666">
        <v>161880</v>
      </c>
      <c r="BQ666">
        <v>94377</v>
      </c>
      <c r="BR666" t="inlineStr">
        <is>
          <t>Online</t>
        </is>
      </c>
      <c r="BS666"/>
      <c r="BT666">
        <v>94377</v>
      </c>
      <c r="BU666"/>
      <c r="BV666">
        <v>2726344</v>
      </c>
      <c r="BW666" t="inlineStr">
        <is>
          <t>Service / Technical : Help To Post Job</t>
        </is>
      </c>
      <c r="BX666">
        <v>6</v>
      </c>
      <c r="BY666">
        <v>4</v>
      </c>
      <c r="BZ666" s="4">
        <v>46136.582037037035</v>
      </c>
      <c r="CA666">
        <v>73</v>
      </c>
      <c r="CB666">
        <v>70</v>
      </c>
      <c r="CC666" s="4">
        <v>46144.453877314816</v>
      </c>
      <c r="CD666" t="inlineStr">
        <is>
          <t>20</t>
        </is>
      </c>
      <c r="CE666" t="inlineStr">
        <is>
          <t>0</t>
        </is>
      </c>
      <c r="CF666" t="inlineStr">
        <is>
          <t>Q1-W10</t>
        </is>
      </c>
      <c r="CG666" t="inlineStr">
        <is>
          <t>Q2-W03</t>
        </is>
      </c>
      <c r="CH666" t="inlineStr">
        <is>
          <t>Q2-W03</t>
        </is>
      </c>
      <c r="CI666"/>
      <c r="CJ666" t="inlineStr">
        <is>
          <t>Paid</t>
        </is>
      </c>
      <c r="CK666" t="inlineStr">
        <is>
          <t>Not Eligible</t>
        </is>
      </c>
      <c r="CL666"/>
      <c r="CM666"/>
    </row>
    <row r="667" ht="25.5" customHeight="1">
      <c r="A667" t="inlineStr">
        <is>
          <t>178325</t>
        </is>
      </c>
      <c r="B667" s="2"/>
      <c r="C667"/>
      <c r="D667" s="3">
        <v>46129.50315972222</v>
      </c>
      <c r="E667" t="inlineStr">
        <is>
          <t>Q2-W03</t>
        </is>
      </c>
      <c r="F667" t="inlineStr">
        <is>
          <t>Keegan</t>
        </is>
      </c>
      <c r="G667" t="inlineStr">
        <is>
          <t>Customer</t>
        </is>
      </c>
      <c r="H667" s="2" t="str">
        <f>=HYPERLINK("https://upbox.ajobthing.my/customer/178325", "https://upbox.ajobthing.my/customer/178325")</f>
        <v>https://upbox.ajobthing.my/customer/178325</v>
      </c>
      <c r="I667" t="inlineStr">
        <is>
          <t>H. F. KEJENTERAAN SDN BHD</t>
        </is>
      </c>
      <c r="J667" t="inlineStr">
        <is>
          <t>Dolphin</t>
        </is>
      </c>
      <c r="K667" t="inlineStr">
        <is>
          <t>Keegan</t>
        </is>
      </c>
      <c r="L667" s="4"/>
      <c r="M667" s="4">
        <v>46129.50326388889</v>
      </c>
      <c r="N667"/>
      <c r="O667">
        <v>3672</v>
      </c>
      <c r="P667" s="4"/>
      <c r="Q667" s="4">
        <v>46142.48640046296</v>
      </c>
      <c r="R667"/>
      <c r="S667">
        <v>0</v>
      </c>
      <c r="T667" s="4">
        <v>46134.40726851852</v>
      </c>
      <c r="U667" s="4"/>
      <c r="V667"/>
      <c r="W667">
        <v>3672</v>
      </c>
      <c r="X667"/>
      <c r="Y667" t="inlineStr">
        <is>
          <t>Pending Appointment</t>
        </is>
      </c>
      <c r="Z667" t="inlineStr">
        <is>
          <t>Hiring Now</t>
        </is>
      </c>
      <c r="AA667">
        <v>2</v>
      </c>
      <c r="AB667" t="inlineStr">
        <is>
          <t>No Appointment Made</t>
        </is>
      </c>
      <c r="AC667"/>
      <c r="AD667" t="inlineStr">
        <is>
          <t xml:space="preserve">1. Drafter
2. Admin </t>
        </is>
      </c>
      <c r="AE667"/>
      <c r="AF667"/>
      <c r="AG667" s="4"/>
      <c r="AH667" s="4"/>
      <c r="AI667"/>
      <c r="AJ667">
        <v>1</v>
      </c>
      <c r="AK667" t="inlineStr">
        <is>
          <t>No, I don't need at all</t>
        </is>
      </c>
      <c r="AL667">
        <v>0</v>
      </c>
      <c r="AM667" t="inlineStr">
        <is>
          <t>No, I don't need at all</t>
        </is>
      </c>
      <c r="AN667"/>
      <c r="AO667" t="inlineStr">
        <is>
          <t>No, I don't need at all</t>
        </is>
      </c>
      <c r="AP667" t="inlineStr">
        <is>
          <t>Once per quarter (75%)</t>
        </is>
      </c>
      <c r="AQ667"/>
      <c r="AR667" t="inlineStr">
        <is>
          <t>Did not use any job portal</t>
        </is>
      </c>
      <c r="AS667" t="inlineStr">
        <is>
          <t>- Headcount: 2
- Hiring Job Details: 1. Drafter\n2.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667">
        <v>90</v>
      </c>
      <c r="AU667" t="inlineStr">
        <is>
          <t>0.90</t>
        </is>
      </c>
      <c r="AV667" t="inlineStr">
        <is>
          <t>5</t>
        </is>
      </c>
      <c r="AW667" t="inlineStr">
        <is>
          <t>0</t>
        </is>
      </c>
      <c r="AX667" t="inlineStr">
        <is>
          <t>Not Qualified</t>
        </is>
      </c>
      <c r="AY667" s="4"/>
      <c r="AZ667"/>
      <c r="BA667"/>
      <c r="BB667"/>
      <c r="BC667" t="inlineStr">
        <is>
          <t>Job posting f/up</t>
        </is>
      </c>
      <c r="BD667" s="4">
        <v>46142.49606481481</v>
      </c>
      <c r="BE667" t="inlineStr">
        <is>
          <t>paid</t>
        </is>
      </c>
      <c r="BF667" t="inlineStr">
        <is>
          <t>Q2-W03</t>
        </is>
      </c>
      <c r="BG667" t="inlineStr">
        <is>
          <t>Reschedule</t>
        </is>
      </c>
      <c r="BH667" t="inlineStr">
        <is>
          <t>Edward Hoo</t>
        </is>
      </c>
      <c r="BI667" t="inlineStr">
        <is>
          <t>Manufacturing / Production</t>
        </is>
      </c>
      <c r="BJ667" s="4">
        <v>46144.75173611111</v>
      </c>
      <c r="BK667" s="4">
        <v>45425.58954861111</v>
      </c>
      <c r="BL667" t="inlineStr">
        <is>
          <t>3672.0</t>
        </is>
      </c>
      <c r="BM667" t="inlineStr">
        <is>
          <t>0.0</t>
        </is>
      </c>
      <c r="BN667" t="inlineStr">
        <is>
          <t>PA Visit - Job Card</t>
        </is>
      </c>
      <c r="BO667" s="4">
        <v>46142.68216435185</v>
      </c>
      <c r="BP667">
        <v>167586</v>
      </c>
      <c r="BQ667">
        <v>124170</v>
      </c>
      <c r="BR667" t="inlineStr">
        <is>
          <t>Proforma</t>
        </is>
      </c>
      <c r="BS667" t="inlineStr">
        <is>
          <t>Free Freelance Job</t>
        </is>
      </c>
      <c r="BT667">
        <v>94581</v>
      </c>
      <c r="BU667"/>
      <c r="BV667">
        <v>2737260</v>
      </c>
      <c r="BW667" t="inlineStr">
        <is>
          <t>Service / Technical : Job Outcome Enquiry</t>
        </is>
      </c>
      <c r="BX667">
        <v>8</v>
      </c>
      <c r="BY667">
        <v>6</v>
      </c>
      <c r="BZ667" s="4">
        <v>46134.432291666664</v>
      </c>
      <c r="CA667">
        <v>73</v>
      </c>
      <c r="CB667">
        <v>63</v>
      </c>
      <c r="CC667" s="4">
        <v>46134.46306712963</v>
      </c>
      <c r="CD667" t="inlineStr">
        <is>
          <t>5</t>
        </is>
      </c>
      <c r="CE667" t="inlineStr">
        <is>
          <t>0</t>
        </is>
      </c>
      <c r="CF667" t="inlineStr">
        <is>
          <t>Q2-W03</t>
        </is>
      </c>
      <c r="CG667" t="inlineStr">
        <is>
          <t>Q2-W04</t>
        </is>
      </c>
      <c r="CH667" t="inlineStr">
        <is>
          <t>Q2-W03</t>
        </is>
      </c>
      <c r="CI667"/>
      <c r="CJ667" t="inlineStr">
        <is>
          <t>Paid</t>
        </is>
      </c>
      <c r="CK667" t="inlineStr">
        <is>
          <t>Not Eligible</t>
        </is>
      </c>
      <c r="CL667"/>
      <c r="CM667"/>
    </row>
    <row r="668" ht="25.5" customHeight="1">
      <c r="A668" t="inlineStr">
        <is>
          <t>188399</t>
        </is>
      </c>
      <c r="B668" s="2"/>
      <c r="C668"/>
      <c r="D668" s="3">
        <v>46129.545266203706</v>
      </c>
      <c r="E668" t="inlineStr">
        <is>
          <t>Q2-W03</t>
        </is>
      </c>
      <c r="F668" t="inlineStr">
        <is>
          <t>Ratha</t>
        </is>
      </c>
      <c r="G668" t="inlineStr">
        <is>
          <t>Customer</t>
        </is>
      </c>
      <c r="H668" s="2" t="str">
        <f>=HYPERLINK("https://upbox.ajobthing.my/customer/188399", "https://upbox.ajobthing.my/customer/188399")</f>
        <v>https://upbox.ajobthing.my/customer/188399</v>
      </c>
      <c r="I668" t="inlineStr">
        <is>
          <t>Interface Education (M) Sdn Bhd</t>
        </is>
      </c>
      <c r="J668" t="inlineStr">
        <is>
          <t>Dolphin</t>
        </is>
      </c>
      <c r="K668" t="inlineStr">
        <is>
          <t>Ratha</t>
        </is>
      </c>
      <c r="L668" s="4"/>
      <c r="M668" s="4">
        <v>46129.54554398148</v>
      </c>
      <c r="N668"/>
      <c r="O668">
        <v>1296</v>
      </c>
      <c r="P668" s="4"/>
      <c r="Q668" s="4">
        <v>46142.775300925925</v>
      </c>
      <c r="R668"/>
      <c r="S668">
        <v>864</v>
      </c>
      <c r="T668" s="4">
        <v>46142.775300925925</v>
      </c>
      <c r="U668" s="4"/>
      <c r="V668"/>
      <c r="W668">
        <v>864</v>
      </c>
      <c r="X668"/>
      <c r="Y668" t="inlineStr">
        <is>
          <t>Pending Appointment</t>
        </is>
      </c>
      <c r="Z668" t="inlineStr">
        <is>
          <t>Hiring Now</t>
        </is>
      </c>
      <c r="AA668">
        <v>1</v>
      </c>
      <c r="AB668" t="inlineStr">
        <is>
          <t>No Appointment Made</t>
        </is>
      </c>
      <c r="AC668"/>
      <c r="AD668" t="inlineStr">
        <is>
          <t>Team leader mktg 1
Kajang</t>
        </is>
      </c>
      <c r="AE668"/>
      <c r="AF668"/>
      <c r="AG668" s="4"/>
      <c r="AH668" s="4"/>
      <c r="AI668">
        <v>0</v>
      </c>
      <c r="AJ668">
        <v>1</v>
      </c>
      <c r="AK668" t="inlineStr">
        <is>
          <t>Yes, I have</t>
        </is>
      </c>
      <c r="AL668">
        <v>2</v>
      </c>
      <c r="AM668" t="inlineStr">
        <is>
          <t>No, I don't need at all</t>
        </is>
      </c>
      <c r="AN668"/>
      <c r="AO668" t="inlineStr">
        <is>
          <t>No, I don't need at all</t>
        </is>
      </c>
      <c r="AP668" t="inlineStr">
        <is>
          <t>Twice a year (50%)</t>
        </is>
      </c>
      <c r="AQ668">
        <v>0</v>
      </c>
      <c r="AR668" t="inlineStr">
        <is>
          <t>Did not use any job portal</t>
        </is>
      </c>
      <c r="AS668" t="inlineStr">
        <is>
          <t>- Headcount: 1
- Hiring Job Details: 1 team leader (mktg), location Kajang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is>
      </c>
      <c r="AT668">
        <v>95</v>
      </c>
      <c r="AU668" t="inlineStr">
        <is>
          <t>0.95</t>
        </is>
      </c>
      <c r="AV668" t="inlineStr">
        <is>
          <t>5</t>
        </is>
      </c>
      <c r="AW668" t="inlineStr">
        <is>
          <t>0</t>
        </is>
      </c>
      <c r="AX668" t="inlineStr">
        <is>
          <t>Not Qualified</t>
        </is>
      </c>
      <c r="AY668" s="4"/>
      <c r="AZ668"/>
      <c r="BA668"/>
      <c r="BB668"/>
      <c r="BC668" t="inlineStr">
        <is>
          <t>pending</t>
        </is>
      </c>
      <c r="BD668" s="4">
        <v>46142.44940972222</v>
      </c>
      <c r="BE668" t="inlineStr">
        <is>
          <t>paid</t>
        </is>
      </c>
      <c r="BF668" t="inlineStr">
        <is>
          <t>Q2-W04</t>
        </is>
      </c>
      <c r="BG668" t="inlineStr">
        <is>
          <t>Reschedule</t>
        </is>
      </c>
      <c r="BH668" t="inlineStr">
        <is>
          <t>Fauziah Maharan</t>
        </is>
      </c>
      <c r="BI668" t="inlineStr">
        <is>
          <t>Education / Training</t>
        </is>
      </c>
      <c r="BJ668" s="4">
        <v>46144.75224537037</v>
      </c>
      <c r="BK668" s="4">
        <v>45720.43672453704</v>
      </c>
      <c r="BL668" t="inlineStr">
        <is>
          <t>1188.0</t>
        </is>
      </c>
      <c r="BM668" t="inlineStr">
        <is>
          <t>1200.0</t>
        </is>
      </c>
      <c r="BN668" t="inlineStr">
        <is>
          <t>View Jobmanager Page</t>
        </is>
      </c>
      <c r="BO668" s="4">
        <v>46088.59563657407</v>
      </c>
      <c r="BP668">
        <v>167591</v>
      </c>
      <c r="BQ668">
        <v>95222</v>
      </c>
      <c r="BR668" t="inlineStr">
        <is>
          <t>Online</t>
        </is>
      </c>
      <c r="BS668"/>
      <c r="BT668">
        <v>95222</v>
      </c>
      <c r="BU668"/>
      <c r="BV668">
        <v>2736861</v>
      </c>
      <c r="BW668" t="inlineStr">
        <is>
          <t>Follow Up : Payment Pending</t>
        </is>
      </c>
      <c r="BX668">
        <v>1</v>
      </c>
      <c r="BY668">
        <v>1</v>
      </c>
      <c r="BZ668" s="4"/>
      <c r="CA668"/>
      <c r="CB668"/>
      <c r="CC668" s="4"/>
      <c r="CD668" t="inlineStr">
        <is>
          <t>5</t>
        </is>
      </c>
      <c r="CE668" t="inlineStr">
        <is>
          <t>0</t>
        </is>
      </c>
      <c r="CF668" t="inlineStr">
        <is>
          <t>Q2-W03</t>
        </is>
      </c>
      <c r="CG668" t="inlineStr">
        <is>
          <t>Q2-W04</t>
        </is>
      </c>
      <c r="CH668" t="inlineStr">
        <is>
          <t>Q2-W04</t>
        </is>
      </c>
      <c r="CI668"/>
      <c r="CJ668" t="inlineStr">
        <is>
          <t>Paid</t>
        </is>
      </c>
      <c r="CK668" t="inlineStr">
        <is>
          <t>Not Eligible</t>
        </is>
      </c>
      <c r="CL668"/>
      <c r="CM668"/>
    </row>
    <row r="669" ht="25.5" customHeight="1">
      <c r="A669" t="inlineStr">
        <is>
          <t>121338</t>
        </is>
      </c>
      <c r="B669" s="2"/>
      <c r="C669"/>
      <c r="D669" s="3">
        <v>46129.57030092592</v>
      </c>
      <c r="E669" t="inlineStr">
        <is>
          <t>Q2-W03</t>
        </is>
      </c>
      <c r="F669" t="inlineStr">
        <is>
          <t>Jeff Lee</t>
        </is>
      </c>
      <c r="G669" t="inlineStr">
        <is>
          <t>Customer</t>
        </is>
      </c>
      <c r="H669" s="2" t="str">
        <f>=HYPERLINK("https://upbox.ajobthing.my/customer/121338", "https://upbox.ajobthing.my/customer/121338")</f>
        <v>https://upbox.ajobthing.my/customer/121338</v>
      </c>
      <c r="I669" t="inlineStr">
        <is>
          <t>Pokoktua Pallet Houz</t>
        </is>
      </c>
      <c r="J669" t="inlineStr">
        <is>
          <t>Dolphin</t>
        </is>
      </c>
      <c r="K669" t="inlineStr">
        <is>
          <t>Jeff Lee</t>
        </is>
      </c>
      <c r="L669" s="4"/>
      <c r="M669" s="4">
        <v>46129.566458333335</v>
      </c>
      <c r="N669"/>
      <c r="O669">
        <v>3888</v>
      </c>
      <c r="P669" s="4"/>
      <c r="Q669" s="4"/>
      <c r="R669"/>
      <c r="S669"/>
      <c r="T669" s="4"/>
      <c r="U669" s="4"/>
      <c r="V669"/>
      <c r="W669"/>
      <c r="X669"/>
      <c r="Y669" t="inlineStr">
        <is>
          <t>Pending Appointment</t>
        </is>
      </c>
      <c r="Z669" t="inlineStr">
        <is>
          <t>Hiring Now</t>
        </is>
      </c>
      <c r="AA669">
        <v>4</v>
      </c>
      <c r="AB669" t="inlineStr">
        <is>
          <t>No Appointment Made</t>
        </is>
      </c>
      <c r="AC669"/>
      <c r="AD669" t="inlineStr">
        <is>
          <t>1. live host, content creator, marketing, graphic designer
2. 4</t>
        </is>
      </c>
      <c r="AE669"/>
      <c r="AF669">
        <v>0</v>
      </c>
      <c r="AG669" s="4"/>
      <c r="AH669" s="4"/>
      <c r="AI669">
        <v>0</v>
      </c>
      <c r="AJ669">
        <v>0</v>
      </c>
      <c r="AK669" t="inlineStr">
        <is>
          <t>No, I don't need at all</t>
        </is>
      </c>
      <c r="AL669">
        <v>0</v>
      </c>
      <c r="AM669" t="inlineStr">
        <is>
          <t>No, I don't need at all</t>
        </is>
      </c>
      <c r="AN669"/>
      <c r="AO669" t="inlineStr">
        <is>
          <t>No, I don't need at all</t>
        </is>
      </c>
      <c r="AP669" t="inlineStr">
        <is>
          <t>Once a year (25%)</t>
        </is>
      </c>
      <c r="AQ669">
        <v>4</v>
      </c>
      <c r="AR669" t="inlineStr">
        <is>
          <t>Free Job Portal, Jobstreet</t>
        </is>
      </c>
      <c r="AS669" t="inlineStr">
        <is>
          <t>- Headcount: 4
- Hiring Job Details: 1. live host, content creator, marketing, graphic designer; 2. 4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Free Job Portal,Jobstreet</t>
        </is>
      </c>
      <c r="AT669">
        <v>75</v>
      </c>
      <c r="AU669" t="inlineStr">
        <is>
          <t>0.75</t>
        </is>
      </c>
      <c r="AV669" t="inlineStr">
        <is>
          <t>15</t>
        </is>
      </c>
      <c r="AW669" t="inlineStr">
        <is>
          <t>0</t>
        </is>
      </c>
      <c r="AX669" t="inlineStr">
        <is>
          <t>Not Qualified</t>
        </is>
      </c>
      <c r="AY669" s="4"/>
      <c r="AZ669"/>
      <c r="BA669"/>
      <c r="BB669"/>
      <c r="BC669" t="inlineStr">
        <is>
          <t>try free internship first</t>
        </is>
      </c>
      <c r="BD669" s="4">
        <v>46135.6766087963</v>
      </c>
      <c r="BE669"/>
      <c r="BF669"/>
      <c r="BG669" t="inlineStr">
        <is>
          <t>Reschedule</t>
        </is>
      </c>
      <c r="BH669" t="inlineStr">
        <is>
          <t>Yee Hang</t>
        </is>
      </c>
      <c r="BI669" t="inlineStr">
        <is>
          <t>Retail / Merchandise</t>
        </is>
      </c>
      <c r="BJ669" s="4">
        <v>46144.75025462963</v>
      </c>
      <c r="BK669" s="4">
        <v>43708.46050925926</v>
      </c>
      <c r="BL669" t="inlineStr">
        <is>
          <t>0.0</t>
        </is>
      </c>
      <c r="BM669" t="inlineStr">
        <is>
          <t>1200.0</t>
        </is>
      </c>
      <c r="BN669" t="inlineStr">
        <is>
          <t>View Company Page</t>
        </is>
      </c>
      <c r="BO669" s="4">
        <v>46136.75098379629</v>
      </c>
      <c r="BP669">
        <v>167596</v>
      </c>
      <c r="BQ669"/>
      <c r="BR669"/>
      <c r="BS669"/>
      <c r="BT669"/>
      <c r="BU669"/>
      <c r="BV669">
        <v>2724676</v>
      </c>
      <c r="BW669" t="inlineStr">
        <is>
          <t>Inquire for Hiring Needs : No Hiring</t>
        </is>
      </c>
      <c r="BX669"/>
      <c r="BY669"/>
      <c r="BZ669" s="4"/>
      <c r="CA669"/>
      <c r="CB669"/>
      <c r="CC669" s="4"/>
      <c r="CD669" t="inlineStr">
        <is>
          <t>20</t>
        </is>
      </c>
      <c r="CE669" t="inlineStr">
        <is>
          <t>0</t>
        </is>
      </c>
      <c r="CF669" t="inlineStr">
        <is>
          <t>Q2-W03</t>
        </is>
      </c>
      <c r="CG669"/>
      <c r="CH669"/>
      <c r="CI669"/>
      <c r="CJ669" t="inlineStr">
        <is>
          <t>No Paid</t>
        </is>
      </c>
      <c r="CK669" t="inlineStr">
        <is>
          <t>Not Eligible</t>
        </is>
      </c>
      <c r="CL669"/>
      <c r="CM669"/>
    </row>
    <row r="670" ht="25.5" customHeight="1">
      <c r="A670" t="inlineStr">
        <is>
          <t>4293552</t>
        </is>
      </c>
      <c r="B670" s="2"/>
      <c r="C670"/>
      <c r="D670" s="3">
        <v>46129.572384259256</v>
      </c>
      <c r="E670" t="inlineStr">
        <is>
          <t>Q2-W03</t>
        </is>
      </c>
      <c r="F670" t="inlineStr">
        <is>
          <t>Eugene</t>
        </is>
      </c>
      <c r="G670" t="inlineStr">
        <is>
          <t>Lead</t>
        </is>
      </c>
      <c r="H670" s="2" t="str">
        <f>=HYPERLINK("https://upbox.ajobthing.my/leads/4293552", "https://upbox.ajobthing.my/leads/4293552")</f>
        <v>https://upbox.ajobthing.my/leads/4293552</v>
      </c>
      <c r="I670" t="inlineStr">
        <is>
          <t>WIBE ENTERTAINMENT</t>
        </is>
      </c>
      <c r="J670" t="inlineStr">
        <is>
          <t>Dolphin</t>
        </is>
      </c>
      <c r="K670" t="inlineStr">
        <is>
          <t>Eugene</t>
        </is>
      </c>
      <c r="L670" s="4"/>
      <c r="M670" s="4">
        <v>46129.572546296295</v>
      </c>
      <c r="N670"/>
      <c r="O670">
        <v>3888</v>
      </c>
      <c r="P670" s="4"/>
      <c r="Q670" s="4"/>
      <c r="R670"/>
      <c r="S670"/>
      <c r="T670" s="4"/>
      <c r="U670" s="4"/>
      <c r="V670"/>
      <c r="W670"/>
      <c r="X670"/>
      <c r="Y670" t="inlineStr">
        <is>
          <t>Pending Appointment</t>
        </is>
      </c>
      <c r="Z670" t="inlineStr">
        <is>
          <t>Hiring Now</t>
        </is>
      </c>
      <c r="AA670">
        <v>4</v>
      </c>
      <c r="AB670" t="inlineStr">
        <is>
          <t>No Appointment Made</t>
        </is>
      </c>
      <c r="AC670"/>
      <c r="AD670" t="inlineStr">
        <is>
          <t>4 positions, based in KL</t>
        </is>
      </c>
      <c r="AE670"/>
      <c r="AF670">
        <v>3600</v>
      </c>
      <c r="AG670" s="4"/>
      <c r="AH670" s="4"/>
      <c r="AI670">
        <v>3600</v>
      </c>
      <c r="AJ670">
        <v>1</v>
      </c>
      <c r="AK670" t="inlineStr">
        <is>
          <t>No, I don't need at all</t>
        </is>
      </c>
      <c r="AL670">
        <v>1</v>
      </c>
      <c r="AM670" t="inlineStr">
        <is>
          <t>No, I don't need at all</t>
        </is>
      </c>
      <c r="AN670"/>
      <c r="AO670" t="inlineStr">
        <is>
          <t>No, I don't need at all</t>
        </is>
      </c>
      <c r="AP670" t="inlineStr">
        <is>
          <t>Twice a year (50%)</t>
        </is>
      </c>
      <c r="AQ670">
        <v>5</v>
      </c>
      <c r="AR670" t="inlineStr">
        <is>
          <t>Did not use any job portal</t>
        </is>
      </c>
      <c r="AS670" t="inlineStr">
        <is>
          <t>- Headcount: 4
- Hiring Job Details: 4 positions,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5
- Hiring frequency: Twice a year (50%)
- External job portal: Did not use any job portal</t>
        </is>
      </c>
      <c r="AT670">
        <v>75</v>
      </c>
      <c r="AU670" t="inlineStr">
        <is>
          <t>0.75</t>
        </is>
      </c>
      <c r="AV670" t="inlineStr">
        <is>
          <t>15</t>
        </is>
      </c>
      <c r="AW670" t="inlineStr">
        <is>
          <t>0</t>
        </is>
      </c>
      <c r="AX670" t="inlineStr">
        <is>
          <t>Not Qualified</t>
        </is>
      </c>
      <c r="AY670" s="4"/>
      <c r="AZ670"/>
      <c r="BA670"/>
      <c r="BB670"/>
      <c r="BC670"/>
      <c r="BD670" s="4"/>
      <c r="BE670"/>
      <c r="BF670"/>
      <c r="BG670" t="inlineStr">
        <is>
          <t>Reschedule</t>
        </is>
      </c>
      <c r="BH670" t="inlineStr">
        <is>
          <t>Edward Hoo</t>
        </is>
      </c>
      <c r="BI670"/>
      <c r="BJ670" s="4">
        <v>46144.75585648148</v>
      </c>
      <c r="BK670" s="4">
        <v>46129.43077546296</v>
      </c>
      <c r="BL670" t="inlineStr">
        <is>
          <t>0.0</t>
        </is>
      </c>
      <c r="BM670" t="inlineStr">
        <is>
          <t>0.0</t>
        </is>
      </c>
      <c r="BN670"/>
      <c r="BO670" s="4"/>
      <c r="BP670">
        <v>167598</v>
      </c>
      <c r="BQ670"/>
      <c r="BR670"/>
      <c r="BS670"/>
      <c r="BT670"/>
      <c r="BU670"/>
      <c r="BV670"/>
      <c r="BW670"/>
      <c r="BX670"/>
      <c r="BY670"/>
      <c r="BZ670" s="4"/>
      <c r="CA670"/>
      <c r="CB670"/>
      <c r="CC670" s="4"/>
      <c r="CD670" t="inlineStr">
        <is>
          <t>20</t>
        </is>
      </c>
      <c r="CE670" t="inlineStr">
        <is>
          <t>0</t>
        </is>
      </c>
      <c r="CF670" t="inlineStr">
        <is>
          <t>Q2-W03</t>
        </is>
      </c>
      <c r="CG670"/>
      <c r="CH670"/>
      <c r="CI670"/>
      <c r="CJ670" t="inlineStr">
        <is>
          <t>No Paid</t>
        </is>
      </c>
      <c r="CK670" t="inlineStr">
        <is>
          <t>Not Eligible</t>
        </is>
      </c>
      <c r="CL670"/>
      <c r="CM670"/>
    </row>
    <row r="671" ht="25.5" customHeight="1">
      <c r="A671" t="inlineStr">
        <is>
          <t>203130</t>
        </is>
      </c>
      <c r="B671" s="2"/>
      <c r="C671"/>
      <c r="D671" s="3">
        <v>46129.57890046296</v>
      </c>
      <c r="E671" t="inlineStr">
        <is>
          <t>Q2-W03</t>
        </is>
      </c>
      <c r="F671" t="inlineStr">
        <is>
          <t>Janice Yap</t>
        </is>
      </c>
      <c r="G671" t="inlineStr">
        <is>
          <t>Customer</t>
        </is>
      </c>
      <c r="H671" s="2" t="str">
        <f>=HYPERLINK("https://upbox.ajobthing.my/customer/203130", "https://upbox.ajobthing.my/customer/203130")</f>
        <v>https://upbox.ajobthing.my/customer/203130</v>
      </c>
      <c r="I671" t="inlineStr">
        <is>
          <t>Goldhill Fortune Sdn Bhd</t>
        </is>
      </c>
      <c r="J671" t="inlineStr">
        <is>
          <t>Dolphin</t>
        </is>
      </c>
      <c r="K671" t="inlineStr">
        <is>
          <t>Janice</t>
        </is>
      </c>
      <c r="L671" s="4"/>
      <c r="M671" s="4">
        <v>46129.617476851854</v>
      </c>
      <c r="N671"/>
      <c r="O671">
        <v>6048</v>
      </c>
      <c r="P671" s="4"/>
      <c r="Q671" s="4"/>
      <c r="R671"/>
      <c r="S671"/>
      <c r="T671" s="4"/>
      <c r="U671" s="4"/>
      <c r="V671"/>
      <c r="W671"/>
      <c r="X671" t="inlineStr">
        <is>
          <t>Yee Hang</t>
        </is>
      </c>
      <c r="Y671" t="inlineStr">
        <is>
          <t>Done Appointment</t>
        </is>
      </c>
      <c r="Z671" t="inlineStr">
        <is>
          <t>Hiring Now</t>
        </is>
      </c>
      <c r="AA671">
        <v>5</v>
      </c>
      <c r="AB671" t="inlineStr">
        <is>
          <t>Appointment Made</t>
        </is>
      </c>
      <c r="AC671" t="inlineStr">
        <is>
          <t>Mid-size (50-100 employees)</t>
        </is>
      </c>
      <c r="AD671" t="inlineStr">
        <is>
          <t>1 receptionist cum sales &amp; admin 
3-5 brand ambassador (sales person)
1 HR Manager</t>
        </is>
      </c>
      <c r="AE671" t="inlineStr">
        <is>
          <t>HR Manager / Talent Manager</t>
        </is>
      </c>
      <c r="AF671">
        <v>40000</v>
      </c>
      <c r="AG671" s="4">
        <v>46129.583333333336</v>
      </c>
      <c r="AH671" s="4">
        <v>46129.604166666664</v>
      </c>
      <c r="AI671">
        <v>40000</v>
      </c>
      <c r="AJ671"/>
      <c r="AK671" t="inlineStr">
        <is>
          <t>No, I don't need at all</t>
        </is>
      </c>
      <c r="AL671">
        <v>0</v>
      </c>
      <c r="AM671" t="inlineStr">
        <is>
          <t>No, I don't need at all</t>
        </is>
      </c>
      <c r="AN671"/>
      <c r="AO671" t="inlineStr">
        <is>
          <t>No, I don't need at all</t>
        </is>
      </c>
      <c r="AP671" t="inlineStr">
        <is>
          <t>Twice a year (50%)</t>
        </is>
      </c>
      <c r="AQ671">
        <v>7</v>
      </c>
      <c r="AR671"/>
      <c r="AS671" t="inlineStr">
        <is>
          <t>- Headcount: 5
- Hiring Job Details: 1 receptionist cum sales &amp; admin; 3-5 brand ambassador (sales person); 1 HR Manager
- Hiring Urgency: Hiring Now
- Number of outlets: Not specified
- Have recruiter team: No, I don't need at all
- Number of recruiter in company: 0
- Have ATS system: No, I don't need at all
- Have career website: No, I don't need at all
- Current hiring budget: RM40,000
- Whole year budget: RM40,000.00
- Whole year number of vacancies: 7
- Hiring frequency: Twice a year (50%)
- External job portal: Not specified</t>
        </is>
      </c>
      <c r="AT671">
        <v>95</v>
      </c>
      <c r="AU671" t="inlineStr">
        <is>
          <t>0.95</t>
        </is>
      </c>
      <c r="AV671" t="inlineStr">
        <is>
          <t>55</t>
        </is>
      </c>
      <c r="AW671" t="inlineStr">
        <is>
          <t>0.5</t>
        </is>
      </c>
      <c r="AX671" t="inlineStr">
        <is>
          <t>Not Qualified</t>
        </is>
      </c>
      <c r="AY671" s="4">
        <v>46129.61798611111</v>
      </c>
      <c r="AZ671" t="inlineStr">
        <is>
          <t>Base Assistant</t>
        </is>
      </c>
      <c r="BA671"/>
      <c r="BB671"/>
      <c r="BC671" t="inlineStr">
        <is>
          <t>Pending decision from HR</t>
        </is>
      </c>
      <c r="BD671" s="4">
        <v>46135.43142361111</v>
      </c>
      <c r="BE671"/>
      <c r="BF671"/>
      <c r="BG671" t="inlineStr">
        <is>
          <t>Reschedule</t>
        </is>
      </c>
      <c r="BH671" t="inlineStr">
        <is>
          <t>Yee Hang</t>
        </is>
      </c>
      <c r="BI671"/>
      <c r="BJ671" s="4">
        <v>46144.75423611111</v>
      </c>
      <c r="BK671" s="4">
        <v>46123.944027777776</v>
      </c>
      <c r="BL671" t="inlineStr">
        <is>
          <t>0.0</t>
        </is>
      </c>
      <c r="BM671" t="inlineStr">
        <is>
          <t>0.0</t>
        </is>
      </c>
      <c r="BN671" t="inlineStr">
        <is>
          <t>View Company Page</t>
        </is>
      </c>
      <c r="BO671" s="4">
        <v>46124.69869212963</v>
      </c>
      <c r="BP671">
        <v>167631</v>
      </c>
      <c r="BQ671"/>
      <c r="BR671"/>
      <c r="BS671"/>
      <c r="BT671"/>
      <c r="BU671"/>
      <c r="BV671">
        <v>2722450</v>
      </c>
      <c r="BW671" t="inlineStr">
        <is>
          <t>Follow Up : Quotation Sent 50%</t>
        </is>
      </c>
      <c r="BX671"/>
      <c r="BY671"/>
      <c r="BZ671" s="4"/>
      <c r="CA671"/>
      <c r="CB671"/>
      <c r="CC671" s="4"/>
      <c r="CD671" t="inlineStr">
        <is>
          <t>80</t>
        </is>
      </c>
      <c r="CE671" t="inlineStr">
        <is>
          <t>1.2</t>
        </is>
      </c>
      <c r="CF671" t="inlineStr">
        <is>
          <t>Q2-W03</t>
        </is>
      </c>
      <c r="CG671"/>
      <c r="CH671"/>
      <c r="CI671" t="inlineStr">
        <is>
          <t>Q2-W03</t>
        </is>
      </c>
      <c r="CJ671" t="inlineStr">
        <is>
          <t>No Paid</t>
        </is>
      </c>
      <c r="CK671" t="inlineStr">
        <is>
          <t>Not Eligible</t>
        </is>
      </c>
      <c r="CL671"/>
      <c r="CM671" t="inlineStr">
        <is>
          <t>Q2-W03</t>
        </is>
      </c>
    </row>
    <row r="672" ht="25.5" customHeight="1">
      <c r="A672" t="inlineStr">
        <is>
          <t>203348</t>
        </is>
      </c>
      <c r="B672" s="2"/>
      <c r="C672"/>
      <c r="D672" s="3">
        <v>46129.58357638889</v>
      </c>
      <c r="E672" t="inlineStr">
        <is>
          <t>Q2-W03</t>
        </is>
      </c>
      <c r="F672" t="inlineStr">
        <is>
          <t>Keegan</t>
        </is>
      </c>
      <c r="G672" t="inlineStr">
        <is>
          <t>Customer</t>
        </is>
      </c>
      <c r="H672" s="2" t="str">
        <f>=HYPERLINK("https://upbox.ajobthing.my/customer/203348", "https://upbox.ajobthing.my/customer/203348")</f>
        <v>https://upbox.ajobthing.my/customer/203348</v>
      </c>
      <c r="I672" t="inlineStr">
        <is>
          <t>OTWOO LOGISTICS (M) SDN BHD</t>
        </is>
      </c>
      <c r="J672" t="inlineStr">
        <is>
          <t>Dolphin</t>
        </is>
      </c>
      <c r="K672" t="inlineStr">
        <is>
          <t>Keegan</t>
        </is>
      </c>
      <c r="L672" s="4"/>
      <c r="M672" s="4">
        <v>46129.591990740744</v>
      </c>
      <c r="N672"/>
      <c r="O672">
        <v>1728</v>
      </c>
      <c r="P672" s="4"/>
      <c r="Q672" s="4">
        <v>46140.717986111114</v>
      </c>
      <c r="R672"/>
      <c r="S672">
        <v>0</v>
      </c>
      <c r="T672" s="4">
        <v>46134.74083333334</v>
      </c>
      <c r="U672" s="4"/>
      <c r="V672"/>
      <c r="W672">
        <v>1728</v>
      </c>
      <c r="X672"/>
      <c r="Y672" t="inlineStr">
        <is>
          <t>Pending Appointment</t>
        </is>
      </c>
      <c r="Z672" t="inlineStr">
        <is>
          <t>Hiring Now</t>
        </is>
      </c>
      <c r="AA672">
        <v>2</v>
      </c>
      <c r="AB672" t="inlineStr">
        <is>
          <t>No Appointment Made</t>
        </is>
      </c>
      <c r="AC672"/>
      <c r="AD672" t="inlineStr">
        <is>
          <t xml:space="preserve">1. bookkeeping 
2. inventory </t>
        </is>
      </c>
      <c r="AE672"/>
      <c r="AF672"/>
      <c r="AG672" s="4"/>
      <c r="AH672" s="4"/>
      <c r="AI672"/>
      <c r="AJ672">
        <v>1</v>
      </c>
      <c r="AK672" t="inlineStr">
        <is>
          <t>No, I don't need at all</t>
        </is>
      </c>
      <c r="AL672">
        <v>0</v>
      </c>
      <c r="AM672" t="inlineStr">
        <is>
          <t>No, I don't need at all</t>
        </is>
      </c>
      <c r="AN672"/>
      <c r="AO672" t="inlineStr">
        <is>
          <t>No, I don't need at all</t>
        </is>
      </c>
      <c r="AP672" t="inlineStr">
        <is>
          <t>Once per quarter (75%)</t>
        </is>
      </c>
      <c r="AQ672"/>
      <c r="AR672" t="inlineStr">
        <is>
          <t>Did not use any job portal</t>
        </is>
      </c>
      <c r="AS672" t="inlineStr">
        <is>
          <t>- Headcount: 2
- Hiring Job Details: 1. bookkeeping 2. inventory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672">
        <v>85</v>
      </c>
      <c r="AU672" t="inlineStr">
        <is>
          <t>0.85</t>
        </is>
      </c>
      <c r="AV672" t="inlineStr">
        <is>
          <t>5</t>
        </is>
      </c>
      <c r="AW672" t="inlineStr">
        <is>
          <t>0</t>
        </is>
      </c>
      <c r="AX672" t="inlineStr">
        <is>
          <t>Not Qualified</t>
        </is>
      </c>
      <c r="AY672" s="4"/>
      <c r="AZ672"/>
      <c r="BA672"/>
      <c r="BB672"/>
      <c r="BC672" t="inlineStr">
        <is>
          <t>Job posting f/up</t>
        </is>
      </c>
      <c r="BD672" s="4">
        <v>46142.42758101852</v>
      </c>
      <c r="BE672" t="inlineStr">
        <is>
          <t>paid</t>
        </is>
      </c>
      <c r="BF672" t="inlineStr">
        <is>
          <t>Q2-W03</t>
        </is>
      </c>
      <c r="BG672" t="inlineStr">
        <is>
          <t>Reschedule</t>
        </is>
      </c>
      <c r="BH672" t="inlineStr">
        <is>
          <t>Edward Hoo</t>
        </is>
      </c>
      <c r="BI672"/>
      <c r="BJ672" s="4">
        <v>46144.754282407404</v>
      </c>
      <c r="BK672" s="4">
        <v>46129.582962962966</v>
      </c>
      <c r="BL672" t="inlineStr">
        <is>
          <t>1728.0</t>
        </is>
      </c>
      <c r="BM672" t="inlineStr">
        <is>
          <t>0.0</t>
        </is>
      </c>
      <c r="BN672" t="inlineStr">
        <is>
          <t>PA Visit - Job Card</t>
        </is>
      </c>
      <c r="BO672" s="4">
        <v>46140.725590277776</v>
      </c>
      <c r="BP672">
        <v>167609</v>
      </c>
      <c r="BQ672">
        <v>123949</v>
      </c>
      <c r="BR672" t="inlineStr">
        <is>
          <t>Proforma</t>
        </is>
      </c>
      <c r="BS672" t="inlineStr">
        <is>
          <t>Free Internship Job</t>
        </is>
      </c>
      <c r="BT672">
        <v>7657</v>
      </c>
      <c r="BU672"/>
      <c r="BV672">
        <v>2736683</v>
      </c>
      <c r="BW672" t="inlineStr">
        <is>
          <t>Service / Technical : Job Outcome Enquiry</t>
        </is>
      </c>
      <c r="BX672">
        <v>3</v>
      </c>
      <c r="BY672">
        <v>1</v>
      </c>
      <c r="BZ672" s="4">
        <v>46135.6728125</v>
      </c>
      <c r="CA672">
        <v>33</v>
      </c>
      <c r="CB672">
        <v>26</v>
      </c>
      <c r="CC672" s="4">
        <v>46140.72666666667</v>
      </c>
      <c r="CD672" t="inlineStr">
        <is>
          <t>5</t>
        </is>
      </c>
      <c r="CE672" t="inlineStr">
        <is>
          <t>0</t>
        </is>
      </c>
      <c r="CF672" t="inlineStr">
        <is>
          <t>Q2-W03</t>
        </is>
      </c>
      <c r="CG672" t="inlineStr">
        <is>
          <t>Q2-W04</t>
        </is>
      </c>
      <c r="CH672" t="inlineStr">
        <is>
          <t>Q2-W03</t>
        </is>
      </c>
      <c r="CI672"/>
      <c r="CJ672" t="inlineStr">
        <is>
          <t>Paid</t>
        </is>
      </c>
      <c r="CK672" t="inlineStr">
        <is>
          <t>Not Eligible</t>
        </is>
      </c>
      <c r="CL672"/>
      <c r="CM672"/>
    </row>
    <row r="673" ht="25.5" customHeight="1">
      <c r="A673" t="inlineStr">
        <is>
          <t>203100</t>
        </is>
      </c>
      <c r="B673" s="2"/>
      <c r="C673"/>
      <c r="D673" s="3">
        <v>46129.59684027778</v>
      </c>
      <c r="E673" t="inlineStr">
        <is>
          <t>Q2-W03</t>
        </is>
      </c>
      <c r="F673" t="inlineStr">
        <is>
          <t>Ken Yi</t>
        </is>
      </c>
      <c r="G673" t="inlineStr">
        <is>
          <t>Customer</t>
        </is>
      </c>
      <c r="H673" s="2" t="str">
        <f>=HYPERLINK("https://upbox.ajobthing.my/customer/203100", "https://upbox.ajobthing.my/customer/203100")</f>
        <v>https://upbox.ajobthing.my/customer/203100</v>
      </c>
      <c r="I673" t="inlineStr">
        <is>
          <t>Tone Wow Sdn Bhd</t>
        </is>
      </c>
      <c r="J673" t="inlineStr">
        <is>
          <t>Dolphin</t>
        </is>
      </c>
      <c r="K673" t="inlineStr">
        <is>
          <t>Kenyi</t>
        </is>
      </c>
      <c r="L673" s="4"/>
      <c r="M673" s="4">
        <v>46129.59730324074</v>
      </c>
      <c r="N673"/>
      <c r="O673">
        <v>3888</v>
      </c>
      <c r="P673" s="4"/>
      <c r="Q673" s="4"/>
      <c r="R673"/>
      <c r="S673"/>
      <c r="T673" s="4"/>
      <c r="U673" s="4"/>
      <c r="V673"/>
      <c r="W673"/>
      <c r="X673"/>
      <c r="Y673" t="inlineStr">
        <is>
          <t>Pending Appointment</t>
        </is>
      </c>
      <c r="Z673" t="inlineStr">
        <is>
          <t>Hiring Now</t>
        </is>
      </c>
      <c r="AA673">
        <v>3</v>
      </c>
      <c r="AB673" t="inlineStr">
        <is>
          <t>No Appointment Made</t>
        </is>
      </c>
      <c r="AC673"/>
      <c r="AD673" t="inlineStr">
        <is>
          <t>Admin , operation and customer service</t>
        </is>
      </c>
      <c r="AE673"/>
      <c r="AF673">
        <v>0</v>
      </c>
      <c r="AG673" s="4"/>
      <c r="AH673" s="4"/>
      <c r="AI673">
        <v>0</v>
      </c>
      <c r="AJ673">
        <v>1</v>
      </c>
      <c r="AK673" t="inlineStr">
        <is>
          <t>No, I don't need at all</t>
        </is>
      </c>
      <c r="AL673">
        <v>1</v>
      </c>
      <c r="AM673" t="inlineStr">
        <is>
          <t>No, I don't need at all</t>
        </is>
      </c>
      <c r="AN673"/>
      <c r="AO673" t="inlineStr">
        <is>
          <t>No, I don't need at all</t>
        </is>
      </c>
      <c r="AP673" t="inlineStr">
        <is>
          <t>Every month (100%)</t>
        </is>
      </c>
      <c r="AQ673">
        <v>1</v>
      </c>
      <c r="AR673" t="inlineStr">
        <is>
          <t>Did not use any job portal, Jobstreet, Free Job Portal</t>
        </is>
      </c>
      <c r="AS673" t="inlineStr">
        <is>
          <t>- Headcount: 3
- Hiring Job Details: Admin, operation and customer service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portal,Jobstreet,Free Job Portal</t>
        </is>
      </c>
      <c r="AT673">
        <v>95</v>
      </c>
      <c r="AU673" t="inlineStr">
        <is>
          <t>0.95</t>
        </is>
      </c>
      <c r="AV673" t="inlineStr">
        <is>
          <t>15</t>
        </is>
      </c>
      <c r="AW673" t="inlineStr">
        <is>
          <t>0</t>
        </is>
      </c>
      <c r="AX673" t="inlineStr">
        <is>
          <t>Not Qualified</t>
        </is>
      </c>
      <c r="AY673" s="4"/>
      <c r="AZ673"/>
      <c r="BA673"/>
      <c r="BB673"/>
      <c r="BC673" t="inlineStr">
        <is>
          <t>Decision pending on the ala carte, since all payment or proposal failed for bundle pricing too high for client to continue</t>
        </is>
      </c>
      <c r="BD673" s="4">
        <v>46135.59574074074</v>
      </c>
      <c r="BE673"/>
      <c r="BF673"/>
      <c r="BG673" t="inlineStr">
        <is>
          <t>Reschedule</t>
        </is>
      </c>
      <c r="BH673" t="inlineStr">
        <is>
          <t>Fauziah Maharan</t>
        </is>
      </c>
      <c r="BI673"/>
      <c r="BJ673" s="4">
        <v>46144.754212962966</v>
      </c>
      <c r="BK673" s="4">
        <v>46122.68115740741</v>
      </c>
      <c r="BL673" t="inlineStr">
        <is>
          <t>0.0</t>
        </is>
      </c>
      <c r="BM673" t="inlineStr">
        <is>
          <t>1800.0</t>
        </is>
      </c>
      <c r="BN673"/>
      <c r="BO673" s="4"/>
      <c r="BP673">
        <v>167612</v>
      </c>
      <c r="BQ673"/>
      <c r="BR673"/>
      <c r="BS673"/>
      <c r="BT673"/>
      <c r="BU673"/>
      <c r="BV673">
        <v>2723383</v>
      </c>
      <c r="BW673" t="inlineStr">
        <is>
          <t>Follow Up : Decision Pending</t>
        </is>
      </c>
      <c r="BX673"/>
      <c r="BY673"/>
      <c r="BZ673" s="4"/>
      <c r="CA673"/>
      <c r="CB673"/>
      <c r="CC673" s="4"/>
      <c r="CD673" t="inlineStr">
        <is>
          <t>20</t>
        </is>
      </c>
      <c r="CE673" t="inlineStr">
        <is>
          <t>0</t>
        </is>
      </c>
      <c r="CF673" t="inlineStr">
        <is>
          <t>Q2-W03</t>
        </is>
      </c>
      <c r="CG673"/>
      <c r="CH673"/>
      <c r="CI673"/>
      <c r="CJ673" t="inlineStr">
        <is>
          <t>No Paid</t>
        </is>
      </c>
      <c r="CK673" t="inlineStr">
        <is>
          <t>Not Eligible</t>
        </is>
      </c>
      <c r="CL673"/>
      <c r="CM673"/>
    </row>
    <row r="674" ht="25.5" customHeight="1">
      <c r="A674" t="inlineStr">
        <is>
          <t>186731</t>
        </is>
      </c>
      <c r="B674" s="2"/>
      <c r="C674"/>
      <c r="D674" s="3">
        <v>46129.59883101852</v>
      </c>
      <c r="E674" t="inlineStr">
        <is>
          <t>Q2-W03</t>
        </is>
      </c>
      <c r="F674" t="inlineStr">
        <is>
          <t>Evan</t>
        </is>
      </c>
      <c r="G674" t="inlineStr">
        <is>
          <t>Customer</t>
        </is>
      </c>
      <c r="H674" s="2" t="str">
        <f>=HYPERLINK("https://upbox.ajobthing.my/customer/186731", "https://upbox.ajobthing.my/customer/186731")</f>
        <v>https://upbox.ajobthing.my/customer/186731</v>
      </c>
      <c r="I674" t="inlineStr">
        <is>
          <t>Jax Innovative Sdn Bhd</t>
        </is>
      </c>
      <c r="J674" t="inlineStr">
        <is>
          <t>Dolphin</t>
        </is>
      </c>
      <c r="K674" t="inlineStr">
        <is>
          <t>Evan</t>
        </is>
      </c>
      <c r="L674" s="4"/>
      <c r="M674" s="4">
        <v>46129.598229166666</v>
      </c>
      <c r="N674"/>
      <c r="O674">
        <v>3888</v>
      </c>
      <c r="P674" s="4"/>
      <c r="Q674" s="4">
        <v>45765.62503472222</v>
      </c>
      <c r="R674"/>
      <c r="S674">
        <v>1944</v>
      </c>
      <c r="T674" s="4">
        <v>45765.62503472222</v>
      </c>
      <c r="U674" s="4"/>
      <c r="V674"/>
      <c r="W674">
        <v>1944</v>
      </c>
      <c r="X674"/>
      <c r="Y674" t="inlineStr">
        <is>
          <t>Pending Appointment</t>
        </is>
      </c>
      <c r="Z674" t="inlineStr">
        <is>
          <t>Hiring Now</t>
        </is>
      </c>
      <c r="AA674">
        <v>1</v>
      </c>
      <c r="AB674" t="inlineStr">
        <is>
          <t>No Appointment Made</t>
        </is>
      </c>
      <c r="AC674"/>
      <c r="AD674" t="inlineStr">
        <is>
          <t>1 admin, all base in KL</t>
        </is>
      </c>
      <c r="AE674"/>
      <c r="AF674">
        <v>1</v>
      </c>
      <c r="AG674" s="4"/>
      <c r="AH674" s="4"/>
      <c r="AI674">
        <v>1</v>
      </c>
      <c r="AJ674">
        <v>1</v>
      </c>
      <c r="AK674" t="inlineStr">
        <is>
          <t>No, I don't need at all</t>
        </is>
      </c>
      <c r="AL674">
        <v>0</v>
      </c>
      <c r="AM674" t="inlineStr">
        <is>
          <t>No, I don't need at all</t>
        </is>
      </c>
      <c r="AN674"/>
      <c r="AO674" t="inlineStr">
        <is>
          <t>No, I don't need at all</t>
        </is>
      </c>
      <c r="AP674" t="inlineStr">
        <is>
          <t>Once a year (25%)</t>
        </is>
      </c>
      <c r="AQ674">
        <v>1</v>
      </c>
      <c r="AR674" t="inlineStr">
        <is>
          <t>Did not use any job portal</t>
        </is>
      </c>
      <c r="AS674"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674">
        <v>115</v>
      </c>
      <c r="AU674" t="inlineStr">
        <is>
          <t>1.15</t>
        </is>
      </c>
      <c r="AV674" t="inlineStr">
        <is>
          <t>15</t>
        </is>
      </c>
      <c r="AW674" t="inlineStr">
        <is>
          <t>0</t>
        </is>
      </c>
      <c r="AX674" t="inlineStr">
        <is>
          <t>Not Qualified</t>
        </is>
      </c>
      <c r="AY674" s="4"/>
      <c r="AZ674"/>
      <c r="BA674"/>
      <c r="BB674"/>
      <c r="BC674"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674" s="4">
        <v>46129.62503472222</v>
      </c>
      <c r="BE674" t="inlineStr">
        <is>
          <t>paid</t>
        </is>
      </c>
      <c r="BF674"/>
      <c r="BG674" t="inlineStr">
        <is>
          <t>Reschedule</t>
        </is>
      </c>
      <c r="BH674" t="inlineStr">
        <is>
          <t>Edward Hoo</t>
        </is>
      </c>
      <c r="BI674" t="inlineStr">
        <is>
          <t>Manufacturing / Production</t>
        </is>
      </c>
      <c r="BJ674" s="4">
        <v>46144.752118055556</v>
      </c>
      <c r="BK674" s="4">
        <v>45670.45731481481</v>
      </c>
      <c r="BL674" t="inlineStr">
        <is>
          <t>1944.0</t>
        </is>
      </c>
      <c r="BM674" t="inlineStr">
        <is>
          <t>0.0</t>
        </is>
      </c>
      <c r="BN674" t="inlineStr">
        <is>
          <t>User Visit(Logged In)</t>
        </is>
      </c>
      <c r="BO674" s="4">
        <v>45896.63982638889</v>
      </c>
      <c r="BP674">
        <v>167615</v>
      </c>
      <c r="BQ674">
        <v>78590</v>
      </c>
      <c r="BR674" t="inlineStr">
        <is>
          <t>Online</t>
        </is>
      </c>
      <c r="BS674"/>
      <c r="BT674">
        <v>78590</v>
      </c>
      <c r="BU674"/>
      <c r="BV674">
        <v>2712315</v>
      </c>
      <c r="BW674" t="inlineStr">
        <is>
          <t>Customer Inquiry</t>
        </is>
      </c>
      <c r="BX674"/>
      <c r="BY674"/>
      <c r="BZ674" s="4"/>
      <c r="CA674"/>
      <c r="CB674"/>
      <c r="CC674" s="4"/>
      <c r="CD674" t="inlineStr">
        <is>
          <t>20</t>
        </is>
      </c>
      <c r="CE674" t="inlineStr">
        <is>
          <t>0</t>
        </is>
      </c>
      <c r="CF674" t="inlineStr">
        <is>
          <t>Q2-W03</t>
        </is>
      </c>
      <c r="CG674"/>
      <c r="CH674"/>
      <c r="CI674"/>
      <c r="CJ674" t="inlineStr">
        <is>
          <t>Paid</t>
        </is>
      </c>
      <c r="CK674" t="inlineStr">
        <is>
          <t>Not Eligible</t>
        </is>
      </c>
      <c r="CL674"/>
      <c r="CM674"/>
    </row>
    <row r="675" ht="25.5" customHeight="1">
      <c r="A675" t="inlineStr">
        <is>
          <t>191981</t>
        </is>
      </c>
      <c r="B675" s="2"/>
      <c r="C675"/>
      <c r="D675" s="3">
        <v>46129.6000462963</v>
      </c>
      <c r="E675" t="inlineStr">
        <is>
          <t>Q2-W03</t>
        </is>
      </c>
      <c r="F675" t="inlineStr">
        <is>
          <t>Luqman</t>
        </is>
      </c>
      <c r="G675" t="inlineStr">
        <is>
          <t>Customer</t>
        </is>
      </c>
      <c r="H675" s="2" t="str">
        <f>=HYPERLINK("https://upbox.ajobthing.my/customer/191981", "https://upbox.ajobthing.my/customer/191981")</f>
        <v>https://upbox.ajobthing.my/customer/191981</v>
      </c>
      <c r="I675" t="inlineStr">
        <is>
          <t>STP Health Foods Sdn Bhd</t>
        </is>
      </c>
      <c r="J675" t="inlineStr">
        <is>
          <t>Dolphin</t>
        </is>
      </c>
      <c r="K675" t="inlineStr">
        <is>
          <t>Luqman</t>
        </is>
      </c>
      <c r="L675" s="4"/>
      <c r="M675" s="4">
        <v>46129.60113425926</v>
      </c>
      <c r="N675"/>
      <c r="O675">
        <v>3888</v>
      </c>
      <c r="P675" s="4"/>
      <c r="Q675" s="4">
        <v>46119.71084490741</v>
      </c>
      <c r="R675"/>
      <c r="S675">
        <v>0</v>
      </c>
      <c r="T675" s="4">
        <v>45861.74248842592</v>
      </c>
      <c r="U675" s="4"/>
      <c r="V675"/>
      <c r="W675">
        <v>1296</v>
      </c>
      <c r="X675"/>
      <c r="Y675" t="inlineStr">
        <is>
          <t>Pending Appointment</t>
        </is>
      </c>
      <c r="Z675" t="inlineStr">
        <is>
          <t>Hiring Later</t>
        </is>
      </c>
      <c r="AA675">
        <v>1</v>
      </c>
      <c r="AB675" t="inlineStr">
        <is>
          <t>No Appointment Made</t>
        </is>
      </c>
      <c r="AC675"/>
      <c r="AD675" t="inlineStr">
        <is>
          <t xml:space="preserve">1. Sales </t>
        </is>
      </c>
      <c r="AE675"/>
      <c r="AF675">
        <v>1200</v>
      </c>
      <c r="AG675" s="4"/>
      <c r="AH675" s="4"/>
      <c r="AI675">
        <v>1200</v>
      </c>
      <c r="AJ675"/>
      <c r="AK675" t="inlineStr">
        <is>
          <t>No, I don't need at all</t>
        </is>
      </c>
      <c r="AL675">
        <v>1</v>
      </c>
      <c r="AM675" t="inlineStr">
        <is>
          <t>No, I don't need at all</t>
        </is>
      </c>
      <c r="AN675"/>
      <c r="AO675" t="inlineStr">
        <is>
          <t>No, I don't need at all</t>
        </is>
      </c>
      <c r="AP675" t="inlineStr">
        <is>
          <t>Once a year (25%)</t>
        </is>
      </c>
      <c r="AQ675">
        <v>1</v>
      </c>
      <c r="AR675" t="inlineStr">
        <is>
          <t>Free Job Portal</t>
        </is>
      </c>
      <c r="AS675" t="inlineStr">
        <is>
          <t>- Headcount: 1
- Hiring Job Details: 1 Sales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675">
        <v>115</v>
      </c>
      <c r="AU675" t="inlineStr">
        <is>
          <t>1.15</t>
        </is>
      </c>
      <c r="AV675" t="inlineStr">
        <is>
          <t>15</t>
        </is>
      </c>
      <c r="AW675" t="inlineStr">
        <is>
          <t>0</t>
        </is>
      </c>
      <c r="AX675" t="inlineStr">
        <is>
          <t>Not Qualified</t>
        </is>
      </c>
      <c r="AY675" s="4"/>
      <c r="AZ675"/>
      <c r="BA675"/>
      <c r="BB675"/>
      <c r="BC675" t="inlineStr">
        <is>
          <t>Temp checking on business inquiry, received leads for existing clients</t>
        </is>
      </c>
      <c r="BD675" s="4">
        <v>46134.40658564815</v>
      </c>
      <c r="BE675" t="inlineStr">
        <is>
          <t>paid</t>
        </is>
      </c>
      <c r="BF675"/>
      <c r="BG675" t="inlineStr">
        <is>
          <t>Reschedule</t>
        </is>
      </c>
      <c r="BH675" t="inlineStr">
        <is>
          <t>Edward Hoo</t>
        </is>
      </c>
      <c r="BI675" t="inlineStr">
        <is>
          <t>Food / Beverage</t>
        </is>
      </c>
      <c r="BJ675" s="4">
        <v>46144.7524537037</v>
      </c>
      <c r="BK675" s="4">
        <v>45806.6928587963</v>
      </c>
      <c r="BL675" t="inlineStr">
        <is>
          <t>1296.0</t>
        </is>
      </c>
      <c r="BM675" t="inlineStr">
        <is>
          <t>1200.0</t>
        </is>
      </c>
      <c r="BN675" t="inlineStr">
        <is>
          <t>View Jobmanager Page</t>
        </is>
      </c>
      <c r="BO675" s="4">
        <v>45903.68269675926</v>
      </c>
      <c r="BP675">
        <v>167618</v>
      </c>
      <c r="BQ675">
        <v>120581</v>
      </c>
      <c r="BR675" t="inlineStr">
        <is>
          <t>Proforma</t>
        </is>
      </c>
      <c r="BS675" t="inlineStr">
        <is>
          <t>Free Internship Job</t>
        </is>
      </c>
      <c r="BT675">
        <v>80984</v>
      </c>
      <c r="BU675"/>
      <c r="BV675">
        <v>2719457</v>
      </c>
      <c r="BW675" t="inlineStr">
        <is>
          <t>Inquire for Hiring Needs : No Hiring</t>
        </is>
      </c>
      <c r="BX675"/>
      <c r="BY675"/>
      <c r="BZ675" s="4"/>
      <c r="CA675"/>
      <c r="CB675"/>
      <c r="CC675" s="4"/>
      <c r="CD675" t="inlineStr">
        <is>
          <t>20</t>
        </is>
      </c>
      <c r="CE675" t="inlineStr">
        <is>
          <t>0</t>
        </is>
      </c>
      <c r="CF675" t="inlineStr">
        <is>
          <t>Q2-W03</t>
        </is>
      </c>
      <c r="CG675" t="inlineStr">
        <is>
          <t>Q2-W01</t>
        </is>
      </c>
      <c r="CH675"/>
      <c r="CI675"/>
      <c r="CJ675" t="inlineStr">
        <is>
          <t>Paid</t>
        </is>
      </c>
      <c r="CK675" t="inlineStr">
        <is>
          <t>Not Eligible</t>
        </is>
      </c>
      <c r="CL675"/>
      <c r="CM675"/>
    </row>
    <row r="676" ht="25.5" customHeight="1">
      <c r="A676" t="inlineStr">
        <is>
          <t>156044</t>
        </is>
      </c>
      <c r="B676" s="2"/>
      <c r="C676"/>
      <c r="D676" s="3">
        <v>46129.60863425926</v>
      </c>
      <c r="E676" t="inlineStr">
        <is>
          <t>Q2-W03</t>
        </is>
      </c>
      <c r="F676" t="inlineStr">
        <is>
          <t>Alan KY</t>
        </is>
      </c>
      <c r="G676" t="inlineStr">
        <is>
          <t>Customer</t>
        </is>
      </c>
      <c r="H676" s="2" t="str">
        <f>=HYPERLINK("https://upbox.ajobthing.my/customer/156044", "https://upbox.ajobthing.my/customer/156044")</f>
        <v>https://upbox.ajobthing.my/customer/156044</v>
      </c>
      <c r="I676" t="inlineStr">
        <is>
          <t>Elton MFG (M) Sdn Bhd</t>
        </is>
      </c>
      <c r="J676" t="inlineStr">
        <is>
          <t>Dolphin</t>
        </is>
      </c>
      <c r="K676" t="inlineStr">
        <is>
          <t>Alan KY</t>
        </is>
      </c>
      <c r="L676" s="4"/>
      <c r="M676" s="4">
        <v>46129.60923611111</v>
      </c>
      <c r="N676"/>
      <c r="O676">
        <v>3888</v>
      </c>
      <c r="P676" s="4"/>
      <c r="Q676" s="4">
        <v>45832.440717592595</v>
      </c>
      <c r="R676"/>
      <c r="S676">
        <v>3238.92</v>
      </c>
      <c r="T676" s="4">
        <v>45832.440717592595</v>
      </c>
      <c r="U676" s="4"/>
      <c r="V676"/>
      <c r="W676">
        <v>3238.92</v>
      </c>
      <c r="X676"/>
      <c r="Y676" t="inlineStr">
        <is>
          <t>Pending Appointment</t>
        </is>
      </c>
      <c r="Z676" t="inlineStr">
        <is>
          <t>Hiring Now</t>
        </is>
      </c>
      <c r="AA676">
        <v>2</v>
      </c>
      <c r="AB676" t="inlineStr">
        <is>
          <t>No Appointment Made</t>
        </is>
      </c>
      <c r="AC676"/>
      <c r="AD676" t="inlineStr">
        <is>
          <t xml:space="preserve">technician 3-5, selangor </t>
        </is>
      </c>
      <c r="AE676"/>
      <c r="AF676"/>
      <c r="AG676" s="4"/>
      <c r="AH676" s="4"/>
      <c r="AI676"/>
      <c r="AJ676"/>
      <c r="AK676" t="inlineStr">
        <is>
          <t>No, I don't need at all</t>
        </is>
      </c>
      <c r="AL676"/>
      <c r="AM676" t="inlineStr">
        <is>
          <t>No, I don't need at all</t>
        </is>
      </c>
      <c r="AN676"/>
      <c r="AO676" t="inlineStr">
        <is>
          <t>No, I don't need at all</t>
        </is>
      </c>
      <c r="AP676" t="inlineStr">
        <is>
          <t>Once per quarter (75%)</t>
        </is>
      </c>
      <c r="AQ676"/>
      <c r="AR676" t="inlineStr">
        <is>
          <t>Jobstreet</t>
        </is>
      </c>
      <c r="AS676" t="inlineStr">
        <is>
          <t>- Headcount: 2
- Hiring Job Details: technician 3-5, selangor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676">
        <v>85</v>
      </c>
      <c r="AU676" t="inlineStr">
        <is>
          <t>0.85</t>
        </is>
      </c>
      <c r="AV676" t="inlineStr">
        <is>
          <t>5</t>
        </is>
      </c>
      <c r="AW676" t="inlineStr">
        <is>
          <t>0</t>
        </is>
      </c>
      <c r="AX676" t="inlineStr">
        <is>
          <t>Not Qualified</t>
        </is>
      </c>
      <c r="AY676" s="4"/>
      <c r="AZ676"/>
      <c r="BA676"/>
      <c r="BB676"/>
      <c r="BC676" t="inlineStr">
        <is>
          <t>No answer</t>
        </is>
      </c>
      <c r="BD676" s="4">
        <v>46142.48278935185</v>
      </c>
      <c r="BE676" t="inlineStr">
        <is>
          <t>paid</t>
        </is>
      </c>
      <c r="BF676"/>
      <c r="BG676" t="inlineStr">
        <is>
          <t>Reschedule</t>
        </is>
      </c>
      <c r="BH676" t="inlineStr">
        <is>
          <t>Reagen</t>
        </is>
      </c>
      <c r="BI676" t="inlineStr">
        <is>
          <t>Manufacturing / Production</t>
        </is>
      </c>
      <c r="BJ676" s="4">
        <v>46144.75099537037</v>
      </c>
      <c r="BK676" s="4">
        <v>44734.47497685185</v>
      </c>
      <c r="BL676" t="inlineStr">
        <is>
          <t>3239.0</t>
        </is>
      </c>
      <c r="BM676" t="inlineStr">
        <is>
          <t>1200.0</t>
        </is>
      </c>
      <c r="BN676" t="inlineStr">
        <is>
          <t>View Company Page</t>
        </is>
      </c>
      <c r="BO676" s="4">
        <v>46139.68592592593</v>
      </c>
      <c r="BP676">
        <v>167626</v>
      </c>
      <c r="BQ676">
        <v>5940</v>
      </c>
      <c r="BR676" t="inlineStr">
        <is>
          <t>Manual (Paid)</t>
        </is>
      </c>
      <c r="BS676" t="inlineStr">
        <is>
          <t>AI Yearly Standard Plan
- AI Yearly Standard Plan of 3 Instant Job Ads + 3 Free Instant Job Ads with Booster
- 6 AI Job Ad will be published on Maukerja, Ricebowl and our partner platforms
- 6 AI Job Ad will be published for 45 days
- 6 Booster Plus
- 60 Free Candidates Profiles Unlock
- 3 Free Intern or Manager Job
- 1 Free Company Page (Brand Basic)
- Package valid for 1 year
- AI Capability for each AI Job Ad
- AI Instant Match for 50 profiles
- AI Daily Talent Recommendation for 10 profiles daily
- AI "Open to Work" Detector for 10 profiles for 10 days
- AI Smart Filter
- AI Post Job Assistant
- AI Pre-Call Notifier
- Ajobthing CARE</t>
        </is>
      </c>
      <c r="BT676">
        <v>5940</v>
      </c>
      <c r="BU676"/>
      <c r="BV676">
        <v>2737165</v>
      </c>
      <c r="BW676" t="inlineStr">
        <is>
          <t>No Answer : Voicemail - WA sent to customer</t>
        </is>
      </c>
      <c r="BX676">
        <v>6</v>
      </c>
      <c r="BY676">
        <v>1</v>
      </c>
      <c r="BZ676" s="4">
        <v>46097.665555555555</v>
      </c>
      <c r="CA676">
        <v>60</v>
      </c>
      <c r="CB676">
        <v>57</v>
      </c>
      <c r="CC676" s="4">
        <v>46136.587060185186</v>
      </c>
      <c r="CD676" t="inlineStr">
        <is>
          <t>5</t>
        </is>
      </c>
      <c r="CE676" t="inlineStr">
        <is>
          <t>0</t>
        </is>
      </c>
      <c r="CF676" t="inlineStr">
        <is>
          <t>Q2-W03</t>
        </is>
      </c>
      <c r="CG676"/>
      <c r="CH676"/>
      <c r="CI676"/>
      <c r="CJ676" t="inlineStr">
        <is>
          <t>Paid</t>
        </is>
      </c>
      <c r="CK676" t="inlineStr">
        <is>
          <t>Not Eligible</t>
        </is>
      </c>
      <c r="CL676"/>
      <c r="CM676"/>
    </row>
    <row r="677" ht="25.5" customHeight="1">
      <c r="A677" t="inlineStr">
        <is>
          <t>184092</t>
        </is>
      </c>
      <c r="B677" s="2"/>
      <c r="C677"/>
      <c r="D677" s="3">
        <v>46129.61032407408</v>
      </c>
      <c r="E677" t="inlineStr">
        <is>
          <t>Q2-W03</t>
        </is>
      </c>
      <c r="F677" t="inlineStr">
        <is>
          <t>Evan</t>
        </is>
      </c>
      <c r="G677" t="inlineStr">
        <is>
          <t>Customer</t>
        </is>
      </c>
      <c r="H677" s="2" t="str">
        <f>=HYPERLINK("https://upbox.ajobthing.my/customer/184092", "https://upbox.ajobthing.my/customer/184092")</f>
        <v>https://upbox.ajobthing.my/customer/184092</v>
      </c>
      <c r="I677" t="inlineStr">
        <is>
          <t>Bold International Trading Sdn Bhd</t>
        </is>
      </c>
      <c r="J677" t="inlineStr">
        <is>
          <t>Dolphin</t>
        </is>
      </c>
      <c r="K677" t="inlineStr">
        <is>
          <t>Evan</t>
        </is>
      </c>
      <c r="L677" s="4"/>
      <c r="M677" s="4">
        <v>46129.608078703706</v>
      </c>
      <c r="N677"/>
      <c r="O677">
        <v>3888</v>
      </c>
      <c r="P677" s="4"/>
      <c r="Q677" s="4">
        <v>45588.41746527778</v>
      </c>
      <c r="R677"/>
      <c r="S677">
        <v>648</v>
      </c>
      <c r="T677" s="4">
        <v>45588.41746527778</v>
      </c>
      <c r="U677" s="4"/>
      <c r="V677"/>
      <c r="W677">
        <v>648</v>
      </c>
      <c r="X677"/>
      <c r="Y677" t="inlineStr">
        <is>
          <t>Pending Appointment</t>
        </is>
      </c>
      <c r="Z677" t="inlineStr">
        <is>
          <t>Hiring Now</t>
        </is>
      </c>
      <c r="AA677">
        <v>1</v>
      </c>
      <c r="AB677" t="inlineStr">
        <is>
          <t>No Appointment Made</t>
        </is>
      </c>
      <c r="AC677"/>
      <c r="AD677" t="inlineStr">
        <is>
          <t>1 admin, all base in KL</t>
        </is>
      </c>
      <c r="AE677"/>
      <c r="AF677">
        <v>1</v>
      </c>
      <c r="AG677" s="4"/>
      <c r="AH677" s="4"/>
      <c r="AI677">
        <v>1</v>
      </c>
      <c r="AJ677">
        <v>1</v>
      </c>
      <c r="AK677" t="inlineStr">
        <is>
          <t>No, I don't need at all</t>
        </is>
      </c>
      <c r="AL677">
        <v>0</v>
      </c>
      <c r="AM677" t="inlineStr">
        <is>
          <t>No, I don't need at all</t>
        </is>
      </c>
      <c r="AN677"/>
      <c r="AO677" t="inlineStr">
        <is>
          <t>No, I don't need at all</t>
        </is>
      </c>
      <c r="AP677" t="inlineStr">
        <is>
          <t>Once a year (25%)</t>
        </is>
      </c>
      <c r="AQ677">
        <v>1</v>
      </c>
      <c r="AR677" t="inlineStr">
        <is>
          <t>Did not use any job portal</t>
        </is>
      </c>
      <c r="AS677"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677">
        <v>115</v>
      </c>
      <c r="AU677" t="inlineStr">
        <is>
          <t>1.15</t>
        </is>
      </c>
      <c r="AV677" t="inlineStr">
        <is>
          <t>15</t>
        </is>
      </c>
      <c r="AW677" t="inlineStr">
        <is>
          <t>0</t>
        </is>
      </c>
      <c r="AX677" t="inlineStr">
        <is>
          <t>Not Qualified</t>
        </is>
      </c>
      <c r="AY677" s="4"/>
      <c r="AZ677"/>
      <c r="BA677"/>
      <c r="BB677"/>
      <c r="BC677"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677" s="4">
        <v>46129.62503472222</v>
      </c>
      <c r="BE677" t="inlineStr">
        <is>
          <t>paid</t>
        </is>
      </c>
      <c r="BF677"/>
      <c r="BG677" t="inlineStr">
        <is>
          <t>Reschedule</t>
        </is>
      </c>
      <c r="BH677" t="inlineStr">
        <is>
          <t>Edward Hoo</t>
        </is>
      </c>
      <c r="BI677" t="inlineStr">
        <is>
          <t>Retail / Merchandise</t>
        </is>
      </c>
      <c r="BJ677" s="4">
        <v>46144.75199074074</v>
      </c>
      <c r="BK677" s="4">
        <v>45588.405069444445</v>
      </c>
      <c r="BL677" t="inlineStr">
        <is>
          <t>0.0</t>
        </is>
      </c>
      <c r="BM677" t="inlineStr">
        <is>
          <t>0.0</t>
        </is>
      </c>
      <c r="BN677" t="inlineStr">
        <is>
          <t>View Jobmanager Page</t>
        </is>
      </c>
      <c r="BO677" s="4">
        <v>45674.63726851852</v>
      </c>
      <c r="BP677">
        <v>167625</v>
      </c>
      <c r="BQ677">
        <v>74065</v>
      </c>
      <c r="BR677" t="inlineStr">
        <is>
          <t>Online</t>
        </is>
      </c>
      <c r="BS677"/>
      <c r="BT677">
        <v>74065</v>
      </c>
      <c r="BU677"/>
      <c r="BV677">
        <v>2712320</v>
      </c>
      <c r="BW677" t="inlineStr">
        <is>
          <t>Customer Inquiry</t>
        </is>
      </c>
      <c r="BX677"/>
      <c r="BY677"/>
      <c r="BZ677" s="4"/>
      <c r="CA677"/>
      <c r="CB677"/>
      <c r="CC677" s="4"/>
      <c r="CD677" t="inlineStr">
        <is>
          <t>20</t>
        </is>
      </c>
      <c r="CE677" t="inlineStr">
        <is>
          <t>0</t>
        </is>
      </c>
      <c r="CF677" t="inlineStr">
        <is>
          <t>Q2-W03</t>
        </is>
      </c>
      <c r="CG677"/>
      <c r="CH677"/>
      <c r="CI677"/>
      <c r="CJ677" t="inlineStr">
        <is>
          <t>Paid</t>
        </is>
      </c>
      <c r="CK677" t="inlineStr">
        <is>
          <t>Not Eligible</t>
        </is>
      </c>
      <c r="CL677"/>
      <c r="CM677"/>
    </row>
    <row r="678" ht="25.5" customHeight="1">
      <c r="A678" t="inlineStr">
        <is>
          <t>183345</t>
        </is>
      </c>
      <c r="B678" s="2"/>
      <c r="C678"/>
      <c r="D678" s="3">
        <v>46129.61754629629</v>
      </c>
      <c r="E678" t="inlineStr">
        <is>
          <t>Q2-W03</t>
        </is>
      </c>
      <c r="F678" t="inlineStr">
        <is>
          <t>Evan</t>
        </is>
      </c>
      <c r="G678" t="inlineStr">
        <is>
          <t>Customer</t>
        </is>
      </c>
      <c r="H678" s="2" t="str">
        <f>=HYPERLINK("https://upbox.ajobthing.my/customer/183345", "https://upbox.ajobthing.my/customer/183345")</f>
        <v>https://upbox.ajobthing.my/customer/183345</v>
      </c>
      <c r="I678" t="inlineStr">
        <is>
          <t>iNetwork2u (M) Sdn Bhd</t>
        </is>
      </c>
      <c r="J678" t="inlineStr">
        <is>
          <t>Dolphin</t>
        </is>
      </c>
      <c r="K678" t="inlineStr">
        <is>
          <t>Evan</t>
        </is>
      </c>
      <c r="L678" s="4"/>
      <c r="M678" s="4">
        <v>46129.61560185185</v>
      </c>
      <c r="N678"/>
      <c r="O678">
        <v>3888</v>
      </c>
      <c r="P678" s="4"/>
      <c r="Q678" s="4">
        <v>45881.604363425926</v>
      </c>
      <c r="R678"/>
      <c r="S678">
        <v>648</v>
      </c>
      <c r="T678" s="4">
        <v>45881.604363425926</v>
      </c>
      <c r="U678" s="4"/>
      <c r="V678"/>
      <c r="W678">
        <v>648</v>
      </c>
      <c r="X678"/>
      <c r="Y678" t="inlineStr">
        <is>
          <t>Pending Appointment</t>
        </is>
      </c>
      <c r="Z678" t="inlineStr">
        <is>
          <t>Hiring Now</t>
        </is>
      </c>
      <c r="AA678">
        <v>1</v>
      </c>
      <c r="AB678" t="inlineStr">
        <is>
          <t>No Appointment Made</t>
        </is>
      </c>
      <c r="AC678"/>
      <c r="AD678" t="inlineStr">
        <is>
          <t>1 admin, all base in Klang</t>
        </is>
      </c>
      <c r="AE678"/>
      <c r="AF678">
        <v>1</v>
      </c>
      <c r="AG678" s="4"/>
      <c r="AH678" s="4"/>
      <c r="AI678">
        <v>1</v>
      </c>
      <c r="AJ678">
        <v>1</v>
      </c>
      <c r="AK678" t="inlineStr">
        <is>
          <t>No, I don't need at all</t>
        </is>
      </c>
      <c r="AL678">
        <v>0</v>
      </c>
      <c r="AM678" t="inlineStr">
        <is>
          <t>No, I don't need at all</t>
        </is>
      </c>
      <c r="AN678"/>
      <c r="AO678" t="inlineStr">
        <is>
          <t>No, I don't need at all</t>
        </is>
      </c>
      <c r="AP678" t="inlineStr">
        <is>
          <t>Once a year (25%)</t>
        </is>
      </c>
      <c r="AQ678">
        <v>1</v>
      </c>
      <c r="AR678" t="inlineStr">
        <is>
          <t>Did not use any job portal</t>
        </is>
      </c>
      <c r="AS678" t="inlineStr">
        <is>
          <t>- Headcount: 1
- Hiring Job Details: 1 admin, all base in Klang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678">
        <v>110</v>
      </c>
      <c r="AU678" t="inlineStr">
        <is>
          <t>1.10</t>
        </is>
      </c>
      <c r="AV678" t="inlineStr">
        <is>
          <t>15</t>
        </is>
      </c>
      <c r="AW678" t="inlineStr">
        <is>
          <t>0</t>
        </is>
      </c>
      <c r="AX678" t="inlineStr">
        <is>
          <t>Not Qualified</t>
        </is>
      </c>
      <c r="AY678" s="4"/>
      <c r="AZ678"/>
      <c r="BA678"/>
      <c r="BB678"/>
      <c r="BC678" t="inlineStr">
        <is>
          <t>- Headcount: 1
- Hiring Job Details: 1 admin, all base in Klang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678" s="4">
        <v>46129.6250462963</v>
      </c>
      <c r="BE678" t="inlineStr">
        <is>
          <t>paid</t>
        </is>
      </c>
      <c r="BF678"/>
      <c r="BG678" t="inlineStr">
        <is>
          <t>Reschedule</t>
        </is>
      </c>
      <c r="BH678" t="inlineStr">
        <is>
          <t>Edward Hoo</t>
        </is>
      </c>
      <c r="BI678" t="inlineStr">
        <is>
          <t>Healthcare / Medical</t>
        </is>
      </c>
      <c r="BJ678" s="4">
        <v>46144.751967592594</v>
      </c>
      <c r="BK678" s="4">
        <v>45567.73809027778</v>
      </c>
      <c r="BL678" t="inlineStr">
        <is>
          <t>648.0</t>
        </is>
      </c>
      <c r="BM678" t="inlineStr">
        <is>
          <t>1200.0</t>
        </is>
      </c>
      <c r="BN678" t="inlineStr">
        <is>
          <t>View Jobmanager Page</t>
        </is>
      </c>
      <c r="BO678" s="4">
        <v>45937.430983796294</v>
      </c>
      <c r="BP678">
        <v>167628</v>
      </c>
      <c r="BQ678">
        <v>81497</v>
      </c>
      <c r="BR678" t="inlineStr">
        <is>
          <t>Online</t>
        </is>
      </c>
      <c r="BS678"/>
      <c r="BT678">
        <v>81497</v>
      </c>
      <c r="BU678"/>
      <c r="BV678">
        <v>2712323</v>
      </c>
      <c r="BW678" t="inlineStr">
        <is>
          <t>Customer Inquiry</t>
        </is>
      </c>
      <c r="BX678"/>
      <c r="BY678"/>
      <c r="BZ678" s="4"/>
      <c r="CA678"/>
      <c r="CB678"/>
      <c r="CC678" s="4"/>
      <c r="CD678" t="inlineStr">
        <is>
          <t>20</t>
        </is>
      </c>
      <c r="CE678" t="inlineStr">
        <is>
          <t>0</t>
        </is>
      </c>
      <c r="CF678" t="inlineStr">
        <is>
          <t>Q2-W03</t>
        </is>
      </c>
      <c r="CG678"/>
      <c r="CH678"/>
      <c r="CI678"/>
      <c r="CJ678" t="inlineStr">
        <is>
          <t>Paid</t>
        </is>
      </c>
      <c r="CK678" t="inlineStr">
        <is>
          <t>Not Eligible</t>
        </is>
      </c>
      <c r="CL678"/>
      <c r="CM678"/>
    </row>
    <row r="679" ht="25.5" customHeight="1">
      <c r="A679" t="inlineStr">
        <is>
          <t>182191</t>
        </is>
      </c>
      <c r="B679" s="2"/>
      <c r="C679"/>
      <c r="D679" s="3">
        <v>46129.624548611115</v>
      </c>
      <c r="E679" t="inlineStr">
        <is>
          <t>Q2-W03</t>
        </is>
      </c>
      <c r="F679" t="inlineStr">
        <is>
          <t>Evan</t>
        </is>
      </c>
      <c r="G679" t="inlineStr">
        <is>
          <t>Customer</t>
        </is>
      </c>
      <c r="H679" s="2" t="str">
        <f>=HYPERLINK("https://upbox.ajobthing.my/customer/182191", "https://upbox.ajobthing.my/customer/182191")</f>
        <v>https://upbox.ajobthing.my/customer/182191</v>
      </c>
      <c r="I679" t="inlineStr">
        <is>
          <t>OR Gelato Sdn Bhd</t>
        </is>
      </c>
      <c r="J679" t="inlineStr">
        <is>
          <t>Dolphin</t>
        </is>
      </c>
      <c r="K679" t="inlineStr">
        <is>
          <t>Evan</t>
        </is>
      </c>
      <c r="L679" s="4"/>
      <c r="M679" s="4">
        <v>46129.628483796296</v>
      </c>
      <c r="N679"/>
      <c r="O679">
        <v>3888</v>
      </c>
      <c r="P679" s="4"/>
      <c r="Q679" s="4">
        <v>45534.696608796294</v>
      </c>
      <c r="R679"/>
      <c r="S679">
        <v>1632.96</v>
      </c>
      <c r="T679" s="4">
        <v>45534.696608796294</v>
      </c>
      <c r="U679" s="4"/>
      <c r="V679"/>
      <c r="W679">
        <v>1632.96</v>
      </c>
      <c r="X679"/>
      <c r="Y679" t="inlineStr">
        <is>
          <t>Pending Appointment</t>
        </is>
      </c>
      <c r="Z679" t="inlineStr">
        <is>
          <t>Hiring Now</t>
        </is>
      </c>
      <c r="AA679">
        <v>1</v>
      </c>
      <c r="AB679" t="inlineStr">
        <is>
          <t>No Appointment Made</t>
        </is>
      </c>
      <c r="AC679"/>
      <c r="AD679" t="inlineStr">
        <is>
          <t>1 crew, all base in kl</t>
        </is>
      </c>
      <c r="AE679"/>
      <c r="AF679">
        <v>1</v>
      </c>
      <c r="AG679" s="4"/>
      <c r="AH679" s="4"/>
      <c r="AI679">
        <v>1</v>
      </c>
      <c r="AJ679">
        <v>1</v>
      </c>
      <c r="AK679" t="inlineStr">
        <is>
          <t>No, I don't need at all</t>
        </is>
      </c>
      <c r="AL679">
        <v>1</v>
      </c>
      <c r="AM679" t="inlineStr">
        <is>
          <t>No, I don't need at all</t>
        </is>
      </c>
      <c r="AN679"/>
      <c r="AO679" t="inlineStr">
        <is>
          <t>No, I don't need at all</t>
        </is>
      </c>
      <c r="AP679" t="inlineStr">
        <is>
          <t>Once a year (25%)</t>
        </is>
      </c>
      <c r="AQ679">
        <v>1</v>
      </c>
      <c r="AR679" t="inlineStr">
        <is>
          <t>Free Job Portal</t>
        </is>
      </c>
      <c r="AS679" t="inlineStr">
        <is>
          <t>- Headcount: 1
- Hiring Job Details: 1 crew, all based in kl
- Hiring Urgency: Hiring Now
- Number of outlets: 1
- Have recruiter team: No, I don't need at all
- Number of recruiter in company: 1
- Have ATS system: No, I don't need at all
- Have career website: No, I don't need at all
- Current hiring budget: RM1.00
- Whole year budget: RM1.00
- Whole year number of vacancies: 1
- Hiring frequency: Once a year (25%)
- External job portal: Free Job Portal</t>
        </is>
      </c>
      <c r="AT679">
        <v>95</v>
      </c>
      <c r="AU679" t="inlineStr">
        <is>
          <t>0.95</t>
        </is>
      </c>
      <c r="AV679" t="inlineStr">
        <is>
          <t>15</t>
        </is>
      </c>
      <c r="AW679" t="inlineStr">
        <is>
          <t>0</t>
        </is>
      </c>
      <c r="AX679" t="inlineStr">
        <is>
          <t>Not Qualified</t>
        </is>
      </c>
      <c r="AY679" s="4"/>
      <c r="AZ679"/>
      <c r="BA679"/>
      <c r="BB679"/>
      <c r="BC679" t="inlineStr">
        <is>
          <t>nh q</t>
        </is>
      </c>
      <c r="BD679" s="4">
        <v>46129.62878472222</v>
      </c>
      <c r="BE679" t="inlineStr">
        <is>
          <t>paid</t>
        </is>
      </c>
      <c r="BF679"/>
      <c r="BG679" t="inlineStr">
        <is>
          <t>Reschedule</t>
        </is>
      </c>
      <c r="BH679" t="inlineStr">
        <is>
          <t>Edward Hoo</t>
        </is>
      </c>
      <c r="BI679" t="inlineStr">
        <is>
          <t>Food / Beverage</t>
        </is>
      </c>
      <c r="BJ679" s="4">
        <v>46144.751921296294</v>
      </c>
      <c r="BK679" s="4">
        <v>45533.5771875</v>
      </c>
      <c r="BL679" t="inlineStr">
        <is>
          <t>0.0</t>
        </is>
      </c>
      <c r="BM679" t="inlineStr">
        <is>
          <t>0.0</t>
        </is>
      </c>
      <c r="BN679" t="inlineStr">
        <is>
          <t>PA Visit - Applicant Manager</t>
        </is>
      </c>
      <c r="BO679" s="4">
        <v>45821.461331018516</v>
      </c>
      <c r="BP679">
        <v>167637</v>
      </c>
      <c r="BQ679">
        <v>72622</v>
      </c>
      <c r="BR679" t="inlineStr">
        <is>
          <t>Online</t>
        </is>
      </c>
      <c r="BS679"/>
      <c r="BT679">
        <v>72622</v>
      </c>
      <c r="BU679"/>
      <c r="BV679">
        <v>2712362</v>
      </c>
      <c r="BW679" t="inlineStr">
        <is>
          <t>Inquire for Hiring Needs : No Hiring</t>
        </is>
      </c>
      <c r="BX679"/>
      <c r="BY679"/>
      <c r="BZ679" s="4"/>
      <c r="CA679"/>
      <c r="CB679"/>
      <c r="CC679" s="4"/>
      <c r="CD679" t="inlineStr">
        <is>
          <t>20</t>
        </is>
      </c>
      <c r="CE679" t="inlineStr">
        <is>
          <t>0</t>
        </is>
      </c>
      <c r="CF679" t="inlineStr">
        <is>
          <t>Q2-W03</t>
        </is>
      </c>
      <c r="CG679"/>
      <c r="CH679"/>
      <c r="CI679"/>
      <c r="CJ679" t="inlineStr">
        <is>
          <t>Paid</t>
        </is>
      </c>
      <c r="CK679" t="inlineStr">
        <is>
          <t>Not Eligible</t>
        </is>
      </c>
      <c r="CL679"/>
      <c r="CM679"/>
    </row>
    <row r="680" ht="25.5" customHeight="1">
      <c r="A680" t="inlineStr">
        <is>
          <t>155666</t>
        </is>
      </c>
      <c r="B680" s="2"/>
      <c r="C680"/>
      <c r="D680" s="3">
        <v>46129.62814814815</v>
      </c>
      <c r="E680" t="inlineStr">
        <is>
          <t>Q2-W03</t>
        </is>
      </c>
      <c r="F680" t="inlineStr">
        <is>
          <t>Ken Yi</t>
        </is>
      </c>
      <c r="G680" t="inlineStr">
        <is>
          <t>Customer</t>
        </is>
      </c>
      <c r="H680" s="2" t="str">
        <f>=HYPERLINK("https://upbox.ajobthing.my/customer/155666", "https://upbox.ajobthing.my/customer/155666")</f>
        <v>https://upbox.ajobthing.my/customer/155666</v>
      </c>
      <c r="I680" t="inlineStr">
        <is>
          <t>Inang Street Cafe</t>
        </is>
      </c>
      <c r="J680" t="inlineStr">
        <is>
          <t>Dolphin</t>
        </is>
      </c>
      <c r="K680" t="inlineStr">
        <is>
          <t>Kenyi</t>
        </is>
      </c>
      <c r="L680" s="4"/>
      <c r="M680" s="4">
        <v>46129.62631944445</v>
      </c>
      <c r="N680"/>
      <c r="O680">
        <v>10800</v>
      </c>
      <c r="P680" s="4"/>
      <c r="Q680" s="4">
        <v>45984.76042824074</v>
      </c>
      <c r="R680"/>
      <c r="S680">
        <v>648</v>
      </c>
      <c r="T680" s="4">
        <v>45984.76042824074</v>
      </c>
      <c r="U680" s="4"/>
      <c r="V680"/>
      <c r="W680">
        <v>648</v>
      </c>
      <c r="X680"/>
      <c r="Y680" t="inlineStr">
        <is>
          <t>Pending Appointment</t>
        </is>
      </c>
      <c r="Z680" t="inlineStr">
        <is>
          <t>Hiring Now</t>
        </is>
      </c>
      <c r="AA680">
        <v>2</v>
      </c>
      <c r="AB680" t="inlineStr">
        <is>
          <t>No Appointment Made</t>
        </is>
      </c>
      <c r="AC680"/>
      <c r="AD680" t="inlineStr">
        <is>
          <t>Renewal, service crew, coffee outlet shop and restaurant</t>
        </is>
      </c>
      <c r="AE680"/>
      <c r="AF680">
        <v>0</v>
      </c>
      <c r="AG680" s="4"/>
      <c r="AH680" s="4"/>
      <c r="AI680">
        <v>0</v>
      </c>
      <c r="AJ680">
        <v>3</v>
      </c>
      <c r="AK680" t="inlineStr">
        <is>
          <t>Yes, I have</t>
        </is>
      </c>
      <c r="AL680">
        <v>1</v>
      </c>
      <c r="AM680" t="inlineStr">
        <is>
          <t>No, I don't need at all</t>
        </is>
      </c>
      <c r="AN680"/>
      <c r="AO680" t="inlineStr">
        <is>
          <t>No, I don't need at all</t>
        </is>
      </c>
      <c r="AP680" t="inlineStr">
        <is>
          <t>Every month (100%)</t>
        </is>
      </c>
      <c r="AQ680">
        <v>1</v>
      </c>
      <c r="AR680" t="inlineStr">
        <is>
          <t>Jobstreet, Free Job Portal</t>
        </is>
      </c>
      <c r="AS680" t="inlineStr">
        <is>
          <t>- Headcount: 2
- Hiring Job Details: Renewal, service crew, coffee outlet shop and restaurant
- Hiring Urgency: Hiring Now
- Number of outlets: 3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Jobstreet,Free Job Portal</t>
        </is>
      </c>
      <c r="AT680">
        <v>90</v>
      </c>
      <c r="AU680" t="inlineStr">
        <is>
          <t>0.90</t>
        </is>
      </c>
      <c r="AV680" t="inlineStr">
        <is>
          <t>15</t>
        </is>
      </c>
      <c r="AW680" t="inlineStr">
        <is>
          <t>0</t>
        </is>
      </c>
      <c r="AX680" t="inlineStr">
        <is>
          <t>Not Qualified</t>
        </is>
      </c>
      <c r="AY680" s="4"/>
      <c r="AZ680"/>
      <c r="BA680"/>
      <c r="BB680"/>
      <c r="BC680" t="inlineStr">
        <is>
          <t>- Headcount: 2
- Hiring Job Details: Renewal, service crew, coffee outlet shop and restaurant
- Hiring Urgency: Hiring Now
- Number of outlets: 3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Jobstreet,Free Job Portal</t>
        </is>
      </c>
      <c r="BD680" s="4">
        <v>46129.66680555556</v>
      </c>
      <c r="BE680" t="inlineStr">
        <is>
          <t>paid</t>
        </is>
      </c>
      <c r="BF680"/>
      <c r="BG680" t="inlineStr">
        <is>
          <t>Reschedule</t>
        </is>
      </c>
      <c r="BH680" t="inlineStr">
        <is>
          <t>Fauziah Maharan</t>
        </is>
      </c>
      <c r="BI680" t="inlineStr">
        <is>
          <t>Food / Beverage</t>
        </is>
      </c>
      <c r="BJ680" s="4">
        <v>46144.75096064815</v>
      </c>
      <c r="BK680" s="4">
        <v>44727.01311342593</v>
      </c>
      <c r="BL680" t="inlineStr">
        <is>
          <t>4104.0</t>
        </is>
      </c>
      <c r="BM680" t="inlineStr">
        <is>
          <t>0.0</t>
        </is>
      </c>
      <c r="BN680" t="inlineStr">
        <is>
          <t>View Jobmanager Page</t>
        </is>
      </c>
      <c r="BO680" s="4">
        <v>46000.98451388889</v>
      </c>
      <c r="BP680">
        <v>167636</v>
      </c>
      <c r="BQ680">
        <v>84411</v>
      </c>
      <c r="BR680" t="inlineStr">
        <is>
          <t>Online</t>
        </is>
      </c>
      <c r="BS680"/>
      <c r="BT680">
        <v>84411</v>
      </c>
      <c r="BU680"/>
      <c r="BV680">
        <v>2712637</v>
      </c>
      <c r="BW680" t="inlineStr">
        <is>
          <t>Customer Inquiry</t>
        </is>
      </c>
      <c r="BX680"/>
      <c r="BY680"/>
      <c r="BZ680" s="4"/>
      <c r="CA680"/>
      <c r="CB680"/>
      <c r="CC680" s="4"/>
      <c r="CD680" t="inlineStr">
        <is>
          <t>20</t>
        </is>
      </c>
      <c r="CE680" t="inlineStr">
        <is>
          <t>0</t>
        </is>
      </c>
      <c r="CF680" t="inlineStr">
        <is>
          <t>Q2-W03</t>
        </is>
      </c>
      <c r="CG680"/>
      <c r="CH680"/>
      <c r="CI680"/>
      <c r="CJ680" t="inlineStr">
        <is>
          <t>Paid</t>
        </is>
      </c>
      <c r="CK680" t="inlineStr">
        <is>
          <t>Not Eligible</t>
        </is>
      </c>
      <c r="CL680"/>
      <c r="CM680"/>
    </row>
    <row r="681" ht="25.5" customHeight="1">
      <c r="A681" t="inlineStr">
        <is>
          <t>175010</t>
        </is>
      </c>
      <c r="B681" s="2"/>
      <c r="C681"/>
      <c r="D681" s="3">
        <v>46129.63438657407</v>
      </c>
      <c r="E681" t="inlineStr">
        <is>
          <t>Q2-W03</t>
        </is>
      </c>
      <c r="F681" t="inlineStr">
        <is>
          <t>Jia Hui</t>
        </is>
      </c>
      <c r="G681" t="inlineStr">
        <is>
          <t>Customer</t>
        </is>
      </c>
      <c r="H681" s="2" t="str">
        <f>=HYPERLINK("https://upbox.ajobthing.my/customer/175010", "https://upbox.ajobthing.my/customer/175010")</f>
        <v>https://upbox.ajobthing.my/customer/175010</v>
      </c>
      <c r="I681" t="inlineStr">
        <is>
          <t>NTS Computers Sdn Bhd</t>
        </is>
      </c>
      <c r="J681" t="inlineStr">
        <is>
          <t>Dolphin</t>
        </is>
      </c>
      <c r="K681" t="inlineStr">
        <is>
          <t>Jia Hui</t>
        </is>
      </c>
      <c r="L681" s="4"/>
      <c r="M681" s="4">
        <v>46129.628796296296</v>
      </c>
      <c r="N681"/>
      <c r="O681">
        <v>3888</v>
      </c>
      <c r="P681" s="4"/>
      <c r="Q681" s="4">
        <v>46044.430127314816</v>
      </c>
      <c r="R681"/>
      <c r="S681">
        <v>324</v>
      </c>
      <c r="T681" s="4">
        <v>46044.430127314816</v>
      </c>
      <c r="U681" s="4"/>
      <c r="V681"/>
      <c r="W681">
        <v>324</v>
      </c>
      <c r="X681"/>
      <c r="Y681" t="inlineStr">
        <is>
          <t>Pending Appointment</t>
        </is>
      </c>
      <c r="Z681" t="inlineStr">
        <is>
          <t>Hiring Now</t>
        </is>
      </c>
      <c r="AA681">
        <v>2</v>
      </c>
      <c r="AB681" t="inlineStr">
        <is>
          <t>No Appointment Made</t>
        </is>
      </c>
      <c r="AC681"/>
      <c r="AD681" t="inlineStr">
        <is>
          <t>1 sales account manager, 1 internship for technician</t>
        </is>
      </c>
      <c r="AE681"/>
      <c r="AF681">
        <v>500</v>
      </c>
      <c r="AG681" s="4"/>
      <c r="AH681" s="4"/>
      <c r="AI681"/>
      <c r="AJ681"/>
      <c r="AK681"/>
      <c r="AL681"/>
      <c r="AM681"/>
      <c r="AN681"/>
      <c r="AO681"/>
      <c r="AP681" t="inlineStr">
        <is>
          <t>Once a year (25%)</t>
        </is>
      </c>
      <c r="AQ681"/>
      <c r="AR681"/>
      <c r="AS681" t="inlineStr">
        <is>
          <t>- Headcount: 2
- Hiring Job Details: 1 sales account manager, 1 internship for technician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681">
        <v>75</v>
      </c>
      <c r="AU681" t="inlineStr">
        <is>
          <t>0.75</t>
        </is>
      </c>
      <c r="AV681" t="inlineStr">
        <is>
          <t>15</t>
        </is>
      </c>
      <c r="AW681" t="inlineStr">
        <is>
          <t>0</t>
        </is>
      </c>
      <c r="AX681" t="inlineStr">
        <is>
          <t>Not Qualified</t>
        </is>
      </c>
      <c r="AY681" s="4"/>
      <c r="AZ681"/>
      <c r="BA681"/>
      <c r="BB681"/>
      <c r="BC681" t="inlineStr">
        <is>
          <t>pending decision from boss</t>
        </is>
      </c>
      <c r="BD681" s="4">
        <v>46133.580879629626</v>
      </c>
      <c r="BE681" t="inlineStr">
        <is>
          <t>paid</t>
        </is>
      </c>
      <c r="BF681" t="inlineStr">
        <is>
          <t>Q1-W03</t>
        </is>
      </c>
      <c r="BG681" t="inlineStr">
        <is>
          <t>Reschedule</t>
        </is>
      </c>
      <c r="BH681" t="inlineStr">
        <is>
          <t>Reagen</t>
        </is>
      </c>
      <c r="BI681" t="inlineStr">
        <is>
          <t>IT / Hardware</t>
        </is>
      </c>
      <c r="BJ681" s="4">
        <v>46144.75158564815</v>
      </c>
      <c r="BK681" s="4">
        <v>45320.451944444445</v>
      </c>
      <c r="BL681" t="inlineStr">
        <is>
          <t>3078.0</t>
        </is>
      </c>
      <c r="BM681" t="inlineStr">
        <is>
          <t>1200.0</t>
        </is>
      </c>
      <c r="BN681" t="inlineStr">
        <is>
          <t>User Visit(Logged In)</t>
        </is>
      </c>
      <c r="BO681" s="4">
        <v>46134.487129629626</v>
      </c>
      <c r="BP681">
        <v>167638</v>
      </c>
      <c r="BQ681">
        <v>7108</v>
      </c>
      <c r="BR681" t="inlineStr">
        <is>
          <t>Manual (Paid)</t>
        </is>
      </c>
      <c r="BS681"/>
      <c r="BT681">
        <v>7108</v>
      </c>
      <c r="BU681"/>
      <c r="BV681">
        <v>2718135</v>
      </c>
      <c r="BW681" t="inlineStr">
        <is>
          <t>Follow Up : Decision Pending</t>
        </is>
      </c>
      <c r="BX681"/>
      <c r="BY681"/>
      <c r="BZ681" s="4"/>
      <c r="CA681"/>
      <c r="CB681"/>
      <c r="CC681" s="4"/>
      <c r="CD681" t="inlineStr">
        <is>
          <t>20</t>
        </is>
      </c>
      <c r="CE681" t="inlineStr">
        <is>
          <t>0</t>
        </is>
      </c>
      <c r="CF681" t="inlineStr">
        <is>
          <t>Q2-W03</t>
        </is>
      </c>
      <c r="CG681" t="inlineStr">
        <is>
          <t>Q1-W03</t>
        </is>
      </c>
      <c r="CH681" t="inlineStr">
        <is>
          <t>Q1-W03</t>
        </is>
      </c>
      <c r="CI681"/>
      <c r="CJ681" t="inlineStr">
        <is>
          <t>Paid</t>
        </is>
      </c>
      <c r="CK681" t="inlineStr">
        <is>
          <t>Not Eligible</t>
        </is>
      </c>
      <c r="CL681"/>
      <c r="CM681"/>
    </row>
    <row r="682" ht="25.5" customHeight="1">
      <c r="A682" t="inlineStr">
        <is>
          <t>4294715</t>
        </is>
      </c>
      <c r="B682" s="2"/>
      <c r="C682"/>
      <c r="D682" s="3">
        <v>46129.6424537037</v>
      </c>
      <c r="E682" t="inlineStr">
        <is>
          <t>Q2-W03</t>
        </is>
      </c>
      <c r="F682" t="inlineStr">
        <is>
          <t>Lucas</t>
        </is>
      </c>
      <c r="G682" t="inlineStr">
        <is>
          <t>Lead</t>
        </is>
      </c>
      <c r="H682" s="2" t="str">
        <f>=HYPERLINK("https://upbox.ajobthing.my/leads/4294715", "https://upbox.ajobthing.my/leads/4294715")</f>
        <v>https://upbox.ajobthing.my/leads/4294715</v>
      </c>
      <c r="I682" t="inlineStr">
        <is>
          <t>Shang pin fresh go sdn bhd</t>
        </is>
      </c>
      <c r="J682" t="inlineStr">
        <is>
          <t>Dolphin</t>
        </is>
      </c>
      <c r="K682" t="inlineStr">
        <is>
          <t>Lucas</t>
        </is>
      </c>
      <c r="L682" s="4"/>
      <c r="M682" s="4">
        <v>46129.64048611111</v>
      </c>
      <c r="N682"/>
      <c r="O682">
        <v>3888</v>
      </c>
      <c r="P682" s="4"/>
      <c r="Q682" s="4"/>
      <c r="R682"/>
      <c r="S682"/>
      <c r="T682" s="4"/>
      <c r="U682" s="4"/>
      <c r="V682"/>
      <c r="W682"/>
      <c r="X682"/>
      <c r="Y682" t="inlineStr">
        <is>
          <t>Pending Appointment</t>
        </is>
      </c>
      <c r="Z682" t="inlineStr">
        <is>
          <t>Hiring Now</t>
        </is>
      </c>
      <c r="AA682">
        <v>2</v>
      </c>
      <c r="AB682" t="inlineStr">
        <is>
          <t>No Appointment Made</t>
        </is>
      </c>
      <c r="AC682"/>
      <c r="AD682" t="inlineStr">
        <is>
          <t>1 store supervisor, 1 accountant</t>
        </is>
      </c>
      <c r="AE682"/>
      <c r="AF682">
        <v>0</v>
      </c>
      <c r="AG682" s="4"/>
      <c r="AH682" s="4"/>
      <c r="AI682">
        <v>0</v>
      </c>
      <c r="AJ682">
        <v>0</v>
      </c>
      <c r="AK682" t="inlineStr">
        <is>
          <t>No, I don't need at all</t>
        </is>
      </c>
      <c r="AL682">
        <v>0</v>
      </c>
      <c r="AM682" t="inlineStr">
        <is>
          <t>No, I don't need at all</t>
        </is>
      </c>
      <c r="AN682"/>
      <c r="AO682" t="inlineStr">
        <is>
          <t>No, I don't need at all</t>
        </is>
      </c>
      <c r="AP682" t="inlineStr">
        <is>
          <t>Once a year (25%)</t>
        </is>
      </c>
      <c r="AQ682">
        <v>2</v>
      </c>
      <c r="AR682" t="inlineStr">
        <is>
          <t>Did not use any job portal</t>
        </is>
      </c>
      <c r="AS682" t="inlineStr">
        <is>
          <t>- Headcount: 2
- Hiring Job Details: 1 store supervisor,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682">
        <v>105</v>
      </c>
      <c r="AU682" t="inlineStr">
        <is>
          <t>1.05</t>
        </is>
      </c>
      <c r="AV682" t="inlineStr">
        <is>
          <t>15</t>
        </is>
      </c>
      <c r="AW682" t="inlineStr">
        <is>
          <t>0</t>
        </is>
      </c>
      <c r="AX682" t="inlineStr">
        <is>
          <t>Not Qualified</t>
        </is>
      </c>
      <c r="AY682" s="4"/>
      <c r="AZ682"/>
      <c r="BA682"/>
      <c r="BB682"/>
      <c r="BC682"/>
      <c r="BD682" s="4"/>
      <c r="BE682"/>
      <c r="BF682"/>
      <c r="BG682" t="inlineStr">
        <is>
          <t>Reschedule</t>
        </is>
      </c>
      <c r="BH682" t="inlineStr">
        <is>
          <t>Yee Hang</t>
        </is>
      </c>
      <c r="BI682"/>
      <c r="BJ682" s="4">
        <v>46144.75585648148</v>
      </c>
      <c r="BK682" s="4">
        <v>46129.625972222224</v>
      </c>
      <c r="BL682" t="inlineStr">
        <is>
          <t>3888.0</t>
        </is>
      </c>
      <c r="BM682" t="inlineStr">
        <is>
          <t>0.0</t>
        </is>
      </c>
      <c r="BN682"/>
      <c r="BO682" s="4"/>
      <c r="BP682">
        <v>167644</v>
      </c>
      <c r="BQ682"/>
      <c r="BR682"/>
      <c r="BS682"/>
      <c r="BT682"/>
      <c r="BU682"/>
      <c r="BV682"/>
      <c r="BW682"/>
      <c r="BX682"/>
      <c r="BY682"/>
      <c r="BZ682" s="4"/>
      <c r="CA682"/>
      <c r="CB682"/>
      <c r="CC682" s="4"/>
      <c r="CD682" t="inlineStr">
        <is>
          <t>20</t>
        </is>
      </c>
      <c r="CE682" t="inlineStr">
        <is>
          <t>0</t>
        </is>
      </c>
      <c r="CF682" t="inlineStr">
        <is>
          <t>Q2-W03</t>
        </is>
      </c>
      <c r="CG682"/>
      <c r="CH682"/>
      <c r="CI682"/>
      <c r="CJ682" t="inlineStr">
        <is>
          <t>No Paid</t>
        </is>
      </c>
      <c r="CK682" t="inlineStr">
        <is>
          <t>Not Eligible</t>
        </is>
      </c>
      <c r="CL682"/>
      <c r="CM682"/>
    </row>
    <row r="683" ht="25.5" customHeight="1">
      <c r="A683" t="inlineStr">
        <is>
          <t>129057</t>
        </is>
      </c>
      <c r="B683" s="2"/>
      <c r="C683"/>
      <c r="D683" s="3">
        <v>46129.643541666665</v>
      </c>
      <c r="E683" t="inlineStr">
        <is>
          <t>Q2-W03</t>
        </is>
      </c>
      <c r="F683" t="inlineStr">
        <is>
          <t>Chia Yee</t>
        </is>
      </c>
      <c r="G683" t="inlineStr">
        <is>
          <t>Customer</t>
        </is>
      </c>
      <c r="H683" s="2" t="str">
        <f>=HYPERLINK("https://upbox.ajobthing.my/customer/129057", "https://upbox.ajobthing.my/customer/129057")</f>
        <v>https://upbox.ajobthing.my/customer/129057</v>
      </c>
      <c r="I683" t="inlineStr">
        <is>
          <t>In.d Solution Sdn. Bhd.</t>
        </is>
      </c>
      <c r="J683" t="inlineStr">
        <is>
          <t>Dolphin</t>
        </is>
      </c>
      <c r="K683" t="inlineStr">
        <is>
          <t>Chia Yee</t>
        </is>
      </c>
      <c r="L683" s="4"/>
      <c r="M683" s="4">
        <v>46129.6437037037</v>
      </c>
      <c r="N683"/>
      <c r="O683">
        <v>3672</v>
      </c>
      <c r="P683" s="4"/>
      <c r="Q683" s="4"/>
      <c r="R683"/>
      <c r="S683"/>
      <c r="T683" s="4"/>
      <c r="U683" s="4"/>
      <c r="V683"/>
      <c r="W683"/>
      <c r="X683"/>
      <c r="Y683" t="inlineStr">
        <is>
          <t>Pending Appointment</t>
        </is>
      </c>
      <c r="Z683" t="inlineStr">
        <is>
          <t>Hiring Now</t>
        </is>
      </c>
      <c r="AA683">
        <v>3</v>
      </c>
      <c r="AB683" t="inlineStr">
        <is>
          <t>No Appointment Made</t>
        </is>
      </c>
      <c r="AC683"/>
      <c r="AD683" t="inlineStr">
        <is>
          <t xml:space="preserve">1 Sales &amp; marketing (Female), 1 sales engineer, 1 Mechanical. </t>
        </is>
      </c>
      <c r="AE683"/>
      <c r="AF683">
        <v>0</v>
      </c>
      <c r="AG683" s="4"/>
      <c r="AH683" s="4"/>
      <c r="AI683">
        <v>0</v>
      </c>
      <c r="AJ683">
        <v>1</v>
      </c>
      <c r="AK683" t="inlineStr">
        <is>
          <t>No, I don't need at all</t>
        </is>
      </c>
      <c r="AL683">
        <v>1</v>
      </c>
      <c r="AM683" t="inlineStr">
        <is>
          <t>No, I don't need at all</t>
        </is>
      </c>
      <c r="AN683"/>
      <c r="AO683" t="inlineStr">
        <is>
          <t>No, I don't need at all</t>
        </is>
      </c>
      <c r="AP683" t="inlineStr">
        <is>
          <t>Once a year (25%)</t>
        </is>
      </c>
      <c r="AQ683">
        <v>3</v>
      </c>
      <c r="AR683" t="inlineStr">
        <is>
          <t>Did not use any job portal</t>
        </is>
      </c>
      <c r="AS683" t="inlineStr">
        <is>
          <t>- Headcount: 3
- Hiring Job Details: 1 Sales &amp; marketing (Female), 1 sales engineer, 1 Mechanical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is>
      </c>
      <c r="AT683">
        <v>105</v>
      </c>
      <c r="AU683" t="inlineStr">
        <is>
          <t>1.05</t>
        </is>
      </c>
      <c r="AV683" t="inlineStr">
        <is>
          <t>15</t>
        </is>
      </c>
      <c r="AW683" t="inlineStr">
        <is>
          <t>0</t>
        </is>
      </c>
      <c r="AX683" t="inlineStr">
        <is>
          <t>Not Qualified</t>
        </is>
      </c>
      <c r="AY683" s="4"/>
      <c r="AZ683"/>
      <c r="BA683"/>
      <c r="BB683"/>
      <c r="BC683" t="inlineStr">
        <is>
          <t>Replied:  position not urgent. can slow finding. Boss would not invest this money for now. If any , will find u</t>
        </is>
      </c>
      <c r="BD683" s="4">
        <v>46136.62515046296</v>
      </c>
      <c r="BE683"/>
      <c r="BF683"/>
      <c r="BG683" t="inlineStr">
        <is>
          <t>Reschedule</t>
        </is>
      </c>
      <c r="BH683" t="inlineStr">
        <is>
          <t>Reagen</t>
        </is>
      </c>
      <c r="BI683"/>
      <c r="BJ683" s="4">
        <v>46144.75042824074</v>
      </c>
      <c r="BK683" s="4">
        <v>44070.66862268518</v>
      </c>
      <c r="BL683" t="inlineStr">
        <is>
          <t>0.0</t>
        </is>
      </c>
      <c r="BM683" t="inlineStr">
        <is>
          <t>150.0</t>
        </is>
      </c>
      <c r="BN683" t="inlineStr">
        <is>
          <t>View Job Applicants Page</t>
        </is>
      </c>
      <c r="BO683" s="4">
        <v>44071.68748842592</v>
      </c>
      <c r="BP683">
        <v>167647</v>
      </c>
      <c r="BQ683"/>
      <c r="BR683"/>
      <c r="BS683"/>
      <c r="BT683"/>
      <c r="BU683"/>
      <c r="BV683">
        <v>2726628</v>
      </c>
      <c r="BW683" t="inlineStr">
        <is>
          <t>Follow Up : Budget Concern</t>
        </is>
      </c>
      <c r="BX683"/>
      <c r="BY683"/>
      <c r="BZ683" s="4"/>
      <c r="CA683"/>
      <c r="CB683"/>
      <c r="CC683" s="4"/>
      <c r="CD683" t="inlineStr">
        <is>
          <t>20</t>
        </is>
      </c>
      <c r="CE683" t="inlineStr">
        <is>
          <t>0</t>
        </is>
      </c>
      <c r="CF683" t="inlineStr">
        <is>
          <t>Q2-W03</t>
        </is>
      </c>
      <c r="CG683"/>
      <c r="CH683"/>
      <c r="CI683"/>
      <c r="CJ683" t="inlineStr">
        <is>
          <t>No Paid</t>
        </is>
      </c>
      <c r="CK683" t="inlineStr">
        <is>
          <t>Not Eligible</t>
        </is>
      </c>
      <c r="CL683"/>
      <c r="CM683"/>
    </row>
    <row r="684" ht="25.5" customHeight="1">
      <c r="A684" t="inlineStr">
        <is>
          <t>176313</t>
        </is>
      </c>
      <c r="B684" s="2"/>
      <c r="C684"/>
      <c r="D684" s="3">
        <v>46129.64524305556</v>
      </c>
      <c r="E684" t="inlineStr">
        <is>
          <t>Q2-W03</t>
        </is>
      </c>
      <c r="F684" t="inlineStr">
        <is>
          <t>andy@ajobthing.com</t>
        </is>
      </c>
      <c r="G684" t="inlineStr">
        <is>
          <t>Customer</t>
        </is>
      </c>
      <c r="H684" s="2" t="str">
        <f>=HYPERLINK("https://upbox.ajobthing.my/customer/176313", "https://upbox.ajobthing.my/customer/176313")</f>
        <v>https://upbox.ajobthing.my/customer/176313</v>
      </c>
      <c r="I684" t="inlineStr">
        <is>
          <t>Agensi Pekerjaan Business Edge Personnel Services Sdn Bhd</t>
        </is>
      </c>
      <c r="J684" t="inlineStr">
        <is>
          <t>Dolphin</t>
        </is>
      </c>
      <c r="K684" t="inlineStr">
        <is>
          <t>Andy</t>
        </is>
      </c>
      <c r="L684" s="4"/>
      <c r="M684" s="4">
        <v>46129.70642361111</v>
      </c>
      <c r="N684"/>
      <c r="O684">
        <v>3456</v>
      </c>
      <c r="P684" s="4"/>
      <c r="Q684" s="4">
        <v>46129.40038194445</v>
      </c>
      <c r="R684"/>
      <c r="S684">
        <v>0</v>
      </c>
      <c r="T684" s="4">
        <v>45365.00001157408</v>
      </c>
      <c r="U684" s="4"/>
      <c r="V684"/>
      <c r="W684">
        <v>2916</v>
      </c>
      <c r="X684" t="inlineStr">
        <is>
          <t>andy@ajobthing.com</t>
        </is>
      </c>
      <c r="Y684" t="inlineStr">
        <is>
          <t>Pending Appointment</t>
        </is>
      </c>
      <c r="Z684" t="inlineStr">
        <is>
          <t>Continuous Hiring</t>
        </is>
      </c>
      <c r="AA684">
        <v>3</v>
      </c>
      <c r="AB684" t="inlineStr">
        <is>
          <t>Appointment Made</t>
        </is>
      </c>
      <c r="AC684" t="inlineStr">
        <is>
          <t>SME (&lt;50 employees)</t>
        </is>
      </c>
      <c r="AD684" t="inlineStr">
        <is>
          <t>kitchen crew, superisor , warehouse assistant</t>
        </is>
      </c>
      <c r="AE684" t="inlineStr">
        <is>
          <t>HR Manager / Talent Manager</t>
        </is>
      </c>
      <c r="AF684">
        <v>10000</v>
      </c>
      <c r="AG684" s="4">
        <v>46129.604166666664</v>
      </c>
      <c r="AH684" s="4">
        <v>46129.625</v>
      </c>
      <c r="AI684">
        <v>10000</v>
      </c>
      <c r="AJ684">
        <v>2</v>
      </c>
      <c r="AK684" t="inlineStr">
        <is>
          <t>Yes, I have</t>
        </is>
      </c>
      <c r="AL684">
        <v>10</v>
      </c>
      <c r="AM684" t="inlineStr">
        <is>
          <t>No, I don't need at all</t>
        </is>
      </c>
      <c r="AN684"/>
      <c r="AO684" t="inlineStr">
        <is>
          <t>Yes, I have</t>
        </is>
      </c>
      <c r="AP684" t="inlineStr">
        <is>
          <t>Every month (100%)</t>
        </is>
      </c>
      <c r="AQ684">
        <v>300</v>
      </c>
      <c r="AR684" t="inlineStr">
        <is>
          <t>Jobstreet</t>
        </is>
      </c>
      <c r="AS684" t="inlineStr">
        <is>
          <t>- Headcount: 3
- Hiring Job Details: kitchen crew, supervisor, warehouse assistant
- Hiring Urgency: Continuous Hiring
- Number of outlets: 2
- Have recruiter team: Yes
- Number of recruiter in company: 10
- Have ATS system: No, I don't need at all
- Have career website: Yes
- Current hiring budget: RM10,000
- Whole year budget: RM10,000.00
- Whole year number of vacancies: 300
- Hiring frequency: Every month (100%)
- External job portal: Jobstreet</t>
        </is>
      </c>
      <c r="AT684">
        <v>95</v>
      </c>
      <c r="AU684" t="inlineStr">
        <is>
          <t>0.95</t>
        </is>
      </c>
      <c r="AV684" t="inlineStr">
        <is>
          <t>30</t>
        </is>
      </c>
      <c r="AW684" t="inlineStr">
        <is>
          <t>0</t>
        </is>
      </c>
      <c r="AX684" t="inlineStr">
        <is>
          <t>Not Qualified</t>
        </is>
      </c>
      <c r="AY684" s="4"/>
      <c r="AZ684"/>
      <c r="BA684"/>
      <c r="BB684"/>
      <c r="BC684" t="inlineStr">
        <is>
          <t>- Headcount: 3
- Hiring Job Details: kitchen crew, supervisor, warehouse assistant
- Hiring Urgency: Continuous Hiring
- Number of outlets: 2
- Have recruiter team: Yes
- Number of recruiter in company: 10
- Have ATS system: No, I don't need at all
- Have career website: Yes
- Current hiring budget: RM10,000
- Whole year budget: RM10,000.00
- Whole year number of vacancies: 300
- Hiring frequency: Every month (100%)
- External job portal: Jobstreet</t>
        </is>
      </c>
      <c r="BD684" s="4">
        <v>46129.666817129626</v>
      </c>
      <c r="BE684" t="inlineStr">
        <is>
          <t>paid</t>
        </is>
      </c>
      <c r="BF684"/>
      <c r="BG684" t="inlineStr">
        <is>
          <t>Reschedule</t>
        </is>
      </c>
      <c r="BH684"/>
      <c r="BI684" t="inlineStr">
        <is>
          <t>HR Mgmt / Consulting</t>
        </is>
      </c>
      <c r="BJ684" s="4">
        <v>46144.75163194445</v>
      </c>
      <c r="BK684" s="4">
        <v>45363.63130787037</v>
      </c>
      <c r="BL684" t="inlineStr">
        <is>
          <t>0.0</t>
        </is>
      </c>
      <c r="BM684" t="inlineStr">
        <is>
          <t>1800.0</t>
        </is>
      </c>
      <c r="BN684" t="inlineStr">
        <is>
          <t>View Company Page</t>
        </is>
      </c>
      <c r="BO684" s="4">
        <v>46142.69568287037</v>
      </c>
      <c r="BP684">
        <v>167688</v>
      </c>
      <c r="BQ684">
        <v>123031</v>
      </c>
      <c r="BR684" t="inlineStr">
        <is>
          <t>Proforma</t>
        </is>
      </c>
      <c r="BS684" t="inlineStr">
        <is>
          <t>Job Ad 365 - SME 100 Free Trial</t>
        </is>
      </c>
      <c r="BT684">
        <v>66901</v>
      </c>
      <c r="BU684"/>
      <c r="BV684">
        <v>2712647</v>
      </c>
      <c r="BW684" t="inlineStr">
        <is>
          <t>Customer Inquiry</t>
        </is>
      </c>
      <c r="BX684">
        <v>300</v>
      </c>
      <c r="BY684">
        <v>291</v>
      </c>
      <c r="BZ684" s="4">
        <v>46141.419120370374</v>
      </c>
      <c r="CA684"/>
      <c r="CB684"/>
      <c r="CC684" s="4"/>
      <c r="CD684" t="inlineStr">
        <is>
          <t>40</t>
        </is>
      </c>
      <c r="CE684" t="inlineStr">
        <is>
          <t>0</t>
        </is>
      </c>
      <c r="CF684" t="inlineStr">
        <is>
          <t>Q2-W03</t>
        </is>
      </c>
      <c r="CG684" t="inlineStr">
        <is>
          <t>Q2-W03</t>
        </is>
      </c>
      <c r="CH684"/>
      <c r="CI684"/>
      <c r="CJ684" t="inlineStr">
        <is>
          <t>Paid</t>
        </is>
      </c>
      <c r="CK684" t="inlineStr">
        <is>
          <t>Not Eligible</t>
        </is>
      </c>
      <c r="CL684"/>
      <c r="CM684"/>
    </row>
    <row r="685" ht="25.5" customHeight="1">
      <c r="A685" t="inlineStr">
        <is>
          <t>203051</t>
        </is>
      </c>
      <c r="B685" s="2"/>
      <c r="C685"/>
      <c r="D685" s="3">
        <v>46129.64734953704</v>
      </c>
      <c r="E685" t="inlineStr">
        <is>
          <t>Q2-W03</t>
        </is>
      </c>
      <c r="F685" t="inlineStr">
        <is>
          <t>Jia Hui</t>
        </is>
      </c>
      <c r="G685" t="inlineStr">
        <is>
          <t>Customer</t>
        </is>
      </c>
      <c r="H685" s="2" t="str">
        <f>=HYPERLINK("https://upbox.ajobthing.my/customer/203051", "https://upbox.ajobthing.my/customer/203051")</f>
        <v>https://upbox.ajobthing.my/customer/203051</v>
      </c>
      <c r="I685" t="inlineStr">
        <is>
          <t>Prinstone Language Center</t>
        </is>
      </c>
      <c r="J685" t="inlineStr">
        <is>
          <t>Dolphin</t>
        </is>
      </c>
      <c r="K685" t="inlineStr">
        <is>
          <t>Jia Hui</t>
        </is>
      </c>
      <c r="L685" s="4"/>
      <c r="M685" s="4">
        <v>46121.61991898148</v>
      </c>
      <c r="N685"/>
      <c r="O685">
        <v>3888</v>
      </c>
      <c r="P685" s="4"/>
      <c r="Q685" s="4">
        <v>46121.62670138889</v>
      </c>
      <c r="R685"/>
      <c r="S685">
        <v>0</v>
      </c>
      <c r="T685" s="4"/>
      <c r="U685" s="4"/>
      <c r="V685"/>
      <c r="W685"/>
      <c r="X685"/>
      <c r="Y685" t="inlineStr">
        <is>
          <t>Pending Appointment</t>
        </is>
      </c>
      <c r="Z685" t="inlineStr">
        <is>
          <t>Hiring Now</t>
        </is>
      </c>
      <c r="AA685">
        <v>2</v>
      </c>
      <c r="AB685" t="inlineStr">
        <is>
          <t>No Appointment Made</t>
        </is>
      </c>
      <c r="AC685"/>
      <c r="AD685" t="inlineStr">
        <is>
          <t>1 admin, 1 english teacher</t>
        </is>
      </c>
      <c r="AE685"/>
      <c r="AF685">
        <v>500</v>
      </c>
      <c r="AG685" s="4"/>
      <c r="AH685" s="4"/>
      <c r="AI685"/>
      <c r="AJ685"/>
      <c r="AK685" t="inlineStr">
        <is>
          <t>Yes, I have</t>
        </is>
      </c>
      <c r="AL685"/>
      <c r="AM685"/>
      <c r="AN685"/>
      <c r="AO685"/>
      <c r="AP685" t="inlineStr">
        <is>
          <t>Once a year (25%)</t>
        </is>
      </c>
      <c r="AQ685"/>
      <c r="AR685"/>
      <c r="AS685" t="inlineStr">
        <is>
          <t>- Headcount: 2
- Hiring Job Details: 1 admin, 1 english teacher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685">
        <v>95</v>
      </c>
      <c r="AU685" t="inlineStr">
        <is>
          <t>0.95</t>
        </is>
      </c>
      <c r="AV685" t="inlineStr">
        <is>
          <t>15</t>
        </is>
      </c>
      <c r="AW685" t="inlineStr">
        <is>
          <t>0</t>
        </is>
      </c>
      <c r="AX685" t="inlineStr">
        <is>
          <t>Not Qualified</t>
        </is>
      </c>
      <c r="AY685" s="4"/>
      <c r="AZ685"/>
      <c r="BA685"/>
      <c r="BB685"/>
      <c r="BC685" t="inlineStr">
        <is>
          <t>no hiring at the moment, plan to publish job ads on June, will f/up end of May</t>
        </is>
      </c>
      <c r="BD685" s="4">
        <v>46142.63792824074</v>
      </c>
      <c r="BE685" t="inlineStr">
        <is>
          <t>paid</t>
        </is>
      </c>
      <c r="BF685"/>
      <c r="BG685" t="inlineStr">
        <is>
          <t>Reschedule</t>
        </is>
      </c>
      <c r="BH685" t="inlineStr">
        <is>
          <t>Reagen</t>
        </is>
      </c>
      <c r="BI685" t="inlineStr">
        <is>
          <t>Education / Training</t>
        </is>
      </c>
      <c r="BJ685" s="4">
        <v>46144.75418981481</v>
      </c>
      <c r="BK685" s="4">
        <v>46121.60800925926</v>
      </c>
      <c r="BL685" t="inlineStr">
        <is>
          <t>0.0</t>
        </is>
      </c>
      <c r="BM685" t="inlineStr">
        <is>
          <t>1800.0</t>
        </is>
      </c>
      <c r="BN685" t="inlineStr">
        <is>
          <t>User Visit(Logged In)</t>
        </is>
      </c>
      <c r="BO685" s="4">
        <v>46122.68405092593</v>
      </c>
      <c r="BP685">
        <v>166218</v>
      </c>
      <c r="BQ685">
        <v>121360</v>
      </c>
      <c r="BR685" t="inlineStr">
        <is>
          <t>Proforma</t>
        </is>
      </c>
      <c r="BS685" t="inlineStr">
        <is>
          <t>Free Internship Job</t>
        </is>
      </c>
      <c r="BT685"/>
      <c r="BU685"/>
      <c r="BV685">
        <v>2737930</v>
      </c>
      <c r="BW685" t="inlineStr">
        <is>
          <t>Inquire for Hiring Needs : No Hiring</t>
        </is>
      </c>
      <c r="BX685"/>
      <c r="BY685"/>
      <c r="BZ685" s="4"/>
      <c r="CA685"/>
      <c r="CB685"/>
      <c r="CC685" s="4"/>
      <c r="CD685" t="inlineStr">
        <is>
          <t>20</t>
        </is>
      </c>
      <c r="CE685" t="inlineStr">
        <is>
          <t>0</t>
        </is>
      </c>
      <c r="CF685" t="inlineStr">
        <is>
          <t>Q2-W01</t>
        </is>
      </c>
      <c r="CG685" t="inlineStr">
        <is>
          <t>Q2-W01</t>
        </is>
      </c>
      <c r="CH685"/>
      <c r="CI685"/>
      <c r="CJ685" t="inlineStr">
        <is>
          <t>No Paid</t>
        </is>
      </c>
      <c r="CK685" t="inlineStr">
        <is>
          <t>Not Eligible</t>
        </is>
      </c>
      <c r="CL685"/>
      <c r="CM685"/>
    </row>
    <row r="686" ht="25.5" customHeight="1">
      <c r="A686" t="inlineStr">
        <is>
          <t>166164</t>
        </is>
      </c>
      <c r="B686" s="2"/>
      <c r="C686"/>
      <c r="D686" s="3">
        <v>46129.67236111111</v>
      </c>
      <c r="E686" t="inlineStr">
        <is>
          <t>Q2-W03</t>
        </is>
      </c>
      <c r="F686" t="inlineStr">
        <is>
          <t>Jia Hui</t>
        </is>
      </c>
      <c r="G686" t="inlineStr">
        <is>
          <t>Customer</t>
        </is>
      </c>
      <c r="H686" s="2" t="str">
        <f>=HYPERLINK("https://upbox.ajobthing.my/customer/166164", "https://upbox.ajobthing.my/customer/166164")</f>
        <v>https://upbox.ajobthing.my/customer/166164</v>
      </c>
      <c r="I686" t="inlineStr">
        <is>
          <t>Parakota (M) Sdn Bhd</t>
        </is>
      </c>
      <c r="J686" t="inlineStr">
        <is>
          <t>Dolphin</t>
        </is>
      </c>
      <c r="K686" t="inlineStr">
        <is>
          <t>Jia Hui</t>
        </is>
      </c>
      <c r="L686" s="4"/>
      <c r="M686" s="4">
        <v>46129.686064814814</v>
      </c>
      <c r="N686"/>
      <c r="O686">
        <v>864</v>
      </c>
      <c r="P686" s="4"/>
      <c r="Q686" s="4">
        <v>46129.81890046296</v>
      </c>
      <c r="R686"/>
      <c r="S686">
        <v>864</v>
      </c>
      <c r="T686" s="4">
        <v>46129.81890046296</v>
      </c>
      <c r="U686" s="4"/>
      <c r="V686"/>
      <c r="W686">
        <v>864</v>
      </c>
      <c r="X686"/>
      <c r="Y686" t="inlineStr">
        <is>
          <t>Pending Appointment</t>
        </is>
      </c>
      <c r="Z686" t="inlineStr">
        <is>
          <t>Hiring Now</t>
        </is>
      </c>
      <c r="AA686">
        <v>1</v>
      </c>
      <c r="AB686" t="inlineStr">
        <is>
          <t>No Appointment Made</t>
        </is>
      </c>
      <c r="AC686"/>
      <c r="AD686" t="inlineStr">
        <is>
          <t>1 admin</t>
        </is>
      </c>
      <c r="AE686"/>
      <c r="AF686">
        <v>500</v>
      </c>
      <c r="AG686" s="4"/>
      <c r="AH686" s="4"/>
      <c r="AI686"/>
      <c r="AJ686"/>
      <c r="AK686" t="inlineStr">
        <is>
          <t>No, but I want in future</t>
        </is>
      </c>
      <c r="AL686"/>
      <c r="AM686"/>
      <c r="AN686"/>
      <c r="AO686"/>
      <c r="AP686" t="inlineStr">
        <is>
          <t>Once a year (25%)</t>
        </is>
      </c>
      <c r="AQ686"/>
      <c r="AR686"/>
      <c r="AS686" t="inlineStr">
        <is>
          <t>- Headcount: 1
- Hiring Job Details: 1 admin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686">
        <v>75</v>
      </c>
      <c r="AU686" t="inlineStr">
        <is>
          <t>0.75</t>
        </is>
      </c>
      <c r="AV686" t="inlineStr">
        <is>
          <t>15</t>
        </is>
      </c>
      <c r="AW686" t="inlineStr">
        <is>
          <t>0</t>
        </is>
      </c>
      <c r="AX686" t="inlineStr">
        <is>
          <t>Not Qualified</t>
        </is>
      </c>
      <c r="AY686" s="4"/>
      <c r="AZ686"/>
      <c r="BA686"/>
      <c r="BB686"/>
      <c r="BC686" t="inlineStr">
        <is>
          <t>less applicant, help to bump up the job ads, salary too low, only 1.7k, boss not willing to increase the salary range</t>
        </is>
      </c>
      <c r="BD686" s="4">
        <v>46141.42155092592</v>
      </c>
      <c r="BE686" t="inlineStr">
        <is>
          <t>paid</t>
        </is>
      </c>
      <c r="BF686" t="inlineStr">
        <is>
          <t>Q2-W03</t>
        </is>
      </c>
      <c r="BG686" t="inlineStr">
        <is>
          <t>Reschedule</t>
        </is>
      </c>
      <c r="BH686" t="inlineStr">
        <is>
          <t>Reagen</t>
        </is>
      </c>
      <c r="BI686" t="inlineStr">
        <is>
          <t>Hotel / Hospitality</t>
        </is>
      </c>
      <c r="BJ686" s="4">
        <v>46144.751296296294</v>
      </c>
      <c r="BK686" s="4">
        <v>45027.59193287037</v>
      </c>
      <c r="BL686" t="inlineStr">
        <is>
          <t>864.0</t>
        </is>
      </c>
      <c r="BM686" t="inlineStr">
        <is>
          <t>0.0</t>
        </is>
      </c>
      <c r="BN686" t="inlineStr">
        <is>
          <t>User Visit(Logged In)</t>
        </is>
      </c>
      <c r="BO686" s="4">
        <v>46141.42128472222</v>
      </c>
      <c r="BP686">
        <v>167674</v>
      </c>
      <c r="BQ686">
        <v>94152</v>
      </c>
      <c r="BR686" t="inlineStr">
        <is>
          <t>Online</t>
        </is>
      </c>
      <c r="BS686"/>
      <c r="BT686">
        <v>94152</v>
      </c>
      <c r="BU686"/>
      <c r="BV686">
        <v>2734300</v>
      </c>
      <c r="BW686" t="inlineStr">
        <is>
          <t>Service / Technical : Job Outcome Enquiry</t>
        </is>
      </c>
      <c r="BX686">
        <v>1</v>
      </c>
      <c r="BY686">
        <v>0</v>
      </c>
      <c r="BZ686" s="4">
        <v>46132.65451388889</v>
      </c>
      <c r="CA686">
        <v>10</v>
      </c>
      <c r="CB686">
        <v>10</v>
      </c>
      <c r="CC686" s="4"/>
      <c r="CD686" t="inlineStr">
        <is>
          <t>20</t>
        </is>
      </c>
      <c r="CE686" t="inlineStr">
        <is>
          <t>0</t>
        </is>
      </c>
      <c r="CF686" t="inlineStr">
        <is>
          <t>Q2-W03</t>
        </is>
      </c>
      <c r="CG686" t="inlineStr">
        <is>
          <t>Q2-W03</t>
        </is>
      </c>
      <c r="CH686" t="inlineStr">
        <is>
          <t>Q2-W03</t>
        </is>
      </c>
      <c r="CI686"/>
      <c r="CJ686" t="inlineStr">
        <is>
          <t>Paid</t>
        </is>
      </c>
      <c r="CK686" t="inlineStr">
        <is>
          <t>Not Eligible</t>
        </is>
      </c>
      <c r="CL686"/>
      <c r="CM686"/>
    </row>
    <row r="687" ht="25.5" customHeight="1">
      <c r="A687" t="inlineStr">
        <is>
          <t>203362</t>
        </is>
      </c>
      <c r="B687" s="2"/>
      <c r="C687"/>
      <c r="D687" s="3">
        <v>46129.675462962965</v>
      </c>
      <c r="E687" t="inlineStr">
        <is>
          <t>Q2-W03</t>
        </is>
      </c>
      <c r="F687" t="inlineStr">
        <is>
          <t>Jia Hui</t>
        </is>
      </c>
      <c r="G687" t="inlineStr">
        <is>
          <t>Customer</t>
        </is>
      </c>
      <c r="H687" s="2" t="str">
        <f>=HYPERLINK("https://upbox.ajobthing.my/customer/203362", "https://upbox.ajobthing.my/customer/203362")</f>
        <v>https://upbox.ajobthing.my/customer/203362</v>
      </c>
      <c r="I687" t="inlineStr">
        <is>
          <t>Kiat &amp; Associates PLT</t>
        </is>
      </c>
      <c r="J687" t="inlineStr">
        <is>
          <t>Dolphin</t>
        </is>
      </c>
      <c r="K687" t="inlineStr">
        <is>
          <t>Jia Hui</t>
        </is>
      </c>
      <c r="L687" s="4"/>
      <c r="M687" s="4">
        <v>46129.675532407404</v>
      </c>
      <c r="N687"/>
      <c r="O687">
        <v>3888</v>
      </c>
      <c r="P687" s="4"/>
      <c r="Q687" s="4">
        <v>46142.72273148148</v>
      </c>
      <c r="R687"/>
      <c r="S687">
        <v>1296</v>
      </c>
      <c r="T687" s="4">
        <v>46142.72273148148</v>
      </c>
      <c r="U687" s="4"/>
      <c r="V687"/>
      <c r="W687">
        <v>1296</v>
      </c>
      <c r="X687"/>
      <c r="Y687" t="inlineStr">
        <is>
          <t>Pending Appointment</t>
        </is>
      </c>
      <c r="Z687" t="inlineStr">
        <is>
          <t>Hiring Now</t>
        </is>
      </c>
      <c r="AA687">
        <v>2</v>
      </c>
      <c r="AB687" t="inlineStr">
        <is>
          <t>No Appointment Made</t>
        </is>
      </c>
      <c r="AC687"/>
      <c r="AD687" t="inlineStr">
        <is>
          <t>2 audit senior</t>
        </is>
      </c>
      <c r="AE687"/>
      <c r="AF687">
        <v>500</v>
      </c>
      <c r="AG687" s="4"/>
      <c r="AH687" s="4"/>
      <c r="AI687"/>
      <c r="AJ687"/>
      <c r="AK687" t="inlineStr">
        <is>
          <t>Yes, I have</t>
        </is>
      </c>
      <c r="AL687"/>
      <c r="AM687"/>
      <c r="AN687"/>
      <c r="AO687"/>
      <c r="AP687" t="inlineStr">
        <is>
          <t>Once a year (25%)</t>
        </is>
      </c>
      <c r="AQ687"/>
      <c r="AR687"/>
      <c r="AS687" t="inlineStr">
        <is>
          <t>- Headcount: 2
- Hiring Job Details: 2 audit senior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is>
      </c>
      <c r="AT687">
        <v>95</v>
      </c>
      <c r="AU687" t="inlineStr">
        <is>
          <t>0.95</t>
        </is>
      </c>
      <c r="AV687" t="inlineStr">
        <is>
          <t>15</t>
        </is>
      </c>
      <c r="AW687" t="inlineStr">
        <is>
          <t>0</t>
        </is>
      </c>
      <c r="AX687" t="inlineStr">
        <is>
          <t>Not Qualified</t>
        </is>
      </c>
      <c r="AY687" s="4"/>
      <c r="AZ687"/>
      <c r="BA687"/>
      <c r="BB687"/>
      <c r="BC687" t="inlineStr">
        <is>
          <t>customer paid</t>
        </is>
      </c>
      <c r="BD687" s="4">
        <v>46142.66347222222</v>
      </c>
      <c r="BE687" t="inlineStr">
        <is>
          <t>paid</t>
        </is>
      </c>
      <c r="BF687" t="inlineStr">
        <is>
          <t>Q2-W04</t>
        </is>
      </c>
      <c r="BG687" t="inlineStr">
        <is>
          <t>Reschedule</t>
        </is>
      </c>
      <c r="BH687" t="inlineStr">
        <is>
          <t>Reagen</t>
        </is>
      </c>
      <c r="BI687"/>
      <c r="BJ687" s="4">
        <v>46144.754282407404</v>
      </c>
      <c r="BK687" s="4">
        <v>46129.66479166667</v>
      </c>
      <c r="BL687" t="inlineStr">
        <is>
          <t>1296.0</t>
        </is>
      </c>
      <c r="BM687" t="inlineStr">
        <is>
          <t>0.0</t>
        </is>
      </c>
      <c r="BN687"/>
      <c r="BO687" s="4"/>
      <c r="BP687">
        <v>167669</v>
      </c>
      <c r="BQ687">
        <v>95219</v>
      </c>
      <c r="BR687" t="inlineStr">
        <is>
          <t>Online</t>
        </is>
      </c>
      <c r="BS687"/>
      <c r="BT687">
        <v>95219</v>
      </c>
      <c r="BU687"/>
      <c r="BV687">
        <v>2738063</v>
      </c>
      <c r="BW687" t="inlineStr">
        <is>
          <t>Follow Up : Win - Customer Paid</t>
        </is>
      </c>
      <c r="BX687">
        <v>1</v>
      </c>
      <c r="BY687">
        <v>1</v>
      </c>
      <c r="BZ687" s="4"/>
      <c r="CA687"/>
      <c r="CB687"/>
      <c r="CC687" s="4"/>
      <c r="CD687" t="inlineStr">
        <is>
          <t>20</t>
        </is>
      </c>
      <c r="CE687" t="inlineStr">
        <is>
          <t>0</t>
        </is>
      </c>
      <c r="CF687" t="inlineStr">
        <is>
          <t>Q2-W03</t>
        </is>
      </c>
      <c r="CG687" t="inlineStr">
        <is>
          <t>Q2-W04</t>
        </is>
      </c>
      <c r="CH687" t="inlineStr">
        <is>
          <t>Q2-W04</t>
        </is>
      </c>
      <c r="CI687"/>
      <c r="CJ687" t="inlineStr">
        <is>
          <t>Paid</t>
        </is>
      </c>
      <c r="CK687" t="inlineStr">
        <is>
          <t>Not Eligible</t>
        </is>
      </c>
      <c r="CL687"/>
      <c r="CM687"/>
    </row>
    <row r="688" ht="25.5" customHeight="1">
      <c r="A688" t="inlineStr">
        <is>
          <t>203364</t>
        </is>
      </c>
      <c r="B688" s="2"/>
      <c r="C688"/>
      <c r="D688" s="3">
        <v>46129.709641203706</v>
      </c>
      <c r="E688" t="inlineStr">
        <is>
          <t>Q2-W03</t>
        </is>
      </c>
      <c r="F688" t="inlineStr">
        <is>
          <t>Jess</t>
        </is>
      </c>
      <c r="G688" t="inlineStr">
        <is>
          <t>Customer</t>
        </is>
      </c>
      <c r="H688" s="2" t="str">
        <f>=HYPERLINK("https://upbox.ajobthing.my/customer/203364", "https://upbox.ajobthing.my/customer/203364")</f>
        <v>https://upbox.ajobthing.my/customer/203364</v>
      </c>
      <c r="I688" t="inlineStr">
        <is>
          <t>Kejuruteraan Lhe Sdn Bhd</t>
        </is>
      </c>
      <c r="J688" t="inlineStr">
        <is>
          <t>Dolphin</t>
        </is>
      </c>
      <c r="K688" t="inlineStr">
        <is>
          <t>Jess Lim</t>
        </is>
      </c>
      <c r="L688" s="4"/>
      <c r="M688" s="4">
        <v>46129.71013888889</v>
      </c>
      <c r="N688"/>
      <c r="O688">
        <v>3888</v>
      </c>
      <c r="P688" s="4"/>
      <c r="Q688" s="4">
        <v>46134.45171296296</v>
      </c>
      <c r="R688"/>
      <c r="S688">
        <v>864</v>
      </c>
      <c r="T688" s="4">
        <v>46134.45171296296</v>
      </c>
      <c r="U688" s="4"/>
      <c r="V688"/>
      <c r="W688">
        <v>864</v>
      </c>
      <c r="X688"/>
      <c r="Y688" t="inlineStr">
        <is>
          <t>Pending Appointment</t>
        </is>
      </c>
      <c r="Z688" t="inlineStr">
        <is>
          <t>Hiring Now</t>
        </is>
      </c>
      <c r="AA688">
        <v>1</v>
      </c>
      <c r="AB688" t="inlineStr">
        <is>
          <t>No Appointment Made</t>
        </is>
      </c>
      <c r="AC688"/>
      <c r="AD688" t="inlineStr">
        <is>
          <t xml:space="preserve">project manager </t>
        </is>
      </c>
      <c r="AE688"/>
      <c r="AF688">
        <v>800</v>
      </c>
      <c r="AG688" s="4"/>
      <c r="AH688" s="4"/>
      <c r="AI688"/>
      <c r="AJ688">
        <v>1</v>
      </c>
      <c r="AK688" t="inlineStr">
        <is>
          <t>No, I don't need at all</t>
        </is>
      </c>
      <c r="AL688">
        <v>1</v>
      </c>
      <c r="AM688" t="inlineStr">
        <is>
          <t>No, I don't need at all</t>
        </is>
      </c>
      <c r="AN688"/>
      <c r="AO688" t="inlineStr">
        <is>
          <t>No, I don't need at all</t>
        </is>
      </c>
      <c r="AP688" t="inlineStr">
        <is>
          <t>Once a year (25%)</t>
        </is>
      </c>
      <c r="AQ688"/>
      <c r="AR688" t="inlineStr">
        <is>
          <t>Jobstreet</t>
        </is>
      </c>
      <c r="AS688" t="inlineStr">
        <is>
          <t>- Headcount: 1
- Hiring Job Details: 1 project manager
- Hiring Urgency: Hiring Now
- Number of outlets: 1
- Have recruiter team: No, I don't need at all
- Number of recruiter in company: 1
- Have ATS system: No, I don't need at all
- Have career website: No, I don't need at all
- Current hiring budget: RM800.00
- Whole year budget: Not specified
- Whole year number of vacancies: Not specified
- Hiring frequency: Once a year (25%)
- External job portal: Jobstreet</t>
        </is>
      </c>
      <c r="AT688">
        <v>105</v>
      </c>
      <c r="AU688" t="inlineStr">
        <is>
          <t>1.05</t>
        </is>
      </c>
      <c r="AV688" t="inlineStr">
        <is>
          <t>15</t>
        </is>
      </c>
      <c r="AW688" t="inlineStr">
        <is>
          <t>0</t>
        </is>
      </c>
      <c r="AX688" t="inlineStr">
        <is>
          <t>Not Qualified</t>
        </is>
      </c>
      <c r="AY688" s="4"/>
      <c r="AZ688"/>
      <c r="BA688"/>
      <c r="BB688"/>
      <c r="BC688" t="inlineStr">
        <is>
          <t>bad job outcome result , salary hide</t>
        </is>
      </c>
      <c r="BD688" s="4">
        <v>46142.688414351855</v>
      </c>
      <c r="BE688" t="inlineStr">
        <is>
          <t>paid</t>
        </is>
      </c>
      <c r="BF688" t="inlineStr">
        <is>
          <t>Q2-W03</t>
        </is>
      </c>
      <c r="BG688" t="inlineStr">
        <is>
          <t>Reschedule</t>
        </is>
      </c>
      <c r="BH688" t="inlineStr">
        <is>
          <t>Fauziah Maharan</t>
        </is>
      </c>
      <c r="BI688" t="inlineStr">
        <is>
          <t>Electrical / Electronics</t>
        </is>
      </c>
      <c r="BJ688" s="4">
        <v>46144.754282407404</v>
      </c>
      <c r="BK688" s="4">
        <v>46129.66793981481</v>
      </c>
      <c r="BL688" t="inlineStr">
        <is>
          <t>864.0</t>
        </is>
      </c>
      <c r="BM688" t="inlineStr">
        <is>
          <t>600.0</t>
        </is>
      </c>
      <c r="BN688" t="inlineStr">
        <is>
          <t>View Company Page</t>
        </is>
      </c>
      <c r="BO688" s="4">
        <v>46142.75376157407</v>
      </c>
      <c r="BP688">
        <v>167690</v>
      </c>
      <c r="BQ688">
        <v>94584</v>
      </c>
      <c r="BR688" t="inlineStr">
        <is>
          <t>Online</t>
        </is>
      </c>
      <c r="BS688"/>
      <c r="BT688">
        <v>94584</v>
      </c>
      <c r="BU688"/>
      <c r="BV688">
        <v>2738195</v>
      </c>
      <c r="BW688" t="inlineStr">
        <is>
          <t>Service / Technical : Job Outcome Enquiry</t>
        </is>
      </c>
      <c r="BX688">
        <v>1</v>
      </c>
      <c r="BY688">
        <v>0</v>
      </c>
      <c r="BZ688" s="4">
        <v>46134.50356481481</v>
      </c>
      <c r="CA688">
        <v>10</v>
      </c>
      <c r="CB688">
        <v>10</v>
      </c>
      <c r="CC688" s="4"/>
      <c r="CD688" t="inlineStr">
        <is>
          <t>20</t>
        </is>
      </c>
      <c r="CE688" t="inlineStr">
        <is>
          <t>0</t>
        </is>
      </c>
      <c r="CF688" t="inlineStr">
        <is>
          <t>Q2-W03</t>
        </is>
      </c>
      <c r="CG688" t="inlineStr">
        <is>
          <t>Q2-W03</t>
        </is>
      </c>
      <c r="CH688" t="inlineStr">
        <is>
          <t>Q2-W03</t>
        </is>
      </c>
      <c r="CI688"/>
      <c r="CJ688" t="inlineStr">
        <is>
          <t>Paid</t>
        </is>
      </c>
      <c r="CK688" t="inlineStr">
        <is>
          <t>Not Eligible</t>
        </is>
      </c>
      <c r="CL688"/>
      <c r="CM688"/>
    </row>
    <row r="689" ht="25.5" customHeight="1">
      <c r="A689" t="inlineStr">
        <is>
          <t>182326</t>
        </is>
      </c>
      <c r="B689" s="2"/>
      <c r="C689"/>
      <c r="D689" s="3">
        <v>46129.71071759259</v>
      </c>
      <c r="E689" t="inlineStr">
        <is>
          <t>Q2-W03</t>
        </is>
      </c>
      <c r="F689" t="inlineStr">
        <is>
          <t>Luqman</t>
        </is>
      </c>
      <c r="G689" t="inlineStr">
        <is>
          <t>Customer</t>
        </is>
      </c>
      <c r="H689" s="2" t="str">
        <f>=HYPERLINK("https://upbox.ajobthing.my/customer/182326", "https://upbox.ajobthing.my/customer/182326")</f>
        <v>https://upbox.ajobthing.my/customer/182326</v>
      </c>
      <c r="I689" t="inlineStr">
        <is>
          <t>CSC Healthcare Sdn Bhd</t>
        </is>
      </c>
      <c r="J689" t="inlineStr">
        <is>
          <t>Dolphin</t>
        </is>
      </c>
      <c r="K689" t="inlineStr">
        <is>
          <t>Luqman</t>
        </is>
      </c>
      <c r="L689" s="4"/>
      <c r="M689" s="4">
        <v>46129.71079861111</v>
      </c>
      <c r="N689"/>
      <c r="O689">
        <v>1296</v>
      </c>
      <c r="P689" s="4"/>
      <c r="Q689" s="4">
        <v>45644.64210648148</v>
      </c>
      <c r="R689"/>
      <c r="S689">
        <v>1080</v>
      </c>
      <c r="T689" s="4">
        <v>45644.64210648148</v>
      </c>
      <c r="U689" s="4"/>
      <c r="V689"/>
      <c r="W689">
        <v>1080</v>
      </c>
      <c r="X689"/>
      <c r="Y689" t="inlineStr">
        <is>
          <t>Pending Appointment</t>
        </is>
      </c>
      <c r="Z689" t="inlineStr">
        <is>
          <t>Hiring Later</t>
        </is>
      </c>
      <c r="AA689">
        <v>1</v>
      </c>
      <c r="AB689" t="inlineStr">
        <is>
          <t>No Appointment Made</t>
        </is>
      </c>
      <c r="AC689"/>
      <c r="AD689" t="inlineStr">
        <is>
          <t xml:space="preserve">1. Medic Assistant </t>
        </is>
      </c>
      <c r="AE689"/>
      <c r="AF689">
        <v>1200</v>
      </c>
      <c r="AG689" s="4"/>
      <c r="AH689" s="4"/>
      <c r="AI689">
        <v>1200</v>
      </c>
      <c r="AJ689"/>
      <c r="AK689" t="inlineStr">
        <is>
          <t>No, I don't need at all</t>
        </is>
      </c>
      <c r="AL689">
        <v>1</v>
      </c>
      <c r="AM689" t="inlineStr">
        <is>
          <t>No, I don't need at all</t>
        </is>
      </c>
      <c r="AN689"/>
      <c r="AO689" t="inlineStr">
        <is>
          <t>No, I don't need at all</t>
        </is>
      </c>
      <c r="AP689" t="inlineStr">
        <is>
          <t>Once a year (25%)</t>
        </is>
      </c>
      <c r="AQ689">
        <v>1</v>
      </c>
      <c r="AR689" t="inlineStr">
        <is>
          <t>Free Job Portal</t>
        </is>
      </c>
      <c r="AS689" t="inlineStr">
        <is>
          <t>- Headcount: 1
- Hiring Job Details: 1 Medic Assistant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689">
        <v>110</v>
      </c>
      <c r="AU689" t="inlineStr">
        <is>
          <t>1.10</t>
        </is>
      </c>
      <c r="AV689" t="inlineStr">
        <is>
          <t>15</t>
        </is>
      </c>
      <c r="AW689" t="inlineStr">
        <is>
          <t>0</t>
        </is>
      </c>
      <c r="AX689" t="inlineStr">
        <is>
          <t>Not Qualified</t>
        </is>
      </c>
      <c r="AY689" s="4"/>
      <c r="AZ689"/>
      <c r="BA689"/>
      <c r="BB689"/>
      <c r="BC689" t="inlineStr">
        <is>
          <t>NA Dropped a text via Whatsapp</t>
        </is>
      </c>
      <c r="BD689" s="4">
        <v>46135.67122685185</v>
      </c>
      <c r="BE689" t="inlineStr">
        <is>
          <t>paid</t>
        </is>
      </c>
      <c r="BF689"/>
      <c r="BG689" t="inlineStr">
        <is>
          <t>Reschedule</t>
        </is>
      </c>
      <c r="BH689" t="inlineStr">
        <is>
          <t>Edward Hoo</t>
        </is>
      </c>
      <c r="BI689" t="inlineStr">
        <is>
          <t>Healthcare / Medical</t>
        </is>
      </c>
      <c r="BJ689" s="4">
        <v>46144.751921296294</v>
      </c>
      <c r="BK689" s="4">
        <v>45538.62331018518</v>
      </c>
      <c r="BL689" t="inlineStr">
        <is>
          <t>0.0</t>
        </is>
      </c>
      <c r="BM689" t="inlineStr">
        <is>
          <t>0.0</t>
        </is>
      </c>
      <c r="BN689" t="inlineStr">
        <is>
          <t>User Visit(Logged In)</t>
        </is>
      </c>
      <c r="BO689" s="4">
        <v>45951.349340277775</v>
      </c>
      <c r="BP689">
        <v>167693</v>
      </c>
      <c r="BQ689">
        <v>75493</v>
      </c>
      <c r="BR689" t="inlineStr">
        <is>
          <t>Online</t>
        </is>
      </c>
      <c r="BS689"/>
      <c r="BT689">
        <v>75493</v>
      </c>
      <c r="BU689"/>
      <c r="BV689">
        <v>2724607</v>
      </c>
      <c r="BW689" t="inlineStr">
        <is>
          <t>No Answer : Voicemail - WA sent to customer</t>
        </is>
      </c>
      <c r="BX689"/>
      <c r="BY689"/>
      <c r="BZ689" s="4"/>
      <c r="CA689"/>
      <c r="CB689"/>
      <c r="CC689" s="4"/>
      <c r="CD689" t="inlineStr">
        <is>
          <t>20</t>
        </is>
      </c>
      <c r="CE689" t="inlineStr">
        <is>
          <t>0</t>
        </is>
      </c>
      <c r="CF689" t="inlineStr">
        <is>
          <t>Q2-W03</t>
        </is>
      </c>
      <c r="CG689"/>
      <c r="CH689"/>
      <c r="CI689"/>
      <c r="CJ689" t="inlineStr">
        <is>
          <t>Paid</t>
        </is>
      </c>
      <c r="CK689" t="inlineStr">
        <is>
          <t>Not Eligible</t>
        </is>
      </c>
      <c r="CL689"/>
      <c r="CM689"/>
    </row>
    <row r="690" ht="25.5" customHeight="1">
      <c r="A690" t="inlineStr">
        <is>
          <t>136955</t>
        </is>
      </c>
      <c r="B690" s="2"/>
      <c r="C690"/>
      <c r="D690" s="3">
        <v>46129.71265046296</v>
      </c>
      <c r="E690" t="inlineStr">
        <is>
          <t>Q2-W03</t>
        </is>
      </c>
      <c r="F690" t="inlineStr">
        <is>
          <t>Josh</t>
        </is>
      </c>
      <c r="G690" t="inlineStr">
        <is>
          <t>Customer</t>
        </is>
      </c>
      <c r="H690" s="2" t="str">
        <f>=HYPERLINK("https://upbox.ajobthing.my/customer/136955", "https://upbox.ajobthing.my/customer/136955")</f>
        <v>https://upbox.ajobthing.my/customer/136955</v>
      </c>
      <c r="I690" t="inlineStr">
        <is>
          <t>Revenue Harvest Sdn Bhd</t>
        </is>
      </c>
      <c r="J690" t="inlineStr">
        <is>
          <t>Dolphin</t>
        </is>
      </c>
      <c r="K690" t="inlineStr">
        <is>
          <t>Josh</t>
        </is>
      </c>
      <c r="L690" s="4"/>
      <c r="M690" s="4">
        <v>46129.712789351855</v>
      </c>
      <c r="N690"/>
      <c r="O690">
        <v>5832</v>
      </c>
      <c r="P690" s="4"/>
      <c r="Q690" s="4">
        <v>45727.65045138889</v>
      </c>
      <c r="R690"/>
      <c r="S690">
        <v>2916</v>
      </c>
      <c r="T690" s="4">
        <v>45727.65045138889</v>
      </c>
      <c r="U690" s="4"/>
      <c r="V690"/>
      <c r="W690">
        <v>2916</v>
      </c>
      <c r="X690"/>
      <c r="Y690" t="inlineStr">
        <is>
          <t>Pending Appointment</t>
        </is>
      </c>
      <c r="Z690"/>
      <c r="AA690">
        <v>1</v>
      </c>
      <c r="AB690" t="inlineStr">
        <is>
          <t>No Appointment Made</t>
        </is>
      </c>
      <c r="AC690"/>
      <c r="AD690" t="inlineStr">
        <is>
          <t>1 marketing</t>
        </is>
      </c>
      <c r="AE690"/>
      <c r="AF690"/>
      <c r="AG690" s="4"/>
      <c r="AH690" s="4"/>
      <c r="AI690"/>
      <c r="AJ690"/>
      <c r="AK690"/>
      <c r="AL690"/>
      <c r="AM690"/>
      <c r="AN690"/>
      <c r="AO690"/>
      <c r="AP690"/>
      <c r="AQ690"/>
      <c r="AR690"/>
      <c r="AS690" t="inlineStr">
        <is>
          <t>- Headcount: 1
- Hiring Job Details: 1 marketing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690">
        <v>20</v>
      </c>
      <c r="AU690" t="inlineStr">
        <is>
          <t>0.20</t>
        </is>
      </c>
      <c r="AV690" t="inlineStr">
        <is>
          <t>5</t>
        </is>
      </c>
      <c r="AW690" t="inlineStr">
        <is>
          <t>0</t>
        </is>
      </c>
      <c r="AX690" t="inlineStr">
        <is>
          <t>Not Qualified</t>
        </is>
      </c>
      <c r="AY690" s="4"/>
      <c r="AZ690"/>
      <c r="BA690"/>
      <c r="BB690"/>
      <c r="BC690" t="inlineStr">
        <is>
          <t>dont want first</t>
        </is>
      </c>
      <c r="BD690" s="4">
        <v>46136.49829861111</v>
      </c>
      <c r="BE690" t="inlineStr">
        <is>
          <t>paid</t>
        </is>
      </c>
      <c r="BF690"/>
      <c r="BG690" t="inlineStr">
        <is>
          <t>Reschedule</t>
        </is>
      </c>
      <c r="BH690" t="inlineStr">
        <is>
          <t>Fauziah Maharan</t>
        </is>
      </c>
      <c r="BI690" t="inlineStr">
        <is>
          <t>Retail / Merchandise</t>
        </is>
      </c>
      <c r="BJ690" s="4">
        <v>46144.75059027778</v>
      </c>
      <c r="BK690" s="4">
        <v>44298.62763888889</v>
      </c>
      <c r="BL690" t="inlineStr">
        <is>
          <t>0.0</t>
        </is>
      </c>
      <c r="BM690" t="inlineStr">
        <is>
          <t>0.0</t>
        </is>
      </c>
      <c r="BN690" t="inlineStr">
        <is>
          <t>View Create Job Page</t>
        </is>
      </c>
      <c r="BO690" s="4">
        <v>45952.636087962965</v>
      </c>
      <c r="BP690">
        <v>167696</v>
      </c>
      <c r="BQ690">
        <v>77553</v>
      </c>
      <c r="BR690" t="inlineStr">
        <is>
          <t>Online</t>
        </is>
      </c>
      <c r="BS690"/>
      <c r="BT690">
        <v>77553</v>
      </c>
      <c r="BU690"/>
      <c r="BV690">
        <v>2726013</v>
      </c>
      <c r="BW690" t="inlineStr">
        <is>
          <t>Inquire for Hiring Needs : No Hiring</t>
        </is>
      </c>
      <c r="BX690"/>
      <c r="BY690"/>
      <c r="BZ690" s="4"/>
      <c r="CA690"/>
      <c r="CB690"/>
      <c r="CC690" s="4"/>
      <c r="CD690" t="inlineStr">
        <is>
          <t>5</t>
        </is>
      </c>
      <c r="CE690" t="inlineStr">
        <is>
          <t>0</t>
        </is>
      </c>
      <c r="CF690" t="inlineStr">
        <is>
          <t>Q2-W03</t>
        </is>
      </c>
      <c r="CG690"/>
      <c r="CH690"/>
      <c r="CI690"/>
      <c r="CJ690" t="inlineStr">
        <is>
          <t>Paid</t>
        </is>
      </c>
      <c r="CK690" t="inlineStr">
        <is>
          <t>Not Eligible</t>
        </is>
      </c>
      <c r="CL690"/>
      <c r="CM690"/>
    </row>
    <row r="691" ht="25.5" customHeight="1">
      <c r="A691" t="inlineStr">
        <is>
          <t>150492</t>
        </is>
      </c>
      <c r="B691" s="2"/>
      <c r="C691"/>
      <c r="D691" s="3">
        <v>46129.713692129626</v>
      </c>
      <c r="E691" t="inlineStr">
        <is>
          <t>Q2-W03</t>
        </is>
      </c>
      <c r="F691" t="inlineStr">
        <is>
          <t>Chia Yee</t>
        </is>
      </c>
      <c r="G691" t="inlineStr">
        <is>
          <t>Customer</t>
        </is>
      </c>
      <c r="H691" s="2" t="str">
        <f>=HYPERLINK("https://upbox.ajobthing.my/customer/150492", "https://upbox.ajobthing.my/customer/150492")</f>
        <v>https://upbox.ajobthing.my/customer/150492</v>
      </c>
      <c r="I691" t="inlineStr">
        <is>
          <t xml:space="preserve">MYK Malaysia Sdn Bhd </t>
        </is>
      </c>
      <c r="J691" t="inlineStr">
        <is>
          <t>Dolphin</t>
        </is>
      </c>
      <c r="K691" t="inlineStr">
        <is>
          <t>Chia Yee</t>
        </is>
      </c>
      <c r="L691" s="4"/>
      <c r="M691" s="4">
        <v>46129.71381944444</v>
      </c>
      <c r="N691"/>
      <c r="O691">
        <v>4968</v>
      </c>
      <c r="P691" s="4"/>
      <c r="Q691" s="4">
        <v>46115.649988425925</v>
      </c>
      <c r="R691"/>
      <c r="S691">
        <v>0</v>
      </c>
      <c r="T691" s="4">
        <v>46043.45789351852</v>
      </c>
      <c r="U691" s="4"/>
      <c r="V691"/>
      <c r="W691">
        <v>864</v>
      </c>
      <c r="X691"/>
      <c r="Y691" t="inlineStr">
        <is>
          <t>Pending Appointment</t>
        </is>
      </c>
      <c r="Z691" t="inlineStr">
        <is>
          <t>Hiring Now</t>
        </is>
      </c>
      <c r="AA691">
        <v>2</v>
      </c>
      <c r="AB691" t="inlineStr">
        <is>
          <t>No Appointment Made</t>
        </is>
      </c>
      <c r="AC691"/>
      <c r="AD691" t="inlineStr">
        <is>
          <t>1-2 Live host</t>
        </is>
      </c>
      <c r="AE691"/>
      <c r="AF691">
        <v>800</v>
      </c>
      <c r="AG691" s="4"/>
      <c r="AH691" s="4"/>
      <c r="AI691">
        <v>0</v>
      </c>
      <c r="AJ691">
        <v>1</v>
      </c>
      <c r="AK691" t="inlineStr">
        <is>
          <t>No, I don't need at all</t>
        </is>
      </c>
      <c r="AL691">
        <v>1</v>
      </c>
      <c r="AM691" t="inlineStr">
        <is>
          <t>No, I don't need at all</t>
        </is>
      </c>
      <c r="AN691"/>
      <c r="AO691" t="inlineStr">
        <is>
          <t>Yes, I have</t>
        </is>
      </c>
      <c r="AP691" t="inlineStr">
        <is>
          <t>Once a year (25%)</t>
        </is>
      </c>
      <c r="AQ691">
        <v>2</v>
      </c>
      <c r="AR691" t="inlineStr">
        <is>
          <t>Did not use any job portal</t>
        </is>
      </c>
      <c r="AS691" t="inlineStr">
        <is>
          <t>- Headcount: 2
- Hiring Job Details: 1-2 Live host
- Hiring Urgency: Hiring Now
- Number of outlets: 1
- Have recruiter team: No, I don't need at all
- Number of recruiter in company: 1
- Have ATS system: No, I don't need at all
- Have career website: Yes, I have
- Current hiring budget: RM800
- Whole year budget: RM0.00
- Whole year number of vacancies: 2
- Hiring frequency: Once a year (25%)
- External job portal: Did not use any job portal</t>
        </is>
      </c>
      <c r="AT691">
        <v>110</v>
      </c>
      <c r="AU691" t="inlineStr">
        <is>
          <t>1.10</t>
        </is>
      </c>
      <c r="AV691" t="inlineStr">
        <is>
          <t>15</t>
        </is>
      </c>
      <c r="AW691" t="inlineStr">
        <is>
          <t>0</t>
        </is>
      </c>
      <c r="AX691" t="inlineStr">
        <is>
          <t>Not Qualified</t>
        </is>
      </c>
      <c r="AY691" s="4"/>
      <c r="AZ691"/>
      <c r="BA691"/>
      <c r="BB691"/>
      <c r="BC691" t="inlineStr">
        <is>
          <t>Replied: not atm</t>
        </is>
      </c>
      <c r="BD691" s="4">
        <v>46136.58724537037</v>
      </c>
      <c r="BE691" t="inlineStr">
        <is>
          <t>paid</t>
        </is>
      </c>
      <c r="BF691" t="inlineStr">
        <is>
          <t>Q1-W03</t>
        </is>
      </c>
      <c r="BG691" t="inlineStr">
        <is>
          <t>Reschedule</t>
        </is>
      </c>
      <c r="BH691" t="inlineStr">
        <is>
          <t>Reagen</t>
        </is>
      </c>
      <c r="BI691" t="inlineStr">
        <is>
          <t>Advertising / Marketing</t>
        </is>
      </c>
      <c r="BJ691" s="4">
        <v>46144.75084490741</v>
      </c>
      <c r="BK691" s="4">
        <v>44637.66789351852</v>
      </c>
      <c r="BL691" t="inlineStr">
        <is>
          <t>864.0</t>
        </is>
      </c>
      <c r="BM691" t="inlineStr">
        <is>
          <t>600.0</t>
        </is>
      </c>
      <c r="BN691" t="inlineStr">
        <is>
          <t>User Visit(Logged In)</t>
        </is>
      </c>
      <c r="BO691" s="4">
        <v>46129.63821759259</v>
      </c>
      <c r="BP691">
        <v>167698</v>
      </c>
      <c r="BQ691">
        <v>119902</v>
      </c>
      <c r="BR691" t="inlineStr">
        <is>
          <t>Proforma</t>
        </is>
      </c>
      <c r="BS691" t="inlineStr">
        <is>
          <t>Free Freelance Job</t>
        </is>
      </c>
      <c r="BT691">
        <v>85793</v>
      </c>
      <c r="BU691"/>
      <c r="BV691">
        <v>2726368</v>
      </c>
      <c r="BW691" t="inlineStr">
        <is>
          <t>Follow Up : Budget Concern</t>
        </is>
      </c>
      <c r="BX691"/>
      <c r="BY691"/>
      <c r="BZ691" s="4"/>
      <c r="CA691">
        <v>10</v>
      </c>
      <c r="CB691">
        <v>10</v>
      </c>
      <c r="CC691" s="4"/>
      <c r="CD691" t="inlineStr">
        <is>
          <t>20</t>
        </is>
      </c>
      <c r="CE691" t="inlineStr">
        <is>
          <t>0</t>
        </is>
      </c>
      <c r="CF691" t="inlineStr">
        <is>
          <t>Q2-W03</t>
        </is>
      </c>
      <c r="CG691" t="inlineStr">
        <is>
          <t>Q2-W01</t>
        </is>
      </c>
      <c r="CH691" t="inlineStr">
        <is>
          <t>Q1-W03</t>
        </is>
      </c>
      <c r="CI691"/>
      <c r="CJ691" t="inlineStr">
        <is>
          <t>Paid</t>
        </is>
      </c>
      <c r="CK691" t="inlineStr">
        <is>
          <t>Not Eligible</t>
        </is>
      </c>
      <c r="CL691"/>
      <c r="CM691"/>
    </row>
    <row r="692" ht="25.5" customHeight="1">
      <c r="A692" t="inlineStr">
        <is>
          <t>151203</t>
        </is>
      </c>
      <c r="B692" s="2"/>
      <c r="C692"/>
      <c r="D692" s="3">
        <v>46129.716365740744</v>
      </c>
      <c r="E692" t="inlineStr">
        <is>
          <t>Q2-W03</t>
        </is>
      </c>
      <c r="F692" t="inlineStr">
        <is>
          <t>Chia Yee</t>
        </is>
      </c>
      <c r="G692" t="inlineStr">
        <is>
          <t>Customer</t>
        </is>
      </c>
      <c r="H692" s="2" t="str">
        <f>=HYPERLINK("https://upbox.ajobthing.my/customer/151203", "https://upbox.ajobthing.my/customer/151203")</f>
        <v>https://upbox.ajobthing.my/customer/151203</v>
      </c>
      <c r="I692" t="inlineStr">
        <is>
          <t>Eco Duct Engineering Sdn. Bhd.</t>
        </is>
      </c>
      <c r="J692" t="inlineStr">
        <is>
          <t>Dolphin</t>
        </is>
      </c>
      <c r="K692" t="inlineStr">
        <is>
          <t>Chia Yee</t>
        </is>
      </c>
      <c r="L692" s="4"/>
      <c r="M692" s="4">
        <v>46129.71649305556</v>
      </c>
      <c r="N692"/>
      <c r="O692">
        <v>3888</v>
      </c>
      <c r="P692" s="4"/>
      <c r="Q692" s="4">
        <v>46132.746932870374</v>
      </c>
      <c r="R692"/>
      <c r="S692">
        <v>1296</v>
      </c>
      <c r="T692" s="4">
        <v>46132.746932870374</v>
      </c>
      <c r="U692" s="4"/>
      <c r="V692"/>
      <c r="W692">
        <v>1296</v>
      </c>
      <c r="X692"/>
      <c r="Y692" t="inlineStr">
        <is>
          <t>Pending Appointment</t>
        </is>
      </c>
      <c r="Z692" t="inlineStr">
        <is>
          <t>Hiring Now</t>
        </is>
      </c>
      <c r="AA692">
        <v>1</v>
      </c>
      <c r="AB692" t="inlineStr">
        <is>
          <t>No Appointment Made</t>
        </is>
      </c>
      <c r="AC692"/>
      <c r="AD692" t="inlineStr">
        <is>
          <t xml:space="preserve">1 Management Executive </t>
        </is>
      </c>
      <c r="AE692"/>
      <c r="AF692">
        <v>0</v>
      </c>
      <c r="AG692" s="4"/>
      <c r="AH692" s="4"/>
      <c r="AI692">
        <v>0</v>
      </c>
      <c r="AJ692">
        <v>1</v>
      </c>
      <c r="AK692" t="inlineStr">
        <is>
          <t>No, I don't need at all</t>
        </is>
      </c>
      <c r="AL692">
        <v>1</v>
      </c>
      <c r="AM692" t="inlineStr">
        <is>
          <t>No, I don't need at all</t>
        </is>
      </c>
      <c r="AN692"/>
      <c r="AO692" t="inlineStr">
        <is>
          <t>No, I don't need at all</t>
        </is>
      </c>
      <c r="AP692" t="inlineStr">
        <is>
          <t>Once a year (25%)</t>
        </is>
      </c>
      <c r="AQ692">
        <v>1</v>
      </c>
      <c r="AR692" t="inlineStr">
        <is>
          <t>Did not use any job portal</t>
        </is>
      </c>
      <c r="AS692" t="inlineStr">
        <is>
          <t>- Headcount: 1
- Hiring Job Details: 1 Management Executive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692">
        <v>110</v>
      </c>
      <c r="AU692" t="inlineStr">
        <is>
          <t>1.10</t>
        </is>
      </c>
      <c r="AV692" t="inlineStr">
        <is>
          <t>15</t>
        </is>
      </c>
      <c r="AW692" t="inlineStr">
        <is>
          <t>0</t>
        </is>
      </c>
      <c r="AX692" t="inlineStr">
        <is>
          <t>Not Qualified</t>
        </is>
      </c>
      <c r="AY692" s="4"/>
      <c r="AZ692"/>
      <c r="BA692"/>
      <c r="BB692"/>
      <c r="BC692" t="inlineStr">
        <is>
          <t>WA ask What does Free Profile means ya? Explain</t>
        </is>
      </c>
      <c r="BD692" s="4">
        <v>46140.744988425926</v>
      </c>
      <c r="BE692" t="inlineStr">
        <is>
          <t>paid</t>
        </is>
      </c>
      <c r="BF692" t="inlineStr">
        <is>
          <t>Q2-W03</t>
        </is>
      </c>
      <c r="BG692" t="inlineStr">
        <is>
          <t>Reschedule</t>
        </is>
      </c>
      <c r="BH692" t="inlineStr">
        <is>
          <t>Reagen</t>
        </is>
      </c>
      <c r="BI692" t="inlineStr">
        <is>
          <t>Manufacturing / Production</t>
        </is>
      </c>
      <c r="BJ692" s="4">
        <v>46144.75087962963</v>
      </c>
      <c r="BK692" s="4">
        <v>44648.783587962964</v>
      </c>
      <c r="BL692" t="inlineStr">
        <is>
          <t>1296.0</t>
        </is>
      </c>
      <c r="BM692" t="inlineStr">
        <is>
          <t>0.0</t>
        </is>
      </c>
      <c r="BN692" t="inlineStr">
        <is>
          <t>User Visit(Logged In)</t>
        </is>
      </c>
      <c r="BO692" s="4">
        <v>46141.72724537037</v>
      </c>
      <c r="BP692">
        <v>167702</v>
      </c>
      <c r="BQ692">
        <v>94439</v>
      </c>
      <c r="BR692" t="inlineStr">
        <is>
          <t>Online</t>
        </is>
      </c>
      <c r="BS692"/>
      <c r="BT692">
        <v>94439</v>
      </c>
      <c r="BU692"/>
      <c r="BV692">
        <v>2733926</v>
      </c>
      <c r="BW692" t="inlineStr">
        <is>
          <t>Service / Technical : Job Outcome Enquiry</t>
        </is>
      </c>
      <c r="BX692">
        <v>1</v>
      </c>
      <c r="BY692">
        <v>0</v>
      </c>
      <c r="BZ692" s="4">
        <v>46133.44996527778</v>
      </c>
      <c r="CA692">
        <v>23</v>
      </c>
      <c r="CB692">
        <v>23</v>
      </c>
      <c r="CC692" s="4"/>
      <c r="CD692" t="inlineStr">
        <is>
          <t>20</t>
        </is>
      </c>
      <c r="CE692" t="inlineStr">
        <is>
          <t>0</t>
        </is>
      </c>
      <c r="CF692" t="inlineStr">
        <is>
          <t>Q2-W03</t>
        </is>
      </c>
      <c r="CG692" t="inlineStr">
        <is>
          <t>Q2-W03</t>
        </is>
      </c>
      <c r="CH692" t="inlineStr">
        <is>
          <t>Q2-W03</t>
        </is>
      </c>
      <c r="CI692"/>
      <c r="CJ692" t="inlineStr">
        <is>
          <t>Paid</t>
        </is>
      </c>
      <c r="CK692" t="inlineStr">
        <is>
          <t>Not Eligible</t>
        </is>
      </c>
      <c r="CL692"/>
      <c r="CM692"/>
    </row>
    <row r="693" ht="25.5" customHeight="1">
      <c r="A693" t="inlineStr">
        <is>
          <t>149971</t>
        </is>
      </c>
      <c r="B693" s="2"/>
      <c r="C693"/>
      <c r="D693" s="3">
        <v>46129.72116898148</v>
      </c>
      <c r="E693" t="inlineStr">
        <is>
          <t>Q2-W03</t>
        </is>
      </c>
      <c r="F693" t="inlineStr">
        <is>
          <t>Carmen</t>
        </is>
      </c>
      <c r="G693" t="inlineStr">
        <is>
          <t>Customer</t>
        </is>
      </c>
      <c r="H693" s="2" t="str">
        <f>=HYPERLINK("https://upbox.ajobthing.my/customer/149971", "https://upbox.ajobthing.my/customer/149971")</f>
        <v>https://upbox.ajobthing.my/customer/149971</v>
      </c>
      <c r="I693" t="inlineStr">
        <is>
          <t>Blackflag Sdn. Bhd.</t>
        </is>
      </c>
      <c r="J693" t="inlineStr">
        <is>
          <t>Dolphin</t>
        </is>
      </c>
      <c r="K693" t="inlineStr">
        <is>
          <t>Carmen</t>
        </is>
      </c>
      <c r="L693" s="4"/>
      <c r="M693" s="4">
        <v>46129.64513888889</v>
      </c>
      <c r="N693"/>
      <c r="O693">
        <v>1728</v>
      </c>
      <c r="P693" s="4"/>
      <c r="Q693" s="4">
        <v>46047.1502662037</v>
      </c>
      <c r="R693"/>
      <c r="S693">
        <v>0</v>
      </c>
      <c r="T693" s="4">
        <v>46037.45247685185</v>
      </c>
      <c r="U693" s="4"/>
      <c r="V693"/>
      <c r="W693">
        <v>1836</v>
      </c>
      <c r="X693"/>
      <c r="Y693" t="inlineStr">
        <is>
          <t>Pending Appointment</t>
        </is>
      </c>
      <c r="Z693" t="inlineStr">
        <is>
          <t>Hiring Now</t>
        </is>
      </c>
      <c r="AA693">
        <v>1</v>
      </c>
      <c r="AB693" t="inlineStr">
        <is>
          <t>No Appointment Made</t>
        </is>
      </c>
      <c r="AC693"/>
      <c r="AD693" t="inlineStr">
        <is>
          <t>1 finance executive</t>
        </is>
      </c>
      <c r="AE693"/>
      <c r="AF693">
        <v>100</v>
      </c>
      <c r="AG693" s="4"/>
      <c r="AH693" s="4"/>
      <c r="AI693"/>
      <c r="AJ693"/>
      <c r="AK693"/>
      <c r="AL693"/>
      <c r="AM693"/>
      <c r="AN693"/>
      <c r="AO693"/>
      <c r="AP693"/>
      <c r="AQ693"/>
      <c r="AR693"/>
      <c r="AS693" t="inlineStr">
        <is>
          <t>- Headcount: 1
- Hiring Job Details: 1 finance executive
- Hiring Urgency: Hiring Now
- Number of outlets: Not provided
- Have recruiter team: Not provided
- Number of recruiter in company: Not provided
- Have ATS system: Not provided
- Have career website: Not provided
- Current hiring budget: RM100.00
- Whole year budget: Not provided
- Whole year number of vacancies: Not provided
- Hiring frequency: Not provided
- External job portal: Not provided</t>
        </is>
      </c>
      <c r="AT693">
        <v>65</v>
      </c>
      <c r="AU693" t="inlineStr">
        <is>
          <t>0.65</t>
        </is>
      </c>
      <c r="AV693" t="inlineStr">
        <is>
          <t>15</t>
        </is>
      </c>
      <c r="AW693" t="inlineStr">
        <is>
          <t>0</t>
        </is>
      </c>
      <c r="AX693" t="inlineStr">
        <is>
          <t>Not Qualified</t>
        </is>
      </c>
      <c r="AY693" s="4"/>
      <c r="AZ693"/>
      <c r="BA693"/>
      <c r="BB693"/>
      <c r="BC693" t="inlineStr">
        <is>
          <t>npu</t>
        </is>
      </c>
      <c r="BD693" s="4">
        <v>46134.72144675926</v>
      </c>
      <c r="BE693" t="inlineStr">
        <is>
          <t>paid</t>
        </is>
      </c>
      <c r="BF693" t="inlineStr">
        <is>
          <t>Q1-W02</t>
        </is>
      </c>
      <c r="BG693" t="inlineStr">
        <is>
          <t>Reschedule</t>
        </is>
      </c>
      <c r="BH693" t="inlineStr">
        <is>
          <t>Reagen</t>
        </is>
      </c>
      <c r="BI693" t="inlineStr">
        <is>
          <t>Entertainment / Media</t>
        </is>
      </c>
      <c r="BJ693" s="4">
        <v>46144.75082175926</v>
      </c>
      <c r="BK693" s="4">
        <v>44630.70106481481</v>
      </c>
      <c r="BL693" t="inlineStr">
        <is>
          <t>1836.0</t>
        </is>
      </c>
      <c r="BM693" t="inlineStr">
        <is>
          <t>600.0</t>
        </is>
      </c>
      <c r="BN693" t="inlineStr">
        <is>
          <t>View Company Page</t>
        </is>
      </c>
      <c r="BO693" s="4">
        <v>46117.03519675926</v>
      </c>
      <c r="BP693">
        <v>167650</v>
      </c>
      <c r="BQ693">
        <v>114386</v>
      </c>
      <c r="BR693" t="inlineStr">
        <is>
          <t>Proforma</t>
        </is>
      </c>
      <c r="BS693" t="inlineStr">
        <is>
          <t>Free Internship Job</t>
        </is>
      </c>
      <c r="BT693">
        <v>7050</v>
      </c>
      <c r="BU693"/>
      <c r="BV693">
        <v>2721756</v>
      </c>
      <c r="BW693" t="inlineStr">
        <is>
          <t>No Answer : Voicemail - WA sent to customer</t>
        </is>
      </c>
      <c r="BX693"/>
      <c r="BY693"/>
      <c r="BZ693" s="4"/>
      <c r="CA693"/>
      <c r="CB693"/>
      <c r="CC693" s="4"/>
      <c r="CD693" t="inlineStr">
        <is>
          <t>20</t>
        </is>
      </c>
      <c r="CE693" t="inlineStr">
        <is>
          <t>0</t>
        </is>
      </c>
      <c r="CF693" t="inlineStr">
        <is>
          <t>Q2-W03</t>
        </is>
      </c>
      <c r="CG693" t="inlineStr">
        <is>
          <t>Q1-W04</t>
        </is>
      </c>
      <c r="CH693" t="inlineStr">
        <is>
          <t>Q1-W02</t>
        </is>
      </c>
      <c r="CI693"/>
      <c r="CJ693" t="inlineStr">
        <is>
          <t>Paid</t>
        </is>
      </c>
      <c r="CK693" t="inlineStr">
        <is>
          <t>Not Eligible</t>
        </is>
      </c>
      <c r="CL693"/>
      <c r="CM693"/>
    </row>
    <row r="694" ht="25.5" customHeight="1">
      <c r="A694" t="inlineStr">
        <is>
          <t>199613</t>
        </is>
      </c>
      <c r="B694" s="2"/>
      <c r="C694"/>
      <c r="D694" s="3">
        <v>46129.72528935185</v>
      </c>
      <c r="E694" t="inlineStr">
        <is>
          <t>Q2-W03</t>
        </is>
      </c>
      <c r="F694" t="inlineStr">
        <is>
          <t>Ratha</t>
        </is>
      </c>
      <c r="G694" t="inlineStr">
        <is>
          <t>Customer</t>
        </is>
      </c>
      <c r="H694" s="2" t="str">
        <f>=HYPERLINK("https://upbox.ajobthing.my/customer/199613", "https://upbox.ajobthing.my/customer/199613")</f>
        <v>https://upbox.ajobthing.my/customer/199613</v>
      </c>
      <c r="I694" t="inlineStr">
        <is>
          <t>Meat Attic Sdn Bhd</t>
        </is>
      </c>
      <c r="J694" t="inlineStr">
        <is>
          <t>Dolphin</t>
        </is>
      </c>
      <c r="K694" t="inlineStr">
        <is>
          <t>Ratha</t>
        </is>
      </c>
      <c r="L694" s="4"/>
      <c r="M694" s="4">
        <v>46129.72571759259</v>
      </c>
      <c r="N694"/>
      <c r="O694">
        <v>3672</v>
      </c>
      <c r="P694" s="4"/>
      <c r="Q694" s="4"/>
      <c r="R694"/>
      <c r="S694"/>
      <c r="T694" s="4"/>
      <c r="U694" s="4"/>
      <c r="V694"/>
      <c r="W694"/>
      <c r="X694"/>
      <c r="Y694" t="inlineStr">
        <is>
          <t>Pending Appointment</t>
        </is>
      </c>
      <c r="Z694" t="inlineStr">
        <is>
          <t>Hiring Later</t>
        </is>
      </c>
      <c r="AA694">
        <v>3</v>
      </c>
      <c r="AB694" t="inlineStr">
        <is>
          <t>No Appointment Made</t>
        </is>
      </c>
      <c r="AC694"/>
      <c r="AD694" t="inlineStr">
        <is>
          <t>Crew, Barista, waiter 
location : Taman Desa</t>
        </is>
      </c>
      <c r="AE694"/>
      <c r="AF694"/>
      <c r="AG694" s="4"/>
      <c r="AH694" s="4"/>
      <c r="AI694">
        <v>0</v>
      </c>
      <c r="AJ694">
        <v>1</v>
      </c>
      <c r="AK694" t="inlineStr">
        <is>
          <t>Yes, I have</t>
        </is>
      </c>
      <c r="AL694">
        <v>2</v>
      </c>
      <c r="AM694" t="inlineStr">
        <is>
          <t>No, I don't need at all</t>
        </is>
      </c>
      <c r="AN694"/>
      <c r="AO694" t="inlineStr">
        <is>
          <t>No, I don't need at all</t>
        </is>
      </c>
      <c r="AP694" t="inlineStr">
        <is>
          <t>Twice a year (50%)</t>
        </is>
      </c>
      <c r="AQ694">
        <v>0</v>
      </c>
      <c r="AR694" t="inlineStr">
        <is>
          <t>Free Job Portal</t>
        </is>
      </c>
      <c r="AS694" t="inlineStr">
        <is>
          <t>- Headcount: 3
- Hiring Job Details: Crew, Barista, waiter (location: Taman Desa)
- Hiring Urgency: Hiring Later
- Number of outlets: 1
- Have recruiter team: Yes
- Number of recruiter in company: 2
- Have ATS system: No, I don't need at all
- Have career website: No, I don't need at all
- Current hiring budget: RM (empty)
- Whole year budget: RM0.00
- Whole year number of vacancies: 0
- Hiring frequency: Twice a year (50%)
- External job portal: Free Job Portal</t>
        </is>
      </c>
      <c r="AT694">
        <v>55</v>
      </c>
      <c r="AU694" t="inlineStr">
        <is>
          <t>0.55</t>
        </is>
      </c>
      <c r="AV694" t="inlineStr">
        <is>
          <t>5</t>
        </is>
      </c>
      <c r="AW694" t="inlineStr">
        <is>
          <t>0</t>
        </is>
      </c>
      <c r="AX694" t="inlineStr">
        <is>
          <t>Not Qualified</t>
        </is>
      </c>
      <c r="AY694" s="4"/>
      <c r="AZ694"/>
      <c r="BA694"/>
      <c r="BB694"/>
      <c r="BC694" t="inlineStr">
        <is>
          <t>resend the quotation (spam) follow up next week - Bar Concept</t>
        </is>
      </c>
      <c r="BD694" s="4">
        <v>46140.501493055555</v>
      </c>
      <c r="BE694"/>
      <c r="BF694"/>
      <c r="BG694" t="inlineStr">
        <is>
          <t>Reschedule</t>
        </is>
      </c>
      <c r="BH694" t="inlineStr">
        <is>
          <t>Fauziah Maharan</t>
        </is>
      </c>
      <c r="BI694"/>
      <c r="BJ694" s="4">
        <v>46144.75334490741</v>
      </c>
      <c r="BK694" s="4">
        <v>46012.81649305556</v>
      </c>
      <c r="BL694" t="inlineStr">
        <is>
          <t>0.0</t>
        </is>
      </c>
      <c r="BM694" t="inlineStr">
        <is>
          <t>0.0</t>
        </is>
      </c>
      <c r="BN694" t="inlineStr">
        <is>
          <t>View Company Page</t>
        </is>
      </c>
      <c r="BO694" s="4">
        <v>46129.72325231481</v>
      </c>
      <c r="BP694">
        <v>167708</v>
      </c>
      <c r="BQ694"/>
      <c r="BR694"/>
      <c r="BS694"/>
      <c r="BT694"/>
      <c r="BU694"/>
      <c r="BV694">
        <v>2732330</v>
      </c>
      <c r="BW694" t="inlineStr">
        <is>
          <t>Follow Up : Decision Pending</t>
        </is>
      </c>
      <c r="BX694"/>
      <c r="BY694"/>
      <c r="BZ694" s="4"/>
      <c r="CA694"/>
      <c r="CB694"/>
      <c r="CC694" s="4"/>
      <c r="CD694" t="inlineStr">
        <is>
          <t>5</t>
        </is>
      </c>
      <c r="CE694" t="inlineStr">
        <is>
          <t>0</t>
        </is>
      </c>
      <c r="CF694" t="inlineStr">
        <is>
          <t>Q2-W03</t>
        </is>
      </c>
      <c r="CG694"/>
      <c r="CH694"/>
      <c r="CI694"/>
      <c r="CJ694" t="inlineStr">
        <is>
          <t>No Paid</t>
        </is>
      </c>
      <c r="CK694" t="inlineStr">
        <is>
          <t>Not Eligible</t>
        </is>
      </c>
      <c r="CL694"/>
      <c r="CM694"/>
    </row>
    <row r="695" ht="25.5" customHeight="1">
      <c r="A695" t="inlineStr">
        <is>
          <t>187159</t>
        </is>
      </c>
      <c r="B695" s="2"/>
      <c r="C695"/>
      <c r="D695" s="3">
        <v>46129.73034722222</v>
      </c>
      <c r="E695" t="inlineStr">
        <is>
          <t>Q2-W03</t>
        </is>
      </c>
      <c r="F695" t="inlineStr">
        <is>
          <t>Derek Lim</t>
        </is>
      </c>
      <c r="G695" t="inlineStr">
        <is>
          <t>Customer</t>
        </is>
      </c>
      <c r="H695" s="2" t="str">
        <f>=HYPERLINK("https://upbox.ajobthing.my/customer/187159", "https://upbox.ajobthing.my/customer/187159")</f>
        <v>https://upbox.ajobthing.my/customer/187159</v>
      </c>
      <c r="I695" t="inlineStr">
        <is>
          <t>Flaworks Sdn Bhd</t>
        </is>
      </c>
      <c r="J695" t="inlineStr">
        <is>
          <t>Dolphin</t>
        </is>
      </c>
      <c r="K695" t="inlineStr">
        <is>
          <t>Derek Lim</t>
        </is>
      </c>
      <c r="L695" s="4"/>
      <c r="M695" s="4">
        <v>46129.73043981481</v>
      </c>
      <c r="N695"/>
      <c r="O695">
        <v>6048</v>
      </c>
      <c r="P695" s="4"/>
      <c r="Q695" s="4"/>
      <c r="R695"/>
      <c r="S695"/>
      <c r="T695" s="4"/>
      <c r="U695" s="4"/>
      <c r="V695"/>
      <c r="W695"/>
      <c r="X695"/>
      <c r="Y695" t="inlineStr">
        <is>
          <t>Pending Appointment</t>
        </is>
      </c>
      <c r="Z695" t="inlineStr">
        <is>
          <t>Hiring Now</t>
        </is>
      </c>
      <c r="AA695">
        <v>2</v>
      </c>
      <c r="AB695" t="inlineStr">
        <is>
          <t>No Appointment Made</t>
        </is>
      </c>
      <c r="AC695"/>
      <c r="AD695" t="inlineStr">
        <is>
          <t>sales - 1, admin -1</t>
        </is>
      </c>
      <c r="AE695"/>
      <c r="AF695">
        <v>0</v>
      </c>
      <c r="AG695" s="4"/>
      <c r="AH695" s="4"/>
      <c r="AI695">
        <v>0</v>
      </c>
      <c r="AJ695">
        <v>1</v>
      </c>
      <c r="AK695" t="inlineStr">
        <is>
          <t>No, I don't need at all</t>
        </is>
      </c>
      <c r="AL695">
        <v>0</v>
      </c>
      <c r="AM695" t="inlineStr">
        <is>
          <t>No, I don't need at all</t>
        </is>
      </c>
      <c r="AN695"/>
      <c r="AO695" t="inlineStr">
        <is>
          <t>No, I don't need at all</t>
        </is>
      </c>
      <c r="AP695" t="inlineStr">
        <is>
          <t>Once a year (25%)</t>
        </is>
      </c>
      <c r="AQ695">
        <v>1</v>
      </c>
      <c r="AR695" t="inlineStr">
        <is>
          <t>Free Job Portal</t>
        </is>
      </c>
      <c r="AS695" t="inlineStr">
        <is>
          <t>- Headcount: 2
- Hiring Job Details: 1 sales, 1 admin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695">
        <v>105</v>
      </c>
      <c r="AU695" t="inlineStr">
        <is>
          <t>1.05</t>
        </is>
      </c>
      <c r="AV695" t="inlineStr">
        <is>
          <t>15</t>
        </is>
      </c>
      <c r="AW695" t="inlineStr">
        <is>
          <t>0</t>
        </is>
      </c>
      <c r="AX695" t="inlineStr">
        <is>
          <t>Not Qualified</t>
        </is>
      </c>
      <c r="AY695" s="4"/>
      <c r="AZ695"/>
      <c r="BA695"/>
      <c r="BB695"/>
      <c r="BC695" t="inlineStr">
        <is>
          <t>NO ANSWER</t>
        </is>
      </c>
      <c r="BD695" s="4">
        <v>46134.64438657407</v>
      </c>
      <c r="BE695"/>
      <c r="BF695"/>
      <c r="BG695" t="inlineStr">
        <is>
          <t>Reschedule</t>
        </is>
      </c>
      <c r="BH695" t="inlineStr">
        <is>
          <t>Edward Hoo</t>
        </is>
      </c>
      <c r="BI695" t="inlineStr">
        <is>
          <t>IT / Software</t>
        </is>
      </c>
      <c r="BJ695" s="4">
        <v>46144.75215277778</v>
      </c>
      <c r="BK695" s="4">
        <v>45685.55899305556</v>
      </c>
      <c r="BL695" t="inlineStr">
        <is>
          <t>0.0</t>
        </is>
      </c>
      <c r="BM695" t="inlineStr">
        <is>
          <t>0.0</t>
        </is>
      </c>
      <c r="BN695" t="inlineStr">
        <is>
          <t>View Create Job Page</t>
        </is>
      </c>
      <c r="BO695" s="4">
        <v>45685.57121527778</v>
      </c>
      <c r="BP695">
        <v>167712</v>
      </c>
      <c r="BQ695"/>
      <c r="BR695"/>
      <c r="BS695"/>
      <c r="BT695"/>
      <c r="BU695"/>
      <c r="BV695">
        <v>2721112</v>
      </c>
      <c r="BW695" t="inlineStr">
        <is>
          <t>No Answer : Voicemail - WA sent to customer</t>
        </is>
      </c>
      <c r="BX695"/>
      <c r="BY695"/>
      <c r="BZ695" s="4"/>
      <c r="CA695"/>
      <c r="CB695"/>
      <c r="CC695" s="4"/>
      <c r="CD695" t="inlineStr">
        <is>
          <t>20</t>
        </is>
      </c>
      <c r="CE695" t="inlineStr">
        <is>
          <t>0</t>
        </is>
      </c>
      <c r="CF695" t="inlineStr">
        <is>
          <t>Q2-W03</t>
        </is>
      </c>
      <c r="CG695"/>
      <c r="CH695"/>
      <c r="CI695"/>
      <c r="CJ695" t="inlineStr">
        <is>
          <t>No Paid</t>
        </is>
      </c>
      <c r="CK695" t="inlineStr">
        <is>
          <t>Not Eligible</t>
        </is>
      </c>
      <c r="CL695"/>
      <c r="CM695"/>
    </row>
    <row r="696" ht="25.5" customHeight="1">
      <c r="A696" t="inlineStr">
        <is>
          <t>164252</t>
        </is>
      </c>
      <c r="B696" s="2"/>
      <c r="C696"/>
      <c r="D696" s="3">
        <v>46129.73585648148</v>
      </c>
      <c r="E696" t="inlineStr">
        <is>
          <t>Q2-W03</t>
        </is>
      </c>
      <c r="F696" t="inlineStr">
        <is>
          <t>Derek Lim</t>
        </is>
      </c>
      <c r="G696" t="inlineStr">
        <is>
          <t>Customer</t>
        </is>
      </c>
      <c r="H696" s="2" t="str">
        <f>=HYPERLINK("https://upbox.ajobthing.my/customer/164252", "https://upbox.ajobthing.my/customer/164252")</f>
        <v>https://upbox.ajobthing.my/customer/164252</v>
      </c>
      <c r="I696" t="inlineStr">
        <is>
          <t>Pembinaan Alimat Sdn Bhd</t>
        </is>
      </c>
      <c r="J696" t="inlineStr">
        <is>
          <t>Dolphin</t>
        </is>
      </c>
      <c r="K696" t="inlineStr">
        <is>
          <t>Derek Lim</t>
        </is>
      </c>
      <c r="L696" s="4"/>
      <c r="M696" s="4">
        <v>46129.735972222225</v>
      </c>
      <c r="N696"/>
      <c r="O696">
        <v>6048</v>
      </c>
      <c r="P696" s="4"/>
      <c r="Q696" s="4">
        <v>45743.40834490741</v>
      </c>
      <c r="R696"/>
      <c r="S696">
        <v>1404</v>
      </c>
      <c r="T696" s="4">
        <v>45743.40834490741</v>
      </c>
      <c r="U696" s="4"/>
      <c r="V696"/>
      <c r="W696">
        <v>1404</v>
      </c>
      <c r="X696"/>
      <c r="Y696" t="inlineStr">
        <is>
          <t>Pending Appointment</t>
        </is>
      </c>
      <c r="Z696" t="inlineStr">
        <is>
          <t>Hiring Now</t>
        </is>
      </c>
      <c r="AA696">
        <v>2</v>
      </c>
      <c r="AB696" t="inlineStr">
        <is>
          <t>No Appointment Made</t>
        </is>
      </c>
      <c r="AC696"/>
      <c r="AD696" t="inlineStr">
        <is>
          <t>Business development - 1, Assistant sales executive - 1</t>
        </is>
      </c>
      <c r="AE696"/>
      <c r="AF696">
        <v>0</v>
      </c>
      <c r="AG696" s="4"/>
      <c r="AH696" s="4"/>
      <c r="AI696">
        <v>0</v>
      </c>
      <c r="AJ696">
        <v>1</v>
      </c>
      <c r="AK696" t="inlineStr">
        <is>
          <t>No, I don't need at all</t>
        </is>
      </c>
      <c r="AL696">
        <v>0</v>
      </c>
      <c r="AM696" t="inlineStr">
        <is>
          <t>No, I don't need at all</t>
        </is>
      </c>
      <c r="AN696"/>
      <c r="AO696" t="inlineStr">
        <is>
          <t>No, I don't need at all</t>
        </is>
      </c>
      <c r="AP696" t="inlineStr">
        <is>
          <t>Once a year (25%)</t>
        </is>
      </c>
      <c r="AQ696">
        <v>2</v>
      </c>
      <c r="AR696" t="inlineStr">
        <is>
          <t>Free Job Portal</t>
        </is>
      </c>
      <c r="AS696" t="inlineStr">
        <is>
          <t>- Headcount: 2
- Hiring Job Details: 1 Business development, 1 Assistant sales executive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696">
        <v>115</v>
      </c>
      <c r="AU696" t="inlineStr">
        <is>
          <t>1.15</t>
        </is>
      </c>
      <c r="AV696" t="inlineStr">
        <is>
          <t>15</t>
        </is>
      </c>
      <c r="AW696" t="inlineStr">
        <is>
          <t>0</t>
        </is>
      </c>
      <c r="AX696" t="inlineStr">
        <is>
          <t>Not Qualified</t>
        </is>
      </c>
      <c r="AY696" s="4"/>
      <c r="AZ696"/>
      <c r="BA696"/>
      <c r="BB696"/>
      <c r="BC696" t="inlineStr">
        <is>
          <t>NO ANSWER</t>
        </is>
      </c>
      <c r="BD696" s="4">
        <v>46134.63489583333</v>
      </c>
      <c r="BE696" t="inlineStr">
        <is>
          <t>paid</t>
        </is>
      </c>
      <c r="BF696"/>
      <c r="BG696" t="inlineStr">
        <is>
          <t>Reschedule</t>
        </is>
      </c>
      <c r="BH696" t="inlineStr">
        <is>
          <t>Edward Hoo</t>
        </is>
      </c>
      <c r="BI696" t="inlineStr">
        <is>
          <t>Construction / Building</t>
        </is>
      </c>
      <c r="BJ696" s="4">
        <v>46144.7512037037</v>
      </c>
      <c r="BK696" s="4">
        <v>44966.400300925925</v>
      </c>
      <c r="BL696" t="inlineStr">
        <is>
          <t>0.0</t>
        </is>
      </c>
      <c r="BM696" t="inlineStr">
        <is>
          <t>0.0</t>
        </is>
      </c>
      <c r="BN696" t="inlineStr">
        <is>
          <t>View Jobmanager Page</t>
        </is>
      </c>
      <c r="BO696" s="4">
        <v>46024.371828703705</v>
      </c>
      <c r="BP696">
        <v>167715</v>
      </c>
      <c r="BQ696">
        <v>77993</v>
      </c>
      <c r="BR696" t="inlineStr">
        <is>
          <t>Online</t>
        </is>
      </c>
      <c r="BS696"/>
      <c r="BT696">
        <v>77993</v>
      </c>
      <c r="BU696"/>
      <c r="BV696">
        <v>2721035</v>
      </c>
      <c r="BW696" t="inlineStr">
        <is>
          <t>No Answer : Voicemail - WA sent to customer</t>
        </is>
      </c>
      <c r="BX696"/>
      <c r="BY696"/>
      <c r="BZ696" s="4"/>
      <c r="CA696"/>
      <c r="CB696"/>
      <c r="CC696" s="4"/>
      <c r="CD696" t="inlineStr">
        <is>
          <t>20</t>
        </is>
      </c>
      <c r="CE696" t="inlineStr">
        <is>
          <t>0</t>
        </is>
      </c>
      <c r="CF696" t="inlineStr">
        <is>
          <t>Q2-W03</t>
        </is>
      </c>
      <c r="CG696"/>
      <c r="CH696"/>
      <c r="CI696"/>
      <c r="CJ696" t="inlineStr">
        <is>
          <t>Paid</t>
        </is>
      </c>
      <c r="CK696" t="inlineStr">
        <is>
          <t>Not Eligible</t>
        </is>
      </c>
      <c r="CL696"/>
      <c r="CM696"/>
    </row>
    <row r="697" ht="25.5" customHeight="1">
      <c r="A697" t="inlineStr">
        <is>
          <t>178501</t>
        </is>
      </c>
      <c r="B697" s="2"/>
      <c r="C697"/>
      <c r="D697" s="3">
        <v>46129.74123842592</v>
      </c>
      <c r="E697" t="inlineStr">
        <is>
          <t>Q2-W03</t>
        </is>
      </c>
      <c r="F697" t="inlineStr">
        <is>
          <t>Josh</t>
        </is>
      </c>
      <c r="G697" t="inlineStr">
        <is>
          <t>Customer</t>
        </is>
      </c>
      <c r="H697" s="2" t="str">
        <f>=HYPERLINK("https://upbox.ajobthing.my/customer/178501", "https://upbox.ajobthing.my/customer/178501")</f>
        <v>https://upbox.ajobthing.my/customer/178501</v>
      </c>
      <c r="I697" t="inlineStr">
        <is>
          <t>Gen Dining Group Sdn Bhd</t>
        </is>
      </c>
      <c r="J697" t="inlineStr">
        <is>
          <t>Dolphin</t>
        </is>
      </c>
      <c r="K697" t="inlineStr">
        <is>
          <t>Josh</t>
        </is>
      </c>
      <c r="L697" s="4"/>
      <c r="M697" s="4">
        <v>46129.74099537037</v>
      </c>
      <c r="N697"/>
      <c r="O697">
        <v>11448</v>
      </c>
      <c r="P697" s="4"/>
      <c r="Q697" s="4">
        <v>45834.56554398148</v>
      </c>
      <c r="R697"/>
      <c r="S697">
        <v>1080</v>
      </c>
      <c r="T697" s="4">
        <v>45834.56554398148</v>
      </c>
      <c r="U697" s="4"/>
      <c r="V697"/>
      <c r="W697">
        <v>1080</v>
      </c>
      <c r="X697"/>
      <c r="Y697" t="inlineStr">
        <is>
          <t>Pending Appointment</t>
        </is>
      </c>
      <c r="Z697" t="inlineStr">
        <is>
          <t>Hiring Now</t>
        </is>
      </c>
      <c r="AA697">
        <v>2</v>
      </c>
      <c r="AB697" t="inlineStr">
        <is>
          <t>No Appointment Made</t>
        </is>
      </c>
      <c r="AC697"/>
      <c r="AD697" t="inlineStr">
        <is>
          <t xml:space="preserve">2 service crew </t>
        </is>
      </c>
      <c r="AE697"/>
      <c r="AF697">
        <v>3000</v>
      </c>
      <c r="AG697" s="4"/>
      <c r="AH697" s="4"/>
      <c r="AI697"/>
      <c r="AJ697"/>
      <c r="AK697"/>
      <c r="AL697"/>
      <c r="AM697"/>
      <c r="AN697"/>
      <c r="AO697"/>
      <c r="AP697" t="inlineStr">
        <is>
          <t>Once a year (25%)</t>
        </is>
      </c>
      <c r="AQ697"/>
      <c r="AR697"/>
      <c r="AS697" t="inlineStr">
        <is>
          <t>- Headcount: 2
- Hiring Job Details: 2 service crew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697">
        <v>85</v>
      </c>
      <c r="AU697" t="inlineStr">
        <is>
          <t>0.85</t>
        </is>
      </c>
      <c r="AV697" t="inlineStr">
        <is>
          <t>15</t>
        </is>
      </c>
      <c r="AW697" t="inlineStr">
        <is>
          <t>0</t>
        </is>
      </c>
      <c r="AX697" t="inlineStr">
        <is>
          <t>Not Qualified</t>
        </is>
      </c>
      <c r="AY697" s="4"/>
      <c r="AZ697"/>
      <c r="BA697"/>
      <c r="BB697"/>
      <c r="BC697" t="inlineStr">
        <is>
          <t>last time posting candidates quality not ok, management dont want first</t>
        </is>
      </c>
      <c r="BD697" s="4">
        <v>46136.48564814815</v>
      </c>
      <c r="BE697" t="inlineStr">
        <is>
          <t>paid</t>
        </is>
      </c>
      <c r="BF697"/>
      <c r="BG697" t="inlineStr">
        <is>
          <t>Reschedule</t>
        </is>
      </c>
      <c r="BH697" t="inlineStr">
        <is>
          <t>Fauziah Maharan</t>
        </is>
      </c>
      <c r="BI697" t="inlineStr">
        <is>
          <t>Food / Beverage</t>
        </is>
      </c>
      <c r="BJ697" s="4">
        <v>46144.75173611111</v>
      </c>
      <c r="BK697" s="4">
        <v>45428.72219907407</v>
      </c>
      <c r="BL697" t="inlineStr">
        <is>
          <t>2160.0</t>
        </is>
      </c>
      <c r="BM697" t="inlineStr">
        <is>
          <t>0.0</t>
        </is>
      </c>
      <c r="BN697" t="inlineStr">
        <is>
          <t>View Company Page</t>
        </is>
      </c>
      <c r="BO697" s="4">
        <v>46003.66449074074</v>
      </c>
      <c r="BP697">
        <v>167719</v>
      </c>
      <c r="BQ697">
        <v>80393</v>
      </c>
      <c r="BR697" t="inlineStr">
        <is>
          <t>Online</t>
        </is>
      </c>
      <c r="BS697"/>
      <c r="BT697">
        <v>80393</v>
      </c>
      <c r="BU697"/>
      <c r="BV697">
        <v>2725926</v>
      </c>
      <c r="BW697" t="inlineStr">
        <is>
          <t>Follow Up : Lost - Paid Portal</t>
        </is>
      </c>
      <c r="BX697"/>
      <c r="BY697"/>
      <c r="BZ697" s="4"/>
      <c r="CA697"/>
      <c r="CB697"/>
      <c r="CC697" s="4"/>
      <c r="CD697" t="inlineStr">
        <is>
          <t>20</t>
        </is>
      </c>
      <c r="CE697" t="inlineStr">
        <is>
          <t>0</t>
        </is>
      </c>
      <c r="CF697" t="inlineStr">
        <is>
          <t>Q2-W03</t>
        </is>
      </c>
      <c r="CG697"/>
      <c r="CH697"/>
      <c r="CI697"/>
      <c r="CJ697" t="inlineStr">
        <is>
          <t>Paid</t>
        </is>
      </c>
      <c r="CK697" t="inlineStr">
        <is>
          <t>Not Eligible</t>
        </is>
      </c>
      <c r="CL697"/>
      <c r="CM697"/>
    </row>
    <row r="698" ht="25.5" customHeight="1">
      <c r="A698" t="inlineStr">
        <is>
          <t>167388</t>
        </is>
      </c>
      <c r="B698" s="2"/>
      <c r="C698"/>
      <c r="D698" s="3">
        <v>46129.74537037037</v>
      </c>
      <c r="E698" t="inlineStr">
        <is>
          <t>Q2-W03</t>
        </is>
      </c>
      <c r="F698" t="inlineStr">
        <is>
          <t>Luqman</t>
        </is>
      </c>
      <c r="G698" t="inlineStr">
        <is>
          <t>Customer</t>
        </is>
      </c>
      <c r="H698" s="2" t="str">
        <f>=HYPERLINK("https://upbox.ajobthing.my/customer/167388", "https://upbox.ajobthing.my/customer/167388")</f>
        <v>https://upbox.ajobthing.my/customer/167388</v>
      </c>
      <c r="I698" t="inlineStr">
        <is>
          <t>BusOnlineTicket Sdn Bhd</t>
        </is>
      </c>
      <c r="J698" t="inlineStr">
        <is>
          <t>Dolphin</t>
        </is>
      </c>
      <c r="K698" t="inlineStr">
        <is>
          <t>Luqman</t>
        </is>
      </c>
      <c r="L698" s="4"/>
      <c r="M698" s="4">
        <v>46129.74592592593</v>
      </c>
      <c r="N698"/>
      <c r="O698">
        <v>1296</v>
      </c>
      <c r="P698" s="4"/>
      <c r="Q698" s="4">
        <v>45072.14270833333</v>
      </c>
      <c r="R698"/>
      <c r="S698">
        <v>2544</v>
      </c>
      <c r="T698" s="4">
        <v>45072.00001157408</v>
      </c>
      <c r="U698" s="4"/>
      <c r="V698"/>
      <c r="W698">
        <v>2544</v>
      </c>
      <c r="X698"/>
      <c r="Y698" t="inlineStr">
        <is>
          <t>Pending Appointment</t>
        </is>
      </c>
      <c r="Z698" t="inlineStr">
        <is>
          <t>Hiring Later</t>
        </is>
      </c>
      <c r="AA698">
        <v>1</v>
      </c>
      <c r="AB698" t="inlineStr">
        <is>
          <t>No Appointment Made</t>
        </is>
      </c>
      <c r="AC698"/>
      <c r="AD698" t="inlineStr">
        <is>
          <t xml:space="preserve">1. Intern </t>
        </is>
      </c>
      <c r="AE698"/>
      <c r="AF698">
        <v>800</v>
      </c>
      <c r="AG698" s="4"/>
      <c r="AH698" s="4"/>
      <c r="AI698">
        <v>1200</v>
      </c>
      <c r="AJ698"/>
      <c r="AK698" t="inlineStr">
        <is>
          <t>No, but I want in future</t>
        </is>
      </c>
      <c r="AL698">
        <v>1</v>
      </c>
      <c r="AM698" t="inlineStr">
        <is>
          <t>No, I don't need at all</t>
        </is>
      </c>
      <c r="AN698"/>
      <c r="AO698" t="inlineStr">
        <is>
          <t>No, I don't need at all</t>
        </is>
      </c>
      <c r="AP698" t="inlineStr">
        <is>
          <t>Once a year (25%)</t>
        </is>
      </c>
      <c r="AQ698">
        <v>1</v>
      </c>
      <c r="AR698" t="inlineStr">
        <is>
          <t>Free Job Portal</t>
        </is>
      </c>
      <c r="AS698" t="inlineStr">
        <is>
          <t>- Headcount: 1
- Hiring Job Details: 1 Intern
- Hiring Urgency: Hiring Later
- Number of outlets: None
- Have recruiter team: No, but I want in future
- Number of recruiter in company: 1
- Have ATS system: No, I don't need at all
- Have career website: No, I don't need at all
- Current hiring budget: RM800
- Whole year budget: RM1,200.00
- Whole year number of vacancies: 1
- Hiring frequency: Once a year (25%)
- External job portal: Free Job Portal</t>
        </is>
      </c>
      <c r="AT698">
        <v>110</v>
      </c>
      <c r="AU698" t="inlineStr">
        <is>
          <t>1.10</t>
        </is>
      </c>
      <c r="AV698" t="inlineStr">
        <is>
          <t>15</t>
        </is>
      </c>
      <c r="AW698" t="inlineStr">
        <is>
          <t>0</t>
        </is>
      </c>
      <c r="AX698" t="inlineStr">
        <is>
          <t>Not Qualified</t>
        </is>
      </c>
      <c r="AY698" s="4"/>
      <c r="AZ698"/>
      <c r="BA698"/>
      <c r="BB698"/>
      <c r="BC698" t="inlineStr">
        <is>
          <t>Utilize free portal as previous experience is not good</t>
        </is>
      </c>
      <c r="BD698" s="4">
        <v>46135.72222222222</v>
      </c>
      <c r="BE698" t="inlineStr">
        <is>
          <t>paid</t>
        </is>
      </c>
      <c r="BF698"/>
      <c r="BG698" t="inlineStr">
        <is>
          <t>Reschedule</t>
        </is>
      </c>
      <c r="BH698" t="inlineStr">
        <is>
          <t>Edward Hoo</t>
        </is>
      </c>
      <c r="BI698" t="inlineStr">
        <is>
          <t>Transportation / Logistics</t>
        </is>
      </c>
      <c r="BJ698" s="4">
        <v>46144.75131944445</v>
      </c>
      <c r="BK698" s="4">
        <v>45072.47503472222</v>
      </c>
      <c r="BL698" t="inlineStr">
        <is>
          <t>0.0</t>
        </is>
      </c>
      <c r="BM698" t="inlineStr">
        <is>
          <t>1200.0</t>
        </is>
      </c>
      <c r="BN698" t="inlineStr">
        <is>
          <t>View Company Page</t>
        </is>
      </c>
      <c r="BO698" s="4">
        <v>45467.74935185185</v>
      </c>
      <c r="BP698">
        <v>167724</v>
      </c>
      <c r="BQ698">
        <v>76329</v>
      </c>
      <c r="BR698" t="inlineStr">
        <is>
          <t>Proforma</t>
        </is>
      </c>
      <c r="BS698" t="inlineStr">
        <is>
          <t>A-May-Zing-Deal - STARTUP PLUS Package</t>
        </is>
      </c>
      <c r="BT698">
        <v>58970</v>
      </c>
      <c r="BU698"/>
      <c r="BV698">
        <v>2725011</v>
      </c>
      <c r="BW698" t="inlineStr">
        <is>
          <t>Follow Up : Lost - Free Portal</t>
        </is>
      </c>
      <c r="BX698"/>
      <c r="BY698"/>
      <c r="BZ698" s="4"/>
      <c r="CA698"/>
      <c r="CB698"/>
      <c r="CC698" s="4"/>
      <c r="CD698" t="inlineStr">
        <is>
          <t>20</t>
        </is>
      </c>
      <c r="CE698" t="inlineStr">
        <is>
          <t>0</t>
        </is>
      </c>
      <c r="CF698" t="inlineStr">
        <is>
          <t>Q2-W03</t>
        </is>
      </c>
      <c r="CG698"/>
      <c r="CH698"/>
      <c r="CI698"/>
      <c r="CJ698" t="inlineStr">
        <is>
          <t>Paid</t>
        </is>
      </c>
      <c r="CK698" t="inlineStr">
        <is>
          <t>Not Eligible</t>
        </is>
      </c>
      <c r="CL698"/>
      <c r="CM698"/>
    </row>
    <row r="699" ht="25.5" customHeight="1">
      <c r="A699" t="inlineStr">
        <is>
          <t>142661</t>
        </is>
      </c>
      <c r="B699" s="2"/>
      <c r="C699"/>
      <c r="D699" s="3">
        <v>46129.745462962965</v>
      </c>
      <c r="E699" t="inlineStr">
        <is>
          <t>Q2-W03</t>
        </is>
      </c>
      <c r="F699" t="inlineStr">
        <is>
          <t>Alan KY</t>
        </is>
      </c>
      <c r="G699" t="inlineStr">
        <is>
          <t>Customer</t>
        </is>
      </c>
      <c r="H699" s="2" t="str">
        <f>=HYPERLINK("https://upbox.ajobthing.my/customer/142661", "https://upbox.ajobthing.my/customer/142661")</f>
        <v>https://upbox.ajobthing.my/customer/142661</v>
      </c>
      <c r="I699" t="inlineStr">
        <is>
          <t>Bastion Systems Sdn Bhd</t>
        </is>
      </c>
      <c r="J699" t="inlineStr">
        <is>
          <t>Dolphin</t>
        </is>
      </c>
      <c r="K699" t="inlineStr">
        <is>
          <t>Alan KY</t>
        </is>
      </c>
      <c r="L699" s="4"/>
      <c r="M699" s="4">
        <v>46129.7466087963</v>
      </c>
      <c r="N699"/>
      <c r="O699">
        <v>6048</v>
      </c>
      <c r="P699" s="4"/>
      <c r="Q699" s="4">
        <v>45425.55746527778</v>
      </c>
      <c r="R699"/>
      <c r="S699">
        <v>2700</v>
      </c>
      <c r="T699" s="4">
        <v>45425.55746527778</v>
      </c>
      <c r="U699" s="4"/>
      <c r="V699"/>
      <c r="W699">
        <v>2700</v>
      </c>
      <c r="X699"/>
      <c r="Y699" t="inlineStr">
        <is>
          <t>Pending Appointment</t>
        </is>
      </c>
      <c r="Z699" t="inlineStr">
        <is>
          <t>Continuous Hiring</t>
        </is>
      </c>
      <c r="AA699">
        <v>0</v>
      </c>
      <c r="AB699" t="inlineStr">
        <is>
          <t>No Appointment Made</t>
        </is>
      </c>
      <c r="AC699"/>
      <c r="AD699" t="inlineStr">
        <is>
          <t xml:space="preserve">https://www.bastion.com.my/career.html 
Ongoing hiring </t>
        </is>
      </c>
      <c r="AE699"/>
      <c r="AF699"/>
      <c r="AG699" s="4"/>
      <c r="AH699" s="4"/>
      <c r="AI699"/>
      <c r="AJ699"/>
      <c r="AK699" t="inlineStr">
        <is>
          <t>No, I don't need at all</t>
        </is>
      </c>
      <c r="AL699"/>
      <c r="AM699" t="inlineStr">
        <is>
          <t>No, I don't need at all</t>
        </is>
      </c>
      <c r="AN699"/>
      <c r="AO699" t="inlineStr">
        <is>
          <t>No, I don't need at all</t>
        </is>
      </c>
      <c r="AP699" t="inlineStr">
        <is>
          <t>Once per quarter (75%)</t>
        </is>
      </c>
      <c r="AQ699"/>
      <c r="AR699" t="inlineStr">
        <is>
          <t>Jobstreet</t>
        </is>
      </c>
      <c r="AS699" t="inlineStr">
        <is>
          <t>- Headcount: Not specified
- Hiring Job Details: https://www.bastion.com.my/career.html; Ongoing hiring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699">
        <v>35</v>
      </c>
      <c r="AU699" t="inlineStr">
        <is>
          <t>0.35</t>
        </is>
      </c>
      <c r="AV699" t="inlineStr">
        <is>
          <t>5</t>
        </is>
      </c>
      <c r="AW699" t="inlineStr">
        <is>
          <t>0</t>
        </is>
      </c>
      <c r="AX699" t="inlineStr">
        <is>
          <t>Not Qualified</t>
        </is>
      </c>
      <c r="AY699" s="4"/>
      <c r="AZ699"/>
      <c r="BA699"/>
      <c r="BB699"/>
      <c r="BC699" t="inlineStr">
        <is>
          <t>- Headcount: Not specified
- Hiring Job Details: https://www.bastion.com.my/career.html; Ongoing hiring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BD699" s="4">
        <v>46129.75005787037</v>
      </c>
      <c r="BE699" t="inlineStr">
        <is>
          <t>paid</t>
        </is>
      </c>
      <c r="BF699"/>
      <c r="BG699" t="inlineStr">
        <is>
          <t>Reschedule</t>
        </is>
      </c>
      <c r="BH699" t="inlineStr">
        <is>
          <t>Reagen</t>
        </is>
      </c>
      <c r="BI699" t="inlineStr">
        <is>
          <t>Engineering / Technical Consulting</t>
        </is>
      </c>
      <c r="BJ699" s="4">
        <v>46144.75069444445</v>
      </c>
      <c r="BK699" s="4">
        <v>44493.51599537037</v>
      </c>
      <c r="BL699" t="inlineStr">
        <is>
          <t>0.0</t>
        </is>
      </c>
      <c r="BM699" t="inlineStr">
        <is>
          <t>0.0</t>
        </is>
      </c>
      <c r="BN699" t="inlineStr">
        <is>
          <t>View Candidate Search Page</t>
        </is>
      </c>
      <c r="BO699" s="4">
        <v>45906.87375</v>
      </c>
      <c r="BP699">
        <v>167725</v>
      </c>
      <c r="BQ699">
        <v>69041</v>
      </c>
      <c r="BR699" t="inlineStr">
        <is>
          <t>Online</t>
        </is>
      </c>
      <c r="BS699"/>
      <c r="BT699">
        <v>69041</v>
      </c>
      <c r="BU699"/>
      <c r="BV699">
        <v>2713904</v>
      </c>
      <c r="BW699" t="inlineStr">
        <is>
          <t>Customer Inquiry</t>
        </is>
      </c>
      <c r="BX699"/>
      <c r="BY699"/>
      <c r="BZ699" s="4"/>
      <c r="CA699"/>
      <c r="CB699"/>
      <c r="CC699" s="4"/>
      <c r="CD699" t="inlineStr">
        <is>
          <t>5</t>
        </is>
      </c>
      <c r="CE699" t="inlineStr">
        <is>
          <t>0</t>
        </is>
      </c>
      <c r="CF699" t="inlineStr">
        <is>
          <t>Q2-W03</t>
        </is>
      </c>
      <c r="CG699"/>
      <c r="CH699"/>
      <c r="CI699"/>
      <c r="CJ699" t="inlineStr">
        <is>
          <t>Paid</t>
        </is>
      </c>
      <c r="CK699" t="inlineStr">
        <is>
          <t>Not Eligible</t>
        </is>
      </c>
      <c r="CL699"/>
      <c r="CM699"/>
    </row>
    <row r="700" ht="25.5" customHeight="1">
      <c r="A700" t="inlineStr">
        <is>
          <t>176367</t>
        </is>
      </c>
      <c r="B700" s="2"/>
      <c r="C700"/>
      <c r="D700" s="3">
        <v>46129.74949074074</v>
      </c>
      <c r="E700" t="inlineStr">
        <is>
          <t>Q2-W03</t>
        </is>
      </c>
      <c r="F700" t="inlineStr">
        <is>
          <t>Josh</t>
        </is>
      </c>
      <c r="G700" t="inlineStr">
        <is>
          <t>Customer</t>
        </is>
      </c>
      <c r="H700" s="2" t="str">
        <f>=HYPERLINK("https://upbox.ajobthing.my/customer/176367", "https://upbox.ajobthing.my/customer/176367")</f>
        <v>https://upbox.ajobthing.my/customer/176367</v>
      </c>
      <c r="I700" t="inlineStr">
        <is>
          <t xml:space="preserve">UES Ultramech Electrical Sdn Bhd </t>
        </is>
      </c>
      <c r="J700" t="inlineStr">
        <is>
          <t>Dolphin</t>
        </is>
      </c>
      <c r="K700" t="inlineStr">
        <is>
          <t>Josh</t>
        </is>
      </c>
      <c r="L700" s="4"/>
      <c r="M700" s="4">
        <v>46129.74959490741</v>
      </c>
      <c r="N700"/>
      <c r="O700">
        <v>6048</v>
      </c>
      <c r="P700" s="4"/>
      <c r="Q700" s="4">
        <v>45638.68136574074</v>
      </c>
      <c r="R700"/>
      <c r="S700">
        <v>1080</v>
      </c>
      <c r="T700" s="4">
        <v>45638.68136574074</v>
      </c>
      <c r="U700" s="4"/>
      <c r="V700"/>
      <c r="W700">
        <v>1080</v>
      </c>
      <c r="X700"/>
      <c r="Y700" t="inlineStr">
        <is>
          <t>Pending Appointment</t>
        </is>
      </c>
      <c r="Z700" t="inlineStr">
        <is>
          <t>Hiring Later</t>
        </is>
      </c>
      <c r="AA700">
        <v>1</v>
      </c>
      <c r="AB700" t="inlineStr">
        <is>
          <t>No Appointment Made</t>
        </is>
      </c>
      <c r="AC700"/>
      <c r="AD700" t="inlineStr">
        <is>
          <t xml:space="preserve">1 engineer </t>
        </is>
      </c>
      <c r="AE700"/>
      <c r="AF700">
        <v>3000</v>
      </c>
      <c r="AG700" s="4"/>
      <c r="AH700" s="4"/>
      <c r="AI700"/>
      <c r="AJ700"/>
      <c r="AK700" t="inlineStr">
        <is>
          <t>Yes, I have</t>
        </is>
      </c>
      <c r="AL700"/>
      <c r="AM700"/>
      <c r="AN700"/>
      <c r="AO700"/>
      <c r="AP700" t="inlineStr">
        <is>
          <t>Once a year (25%)</t>
        </is>
      </c>
      <c r="AQ700"/>
      <c r="AR700"/>
      <c r="AS700" t="inlineStr">
        <is>
          <t>- Headcount: 1
- Hiring Job Details: 1 engineer
- Hiring Urgency: Hiring Later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700">
        <v>75</v>
      </c>
      <c r="AU700" t="inlineStr">
        <is>
          <t>0.75</t>
        </is>
      </c>
      <c r="AV700" t="inlineStr">
        <is>
          <t>15</t>
        </is>
      </c>
      <c r="AW700" t="inlineStr">
        <is>
          <t>0</t>
        </is>
      </c>
      <c r="AX700" t="inlineStr">
        <is>
          <t>Not Qualified</t>
        </is>
      </c>
      <c r="AY700" s="4"/>
      <c r="AZ700"/>
      <c r="BA700"/>
      <c r="BB700"/>
      <c r="BC700" t="inlineStr">
        <is>
          <t>still planning, may share current offer</t>
        </is>
      </c>
      <c r="BD700" s="4">
        <v>46129.751284722224</v>
      </c>
      <c r="BE700" t="inlineStr">
        <is>
          <t>paid</t>
        </is>
      </c>
      <c r="BF700"/>
      <c r="BG700" t="inlineStr">
        <is>
          <t>Reschedule</t>
        </is>
      </c>
      <c r="BH700" t="inlineStr">
        <is>
          <t>Fauziah Maharan</t>
        </is>
      </c>
      <c r="BI700" t="inlineStr">
        <is>
          <t>Construction / Building</t>
        </is>
      </c>
      <c r="BJ700" s="4">
        <v>46144.75163194445</v>
      </c>
      <c r="BK700" s="4">
        <v>45364.842835648145</v>
      </c>
      <c r="BL700" t="inlineStr">
        <is>
          <t>0.0</t>
        </is>
      </c>
      <c r="BM700" t="inlineStr">
        <is>
          <t>0.0</t>
        </is>
      </c>
      <c r="BN700" t="inlineStr">
        <is>
          <t>PA Email CTA Click</t>
        </is>
      </c>
      <c r="BO700" s="4">
        <v>45700.53671296296</v>
      </c>
      <c r="BP700">
        <v>167727</v>
      </c>
      <c r="BQ700">
        <v>75367</v>
      </c>
      <c r="BR700" t="inlineStr">
        <is>
          <t>Online</t>
        </is>
      </c>
      <c r="BS700"/>
      <c r="BT700">
        <v>75367</v>
      </c>
      <c r="BU700"/>
      <c r="BV700">
        <v>2713926</v>
      </c>
      <c r="BW700" t="inlineStr">
        <is>
          <t>Inquire for Hiring Needs : Quotation Sent 50%</t>
        </is>
      </c>
      <c r="BX700"/>
      <c r="BY700"/>
      <c r="BZ700" s="4"/>
      <c r="CA700"/>
      <c r="CB700"/>
      <c r="CC700" s="4"/>
      <c r="CD700" t="inlineStr">
        <is>
          <t>20</t>
        </is>
      </c>
      <c r="CE700" t="inlineStr">
        <is>
          <t>0</t>
        </is>
      </c>
      <c r="CF700" t="inlineStr">
        <is>
          <t>Q2-W03</t>
        </is>
      </c>
      <c r="CG700"/>
      <c r="CH700"/>
      <c r="CI700"/>
      <c r="CJ700" t="inlineStr">
        <is>
          <t>Paid</t>
        </is>
      </c>
      <c r="CK700" t="inlineStr">
        <is>
          <t>Not Eligible</t>
        </is>
      </c>
      <c r="CL700"/>
      <c r="CM700"/>
    </row>
    <row r="701" ht="25.5" customHeight="1">
      <c r="A701" t="inlineStr">
        <is>
          <t>186105</t>
        </is>
      </c>
      <c r="B701" s="2"/>
      <c r="C701"/>
      <c r="D701" s="3">
        <v>46129.76572916667</v>
      </c>
      <c r="E701" t="inlineStr">
        <is>
          <t>Q2-W03</t>
        </is>
      </c>
      <c r="F701" t="inlineStr">
        <is>
          <t>Chia Yee</t>
        </is>
      </c>
      <c r="G701" t="inlineStr">
        <is>
          <t>Customer</t>
        </is>
      </c>
      <c r="H701" s="2" t="str">
        <f>=HYPERLINK("https://upbox.ajobthing.my/customer/186105", "https://upbox.ajobthing.my/customer/186105")</f>
        <v>https://upbox.ajobthing.my/customer/186105</v>
      </c>
      <c r="I701" t="inlineStr">
        <is>
          <t>The Dose Sdn Bhd</t>
        </is>
      </c>
      <c r="J701" t="inlineStr">
        <is>
          <t>Dolphin</t>
        </is>
      </c>
      <c r="K701" t="inlineStr">
        <is>
          <t>Chia Yee</t>
        </is>
      </c>
      <c r="L701" s="4"/>
      <c r="M701" s="4">
        <v>46129.61471064815</v>
      </c>
      <c r="N701"/>
      <c r="O701">
        <v>6048</v>
      </c>
      <c r="P701" s="4"/>
      <c r="Q701" s="4">
        <v>45656.53476851852</v>
      </c>
      <c r="R701"/>
      <c r="S701">
        <v>4233.6</v>
      </c>
      <c r="T701" s="4">
        <v>45656.53476851852</v>
      </c>
      <c r="U701" s="4"/>
      <c r="V701"/>
      <c r="W701">
        <v>4233.6</v>
      </c>
      <c r="X701"/>
      <c r="Y701" t="inlineStr">
        <is>
          <t>Pending Appointment</t>
        </is>
      </c>
      <c r="Z701" t="inlineStr">
        <is>
          <t>Hiring Later</t>
        </is>
      </c>
      <c r="AA701">
        <v>2</v>
      </c>
      <c r="AB701" t="inlineStr">
        <is>
          <t>No Appointment Made</t>
        </is>
      </c>
      <c r="AC701"/>
      <c r="AD701" t="inlineStr">
        <is>
          <t>supervisor , kitchen staff</t>
        </is>
      </c>
      <c r="AE701"/>
      <c r="AF701">
        <v>0</v>
      </c>
      <c r="AG701" s="4"/>
      <c r="AH701" s="4"/>
      <c r="AI701">
        <v>0</v>
      </c>
      <c r="AJ701">
        <v>1</v>
      </c>
      <c r="AK701" t="inlineStr">
        <is>
          <t>No, I don't need at all</t>
        </is>
      </c>
      <c r="AL701">
        <v>1</v>
      </c>
      <c r="AM701" t="inlineStr">
        <is>
          <t>No, I don't need at all</t>
        </is>
      </c>
      <c r="AN701"/>
      <c r="AO701" t="inlineStr">
        <is>
          <t>Yes, I have</t>
        </is>
      </c>
      <c r="AP701" t="inlineStr">
        <is>
          <t>Twice a year (50%)</t>
        </is>
      </c>
      <c r="AQ701">
        <v>5</v>
      </c>
      <c r="AR701" t="inlineStr">
        <is>
          <t>Did not use any job portal</t>
        </is>
      </c>
      <c r="AS701" t="inlineStr">
        <is>
          <t>- Headcount: 2
- Hiring Job Details: supervisor, kitchen staff
- Hiring Urgency: Hiring Later
- Number of outlets: 1
- Have recruiter team: No, I don't need at all
- Number of recruiter in company: 1
- Have ATS system: No, I don't need at all
- Have career website: Yes, I have
- Current hiring budget: RM0
- Whole year budget: RM0.00
- Whole year number of vacancies: 5
- Hiring frequency: Twice a year (50%)
- External job portal: Did not use any job portal</t>
        </is>
      </c>
      <c r="AT701">
        <v>65</v>
      </c>
      <c r="AU701" t="inlineStr">
        <is>
          <t>0.65</t>
        </is>
      </c>
      <c r="AV701" t="inlineStr">
        <is>
          <t>15</t>
        </is>
      </c>
      <c r="AW701" t="inlineStr">
        <is>
          <t>0</t>
        </is>
      </c>
      <c r="AX701" t="inlineStr">
        <is>
          <t>Not Qualified</t>
        </is>
      </c>
      <c r="AY701" s="4"/>
      <c r="AZ701"/>
      <c r="BA701"/>
      <c r="BB701"/>
      <c r="BC701" t="inlineStr">
        <is>
          <t>- Headcount: 2
- Hiring Job Details: supervisor, kitchen staff
- Hiring Urgency: Hiring Later
- Number of outlets: 1
- Have recruiter team: No, I don't need at all
- Number of recruiter in company: 1
- Have ATS system: No, I don't need at all
- Have career website: Yes, I have
- Current hiring budget: RM0
- Whole year budget: RM0.00
- Whole year number of vacancies: 5
- Hiring frequency: Twice a year (50%)
- External job portal: Did not use any job portal</t>
        </is>
      </c>
      <c r="BD701" s="4">
        <v>46129.7918287037</v>
      </c>
      <c r="BE701" t="inlineStr">
        <is>
          <t>paid</t>
        </is>
      </c>
      <c r="BF701"/>
      <c r="BG701" t="inlineStr">
        <is>
          <t>Reschedule</t>
        </is>
      </c>
      <c r="BH701" t="inlineStr">
        <is>
          <t>Reagen</t>
        </is>
      </c>
      <c r="BI701" t="inlineStr">
        <is>
          <t>Food / Beverage</t>
        </is>
      </c>
      <c r="BJ701" s="4">
        <v>46144.75209490741</v>
      </c>
      <c r="BK701" s="4">
        <v>45650.45591435185</v>
      </c>
      <c r="BL701" t="inlineStr">
        <is>
          <t>0.0</t>
        </is>
      </c>
      <c r="BM701" t="inlineStr">
        <is>
          <t>0.0</t>
        </is>
      </c>
      <c r="BN701" t="inlineStr">
        <is>
          <t>User Visit(Logged In)</t>
        </is>
      </c>
      <c r="BO701" s="4">
        <v>46062.691412037035</v>
      </c>
      <c r="BP701">
        <v>167627</v>
      </c>
      <c r="BQ701">
        <v>75699</v>
      </c>
      <c r="BR701" t="inlineStr">
        <is>
          <t>Online</t>
        </is>
      </c>
      <c r="BS701"/>
      <c r="BT701">
        <v>75699</v>
      </c>
      <c r="BU701"/>
      <c r="BV701">
        <v>2714044</v>
      </c>
      <c r="BW701" t="inlineStr">
        <is>
          <t>Customer Inquiry</t>
        </is>
      </c>
      <c r="BX701"/>
      <c r="BY701"/>
      <c r="BZ701" s="4"/>
      <c r="CA701"/>
      <c r="CB701"/>
      <c r="CC701" s="4"/>
      <c r="CD701" t="inlineStr">
        <is>
          <t>20</t>
        </is>
      </c>
      <c r="CE701" t="inlineStr">
        <is>
          <t>0</t>
        </is>
      </c>
      <c r="CF701" t="inlineStr">
        <is>
          <t>Q2-W03</t>
        </is>
      </c>
      <c r="CG701"/>
      <c r="CH701"/>
      <c r="CI701"/>
      <c r="CJ701" t="inlineStr">
        <is>
          <t>Paid</t>
        </is>
      </c>
      <c r="CK701" t="inlineStr">
        <is>
          <t>Not Eligible</t>
        </is>
      </c>
      <c r="CL701"/>
      <c r="CM701"/>
    </row>
    <row r="702" ht="25.5" customHeight="1">
      <c r="A702" t="inlineStr">
        <is>
          <t>180112</t>
        </is>
      </c>
      <c r="B702" s="2"/>
      <c r="C702"/>
      <c r="D702" s="3">
        <v>46129.766064814816</v>
      </c>
      <c r="E702" t="inlineStr">
        <is>
          <t>Q2-W03</t>
        </is>
      </c>
      <c r="F702" t="inlineStr">
        <is>
          <t>Dickson</t>
        </is>
      </c>
      <c r="G702" t="inlineStr">
        <is>
          <t>Customer</t>
        </is>
      </c>
      <c r="H702" s="2" t="str">
        <f>=HYPERLINK("https://upbox.ajobthing.my/customer/180112", "https://upbox.ajobthing.my/customer/180112")</f>
        <v>https://upbox.ajobthing.my/customer/180112</v>
      </c>
      <c r="I702" t="inlineStr">
        <is>
          <t>Shin Mura Wagyu Robata Sdn. Bhd.</t>
        </is>
      </c>
      <c r="J702" t="inlineStr">
        <is>
          <t>Dolphin</t>
        </is>
      </c>
      <c r="K702" t="inlineStr">
        <is>
          <t>Dickson</t>
        </is>
      </c>
      <c r="L702" s="4"/>
      <c r="M702" s="4">
        <v>46129.76634259259</v>
      </c>
      <c r="N702"/>
      <c r="O702">
        <v>6048</v>
      </c>
      <c r="P702" s="4"/>
      <c r="Q702" s="4">
        <v>45477.42445601852</v>
      </c>
      <c r="R702"/>
      <c r="S702">
        <v>2916</v>
      </c>
      <c r="T702" s="4">
        <v>45477.42445601852</v>
      </c>
      <c r="U702" s="4"/>
      <c r="V702"/>
      <c r="W702">
        <v>2916</v>
      </c>
      <c r="X702"/>
      <c r="Y702" t="inlineStr">
        <is>
          <t>Pending Appointment</t>
        </is>
      </c>
      <c r="Z702" t="inlineStr">
        <is>
          <t>Hiring Now</t>
        </is>
      </c>
      <c r="AA702">
        <v>9</v>
      </c>
      <c r="AB702" t="inlineStr">
        <is>
          <t>No Appointment Made</t>
        </is>
      </c>
      <c r="AC702"/>
      <c r="AD702" t="inlineStr">
        <is>
          <t>4-5 in frontliner restaurant, 4-5 in kitchen department</t>
        </is>
      </c>
      <c r="AE702"/>
      <c r="AF702"/>
      <c r="AG702" s="4"/>
      <c r="AH702" s="4"/>
      <c r="AI702"/>
      <c r="AJ702">
        <v>2</v>
      </c>
      <c r="AK702" t="inlineStr">
        <is>
          <t>No, I don't need at all</t>
        </is>
      </c>
      <c r="AL702"/>
      <c r="AM702" t="inlineStr">
        <is>
          <t>No, I don't need at all</t>
        </is>
      </c>
      <c r="AN702"/>
      <c r="AO702" t="inlineStr">
        <is>
          <t>No, I don't need at all</t>
        </is>
      </c>
      <c r="AP702" t="inlineStr">
        <is>
          <t>Once per quarter (75%)</t>
        </is>
      </c>
      <c r="AQ702"/>
      <c r="AR702" t="inlineStr">
        <is>
          <t>Free Job Portal</t>
        </is>
      </c>
      <c r="AS702" t="inlineStr">
        <is>
          <t>- Headcount: 9
- Hiring Job Details: 4-5 frontliner restaurant, 4-5 kitchen department
- Hiring Urgency: Hiring Now
- Number of outlets: 2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702">
        <v>95</v>
      </c>
      <c r="AU702" t="inlineStr">
        <is>
          <t>0.95</t>
        </is>
      </c>
      <c r="AV702" t="inlineStr">
        <is>
          <t>10</t>
        </is>
      </c>
      <c r="AW702" t="inlineStr">
        <is>
          <t>0</t>
        </is>
      </c>
      <c r="AX702" t="inlineStr">
        <is>
          <t>Not Qualified</t>
        </is>
      </c>
      <c r="AY702" s="4"/>
      <c r="AZ702"/>
      <c r="BA702"/>
      <c r="BB702"/>
      <c r="BC702" t="inlineStr">
        <is>
          <t>the boss is not interested</t>
        </is>
      </c>
      <c r="BD702" s="4">
        <v>46135.63334490741</v>
      </c>
      <c r="BE702" t="inlineStr">
        <is>
          <t>paid</t>
        </is>
      </c>
      <c r="BF702"/>
      <c r="BG702" t="inlineStr">
        <is>
          <t>Reschedule</t>
        </is>
      </c>
      <c r="BH702" t="inlineStr">
        <is>
          <t>Edward Hoo</t>
        </is>
      </c>
      <c r="BI702" t="inlineStr">
        <is>
          <t>Food / Beverage</t>
        </is>
      </c>
      <c r="BJ702" s="4">
        <v>46144.75181712963</v>
      </c>
      <c r="BK702" s="4">
        <v>45476.387719907405</v>
      </c>
      <c r="BL702" t="inlineStr">
        <is>
          <t>0.0</t>
        </is>
      </c>
      <c r="BM702" t="inlineStr">
        <is>
          <t>1800.0</t>
        </is>
      </c>
      <c r="BN702" t="inlineStr">
        <is>
          <t>View Company Page</t>
        </is>
      </c>
      <c r="BO702" s="4">
        <v>45882.930914351855</v>
      </c>
      <c r="BP702">
        <v>167728</v>
      </c>
      <c r="BQ702">
        <v>70707</v>
      </c>
      <c r="BR702" t="inlineStr">
        <is>
          <t>Online</t>
        </is>
      </c>
      <c r="BS702"/>
      <c r="BT702">
        <v>70707</v>
      </c>
      <c r="BU702"/>
      <c r="BV702">
        <v>2723858</v>
      </c>
      <c r="BW702" t="inlineStr">
        <is>
          <t>Follow Up : Lost - Free Portal</t>
        </is>
      </c>
      <c r="BX702"/>
      <c r="BY702"/>
      <c r="BZ702" s="4"/>
      <c r="CA702"/>
      <c r="CB702"/>
      <c r="CC702" s="4"/>
      <c r="CD702" t="inlineStr">
        <is>
          <t>15</t>
        </is>
      </c>
      <c r="CE702" t="inlineStr">
        <is>
          <t>0</t>
        </is>
      </c>
      <c r="CF702" t="inlineStr">
        <is>
          <t>Q2-W03</t>
        </is>
      </c>
      <c r="CG702"/>
      <c r="CH702"/>
      <c r="CI702"/>
      <c r="CJ702" t="inlineStr">
        <is>
          <t>Paid</t>
        </is>
      </c>
      <c r="CK702" t="inlineStr">
        <is>
          <t>Eligible</t>
        </is>
      </c>
      <c r="CL702"/>
      <c r="CM702"/>
    </row>
    <row r="703" ht="25.5" customHeight="1">
      <c r="A703" t="inlineStr">
        <is>
          <t>202754</t>
        </is>
      </c>
      <c r="B703" s="2"/>
      <c r="C703"/>
      <c r="D703" s="3">
        <v>46131.90445601852</v>
      </c>
      <c r="E703" t="inlineStr">
        <is>
          <t>Q2-W03</t>
        </is>
      </c>
      <c r="F703" t="inlineStr">
        <is>
          <t>Jess</t>
        </is>
      </c>
      <c r="G703" t="inlineStr">
        <is>
          <t>Customer</t>
        </is>
      </c>
      <c r="H703" s="2" t="str">
        <f>=HYPERLINK("https://upbox.ajobthing.my/customer/202754", "https://upbox.ajobthing.my/customer/202754")</f>
        <v>https://upbox.ajobthing.my/customer/202754</v>
      </c>
      <c r="I703" t="inlineStr">
        <is>
          <t>RedPlus Media Group Sdn Bhd</t>
        </is>
      </c>
      <c r="J703" t="inlineStr">
        <is>
          <t>Dolphin</t>
        </is>
      </c>
      <c r="K703" t="inlineStr">
        <is>
          <t>Jess Lim</t>
        </is>
      </c>
      <c r="L703" s="4"/>
      <c r="M703" s="4">
        <v>46128.60780092593</v>
      </c>
      <c r="N703"/>
      <c r="O703">
        <v>3672</v>
      </c>
      <c r="P703" s="4"/>
      <c r="Q703" s="4">
        <v>46132.4330787037</v>
      </c>
      <c r="R703"/>
      <c r="S703">
        <v>3672</v>
      </c>
      <c r="T703" s="4">
        <v>46132.4330787037</v>
      </c>
      <c r="U703" s="4"/>
      <c r="V703"/>
      <c r="W703">
        <v>3672</v>
      </c>
      <c r="X703"/>
      <c r="Y703" t="inlineStr">
        <is>
          <t>Pending Appointment</t>
        </is>
      </c>
      <c r="Z703" t="inlineStr">
        <is>
          <t>Hiring Now</t>
        </is>
      </c>
      <c r="AA703">
        <v>1</v>
      </c>
      <c r="AB703" t="inlineStr">
        <is>
          <t>No Appointment Made</t>
        </is>
      </c>
      <c r="AC703"/>
      <c r="AD703" t="inlineStr">
        <is>
          <t>content creator 1</t>
        </is>
      </c>
      <c r="AE703"/>
      <c r="AF703">
        <v>1200</v>
      </c>
      <c r="AG703" s="4"/>
      <c r="AH703" s="4"/>
      <c r="AI703"/>
      <c r="AJ703">
        <v>1</v>
      </c>
      <c r="AK703" t="inlineStr">
        <is>
          <t>No, I don't need at all</t>
        </is>
      </c>
      <c r="AL703">
        <v>1</v>
      </c>
      <c r="AM703" t="inlineStr">
        <is>
          <t>No, I don't need at all</t>
        </is>
      </c>
      <c r="AN703"/>
      <c r="AO703" t="inlineStr">
        <is>
          <t>No, I don't need at all</t>
        </is>
      </c>
      <c r="AP703" t="inlineStr">
        <is>
          <t>Once a year (25%)</t>
        </is>
      </c>
      <c r="AQ703"/>
      <c r="AR703" t="inlineStr">
        <is>
          <t>Jobstreet</t>
        </is>
      </c>
      <c r="AS703" t="inlineStr">
        <is>
          <t>- Headcount: 1
- Hiring Job Details: 1 content creator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is>
      </c>
      <c r="AT703">
        <v>105</v>
      </c>
      <c r="AU703" t="inlineStr">
        <is>
          <t>1.05</t>
        </is>
      </c>
      <c r="AV703" t="inlineStr">
        <is>
          <t>15</t>
        </is>
      </c>
      <c r="AW703" t="inlineStr">
        <is>
          <t>0</t>
        </is>
      </c>
      <c r="AX703" t="inlineStr">
        <is>
          <t>Not Qualified</t>
        </is>
      </c>
      <c r="AY703" s="4"/>
      <c r="AZ703"/>
      <c r="BA703"/>
      <c r="BB703"/>
      <c r="BC703" t="inlineStr">
        <is>
          <t>confirm on touch n go voucher</t>
        </is>
      </c>
      <c r="BD703" s="4">
        <v>46139.716469907406</v>
      </c>
      <c r="BE703" t="inlineStr">
        <is>
          <t>paid</t>
        </is>
      </c>
      <c r="BF703" t="inlineStr">
        <is>
          <t>Q2-W03</t>
        </is>
      </c>
      <c r="BG703" t="inlineStr">
        <is>
          <t>Reschedule</t>
        </is>
      </c>
      <c r="BH703" t="inlineStr">
        <is>
          <t>Fauziah Maharan</t>
        </is>
      </c>
      <c r="BI703" t="inlineStr">
        <is>
          <t>Advertising / Marketing</t>
        </is>
      </c>
      <c r="BJ703" s="4">
        <v>46144.75412037037</v>
      </c>
      <c r="BK703" s="4">
        <v>46114.7225</v>
      </c>
      <c r="BL703" t="inlineStr">
        <is>
          <t>3672.0</t>
        </is>
      </c>
      <c r="BM703" t="inlineStr">
        <is>
          <t>0.0</t>
        </is>
      </c>
      <c r="BN703" t="inlineStr">
        <is>
          <t>PA Visit - Job Card</t>
        </is>
      </c>
      <c r="BO703" s="4">
        <v>46139.47555555555</v>
      </c>
      <c r="BP703">
        <v>167409</v>
      </c>
      <c r="BQ703">
        <v>7656</v>
      </c>
      <c r="BR703" t="inlineStr">
        <is>
          <t>Manual (Paid)</t>
        </is>
      </c>
      <c r="BS703"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t>
        </is>
      </c>
      <c r="BT703">
        <v>7656</v>
      </c>
      <c r="BU703"/>
      <c r="BV703">
        <v>2731399</v>
      </c>
      <c r="BW703" t="inlineStr">
        <is>
          <t>Service / Technical : Job Outcome Enquiry</t>
        </is>
      </c>
      <c r="BX703">
        <v>6</v>
      </c>
      <c r="BY703">
        <v>5</v>
      </c>
      <c r="BZ703" s="4">
        <v>46132.58799768519</v>
      </c>
      <c r="CA703">
        <v>60</v>
      </c>
      <c r="CB703">
        <v>60</v>
      </c>
      <c r="CC703" s="4"/>
      <c r="CD703" t="inlineStr">
        <is>
          <t>20</t>
        </is>
      </c>
      <c r="CE703" t="inlineStr">
        <is>
          <t>0</t>
        </is>
      </c>
      <c r="CF703" t="inlineStr">
        <is>
          <t>Q2-W02</t>
        </is>
      </c>
      <c r="CG703" t="inlineStr">
        <is>
          <t>Q2-W03</t>
        </is>
      </c>
      <c r="CH703" t="inlineStr">
        <is>
          <t>Q2-W03</t>
        </is>
      </c>
      <c r="CI703"/>
      <c r="CJ703" t="inlineStr">
        <is>
          <t>Paid</t>
        </is>
      </c>
      <c r="CK703" t="inlineStr">
        <is>
          <t>Not Eligible</t>
        </is>
      </c>
      <c r="CL703"/>
      <c r="CM703"/>
    </row>
    <row r="704" ht="25.5" customHeight="1">
      <c r="A704" t="inlineStr">
        <is>
          <t>4293699</t>
        </is>
      </c>
      <c r="B704" s="2"/>
      <c r="C704"/>
      <c r="D704" s="3">
        <v>46131.90719907408</v>
      </c>
      <c r="E704" t="inlineStr">
        <is>
          <t>Q2-W03</t>
        </is>
      </c>
      <c r="F704" t="inlineStr">
        <is>
          <t>Jess</t>
        </is>
      </c>
      <c r="G704" t="inlineStr">
        <is>
          <t>Lead</t>
        </is>
      </c>
      <c r="H704" s="2" t="str">
        <f>=HYPERLINK("https://upbox.ajobthing.my/leads/4293699", "https://upbox.ajobthing.my/leads/4293699")</f>
        <v>https://upbox.ajobthing.my/leads/4293699</v>
      </c>
      <c r="I704" t="inlineStr">
        <is>
          <t>SPA INTEGRATED SDN BHD</t>
        </is>
      </c>
      <c r="J704" t="inlineStr">
        <is>
          <t>Dolphin</t>
        </is>
      </c>
      <c r="K704" t="inlineStr">
        <is>
          <t>Jess Lim</t>
        </is>
      </c>
      <c r="L704" s="4"/>
      <c r="M704" s="4">
        <v>46129.46648148148</v>
      </c>
      <c r="N704"/>
      <c r="O704">
        <v>6048</v>
      </c>
      <c r="P704" s="4"/>
      <c r="Q704" s="4"/>
      <c r="R704"/>
      <c r="S704"/>
      <c r="T704" s="4"/>
      <c r="U704" s="4"/>
      <c r="V704"/>
      <c r="W704"/>
      <c r="X704"/>
      <c r="Y704" t="inlineStr">
        <is>
          <t>Pending Appointment</t>
        </is>
      </c>
      <c r="Z704" t="inlineStr">
        <is>
          <t>Hiring Now</t>
        </is>
      </c>
      <c r="AA704">
        <v>2</v>
      </c>
      <c r="AB704" t="inlineStr">
        <is>
          <t>No Appointment Made</t>
        </is>
      </c>
      <c r="AC704"/>
      <c r="AD704" t="inlineStr">
        <is>
          <t>Project manager 2 kl</t>
        </is>
      </c>
      <c r="AE704"/>
      <c r="AF704">
        <v>200</v>
      </c>
      <c r="AG704" s="4"/>
      <c r="AH704" s="4"/>
      <c r="AI704"/>
      <c r="AJ704">
        <v>1</v>
      </c>
      <c r="AK704" t="inlineStr">
        <is>
          <t>No, I don't need at all</t>
        </is>
      </c>
      <c r="AL704">
        <v>1</v>
      </c>
      <c r="AM704" t="inlineStr">
        <is>
          <t>No, I don't need at all</t>
        </is>
      </c>
      <c r="AN704"/>
      <c r="AO704" t="inlineStr">
        <is>
          <t>No, I don't need at all</t>
        </is>
      </c>
      <c r="AP704" t="inlineStr">
        <is>
          <t>Once a year (25%)</t>
        </is>
      </c>
      <c r="AQ704"/>
      <c r="AR704" t="inlineStr">
        <is>
          <t>Jobstreet</t>
        </is>
      </c>
      <c r="AS704" t="inlineStr">
        <is>
          <t>- Headcount: 2
- Hiring Job Details: Project manager 2 kl
- Hiring Urgency: Hiring Now
- Number of outlets: 1
- Have recruiter team: No, I don't need at all
- Number of recruiter in company: 1
- Have ATS system: No, I don't need at all
- Have career website: No, I don't need at all
- Current hiring budget: RM200
- Whole year budget: 
- Whole year number of vacancies: 
- Hiring frequency: Once a year (25%)
- External job portal: Jobstreet</t>
        </is>
      </c>
      <c r="AT704">
        <v>95</v>
      </c>
      <c r="AU704" t="inlineStr">
        <is>
          <t>0.95</t>
        </is>
      </c>
      <c r="AV704" t="inlineStr">
        <is>
          <t>15</t>
        </is>
      </c>
      <c r="AW704" t="inlineStr">
        <is>
          <t>0</t>
        </is>
      </c>
      <c r="AX704" t="inlineStr">
        <is>
          <t>Not Qualified</t>
        </is>
      </c>
      <c r="AY704" s="4"/>
      <c r="AZ704"/>
      <c r="BA704"/>
      <c r="BB704"/>
      <c r="BC704"/>
      <c r="BD704" s="4"/>
      <c r="BE704"/>
      <c r="BF704"/>
      <c r="BG704" t="inlineStr">
        <is>
          <t>Reschedule</t>
        </is>
      </c>
      <c r="BH704" t="inlineStr">
        <is>
          <t>Fauziah Maharan</t>
        </is>
      </c>
      <c r="BI704"/>
      <c r="BJ704" s="4">
        <v>46144.75585648148</v>
      </c>
      <c r="BK704" s="4">
        <v>46129.4528587963</v>
      </c>
      <c r="BL704" t="inlineStr">
        <is>
          <t>0.0</t>
        </is>
      </c>
      <c r="BM704" t="inlineStr">
        <is>
          <t>0.0</t>
        </is>
      </c>
      <c r="BN704"/>
      <c r="BO704" s="4"/>
      <c r="BP704">
        <v>167555</v>
      </c>
      <c r="BQ704"/>
      <c r="BR704"/>
      <c r="BS704"/>
      <c r="BT704"/>
      <c r="BU704"/>
      <c r="BV704"/>
      <c r="BW704"/>
      <c r="BX704"/>
      <c r="BY704"/>
      <c r="BZ704" s="4"/>
      <c r="CA704"/>
      <c r="CB704"/>
      <c r="CC704" s="4"/>
      <c r="CD704" t="inlineStr">
        <is>
          <t>20</t>
        </is>
      </c>
      <c r="CE704" t="inlineStr">
        <is>
          <t>0</t>
        </is>
      </c>
      <c r="CF704" t="inlineStr">
        <is>
          <t>Q2-W03</t>
        </is>
      </c>
      <c r="CG704"/>
      <c r="CH704"/>
      <c r="CI704"/>
      <c r="CJ704" t="inlineStr">
        <is>
          <t>No Paid</t>
        </is>
      </c>
      <c r="CK704" t="inlineStr">
        <is>
          <t>Not Eligible</t>
        </is>
      </c>
      <c r="CL704"/>
      <c r="CM704"/>
    </row>
    <row r="705" ht="25.5" customHeight="1">
      <c r="A705" t="inlineStr">
        <is>
          <t>186049</t>
        </is>
      </c>
      <c r="B705" s="2"/>
      <c r="C705"/>
      <c r="D705" s="3">
        <v>46132.395833333336</v>
      </c>
      <c r="E705" t="inlineStr">
        <is>
          <t>Q2-W03</t>
        </is>
      </c>
      <c r="F705" t="inlineStr">
        <is>
          <t>Chia Yee</t>
        </is>
      </c>
      <c r="G705" t="inlineStr">
        <is>
          <t>Lead</t>
        </is>
      </c>
      <c r="H705" s="2" t="str">
        <f>=HYPERLINK("https://upbox.ajobthing.my/leads/186049", "https://upbox.ajobthing.my/leads/186049")</f>
        <v>https://upbox.ajobthing.my/leads/186049</v>
      </c>
      <c r="I705" t="inlineStr">
        <is>
          <t>Excel Herbal Industries Sdn. Bhd</t>
        </is>
      </c>
      <c r="J705" t="inlineStr">
        <is>
          <t>Dolphin</t>
        </is>
      </c>
      <c r="K705" t="inlineStr">
        <is>
          <t>Chia Yee</t>
        </is>
      </c>
      <c r="L705" s="4"/>
      <c r="M705" s="4">
        <v>46132.39655092593</v>
      </c>
      <c r="N705"/>
      <c r="O705">
        <v>3888</v>
      </c>
      <c r="P705" s="4"/>
      <c r="Q705" s="4"/>
      <c r="R705"/>
      <c r="S705"/>
      <c r="T705" s="4"/>
      <c r="U705" s="4"/>
      <c r="V705"/>
      <c r="W705"/>
      <c r="X705"/>
      <c r="Y705" t="inlineStr">
        <is>
          <t>Pending Appointment</t>
        </is>
      </c>
      <c r="Z705" t="inlineStr">
        <is>
          <t>Hiring Now</t>
        </is>
      </c>
      <c r="AA705">
        <v>1</v>
      </c>
      <c r="AB705" t="inlineStr">
        <is>
          <t>No Appointment Made</t>
        </is>
      </c>
      <c r="AC705"/>
      <c r="AD705" t="inlineStr">
        <is>
          <t>1 Designer</t>
        </is>
      </c>
      <c r="AE705"/>
      <c r="AF705">
        <v>0</v>
      </c>
      <c r="AG705" s="4"/>
      <c r="AH705" s="4"/>
      <c r="AI705">
        <v>0</v>
      </c>
      <c r="AJ705">
        <v>1</v>
      </c>
      <c r="AK705" t="inlineStr">
        <is>
          <t>No, I don't need at all</t>
        </is>
      </c>
      <c r="AL705">
        <v>1</v>
      </c>
      <c r="AM705" t="inlineStr">
        <is>
          <t>No, I don't need at all</t>
        </is>
      </c>
      <c r="AN705"/>
      <c r="AO705" t="inlineStr">
        <is>
          <t>No, I don't need at all</t>
        </is>
      </c>
      <c r="AP705" t="inlineStr">
        <is>
          <t>Once a year (25%)</t>
        </is>
      </c>
      <c r="AQ705">
        <v>1</v>
      </c>
      <c r="AR705" t="inlineStr">
        <is>
          <t>Did not use any job portal</t>
        </is>
      </c>
      <c r="AS705" t="inlineStr">
        <is>
          <t>- Headcount: 1
- Hiring Job Details: 1 Designer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705">
        <v>115</v>
      </c>
      <c r="AU705" t="inlineStr">
        <is>
          <t>1.15</t>
        </is>
      </c>
      <c r="AV705" t="inlineStr">
        <is>
          <t>15</t>
        </is>
      </c>
      <c r="AW705" t="inlineStr">
        <is>
          <t>0</t>
        </is>
      </c>
      <c r="AX705" t="inlineStr">
        <is>
          <t>Not Qualified</t>
        </is>
      </c>
      <c r="AY705" s="4"/>
      <c r="AZ705"/>
      <c r="BA705"/>
      <c r="BB705"/>
      <c r="BC705" t="inlineStr">
        <is>
          <t>Send invoice</t>
        </is>
      </c>
      <c r="BD705" s="4">
        <v>46106.69168981481</v>
      </c>
      <c r="BE705"/>
      <c r="BF705"/>
      <c r="BG705" t="inlineStr">
        <is>
          <t>Reschedule</t>
        </is>
      </c>
      <c r="BH705" t="inlineStr">
        <is>
          <t>Reagen</t>
        </is>
      </c>
      <c r="BI705"/>
      <c r="BJ705" s="4">
        <v>46144.75209490741</v>
      </c>
      <c r="BK705" s="4">
        <v>44698.0856712963</v>
      </c>
      <c r="BL705" t="inlineStr">
        <is>
          <t>0.0</t>
        </is>
      </c>
      <c r="BM705" t="inlineStr">
        <is>
          <t>3000.0</t>
        </is>
      </c>
      <c r="BN705"/>
      <c r="BO705" s="4"/>
      <c r="BP705">
        <v>167743</v>
      </c>
      <c r="BQ705"/>
      <c r="BR705"/>
      <c r="BS705"/>
      <c r="BT705"/>
      <c r="BU705"/>
      <c r="BV705">
        <v>2661636</v>
      </c>
      <c r="BW705" t="inlineStr">
        <is>
          <t>Service / Technical : Job Outcome Enquiry</t>
        </is>
      </c>
      <c r="BX705"/>
      <c r="BY705"/>
      <c r="BZ705" s="4"/>
      <c r="CA705"/>
      <c r="CB705"/>
      <c r="CC705" s="4"/>
      <c r="CD705" t="inlineStr">
        <is>
          <t>20</t>
        </is>
      </c>
      <c r="CE705" t="inlineStr">
        <is>
          <t>0</t>
        </is>
      </c>
      <c r="CF705" t="inlineStr">
        <is>
          <t>Q2-W03</t>
        </is>
      </c>
      <c r="CG705"/>
      <c r="CH705"/>
      <c r="CI705"/>
      <c r="CJ705" t="inlineStr">
        <is>
          <t>No Paid</t>
        </is>
      </c>
      <c r="CK705" t="inlineStr">
        <is>
          <t>Not Eligible</t>
        </is>
      </c>
      <c r="CL705"/>
      <c r="CM705"/>
    </row>
    <row r="706" ht="25.5" customHeight="1">
      <c r="A706" t="inlineStr">
        <is>
          <t>4141619</t>
        </is>
      </c>
      <c r="B706" s="2"/>
      <c r="C706"/>
      <c r="D706" s="3">
        <v>46132.42149305555</v>
      </c>
      <c r="E706" t="inlineStr">
        <is>
          <t>Q2-W03</t>
        </is>
      </c>
      <c r="F706" t="inlineStr">
        <is>
          <t>Jess</t>
        </is>
      </c>
      <c r="G706" t="inlineStr">
        <is>
          <t>Lead</t>
        </is>
      </c>
      <c r="H706" s="2" t="str">
        <f>=HYPERLINK("https://upbox.ajobthing.my/leads/4141619", "https://upbox.ajobthing.my/leads/4141619")</f>
        <v>https://upbox.ajobthing.my/leads/4141619</v>
      </c>
      <c r="I706" t="inlineStr">
        <is>
          <t>NH Prima International Sdn Bhd</t>
        </is>
      </c>
      <c r="J706" t="inlineStr">
        <is>
          <t>Dolphin</t>
        </is>
      </c>
      <c r="K706" t="inlineStr">
        <is>
          <t>Jess Lim</t>
        </is>
      </c>
      <c r="L706" s="4"/>
      <c r="M706" s="4">
        <v>46132.42537037037</v>
      </c>
      <c r="N706"/>
      <c r="O706">
        <v>10800</v>
      </c>
      <c r="P706" s="4"/>
      <c r="Q706" s="4"/>
      <c r="R706"/>
      <c r="S706"/>
      <c r="T706" s="4"/>
      <c r="U706" s="4"/>
      <c r="V706"/>
      <c r="W706"/>
      <c r="X706"/>
      <c r="Y706" t="inlineStr">
        <is>
          <t>Pending Appointment</t>
        </is>
      </c>
      <c r="Z706" t="inlineStr">
        <is>
          <t>Continuous Hiring</t>
        </is>
      </c>
      <c r="AA706">
        <v>1</v>
      </c>
      <c r="AB706" t="inlineStr">
        <is>
          <t>No Appointment Made</t>
        </is>
      </c>
      <c r="AC706"/>
      <c r="AD706" t="inlineStr">
        <is>
          <t>retail 11 all state in malaysia</t>
        </is>
      </c>
      <c r="AE706"/>
      <c r="AF706">
        <v>10000</v>
      </c>
      <c r="AG706" s="4"/>
      <c r="AH706" s="4"/>
      <c r="AI706"/>
      <c r="AJ706">
        <v>11</v>
      </c>
      <c r="AK706" t="inlineStr">
        <is>
          <t>Yes, I have</t>
        </is>
      </c>
      <c r="AL706">
        <v>3</v>
      </c>
      <c r="AM706" t="inlineStr">
        <is>
          <t>No, I don't need at all</t>
        </is>
      </c>
      <c r="AN706"/>
      <c r="AO706" t="inlineStr">
        <is>
          <t>No, I don't need at all</t>
        </is>
      </c>
      <c r="AP706" t="inlineStr">
        <is>
          <t>Every month (100%)</t>
        </is>
      </c>
      <c r="AQ706"/>
      <c r="AR706" t="inlineStr">
        <is>
          <t>Free Job Portal</t>
        </is>
      </c>
      <c r="AS706" t="inlineStr">
        <is>
          <t>- Headcount: 1
- Hiring Job Details: retail 11 all state in malaysia
- Hiring Urgency: Continuous Hiring
- Number of outlets: 11
- Have recruiter team: Yes
- Number of recruiter in company: 3
- Have ATS system: No, I don't need at all
- Have career website: No, I don't need at all
- Current hiring budget: RM10,000.00
- Whole year budget: Not specified
- Whole year number of vacancies: Not specified
- Hiring frequency: Every month (100%)
- External job portal: Free Job Portal</t>
        </is>
      </c>
      <c r="AT706">
        <v>95</v>
      </c>
      <c r="AU706" t="inlineStr">
        <is>
          <t>0.95</t>
        </is>
      </c>
      <c r="AV706" t="inlineStr">
        <is>
          <t>15</t>
        </is>
      </c>
      <c r="AW706" t="inlineStr">
        <is>
          <t>0</t>
        </is>
      </c>
      <c r="AX706" t="inlineStr">
        <is>
          <t>Not Qualified</t>
        </is>
      </c>
      <c r="AY706" s="4"/>
      <c r="AZ706"/>
      <c r="BA706"/>
      <c r="BB706"/>
      <c r="BC706"/>
      <c r="BD706" s="4"/>
      <c r="BE706"/>
      <c r="BF706"/>
      <c r="BG706" t="inlineStr">
        <is>
          <t>Reschedule</t>
        </is>
      </c>
      <c r="BH706" t="inlineStr">
        <is>
          <t>Fauziah Maharan</t>
        </is>
      </c>
      <c r="BI706"/>
      <c r="BJ706" s="4">
        <v>46144.75546296296</v>
      </c>
      <c r="BK706" s="4">
        <v>46090.41738425926</v>
      </c>
      <c r="BL706" t="inlineStr">
        <is>
          <t>0.0</t>
        </is>
      </c>
      <c r="BM706" t="inlineStr">
        <is>
          <t>0.0</t>
        </is>
      </c>
      <c r="BN706"/>
      <c r="BO706" s="4"/>
      <c r="BP706">
        <v>167759</v>
      </c>
      <c r="BQ706"/>
      <c r="BR706"/>
      <c r="BS706"/>
      <c r="BT706"/>
      <c r="BU706"/>
      <c r="BV706"/>
      <c r="BW706"/>
      <c r="BX706"/>
      <c r="BY706"/>
      <c r="BZ706" s="4"/>
      <c r="CA706"/>
      <c r="CB706"/>
      <c r="CC706" s="4"/>
      <c r="CD706" t="inlineStr">
        <is>
          <t>20</t>
        </is>
      </c>
      <c r="CE706" t="inlineStr">
        <is>
          <t>0</t>
        </is>
      </c>
      <c r="CF706" t="inlineStr">
        <is>
          <t>Q2-W03</t>
        </is>
      </c>
      <c r="CG706"/>
      <c r="CH706"/>
      <c r="CI706"/>
      <c r="CJ706" t="inlineStr">
        <is>
          <t>No Paid</t>
        </is>
      </c>
      <c r="CK706" t="inlineStr">
        <is>
          <t>Not Eligible</t>
        </is>
      </c>
      <c r="CL706"/>
      <c r="CM706"/>
    </row>
    <row r="707" ht="25.5" customHeight="1">
      <c r="A707" t="inlineStr">
        <is>
          <t>203412</t>
        </is>
      </c>
      <c r="B707" s="2"/>
      <c r="C707"/>
      <c r="D707" s="3">
        <v>46132.42255787037</v>
      </c>
      <c r="E707" t="inlineStr">
        <is>
          <t>Q2-W03</t>
        </is>
      </c>
      <c r="F707" t="inlineStr">
        <is>
          <t>Lucas</t>
        </is>
      </c>
      <c r="G707" t="inlineStr">
        <is>
          <t>Customer</t>
        </is>
      </c>
      <c r="H707" s="2" t="str">
        <f>=HYPERLINK("https://upbox.ajobthing.my/customer/203412", "https://upbox.ajobthing.my/customer/203412")</f>
        <v>https://upbox.ajobthing.my/customer/203412</v>
      </c>
      <c r="I707" t="inlineStr">
        <is>
          <t>Shang pin fresh go sdn bhd</t>
        </is>
      </c>
      <c r="J707" t="inlineStr">
        <is>
          <t>Dolphin</t>
        </is>
      </c>
      <c r="K707" t="inlineStr">
        <is>
          <t>Lucas</t>
        </is>
      </c>
      <c r="L707" s="4"/>
      <c r="M707" s="4">
        <v>46132.08765046296</v>
      </c>
      <c r="N707"/>
      <c r="O707"/>
      <c r="P707" s="4"/>
      <c r="Q707" s="4">
        <v>46132.747094907405</v>
      </c>
      <c r="R707"/>
      <c r="S707">
        <v>3888</v>
      </c>
      <c r="T707" s="4">
        <v>46132.747094907405</v>
      </c>
      <c r="U707" s="4"/>
      <c r="V707"/>
      <c r="W707">
        <v>3888</v>
      </c>
      <c r="X707"/>
      <c r="Y707" t="inlineStr">
        <is>
          <t>Pending Appointment</t>
        </is>
      </c>
      <c r="Z707" t="inlineStr">
        <is>
          <t>Hiring Now</t>
        </is>
      </c>
      <c r="AA707">
        <v>1</v>
      </c>
      <c r="AB707" t="inlineStr">
        <is>
          <t>No Appointment Made</t>
        </is>
      </c>
      <c r="AC707"/>
      <c r="AD707" t="inlineStr">
        <is>
          <t xml:space="preserve">1 storekeeper </t>
        </is>
      </c>
      <c r="AE707"/>
      <c r="AF707">
        <v>0</v>
      </c>
      <c r="AG707" s="4"/>
      <c r="AH707" s="4"/>
      <c r="AI707">
        <v>0</v>
      </c>
      <c r="AJ707"/>
      <c r="AK707" t="inlineStr">
        <is>
          <t>No, I don't need at all</t>
        </is>
      </c>
      <c r="AL707">
        <v>0</v>
      </c>
      <c r="AM707" t="inlineStr">
        <is>
          <t>No, I don't need at all</t>
        </is>
      </c>
      <c r="AN707"/>
      <c r="AO707" t="inlineStr">
        <is>
          <t>No, I don't need at all</t>
        </is>
      </c>
      <c r="AP707" t="inlineStr">
        <is>
          <t>Once a year (25%)</t>
        </is>
      </c>
      <c r="AQ707">
        <v>2</v>
      </c>
      <c r="AR707" t="inlineStr">
        <is>
          <t>Did not use any job portal</t>
        </is>
      </c>
      <c r="AS707" t="inlineStr">
        <is>
          <t>- Headcount: 1
- Hiring Job Details: 1 storekeeper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707">
        <v>105</v>
      </c>
      <c r="AU707" t="inlineStr">
        <is>
          <t>1.05</t>
        </is>
      </c>
      <c r="AV707" t="inlineStr">
        <is>
          <t>15</t>
        </is>
      </c>
      <c r="AW707" t="inlineStr">
        <is>
          <t>0</t>
        </is>
      </c>
      <c r="AX707" t="inlineStr">
        <is>
          <t>Not Qualified</t>
        </is>
      </c>
      <c r="AY707" s="4"/>
      <c r="AZ707"/>
      <c r="BA707"/>
      <c r="BB707"/>
      <c r="BC707" t="inlineStr">
        <is>
          <t>service</t>
        </is>
      </c>
      <c r="BD707" s="4">
        <v>46142.397824074076</v>
      </c>
      <c r="BE707" t="inlineStr">
        <is>
          <t>paid</t>
        </is>
      </c>
      <c r="BF707" t="inlineStr">
        <is>
          <t>Q2-W03</t>
        </is>
      </c>
      <c r="BG707" t="inlineStr">
        <is>
          <t>Reschedule</t>
        </is>
      </c>
      <c r="BH707" t="inlineStr">
        <is>
          <t>Yee Hang</t>
        </is>
      </c>
      <c r="BI707"/>
      <c r="BJ707" s="4">
        <v>46144.75430555556</v>
      </c>
      <c r="BK707" s="4">
        <v>46132.420960648145</v>
      </c>
      <c r="BL707" t="inlineStr">
        <is>
          <t>3888.0</t>
        </is>
      </c>
      <c r="BM707" t="inlineStr">
        <is>
          <t>0.0</t>
        </is>
      </c>
      <c r="BN707" t="inlineStr">
        <is>
          <t>User Login</t>
        </is>
      </c>
      <c r="BO707" s="4">
        <v>46143.61509259259</v>
      </c>
      <c r="BP707">
        <v>167754</v>
      </c>
      <c r="BQ707">
        <v>94440</v>
      </c>
      <c r="BR707" t="inlineStr">
        <is>
          <t>Online</t>
        </is>
      </c>
      <c r="BS707"/>
      <c r="BT707">
        <v>94440</v>
      </c>
      <c r="BU707"/>
      <c r="BV707">
        <v>2736500</v>
      </c>
      <c r="BW707" t="inlineStr">
        <is>
          <t>Service / Technical : Job Outcome Enquiry</t>
        </is>
      </c>
      <c r="BX707">
        <v>6</v>
      </c>
      <c r="BY707">
        <v>2</v>
      </c>
      <c r="BZ707" s="4">
        <v>46141.45214120371</v>
      </c>
      <c r="CA707">
        <v>60</v>
      </c>
      <c r="CB707">
        <v>60</v>
      </c>
      <c r="CC707" s="4"/>
      <c r="CD707" t="inlineStr">
        <is>
          <t>20</t>
        </is>
      </c>
      <c r="CE707" t="inlineStr">
        <is>
          <t>0</t>
        </is>
      </c>
      <c r="CF707" t="inlineStr">
        <is>
          <t>Q2-W03</t>
        </is>
      </c>
      <c r="CG707" t="inlineStr">
        <is>
          <t>Q2-W03</t>
        </is>
      </c>
      <c r="CH707" t="inlineStr">
        <is>
          <t>Q2-W03</t>
        </is>
      </c>
      <c r="CI707"/>
      <c r="CJ707" t="inlineStr">
        <is>
          <t>Paid</t>
        </is>
      </c>
      <c r="CK707" t="inlineStr">
        <is>
          <t>Not Eligible</t>
        </is>
      </c>
      <c r="CL707"/>
      <c r="CM707"/>
    </row>
    <row r="708" ht="25.5" customHeight="1">
      <c r="A708" t="inlineStr">
        <is>
          <t>177309</t>
        </is>
      </c>
      <c r="B708" s="2"/>
      <c r="C708"/>
      <c r="D708" s="3">
        <v>46132.42365740741</v>
      </c>
      <c r="E708" t="inlineStr">
        <is>
          <t>Q2-W03</t>
        </is>
      </c>
      <c r="F708" t="inlineStr">
        <is>
          <t>Luqman</t>
        </is>
      </c>
      <c r="G708" t="inlineStr">
        <is>
          <t>Customer</t>
        </is>
      </c>
      <c r="H708" s="2" t="str">
        <f>=HYPERLINK("https://upbox.ajobthing.my/customer/177309", "https://upbox.ajobthing.my/customer/177309")</f>
        <v>https://upbox.ajobthing.my/customer/177309</v>
      </c>
      <c r="I708" t="inlineStr">
        <is>
          <t>LV Concrete Sdn Bhd</t>
        </is>
      </c>
      <c r="J708" t="inlineStr">
        <is>
          <t>Dolphin</t>
        </is>
      </c>
      <c r="K708" t="inlineStr">
        <is>
          <t>Luqman</t>
        </is>
      </c>
      <c r="L708" s="4"/>
      <c r="M708" s="4">
        <v>46132.42381944445</v>
      </c>
      <c r="N708"/>
      <c r="O708">
        <v>6048</v>
      </c>
      <c r="P708" s="4"/>
      <c r="Q708" s="4">
        <v>45398.690347222226</v>
      </c>
      <c r="R708"/>
      <c r="S708">
        <v>648</v>
      </c>
      <c r="T708" s="4">
        <v>45398.690347222226</v>
      </c>
      <c r="U708" s="4"/>
      <c r="V708"/>
      <c r="W708">
        <v>648</v>
      </c>
      <c r="X708"/>
      <c r="Y708" t="inlineStr">
        <is>
          <t>Pending Appointment</t>
        </is>
      </c>
      <c r="Z708" t="inlineStr">
        <is>
          <t>Hiring Later</t>
        </is>
      </c>
      <c r="AA708">
        <v>1</v>
      </c>
      <c r="AB708" t="inlineStr">
        <is>
          <t>No Appointment Made</t>
        </is>
      </c>
      <c r="AC708"/>
      <c r="AD708" t="inlineStr">
        <is>
          <t xml:space="preserve">1. Driver </t>
        </is>
      </c>
      <c r="AE708"/>
      <c r="AF708">
        <v>1200</v>
      </c>
      <c r="AG708" s="4"/>
      <c r="AH708" s="4"/>
      <c r="AI708">
        <v>1200</v>
      </c>
      <c r="AJ708"/>
      <c r="AK708" t="inlineStr">
        <is>
          <t>No, I don't need at all</t>
        </is>
      </c>
      <c r="AL708">
        <v>1</v>
      </c>
      <c r="AM708" t="inlineStr">
        <is>
          <t>No, I don't need at all</t>
        </is>
      </c>
      <c r="AN708"/>
      <c r="AO708" t="inlineStr">
        <is>
          <t>No, I don't need at all</t>
        </is>
      </c>
      <c r="AP708" t="inlineStr">
        <is>
          <t>Once a year (25%)</t>
        </is>
      </c>
      <c r="AQ708">
        <v>1</v>
      </c>
      <c r="AR708" t="inlineStr">
        <is>
          <t>Free Job Portal</t>
        </is>
      </c>
      <c r="AS708" t="inlineStr">
        <is>
          <t>- Headcount: 1
- Hiring Job Details: 1 Driver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708">
        <v>110</v>
      </c>
      <c r="AU708" t="inlineStr">
        <is>
          <t>1.10</t>
        </is>
      </c>
      <c r="AV708" t="inlineStr">
        <is>
          <t>15</t>
        </is>
      </c>
      <c r="AW708" t="inlineStr">
        <is>
          <t>0</t>
        </is>
      </c>
      <c r="AX708" t="inlineStr">
        <is>
          <t>Not Qualified</t>
        </is>
      </c>
      <c r="AY708" s="4"/>
      <c r="AZ708"/>
      <c r="BA708"/>
      <c r="BB708"/>
      <c r="BC708" t="inlineStr">
        <is>
          <t>Business most likely utilize free job portal</t>
        </is>
      </c>
      <c r="BD708" s="4">
        <v>46135.681435185186</v>
      </c>
      <c r="BE708" t="inlineStr">
        <is>
          <t>paid</t>
        </is>
      </c>
      <c r="BF708"/>
      <c r="BG708" t="inlineStr">
        <is>
          <t>Reschedule</t>
        </is>
      </c>
      <c r="BH708" t="inlineStr">
        <is>
          <t>Edward Hoo</t>
        </is>
      </c>
      <c r="BI708" t="inlineStr">
        <is>
          <t>Manufacturing / Production</t>
        </is>
      </c>
      <c r="BJ708" s="4">
        <v>46144.75167824074</v>
      </c>
      <c r="BK708" s="4">
        <v>45397.56810185185</v>
      </c>
      <c r="BL708" t="inlineStr">
        <is>
          <t>0.0</t>
        </is>
      </c>
      <c r="BM708" t="inlineStr">
        <is>
          <t>1200.0</t>
        </is>
      </c>
      <c r="BN708" t="inlineStr">
        <is>
          <t>View Jobmanager Page</t>
        </is>
      </c>
      <c r="BO708" s="4">
        <v>45450.72657407408</v>
      </c>
      <c r="BP708">
        <v>167756</v>
      </c>
      <c r="BQ708">
        <v>67923</v>
      </c>
      <c r="BR708" t="inlineStr">
        <is>
          <t>Online</t>
        </is>
      </c>
      <c r="BS708"/>
      <c r="BT708">
        <v>67923</v>
      </c>
      <c r="BU708"/>
      <c r="BV708">
        <v>2724766</v>
      </c>
      <c r="BW708" t="inlineStr">
        <is>
          <t>Follow Up : Lost - Free Portal</t>
        </is>
      </c>
      <c r="BX708"/>
      <c r="BY708"/>
      <c r="BZ708" s="4"/>
      <c r="CA708"/>
      <c r="CB708"/>
      <c r="CC708" s="4"/>
      <c r="CD708" t="inlineStr">
        <is>
          <t>20</t>
        </is>
      </c>
      <c r="CE708" t="inlineStr">
        <is>
          <t>0</t>
        </is>
      </c>
      <c r="CF708" t="inlineStr">
        <is>
          <t>Q2-W03</t>
        </is>
      </c>
      <c r="CG708"/>
      <c r="CH708"/>
      <c r="CI708"/>
      <c r="CJ708" t="inlineStr">
        <is>
          <t>Paid</t>
        </is>
      </c>
      <c r="CK708" t="inlineStr">
        <is>
          <t>Not Eligible</t>
        </is>
      </c>
      <c r="CL708"/>
      <c r="CM708"/>
    </row>
    <row r="709" ht="25.5" customHeight="1">
      <c r="A709" t="inlineStr">
        <is>
          <t>162525</t>
        </is>
      </c>
      <c r="B709" s="2"/>
      <c r="C709"/>
      <c r="D709" s="3">
        <v>46132.42922453704</v>
      </c>
      <c r="E709" t="inlineStr">
        <is>
          <t>Q2-W03</t>
        </is>
      </c>
      <c r="F709" t="inlineStr">
        <is>
          <t>Jia Hui</t>
        </is>
      </c>
      <c r="G709" t="inlineStr">
        <is>
          <t>Customer</t>
        </is>
      </c>
      <c r="H709" s="2" t="str">
        <f>=HYPERLINK("https://upbox.ajobthing.my/customer/162525", "https://upbox.ajobthing.my/customer/162525")</f>
        <v>https://upbox.ajobthing.my/customer/162525</v>
      </c>
      <c r="I709" t="inlineStr">
        <is>
          <t>Sittal &amp; Associates Metals Sdn Bhd</t>
        </is>
      </c>
      <c r="J709" t="inlineStr">
        <is>
          <t>Dolphin</t>
        </is>
      </c>
      <c r="K709" t="inlineStr">
        <is>
          <t>Jia Hui</t>
        </is>
      </c>
      <c r="L709" s="4"/>
      <c r="M709" s="4">
        <v>46132.41260416667</v>
      </c>
      <c r="N709"/>
      <c r="O709">
        <v>3888</v>
      </c>
      <c r="P709" s="4"/>
      <c r="Q709" s="4">
        <v>46134.65429398148</v>
      </c>
      <c r="R709"/>
      <c r="S709">
        <v>3672</v>
      </c>
      <c r="T709" s="4">
        <v>45894.60707175926</v>
      </c>
      <c r="U709" s="4"/>
      <c r="V709"/>
      <c r="W709">
        <v>1296</v>
      </c>
      <c r="X709"/>
      <c r="Y709" t="inlineStr">
        <is>
          <t>Pending Appointment</t>
        </is>
      </c>
      <c r="Z709" t="inlineStr">
        <is>
          <t>Hiring Now</t>
        </is>
      </c>
      <c r="AA709">
        <v>2</v>
      </c>
      <c r="AB709" t="inlineStr">
        <is>
          <t>No Appointment Made</t>
        </is>
      </c>
      <c r="AC709"/>
      <c r="AD709" t="inlineStr">
        <is>
          <t>1 admin, 1 account</t>
        </is>
      </c>
      <c r="AE709"/>
      <c r="AF709">
        <v>500</v>
      </c>
      <c r="AG709" s="4"/>
      <c r="AH709" s="4"/>
      <c r="AI709"/>
      <c r="AJ709"/>
      <c r="AK709" t="inlineStr">
        <is>
          <t>Yes, I have</t>
        </is>
      </c>
      <c r="AL709"/>
      <c r="AM709"/>
      <c r="AN709"/>
      <c r="AO709"/>
      <c r="AP709" t="inlineStr">
        <is>
          <t>Once a year (25%)</t>
        </is>
      </c>
      <c r="AQ709"/>
      <c r="AR709"/>
      <c r="AS709" t="inlineStr">
        <is>
          <t>- Headcount: 2
- Hiring Job Details: 1 admin, 1 account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Now</t>
        </is>
      </c>
      <c r="AT709">
        <v>95</v>
      </c>
      <c r="AU709" t="inlineStr">
        <is>
          <t>0.95</t>
        </is>
      </c>
      <c r="AV709" t="inlineStr">
        <is>
          <t>15</t>
        </is>
      </c>
      <c r="AW709" t="inlineStr">
        <is>
          <t>0</t>
        </is>
      </c>
      <c r="AX709" t="inlineStr">
        <is>
          <t>Not Qualified</t>
        </is>
      </c>
      <c r="AY709" s="4"/>
      <c r="AZ709"/>
      <c r="BA709"/>
      <c r="BB709"/>
      <c r="BC709" t="inlineStr">
        <is>
          <t>customer paid</t>
        </is>
      </c>
      <c r="BD709" s="4">
        <v>46135.481157407405</v>
      </c>
      <c r="BE709" t="inlineStr">
        <is>
          <t>pending</t>
        </is>
      </c>
      <c r="BF709"/>
      <c r="BG709" t="inlineStr">
        <is>
          <t>Reschedule</t>
        </is>
      </c>
      <c r="BH709" t="inlineStr">
        <is>
          <t>Reagen</t>
        </is>
      </c>
      <c r="BI709" t="inlineStr">
        <is>
          <t>Construction / Building</t>
        </is>
      </c>
      <c r="BJ709" s="4">
        <v>46144.75115740741</v>
      </c>
      <c r="BK709" s="4">
        <v>44895.65415509259</v>
      </c>
      <c r="BL709" t="inlineStr">
        <is>
          <t>1296.0</t>
        </is>
      </c>
      <c r="BM709" t="inlineStr">
        <is>
          <t>0.0</t>
        </is>
      </c>
      <c r="BN709" t="inlineStr">
        <is>
          <t>User Visit(Logged In)</t>
        </is>
      </c>
      <c r="BO709" s="4">
        <v>46013.46625</v>
      </c>
      <c r="BP709">
        <v>167747</v>
      </c>
      <c r="BQ709">
        <v>123547</v>
      </c>
      <c r="BR709" t="inlineStr">
        <is>
          <t>Proforma</t>
        </is>
      </c>
      <c r="BS709" t="inlineStr">
        <is>
          <t>AI Yearly Standard Plan (Jan 26)</t>
        </is>
      </c>
      <c r="BT709">
        <v>81846</v>
      </c>
      <c r="BU709"/>
      <c r="BV709">
        <v>2722882</v>
      </c>
      <c r="BW709" t="inlineStr">
        <is>
          <t>Follow Up : Win - Customer Paid</t>
        </is>
      </c>
      <c r="BX709"/>
      <c r="BY709"/>
      <c r="BZ709" s="4"/>
      <c r="CA709"/>
      <c r="CB709"/>
      <c r="CC709" s="4"/>
      <c r="CD709" t="inlineStr">
        <is>
          <t>20</t>
        </is>
      </c>
      <c r="CE709" t="inlineStr">
        <is>
          <t>0</t>
        </is>
      </c>
      <c r="CF709" t="inlineStr">
        <is>
          <t>Q2-W03</t>
        </is>
      </c>
      <c r="CG709" t="inlineStr">
        <is>
          <t>Q2-W03</t>
        </is>
      </c>
      <c r="CH709"/>
      <c r="CI709"/>
      <c r="CJ709" t="inlineStr">
        <is>
          <t>Paid</t>
        </is>
      </c>
      <c r="CK709" t="inlineStr">
        <is>
          <t>Not Eligible</t>
        </is>
      </c>
      <c r="CL709"/>
      <c r="CM709"/>
    </row>
    <row r="710" ht="25.5" customHeight="1">
      <c r="A710" t="inlineStr">
        <is>
          <t>146519</t>
        </is>
      </c>
      <c r="B710" s="2"/>
      <c r="C710"/>
      <c r="D710" s="3">
        <v>46132.43479166667</v>
      </c>
      <c r="E710" t="inlineStr">
        <is>
          <t>Q2-W03</t>
        </is>
      </c>
      <c r="F710" t="inlineStr">
        <is>
          <t>Josh</t>
        </is>
      </c>
      <c r="G710" t="inlineStr">
        <is>
          <t>Customer</t>
        </is>
      </c>
      <c r="H710" s="2" t="str">
        <f>=HYPERLINK("https://upbox.ajobthing.my/customer/146519", "https://upbox.ajobthing.my/customer/146519")</f>
        <v>https://upbox.ajobthing.my/customer/146519</v>
      </c>
      <c r="I710" t="inlineStr">
        <is>
          <t>Teezbee PLT (Teezbee.com)</t>
        </is>
      </c>
      <c r="J710" t="inlineStr">
        <is>
          <t>Dolphin</t>
        </is>
      </c>
      <c r="K710" t="inlineStr">
        <is>
          <t>Josh</t>
        </is>
      </c>
      <c r="L710" s="4"/>
      <c r="M710" s="4">
        <v>46132.434895833336</v>
      </c>
      <c r="N710"/>
      <c r="O710">
        <v>6048</v>
      </c>
      <c r="P710" s="4"/>
      <c r="Q710" s="4">
        <v>44565.657118055555</v>
      </c>
      <c r="R710"/>
      <c r="S710">
        <v>1749</v>
      </c>
      <c r="T710" s="4">
        <v>44565.657118055555</v>
      </c>
      <c r="U710" s="4"/>
      <c r="V710"/>
      <c r="W710">
        <v>1749</v>
      </c>
      <c r="X710"/>
      <c r="Y710" t="inlineStr">
        <is>
          <t>Pending Appointment</t>
        </is>
      </c>
      <c r="Z710" t="inlineStr">
        <is>
          <t>Hiring Later</t>
        </is>
      </c>
      <c r="AA710">
        <v>1</v>
      </c>
      <c r="AB710" t="inlineStr">
        <is>
          <t>No Appointment Made</t>
        </is>
      </c>
      <c r="AC710"/>
      <c r="AD710" t="inlineStr">
        <is>
          <t>1 retail</t>
        </is>
      </c>
      <c r="AE710"/>
      <c r="AF710">
        <v>1000</v>
      </c>
      <c r="AG710" s="4"/>
      <c r="AH710" s="4"/>
      <c r="AI710"/>
      <c r="AJ710"/>
      <c r="AK710" t="inlineStr">
        <is>
          <t>Yes, I have</t>
        </is>
      </c>
      <c r="AL710"/>
      <c r="AM710"/>
      <c r="AN710"/>
      <c r="AO710"/>
      <c r="AP710" t="inlineStr">
        <is>
          <t>Once a year (25%)</t>
        </is>
      </c>
      <c r="AQ710"/>
      <c r="AR710"/>
      <c r="AS710" t="inlineStr">
        <is>
          <t>- Headcount: 1
- Hiring Job Details: 1 retail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
- Hiring Urgency: Hiring Later</t>
        </is>
      </c>
      <c r="AT710">
        <v>75</v>
      </c>
      <c r="AU710" t="inlineStr">
        <is>
          <t>0.75</t>
        </is>
      </c>
      <c r="AV710" t="inlineStr">
        <is>
          <t>15</t>
        </is>
      </c>
      <c r="AW710" t="inlineStr">
        <is>
          <t>0</t>
        </is>
      </c>
      <c r="AX710" t="inlineStr">
        <is>
          <t>Not Qualified</t>
        </is>
      </c>
      <c r="AY710" s="4"/>
      <c r="AZ710"/>
      <c r="BA710"/>
      <c r="BB710"/>
      <c r="BC710" t="inlineStr">
        <is>
          <t>- Headcount: 1
- Hiring Job Details: 1 retail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
- Hiring Urgency: Hiring Later</t>
        </is>
      </c>
      <c r="BD710" s="4">
        <v>46132.45835648148</v>
      </c>
      <c r="BE710" t="inlineStr">
        <is>
          <t>paid</t>
        </is>
      </c>
      <c r="BF710"/>
      <c r="BG710" t="inlineStr">
        <is>
          <t>Reschedule</t>
        </is>
      </c>
      <c r="BH710" t="inlineStr">
        <is>
          <t>Fauziah Maharan</t>
        </is>
      </c>
      <c r="BI710" t="inlineStr">
        <is>
          <t>Retail / Merchandise</t>
        </is>
      </c>
      <c r="BJ710" s="4">
        <v>46144.75077546296</v>
      </c>
      <c r="BK710" s="4">
        <v>44565.440613425926</v>
      </c>
      <c r="BL710" t="inlineStr">
        <is>
          <t>0.0</t>
        </is>
      </c>
      <c r="BM710" t="inlineStr">
        <is>
          <t>0.0</t>
        </is>
      </c>
      <c r="BN710" t="inlineStr">
        <is>
          <t>View Jobmanager Page</t>
        </is>
      </c>
      <c r="BO710" s="4">
        <v>44673.45248842592</v>
      </c>
      <c r="BP710">
        <v>167764</v>
      </c>
      <c r="BQ710">
        <v>39347</v>
      </c>
      <c r="BR710" t="inlineStr">
        <is>
          <t>Online</t>
        </is>
      </c>
      <c r="BS710"/>
      <c r="BT710">
        <v>39347</v>
      </c>
      <c r="BU710"/>
      <c r="BV710">
        <v>2715022</v>
      </c>
      <c r="BW710" t="inlineStr">
        <is>
          <t>Customer Inquiry</t>
        </is>
      </c>
      <c r="BX710"/>
      <c r="BY710"/>
      <c r="BZ710" s="4"/>
      <c r="CA710"/>
      <c r="CB710"/>
      <c r="CC710" s="4"/>
      <c r="CD710" t="inlineStr">
        <is>
          <t>20</t>
        </is>
      </c>
      <c r="CE710" t="inlineStr">
        <is>
          <t>0</t>
        </is>
      </c>
      <c r="CF710" t="inlineStr">
        <is>
          <t>Q2-W03</t>
        </is>
      </c>
      <c r="CG710"/>
      <c r="CH710"/>
      <c r="CI710"/>
      <c r="CJ710" t="inlineStr">
        <is>
          <t>Paid</t>
        </is>
      </c>
      <c r="CK710" t="inlineStr">
        <is>
          <t>Not Eligible</t>
        </is>
      </c>
      <c r="CL710"/>
      <c r="CM710"/>
    </row>
    <row r="711" ht="25.5" customHeight="1">
      <c r="A711" t="inlineStr">
        <is>
          <t>174726</t>
        </is>
      </c>
      <c r="B711" s="2"/>
      <c r="C711"/>
      <c r="D711" s="3">
        <v>46132.44553240741</v>
      </c>
      <c r="E711" t="inlineStr">
        <is>
          <t>Q2-W03</t>
        </is>
      </c>
      <c r="F711" t="inlineStr">
        <is>
          <t>Eugene</t>
        </is>
      </c>
      <c r="G711" t="inlineStr">
        <is>
          <t>Customer</t>
        </is>
      </c>
      <c r="H711" s="2" t="str">
        <f>=HYPERLINK("https://upbox.ajobthing.my/customer/174726", "https://upbox.ajobthing.my/customer/174726")</f>
        <v>https://upbox.ajobthing.my/customer/174726</v>
      </c>
      <c r="I711" t="inlineStr">
        <is>
          <t>Automate System Sales &amp; Services Sdn Bhd</t>
        </is>
      </c>
      <c r="J711" t="inlineStr">
        <is>
          <t>Dolphin</t>
        </is>
      </c>
      <c r="K711" t="inlineStr">
        <is>
          <t>Eugene</t>
        </is>
      </c>
      <c r="L711" s="4"/>
      <c r="M711" s="4">
        <v>46132.44564814815</v>
      </c>
      <c r="N711"/>
      <c r="O711">
        <v>3888</v>
      </c>
      <c r="P711" s="4"/>
      <c r="Q711" s="4">
        <v>46129.50271990741</v>
      </c>
      <c r="R711"/>
      <c r="S711">
        <v>0</v>
      </c>
      <c r="T711" s="4">
        <v>45533.49833333334</v>
      </c>
      <c r="U711" s="4"/>
      <c r="V711"/>
      <c r="W711">
        <v>1080</v>
      </c>
      <c r="X711"/>
      <c r="Y711" t="inlineStr">
        <is>
          <t>Pending Appointment</t>
        </is>
      </c>
      <c r="Z711" t="inlineStr">
        <is>
          <t>Hiring Later</t>
        </is>
      </c>
      <c r="AA711">
        <v>1</v>
      </c>
      <c r="AB711" t="inlineStr">
        <is>
          <t>No Appointment Made</t>
        </is>
      </c>
      <c r="AC711"/>
      <c r="AD711" t="inlineStr">
        <is>
          <t>1 position, based in KL</t>
        </is>
      </c>
      <c r="AE711"/>
      <c r="AF711">
        <v>3000</v>
      </c>
      <c r="AG711" s="4"/>
      <c r="AH711" s="4"/>
      <c r="AI711">
        <v>3000</v>
      </c>
      <c r="AJ711">
        <v>1</v>
      </c>
      <c r="AK711" t="inlineStr">
        <is>
          <t>No, I don't need at all</t>
        </is>
      </c>
      <c r="AL711">
        <v>1</v>
      </c>
      <c r="AM711" t="inlineStr">
        <is>
          <t>No, I don't need at all</t>
        </is>
      </c>
      <c r="AN711"/>
      <c r="AO711" t="inlineStr">
        <is>
          <t>No, I don't need at all</t>
        </is>
      </c>
      <c r="AP711" t="inlineStr">
        <is>
          <t>Once a year (25%)</t>
        </is>
      </c>
      <c r="AQ711">
        <v>2</v>
      </c>
      <c r="AR711" t="inlineStr">
        <is>
          <t>Free Job Portal</t>
        </is>
      </c>
      <c r="AS711" t="inlineStr">
        <is>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AT711">
        <v>85</v>
      </c>
      <c r="AU711" t="inlineStr">
        <is>
          <t>0.85</t>
        </is>
      </c>
      <c r="AV711" t="inlineStr">
        <is>
          <t>15</t>
        </is>
      </c>
      <c r="AW711" t="inlineStr">
        <is>
          <t>0</t>
        </is>
      </c>
      <c r="AX711" t="inlineStr">
        <is>
          <t>Not Qualified</t>
        </is>
      </c>
      <c r="AY711" s="4"/>
      <c r="AZ711"/>
      <c r="BA711"/>
      <c r="BB711"/>
      <c r="BC711" t="inlineStr">
        <is>
          <t>pending</t>
        </is>
      </c>
      <c r="BD711" s="4">
        <v>46134.60815972222</v>
      </c>
      <c r="BE711" t="inlineStr">
        <is>
          <t>paid</t>
        </is>
      </c>
      <c r="BF711"/>
      <c r="BG711" t="inlineStr">
        <is>
          <t>Reschedule</t>
        </is>
      </c>
      <c r="BH711" t="inlineStr">
        <is>
          <t>Edward Hoo</t>
        </is>
      </c>
      <c r="BI711" t="inlineStr">
        <is>
          <t>Other industries</t>
        </is>
      </c>
      <c r="BJ711" s="4">
        <v>46144.75158564815</v>
      </c>
      <c r="BK711" s="4">
        <v>45309.48173611111</v>
      </c>
      <c r="BL711" t="inlineStr">
        <is>
          <t>0.0</t>
        </is>
      </c>
      <c r="BM711" t="inlineStr">
        <is>
          <t>0.0</t>
        </is>
      </c>
      <c r="BN711" t="inlineStr">
        <is>
          <t>View Create Job Page V4</t>
        </is>
      </c>
      <c r="BO711" s="4">
        <v>46132.443391203706</v>
      </c>
      <c r="BP711">
        <v>167777</v>
      </c>
      <c r="BQ711">
        <v>122945</v>
      </c>
      <c r="BR711" t="inlineStr">
        <is>
          <t>Proforma</t>
        </is>
      </c>
      <c r="BS711" t="inlineStr">
        <is>
          <t>Free High Pay Job</t>
        </is>
      </c>
      <c r="BT711">
        <v>72553</v>
      </c>
      <c r="BU711"/>
      <c r="BV711">
        <v>2720808</v>
      </c>
      <c r="BW711" t="inlineStr">
        <is>
          <t>Follow Up : Decision Pending</t>
        </is>
      </c>
      <c r="BX711"/>
      <c r="BY711"/>
      <c r="BZ711" s="4"/>
      <c r="CA711"/>
      <c r="CB711"/>
      <c r="CC711" s="4"/>
      <c r="CD711" t="inlineStr">
        <is>
          <t>20</t>
        </is>
      </c>
      <c r="CE711" t="inlineStr">
        <is>
          <t>0</t>
        </is>
      </c>
      <c r="CF711" t="inlineStr">
        <is>
          <t>Q2-W03</t>
        </is>
      </c>
      <c r="CG711" t="inlineStr">
        <is>
          <t>Q2-W03</t>
        </is>
      </c>
      <c r="CH711"/>
      <c r="CI711"/>
      <c r="CJ711" t="inlineStr">
        <is>
          <t>Paid</t>
        </is>
      </c>
      <c r="CK711" t="inlineStr">
        <is>
          <t>Not Eligible</t>
        </is>
      </c>
      <c r="CL711"/>
      <c r="CM711"/>
    </row>
    <row r="712" ht="25.5" customHeight="1">
      <c r="A712" t="inlineStr">
        <is>
          <t>196497</t>
        </is>
      </c>
      <c r="B712" s="2"/>
      <c r="C712"/>
      <c r="D712" s="3">
        <v>46132.448171296295</v>
      </c>
      <c r="E712" t="inlineStr">
        <is>
          <t>Q2-W03</t>
        </is>
      </c>
      <c r="F712" t="inlineStr">
        <is>
          <t>Eugene</t>
        </is>
      </c>
      <c r="G712" t="inlineStr">
        <is>
          <t>Customer</t>
        </is>
      </c>
      <c r="H712" s="2" t="str">
        <f>=HYPERLINK("https://upbox.ajobthing.my/customer/196497", "https://upbox.ajobthing.my/customer/196497")</f>
        <v>https://upbox.ajobthing.my/customer/196497</v>
      </c>
      <c r="I712" t="inlineStr">
        <is>
          <t>SOL Pictures Sdn Bhd</t>
        </is>
      </c>
      <c r="J712" t="inlineStr">
        <is>
          <t>Dolphin</t>
        </is>
      </c>
      <c r="K712" t="inlineStr">
        <is>
          <t>Eugene</t>
        </is>
      </c>
      <c r="L712" s="4"/>
      <c r="M712" s="4">
        <v>46132.44925925926</v>
      </c>
      <c r="N712"/>
      <c r="O712">
        <v>3888</v>
      </c>
      <c r="P712" s="4"/>
      <c r="Q712" s="4">
        <v>46134.62883101852</v>
      </c>
      <c r="R712"/>
      <c r="S712">
        <v>1296</v>
      </c>
      <c r="T712" s="4">
        <v>46134.62883101852</v>
      </c>
      <c r="U712" s="4"/>
      <c r="V712"/>
      <c r="W712">
        <v>1296</v>
      </c>
      <c r="X712"/>
      <c r="Y712" t="inlineStr">
        <is>
          <t>Pending Appointment</t>
        </is>
      </c>
      <c r="Z712" t="inlineStr">
        <is>
          <t>Hiring Later</t>
        </is>
      </c>
      <c r="AA712">
        <v>2</v>
      </c>
      <c r="AB712" t="inlineStr">
        <is>
          <t>No Appointment Made</t>
        </is>
      </c>
      <c r="AC712"/>
      <c r="AD712" t="inlineStr">
        <is>
          <t>2 positions, based in KL</t>
        </is>
      </c>
      <c r="AE712"/>
      <c r="AF712">
        <v>3000</v>
      </c>
      <c r="AG712" s="4"/>
      <c r="AH712" s="4"/>
      <c r="AI712">
        <v>3000</v>
      </c>
      <c r="AJ712">
        <v>1</v>
      </c>
      <c r="AK712" t="inlineStr">
        <is>
          <t>No, I don't need at all</t>
        </is>
      </c>
      <c r="AL712">
        <v>1</v>
      </c>
      <c r="AM712" t="inlineStr">
        <is>
          <t>No, I don't need at all</t>
        </is>
      </c>
      <c r="AN712"/>
      <c r="AO712" t="inlineStr">
        <is>
          <t>No, I don't need at all</t>
        </is>
      </c>
      <c r="AP712" t="inlineStr">
        <is>
          <t>Twice a year (50%)</t>
        </is>
      </c>
      <c r="AQ712">
        <v>2</v>
      </c>
      <c r="AR712" t="inlineStr">
        <is>
          <t>Free Job Portal</t>
        </is>
      </c>
      <c r="AS712" t="inlineStr">
        <is>
          <t>- Headcount: 2
- Hiring Job Details: 2 positions,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is>
      </c>
      <c r="AT712">
        <v>95</v>
      </c>
      <c r="AU712" t="inlineStr">
        <is>
          <t>0.95</t>
        </is>
      </c>
      <c r="AV712" t="inlineStr">
        <is>
          <t>15</t>
        </is>
      </c>
      <c r="AW712" t="inlineStr">
        <is>
          <t>0</t>
        </is>
      </c>
      <c r="AX712" t="inlineStr">
        <is>
          <t>Not Qualified</t>
        </is>
      </c>
      <c r="AY712" s="4"/>
      <c r="AZ712"/>
      <c r="BA712"/>
      <c r="BB712"/>
      <c r="BC712" t="inlineStr">
        <is>
          <t>boost job</t>
        </is>
      </c>
      <c r="BD712" s="4">
        <v>46139.455671296295</v>
      </c>
      <c r="BE712" t="inlineStr">
        <is>
          <t>paid</t>
        </is>
      </c>
      <c r="BF712" t="inlineStr">
        <is>
          <t>Q2-W03</t>
        </is>
      </c>
      <c r="BG712" t="inlineStr">
        <is>
          <t>Reschedule</t>
        </is>
      </c>
      <c r="BH712" t="inlineStr">
        <is>
          <t>Edward Hoo</t>
        </is>
      </c>
      <c r="BI712"/>
      <c r="BJ712" s="4">
        <v>46144.75283564815</v>
      </c>
      <c r="BK712" s="4">
        <v>45924.640231481484</v>
      </c>
      <c r="BL712" t="inlineStr">
        <is>
          <t>3888.0</t>
        </is>
      </c>
      <c r="BM712" t="inlineStr">
        <is>
          <t>0.0</t>
        </is>
      </c>
      <c r="BN712" t="inlineStr">
        <is>
          <t>View Candidate Search Page</t>
        </is>
      </c>
      <c r="BO712" s="4">
        <v>46142.613125</v>
      </c>
      <c r="BP712">
        <v>167779</v>
      </c>
      <c r="BQ712">
        <v>94617</v>
      </c>
      <c r="BR712" t="inlineStr">
        <is>
          <t>Online</t>
        </is>
      </c>
      <c r="BS712"/>
      <c r="BT712">
        <v>94617</v>
      </c>
      <c r="BU712"/>
      <c r="BV712">
        <v>2728478</v>
      </c>
      <c r="BW712" t="inlineStr">
        <is>
          <t>Service / Technical : Job Complaint - Report To Marketing</t>
        </is>
      </c>
      <c r="BX712">
        <v>1</v>
      </c>
      <c r="BY712">
        <v>0</v>
      </c>
      <c r="BZ712" s="4">
        <v>46134.72592592592</v>
      </c>
      <c r="CA712">
        <v>23</v>
      </c>
      <c r="CB712">
        <v>23</v>
      </c>
      <c r="CC712" s="4"/>
      <c r="CD712" t="inlineStr">
        <is>
          <t>20</t>
        </is>
      </c>
      <c r="CE712" t="inlineStr">
        <is>
          <t>0</t>
        </is>
      </c>
      <c r="CF712" t="inlineStr">
        <is>
          <t>Q2-W03</t>
        </is>
      </c>
      <c r="CG712" t="inlineStr">
        <is>
          <t>Q2-W03</t>
        </is>
      </c>
      <c r="CH712" t="inlineStr">
        <is>
          <t>Q2-W03</t>
        </is>
      </c>
      <c r="CI712"/>
      <c r="CJ712" t="inlineStr">
        <is>
          <t>Paid</t>
        </is>
      </c>
      <c r="CK712" t="inlineStr">
        <is>
          <t>Not Eligible</t>
        </is>
      </c>
      <c r="CL712"/>
      <c r="CM712"/>
    </row>
    <row r="713" ht="25.5" customHeight="1">
      <c r="A713" t="inlineStr">
        <is>
          <t>172376</t>
        </is>
      </c>
      <c r="B713" s="2"/>
      <c r="C713"/>
      <c r="D713" s="3">
        <v>46132.45300925926</v>
      </c>
      <c r="E713" t="inlineStr">
        <is>
          <t>Q2-W03</t>
        </is>
      </c>
      <c r="F713" t="inlineStr">
        <is>
          <t>Luqman</t>
        </is>
      </c>
      <c r="G713" t="inlineStr">
        <is>
          <t>Customer</t>
        </is>
      </c>
      <c r="H713" s="2" t="str">
        <f>=HYPERLINK("https://upbox.ajobthing.my/customer/172376", "https://upbox.ajobthing.my/customer/172376")</f>
        <v>https://upbox.ajobthing.my/customer/172376</v>
      </c>
      <c r="I713" t="inlineStr">
        <is>
          <t>Proven Panel Sdn Bhd (1126559-P)</t>
        </is>
      </c>
      <c r="J713" t="inlineStr">
        <is>
          <t>Dolphin</t>
        </is>
      </c>
      <c r="K713" t="inlineStr">
        <is>
          <t>Luqman</t>
        </is>
      </c>
      <c r="L713" s="4"/>
      <c r="M713" s="4">
        <v>46132.4530787037</v>
      </c>
      <c r="N713"/>
      <c r="O713">
        <v>3888</v>
      </c>
      <c r="P713" s="4"/>
      <c r="Q713" s="4">
        <v>45454.68607638889</v>
      </c>
      <c r="R713"/>
      <c r="S713">
        <v>540</v>
      </c>
      <c r="T713" s="4">
        <v>45454.68607638889</v>
      </c>
      <c r="U713" s="4"/>
      <c r="V713"/>
      <c r="W713">
        <v>540</v>
      </c>
      <c r="X713"/>
      <c r="Y713" t="inlineStr">
        <is>
          <t>Pending Appointment</t>
        </is>
      </c>
      <c r="Z713" t="inlineStr">
        <is>
          <t>Hiring Later</t>
        </is>
      </c>
      <c r="AA713">
        <v>2</v>
      </c>
      <c r="AB713" t="inlineStr">
        <is>
          <t>No Appointment Made</t>
        </is>
      </c>
      <c r="AC713"/>
      <c r="AD713" t="inlineStr">
        <is>
          <t xml:space="preserve">1. Eletrician 2. Technician </t>
        </is>
      </c>
      <c r="AE713"/>
      <c r="AF713">
        <v>1200</v>
      </c>
      <c r="AG713" s="4"/>
      <c r="AH713" s="4"/>
      <c r="AI713">
        <v>1200</v>
      </c>
      <c r="AJ713"/>
      <c r="AK713" t="inlineStr">
        <is>
          <t>No, I don't need at all</t>
        </is>
      </c>
      <c r="AL713">
        <v>1</v>
      </c>
      <c r="AM713" t="inlineStr">
        <is>
          <t>No, I don't need at all</t>
        </is>
      </c>
      <c r="AN713"/>
      <c r="AO713" t="inlineStr">
        <is>
          <t>No, I don't need at all</t>
        </is>
      </c>
      <c r="AP713" t="inlineStr">
        <is>
          <t>Once a year (25%)</t>
        </is>
      </c>
      <c r="AQ713">
        <v>2</v>
      </c>
      <c r="AR713" t="inlineStr">
        <is>
          <t>Jobstreet, Free Job Portal</t>
        </is>
      </c>
      <c r="AS713" t="inlineStr">
        <is>
          <t>- Headcount: 2
- Hiring Job Details: 1 Electrician, 2 Technician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Jobstreet, Free Job Portal</t>
        </is>
      </c>
      <c r="AT713">
        <v>95</v>
      </c>
      <c r="AU713" t="inlineStr">
        <is>
          <t>0.95</t>
        </is>
      </c>
      <c r="AV713" t="inlineStr">
        <is>
          <t>15</t>
        </is>
      </c>
      <c r="AW713" t="inlineStr">
        <is>
          <t>0</t>
        </is>
      </c>
      <c r="AX713" t="inlineStr">
        <is>
          <t>Not Qualified</t>
        </is>
      </c>
      <c r="AY713" s="4"/>
      <c r="AZ713"/>
      <c r="BA713"/>
      <c r="BB713"/>
      <c r="BC713" t="inlineStr">
        <is>
          <t>Business utilize budget allocation on other portal</t>
        </is>
      </c>
      <c r="BD713" s="4">
        <v>46135.69125</v>
      </c>
      <c r="BE713" t="inlineStr">
        <is>
          <t>paid</t>
        </is>
      </c>
      <c r="BF713"/>
      <c r="BG713" t="inlineStr">
        <is>
          <t>Reschedule</t>
        </is>
      </c>
      <c r="BH713" t="inlineStr">
        <is>
          <t>Edward Hoo</t>
        </is>
      </c>
      <c r="BI713" t="inlineStr">
        <is>
          <t>Electrical / Electronics</t>
        </is>
      </c>
      <c r="BJ713" s="4">
        <v>46144.75148148148</v>
      </c>
      <c r="BK713" s="4">
        <v>45225.846400462964</v>
      </c>
      <c r="BL713" t="inlineStr">
        <is>
          <t>0.0</t>
        </is>
      </c>
      <c r="BM713" t="inlineStr">
        <is>
          <t>1200.0</t>
        </is>
      </c>
      <c r="BN713" t="inlineStr">
        <is>
          <t>View Jobmanager Page</t>
        </is>
      </c>
      <c r="BO713" s="4">
        <v>45798.759733796294</v>
      </c>
      <c r="BP713">
        <v>167782</v>
      </c>
      <c r="BQ713">
        <v>69998</v>
      </c>
      <c r="BR713" t="inlineStr">
        <is>
          <t>Online</t>
        </is>
      </c>
      <c r="BS713"/>
      <c r="BT713">
        <v>69998</v>
      </c>
      <c r="BU713"/>
      <c r="BV713">
        <v>2724814</v>
      </c>
      <c r="BW713" t="inlineStr">
        <is>
          <t>Follow Up : Lost - Paid Portal</t>
        </is>
      </c>
      <c r="BX713"/>
      <c r="BY713"/>
      <c r="BZ713" s="4"/>
      <c r="CA713"/>
      <c r="CB713"/>
      <c r="CC713" s="4"/>
      <c r="CD713" t="inlineStr">
        <is>
          <t>20</t>
        </is>
      </c>
      <c r="CE713" t="inlineStr">
        <is>
          <t>0</t>
        </is>
      </c>
      <c r="CF713" t="inlineStr">
        <is>
          <t>Q2-W03</t>
        </is>
      </c>
      <c r="CG713"/>
      <c r="CH713"/>
      <c r="CI713"/>
      <c r="CJ713" t="inlineStr">
        <is>
          <t>Paid</t>
        </is>
      </c>
      <c r="CK713" t="inlineStr">
        <is>
          <t>Not Eligible</t>
        </is>
      </c>
      <c r="CL713"/>
      <c r="CM713"/>
    </row>
    <row r="714" ht="25.5" customHeight="1">
      <c r="A714" t="inlineStr">
        <is>
          <t>48174</t>
        </is>
      </c>
      <c r="B714" s="2"/>
      <c r="C714"/>
      <c r="D714" s="3">
        <v>46132.45447916666</v>
      </c>
      <c r="E714" t="inlineStr">
        <is>
          <t>Q2-W03</t>
        </is>
      </c>
      <c r="F714" t="inlineStr">
        <is>
          <t>Lucas</t>
        </is>
      </c>
      <c r="G714" t="inlineStr">
        <is>
          <t>Customer</t>
        </is>
      </c>
      <c r="H714" s="2" t="str">
        <f>=HYPERLINK("https://upbox.ajobthing.my/customer/48174", "https://upbox.ajobthing.my/customer/48174")</f>
        <v>https://upbox.ajobthing.my/customer/48174</v>
      </c>
      <c r="I714" t="inlineStr">
        <is>
          <t>Bao Bei Reading Wonderland Sdn Bhd</t>
        </is>
      </c>
      <c r="J714" t="inlineStr">
        <is>
          <t>Dolphin</t>
        </is>
      </c>
      <c r="K714" t="inlineStr">
        <is>
          <t>Lucas</t>
        </is>
      </c>
      <c r="L714" s="4"/>
      <c r="M714" s="4">
        <v>46132.44945601852</v>
      </c>
      <c r="N714"/>
      <c r="O714">
        <v>3888</v>
      </c>
      <c r="P714" s="4"/>
      <c r="Q714" s="4">
        <v>46129.71142361111</v>
      </c>
      <c r="R714"/>
      <c r="S714">
        <v>0</v>
      </c>
      <c r="T714" s="4">
        <v>44655.00001157408</v>
      </c>
      <c r="U714" s="4"/>
      <c r="V714"/>
      <c r="W714">
        <v>636</v>
      </c>
      <c r="X714"/>
      <c r="Y714" t="inlineStr">
        <is>
          <t>Pending Appointment</t>
        </is>
      </c>
      <c r="Z714" t="inlineStr">
        <is>
          <t>Hiring Now</t>
        </is>
      </c>
      <c r="AA714">
        <v>1</v>
      </c>
      <c r="AB714" t="inlineStr">
        <is>
          <t>No Appointment Made</t>
        </is>
      </c>
      <c r="AC714"/>
      <c r="AD714" t="inlineStr">
        <is>
          <t xml:space="preserve">1 marketing </t>
        </is>
      </c>
      <c r="AE714"/>
      <c r="AF714">
        <v>0</v>
      </c>
      <c r="AG714" s="4"/>
      <c r="AH714" s="4"/>
      <c r="AI714">
        <v>0</v>
      </c>
      <c r="AJ714">
        <v>0</v>
      </c>
      <c r="AK714" t="inlineStr">
        <is>
          <t>No, I don't need at all</t>
        </is>
      </c>
      <c r="AL714">
        <v>0</v>
      </c>
      <c r="AM714" t="inlineStr">
        <is>
          <t>No, I don't need at all</t>
        </is>
      </c>
      <c r="AN714"/>
      <c r="AO714" t="inlineStr">
        <is>
          <t>No, I don't need at all</t>
        </is>
      </c>
      <c r="AP714" t="inlineStr">
        <is>
          <t>Once a year (25%)</t>
        </is>
      </c>
      <c r="AQ714">
        <v>1</v>
      </c>
      <c r="AR714" t="inlineStr">
        <is>
          <t>Did not use any job portal</t>
        </is>
      </c>
      <c r="AS714" t="inlineStr">
        <is>
          <t>- Headcount: 1
- Hiring Job Details: 1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714">
        <v>110</v>
      </c>
      <c r="AU714" t="inlineStr">
        <is>
          <t>1.10</t>
        </is>
      </c>
      <c r="AV714" t="inlineStr">
        <is>
          <t>15</t>
        </is>
      </c>
      <c r="AW714" t="inlineStr">
        <is>
          <t>0</t>
        </is>
      </c>
      <c r="AX714" t="inlineStr">
        <is>
          <t>Not Qualified</t>
        </is>
      </c>
      <c r="AY714" s="4"/>
      <c r="AZ714"/>
      <c r="BA714"/>
      <c r="BB714"/>
      <c r="BC714" t="inlineStr">
        <is>
          <t>next week</t>
        </is>
      </c>
      <c r="BD714" s="4">
        <v>46142.72577546296</v>
      </c>
      <c r="BE714" t="inlineStr">
        <is>
          <t>paid</t>
        </is>
      </c>
      <c r="BF714"/>
      <c r="BG714" t="inlineStr">
        <is>
          <t>Reschedule</t>
        </is>
      </c>
      <c r="BH714" t="inlineStr">
        <is>
          <t>Yee Hang</t>
        </is>
      </c>
      <c r="BI714" t="inlineStr">
        <is>
          <t>Education / Training</t>
        </is>
      </c>
      <c r="BJ714" s="4">
        <v>46144.75604166667</v>
      </c>
      <c r="BK714" s="4">
        <v>43214.451828703706</v>
      </c>
      <c r="BL714" t="inlineStr">
        <is>
          <t>0.0</t>
        </is>
      </c>
      <c r="BM714" t="inlineStr">
        <is>
          <t>0.0</t>
        </is>
      </c>
      <c r="BN714" t="inlineStr">
        <is>
          <t>View Candidate Search Page</t>
        </is>
      </c>
      <c r="BO714" s="4">
        <v>46129.714907407404</v>
      </c>
      <c r="BP714">
        <v>167780</v>
      </c>
      <c r="BQ714">
        <v>123024</v>
      </c>
      <c r="BR714" t="inlineStr">
        <is>
          <t>Proforma</t>
        </is>
      </c>
      <c r="BS714" t="inlineStr">
        <is>
          <t>Free High Pay Job</t>
        </is>
      </c>
      <c r="BT714">
        <v>42954</v>
      </c>
      <c r="BU714"/>
      <c r="BV714">
        <v>2738376</v>
      </c>
      <c r="BW714" t="inlineStr">
        <is>
          <t>Follow Up : Decision Pending</t>
        </is>
      </c>
      <c r="BX714"/>
      <c r="BY714"/>
      <c r="BZ714" s="4"/>
      <c r="CA714"/>
      <c r="CB714"/>
      <c r="CC714" s="4"/>
      <c r="CD714" t="inlineStr">
        <is>
          <t>20</t>
        </is>
      </c>
      <c r="CE714" t="inlineStr">
        <is>
          <t>0</t>
        </is>
      </c>
      <c r="CF714" t="inlineStr">
        <is>
          <t>Q2-W03</t>
        </is>
      </c>
      <c r="CG714" t="inlineStr">
        <is>
          <t>Q2-W03</t>
        </is>
      </c>
      <c r="CH714"/>
      <c r="CI714"/>
      <c r="CJ714" t="inlineStr">
        <is>
          <t>Paid</t>
        </is>
      </c>
      <c r="CK714" t="inlineStr">
        <is>
          <t>Not Eligible</t>
        </is>
      </c>
      <c r="CL714"/>
      <c r="CM714"/>
    </row>
    <row r="715" ht="25.5" customHeight="1">
      <c r="A715" t="inlineStr">
        <is>
          <t>203415</t>
        </is>
      </c>
      <c r="B715" s="2"/>
      <c r="C715"/>
      <c r="D715" s="3">
        <v>46132.45953703704</v>
      </c>
      <c r="E715" t="inlineStr">
        <is>
          <t>Q2-W03</t>
        </is>
      </c>
      <c r="F715" t="inlineStr">
        <is>
          <t>Clover</t>
        </is>
      </c>
      <c r="G715" t="inlineStr">
        <is>
          <t>Customer</t>
        </is>
      </c>
      <c r="H715" s="2" t="str">
        <f>=HYPERLINK("https://upbox.ajobthing.my/customer/203415", "https://upbox.ajobthing.my/customer/203415")</f>
        <v>https://upbox.ajobthing.my/customer/203415</v>
      </c>
      <c r="I715" t="inlineStr">
        <is>
          <t>Engineering services</t>
        </is>
      </c>
      <c r="J715" t="inlineStr">
        <is>
          <t>Dolphin</t>
        </is>
      </c>
      <c r="K715" t="inlineStr">
        <is>
          <t>Clover</t>
        </is>
      </c>
      <c r="L715" s="4"/>
      <c r="M715" s="4">
        <v>46132.45868055556</v>
      </c>
      <c r="N715"/>
      <c r="O715">
        <v>3888</v>
      </c>
      <c r="P715" s="4"/>
      <c r="Q715" s="4"/>
      <c r="R715"/>
      <c r="S715"/>
      <c r="T715" s="4"/>
      <c r="U715" s="4"/>
      <c r="V715"/>
      <c r="W715"/>
      <c r="X715"/>
      <c r="Y715" t="inlineStr">
        <is>
          <t>Pending Appointment</t>
        </is>
      </c>
      <c r="Z715" t="inlineStr">
        <is>
          <t>Hiring Now</t>
        </is>
      </c>
      <c r="AA715">
        <v>1</v>
      </c>
      <c r="AB715" t="inlineStr">
        <is>
          <t>No Appointment Made</t>
        </is>
      </c>
      <c r="AC715"/>
      <c r="AD715" t="inlineStr">
        <is>
          <t>Hire site technician x1, all races, fresh grads,  2000-2,600, replacement,  engineering, development water quality, HQ Putrajaya, future not sure, previous try js indeed free,  Ms Liyana, whatsapp number 013-4842942 , prefer email first</t>
        </is>
      </c>
      <c r="AE715"/>
      <c r="AF715">
        <v>3000</v>
      </c>
      <c r="AG715" s="4"/>
      <c r="AH715" s="4"/>
      <c r="AI715">
        <v>3000</v>
      </c>
      <c r="AJ715">
        <v>1</v>
      </c>
      <c r="AK715" t="inlineStr">
        <is>
          <t>No, but I want in future</t>
        </is>
      </c>
      <c r="AL715">
        <v>1</v>
      </c>
      <c r="AM715" t="inlineStr">
        <is>
          <t>No, but I want in future</t>
        </is>
      </c>
      <c r="AN715"/>
      <c r="AO715" t="inlineStr">
        <is>
          <t>No, but I want in future</t>
        </is>
      </c>
      <c r="AP715" t="inlineStr">
        <is>
          <t>Twice a year (50%)</t>
        </is>
      </c>
      <c r="AQ715">
        <v>2</v>
      </c>
      <c r="AR715" t="inlineStr">
        <is>
          <t>Free Job Portal</t>
        </is>
      </c>
      <c r="AS715" t="inlineStr">
        <is>
          <t>- Headcount: 1
- Hiring Job Details: 1 site technician (all races, fresh grads, RM2000-2600, replacement, engineering, development water quality, HQ Putrajaya, future unsure, previous free JS Indeed, Ms Liyana, WhatsApp 013-4842942, prefer email first)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Free Job Portal</t>
        </is>
      </c>
      <c r="AT715">
        <v>120</v>
      </c>
      <c r="AU715" t="inlineStr">
        <is>
          <t>1.20</t>
        </is>
      </c>
      <c r="AV715" t="inlineStr">
        <is>
          <t>15</t>
        </is>
      </c>
      <c r="AW715" t="inlineStr">
        <is>
          <t>0</t>
        </is>
      </c>
      <c r="AX715" t="inlineStr">
        <is>
          <t>Not Qualified</t>
        </is>
      </c>
      <c r="AY715" s="4"/>
      <c r="AZ715"/>
      <c r="BA715"/>
      <c r="BB715"/>
      <c r="BC715" t="inlineStr">
        <is>
          <t>Call pic  013-4842942 Ms Liyana , prefer free portal fb, budget concern, if not found candidate will try our service</t>
        </is>
      </c>
      <c r="BD715" s="4">
        <v>46134.69342592593</v>
      </c>
      <c r="BE715"/>
      <c r="BF715"/>
      <c r="BG715" t="inlineStr">
        <is>
          <t>Reschedule</t>
        </is>
      </c>
      <c r="BH715" t="inlineStr">
        <is>
          <t>Reagen</t>
        </is>
      </c>
      <c r="BI715"/>
      <c r="BJ715" s="4">
        <v>46144.75430555556</v>
      </c>
      <c r="BK715" s="4">
        <v>46132.4459375</v>
      </c>
      <c r="BL715" t="inlineStr">
        <is>
          <t>0.0</t>
        </is>
      </c>
      <c r="BM715" t="inlineStr">
        <is>
          <t>0.0</t>
        </is>
      </c>
      <c r="BN715"/>
      <c r="BO715" s="4"/>
      <c r="BP715">
        <v>167785</v>
      </c>
      <c r="BQ715"/>
      <c r="BR715"/>
      <c r="BS715"/>
      <c r="BT715"/>
      <c r="BU715"/>
      <c r="BV715">
        <v>2721545</v>
      </c>
      <c r="BW715" t="inlineStr">
        <is>
          <t>Follow Up : Budget Concern</t>
        </is>
      </c>
      <c r="BX715"/>
      <c r="BY715"/>
      <c r="BZ715" s="4"/>
      <c r="CA715"/>
      <c r="CB715"/>
      <c r="CC715" s="4"/>
      <c r="CD715" t="inlineStr">
        <is>
          <t>20</t>
        </is>
      </c>
      <c r="CE715" t="inlineStr">
        <is>
          <t>0</t>
        </is>
      </c>
      <c r="CF715" t="inlineStr">
        <is>
          <t>Q2-W03</t>
        </is>
      </c>
      <c r="CG715"/>
      <c r="CH715"/>
      <c r="CI715"/>
      <c r="CJ715" t="inlineStr">
        <is>
          <t>No Paid</t>
        </is>
      </c>
      <c r="CK715" t="inlineStr">
        <is>
          <t>Not Eligible</t>
        </is>
      </c>
      <c r="CL715"/>
      <c r="CM715"/>
    </row>
    <row r="716" ht="25.5" customHeight="1">
      <c r="A716" t="inlineStr">
        <is>
          <t>169620</t>
        </is>
      </c>
      <c r="B716" s="2"/>
      <c r="C716"/>
      <c r="D716" s="3">
        <v>46132.46192129629</v>
      </c>
      <c r="E716" t="inlineStr">
        <is>
          <t>Q2-W03</t>
        </is>
      </c>
      <c r="F716" t="inlineStr">
        <is>
          <t>Xin Quan</t>
        </is>
      </c>
      <c r="G716" t="inlineStr">
        <is>
          <t>Customer</t>
        </is>
      </c>
      <c r="H716" s="2" t="str">
        <f>=HYPERLINK("https://upbox.ajobthing.my/customer/169620", "https://upbox.ajobthing.my/customer/169620")</f>
        <v>https://upbox.ajobthing.my/customer/169620</v>
      </c>
      <c r="I716" t="inlineStr">
        <is>
          <t>Teamstar Solutions Sdn Bhd</t>
        </is>
      </c>
      <c r="J716" t="inlineStr">
        <is>
          <t>Dolphin</t>
        </is>
      </c>
      <c r="K716" t="inlineStr">
        <is>
          <t>Xin Quan</t>
        </is>
      </c>
      <c r="L716" s="4"/>
      <c r="M716" s="4">
        <v>46132.46273148148</v>
      </c>
      <c r="N716"/>
      <c r="O716">
        <v>3888</v>
      </c>
      <c r="P716" s="4"/>
      <c r="Q716" s="4">
        <v>45184.629224537035</v>
      </c>
      <c r="R716"/>
      <c r="S716">
        <v>2374.4</v>
      </c>
      <c r="T716" s="4">
        <v>45183.00001157408</v>
      </c>
      <c r="U716" s="4"/>
      <c r="V716"/>
      <c r="W716">
        <v>2374.4</v>
      </c>
      <c r="X716"/>
      <c r="Y716" t="inlineStr">
        <is>
          <t>Pending Appointment</t>
        </is>
      </c>
      <c r="Z716" t="inlineStr">
        <is>
          <t>Hiring Now</t>
        </is>
      </c>
      <c r="AA716">
        <v>6</v>
      </c>
      <c r="AB716" t="inlineStr">
        <is>
          <t>No Appointment Made</t>
        </is>
      </c>
      <c r="AC716"/>
      <c r="AD716" t="inlineStr">
        <is>
          <t>6 Sales , Base in KL</t>
        </is>
      </c>
      <c r="AE716"/>
      <c r="AF716">
        <v>2000</v>
      </c>
      <c r="AG716" s="4"/>
      <c r="AH716" s="4"/>
      <c r="AI716">
        <v>24000</v>
      </c>
      <c r="AJ716">
        <v>1</v>
      </c>
      <c r="AK716" t="inlineStr">
        <is>
          <t>No, I don't need at all</t>
        </is>
      </c>
      <c r="AL716">
        <v>1</v>
      </c>
      <c r="AM716" t="inlineStr">
        <is>
          <t>No, I don't need at all</t>
        </is>
      </c>
      <c r="AN716"/>
      <c r="AO716" t="inlineStr">
        <is>
          <t>No, I don't need at all</t>
        </is>
      </c>
      <c r="AP716" t="inlineStr">
        <is>
          <t>Once a year (25%)</t>
        </is>
      </c>
      <c r="AQ716">
        <v>6</v>
      </c>
      <c r="AR716"/>
      <c r="AS716" t="inlineStr">
        <is>
          <t>- Headcount: 6
- Hiring Job Details: 6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6
- Hiring frequency: Once a year (25%)
- External job portal: None</t>
        </is>
      </c>
      <c r="AT716">
        <v>115</v>
      </c>
      <c r="AU716" t="inlineStr">
        <is>
          <t>1.15</t>
        </is>
      </c>
      <c r="AV716" t="inlineStr">
        <is>
          <t>20</t>
        </is>
      </c>
      <c r="AW716" t="inlineStr">
        <is>
          <t>0</t>
        </is>
      </c>
      <c r="AX716" t="inlineStr">
        <is>
          <t>Not Qualified</t>
        </is>
      </c>
      <c r="AY716" s="4"/>
      <c r="AZ716"/>
      <c r="BA716"/>
      <c r="BB716"/>
      <c r="BC716" t="inlineStr">
        <is>
          <t>NH</t>
        </is>
      </c>
      <c r="BD716" s="4">
        <v>46135.661631944444</v>
      </c>
      <c r="BE716" t="inlineStr">
        <is>
          <t>paid</t>
        </is>
      </c>
      <c r="BF716"/>
      <c r="BG716" t="inlineStr">
        <is>
          <t>Reschedule</t>
        </is>
      </c>
      <c r="BH716" t="inlineStr">
        <is>
          <t>Edward Hoo</t>
        </is>
      </c>
      <c r="BI716" t="inlineStr">
        <is>
          <t>Retail / Merchandise</t>
        </is>
      </c>
      <c r="BJ716" s="4">
        <v>46144.75136574074</v>
      </c>
      <c r="BK716" s="4">
        <v>45135.495208333334</v>
      </c>
      <c r="BL716" t="inlineStr">
        <is>
          <t>0.0</t>
        </is>
      </c>
      <c r="BM716" t="inlineStr">
        <is>
          <t>600.0</t>
        </is>
      </c>
      <c r="BN716" t="inlineStr">
        <is>
          <t>View Applicant Page</t>
        </is>
      </c>
      <c r="BO716" s="4">
        <v>45313.52171296296</v>
      </c>
      <c r="BP716">
        <v>167786</v>
      </c>
      <c r="BQ716">
        <v>80462</v>
      </c>
      <c r="BR716" t="inlineStr">
        <is>
          <t>Proforma</t>
        </is>
      </c>
      <c r="BS716" t="inlineStr">
        <is>
          <t>Startup Package - Instant Job Slot (20%)</t>
        </is>
      </c>
      <c r="BT716">
        <v>62171</v>
      </c>
      <c r="BU716"/>
      <c r="BV716">
        <v>2724532</v>
      </c>
      <c r="BW716" t="inlineStr">
        <is>
          <t>Inquire for Hiring Needs : No Hiring</t>
        </is>
      </c>
      <c r="BX716"/>
      <c r="BY716"/>
      <c r="BZ716" s="4"/>
      <c r="CA716"/>
      <c r="CB716"/>
      <c r="CC716" s="4"/>
      <c r="CD716" t="inlineStr">
        <is>
          <t>30</t>
        </is>
      </c>
      <c r="CE716" t="inlineStr">
        <is>
          <t>0</t>
        </is>
      </c>
      <c r="CF716" t="inlineStr">
        <is>
          <t>Q2-W03</t>
        </is>
      </c>
      <c r="CG716"/>
      <c r="CH716"/>
      <c r="CI716"/>
      <c r="CJ716" t="inlineStr">
        <is>
          <t>Paid</t>
        </is>
      </c>
      <c r="CK716" t="inlineStr">
        <is>
          <t>Not Eligible</t>
        </is>
      </c>
      <c r="CL716"/>
      <c r="CM716"/>
    </row>
    <row r="717" ht="25.5" customHeight="1">
      <c r="A717" t="inlineStr">
        <is>
          <t>173663</t>
        </is>
      </c>
      <c r="B717" s="2"/>
      <c r="C717"/>
      <c r="D717" s="3">
        <v>46132.464907407404</v>
      </c>
      <c r="E717" t="inlineStr">
        <is>
          <t>Q2-W03</t>
        </is>
      </c>
      <c r="F717" t="inlineStr">
        <is>
          <t>Chia Yee</t>
        </is>
      </c>
      <c r="G717" t="inlineStr">
        <is>
          <t>Customer</t>
        </is>
      </c>
      <c r="H717" s="2" t="str">
        <f>=HYPERLINK("https://upbox.ajobthing.my/customer/173663", "https://upbox.ajobthing.my/customer/173663")</f>
        <v>https://upbox.ajobthing.my/customer/173663</v>
      </c>
      <c r="I717" t="inlineStr">
        <is>
          <t>Hong Ling Retail Enterprise</t>
        </is>
      </c>
      <c r="J717" t="inlineStr">
        <is>
          <t>Dolphin</t>
        </is>
      </c>
      <c r="K717" t="inlineStr">
        <is>
          <t>Chia Yee</t>
        </is>
      </c>
      <c r="L717" s="4"/>
      <c r="M717" s="4">
        <v>46132.465</v>
      </c>
      <c r="N717"/>
      <c r="O717">
        <v>6048</v>
      </c>
      <c r="P717" s="4"/>
      <c r="Q717" s="4">
        <v>46135.395532407405</v>
      </c>
      <c r="R717"/>
      <c r="S717">
        <v>864</v>
      </c>
      <c r="T717" s="4">
        <v>46135.395532407405</v>
      </c>
      <c r="U717" s="4"/>
      <c r="V717"/>
      <c r="W717">
        <v>864</v>
      </c>
      <c r="X717"/>
      <c r="Y717" t="inlineStr">
        <is>
          <t>Pending Appointment</t>
        </is>
      </c>
      <c r="Z717" t="inlineStr">
        <is>
          <t>Hiring Now</t>
        </is>
      </c>
      <c r="AA717">
        <v>1</v>
      </c>
      <c r="AB717" t="inlineStr">
        <is>
          <t>No Appointment Made</t>
        </is>
      </c>
      <c r="AC717"/>
      <c r="AD717" t="inlineStr">
        <is>
          <t>1 Telemarketer junior</t>
        </is>
      </c>
      <c r="AE717"/>
      <c r="AF717">
        <v>0</v>
      </c>
      <c r="AG717" s="4"/>
      <c r="AH717" s="4"/>
      <c r="AI717">
        <v>0</v>
      </c>
      <c r="AJ717">
        <v>1</v>
      </c>
      <c r="AK717" t="inlineStr">
        <is>
          <t>No, I don't need at all</t>
        </is>
      </c>
      <c r="AL717">
        <v>1</v>
      </c>
      <c r="AM717" t="inlineStr">
        <is>
          <t>No, I don't need at all</t>
        </is>
      </c>
      <c r="AN717"/>
      <c r="AO717" t="inlineStr">
        <is>
          <t>Yes, I have</t>
        </is>
      </c>
      <c r="AP717" t="inlineStr">
        <is>
          <t>Once a year (25%)</t>
        </is>
      </c>
      <c r="AQ717">
        <v>1</v>
      </c>
      <c r="AR717" t="inlineStr">
        <is>
          <t>Did not use any job portal</t>
        </is>
      </c>
      <c r="AS717" t="inlineStr">
        <is>
          <t>- Headcount: 1
- Hiring Job Details: 1 Telemarketer junior
- Hiring Urgency: Hiring Now
- Number of outlets: 1
- Have recruiter team: No, I don't need at all
- Number of recruiter in company: 1
- Have ATS system: No, I don't need at all
- Have career website: Yes, I have
- Current hiring budget: RM0.00
- Whole year budget: RM0.00
- Whole year number of vacancies: 1
- Hiring frequency: Once a year (25%)
- External job portal: Did not use any job portal</t>
        </is>
      </c>
      <c r="AT717">
        <v>110</v>
      </c>
      <c r="AU717" t="inlineStr">
        <is>
          <t>1.10</t>
        </is>
      </c>
      <c r="AV717" t="inlineStr">
        <is>
          <t>15</t>
        </is>
      </c>
      <c r="AW717" t="inlineStr">
        <is>
          <t>0</t>
        </is>
      </c>
      <c r="AX717" t="inlineStr">
        <is>
          <t>Not Qualified</t>
        </is>
      </c>
      <c r="AY717" s="4"/>
      <c r="AZ717"/>
      <c r="BA717"/>
      <c r="BB717"/>
      <c r="BC717" t="inlineStr">
        <is>
          <t>WA ask why he did not receive notification. Checked and update</t>
        </is>
      </c>
      <c r="BD717" s="4">
        <v>46136.49359953704</v>
      </c>
      <c r="BE717" t="inlineStr">
        <is>
          <t>paid</t>
        </is>
      </c>
      <c r="BF717" t="inlineStr">
        <is>
          <t>Q2-W03</t>
        </is>
      </c>
      <c r="BG717" t="inlineStr">
        <is>
          <t>Reschedule</t>
        </is>
      </c>
      <c r="BH717" t="inlineStr">
        <is>
          <t>Reagen</t>
        </is>
      </c>
      <c r="BI717" t="inlineStr">
        <is>
          <t>Entertainment / Media</t>
        </is>
      </c>
      <c r="BJ717" s="4">
        <v>46144.75152777778</v>
      </c>
      <c r="BK717" s="4">
        <v>45270.50200231482</v>
      </c>
      <c r="BL717" t="inlineStr">
        <is>
          <t>864.0</t>
        </is>
      </c>
      <c r="BM717" t="inlineStr">
        <is>
          <t>0.0</t>
        </is>
      </c>
      <c r="BN717" t="inlineStr">
        <is>
          <t>People Search Page : Unlock Candidate</t>
        </is>
      </c>
      <c r="BO717" s="4">
        <v>46140.76011574074</v>
      </c>
      <c r="BP717">
        <v>167789</v>
      </c>
      <c r="BQ717">
        <v>94650</v>
      </c>
      <c r="BR717" t="inlineStr">
        <is>
          <t>Online</t>
        </is>
      </c>
      <c r="BS717"/>
      <c r="BT717">
        <v>94650</v>
      </c>
      <c r="BU717"/>
      <c r="BV717">
        <v>2725982</v>
      </c>
      <c r="BW717" t="inlineStr">
        <is>
          <t>Service / Technical : Job Outcome Enquiry</t>
        </is>
      </c>
      <c r="BX717">
        <v>1</v>
      </c>
      <c r="BY717">
        <v>0</v>
      </c>
      <c r="BZ717" s="4">
        <v>46135.40015046296</v>
      </c>
      <c r="CA717">
        <v>10</v>
      </c>
      <c r="CB717">
        <v>8</v>
      </c>
      <c r="CC717" s="4">
        <v>46136.6847337963</v>
      </c>
      <c r="CD717" t="inlineStr">
        <is>
          <t>20</t>
        </is>
      </c>
      <c r="CE717" t="inlineStr">
        <is>
          <t>0</t>
        </is>
      </c>
      <c r="CF717" t="inlineStr">
        <is>
          <t>Q2-W03</t>
        </is>
      </c>
      <c r="CG717" t="inlineStr">
        <is>
          <t>Q2-W03</t>
        </is>
      </c>
      <c r="CH717" t="inlineStr">
        <is>
          <t>Q2-W03</t>
        </is>
      </c>
      <c r="CI717"/>
      <c r="CJ717" t="inlineStr">
        <is>
          <t>Paid</t>
        </is>
      </c>
      <c r="CK717" t="inlineStr">
        <is>
          <t>Not Eligible</t>
        </is>
      </c>
      <c r="CL717"/>
      <c r="CM717"/>
    </row>
    <row r="718" ht="25.5" customHeight="1">
      <c r="A718" t="inlineStr">
        <is>
          <t>203389</t>
        </is>
      </c>
      <c r="B718" s="2"/>
      <c r="C718"/>
      <c r="D718" s="3">
        <v>46132.46611111111</v>
      </c>
      <c r="E718" t="inlineStr">
        <is>
          <t>Q2-W03</t>
        </is>
      </c>
      <c r="F718" t="inlineStr">
        <is>
          <t>Janice Yap</t>
        </is>
      </c>
      <c r="G718" t="inlineStr">
        <is>
          <t>Customer</t>
        </is>
      </c>
      <c r="H718" s="2" t="str">
        <f>=HYPERLINK("https://upbox.ajobthing.my/customer/203389", "https://upbox.ajobthing.my/customer/203389")</f>
        <v>https://upbox.ajobthing.my/customer/203389</v>
      </c>
      <c r="I718" t="inlineStr">
        <is>
          <t>Genting Ehsan (sp) Sdn Bhd</t>
        </is>
      </c>
      <c r="J718" t="inlineStr">
        <is>
          <t>Dolphin</t>
        </is>
      </c>
      <c r="K718" t="inlineStr">
        <is>
          <t>Janice</t>
        </is>
      </c>
      <c r="L718" s="4"/>
      <c r="M718" s="4">
        <v>46132.46372685185</v>
      </c>
      <c r="N718"/>
      <c r="O718">
        <v>3888</v>
      </c>
      <c r="P718" s="4"/>
      <c r="Q718" s="4">
        <v>46130.59203703704</v>
      </c>
      <c r="R718"/>
      <c r="S718">
        <v>0</v>
      </c>
      <c r="T718" s="4"/>
      <c r="U718" s="4"/>
      <c r="V718"/>
      <c r="W718"/>
      <c r="X718"/>
      <c r="Y718" t="inlineStr">
        <is>
          <t>Pending Appointment</t>
        </is>
      </c>
      <c r="Z718" t="inlineStr">
        <is>
          <t>Hiring Now</t>
        </is>
      </c>
      <c r="AA718">
        <v>2</v>
      </c>
      <c r="AB718" t="inlineStr">
        <is>
          <t>No Appointment Made</t>
        </is>
      </c>
      <c r="AC718"/>
      <c r="AD718" t="inlineStr">
        <is>
          <t>2 account assist</t>
        </is>
      </c>
      <c r="AE718"/>
      <c r="AF718">
        <v>0</v>
      </c>
      <c r="AG718" s="4"/>
      <c r="AH718" s="4"/>
      <c r="AI718">
        <v>0</v>
      </c>
      <c r="AJ718"/>
      <c r="AK718" t="inlineStr">
        <is>
          <t>No, I don't need at all</t>
        </is>
      </c>
      <c r="AL718">
        <v>0</v>
      </c>
      <c r="AM718" t="inlineStr">
        <is>
          <t>No, I don't need at all</t>
        </is>
      </c>
      <c r="AN718"/>
      <c r="AO718" t="inlineStr">
        <is>
          <t>No, I don't need at all</t>
        </is>
      </c>
      <c r="AP718" t="inlineStr">
        <is>
          <t>Once a year (25%)</t>
        </is>
      </c>
      <c r="AQ718">
        <v>2</v>
      </c>
      <c r="AR718" t="inlineStr">
        <is>
          <t>Jobstreet</t>
        </is>
      </c>
      <c r="AS718" t="inlineStr">
        <is>
          <t>- Headcount: 2
- Hiring Job Details: 2 account assist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is>
      </c>
      <c r="AT718">
        <v>115</v>
      </c>
      <c r="AU718" t="inlineStr">
        <is>
          <t>1.15</t>
        </is>
      </c>
      <c r="AV718" t="inlineStr">
        <is>
          <t>15</t>
        </is>
      </c>
      <c r="AW718" t="inlineStr">
        <is>
          <t>0</t>
        </is>
      </c>
      <c r="AX718" t="inlineStr">
        <is>
          <t>Not Qualified</t>
        </is>
      </c>
      <c r="AY718" s="4"/>
      <c r="AZ718"/>
      <c r="BA718"/>
      <c r="BB718"/>
      <c r="BC718" t="inlineStr">
        <is>
          <t>Prefer used JS // just bought JS's package</t>
        </is>
      </c>
      <c r="BD718" s="4">
        <v>46134.6124537037</v>
      </c>
      <c r="BE718" t="inlineStr">
        <is>
          <t>paid</t>
        </is>
      </c>
      <c r="BF718"/>
      <c r="BG718" t="inlineStr">
        <is>
          <t>Reschedule</t>
        </is>
      </c>
      <c r="BH718" t="inlineStr">
        <is>
          <t>Yee Hang</t>
        </is>
      </c>
      <c r="BI718"/>
      <c r="BJ718" s="4">
        <v>46144.75430555556</v>
      </c>
      <c r="BK718" s="4">
        <v>46130.59175925926</v>
      </c>
      <c r="BL718" t="inlineStr">
        <is>
          <t>0.0</t>
        </is>
      </c>
      <c r="BM718" t="inlineStr">
        <is>
          <t>0.0</t>
        </is>
      </c>
      <c r="BN718" t="inlineStr">
        <is>
          <t>View Create Job Page V4</t>
        </is>
      </c>
      <c r="BO718" s="4">
        <v>46130.598587962966</v>
      </c>
      <c r="BP718">
        <v>167787</v>
      </c>
      <c r="BQ718">
        <v>123079</v>
      </c>
      <c r="BR718" t="inlineStr">
        <is>
          <t>Proforma</t>
        </is>
      </c>
      <c r="BS718" t="inlineStr">
        <is>
          <t>Free High Pay Job</t>
        </is>
      </c>
      <c r="BT718"/>
      <c r="BU718"/>
      <c r="BV718">
        <v>2720835</v>
      </c>
      <c r="BW718" t="inlineStr">
        <is>
          <t>Follow Up : Lost - Paid Portal</t>
        </is>
      </c>
      <c r="BX718"/>
      <c r="BY718"/>
      <c r="BZ718" s="4"/>
      <c r="CA718"/>
      <c r="CB718"/>
      <c r="CC718" s="4"/>
      <c r="CD718" t="inlineStr">
        <is>
          <t>20</t>
        </is>
      </c>
      <c r="CE718" t="inlineStr">
        <is>
          <t>0</t>
        </is>
      </c>
      <c r="CF718" t="inlineStr">
        <is>
          <t>Q2-W03</t>
        </is>
      </c>
      <c r="CG718" t="inlineStr">
        <is>
          <t>Q2-W03</t>
        </is>
      </c>
      <c r="CH718"/>
      <c r="CI718"/>
      <c r="CJ718" t="inlineStr">
        <is>
          <t>No Paid</t>
        </is>
      </c>
      <c r="CK718" t="inlineStr">
        <is>
          <t>Not Eligible</t>
        </is>
      </c>
      <c r="CL718"/>
      <c r="CM718"/>
    </row>
    <row r="719" ht="25.5" customHeight="1">
      <c r="A719" t="inlineStr">
        <is>
          <t>167076</t>
        </is>
      </c>
      <c r="B719" s="2"/>
      <c r="C719"/>
      <c r="D719" s="3">
        <v>46132.482199074075</v>
      </c>
      <c r="E719" t="inlineStr">
        <is>
          <t>Q2-W03</t>
        </is>
      </c>
      <c r="F719" t="inlineStr">
        <is>
          <t>Luqman</t>
        </is>
      </c>
      <c r="G719" t="inlineStr">
        <is>
          <t>Customer</t>
        </is>
      </c>
      <c r="H719" s="2" t="str">
        <f>=HYPERLINK("https://upbox.ajobthing.my/customer/167076", "https://upbox.ajobthing.my/customer/167076")</f>
        <v>https://upbox.ajobthing.my/customer/167076</v>
      </c>
      <c r="I719" t="inlineStr">
        <is>
          <t>7Stonez Holidays Sdn Bhd</t>
        </is>
      </c>
      <c r="J719" t="inlineStr">
        <is>
          <t>Dolphin</t>
        </is>
      </c>
      <c r="K719" t="inlineStr">
        <is>
          <t>Luqman</t>
        </is>
      </c>
      <c r="L719" s="4"/>
      <c r="M719" s="4">
        <v>46132.48233796296</v>
      </c>
      <c r="N719"/>
      <c r="O719">
        <v>1296</v>
      </c>
      <c r="P719" s="4"/>
      <c r="Q719" s="4">
        <v>45063.446539351855</v>
      </c>
      <c r="R719"/>
      <c r="S719">
        <v>636</v>
      </c>
      <c r="T719" s="4">
        <v>45063.446539351855</v>
      </c>
      <c r="U719" s="4"/>
      <c r="V719"/>
      <c r="W719">
        <v>636</v>
      </c>
      <c r="X719"/>
      <c r="Y719" t="inlineStr">
        <is>
          <t>Pending Appointment</t>
        </is>
      </c>
      <c r="Z719" t="inlineStr">
        <is>
          <t>Hiring Later</t>
        </is>
      </c>
      <c r="AA719">
        <v>1</v>
      </c>
      <c r="AB719" t="inlineStr">
        <is>
          <t>No Appointment Made</t>
        </is>
      </c>
      <c r="AC719"/>
      <c r="AD719" t="inlineStr">
        <is>
          <t>1. Marketing Exec</t>
        </is>
      </c>
      <c r="AE719"/>
      <c r="AF719">
        <v>1200</v>
      </c>
      <c r="AG719" s="4"/>
      <c r="AH719" s="4"/>
      <c r="AI719">
        <v>1200</v>
      </c>
      <c r="AJ719"/>
      <c r="AK719" t="inlineStr">
        <is>
          <t>No, I don't need at all</t>
        </is>
      </c>
      <c r="AL719">
        <v>1</v>
      </c>
      <c r="AM719" t="inlineStr">
        <is>
          <t>No, I don't need at all</t>
        </is>
      </c>
      <c r="AN719"/>
      <c r="AO719" t="inlineStr">
        <is>
          <t>Yes, I have</t>
        </is>
      </c>
      <c r="AP719" t="inlineStr">
        <is>
          <t>Once a year (25%)</t>
        </is>
      </c>
      <c r="AQ719">
        <v>1</v>
      </c>
      <c r="AR719" t="inlineStr">
        <is>
          <t>Free Job Portal, Jobstreet</t>
        </is>
      </c>
      <c r="AS719" t="inlineStr">
        <is>
          <t>- Headcount: 1
- Hiring Job Details: 1 Marketing Exec
- Hiring Urgency: Hiring Later
- Number of outlets: 
- Have recruiter team: No, I don't need at all
- Number of recruiter in company: 1
- Have ATS system: No, I don't need at all
- Have career website: Yes, I have
- Current hiring budget: RM1,200
- Whole year budget: RM1,200.00
- Whole year number of vacancies: 1
- Hiring frequency: Once a year (25%)
- External job portal: Free Job Portal,Jobstreet</t>
        </is>
      </c>
      <c r="AT719">
        <v>110</v>
      </c>
      <c r="AU719" t="inlineStr">
        <is>
          <t>1.10</t>
        </is>
      </c>
      <c r="AV719" t="inlineStr">
        <is>
          <t>15</t>
        </is>
      </c>
      <c r="AW719" t="inlineStr">
        <is>
          <t>0</t>
        </is>
      </c>
      <c r="AX719" t="inlineStr">
        <is>
          <t>Not Qualified</t>
        </is>
      </c>
      <c r="AY719" s="4"/>
      <c r="AZ719"/>
      <c r="BA719"/>
      <c r="BB719"/>
      <c r="BC719" t="inlineStr">
        <is>
          <t>Business utilize free portal.  ( Indeed )</t>
        </is>
      </c>
      <c r="BD719" s="4">
        <v>46135.70311342592</v>
      </c>
      <c r="BE719" t="inlineStr">
        <is>
          <t>paid</t>
        </is>
      </c>
      <c r="BF719"/>
      <c r="BG719" t="inlineStr">
        <is>
          <t>Reschedule</t>
        </is>
      </c>
      <c r="BH719" t="inlineStr">
        <is>
          <t>Edward Hoo</t>
        </is>
      </c>
      <c r="BI719" t="inlineStr">
        <is>
          <t>Hotel / Hospitality</t>
        </is>
      </c>
      <c r="BJ719" s="4">
        <v>46144.75131944445</v>
      </c>
      <c r="BK719" s="4">
        <v>45062.740219907406</v>
      </c>
      <c r="BL719" t="inlineStr">
        <is>
          <t>0.0</t>
        </is>
      </c>
      <c r="BM719" t="inlineStr">
        <is>
          <t>600.0</t>
        </is>
      </c>
      <c r="BN719" t="inlineStr">
        <is>
          <t>View Applicant Page</t>
        </is>
      </c>
      <c r="BO719" s="4">
        <v>45128.95774305556</v>
      </c>
      <c r="BP719">
        <v>167803</v>
      </c>
      <c r="BQ719">
        <v>58620</v>
      </c>
      <c r="BR719" t="inlineStr">
        <is>
          <t>Online</t>
        </is>
      </c>
      <c r="BS719"/>
      <c r="BT719">
        <v>58620</v>
      </c>
      <c r="BU719"/>
      <c r="BV719">
        <v>2724884</v>
      </c>
      <c r="BW719" t="inlineStr">
        <is>
          <t>Follow Up : Lost - Free Portal</t>
        </is>
      </c>
      <c r="BX719"/>
      <c r="BY719"/>
      <c r="BZ719" s="4"/>
      <c r="CA719"/>
      <c r="CB719"/>
      <c r="CC719" s="4"/>
      <c r="CD719" t="inlineStr">
        <is>
          <t>20</t>
        </is>
      </c>
      <c r="CE719" t="inlineStr">
        <is>
          <t>0</t>
        </is>
      </c>
      <c r="CF719" t="inlineStr">
        <is>
          <t>Q2-W03</t>
        </is>
      </c>
      <c r="CG719"/>
      <c r="CH719"/>
      <c r="CI719"/>
      <c r="CJ719" t="inlineStr">
        <is>
          <t>Paid</t>
        </is>
      </c>
      <c r="CK719" t="inlineStr">
        <is>
          <t>Not Eligible</t>
        </is>
      </c>
      <c r="CL719"/>
      <c r="CM719"/>
    </row>
    <row r="720" ht="25.5" customHeight="1">
      <c r="A720" t="inlineStr">
        <is>
          <t>189577</t>
        </is>
      </c>
      <c r="B720" s="2"/>
      <c r="C720"/>
      <c r="D720" s="3">
        <v>46132.48335648148</v>
      </c>
      <c r="E720" t="inlineStr">
        <is>
          <t>Q2-W03</t>
        </is>
      </c>
      <c r="F720" t="inlineStr">
        <is>
          <t>Angel  Low</t>
        </is>
      </c>
      <c r="G720" t="inlineStr">
        <is>
          <t>Customer</t>
        </is>
      </c>
      <c r="H720" s="2" t="str">
        <f>=HYPERLINK("https://upbox.ajobthing.my/customer/189577", "https://upbox.ajobthing.my/customer/189577")</f>
        <v>https://upbox.ajobthing.my/customer/189577</v>
      </c>
      <c r="I720" t="inlineStr">
        <is>
          <t>Wiselink MCCK Technology Sdn. Bhd.</t>
        </is>
      </c>
      <c r="J720" t="inlineStr">
        <is>
          <t>Dolphin</t>
        </is>
      </c>
      <c r="K720" t="inlineStr">
        <is>
          <t>Angel Low</t>
        </is>
      </c>
      <c r="L720" s="4"/>
      <c r="M720" s="4">
        <v>46132.65457175926</v>
      </c>
      <c r="N720"/>
      <c r="O720">
        <v>5508</v>
      </c>
      <c r="P720" s="4"/>
      <c r="Q720" s="4">
        <v>46131.89988425926</v>
      </c>
      <c r="R720"/>
      <c r="S720">
        <v>1728</v>
      </c>
      <c r="T720" s="4">
        <v>46131.89988425926</v>
      </c>
      <c r="U720" s="4"/>
      <c r="V720"/>
      <c r="W720">
        <v>1728</v>
      </c>
      <c r="X720"/>
      <c r="Y720" t="inlineStr">
        <is>
          <t>Pending Appointment</t>
        </is>
      </c>
      <c r="Z720"/>
      <c r="AA720">
        <v>2</v>
      </c>
      <c r="AB720" t="inlineStr">
        <is>
          <t>No Appointment Made</t>
        </is>
      </c>
      <c r="AC720"/>
      <c r="AD720" t="inlineStr">
        <is>
          <t>telemarketer ,media manager (Facebook Tiktok)</t>
        </is>
      </c>
      <c r="AE720"/>
      <c r="AF720"/>
      <c r="AG720" s="4"/>
      <c r="AH720" s="4"/>
      <c r="AI720"/>
      <c r="AJ720"/>
      <c r="AK720"/>
      <c r="AL720"/>
      <c r="AM720"/>
      <c r="AN720"/>
      <c r="AO720"/>
      <c r="AP720"/>
      <c r="AQ720"/>
      <c r="AR720"/>
      <c r="AS720" t="inlineStr">
        <is>
          <t>- Headcount: 2
- Hiring Job Details: telemarketer, media manager (Facebook Tiktok)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720">
        <v>20</v>
      </c>
      <c r="AU720" t="inlineStr">
        <is>
          <t>0.20</t>
        </is>
      </c>
      <c r="AV720" t="inlineStr">
        <is>
          <t>5</t>
        </is>
      </c>
      <c r="AW720" t="inlineStr">
        <is>
          <t>0</t>
        </is>
      </c>
      <c r="AX720" t="inlineStr">
        <is>
          <t>Not Qualified</t>
        </is>
      </c>
      <c r="AY720" s="4"/>
      <c r="AZ720"/>
      <c r="BA720"/>
      <c r="BB720"/>
      <c r="BC720" t="inlineStr">
        <is>
          <t>pending</t>
        </is>
      </c>
      <c r="BD720" s="4">
        <v>46140.53313657407</v>
      </c>
      <c r="BE720" t="inlineStr">
        <is>
          <t>paid</t>
        </is>
      </c>
      <c r="BF720" t="inlineStr">
        <is>
          <t>Q2-W03</t>
        </is>
      </c>
      <c r="BG720" t="inlineStr">
        <is>
          <t>Reschedule</t>
        </is>
      </c>
      <c r="BH720" t="inlineStr">
        <is>
          <t>Fauziah Maharan</t>
        </is>
      </c>
      <c r="BI720"/>
      <c r="BJ720" s="4">
        <v>46144.75232638889</v>
      </c>
      <c r="BK720" s="4">
        <v>45753.72917824074</v>
      </c>
      <c r="BL720" t="inlineStr">
        <is>
          <t>1728.0</t>
        </is>
      </c>
      <c r="BM720" t="inlineStr">
        <is>
          <t>0.0</t>
        </is>
      </c>
      <c r="BN720" t="inlineStr">
        <is>
          <t>View Candidate Search Page</t>
        </is>
      </c>
      <c r="BO720" s="4">
        <v>46144.74366898148</v>
      </c>
      <c r="BP720">
        <v>167873</v>
      </c>
      <c r="BQ720">
        <v>94263</v>
      </c>
      <c r="BR720" t="inlineStr">
        <is>
          <t>Online</t>
        </is>
      </c>
      <c r="BS720"/>
      <c r="BT720">
        <v>94263</v>
      </c>
      <c r="BU720"/>
      <c r="BV720">
        <v>2732490</v>
      </c>
      <c r="BW720" t="inlineStr">
        <is>
          <t>Follow Up : Decision Pending</t>
        </is>
      </c>
      <c r="BX720"/>
      <c r="BY720"/>
      <c r="BZ720" s="4"/>
      <c r="CA720"/>
      <c r="CB720"/>
      <c r="CC720" s="4"/>
      <c r="CD720" t="inlineStr">
        <is>
          <t>5</t>
        </is>
      </c>
      <c r="CE720" t="inlineStr">
        <is>
          <t>0</t>
        </is>
      </c>
      <c r="CF720" t="inlineStr">
        <is>
          <t>Q2-W03</t>
        </is>
      </c>
      <c r="CG720" t="inlineStr">
        <is>
          <t>Q2-W03</t>
        </is>
      </c>
      <c r="CH720" t="inlineStr">
        <is>
          <t>Q2-W03</t>
        </is>
      </c>
      <c r="CI720"/>
      <c r="CJ720" t="inlineStr">
        <is>
          <t>Paid</t>
        </is>
      </c>
      <c r="CK720" t="inlineStr">
        <is>
          <t>Not Eligible</t>
        </is>
      </c>
      <c r="CL720"/>
      <c r="CM720"/>
    </row>
    <row r="721" ht="25.5" customHeight="1">
      <c r="A721" t="inlineStr">
        <is>
          <t>203423</t>
        </is>
      </c>
      <c r="B721" s="2"/>
      <c r="C721"/>
      <c r="D721" s="3">
        <v>46132.48930555556</v>
      </c>
      <c r="E721" t="inlineStr">
        <is>
          <t>Q2-W03</t>
        </is>
      </c>
      <c r="F721" t="inlineStr">
        <is>
          <t>Xin Quan</t>
        </is>
      </c>
      <c r="G721" t="inlineStr">
        <is>
          <t>Customer</t>
        </is>
      </c>
      <c r="H721" s="2" t="str">
        <f>=HYPERLINK("https://upbox.ajobthing.my/customer/203423", "https://upbox.ajobthing.my/customer/203423")</f>
        <v>https://upbox.ajobthing.my/customer/203423</v>
      </c>
      <c r="I721" t="inlineStr">
        <is>
          <t>KIRIN INDUSTRY SDN. BHD.</t>
        </is>
      </c>
      <c r="J721" t="inlineStr">
        <is>
          <t>Dolphin</t>
        </is>
      </c>
      <c r="K721" t="inlineStr">
        <is>
          <t>Xin Quan</t>
        </is>
      </c>
      <c r="L721" s="4"/>
      <c r="M721" s="4">
        <v>46132.48945601852</v>
      </c>
      <c r="N721"/>
      <c r="O721">
        <v>3888</v>
      </c>
      <c r="P721" s="4"/>
      <c r="Q721" s="4"/>
      <c r="R721"/>
      <c r="S721"/>
      <c r="T721" s="4"/>
      <c r="U721" s="4"/>
      <c r="V721"/>
      <c r="W721"/>
      <c r="X721"/>
      <c r="Y721" t="inlineStr">
        <is>
          <t>Pending Appointment</t>
        </is>
      </c>
      <c r="Z721" t="inlineStr">
        <is>
          <t>Hiring Now</t>
        </is>
      </c>
      <c r="AA721">
        <v>0</v>
      </c>
      <c r="AB721" t="inlineStr">
        <is>
          <t>No Appointment Made</t>
        </is>
      </c>
      <c r="AC721"/>
      <c r="AD721" t="inlineStr">
        <is>
          <t>No Ans</t>
        </is>
      </c>
      <c r="AE721"/>
      <c r="AF721">
        <v>2000</v>
      </c>
      <c r="AG721" s="4"/>
      <c r="AH721" s="4"/>
      <c r="AI721">
        <v>24000</v>
      </c>
      <c r="AJ721">
        <v>1</v>
      </c>
      <c r="AK721" t="inlineStr">
        <is>
          <t>No, I don't need at all</t>
        </is>
      </c>
      <c r="AL721">
        <v>1</v>
      </c>
      <c r="AM721" t="inlineStr">
        <is>
          <t>No, I don't need at all</t>
        </is>
      </c>
      <c r="AN721"/>
      <c r="AO721" t="inlineStr">
        <is>
          <t>No, I don't need at all</t>
        </is>
      </c>
      <c r="AP721" t="inlineStr">
        <is>
          <t>Once a year (25%)</t>
        </is>
      </c>
      <c r="AQ721">
        <v>1</v>
      </c>
      <c r="AR721"/>
      <c r="AS721" t="inlineStr">
        <is>
          <t>- Headcount: 0
- Hiring Job Details: No Ans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721">
        <v>65</v>
      </c>
      <c r="AU721" t="inlineStr">
        <is>
          <t>0.65</t>
        </is>
      </c>
      <c r="AV721" t="inlineStr">
        <is>
          <t>15</t>
        </is>
      </c>
      <c r="AW721" t="inlineStr">
        <is>
          <t>0</t>
        </is>
      </c>
      <c r="AX721" t="inlineStr">
        <is>
          <t>Not Qualified</t>
        </is>
      </c>
      <c r="AY721" s="4"/>
      <c r="AZ721"/>
      <c r="BA721"/>
      <c r="BB721"/>
      <c r="BC721" t="inlineStr">
        <is>
          <t>MIA</t>
        </is>
      </c>
      <c r="BD721" s="4">
        <v>46135.49017361111</v>
      </c>
      <c r="BE721"/>
      <c r="BF721"/>
      <c r="BG721" t="inlineStr">
        <is>
          <t>Reschedule</t>
        </is>
      </c>
      <c r="BH721" t="inlineStr">
        <is>
          <t>Edward Hoo</t>
        </is>
      </c>
      <c r="BI721"/>
      <c r="BJ721" s="4">
        <v>46144.75430555556</v>
      </c>
      <c r="BK721" s="4">
        <v>46132.486608796295</v>
      </c>
      <c r="BL721" t="inlineStr">
        <is>
          <t>0.0</t>
        </is>
      </c>
      <c r="BM721" t="inlineStr">
        <is>
          <t>1200.0</t>
        </is>
      </c>
      <c r="BN721" t="inlineStr">
        <is>
          <t>User Visit(Logged In)</t>
        </is>
      </c>
      <c r="BO721" s="4">
        <v>46132.48774305556</v>
      </c>
      <c r="BP721">
        <v>167804</v>
      </c>
      <c r="BQ721"/>
      <c r="BR721"/>
      <c r="BS721"/>
      <c r="BT721"/>
      <c r="BU721"/>
      <c r="BV721">
        <v>2722939</v>
      </c>
      <c r="BW721" t="inlineStr">
        <is>
          <t>Inquire for Hiring Needs : No Hiring</t>
        </is>
      </c>
      <c r="BX721"/>
      <c r="BY721"/>
      <c r="BZ721" s="4"/>
      <c r="CA721"/>
      <c r="CB721"/>
      <c r="CC721" s="4"/>
      <c r="CD721" t="inlineStr">
        <is>
          <t>20</t>
        </is>
      </c>
      <c r="CE721" t="inlineStr">
        <is>
          <t>0</t>
        </is>
      </c>
      <c r="CF721" t="inlineStr">
        <is>
          <t>Q2-W03</t>
        </is>
      </c>
      <c r="CG721"/>
      <c r="CH721"/>
      <c r="CI721"/>
      <c r="CJ721" t="inlineStr">
        <is>
          <t>No Paid</t>
        </is>
      </c>
      <c r="CK721" t="inlineStr">
        <is>
          <t>Not Eligible</t>
        </is>
      </c>
      <c r="CL721"/>
      <c r="CM721"/>
    </row>
    <row r="722" ht="25.5" customHeight="1">
      <c r="A722" t="inlineStr">
        <is>
          <t>162580</t>
        </is>
      </c>
      <c r="B722" s="2"/>
      <c r="C722"/>
      <c r="D722" s="3">
        <v>46132.489386574074</v>
      </c>
      <c r="E722" t="inlineStr">
        <is>
          <t>Q2-W03</t>
        </is>
      </c>
      <c r="F722" t="inlineStr">
        <is>
          <t>Clover</t>
        </is>
      </c>
      <c r="G722" t="inlineStr">
        <is>
          <t>Customer</t>
        </is>
      </c>
      <c r="H722" s="2" t="str">
        <f>=HYPERLINK("https://upbox.ajobthing.my/customer/162580", "https://upbox.ajobthing.my/customer/162580")</f>
        <v>https://upbox.ajobthing.my/customer/162580</v>
      </c>
      <c r="I722" t="inlineStr">
        <is>
          <t>Continental Point Sdn Bhd</t>
        </is>
      </c>
      <c r="J722" t="inlineStr">
        <is>
          <t>Dolphin</t>
        </is>
      </c>
      <c r="K722" t="inlineStr">
        <is>
          <t>Clover</t>
        </is>
      </c>
      <c r="L722" s="4"/>
      <c r="M722" s="4">
        <v>46132.4896875</v>
      </c>
      <c r="N722"/>
      <c r="O722">
        <v>3888</v>
      </c>
      <c r="P722" s="4"/>
      <c r="Q722" s="4"/>
      <c r="R722"/>
      <c r="S722"/>
      <c r="T722" s="4"/>
      <c r="U722" s="4"/>
      <c r="V722"/>
      <c r="W722"/>
      <c r="X722"/>
      <c r="Y722" t="inlineStr">
        <is>
          <t>Pending Appointment</t>
        </is>
      </c>
      <c r="Z722" t="inlineStr">
        <is>
          <t>Hiring Later</t>
        </is>
      </c>
      <c r="AA722">
        <v>2</v>
      </c>
      <c r="AB722" t="inlineStr">
        <is>
          <t>No Appointment Made</t>
        </is>
      </c>
      <c r="AC722"/>
      <c r="AD722" t="inlineStr">
        <is>
          <t>outdoor sales exec x1-2 chi, fresh grads training provided, medical devices,  TTDI, precious JS /  Linked In,  future not sure, suggest stand</t>
        </is>
      </c>
      <c r="AE722"/>
      <c r="AF722">
        <v>3000</v>
      </c>
      <c r="AG722" s="4"/>
      <c r="AH722" s="4"/>
      <c r="AI722">
        <v>3000</v>
      </c>
      <c r="AJ722">
        <v>1</v>
      </c>
      <c r="AK722" t="inlineStr">
        <is>
          <t>No, but I want in future</t>
        </is>
      </c>
      <c r="AL722">
        <v>1</v>
      </c>
      <c r="AM722" t="inlineStr">
        <is>
          <t>No, but I want in future</t>
        </is>
      </c>
      <c r="AN722"/>
      <c r="AO722" t="inlineStr">
        <is>
          <t>No, but I want in future</t>
        </is>
      </c>
      <c r="AP722" t="inlineStr">
        <is>
          <t>Once per quarter (75%)</t>
        </is>
      </c>
      <c r="AQ722">
        <v>2</v>
      </c>
      <c r="AR722" t="inlineStr">
        <is>
          <t>Jobstreet</t>
        </is>
      </c>
      <c r="AS722" t="inlineStr">
        <is>
          <t>- Headcount: 2
- Hiring Job Details: outdoor sales exec x1-2 chi, fresh grads training provided, medical devices, TTDI, precious JS / Linked In, future not sure,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Jobstreet</t>
        </is>
      </c>
      <c r="AT722">
        <v>110</v>
      </c>
      <c r="AU722" t="inlineStr">
        <is>
          <t>1.10</t>
        </is>
      </c>
      <c r="AV722" t="inlineStr">
        <is>
          <t>15</t>
        </is>
      </c>
      <c r="AW722" t="inlineStr">
        <is>
          <t>0</t>
        </is>
      </c>
      <c r="AX722" t="inlineStr">
        <is>
          <t>Not Qualified</t>
        </is>
      </c>
      <c r="AY722" s="4"/>
      <c r="AZ722"/>
      <c r="BA722"/>
      <c r="BB722"/>
      <c r="BC722" t="inlineStr">
        <is>
          <t>need discuss with management</t>
        </is>
      </c>
      <c r="BD722" s="4">
        <v>46135.59303240741</v>
      </c>
      <c r="BE722"/>
      <c r="BF722"/>
      <c r="BG722" t="inlineStr">
        <is>
          <t>Reschedule</t>
        </is>
      </c>
      <c r="BH722" t="inlineStr">
        <is>
          <t>Reagen</t>
        </is>
      </c>
      <c r="BI722" t="inlineStr">
        <is>
          <t>Healthcare / Medical</t>
        </is>
      </c>
      <c r="BJ722" s="4">
        <v>46144.75115740741</v>
      </c>
      <c r="BK722" s="4">
        <v>44897.59626157407</v>
      </c>
      <c r="BL722" t="inlineStr">
        <is>
          <t>0.0</t>
        </is>
      </c>
      <c r="BM722" t="inlineStr">
        <is>
          <t>0.0</t>
        </is>
      </c>
      <c r="BN722" t="inlineStr">
        <is>
          <t>View Company Page</t>
        </is>
      </c>
      <c r="BO722" s="4">
        <v>44900.538518518515</v>
      </c>
      <c r="BP722">
        <v>167805</v>
      </c>
      <c r="BQ722"/>
      <c r="BR722"/>
      <c r="BS722"/>
      <c r="BT722"/>
      <c r="BU722"/>
      <c r="BV722">
        <v>2723364</v>
      </c>
      <c r="BW722" t="inlineStr">
        <is>
          <t>Follow Up : Decision Pending</t>
        </is>
      </c>
      <c r="BX722"/>
      <c r="BY722"/>
      <c r="BZ722" s="4"/>
      <c r="CA722"/>
      <c r="CB722"/>
      <c r="CC722" s="4"/>
      <c r="CD722" t="inlineStr">
        <is>
          <t>20</t>
        </is>
      </c>
      <c r="CE722" t="inlineStr">
        <is>
          <t>0</t>
        </is>
      </c>
      <c r="CF722" t="inlineStr">
        <is>
          <t>Q2-W03</t>
        </is>
      </c>
      <c r="CG722"/>
      <c r="CH722"/>
      <c r="CI722"/>
      <c r="CJ722" t="inlineStr">
        <is>
          <t>No Paid</t>
        </is>
      </c>
      <c r="CK722" t="inlineStr">
        <is>
          <t>Not Eligible</t>
        </is>
      </c>
      <c r="CL722"/>
      <c r="CM722"/>
    </row>
    <row r="723" ht="25.5" customHeight="1">
      <c r="A723" t="inlineStr">
        <is>
          <t>4304728</t>
        </is>
      </c>
      <c r="B723" s="2"/>
      <c r="C723"/>
      <c r="D723" s="3">
        <v>46132.499236111114</v>
      </c>
      <c r="E723" t="inlineStr">
        <is>
          <t>Q2-W03</t>
        </is>
      </c>
      <c r="F723" t="inlineStr">
        <is>
          <t>Janice Yap</t>
        </is>
      </c>
      <c r="G723" t="inlineStr">
        <is>
          <t>Lead</t>
        </is>
      </c>
      <c r="H723" s="2" t="str">
        <f>=HYPERLINK("https://upbox.ajobthing.my/leads/4304728", "https://upbox.ajobthing.my/leads/4304728")</f>
        <v>https://upbox.ajobthing.my/leads/4304728</v>
      </c>
      <c r="I723" t="inlineStr">
        <is>
          <t>LIFECORE MEDICAL SDN BHD</t>
        </is>
      </c>
      <c r="J723" t="inlineStr">
        <is>
          <t>Dolphin</t>
        </is>
      </c>
      <c r="K723" t="inlineStr">
        <is>
          <t>Janice</t>
        </is>
      </c>
      <c r="L723" s="4"/>
      <c r="M723" s="4">
        <v>46132.49644675926</v>
      </c>
      <c r="N723"/>
      <c r="O723">
        <v>3888</v>
      </c>
      <c r="P723" s="4"/>
      <c r="Q723" s="4"/>
      <c r="R723"/>
      <c r="S723"/>
      <c r="T723" s="4"/>
      <c r="U723" s="4"/>
      <c r="V723"/>
      <c r="W723"/>
      <c r="X723"/>
      <c r="Y723" t="inlineStr">
        <is>
          <t>Pending Appointment</t>
        </is>
      </c>
      <c r="Z723" t="inlineStr">
        <is>
          <t>Hiring Now</t>
        </is>
      </c>
      <c r="AA723">
        <v>2</v>
      </c>
      <c r="AB723" t="inlineStr">
        <is>
          <t>No Appointment Made</t>
        </is>
      </c>
      <c r="AC723"/>
      <c r="AD723" t="inlineStr">
        <is>
          <t>2 telesales assistant</t>
        </is>
      </c>
      <c r="AE723"/>
      <c r="AF723">
        <v>0</v>
      </c>
      <c r="AG723" s="4"/>
      <c r="AH723" s="4"/>
      <c r="AI723">
        <v>0</v>
      </c>
      <c r="AJ723"/>
      <c r="AK723" t="inlineStr">
        <is>
          <t>No, I don't need at all</t>
        </is>
      </c>
      <c r="AL723">
        <v>0</v>
      </c>
      <c r="AM723" t="inlineStr">
        <is>
          <t>No, I don't need at all</t>
        </is>
      </c>
      <c r="AN723"/>
      <c r="AO723" t="inlineStr">
        <is>
          <t>No, I don't need at all</t>
        </is>
      </c>
      <c r="AP723" t="inlineStr">
        <is>
          <t>Once a year (25%)</t>
        </is>
      </c>
      <c r="AQ723">
        <v>2</v>
      </c>
      <c r="AR723" t="inlineStr">
        <is>
          <t>Did not use any job portal</t>
        </is>
      </c>
      <c r="AS723" t="inlineStr">
        <is>
          <t>- Headcount: 2
- Hiring Job Details: 2 telesales assistant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723">
        <v>115</v>
      </c>
      <c r="AU723" t="inlineStr">
        <is>
          <t>1.15</t>
        </is>
      </c>
      <c r="AV723" t="inlineStr">
        <is>
          <t>15</t>
        </is>
      </c>
      <c r="AW723" t="inlineStr">
        <is>
          <t>0</t>
        </is>
      </c>
      <c r="AX723" t="inlineStr">
        <is>
          <t>Not Qualified</t>
        </is>
      </c>
      <c r="AY723" s="4"/>
      <c r="AZ723"/>
      <c r="BA723"/>
      <c r="BB723"/>
      <c r="BC723"/>
      <c r="BD723" s="4"/>
      <c r="BE723"/>
      <c r="BF723"/>
      <c r="BG723" t="inlineStr">
        <is>
          <t>Reschedule</t>
        </is>
      </c>
      <c r="BH723" t="inlineStr">
        <is>
          <t>Yee Hang</t>
        </is>
      </c>
      <c r="BI723"/>
      <c r="BJ723" s="4">
        <v>46144.75585648148</v>
      </c>
      <c r="BK723" s="4">
        <v>46132.478854166664</v>
      </c>
      <c r="BL723" t="inlineStr">
        <is>
          <t>0.0</t>
        </is>
      </c>
      <c r="BM723" t="inlineStr">
        <is>
          <t>0.0</t>
        </is>
      </c>
      <c r="BN723"/>
      <c r="BO723" s="4"/>
      <c r="BP723">
        <v>167807</v>
      </c>
      <c r="BQ723"/>
      <c r="BR723"/>
      <c r="BS723"/>
      <c r="BT723"/>
      <c r="BU723"/>
      <c r="BV723"/>
      <c r="BW723"/>
      <c r="BX723"/>
      <c r="BY723"/>
      <c r="BZ723" s="4"/>
      <c r="CA723"/>
      <c r="CB723"/>
      <c r="CC723" s="4"/>
      <c r="CD723" t="inlineStr">
        <is>
          <t>20</t>
        </is>
      </c>
      <c r="CE723" t="inlineStr">
        <is>
          <t>0</t>
        </is>
      </c>
      <c r="CF723" t="inlineStr">
        <is>
          <t>Q2-W03</t>
        </is>
      </c>
      <c r="CG723"/>
      <c r="CH723"/>
      <c r="CI723"/>
      <c r="CJ723" t="inlineStr">
        <is>
          <t>No Paid</t>
        </is>
      </c>
      <c r="CK723" t="inlineStr">
        <is>
          <t>Not Eligible</t>
        </is>
      </c>
      <c r="CL723"/>
      <c r="CM723"/>
    </row>
    <row r="724" ht="25.5" customHeight="1">
      <c r="A724" t="inlineStr">
        <is>
          <t>45644</t>
        </is>
      </c>
      <c r="B724" s="2"/>
      <c r="C724"/>
      <c r="D724" s="3">
        <v>46132.501238425924</v>
      </c>
      <c r="E724" t="inlineStr">
        <is>
          <t>Q2-W03</t>
        </is>
      </c>
      <c r="F724" t="inlineStr">
        <is>
          <t>Keegan</t>
        </is>
      </c>
      <c r="G724" t="inlineStr">
        <is>
          <t>Customer</t>
        </is>
      </c>
      <c r="H724" s="2" t="str">
        <f>=HYPERLINK("https://upbox.ajobthing.my/customer/45644", "https://upbox.ajobthing.my/customer/45644")</f>
        <v>https://upbox.ajobthing.my/customer/45644</v>
      </c>
      <c r="I724" t="inlineStr">
        <is>
          <t>Bright Future Solutions</t>
        </is>
      </c>
      <c r="J724" t="inlineStr">
        <is>
          <t>Dolphin</t>
        </is>
      </c>
      <c r="K724" t="inlineStr">
        <is>
          <t>Keegan</t>
        </is>
      </c>
      <c r="L724" s="4"/>
      <c r="M724" s="4">
        <v>46132.50137731482</v>
      </c>
      <c r="N724"/>
      <c r="O724">
        <v>6048</v>
      </c>
      <c r="P724" s="4"/>
      <c r="Q724" s="4"/>
      <c r="R724"/>
      <c r="S724"/>
      <c r="T724" s="4"/>
      <c r="U724" s="4"/>
      <c r="V724"/>
      <c r="W724"/>
      <c r="X724"/>
      <c r="Y724" t="inlineStr">
        <is>
          <t>Pending Appointment</t>
        </is>
      </c>
      <c r="Z724" t="inlineStr">
        <is>
          <t>Continuous Hiring</t>
        </is>
      </c>
      <c r="AA724">
        <v>2</v>
      </c>
      <c r="AB724" t="inlineStr">
        <is>
          <t>No Appointment Made</t>
        </is>
      </c>
      <c r="AC724"/>
      <c r="AD724" t="inlineStr">
        <is>
          <t xml:space="preserve">1. Customer Service 
2. Admin </t>
        </is>
      </c>
      <c r="AE724"/>
      <c r="AF724"/>
      <c r="AG724" s="4"/>
      <c r="AH724" s="4"/>
      <c r="AI724"/>
      <c r="AJ724">
        <v>1</v>
      </c>
      <c r="AK724" t="inlineStr">
        <is>
          <t>No, I don't need at all</t>
        </is>
      </c>
      <c r="AL724">
        <v>0</v>
      </c>
      <c r="AM724" t="inlineStr">
        <is>
          <t>No, I don't need at all</t>
        </is>
      </c>
      <c r="AN724"/>
      <c r="AO724" t="inlineStr">
        <is>
          <t>No, I don't need at all</t>
        </is>
      </c>
      <c r="AP724" t="inlineStr">
        <is>
          <t>Once per quarter (75%)</t>
        </is>
      </c>
      <c r="AQ724"/>
      <c r="AR724" t="inlineStr">
        <is>
          <t>Did not use any job portal</t>
        </is>
      </c>
      <c r="AS724" t="inlineStr">
        <is>
          <t>- Headcount: 2
- Hiring Job Details: 1. Customer Service 2. Admin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724">
        <v>75</v>
      </c>
      <c r="AU724" t="inlineStr">
        <is>
          <t>0.75</t>
        </is>
      </c>
      <c r="AV724" t="inlineStr">
        <is>
          <t>5</t>
        </is>
      </c>
      <c r="AW724" t="inlineStr">
        <is>
          <t>0</t>
        </is>
      </c>
      <c r="AX724" t="inlineStr">
        <is>
          <t>Not Qualified</t>
        </is>
      </c>
      <c r="AY724" s="4"/>
      <c r="AZ724"/>
      <c r="BA724"/>
      <c r="BB724"/>
      <c r="BC724" t="inlineStr">
        <is>
          <t>Pending decision</t>
        </is>
      </c>
      <c r="BD724" s="4">
        <v>46134.66364583333</v>
      </c>
      <c r="BE724"/>
      <c r="BF724"/>
      <c r="BG724" t="inlineStr">
        <is>
          <t>Reschedule</t>
        </is>
      </c>
      <c r="BH724" t="inlineStr">
        <is>
          <t>Edward Hoo</t>
        </is>
      </c>
      <c r="BI724"/>
      <c r="BJ724" s="4">
        <v>46144.7559837963</v>
      </c>
      <c r="BK724" s="4">
        <v>43125.66354166667</v>
      </c>
      <c r="BL724" t="inlineStr">
        <is>
          <t>0.0</t>
        </is>
      </c>
      <c r="BM724" t="inlineStr">
        <is>
          <t>0.0</t>
        </is>
      </c>
      <c r="BN724"/>
      <c r="BO724" s="4"/>
      <c r="BP724">
        <v>167810</v>
      </c>
      <c r="BQ724"/>
      <c r="BR724"/>
      <c r="BS724"/>
      <c r="BT724"/>
      <c r="BU724"/>
      <c r="BV724">
        <v>2721296</v>
      </c>
      <c r="BW724" t="inlineStr">
        <is>
          <t>Follow Up : Decision Pending</t>
        </is>
      </c>
      <c r="BX724"/>
      <c r="BY724"/>
      <c r="BZ724" s="4"/>
      <c r="CA724"/>
      <c r="CB724"/>
      <c r="CC724" s="4"/>
      <c r="CD724" t="inlineStr">
        <is>
          <t>5</t>
        </is>
      </c>
      <c r="CE724" t="inlineStr">
        <is>
          <t>0</t>
        </is>
      </c>
      <c r="CF724" t="inlineStr">
        <is>
          <t>Q2-W03</t>
        </is>
      </c>
      <c r="CG724"/>
      <c r="CH724"/>
      <c r="CI724"/>
      <c r="CJ724" t="inlineStr">
        <is>
          <t>No Paid</t>
        </is>
      </c>
      <c r="CK724" t="inlineStr">
        <is>
          <t>Not Eligible</t>
        </is>
      </c>
      <c r="CL724"/>
      <c r="CM724"/>
    </row>
    <row r="725" ht="25.5" customHeight="1">
      <c r="A725" t="inlineStr">
        <is>
          <t>203428</t>
        </is>
      </c>
      <c r="B725" s="2"/>
      <c r="C725"/>
      <c r="D725" s="3">
        <v>46132.502384259256</v>
      </c>
      <c r="E725" t="inlineStr">
        <is>
          <t>Q2-W03</t>
        </is>
      </c>
      <c r="F725" t="inlineStr">
        <is>
          <t>Alex Chan</t>
        </is>
      </c>
      <c r="G725" t="inlineStr">
        <is>
          <t>Customer</t>
        </is>
      </c>
      <c r="H725" s="2" t="str">
        <f>=HYPERLINK("https://upbox.ajobthing.my/customer/203428", "https://upbox.ajobthing.my/customer/203428")</f>
        <v>https://upbox.ajobthing.my/customer/203428</v>
      </c>
      <c r="I725" t="inlineStr">
        <is>
          <t>OCE Store Sdn Bhd</t>
        </is>
      </c>
      <c r="J725" t="inlineStr">
        <is>
          <t>Dolphin</t>
        </is>
      </c>
      <c r="K725" t="inlineStr">
        <is>
          <t>Alex Chan</t>
        </is>
      </c>
      <c r="L725" s="4"/>
      <c r="M725" s="4">
        <v>46139.64927083333</v>
      </c>
      <c r="N725"/>
      <c r="O725">
        <v>3888</v>
      </c>
      <c r="P725" s="4"/>
      <c r="Q725" s="4">
        <v>46133.75798611111</v>
      </c>
      <c r="R725"/>
      <c r="S725">
        <v>1296</v>
      </c>
      <c r="T725" s="4">
        <v>46133.75798611111</v>
      </c>
      <c r="U725" s="4"/>
      <c r="V725"/>
      <c r="W725">
        <v>1296</v>
      </c>
      <c r="X725"/>
      <c r="Y725" t="inlineStr">
        <is>
          <t>Pending Appointment</t>
        </is>
      </c>
      <c r="Z725" t="inlineStr">
        <is>
          <t>Hiring Now</t>
        </is>
      </c>
      <c r="AA725">
        <v>1</v>
      </c>
      <c r="AB725" t="inlineStr">
        <is>
          <t>No Appointment Made</t>
        </is>
      </c>
      <c r="AC725"/>
      <c r="AD725" t="inlineStr">
        <is>
          <t>1x Acc</t>
        </is>
      </c>
      <c r="AE725"/>
      <c r="AF725">
        <v>1000</v>
      </c>
      <c r="AG725" s="4"/>
      <c r="AH725" s="4"/>
      <c r="AI725">
        <v>1000</v>
      </c>
      <c r="AJ725">
        <v>1</v>
      </c>
      <c r="AK725" t="inlineStr">
        <is>
          <t>No, I don't need at all</t>
        </is>
      </c>
      <c r="AL725">
        <v>1</v>
      </c>
      <c r="AM725" t="inlineStr">
        <is>
          <t>No, I don't need at all</t>
        </is>
      </c>
      <c r="AN725"/>
      <c r="AO725" t="inlineStr">
        <is>
          <t>No, I don't need at all</t>
        </is>
      </c>
      <c r="AP725" t="inlineStr">
        <is>
          <t>Twice a year (50%)</t>
        </is>
      </c>
      <c r="AQ725">
        <v>1</v>
      </c>
      <c r="AR725" t="inlineStr">
        <is>
          <t>Free Job Portal</t>
        </is>
      </c>
      <c r="AS725" t="inlineStr">
        <is>
          <t>- Headcount: 1
- Hiring Job Details: 1x Acc
- Hiring Urgency: Hiring Now
- Number of outlets: 1
- Have recruiter team: No, I don't need at all
- Number of recruiter in company: 1
- Have ATS system: No, I don't need at all
- Have career website: No, I don't need at all
- Current hiring budget: RM1,000
- Whole year budget: RM1,000.00
- Whole year number of vacancies: 1
- Hiring frequency: Twice a year (50%)
- External job portal: Free Job Portal</t>
        </is>
      </c>
      <c r="AT725">
        <v>110</v>
      </c>
      <c r="AU725" t="inlineStr">
        <is>
          <t>1.10</t>
        </is>
      </c>
      <c r="AV725" t="inlineStr">
        <is>
          <t>15</t>
        </is>
      </c>
      <c r="AW725" t="inlineStr">
        <is>
          <t>0</t>
        </is>
      </c>
      <c r="AX725" t="inlineStr">
        <is>
          <t>Not Qualified</t>
        </is>
      </c>
      <c r="AY725" s="4"/>
      <c r="AZ725"/>
      <c r="BA725"/>
      <c r="BB725"/>
      <c r="BC725" t="inlineStr">
        <is>
          <t>- Headcount: 0
- Hiring Job Details: 1 Hr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is>
      </c>
      <c r="BD725" s="4">
        <v>46139.6668287037</v>
      </c>
      <c r="BE725" t="inlineStr">
        <is>
          <t>paid</t>
        </is>
      </c>
      <c r="BF725" t="inlineStr">
        <is>
          <t>Q2-W03</t>
        </is>
      </c>
      <c r="BG725" t="inlineStr">
        <is>
          <t>Reschedule</t>
        </is>
      </c>
      <c r="BH725" t="inlineStr">
        <is>
          <t>Reagen</t>
        </is>
      </c>
      <c r="BI725"/>
      <c r="BJ725" s="4">
        <v>46144.75430555556</v>
      </c>
      <c r="BK725" s="4">
        <v>46132.499768518515</v>
      </c>
      <c r="BL725" t="inlineStr">
        <is>
          <t>1296.0</t>
        </is>
      </c>
      <c r="BM725" t="inlineStr">
        <is>
          <t>0.0</t>
        </is>
      </c>
      <c r="BN725" t="inlineStr">
        <is>
          <t>View Candidate Search Page</t>
        </is>
      </c>
      <c r="BO725" s="4">
        <v>46143.964791666665</v>
      </c>
      <c r="BP725">
        <v>169066</v>
      </c>
      <c r="BQ725">
        <v>94556</v>
      </c>
      <c r="BR725" t="inlineStr">
        <is>
          <t>Online</t>
        </is>
      </c>
      <c r="BS725"/>
      <c r="BT725">
        <v>94556</v>
      </c>
      <c r="BU725"/>
      <c r="BV725">
        <v>2730726</v>
      </c>
      <c r="BW725" t="inlineStr">
        <is>
          <t>Customer Inquiry</t>
        </is>
      </c>
      <c r="BX725">
        <v>1</v>
      </c>
      <c r="BY725">
        <v>0</v>
      </c>
      <c r="BZ725" s="4">
        <v>46134.59840277778</v>
      </c>
      <c r="CA725">
        <v>23</v>
      </c>
      <c r="CB725">
        <v>21</v>
      </c>
      <c r="CC725" s="4">
        <v>46136.72141203703</v>
      </c>
      <c r="CD725" t="inlineStr">
        <is>
          <t>20</t>
        </is>
      </c>
      <c r="CE725" t="inlineStr">
        <is>
          <t>0</t>
        </is>
      </c>
      <c r="CF725" t="inlineStr">
        <is>
          <t>Q2-W04</t>
        </is>
      </c>
      <c r="CG725" t="inlineStr">
        <is>
          <t>Q2-W03</t>
        </is>
      </c>
      <c r="CH725" t="inlineStr">
        <is>
          <t>Q2-W03</t>
        </is>
      </c>
      <c r="CI725"/>
      <c r="CJ725" t="inlineStr">
        <is>
          <t>Paid</t>
        </is>
      </c>
      <c r="CK725" t="inlineStr">
        <is>
          <t>Not Eligible</t>
        </is>
      </c>
      <c r="CL725"/>
      <c r="CM725"/>
    </row>
    <row r="726" ht="25.5" customHeight="1">
      <c r="A726" t="inlineStr">
        <is>
          <t>4304928</t>
        </is>
      </c>
      <c r="B726" s="2"/>
      <c r="C726"/>
      <c r="D726" s="3">
        <v>46132.56092592593</v>
      </c>
      <c r="E726" t="inlineStr">
        <is>
          <t>Q2-W03</t>
        </is>
      </c>
      <c r="F726" t="inlineStr">
        <is>
          <t>Lucas</t>
        </is>
      </c>
      <c r="G726" t="inlineStr">
        <is>
          <t>Lead</t>
        </is>
      </c>
      <c r="H726" s="2" t="str">
        <f>=HYPERLINK("https://upbox.ajobthing.my/leads/4304928", "https://upbox.ajobthing.my/leads/4304928")</f>
        <v>https://upbox.ajobthing.my/leads/4304928</v>
      </c>
      <c r="I726" t="inlineStr">
        <is>
          <t>PASAL PRODUCTIONS SDN BHD</t>
        </is>
      </c>
      <c r="J726" t="inlineStr">
        <is>
          <t>Dolphin</t>
        </is>
      </c>
      <c r="K726" t="inlineStr">
        <is>
          <t>Lucas</t>
        </is>
      </c>
      <c r="L726" s="4"/>
      <c r="M726" s="4">
        <v>46132.55907407407</v>
      </c>
      <c r="N726"/>
      <c r="O726">
        <v>3888</v>
      </c>
      <c r="P726" s="4"/>
      <c r="Q726" s="4"/>
      <c r="R726"/>
      <c r="S726"/>
      <c r="T726" s="4"/>
      <c r="U726" s="4"/>
      <c r="V726"/>
      <c r="W726"/>
      <c r="X726"/>
      <c r="Y726" t="inlineStr">
        <is>
          <t>Pending Appointment</t>
        </is>
      </c>
      <c r="Z726" t="inlineStr">
        <is>
          <t>Hiring Now</t>
        </is>
      </c>
      <c r="AA726">
        <v>1</v>
      </c>
      <c r="AB726" t="inlineStr">
        <is>
          <t>No Appointment Made</t>
        </is>
      </c>
      <c r="AC726"/>
      <c r="AD726" t="inlineStr">
        <is>
          <t xml:space="preserve">1 intern ,for multi media  </t>
        </is>
      </c>
      <c r="AE726"/>
      <c r="AF726">
        <v>0</v>
      </c>
      <c r="AG726" s="4"/>
      <c r="AH726" s="4"/>
      <c r="AI726">
        <v>0</v>
      </c>
      <c r="AJ726"/>
      <c r="AK726" t="inlineStr">
        <is>
          <t>No, I don't need at all</t>
        </is>
      </c>
      <c r="AL726">
        <v>0</v>
      </c>
      <c r="AM726" t="inlineStr">
        <is>
          <t>No, I don't need at all</t>
        </is>
      </c>
      <c r="AN726"/>
      <c r="AO726" t="inlineStr">
        <is>
          <t>No, I don't need at all</t>
        </is>
      </c>
      <c r="AP726" t="inlineStr">
        <is>
          <t>Once a year (25%)</t>
        </is>
      </c>
      <c r="AQ726">
        <v>1</v>
      </c>
      <c r="AR726" t="inlineStr">
        <is>
          <t>Did not use any job portal</t>
        </is>
      </c>
      <c r="AS726" t="inlineStr">
        <is>
          <t>- Headcount: 1
- Hiring Job Details: 1 intern for multi media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726">
        <v>120</v>
      </c>
      <c r="AU726" t="inlineStr">
        <is>
          <t>1.20</t>
        </is>
      </c>
      <c r="AV726" t="inlineStr">
        <is>
          <t>15</t>
        </is>
      </c>
      <c r="AW726" t="inlineStr">
        <is>
          <t>0</t>
        </is>
      </c>
      <c r="AX726" t="inlineStr">
        <is>
          <t>Not Qualified</t>
        </is>
      </c>
      <c r="AY726" s="4"/>
      <c r="AZ726"/>
      <c r="BA726"/>
      <c r="BB726"/>
      <c r="BC726"/>
      <c r="BD726" s="4"/>
      <c r="BE726"/>
      <c r="BF726"/>
      <c r="BG726" t="inlineStr">
        <is>
          <t>Reschedule</t>
        </is>
      </c>
      <c r="BH726" t="inlineStr">
        <is>
          <t>Yee Hang</t>
        </is>
      </c>
      <c r="BI726"/>
      <c r="BJ726" s="4">
        <v>46144.75587962963</v>
      </c>
      <c r="BK726" s="4">
        <v>46132.51524305555</v>
      </c>
      <c r="BL726" t="inlineStr">
        <is>
          <t>0.0</t>
        </is>
      </c>
      <c r="BM726" t="inlineStr">
        <is>
          <t>0.0</t>
        </is>
      </c>
      <c r="BN726"/>
      <c r="BO726" s="4"/>
      <c r="BP726">
        <v>167814</v>
      </c>
      <c r="BQ726"/>
      <c r="BR726"/>
      <c r="BS726"/>
      <c r="BT726"/>
      <c r="BU726"/>
      <c r="BV726"/>
      <c r="BW726"/>
      <c r="BX726"/>
      <c r="BY726"/>
      <c r="BZ726" s="4"/>
      <c r="CA726"/>
      <c r="CB726"/>
      <c r="CC726" s="4"/>
      <c r="CD726" t="inlineStr">
        <is>
          <t>20</t>
        </is>
      </c>
      <c r="CE726" t="inlineStr">
        <is>
          <t>0</t>
        </is>
      </c>
      <c r="CF726" t="inlineStr">
        <is>
          <t>Q2-W03</t>
        </is>
      </c>
      <c r="CG726"/>
      <c r="CH726"/>
      <c r="CI726"/>
      <c r="CJ726" t="inlineStr">
        <is>
          <t>No Paid</t>
        </is>
      </c>
      <c r="CK726" t="inlineStr">
        <is>
          <t>Not Eligible</t>
        </is>
      </c>
      <c r="CL726"/>
      <c r="CM726"/>
    </row>
    <row r="727" ht="25.5" customHeight="1">
      <c r="A727" t="inlineStr">
        <is>
          <t>193366</t>
        </is>
      </c>
      <c r="B727" s="2"/>
      <c r="C727"/>
      <c r="D727" s="3">
        <v>46132.56875</v>
      </c>
      <c r="E727" t="inlineStr">
        <is>
          <t>Q2-W03</t>
        </is>
      </c>
      <c r="F727" t="inlineStr">
        <is>
          <t>Ratha</t>
        </is>
      </c>
      <c r="G727" t="inlineStr">
        <is>
          <t>Customer</t>
        </is>
      </c>
      <c r="H727" s="2" t="str">
        <f>=HYPERLINK("https://upbox.ajobthing.my/customer/193366", "https://upbox.ajobthing.my/customer/193366")</f>
        <v>https://upbox.ajobthing.my/customer/193366</v>
      </c>
      <c r="I727" t="inlineStr">
        <is>
          <t>Golden Touch Space Design Sdn Bhd</t>
        </is>
      </c>
      <c r="J727" t="inlineStr">
        <is>
          <t>Dolphin</t>
        </is>
      </c>
      <c r="K727" t="inlineStr">
        <is>
          <t>Ratha</t>
        </is>
      </c>
      <c r="L727" s="4"/>
      <c r="M727" s="4">
        <v>46132.57037037037</v>
      </c>
      <c r="N727"/>
      <c r="O727">
        <v>5724</v>
      </c>
      <c r="P727" s="4"/>
      <c r="Q727" s="4">
        <v>45877.27446759259</v>
      </c>
      <c r="R727"/>
      <c r="S727">
        <v>5292</v>
      </c>
      <c r="T727" s="4"/>
      <c r="U727" s="4"/>
      <c r="V727"/>
      <c r="W727"/>
      <c r="X727"/>
      <c r="Y727" t="inlineStr">
        <is>
          <t>Pending Appointment</t>
        </is>
      </c>
      <c r="Z727" t="inlineStr">
        <is>
          <t>Hiring Now</t>
        </is>
      </c>
      <c r="AA727">
        <v>7</v>
      </c>
      <c r="AB727" t="inlineStr">
        <is>
          <t>No Appointment Made</t>
        </is>
      </c>
      <c r="AC727"/>
      <c r="AD727" t="inlineStr">
        <is>
          <t>receptionist 2
marketing : 5
Location : KL</t>
        </is>
      </c>
      <c r="AE727"/>
      <c r="AF727"/>
      <c r="AG727" s="4"/>
      <c r="AH727" s="4"/>
      <c r="AI727">
        <v>0</v>
      </c>
      <c r="AJ727">
        <v>1</v>
      </c>
      <c r="AK727" t="inlineStr">
        <is>
          <t>Yes, I have</t>
        </is>
      </c>
      <c r="AL727">
        <v>2</v>
      </c>
      <c r="AM727" t="inlineStr">
        <is>
          <t>No, I don't need at all</t>
        </is>
      </c>
      <c r="AN727"/>
      <c r="AO727" t="inlineStr">
        <is>
          <t>No, I don't need at all</t>
        </is>
      </c>
      <c r="AP727" t="inlineStr">
        <is>
          <t>Once per quarter (75%)</t>
        </is>
      </c>
      <c r="AQ727">
        <v>0</v>
      </c>
      <c r="AR727" t="inlineStr">
        <is>
          <t>Did not use any job portal</t>
        </is>
      </c>
      <c r="AS727" t="inlineStr">
        <is>
          <t>- Headcount: 7
- Hiring Job Details: 2 receptionists, 5 marketing staff (Location: KL)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t>
        </is>
      </c>
      <c r="AT727">
        <v>105</v>
      </c>
      <c r="AU727" t="inlineStr">
        <is>
          <t>1.05</t>
        </is>
      </c>
      <c r="AV727" t="inlineStr">
        <is>
          <t>10</t>
        </is>
      </c>
      <c r="AW727" t="inlineStr">
        <is>
          <t>0</t>
        </is>
      </c>
      <c r="AX727" t="inlineStr">
        <is>
          <t>Not Qualified</t>
        </is>
      </c>
      <c r="AY727" s="4"/>
      <c r="AZ727"/>
      <c r="BA727"/>
      <c r="BB727"/>
      <c r="BC727" t="inlineStr">
        <is>
          <t>no answer</t>
        </is>
      </c>
      <c r="BD727" s="4">
        <v>46142.578310185185</v>
      </c>
      <c r="BE727" t="inlineStr">
        <is>
          <t>cancelled</t>
        </is>
      </c>
      <c r="BF727"/>
      <c r="BG727" t="inlineStr">
        <is>
          <t>Reschedule</t>
        </is>
      </c>
      <c r="BH727" t="inlineStr">
        <is>
          <t>Fauziah Maharan</t>
        </is>
      </c>
      <c r="BI727"/>
      <c r="BJ727" s="4">
        <v>46144.75261574074</v>
      </c>
      <c r="BK727" s="4">
        <v>45841.66768518519</v>
      </c>
      <c r="BL727" t="inlineStr">
        <is>
          <t>0.0</t>
        </is>
      </c>
      <c r="BM727" t="inlineStr">
        <is>
          <t>0.0</t>
        </is>
      </c>
      <c r="BN727" t="inlineStr">
        <is>
          <t>View Company Page</t>
        </is>
      </c>
      <c r="BO727" s="4">
        <v>45877.691724537035</v>
      </c>
      <c r="BP727">
        <v>167821</v>
      </c>
      <c r="BQ727">
        <v>6215</v>
      </c>
      <c r="BR727" t="inlineStr">
        <is>
          <t>Manual</t>
        </is>
      </c>
      <c r="BS727" t="inlineStr">
        <is>
          <t>Yearly Professional Plan
- Yearly Professional Plan of 6 Instant Job Ads + 6 Free Instant Job Ads with Booster
- 12 Job Ad will be published on Maukerja, Ricebowl and our partner platforms
- 12 Job Ad will be published for 45 days
- 12 Booster Plus
- 120 Free Candidates Profiles Unlock
- 6 Free Intern or Manager Job
- 1 Free Company Page (Brand Basic)
- 5 Free Daily Talent Recommendation for each job
- Package valid for 1 year</t>
        </is>
      </c>
      <c r="BT727"/>
      <c r="BU727"/>
      <c r="BV727">
        <v>2737567</v>
      </c>
      <c r="BW727" t="inlineStr">
        <is>
          <t>No Answer : Voicemail - WA sent to customer</t>
        </is>
      </c>
      <c r="BX727"/>
      <c r="BY727"/>
      <c r="BZ727" s="4"/>
      <c r="CA727"/>
      <c r="CB727"/>
      <c r="CC727" s="4"/>
      <c r="CD727" t="inlineStr">
        <is>
          <t>15</t>
        </is>
      </c>
      <c r="CE727" t="inlineStr">
        <is>
          <t>0</t>
        </is>
      </c>
      <c r="CF727" t="inlineStr">
        <is>
          <t>Q2-W03</t>
        </is>
      </c>
      <c r="CG727"/>
      <c r="CH727"/>
      <c r="CI727"/>
      <c r="CJ727" t="inlineStr">
        <is>
          <t>No Paid</t>
        </is>
      </c>
      <c r="CK727" t="inlineStr">
        <is>
          <t>Not Eligible</t>
        </is>
      </c>
      <c r="CL727"/>
      <c r="CM727"/>
    </row>
    <row r="728" ht="25.5" customHeight="1">
      <c r="A728" t="inlineStr">
        <is>
          <t>166231</t>
        </is>
      </c>
      <c r="B728" s="2"/>
      <c r="C728"/>
      <c r="D728" s="3">
        <v>46132.57466435185</v>
      </c>
      <c r="E728" t="inlineStr">
        <is>
          <t>Q2-W03</t>
        </is>
      </c>
      <c r="F728" t="inlineStr">
        <is>
          <t>Luqman</t>
        </is>
      </c>
      <c r="G728" t="inlineStr">
        <is>
          <t>Customer</t>
        </is>
      </c>
      <c r="H728" s="2" t="str">
        <f>=HYPERLINK("https://upbox.ajobthing.my/customer/166231", "https://upbox.ajobthing.my/customer/166231")</f>
        <v>https://upbox.ajobthing.my/customer/166231</v>
      </c>
      <c r="I728" t="inlineStr">
        <is>
          <t>Winbond Properties Sdn Bhd</t>
        </is>
      </c>
      <c r="J728" t="inlineStr">
        <is>
          <t>Dolphin</t>
        </is>
      </c>
      <c r="K728" t="inlineStr">
        <is>
          <t>Luqman</t>
        </is>
      </c>
      <c r="L728" s="4"/>
      <c r="M728" s="4">
        <v>46132.574837962966</v>
      </c>
      <c r="N728"/>
      <c r="O728">
        <v>1296</v>
      </c>
      <c r="P728" s="4"/>
      <c r="Q728" s="4">
        <v>45029.28685185185</v>
      </c>
      <c r="R728"/>
      <c r="S728">
        <v>3392</v>
      </c>
      <c r="T728" s="4">
        <v>45028.00001157408</v>
      </c>
      <c r="U728" s="4"/>
      <c r="V728"/>
      <c r="W728">
        <v>3392</v>
      </c>
      <c r="X728"/>
      <c r="Y728" t="inlineStr">
        <is>
          <t>Pending Appointment</t>
        </is>
      </c>
      <c r="Z728" t="inlineStr">
        <is>
          <t>Hiring Later</t>
        </is>
      </c>
      <c r="AA728">
        <v>1</v>
      </c>
      <c r="AB728" t="inlineStr">
        <is>
          <t>No Appointment Made</t>
        </is>
      </c>
      <c r="AC728"/>
      <c r="AD728" t="inlineStr">
        <is>
          <t xml:space="preserve">1. Property Agent </t>
        </is>
      </c>
      <c r="AE728"/>
      <c r="AF728">
        <v>1200</v>
      </c>
      <c r="AG728" s="4"/>
      <c r="AH728" s="4"/>
      <c r="AI728">
        <v>1200</v>
      </c>
      <c r="AJ728"/>
      <c r="AK728" t="inlineStr">
        <is>
          <t>No, I don't need at all</t>
        </is>
      </c>
      <c r="AL728">
        <v>3</v>
      </c>
      <c r="AM728" t="inlineStr">
        <is>
          <t>No, I don't need at all</t>
        </is>
      </c>
      <c r="AN728"/>
      <c r="AO728" t="inlineStr">
        <is>
          <t>No, I don't need at all</t>
        </is>
      </c>
      <c r="AP728" t="inlineStr">
        <is>
          <t>Once a year (25%)</t>
        </is>
      </c>
      <c r="AQ728">
        <v>1</v>
      </c>
      <c r="AR728" t="inlineStr">
        <is>
          <t>Jobstreet</t>
        </is>
      </c>
      <c r="AS728" t="inlineStr">
        <is>
          <t>- Headcount: 1
- Hiring Job Details: 1 Property Agent
- Hiring Urgency: Hiring Later
- Number of outlets: Not provided
- Have recruiter team: No, I don't need at all
- Number of recruiter in company: 3
- Have ATS system: No, I don't need at all
- Have career website: No, I don't need at all
- Current hiring budget: RM1,200
- Whole year budget: RM1,200.00
- Whole year number of vacancies: 1
- Hiring frequency: Once a year (25%)
- External job portal: Jobstreet</t>
        </is>
      </c>
      <c r="AT728">
        <v>110</v>
      </c>
      <c r="AU728" t="inlineStr">
        <is>
          <t>1.10</t>
        </is>
      </c>
      <c r="AV728" t="inlineStr">
        <is>
          <t>15</t>
        </is>
      </c>
      <c r="AW728" t="inlineStr">
        <is>
          <t>0</t>
        </is>
      </c>
      <c r="AX728" t="inlineStr">
        <is>
          <t>Not Qualified</t>
        </is>
      </c>
      <c r="AY728" s="4"/>
      <c r="AZ728"/>
      <c r="BA728"/>
      <c r="BB728"/>
      <c r="BC728" t="inlineStr">
        <is>
          <t>Lost</t>
        </is>
      </c>
      <c r="BD728" s="4">
        <v>46140.64890046296</v>
      </c>
      <c r="BE728" t="inlineStr">
        <is>
          <t>paid</t>
        </is>
      </c>
      <c r="BF728"/>
      <c r="BG728" t="inlineStr">
        <is>
          <t>Reschedule</t>
        </is>
      </c>
      <c r="BH728" t="inlineStr">
        <is>
          <t>Edward Hoo</t>
        </is>
      </c>
      <c r="BI728" t="inlineStr">
        <is>
          <t>Hotel / Hospitality</t>
        </is>
      </c>
      <c r="BJ728" s="4">
        <v>46144.751296296294</v>
      </c>
      <c r="BK728" s="4">
        <v>45029.61771990741</v>
      </c>
      <c r="BL728" t="inlineStr">
        <is>
          <t>0.0</t>
        </is>
      </c>
      <c r="BM728" t="inlineStr">
        <is>
          <t>1200.0</t>
        </is>
      </c>
      <c r="BN728" t="inlineStr">
        <is>
          <t>User Visit(Logged In)</t>
        </is>
      </c>
      <c r="BO728" s="4">
        <v>45344.38328703704</v>
      </c>
      <c r="BP728">
        <v>167825</v>
      </c>
      <c r="BQ728">
        <v>74783</v>
      </c>
      <c r="BR728" t="inlineStr">
        <is>
          <t>Proforma</t>
        </is>
      </c>
      <c r="BS728" t="inlineStr">
        <is>
          <t>Raya Promo - SME Package</t>
        </is>
      </c>
      <c r="BT728">
        <v>57636</v>
      </c>
      <c r="BU728"/>
      <c r="BV728">
        <v>2733119</v>
      </c>
      <c r="BW728" t="inlineStr">
        <is>
          <t>Follow Up : Lost - Free Portal</t>
        </is>
      </c>
      <c r="BX728"/>
      <c r="BY728"/>
      <c r="BZ728" s="4"/>
      <c r="CA728"/>
      <c r="CB728"/>
      <c r="CC728" s="4"/>
      <c r="CD728" t="inlineStr">
        <is>
          <t>20</t>
        </is>
      </c>
      <c r="CE728" t="inlineStr">
        <is>
          <t>0</t>
        </is>
      </c>
      <c r="CF728" t="inlineStr">
        <is>
          <t>Q2-W03</t>
        </is>
      </c>
      <c r="CG728"/>
      <c r="CH728"/>
      <c r="CI728"/>
      <c r="CJ728" t="inlineStr">
        <is>
          <t>Paid</t>
        </is>
      </c>
      <c r="CK728" t="inlineStr">
        <is>
          <t>Not Eligible</t>
        </is>
      </c>
      <c r="CL728"/>
      <c r="CM728"/>
    </row>
    <row r="729" ht="25.5" customHeight="1">
      <c r="A729" t="inlineStr">
        <is>
          <t>4302625</t>
        </is>
      </c>
      <c r="B729" s="2"/>
      <c r="C729"/>
      <c r="D729" s="3">
        <v>46132.575694444444</v>
      </c>
      <c r="E729" t="inlineStr">
        <is>
          <t>Q2-W03</t>
        </is>
      </c>
      <c r="F729" t="inlineStr">
        <is>
          <t>Josh</t>
        </is>
      </c>
      <c r="G729" t="inlineStr">
        <is>
          <t>Lead</t>
        </is>
      </c>
      <c r="H729" s="2" t="str">
        <f>=HYPERLINK("https://upbox.ajobthing.my/leads/4302625", "https://upbox.ajobthing.my/leads/4302625")</f>
        <v>https://upbox.ajobthing.my/leads/4302625</v>
      </c>
      <c r="I729" t="inlineStr">
        <is>
          <t>Azie Barakbah</t>
        </is>
      </c>
      <c r="J729" t="inlineStr">
        <is>
          <t>Dolphin</t>
        </is>
      </c>
      <c r="K729" t="inlineStr">
        <is>
          <t>Josh</t>
        </is>
      </c>
      <c r="L729" s="4"/>
      <c r="M729" s="4">
        <v>46132.57591435185</v>
      </c>
      <c r="N729"/>
      <c r="O729">
        <v>864</v>
      </c>
      <c r="P729" s="4"/>
      <c r="Q729" s="4"/>
      <c r="R729"/>
      <c r="S729"/>
      <c r="T729" s="4"/>
      <c r="U729" s="4"/>
      <c r="V729"/>
      <c r="W729"/>
      <c r="X729"/>
      <c r="Y729" t="inlineStr">
        <is>
          <t>Pending Appointment</t>
        </is>
      </c>
      <c r="Z729" t="inlineStr">
        <is>
          <t>Hiring Now</t>
        </is>
      </c>
      <c r="AA729">
        <v>0</v>
      </c>
      <c r="AB729" t="inlineStr">
        <is>
          <t>No Appointment Made</t>
        </is>
      </c>
      <c r="AC729"/>
      <c r="AD729" t="inlineStr">
        <is>
          <t xml:space="preserve">3 hr </t>
        </is>
      </c>
      <c r="AE729"/>
      <c r="AF729">
        <v>1000</v>
      </c>
      <c r="AG729" s="4"/>
      <c r="AH729" s="4"/>
      <c r="AI729"/>
      <c r="AJ729"/>
      <c r="AK729" t="inlineStr">
        <is>
          <t>Yes, I have</t>
        </is>
      </c>
      <c r="AL729"/>
      <c r="AM729"/>
      <c r="AN729"/>
      <c r="AO729"/>
      <c r="AP729" t="inlineStr">
        <is>
          <t>Once a year (25%)</t>
        </is>
      </c>
      <c r="AQ729"/>
      <c r="AR729"/>
      <c r="AS729" t="inlineStr">
        <is>
          <t>- Headcount: 0
- Hiring Job Details: 3 hr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729">
        <v>40</v>
      </c>
      <c r="AU729" t="inlineStr">
        <is>
          <t>0.40</t>
        </is>
      </c>
      <c r="AV729" t="inlineStr">
        <is>
          <t>15</t>
        </is>
      </c>
      <c r="AW729" t="inlineStr">
        <is>
          <t>0</t>
        </is>
      </c>
      <c r="AX729" t="inlineStr">
        <is>
          <t>Not Qualified</t>
        </is>
      </c>
      <c r="AY729" s="4"/>
      <c r="AZ729"/>
      <c r="BA729"/>
      <c r="BB729"/>
      <c r="BC729"/>
      <c r="BD729" s="4"/>
      <c r="BE729"/>
      <c r="BF729"/>
      <c r="BG729" t="inlineStr">
        <is>
          <t>Reschedule</t>
        </is>
      </c>
      <c r="BH729" t="inlineStr">
        <is>
          <t>Fauziah Maharan</t>
        </is>
      </c>
      <c r="BI729"/>
      <c r="BJ729" s="4">
        <v>46144.75585648148</v>
      </c>
      <c r="BK729" s="4">
        <v>46131.7184375</v>
      </c>
      <c r="BL729" t="inlineStr">
        <is>
          <t>0.0</t>
        </is>
      </c>
      <c r="BM729" t="inlineStr">
        <is>
          <t>0.0</t>
        </is>
      </c>
      <c r="BN729"/>
      <c r="BO729" s="4"/>
      <c r="BP729">
        <v>167826</v>
      </c>
      <c r="BQ729"/>
      <c r="BR729"/>
      <c r="BS729"/>
      <c r="BT729"/>
      <c r="BU729"/>
      <c r="BV729"/>
      <c r="BW729"/>
      <c r="BX729"/>
      <c r="BY729"/>
      <c r="BZ729" s="4"/>
      <c r="CA729"/>
      <c r="CB729"/>
      <c r="CC729" s="4"/>
      <c r="CD729" t="inlineStr">
        <is>
          <t>20</t>
        </is>
      </c>
      <c r="CE729" t="inlineStr">
        <is>
          <t>0</t>
        </is>
      </c>
      <c r="CF729" t="inlineStr">
        <is>
          <t>Q2-W03</t>
        </is>
      </c>
      <c r="CG729"/>
      <c r="CH729"/>
      <c r="CI729"/>
      <c r="CJ729" t="inlineStr">
        <is>
          <t>No Paid</t>
        </is>
      </c>
      <c r="CK729" t="inlineStr">
        <is>
          <t>Not Eligible</t>
        </is>
      </c>
      <c r="CL729"/>
      <c r="CM729"/>
    </row>
    <row r="730" ht="25.5" customHeight="1">
      <c r="A730" t="inlineStr">
        <is>
          <t>4305014</t>
        </is>
      </c>
      <c r="B730" s="2"/>
      <c r="C730"/>
      <c r="D730" s="3">
        <v>46132.58458333334</v>
      </c>
      <c r="E730" t="inlineStr">
        <is>
          <t>Q2-W03</t>
        </is>
      </c>
      <c r="F730" t="inlineStr">
        <is>
          <t>Janice Yap</t>
        </is>
      </c>
      <c r="G730" t="inlineStr">
        <is>
          <t>Lead</t>
        </is>
      </c>
      <c r="H730" s="2" t="str">
        <f>=HYPERLINK("https://upbox.ajobthing.my/leads/4305014", "https://upbox.ajobthing.my/leads/4305014")</f>
        <v>https://upbox.ajobthing.my/leads/4305014</v>
      </c>
      <c r="I730" t="inlineStr">
        <is>
          <t>De Mega Agency</t>
        </is>
      </c>
      <c r="J730" t="inlineStr">
        <is>
          <t>Dolphin</t>
        </is>
      </c>
      <c r="K730" t="inlineStr">
        <is>
          <t>Janice</t>
        </is>
      </c>
      <c r="L730" s="4"/>
      <c r="M730" s="4">
        <v>46132.583715277775</v>
      </c>
      <c r="N730"/>
      <c r="O730">
        <v>6048</v>
      </c>
      <c r="P730" s="4"/>
      <c r="Q730" s="4"/>
      <c r="R730"/>
      <c r="S730"/>
      <c r="T730" s="4"/>
      <c r="U730" s="4"/>
      <c r="V730"/>
      <c r="W730"/>
      <c r="X730"/>
      <c r="Y730" t="inlineStr">
        <is>
          <t>Pending Appointment</t>
        </is>
      </c>
      <c r="Z730" t="inlineStr">
        <is>
          <t>Hiring Now</t>
        </is>
      </c>
      <c r="AA730">
        <v>10</v>
      </c>
      <c r="AB730" t="inlineStr">
        <is>
          <t>No Appointment Made</t>
        </is>
      </c>
      <c r="AC730"/>
      <c r="AD730" t="inlineStr">
        <is>
          <t>10 insurance agent</t>
        </is>
      </c>
      <c r="AE730"/>
      <c r="AF730">
        <v>0</v>
      </c>
      <c r="AG730" s="4"/>
      <c r="AH730" s="4"/>
      <c r="AI730">
        <v>0</v>
      </c>
      <c r="AJ730"/>
      <c r="AK730" t="inlineStr">
        <is>
          <t>No, I don't need at all</t>
        </is>
      </c>
      <c r="AL730">
        <v>0</v>
      </c>
      <c r="AM730" t="inlineStr">
        <is>
          <t>No, I don't need at all</t>
        </is>
      </c>
      <c r="AN730"/>
      <c r="AO730" t="inlineStr">
        <is>
          <t>No, I don't need at all</t>
        </is>
      </c>
      <c r="AP730" t="inlineStr">
        <is>
          <t>Once a year (25%)</t>
        </is>
      </c>
      <c r="AQ730">
        <v>10</v>
      </c>
      <c r="AR730" t="inlineStr">
        <is>
          <t>Free Job Portal</t>
        </is>
      </c>
      <c r="AS730" t="inlineStr">
        <is>
          <t>- Headcount: 10
- Hiring Job Details: 10 insurance agent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10
- Hiring frequency: Once a year (25%)
- External job portal: Free Job Portal</t>
        </is>
      </c>
      <c r="AT730">
        <v>120</v>
      </c>
      <c r="AU730" t="inlineStr">
        <is>
          <t>1.20</t>
        </is>
      </c>
      <c r="AV730" t="inlineStr">
        <is>
          <t>20</t>
        </is>
      </c>
      <c r="AW730" t="inlineStr">
        <is>
          <t>0</t>
        </is>
      </c>
      <c r="AX730" t="inlineStr">
        <is>
          <t>Not Qualified</t>
        </is>
      </c>
      <c r="AY730" s="4"/>
      <c r="AZ730"/>
      <c r="BA730"/>
      <c r="BB730"/>
      <c r="BC730"/>
      <c r="BD730" s="4"/>
      <c r="BE730"/>
      <c r="BF730"/>
      <c r="BG730" t="inlineStr">
        <is>
          <t>Reschedule</t>
        </is>
      </c>
      <c r="BH730" t="inlineStr">
        <is>
          <t>Yee Hang</t>
        </is>
      </c>
      <c r="BI730"/>
      <c r="BJ730" s="4">
        <v>46144.75587962963</v>
      </c>
      <c r="BK730" s="4">
        <v>46132.53068287037</v>
      </c>
      <c r="BL730" t="inlineStr">
        <is>
          <t>0.0</t>
        </is>
      </c>
      <c r="BM730" t="inlineStr">
        <is>
          <t>0.0</t>
        </is>
      </c>
      <c r="BN730"/>
      <c r="BO730" s="4"/>
      <c r="BP730">
        <v>167828</v>
      </c>
      <c r="BQ730"/>
      <c r="BR730"/>
      <c r="BS730"/>
      <c r="BT730"/>
      <c r="BU730"/>
      <c r="BV730"/>
      <c r="BW730"/>
      <c r="BX730"/>
      <c r="BY730"/>
      <c r="BZ730" s="4"/>
      <c r="CA730"/>
      <c r="CB730"/>
      <c r="CC730" s="4"/>
      <c r="CD730" t="inlineStr">
        <is>
          <t>30</t>
        </is>
      </c>
      <c r="CE730" t="inlineStr">
        <is>
          <t>0</t>
        </is>
      </c>
      <c r="CF730" t="inlineStr">
        <is>
          <t>Q2-W03</t>
        </is>
      </c>
      <c r="CG730"/>
      <c r="CH730"/>
      <c r="CI730"/>
      <c r="CJ730" t="inlineStr">
        <is>
          <t>No Paid</t>
        </is>
      </c>
      <c r="CK730" t="inlineStr">
        <is>
          <t>Eligible</t>
        </is>
      </c>
      <c r="CL730"/>
      <c r="CM730"/>
    </row>
    <row r="731" ht="25.5" customHeight="1">
      <c r="A731" t="inlineStr">
        <is>
          <t>203421</t>
        </is>
      </c>
      <c r="B731" s="2"/>
      <c r="C731"/>
      <c r="D731" s="3">
        <v>46132.58560185185</v>
      </c>
      <c r="E731" t="inlineStr">
        <is>
          <t>Q2-W03</t>
        </is>
      </c>
      <c r="F731" t="inlineStr">
        <is>
          <t>Carmen</t>
        </is>
      </c>
      <c r="G731" t="inlineStr">
        <is>
          <t>Customer</t>
        </is>
      </c>
      <c r="H731" s="2" t="str">
        <f>=HYPERLINK("https://upbox.ajobthing.my/customer/203421", "https://upbox.ajobthing.my/customer/203421")</f>
        <v>https://upbox.ajobthing.my/customer/203421</v>
      </c>
      <c r="I731" t="inlineStr">
        <is>
          <t xml:space="preserve">Chimano Sdn Bhd </t>
        </is>
      </c>
      <c r="J731" t="inlineStr">
        <is>
          <t>Dolphin</t>
        </is>
      </c>
      <c r="K731" t="inlineStr">
        <is>
          <t>Carmen</t>
        </is>
      </c>
      <c r="L731" s="4"/>
      <c r="M731" s="4">
        <v>46141.56383101852</v>
      </c>
      <c r="N731"/>
      <c r="O731">
        <v>3672</v>
      </c>
      <c r="P731" s="4"/>
      <c r="Q731" s="4">
        <v>46141.70957175926</v>
      </c>
      <c r="R731"/>
      <c r="S731">
        <v>3672</v>
      </c>
      <c r="T731" s="4">
        <v>46141.70957175926</v>
      </c>
      <c r="U731" s="4"/>
      <c r="V731"/>
      <c r="W731">
        <v>3672</v>
      </c>
      <c r="X731"/>
      <c r="Y731" t="inlineStr">
        <is>
          <t>Pending Appointment</t>
        </is>
      </c>
      <c r="Z731" t="inlineStr">
        <is>
          <t>Hiring Now</t>
        </is>
      </c>
      <c r="AA731">
        <v>2</v>
      </c>
      <c r="AB731" t="inlineStr">
        <is>
          <t>No Appointment Made</t>
        </is>
      </c>
      <c r="AC731"/>
      <c r="AD731" t="inlineStr">
        <is>
          <t>graphic designer x1 ; salesx1</t>
        </is>
      </c>
      <c r="AE731"/>
      <c r="AF731">
        <v>3000</v>
      </c>
      <c r="AG731" s="4"/>
      <c r="AH731" s="4"/>
      <c r="AI731"/>
      <c r="AJ731"/>
      <c r="AK731" t="inlineStr">
        <is>
          <t>Yes, I have</t>
        </is>
      </c>
      <c r="AL731"/>
      <c r="AM731"/>
      <c r="AN731"/>
      <c r="AO731"/>
      <c r="AP731" t="inlineStr">
        <is>
          <t>Twice a year (50%)</t>
        </is>
      </c>
      <c r="AQ731"/>
      <c r="AR731"/>
      <c r="AS731" t="inlineStr">
        <is>
          <t>- Headcount: 2
- Hiring Job Details: 1 graphic designer, 1 sales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Twice a year (50%)
- External job portal: Not provided</t>
        </is>
      </c>
      <c r="AT731">
        <v>95</v>
      </c>
      <c r="AU731" t="inlineStr">
        <is>
          <t>0.95</t>
        </is>
      </c>
      <c r="AV731" t="inlineStr">
        <is>
          <t>15</t>
        </is>
      </c>
      <c r="AW731" t="inlineStr">
        <is>
          <t>0</t>
        </is>
      </c>
      <c r="AX731" t="inlineStr">
        <is>
          <t>Not Qualified</t>
        </is>
      </c>
      <c r="AY731" s="4"/>
      <c r="AZ731"/>
      <c r="BA731"/>
      <c r="BB731"/>
      <c r="BC731" t="inlineStr">
        <is>
          <t>need to help her to post job ler</t>
        </is>
      </c>
      <c r="BD731" s="4">
        <v>46142.6283912037</v>
      </c>
      <c r="BE731" t="inlineStr">
        <is>
          <t>paid</t>
        </is>
      </c>
      <c r="BF731" t="inlineStr">
        <is>
          <t>Q2-W04</t>
        </is>
      </c>
      <c r="BG731" t="inlineStr">
        <is>
          <t>Reschedule</t>
        </is>
      </c>
      <c r="BH731" t="inlineStr">
        <is>
          <t>Reagen</t>
        </is>
      </c>
      <c r="BI731" t="inlineStr">
        <is>
          <t>Retail / Merchandise</t>
        </is>
      </c>
      <c r="BJ731" s="4">
        <v>46144.75430555556</v>
      </c>
      <c r="BK731" s="4">
        <v>46132.47236111111</v>
      </c>
      <c r="BL731" t="inlineStr">
        <is>
          <t>3672.0</t>
        </is>
      </c>
      <c r="BM731" t="inlineStr">
        <is>
          <t>0.0</t>
        </is>
      </c>
      <c r="BN731" t="inlineStr">
        <is>
          <t>View Company Page</t>
        </is>
      </c>
      <c r="BO731" s="4">
        <v>46141.64569444444</v>
      </c>
      <c r="BP731">
        <v>169481</v>
      </c>
      <c r="BQ731">
        <v>95128</v>
      </c>
      <c r="BR731" t="inlineStr">
        <is>
          <t>Online</t>
        </is>
      </c>
      <c r="BS731"/>
      <c r="BT731">
        <v>95128</v>
      </c>
      <c r="BU731"/>
      <c r="BV731">
        <v>2737886</v>
      </c>
      <c r="BW731" t="inlineStr">
        <is>
          <t>Service / Technical : Help To Post Job</t>
        </is>
      </c>
      <c r="BX731">
        <v>6</v>
      </c>
      <c r="BY731">
        <v>6</v>
      </c>
      <c r="BZ731" s="4"/>
      <c r="CA731">
        <v>60</v>
      </c>
      <c r="CB731">
        <v>60</v>
      </c>
      <c r="CC731" s="4"/>
      <c r="CD731" t="inlineStr">
        <is>
          <t>20</t>
        </is>
      </c>
      <c r="CE731" t="inlineStr">
        <is>
          <t>0</t>
        </is>
      </c>
      <c r="CF731" t="inlineStr">
        <is>
          <t>Q2-W04</t>
        </is>
      </c>
      <c r="CG731" t="inlineStr">
        <is>
          <t>Q2-W04</t>
        </is>
      </c>
      <c r="CH731" t="inlineStr">
        <is>
          <t>Q2-W04</t>
        </is>
      </c>
      <c r="CI731"/>
      <c r="CJ731" t="inlineStr">
        <is>
          <t>Paid</t>
        </is>
      </c>
      <c r="CK731" t="inlineStr">
        <is>
          <t>Not Eligible</t>
        </is>
      </c>
      <c r="CL731"/>
      <c r="CM731"/>
    </row>
    <row r="732" ht="25.5" customHeight="1">
      <c r="A732" t="inlineStr">
        <is>
          <t>4305060</t>
        </is>
      </c>
      <c r="B732" s="2"/>
      <c r="C732"/>
      <c r="D732" s="3">
        <v>46132.598912037036</v>
      </c>
      <c r="E732" t="inlineStr">
        <is>
          <t>Q2-W03</t>
        </is>
      </c>
      <c r="F732" t="inlineStr">
        <is>
          <t>Jia Hui</t>
        </is>
      </c>
      <c r="G732" t="inlineStr">
        <is>
          <t>Lead</t>
        </is>
      </c>
      <c r="H732" s="2" t="str">
        <f>=HYPERLINK("https://upbox.ajobthing.my/leads/4305060", "https://upbox.ajobthing.my/leads/4305060")</f>
        <v>https://upbox.ajobthing.my/leads/4305060</v>
      </c>
      <c r="I732" t="inlineStr">
        <is>
          <t>Pinnacle Recruitment</t>
        </is>
      </c>
      <c r="J732" t="inlineStr">
        <is>
          <t>Dolphin</t>
        </is>
      </c>
      <c r="K732" t="inlineStr">
        <is>
          <t>Jia Hui</t>
        </is>
      </c>
      <c r="L732" s="4"/>
      <c r="M732" s="4">
        <v>46132.59914351852</v>
      </c>
      <c r="N732"/>
      <c r="O732">
        <v>3888</v>
      </c>
      <c r="P732" s="4"/>
      <c r="Q732" s="4"/>
      <c r="R732"/>
      <c r="S732"/>
      <c r="T732" s="4"/>
      <c r="U732" s="4"/>
      <c r="V732"/>
      <c r="W732"/>
      <c r="X732"/>
      <c r="Y732" t="inlineStr">
        <is>
          <t>Pending Appointment</t>
        </is>
      </c>
      <c r="Z732" t="inlineStr">
        <is>
          <t>Hiring Now</t>
        </is>
      </c>
      <c r="AA732">
        <v>5</v>
      </c>
      <c r="AB732" t="inlineStr">
        <is>
          <t>No Appointment Made</t>
        </is>
      </c>
      <c r="AC732"/>
      <c r="AD732" t="inlineStr">
        <is>
          <t>massage therapist cum sales 3, 3D commercial designer 1, project executive 1</t>
        </is>
      </c>
      <c r="AE732"/>
      <c r="AF732">
        <v>500</v>
      </c>
      <c r="AG732" s="4"/>
      <c r="AH732" s="4"/>
      <c r="AI732"/>
      <c r="AJ732"/>
      <c r="AK732" t="inlineStr">
        <is>
          <t>No, but I want in future</t>
        </is>
      </c>
      <c r="AL732"/>
      <c r="AM732"/>
      <c r="AN732"/>
      <c r="AO732"/>
      <c r="AP732" t="inlineStr">
        <is>
          <t>Once a year (25%)</t>
        </is>
      </c>
      <c r="AQ732"/>
      <c r="AR732"/>
      <c r="AS732" t="inlineStr">
        <is>
          <t>- Headcount: 5
- Hiring Job Details: massage therapist cum sales 3, 3D commercial designer 1, project executive 1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732">
        <v>75</v>
      </c>
      <c r="AU732" t="inlineStr">
        <is>
          <t>0.75</t>
        </is>
      </c>
      <c r="AV732" t="inlineStr">
        <is>
          <t>20</t>
        </is>
      </c>
      <c r="AW732" t="inlineStr">
        <is>
          <t>0</t>
        </is>
      </c>
      <c r="AX732" t="inlineStr">
        <is>
          <t>Not Qualified</t>
        </is>
      </c>
      <c r="AY732" s="4"/>
      <c r="AZ732"/>
      <c r="BA732"/>
      <c r="BB732"/>
      <c r="BC732"/>
      <c r="BD732" s="4"/>
      <c r="BE732"/>
      <c r="BF732"/>
      <c r="BG732" t="inlineStr">
        <is>
          <t>Reschedule</t>
        </is>
      </c>
      <c r="BH732" t="inlineStr">
        <is>
          <t>Reagen</t>
        </is>
      </c>
      <c r="BI732"/>
      <c r="BJ732" s="4">
        <v>46144.75587962963</v>
      </c>
      <c r="BK732" s="4">
        <v>46132.54226851852</v>
      </c>
      <c r="BL732" t="inlineStr">
        <is>
          <t>0.0</t>
        </is>
      </c>
      <c r="BM732" t="inlineStr">
        <is>
          <t>0.0</t>
        </is>
      </c>
      <c r="BN732"/>
      <c r="BO732" s="4"/>
      <c r="BP732">
        <v>167835</v>
      </c>
      <c r="BQ732"/>
      <c r="BR732"/>
      <c r="BS732"/>
      <c r="BT732"/>
      <c r="BU732"/>
      <c r="BV732"/>
      <c r="BW732"/>
      <c r="BX732"/>
      <c r="BY732"/>
      <c r="BZ732" s="4"/>
      <c r="CA732"/>
      <c r="CB732"/>
      <c r="CC732" s="4"/>
      <c r="CD732" t="inlineStr">
        <is>
          <t>30</t>
        </is>
      </c>
      <c r="CE732" t="inlineStr">
        <is>
          <t>0</t>
        </is>
      </c>
      <c r="CF732" t="inlineStr">
        <is>
          <t>Q2-W03</t>
        </is>
      </c>
      <c r="CG732"/>
      <c r="CH732"/>
      <c r="CI732"/>
      <c r="CJ732" t="inlineStr">
        <is>
          <t>No Paid</t>
        </is>
      </c>
      <c r="CK732" t="inlineStr">
        <is>
          <t>Not Eligible</t>
        </is>
      </c>
      <c r="CL732"/>
      <c r="CM732"/>
    </row>
    <row r="733" ht="25.5" customHeight="1">
      <c r="A733" t="inlineStr">
        <is>
          <t>165645</t>
        </is>
      </c>
      <c r="B733" s="2"/>
      <c r="C733"/>
      <c r="D733" s="3">
        <v>46132.60202546296</v>
      </c>
      <c r="E733" t="inlineStr">
        <is>
          <t>Q2-W03</t>
        </is>
      </c>
      <c r="F733" t="inlineStr">
        <is>
          <t>Luqman</t>
        </is>
      </c>
      <c r="G733" t="inlineStr">
        <is>
          <t>Customer</t>
        </is>
      </c>
      <c r="H733" s="2" t="str">
        <f>=HYPERLINK("https://upbox.ajobthing.my/customer/165645", "https://upbox.ajobthing.my/customer/165645")</f>
        <v>https://upbox.ajobthing.my/customer/165645</v>
      </c>
      <c r="I733" t="inlineStr">
        <is>
          <t>Fabullite Sdn Bhd</t>
        </is>
      </c>
      <c r="J733" t="inlineStr">
        <is>
          <t>Dolphin</t>
        </is>
      </c>
      <c r="K733" t="inlineStr">
        <is>
          <t>Luqman</t>
        </is>
      </c>
      <c r="L733" s="4"/>
      <c r="M733" s="4">
        <v>46132.602268518516</v>
      </c>
      <c r="N733"/>
      <c r="O733">
        <v>648</v>
      </c>
      <c r="P733" s="4"/>
      <c r="Q733" s="4">
        <v>45008.10839120371</v>
      </c>
      <c r="R733"/>
      <c r="S733">
        <v>2544</v>
      </c>
      <c r="T733" s="4">
        <v>45007.00001157408</v>
      </c>
      <c r="U733" s="4"/>
      <c r="V733"/>
      <c r="W733">
        <v>2544</v>
      </c>
      <c r="X733"/>
      <c r="Y733" t="inlineStr">
        <is>
          <t>Pending Appointment</t>
        </is>
      </c>
      <c r="Z733" t="inlineStr">
        <is>
          <t>Hiring Later</t>
        </is>
      </c>
      <c r="AA733">
        <v>1</v>
      </c>
      <c r="AB733" t="inlineStr">
        <is>
          <t>No Appointment Made</t>
        </is>
      </c>
      <c r="AC733"/>
      <c r="AD733" t="inlineStr">
        <is>
          <t xml:space="preserve">1. Customer Service </t>
        </is>
      </c>
      <c r="AE733"/>
      <c r="AF733">
        <v>600</v>
      </c>
      <c r="AG733" s="4"/>
      <c r="AH733" s="4"/>
      <c r="AI733">
        <v>600</v>
      </c>
      <c r="AJ733"/>
      <c r="AK733" t="inlineStr">
        <is>
          <t>No, I don't need at all</t>
        </is>
      </c>
      <c r="AL733">
        <v>1</v>
      </c>
      <c r="AM733" t="inlineStr">
        <is>
          <t>No, I don't need at all</t>
        </is>
      </c>
      <c r="AN733"/>
      <c r="AO733" t="inlineStr">
        <is>
          <t>No, I don't need at all</t>
        </is>
      </c>
      <c r="AP733" t="inlineStr">
        <is>
          <t>Once a year (25%)</t>
        </is>
      </c>
      <c r="AQ733">
        <v>1</v>
      </c>
      <c r="AR733" t="inlineStr">
        <is>
          <t>Jobstreet</t>
        </is>
      </c>
      <c r="AS733" t="inlineStr">
        <is>
          <t>- Headcount: 1
- Hiring Job Details: 1 Customer Service
- Hiring Urgency: Hiring Later
- Number of outlets: Not provided
- Have recruiter team: No, I don't need at all
- Number of recruiter in company: 1
- Have ATS system: No, I don't need at all
- Have career website: No, I don't need at all
- Current hiring budget: RM600
- Whole year budget: RM600.00
- Whole year number of vacancies: 1
- Hiring frequency: Once a year (25%)
- External job portal: Jobstreet</t>
        </is>
      </c>
      <c r="AT733">
        <v>110</v>
      </c>
      <c r="AU733" t="inlineStr">
        <is>
          <t>1.10</t>
        </is>
      </c>
      <c r="AV733" t="inlineStr">
        <is>
          <t>15</t>
        </is>
      </c>
      <c r="AW733" t="inlineStr">
        <is>
          <t>0</t>
        </is>
      </c>
      <c r="AX733" t="inlineStr">
        <is>
          <t>Not Qualified</t>
        </is>
      </c>
      <c r="AY733" s="4"/>
      <c r="AZ733"/>
      <c r="BA733"/>
      <c r="BB733"/>
      <c r="BC733" t="inlineStr">
        <is>
          <t>Utilize free portal</t>
        </is>
      </c>
      <c r="BD733" s="4">
        <v>46135.71399305556</v>
      </c>
      <c r="BE733" t="inlineStr">
        <is>
          <t>paid</t>
        </is>
      </c>
      <c r="BF733"/>
      <c r="BG733" t="inlineStr">
        <is>
          <t>Reschedule</t>
        </is>
      </c>
      <c r="BH733" t="inlineStr">
        <is>
          <t>Edward Hoo</t>
        </is>
      </c>
      <c r="BI733" t="inlineStr">
        <is>
          <t>Manufacturing / Production</t>
        </is>
      </c>
      <c r="BJ733" s="4">
        <v>46144.75127314815</v>
      </c>
      <c r="BK733" s="4">
        <v>45008.294120370374</v>
      </c>
      <c r="BL733" t="inlineStr">
        <is>
          <t>0.0</t>
        </is>
      </c>
      <c r="BM733" t="inlineStr">
        <is>
          <t>600.0</t>
        </is>
      </c>
      <c r="BN733" t="inlineStr">
        <is>
          <t>User Visit(Logged In)</t>
        </is>
      </c>
      <c r="BO733" s="4">
        <v>45397.665289351855</v>
      </c>
      <c r="BP733">
        <v>167837</v>
      </c>
      <c r="BQ733">
        <v>73916</v>
      </c>
      <c r="BR733" t="inlineStr">
        <is>
          <t>Proforma</t>
        </is>
      </c>
      <c r="BS733" t="inlineStr">
        <is>
          <t>Marvelous March Promo - STARTUP PLUS Package</t>
        </is>
      </c>
      <c r="BT733">
        <v>56900</v>
      </c>
      <c r="BU733"/>
      <c r="BV733">
        <v>2724961</v>
      </c>
      <c r="BW733" t="inlineStr">
        <is>
          <t>Follow Up : Lost - Free Portal</t>
        </is>
      </c>
      <c r="BX733"/>
      <c r="BY733"/>
      <c r="BZ733" s="4"/>
      <c r="CA733"/>
      <c r="CB733"/>
      <c r="CC733" s="4"/>
      <c r="CD733" t="inlineStr">
        <is>
          <t>20</t>
        </is>
      </c>
      <c r="CE733" t="inlineStr">
        <is>
          <t>0</t>
        </is>
      </c>
      <c r="CF733" t="inlineStr">
        <is>
          <t>Q2-W03</t>
        </is>
      </c>
      <c r="CG733"/>
      <c r="CH733"/>
      <c r="CI733"/>
      <c r="CJ733" t="inlineStr">
        <is>
          <t>Paid</t>
        </is>
      </c>
      <c r="CK733" t="inlineStr">
        <is>
          <t>Not Eligible</t>
        </is>
      </c>
      <c r="CL733"/>
      <c r="CM733"/>
    </row>
    <row r="734" ht="25.5" customHeight="1">
      <c r="A734" t="inlineStr">
        <is>
          <t>168384</t>
        </is>
      </c>
      <c r="B734" s="2"/>
      <c r="C734"/>
      <c r="D734" s="3">
        <v>46132.60304398148</v>
      </c>
      <c r="E734" t="inlineStr">
        <is>
          <t>Q2-W03</t>
        </is>
      </c>
      <c r="F734" t="inlineStr">
        <is>
          <t>Fariz</t>
        </is>
      </c>
      <c r="G734" t="inlineStr">
        <is>
          <t>Customer</t>
        </is>
      </c>
      <c r="H734" s="2" t="str">
        <f>=HYPERLINK("https://upbox.ajobthing.my/customer/168384", "https://upbox.ajobthing.my/customer/168384")</f>
        <v>https://upbox.ajobthing.my/customer/168384</v>
      </c>
      <c r="I734" t="inlineStr">
        <is>
          <t>Noble Star Services Sdn Bhd</t>
        </is>
      </c>
      <c r="J734" t="inlineStr">
        <is>
          <t>Dolphin</t>
        </is>
      </c>
      <c r="K734" t="inlineStr">
        <is>
          <t>Fariz</t>
        </is>
      </c>
      <c r="L734" s="4"/>
      <c r="M734" s="4">
        <v>46132.60326388889</v>
      </c>
      <c r="N734"/>
      <c r="O734">
        <v>3888</v>
      </c>
      <c r="P734" s="4"/>
      <c r="Q734" s="4">
        <v>45238.398622685185</v>
      </c>
      <c r="R734"/>
      <c r="S734">
        <v>636</v>
      </c>
      <c r="T734" s="4">
        <v>45237.00001157408</v>
      </c>
      <c r="U734" s="4"/>
      <c r="V734"/>
      <c r="W734">
        <v>636</v>
      </c>
      <c r="X734"/>
      <c r="Y734" t="inlineStr">
        <is>
          <t>Pending Appointment</t>
        </is>
      </c>
      <c r="Z734" t="inlineStr">
        <is>
          <t>Hiring Now</t>
        </is>
      </c>
      <c r="AA734">
        <v>3</v>
      </c>
      <c r="AB734" t="inlineStr">
        <is>
          <t>No Appointment Made</t>
        </is>
      </c>
      <c r="AC734"/>
      <c r="AD734" t="inlineStr">
        <is>
          <t>2 customer service 1 admin</t>
        </is>
      </c>
      <c r="AE734"/>
      <c r="AF734">
        <v>3600</v>
      </c>
      <c r="AG734" s="4"/>
      <c r="AH734" s="4"/>
      <c r="AI734">
        <v>3600</v>
      </c>
      <c r="AJ734"/>
      <c r="AK734" t="inlineStr">
        <is>
          <t>No, I don't need at all</t>
        </is>
      </c>
      <c r="AL734">
        <v>1</v>
      </c>
      <c r="AM734" t="inlineStr">
        <is>
          <t>No, I don't need at all</t>
        </is>
      </c>
      <c r="AN734"/>
      <c r="AO734" t="inlineStr">
        <is>
          <t>No, but I want in future</t>
        </is>
      </c>
      <c r="AP734" t="inlineStr">
        <is>
          <t>Twice a year (50%)</t>
        </is>
      </c>
      <c r="AQ734">
        <v>3</v>
      </c>
      <c r="AR734" t="inlineStr">
        <is>
          <t>Free Job Portal</t>
        </is>
      </c>
      <c r="AS734" t="inlineStr">
        <is>
          <t>- Headcount: 3
- Hiring Job Details: 2 customer service, 1 admin
- Number of outlets: Not specified
- Have recruiter team: No, I don't need at all
- Number of recruiter in company: 1
- Have ATS system: No, I don't need at all
- Have career website: No, but I want in future
- Current hiring budget: RM3,600
- Whole year budget: RM3,600.00
- Whole year number of vacancies: 3
- Hiring frequency: Twice a year (50%)
- External job portal: Free Job Portal
- Hiring Urgency: Hiring Now</t>
        </is>
      </c>
      <c r="AT734">
        <v>105</v>
      </c>
      <c r="AU734" t="inlineStr">
        <is>
          <t>1.05</t>
        </is>
      </c>
      <c r="AV734" t="inlineStr">
        <is>
          <t>15</t>
        </is>
      </c>
      <c r="AW734" t="inlineStr">
        <is>
          <t>0</t>
        </is>
      </c>
      <c r="AX734" t="inlineStr">
        <is>
          <t>Not Qualified</t>
        </is>
      </c>
      <c r="AY734" s="4"/>
      <c r="AZ734"/>
      <c r="BA734"/>
      <c r="BB734"/>
      <c r="BC734" t="inlineStr">
        <is>
          <t>Follow up -na</t>
        </is>
      </c>
      <c r="BD734" s="4">
        <v>46135.66180555556</v>
      </c>
      <c r="BE734" t="inlineStr">
        <is>
          <t>paid</t>
        </is>
      </c>
      <c r="BF734"/>
      <c r="BG734" t="inlineStr">
        <is>
          <t>Reschedule</t>
        </is>
      </c>
      <c r="BH734" t="inlineStr">
        <is>
          <t>Edward Hoo</t>
        </is>
      </c>
      <c r="BI734" t="inlineStr">
        <is>
          <t>Transportation / Logistics</t>
        </is>
      </c>
      <c r="BJ734" s="4">
        <v>46144.75134259259</v>
      </c>
      <c r="BK734" s="4">
        <v>45098.64861111111</v>
      </c>
      <c r="BL734" t="inlineStr">
        <is>
          <t>0.0</t>
        </is>
      </c>
      <c r="BM734" t="inlineStr">
        <is>
          <t>0.0</t>
        </is>
      </c>
      <c r="BN734" t="inlineStr">
        <is>
          <t>View Create Job Page V4</t>
        </is>
      </c>
      <c r="BO734" s="4">
        <v>46038.48872685185</v>
      </c>
      <c r="BP734">
        <v>167839</v>
      </c>
      <c r="BQ734">
        <v>82515</v>
      </c>
      <c r="BR734" t="inlineStr">
        <is>
          <t>Proforma</t>
        </is>
      </c>
      <c r="BS734" t="inlineStr">
        <is>
          <t>Instant Job Ad Beginner</t>
        </is>
      </c>
      <c r="BT734">
        <v>63627</v>
      </c>
      <c r="BU734"/>
      <c r="BV734">
        <v>2724535</v>
      </c>
      <c r="BW734" t="inlineStr">
        <is>
          <t>No Answer : Voicemail - WA sent to customer</t>
        </is>
      </c>
      <c r="BX734"/>
      <c r="BY734"/>
      <c r="BZ734" s="4"/>
      <c r="CA734"/>
      <c r="CB734"/>
      <c r="CC734" s="4"/>
      <c r="CD734" t="inlineStr">
        <is>
          <t>20</t>
        </is>
      </c>
      <c r="CE734" t="inlineStr">
        <is>
          <t>0</t>
        </is>
      </c>
      <c r="CF734" t="inlineStr">
        <is>
          <t>Q2-W03</t>
        </is>
      </c>
      <c r="CG734"/>
      <c r="CH734"/>
      <c r="CI734"/>
      <c r="CJ734" t="inlineStr">
        <is>
          <t>Paid</t>
        </is>
      </c>
      <c r="CK734" t="inlineStr">
        <is>
          <t>Not Eligible</t>
        </is>
      </c>
      <c r="CL734"/>
      <c r="CM734"/>
    </row>
    <row r="735" ht="25.5" customHeight="1">
      <c r="A735" t="inlineStr">
        <is>
          <t>191639</t>
        </is>
      </c>
      <c r="B735" s="2"/>
      <c r="C735"/>
      <c r="D735" s="3">
        <v>46132.6096412037</v>
      </c>
      <c r="E735" t="inlineStr">
        <is>
          <t>Q2-W03</t>
        </is>
      </c>
      <c r="F735" t="inlineStr">
        <is>
          <t>Derek Lim</t>
        </is>
      </c>
      <c r="G735" t="inlineStr">
        <is>
          <t>Customer</t>
        </is>
      </c>
      <c r="H735" s="2" t="str">
        <f>=HYPERLINK("https://upbox.ajobthing.my/customer/191639", "https://upbox.ajobthing.my/customer/191639")</f>
        <v>https://upbox.ajobthing.my/customer/191639</v>
      </c>
      <c r="I735" t="inlineStr">
        <is>
          <t>Kesan Kenangan Sdn Bhd</t>
        </is>
      </c>
      <c r="J735" t="inlineStr">
        <is>
          <t>Dolphin</t>
        </is>
      </c>
      <c r="K735" t="inlineStr">
        <is>
          <t>Derek Lim</t>
        </is>
      </c>
      <c r="L735" s="4"/>
      <c r="M735" s="4">
        <v>46132.64611111111</v>
      </c>
      <c r="N735"/>
      <c r="O735">
        <v>3672</v>
      </c>
      <c r="P735" s="4"/>
      <c r="Q735" s="4">
        <v>46136.41030092593</v>
      </c>
      <c r="R735"/>
      <c r="S735">
        <v>0</v>
      </c>
      <c r="T735" s="4">
        <v>46135.37519675926</v>
      </c>
      <c r="U735" s="4"/>
      <c r="V735"/>
      <c r="W735">
        <v>3672</v>
      </c>
      <c r="X735"/>
      <c r="Y735" t="inlineStr">
        <is>
          <t>Pending Appointment</t>
        </is>
      </c>
      <c r="Z735" t="inlineStr">
        <is>
          <t>Hiring Now</t>
        </is>
      </c>
      <c r="AA735">
        <v>1</v>
      </c>
      <c r="AB735" t="inlineStr">
        <is>
          <t>No Appointment Made</t>
        </is>
      </c>
      <c r="AC735"/>
      <c r="AD735" t="inlineStr">
        <is>
          <t>digital marketing - 1</t>
        </is>
      </c>
      <c r="AE735"/>
      <c r="AF735">
        <v>0</v>
      </c>
      <c r="AG735" s="4"/>
      <c r="AH735" s="4"/>
      <c r="AI735">
        <v>0</v>
      </c>
      <c r="AJ735">
        <v>1</v>
      </c>
      <c r="AK735" t="inlineStr">
        <is>
          <t>No, I don't need at all</t>
        </is>
      </c>
      <c r="AL735">
        <v>0</v>
      </c>
      <c r="AM735" t="inlineStr">
        <is>
          <t>No, I don't need at all</t>
        </is>
      </c>
      <c r="AN735"/>
      <c r="AO735" t="inlineStr">
        <is>
          <t>No, I don't need at all</t>
        </is>
      </c>
      <c r="AP735" t="inlineStr">
        <is>
          <t>Once a year (25%)</t>
        </is>
      </c>
      <c r="AQ735">
        <v>1</v>
      </c>
      <c r="AR735" t="inlineStr">
        <is>
          <t>Free Job Portal</t>
        </is>
      </c>
      <c r="AS735" t="inlineStr">
        <is>
          <t>- Headcount: 1
- Hiring Job Details: 1 digital marketing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735">
        <v>115</v>
      </c>
      <c r="AU735" t="inlineStr">
        <is>
          <t>1.15</t>
        </is>
      </c>
      <c r="AV735" t="inlineStr">
        <is>
          <t>15</t>
        </is>
      </c>
      <c r="AW735" t="inlineStr">
        <is>
          <t>0</t>
        </is>
      </c>
      <c r="AX735" t="inlineStr">
        <is>
          <t>Not Qualified</t>
        </is>
      </c>
      <c r="AY735" s="4"/>
      <c r="AZ735"/>
      <c r="BA735"/>
      <c r="BB735"/>
      <c r="BC735" t="inlineStr">
        <is>
          <t>ASSIST CLIENT ON JOB POSTING TEACH HER HOW TO POST JOB AND SEE APPLICANT</t>
        </is>
      </c>
      <c r="BD735" s="4">
        <v>46136.41908564815</v>
      </c>
      <c r="BE735" t="inlineStr">
        <is>
          <t>paid</t>
        </is>
      </c>
      <c r="BF735" t="inlineStr">
        <is>
          <t>Q2-W03</t>
        </is>
      </c>
      <c r="BG735" t="inlineStr">
        <is>
          <t>Reschedule</t>
        </is>
      </c>
      <c r="BH735" t="inlineStr">
        <is>
          <t>Edward Hoo</t>
        </is>
      </c>
      <c r="BI735" t="inlineStr">
        <is>
          <t>Agriculture / Poultry / Fisheries</t>
        </is>
      </c>
      <c r="BJ735" s="4">
        <v>46144.752430555556</v>
      </c>
      <c r="BK735" s="4">
        <v>45799.47415509259</v>
      </c>
      <c r="BL735" t="inlineStr">
        <is>
          <t>3672.0</t>
        </is>
      </c>
      <c r="BM735" t="inlineStr">
        <is>
          <t>600.0</t>
        </is>
      </c>
      <c r="BN735" t="inlineStr">
        <is>
          <t>View Company Page</t>
        </is>
      </c>
      <c r="BO735" s="4">
        <v>46141.67724537037</v>
      </c>
      <c r="BP735">
        <v>167866</v>
      </c>
      <c r="BQ735">
        <v>123649</v>
      </c>
      <c r="BR735" t="inlineStr">
        <is>
          <t>Proforma</t>
        </is>
      </c>
      <c r="BS735" t="inlineStr">
        <is>
          <t>Free Part-Time Job</t>
        </is>
      </c>
      <c r="BT735">
        <v>94646</v>
      </c>
      <c r="BU735"/>
      <c r="BV735">
        <v>2725509</v>
      </c>
      <c r="BW735" t="inlineStr">
        <is>
          <t>Service / Technical : Help To Post Job</t>
        </is>
      </c>
      <c r="BX735">
        <v>6</v>
      </c>
      <c r="BY735">
        <v>4</v>
      </c>
      <c r="BZ735" s="4">
        <v>46136.5903125</v>
      </c>
      <c r="CA735">
        <v>73</v>
      </c>
      <c r="CB735">
        <v>71</v>
      </c>
      <c r="CC735" s="4">
        <v>46139.44865740741</v>
      </c>
      <c r="CD735" t="inlineStr">
        <is>
          <t>20</t>
        </is>
      </c>
      <c r="CE735" t="inlineStr">
        <is>
          <t>0</t>
        </is>
      </c>
      <c r="CF735" t="inlineStr">
        <is>
          <t>Q2-W03</t>
        </is>
      </c>
      <c r="CG735" t="inlineStr">
        <is>
          <t>Q2-W04</t>
        </is>
      </c>
      <c r="CH735" t="inlineStr">
        <is>
          <t>Q2-W03</t>
        </is>
      </c>
      <c r="CI735"/>
      <c r="CJ735" t="inlineStr">
        <is>
          <t>Paid</t>
        </is>
      </c>
      <c r="CK735" t="inlineStr">
        <is>
          <t>Not Eligible</t>
        </is>
      </c>
      <c r="CL735"/>
      <c r="CM735"/>
    </row>
    <row r="736" ht="25.5" customHeight="1">
      <c r="A736" t="inlineStr">
        <is>
          <t>197268</t>
        </is>
      </c>
      <c r="B736" s="2"/>
      <c r="C736"/>
      <c r="D736" s="3">
        <v>46132.614594907405</v>
      </c>
      <c r="E736" t="inlineStr">
        <is>
          <t>Q2-W03</t>
        </is>
      </c>
      <c r="F736" t="inlineStr">
        <is>
          <t>Clover</t>
        </is>
      </c>
      <c r="G736" t="inlineStr">
        <is>
          <t>Customer</t>
        </is>
      </c>
      <c r="H736" s="2" t="str">
        <f>=HYPERLINK("https://upbox.ajobthing.my/customer/197268", "https://upbox.ajobthing.my/customer/197268")</f>
        <v>https://upbox.ajobthing.my/customer/197268</v>
      </c>
      <c r="I736" t="inlineStr">
        <is>
          <t>Unity Marketing Group</t>
        </is>
      </c>
      <c r="J736" t="inlineStr">
        <is>
          <t>Dolphin</t>
        </is>
      </c>
      <c r="K736" t="inlineStr">
        <is>
          <t>Clover</t>
        </is>
      </c>
      <c r="L736" s="4"/>
      <c r="M736" s="4">
        <v>46132.61493055556</v>
      </c>
      <c r="N736"/>
      <c r="O736">
        <v>3888</v>
      </c>
      <c r="P736" s="4"/>
      <c r="Q736" s="4"/>
      <c r="R736"/>
      <c r="S736"/>
      <c r="T736" s="4"/>
      <c r="U736" s="4"/>
      <c r="V736"/>
      <c r="W736"/>
      <c r="X736"/>
      <c r="Y736" t="inlineStr">
        <is>
          <t>Pending Appointment</t>
        </is>
      </c>
      <c r="Z736" t="inlineStr">
        <is>
          <t>Hiring Now</t>
        </is>
      </c>
      <c r="AA736">
        <v>2</v>
      </c>
      <c r="AB736" t="inlineStr">
        <is>
          <t>No Appointment Made</t>
        </is>
      </c>
      <c r="AC736"/>
      <c r="AD736" t="inlineStr">
        <is>
          <t>call pic pending update frm management yet, sales &amp; marketing x1, event marketing x1, ask to call  another pic 0168811087 Ms Ming Yee, building material KL,  suggest stand</t>
        </is>
      </c>
      <c r="AE736"/>
      <c r="AF736">
        <v>3000</v>
      </c>
      <c r="AG736" s="4"/>
      <c r="AH736" s="4"/>
      <c r="AI736">
        <v>3000</v>
      </c>
      <c r="AJ736">
        <v>1</v>
      </c>
      <c r="AK736" t="inlineStr">
        <is>
          <t>No, but I want in future</t>
        </is>
      </c>
      <c r="AL736">
        <v>1</v>
      </c>
      <c r="AM736" t="inlineStr">
        <is>
          <t>No, but I want in future</t>
        </is>
      </c>
      <c r="AN736"/>
      <c r="AO736" t="inlineStr">
        <is>
          <t>No, but I want in future</t>
        </is>
      </c>
      <c r="AP736" t="inlineStr">
        <is>
          <t>Once per quarter (75%)</t>
        </is>
      </c>
      <c r="AQ736">
        <v>2</v>
      </c>
      <c r="AR736" t="inlineStr">
        <is>
          <t>Linkedin (Paid)</t>
        </is>
      </c>
      <c r="AS736" t="inlineStr">
        <is>
          <t>- Headcount: 2
- Hiring Job Details: call pic pending update frm management yet, sales &amp; marketing x1, event marketing x1, ask to call another pic 0168811087 Ms Ming Yee, building material KL,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Linkedin (Paid)</t>
        </is>
      </c>
      <c r="AT736">
        <v>115</v>
      </c>
      <c r="AU736" t="inlineStr">
        <is>
          <t>1.15</t>
        </is>
      </c>
      <c r="AV736" t="inlineStr">
        <is>
          <t>15</t>
        </is>
      </c>
      <c r="AW736" t="inlineStr">
        <is>
          <t>0</t>
        </is>
      </c>
      <c r="AX736" t="inlineStr">
        <is>
          <t>Not Qualified</t>
        </is>
      </c>
      <c r="AY736" s="4"/>
      <c r="AZ736"/>
      <c r="BA736"/>
      <c r="BB736"/>
      <c r="BC736" t="inlineStr">
        <is>
          <t>- Headcount: 2
- Hiring Job Details: call pic pending update frm management yet, sales &amp; marketing x1, event marketing x1, ask to call another pic 0168811087 Ms Ming Yee, building material KL,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Linkedin (Paid)</t>
        </is>
      </c>
      <c r="BD736" s="4">
        <v>46132.62503472222</v>
      </c>
      <c r="BE736"/>
      <c r="BF736"/>
      <c r="BG736" t="inlineStr">
        <is>
          <t>Reschedule</t>
        </is>
      </c>
      <c r="BH736" t="inlineStr">
        <is>
          <t>Reagen</t>
        </is>
      </c>
      <c r="BI736"/>
      <c r="BJ736" s="4">
        <v>46144.75288194444</v>
      </c>
      <c r="BK736" s="4">
        <v>45945.66033564815</v>
      </c>
      <c r="BL736" t="inlineStr">
        <is>
          <t>0.0</t>
        </is>
      </c>
      <c r="BM736" t="inlineStr">
        <is>
          <t>0.0</t>
        </is>
      </c>
      <c r="BN736" t="inlineStr">
        <is>
          <t>View Company Page</t>
        </is>
      </c>
      <c r="BO736" s="4">
        <v>46114.53057870371</v>
      </c>
      <c r="BP736">
        <v>167847</v>
      </c>
      <c r="BQ736"/>
      <c r="BR736"/>
      <c r="BS736"/>
      <c r="BT736"/>
      <c r="BU736"/>
      <c r="BV736">
        <v>2715909</v>
      </c>
      <c r="BW736" t="inlineStr">
        <is>
          <t>Customer Inquiry</t>
        </is>
      </c>
      <c r="BX736"/>
      <c r="BY736"/>
      <c r="BZ736" s="4"/>
      <c r="CA736"/>
      <c r="CB736"/>
      <c r="CC736" s="4"/>
      <c r="CD736" t="inlineStr">
        <is>
          <t>20</t>
        </is>
      </c>
      <c r="CE736" t="inlineStr">
        <is>
          <t>0</t>
        </is>
      </c>
      <c r="CF736" t="inlineStr">
        <is>
          <t>Q2-W03</t>
        </is>
      </c>
      <c r="CG736"/>
      <c r="CH736"/>
      <c r="CI736"/>
      <c r="CJ736" t="inlineStr">
        <is>
          <t>No Paid</t>
        </is>
      </c>
      <c r="CK736" t="inlineStr">
        <is>
          <t>Not Eligible</t>
        </is>
      </c>
      <c r="CL736"/>
      <c r="CM736"/>
    </row>
    <row r="737" ht="25.5" customHeight="1">
      <c r="A737" t="inlineStr">
        <is>
          <t>203421</t>
        </is>
      </c>
      <c r="B737" s="2"/>
      <c r="C737"/>
      <c r="D737" s="3">
        <v>46132.61615740741</v>
      </c>
      <c r="E737" t="inlineStr">
        <is>
          <t>Q2-W03</t>
        </is>
      </c>
      <c r="F737" t="inlineStr">
        <is>
          <t>Carmen</t>
        </is>
      </c>
      <c r="G737" t="inlineStr">
        <is>
          <t>Customer</t>
        </is>
      </c>
      <c r="H737" s="2" t="str">
        <f>=HYPERLINK("https://upbox.ajobthing.my/customer/203421", "https://upbox.ajobthing.my/customer/203421")</f>
        <v>https://upbox.ajobthing.my/customer/203421</v>
      </c>
      <c r="I737" t="inlineStr">
        <is>
          <t xml:space="preserve">Chimano Sdn Bhd </t>
        </is>
      </c>
      <c r="J737" t="inlineStr">
        <is>
          <t>Dolphin</t>
        </is>
      </c>
      <c r="K737" t="inlineStr">
        <is>
          <t>Carmen</t>
        </is>
      </c>
      <c r="L737" s="4"/>
      <c r="M737" s="4">
        <v>46141.56383101852</v>
      </c>
      <c r="N737"/>
      <c r="O737">
        <v>3672</v>
      </c>
      <c r="P737" s="4"/>
      <c r="Q737" s="4">
        <v>46141.70957175926</v>
      </c>
      <c r="R737"/>
      <c r="S737">
        <v>3672</v>
      </c>
      <c r="T737" s="4">
        <v>46141.70957175926</v>
      </c>
      <c r="U737" s="4"/>
      <c r="V737"/>
      <c r="W737">
        <v>3672</v>
      </c>
      <c r="X737"/>
      <c r="Y737" t="inlineStr">
        <is>
          <t>Pending Appointment</t>
        </is>
      </c>
      <c r="Z737" t="inlineStr">
        <is>
          <t>Hiring Now</t>
        </is>
      </c>
      <c r="AA737">
        <v>2</v>
      </c>
      <c r="AB737" t="inlineStr">
        <is>
          <t>No Appointment Made</t>
        </is>
      </c>
      <c r="AC737"/>
      <c r="AD737" t="inlineStr">
        <is>
          <t>1  graphic designer; 1 sales</t>
        </is>
      </c>
      <c r="AE737"/>
      <c r="AF737">
        <v>0</v>
      </c>
      <c r="AG737" s="4"/>
      <c r="AH737" s="4"/>
      <c r="AI737"/>
      <c r="AJ737"/>
      <c r="AK737" t="inlineStr">
        <is>
          <t>No, I don't need at all</t>
        </is>
      </c>
      <c r="AL737"/>
      <c r="AM737"/>
      <c r="AN737"/>
      <c r="AO737"/>
      <c r="AP737" t="inlineStr">
        <is>
          <t>Once a year (25%)</t>
        </is>
      </c>
      <c r="AQ737"/>
      <c r="AR737"/>
      <c r="AS737" t="inlineStr">
        <is>
          <t>- Headcount: 2
- Hiring Job Details: 1 graphic designer; 1 sales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
- Hiring Urgency: Hiring Now</t>
        </is>
      </c>
      <c r="AT737">
        <v>95</v>
      </c>
      <c r="AU737" t="inlineStr">
        <is>
          <t>0.95</t>
        </is>
      </c>
      <c r="AV737" t="inlineStr">
        <is>
          <t>15</t>
        </is>
      </c>
      <c r="AW737" t="inlineStr">
        <is>
          <t>0</t>
        </is>
      </c>
      <c r="AX737" t="inlineStr">
        <is>
          <t>Not Qualified</t>
        </is>
      </c>
      <c r="AY737" s="4"/>
      <c r="AZ737"/>
      <c r="BA737"/>
      <c r="BB737"/>
      <c r="BC737" t="inlineStr">
        <is>
          <t>need to help her to post job ler</t>
        </is>
      </c>
      <c r="BD737" s="4">
        <v>46142.6283912037</v>
      </c>
      <c r="BE737" t="inlineStr">
        <is>
          <t>paid</t>
        </is>
      </c>
      <c r="BF737" t="inlineStr">
        <is>
          <t>Q2-W04</t>
        </is>
      </c>
      <c r="BG737" t="inlineStr">
        <is>
          <t>Reschedule</t>
        </is>
      </c>
      <c r="BH737" t="inlineStr">
        <is>
          <t>Reagen</t>
        </is>
      </c>
      <c r="BI737" t="inlineStr">
        <is>
          <t>Retail / Merchandise</t>
        </is>
      </c>
      <c r="BJ737" s="4">
        <v>46144.75430555556</v>
      </c>
      <c r="BK737" s="4">
        <v>46132.47236111111</v>
      </c>
      <c r="BL737" t="inlineStr">
        <is>
          <t>3672.0</t>
        </is>
      </c>
      <c r="BM737" t="inlineStr">
        <is>
          <t>0.0</t>
        </is>
      </c>
      <c r="BN737" t="inlineStr">
        <is>
          <t>View Company Page</t>
        </is>
      </c>
      <c r="BO737" s="4">
        <v>46141.64569444444</v>
      </c>
      <c r="BP737">
        <v>169481</v>
      </c>
      <c r="BQ737">
        <v>95128</v>
      </c>
      <c r="BR737" t="inlineStr">
        <is>
          <t>Online</t>
        </is>
      </c>
      <c r="BS737"/>
      <c r="BT737">
        <v>95128</v>
      </c>
      <c r="BU737"/>
      <c r="BV737">
        <v>2737886</v>
      </c>
      <c r="BW737" t="inlineStr">
        <is>
          <t>Service / Technical : Help To Post Job</t>
        </is>
      </c>
      <c r="BX737">
        <v>6</v>
      </c>
      <c r="BY737">
        <v>6</v>
      </c>
      <c r="BZ737" s="4"/>
      <c r="CA737">
        <v>60</v>
      </c>
      <c r="CB737">
        <v>60</v>
      </c>
      <c r="CC737" s="4"/>
      <c r="CD737" t="inlineStr">
        <is>
          <t>20</t>
        </is>
      </c>
      <c r="CE737" t="inlineStr">
        <is>
          <t>0</t>
        </is>
      </c>
      <c r="CF737" t="inlineStr">
        <is>
          <t>Q2-W04</t>
        </is>
      </c>
      <c r="CG737" t="inlineStr">
        <is>
          <t>Q2-W04</t>
        </is>
      </c>
      <c r="CH737" t="inlineStr">
        <is>
          <t>Q2-W04</t>
        </is>
      </c>
      <c r="CI737"/>
      <c r="CJ737" t="inlineStr">
        <is>
          <t>Paid</t>
        </is>
      </c>
      <c r="CK737" t="inlineStr">
        <is>
          <t>Not Eligible</t>
        </is>
      </c>
      <c r="CL737"/>
      <c r="CM737"/>
    </row>
    <row r="738" ht="25.5" customHeight="1">
      <c r="A738" t="inlineStr">
        <is>
          <t>130676</t>
        </is>
      </c>
      <c r="B738" s="2"/>
      <c r="C738"/>
      <c r="D738" s="3">
        <v>46132.62273148148</v>
      </c>
      <c r="E738" t="inlineStr">
        <is>
          <t>Q2-W03</t>
        </is>
      </c>
      <c r="F738" t="inlineStr">
        <is>
          <t>Jess</t>
        </is>
      </c>
      <c r="G738" t="inlineStr">
        <is>
          <t>Customer</t>
        </is>
      </c>
      <c r="H738" s="2" t="str">
        <f>=HYPERLINK("https://upbox.ajobthing.my/customer/130676", "https://upbox.ajobthing.my/customer/130676")</f>
        <v>https://upbox.ajobthing.my/customer/130676</v>
      </c>
      <c r="I738" t="inlineStr">
        <is>
          <t>Ascend 1 Sdn Bhd</t>
        </is>
      </c>
      <c r="J738" t="inlineStr">
        <is>
          <t>Dolphin</t>
        </is>
      </c>
      <c r="K738" t="inlineStr">
        <is>
          <t>Jess Lim</t>
        </is>
      </c>
      <c r="L738" s="4"/>
      <c r="M738" s="4">
        <v>46132.65752314815</v>
      </c>
      <c r="N738"/>
      <c r="O738">
        <v>1296</v>
      </c>
      <c r="P738" s="4"/>
      <c r="Q738" s="4">
        <v>46133.71753472222</v>
      </c>
      <c r="R738"/>
      <c r="S738">
        <v>1296</v>
      </c>
      <c r="T738" s="4">
        <v>46133.71753472222</v>
      </c>
      <c r="U738" s="4"/>
      <c r="V738"/>
      <c r="W738">
        <v>1296</v>
      </c>
      <c r="X738"/>
      <c r="Y738" t="inlineStr">
        <is>
          <t>Pending Appointment</t>
        </is>
      </c>
      <c r="Z738" t="inlineStr">
        <is>
          <t>Hiring Now</t>
        </is>
      </c>
      <c r="AA738">
        <v>1</v>
      </c>
      <c r="AB738" t="inlineStr">
        <is>
          <t>No Appointment Made</t>
        </is>
      </c>
      <c r="AC738"/>
      <c r="AD738" t="inlineStr">
        <is>
          <t>receiptionist 1</t>
        </is>
      </c>
      <c r="AE738"/>
      <c r="AF738">
        <v>1200</v>
      </c>
      <c r="AG738" s="4"/>
      <c r="AH738" s="4"/>
      <c r="AI738"/>
      <c r="AJ738">
        <v>1</v>
      </c>
      <c r="AK738" t="inlineStr">
        <is>
          <t>No, I don't need at all</t>
        </is>
      </c>
      <c r="AL738">
        <v>1</v>
      </c>
      <c r="AM738" t="inlineStr">
        <is>
          <t>No, I don't need at all</t>
        </is>
      </c>
      <c r="AN738"/>
      <c r="AO738" t="inlineStr">
        <is>
          <t>No, I don't need at all</t>
        </is>
      </c>
      <c r="AP738" t="inlineStr">
        <is>
          <t>Once a year (25%)</t>
        </is>
      </c>
      <c r="AQ738"/>
      <c r="AR738" t="inlineStr">
        <is>
          <t>Jobstreet</t>
        </is>
      </c>
      <c r="AS738" t="inlineStr">
        <is>
          <t>- Headcount: 1
- Hiring Job Details: 1 receptionist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738">
        <v>105</v>
      </c>
      <c r="AU738" t="inlineStr">
        <is>
          <t>1.05</t>
        </is>
      </c>
      <c r="AV738" t="inlineStr">
        <is>
          <t>15</t>
        </is>
      </c>
      <c r="AW738" t="inlineStr">
        <is>
          <t>0</t>
        </is>
      </c>
      <c r="AX738" t="inlineStr">
        <is>
          <t>Not Qualified</t>
        </is>
      </c>
      <c r="AY738" s="4"/>
      <c r="AZ738"/>
      <c r="BA738"/>
      <c r="BB738"/>
      <c r="BC738" t="inlineStr">
        <is>
          <t>renind to check job posting</t>
        </is>
      </c>
      <c r="BD738" s="4">
        <v>46134.652291666665</v>
      </c>
      <c r="BE738" t="inlineStr">
        <is>
          <t>paid</t>
        </is>
      </c>
      <c r="BF738" t="inlineStr">
        <is>
          <t>Q2-W03</t>
        </is>
      </c>
      <c r="BG738" t="inlineStr">
        <is>
          <t>Reschedule</t>
        </is>
      </c>
      <c r="BH738" t="inlineStr">
        <is>
          <t>Fauziah Maharan</t>
        </is>
      </c>
      <c r="BI738" t="inlineStr">
        <is>
          <t>Healthcare / Medical</t>
        </is>
      </c>
      <c r="BJ738" s="4">
        <v>46144.750451388885</v>
      </c>
      <c r="BK738" s="4">
        <v>44109.71884259259</v>
      </c>
      <c r="BL738" t="inlineStr">
        <is>
          <t>1944.0</t>
        </is>
      </c>
      <c r="BM738" t="inlineStr">
        <is>
          <t>0.0</t>
        </is>
      </c>
      <c r="BN738" t="inlineStr">
        <is>
          <t>View Company Page</t>
        </is>
      </c>
      <c r="BO738" s="4">
        <v>46142.48699074074</v>
      </c>
      <c r="BP738">
        <v>167875</v>
      </c>
      <c r="BQ738">
        <v>94549</v>
      </c>
      <c r="BR738" t="inlineStr">
        <is>
          <t>Online</t>
        </is>
      </c>
      <c r="BS738"/>
      <c r="BT738">
        <v>94549</v>
      </c>
      <c r="BU738"/>
      <c r="BV738">
        <v>2721184</v>
      </c>
      <c r="BW738" t="inlineStr">
        <is>
          <t>Service / Technical : Job Outcome Enquiry</t>
        </is>
      </c>
      <c r="BX738">
        <v>1</v>
      </c>
      <c r="BY738">
        <v>0</v>
      </c>
      <c r="BZ738" s="4">
        <v>46134.7134375</v>
      </c>
      <c r="CA738">
        <v>10</v>
      </c>
      <c r="CB738">
        <v>10</v>
      </c>
      <c r="CC738" s="4"/>
      <c r="CD738" t="inlineStr">
        <is>
          <t>20</t>
        </is>
      </c>
      <c r="CE738" t="inlineStr">
        <is>
          <t>0</t>
        </is>
      </c>
      <c r="CF738" t="inlineStr">
        <is>
          <t>Q2-W03</t>
        </is>
      </c>
      <c r="CG738" t="inlineStr">
        <is>
          <t>Q2-W03</t>
        </is>
      </c>
      <c r="CH738" t="inlineStr">
        <is>
          <t>Q2-W03</t>
        </is>
      </c>
      <c r="CI738"/>
      <c r="CJ738" t="inlineStr">
        <is>
          <t>Paid</t>
        </is>
      </c>
      <c r="CK738" t="inlineStr">
        <is>
          <t>Not Eligible</t>
        </is>
      </c>
      <c r="CL738"/>
      <c r="CM738"/>
    </row>
    <row r="739" ht="25.5" customHeight="1">
      <c r="A739" t="inlineStr">
        <is>
          <t>165608</t>
        </is>
      </c>
      <c r="B739" s="2"/>
      <c r="C739"/>
      <c r="D739" s="3">
        <v>46132.62965277778</v>
      </c>
      <c r="E739" t="inlineStr">
        <is>
          <t>Q2-W03</t>
        </is>
      </c>
      <c r="F739" t="inlineStr">
        <is>
          <t>Luqman</t>
        </is>
      </c>
      <c r="G739" t="inlineStr">
        <is>
          <t>Customer</t>
        </is>
      </c>
      <c r="H739" s="2" t="str">
        <f>=HYPERLINK("https://upbox.ajobthing.my/customer/165608", "https://upbox.ajobthing.my/customer/165608")</f>
        <v>https://upbox.ajobthing.my/customer/165608</v>
      </c>
      <c r="I739" t="inlineStr">
        <is>
          <t>K Links Management Consultancy Sdn Bhd</t>
        </is>
      </c>
      <c r="J739" t="inlineStr">
        <is>
          <t>Dolphin</t>
        </is>
      </c>
      <c r="K739" t="inlineStr">
        <is>
          <t>Luqman</t>
        </is>
      </c>
      <c r="L739" s="4"/>
      <c r="M739" s="4">
        <v>46132.62972222222</v>
      </c>
      <c r="N739"/>
      <c r="O739">
        <v>3888</v>
      </c>
      <c r="P739" s="4"/>
      <c r="Q739" s="4">
        <v>45013.66913194444</v>
      </c>
      <c r="R739"/>
      <c r="S739">
        <v>1696</v>
      </c>
      <c r="T739" s="4">
        <v>45013.66913194444</v>
      </c>
      <c r="U739" s="4"/>
      <c r="V739"/>
      <c r="W739">
        <v>1696</v>
      </c>
      <c r="X739"/>
      <c r="Y739" t="inlineStr">
        <is>
          <t>Pending Appointment</t>
        </is>
      </c>
      <c r="Z739" t="inlineStr">
        <is>
          <t>Hiring Later</t>
        </is>
      </c>
      <c r="AA739">
        <v>2</v>
      </c>
      <c r="AB739" t="inlineStr">
        <is>
          <t>No Appointment Made</t>
        </is>
      </c>
      <c r="AC739"/>
      <c r="AD739" t="inlineStr">
        <is>
          <t xml:space="preserve">1. Accountant 
2. Auditor </t>
        </is>
      </c>
      <c r="AE739"/>
      <c r="AF739">
        <v>3600</v>
      </c>
      <c r="AG739" s="4"/>
      <c r="AH739" s="4"/>
      <c r="AI739">
        <v>3600</v>
      </c>
      <c r="AJ739"/>
      <c r="AK739" t="inlineStr">
        <is>
          <t>No, I don't need at all</t>
        </is>
      </c>
      <c r="AL739">
        <v>1</v>
      </c>
      <c r="AM739" t="inlineStr">
        <is>
          <t>No, I don't need at all</t>
        </is>
      </c>
      <c r="AN739"/>
      <c r="AO739" t="inlineStr">
        <is>
          <t>Yes, I have</t>
        </is>
      </c>
      <c r="AP739" t="inlineStr">
        <is>
          <t>Once a year (25%)</t>
        </is>
      </c>
      <c r="AQ739">
        <v>2</v>
      </c>
      <c r="AR739" t="inlineStr">
        <is>
          <t>Free Job Portal</t>
        </is>
      </c>
      <c r="AS739" t="inlineStr">
        <is>
          <t>- Headcount: 2
- Hiring Job Details: 1. Accountant 2. Auditor
- Hiring Urgency: Hiring Later
- Number of outlets: 
- Have recruiter team: No, I don't need at all
- Number of recruiter in company: 1
- Have ATS system: No, I don't need at all
- Have career website: Yes, I have
- Current hiring budget: RM3,600
- Whole year budget: RM3,600.00
- Whole year number of vacancies: 2
- Hiring frequency: Once a year (25%)
- External job portal: Free Job Portal</t>
        </is>
      </c>
      <c r="AT739">
        <v>110</v>
      </c>
      <c r="AU739" t="inlineStr">
        <is>
          <t>1.10</t>
        </is>
      </c>
      <c r="AV739" t="inlineStr">
        <is>
          <t>15</t>
        </is>
      </c>
      <c r="AW739" t="inlineStr">
        <is>
          <t>0</t>
        </is>
      </c>
      <c r="AX739" t="inlineStr">
        <is>
          <t>Not Qualified</t>
        </is>
      </c>
      <c r="AY739" s="4"/>
      <c r="AZ739"/>
      <c r="BA739"/>
      <c r="BB739"/>
      <c r="BC739" t="inlineStr">
        <is>
          <t>Business hiring on hold</t>
        </is>
      </c>
      <c r="BD739" s="4">
        <v>46141.59590277778</v>
      </c>
      <c r="BE739" t="inlineStr">
        <is>
          <t>paid</t>
        </is>
      </c>
      <c r="BF739"/>
      <c r="BG739" t="inlineStr">
        <is>
          <t>Reschedule</t>
        </is>
      </c>
      <c r="BH739" t="inlineStr">
        <is>
          <t>Edward Hoo</t>
        </is>
      </c>
      <c r="BI739" t="inlineStr">
        <is>
          <t>Business / Mgmt Consulting</t>
        </is>
      </c>
      <c r="BJ739" s="4">
        <v>46144.75127314815</v>
      </c>
      <c r="BK739" s="4">
        <v>45006.906319444446</v>
      </c>
      <c r="BL739" t="inlineStr">
        <is>
          <t>0.0</t>
        </is>
      </c>
      <c r="BM739" t="inlineStr">
        <is>
          <t>600.0</t>
        </is>
      </c>
      <c r="BN739" t="inlineStr">
        <is>
          <t>View Applicant Page</t>
        </is>
      </c>
      <c r="BO739" s="4">
        <v>45226.642175925925</v>
      </c>
      <c r="BP739">
        <v>167857</v>
      </c>
      <c r="BQ739">
        <v>57065</v>
      </c>
      <c r="BR739" t="inlineStr">
        <is>
          <t>Online</t>
        </is>
      </c>
      <c r="BS739"/>
      <c r="BT739">
        <v>57065</v>
      </c>
      <c r="BU739"/>
      <c r="BV739">
        <v>2735252</v>
      </c>
      <c r="BW739" t="inlineStr">
        <is>
          <t>Follow Up : Lost - Free Portal</t>
        </is>
      </c>
      <c r="BX739"/>
      <c r="BY739"/>
      <c r="BZ739" s="4"/>
      <c r="CA739"/>
      <c r="CB739"/>
      <c r="CC739" s="4"/>
      <c r="CD739" t="inlineStr">
        <is>
          <t>20</t>
        </is>
      </c>
      <c r="CE739" t="inlineStr">
        <is>
          <t>0</t>
        </is>
      </c>
      <c r="CF739" t="inlineStr">
        <is>
          <t>Q2-W03</t>
        </is>
      </c>
      <c r="CG739"/>
      <c r="CH739"/>
      <c r="CI739"/>
      <c r="CJ739" t="inlineStr">
        <is>
          <t>Paid</t>
        </is>
      </c>
      <c r="CK739" t="inlineStr">
        <is>
          <t>Not Eligible</t>
        </is>
      </c>
      <c r="CL739"/>
      <c r="CM739"/>
    </row>
    <row r="740" ht="25.5" customHeight="1">
      <c r="A740" t="inlineStr">
        <is>
          <t>203439</t>
        </is>
      </c>
      <c r="B740" s="2"/>
      <c r="C740"/>
      <c r="D740" s="3">
        <v>46132.64028935185</v>
      </c>
      <c r="E740" t="inlineStr">
        <is>
          <t>Q2-W03</t>
        </is>
      </c>
      <c r="F740" t="inlineStr">
        <is>
          <t>Lucas</t>
        </is>
      </c>
      <c r="G740" t="inlineStr">
        <is>
          <t>Customer</t>
        </is>
      </c>
      <c r="H740" s="2" t="str">
        <f>=HYPERLINK("https://upbox.ajobthing.my/customer/203439", "https://upbox.ajobthing.my/customer/203439")</f>
        <v>https://upbox.ajobthing.my/customer/203439</v>
      </c>
      <c r="I740" t="inlineStr">
        <is>
          <t>ARTS OPTIC SOLUTION (M) SDN.BHD</t>
        </is>
      </c>
      <c r="J740" t="inlineStr">
        <is>
          <t>Dolphin</t>
        </is>
      </c>
      <c r="K740" t="inlineStr">
        <is>
          <t>Lucas</t>
        </is>
      </c>
      <c r="L740" s="4"/>
      <c r="M740" s="4">
        <v>46132.63888888889</v>
      </c>
      <c r="N740"/>
      <c r="O740">
        <v>3888</v>
      </c>
      <c r="P740" s="4"/>
      <c r="Q740" s="4">
        <v>46135.72393518518</v>
      </c>
      <c r="R740"/>
      <c r="S740">
        <v>3888</v>
      </c>
      <c r="T740" s="4">
        <v>46135.72393518518</v>
      </c>
      <c r="U740" s="4"/>
      <c r="V740"/>
      <c r="W740">
        <v>3888</v>
      </c>
      <c r="X740"/>
      <c r="Y740" t="inlineStr">
        <is>
          <t>Pending Appointment</t>
        </is>
      </c>
      <c r="Z740" t="inlineStr">
        <is>
          <t>Hiring Now</t>
        </is>
      </c>
      <c r="AA740">
        <v>1</v>
      </c>
      <c r="AB740" t="inlineStr">
        <is>
          <t>No Appointment Made</t>
        </is>
      </c>
      <c r="AC740"/>
      <c r="AD740" t="inlineStr">
        <is>
          <t xml:space="preserve">2qc </t>
        </is>
      </c>
      <c r="AE740"/>
      <c r="AF740">
        <v>0</v>
      </c>
      <c r="AG740" s="4"/>
      <c r="AH740" s="4"/>
      <c r="AI740">
        <v>0</v>
      </c>
      <c r="AJ740">
        <v>0</v>
      </c>
      <c r="AK740" t="inlineStr">
        <is>
          <t>No, I don't need at all</t>
        </is>
      </c>
      <c r="AL740">
        <v>0</v>
      </c>
      <c r="AM740" t="inlineStr">
        <is>
          <t>No, I don't need at all</t>
        </is>
      </c>
      <c r="AN740"/>
      <c r="AO740" t="inlineStr">
        <is>
          <t>No, I don't need at all</t>
        </is>
      </c>
      <c r="AP740" t="inlineStr">
        <is>
          <t>Once a year (25%)</t>
        </is>
      </c>
      <c r="AQ740">
        <v>2</v>
      </c>
      <c r="AR740" t="inlineStr">
        <is>
          <t>Did not use any job portal</t>
        </is>
      </c>
      <c r="AS740" t="inlineStr">
        <is>
          <t>- Headcount: 1
- Hiring Job Details: 2qc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740">
        <v>95</v>
      </c>
      <c r="AU740" t="inlineStr">
        <is>
          <t>0.95</t>
        </is>
      </c>
      <c r="AV740" t="inlineStr">
        <is>
          <t>15</t>
        </is>
      </c>
      <c r="AW740" t="inlineStr">
        <is>
          <t>0</t>
        </is>
      </c>
      <c r="AX740" t="inlineStr">
        <is>
          <t>Not Qualified</t>
        </is>
      </c>
      <c r="AY740" s="4"/>
      <c r="AZ740"/>
      <c r="BA740"/>
      <c r="BB740"/>
      <c r="BC740" t="inlineStr">
        <is>
          <t>payment done , ytd i on MC , today follow up</t>
        </is>
      </c>
      <c r="BD740" s="4">
        <v>46136.39980324074</v>
      </c>
      <c r="BE740" t="inlineStr">
        <is>
          <t>paid</t>
        </is>
      </c>
      <c r="BF740" t="inlineStr">
        <is>
          <t>Q2-W03</t>
        </is>
      </c>
      <c r="BG740" t="inlineStr">
        <is>
          <t>Reschedule</t>
        </is>
      </c>
      <c r="BH740" t="inlineStr">
        <is>
          <t>Yee Hang</t>
        </is>
      </c>
      <c r="BI740"/>
      <c r="BJ740" s="4">
        <v>46144.75430555556</v>
      </c>
      <c r="BK740" s="4">
        <v>46132.63789351852</v>
      </c>
      <c r="BL740" t="inlineStr">
        <is>
          <t>3888.0</t>
        </is>
      </c>
      <c r="BM740" t="inlineStr">
        <is>
          <t>0.0</t>
        </is>
      </c>
      <c r="BN740"/>
      <c r="BO740" s="4"/>
      <c r="BP740">
        <v>167864</v>
      </c>
      <c r="BQ740">
        <v>94685</v>
      </c>
      <c r="BR740" t="inlineStr">
        <is>
          <t>Online</t>
        </is>
      </c>
      <c r="BS740"/>
      <c r="BT740">
        <v>94685</v>
      </c>
      <c r="BU740"/>
      <c r="BV740">
        <v>2725333</v>
      </c>
      <c r="BW740" t="inlineStr">
        <is>
          <t>Follow Up : Win - Customer Paid</t>
        </is>
      </c>
      <c r="BX740">
        <v>6</v>
      </c>
      <c r="BY740">
        <v>6</v>
      </c>
      <c r="BZ740" s="4"/>
      <c r="CA740">
        <v>60</v>
      </c>
      <c r="CB740">
        <v>60</v>
      </c>
      <c r="CC740" s="4"/>
      <c r="CD740" t="inlineStr">
        <is>
          <t>20</t>
        </is>
      </c>
      <c r="CE740" t="inlineStr">
        <is>
          <t>0</t>
        </is>
      </c>
      <c r="CF740" t="inlineStr">
        <is>
          <t>Q2-W03</t>
        </is>
      </c>
      <c r="CG740" t="inlineStr">
        <is>
          <t>Q2-W03</t>
        </is>
      </c>
      <c r="CH740" t="inlineStr">
        <is>
          <t>Q2-W03</t>
        </is>
      </c>
      <c r="CI740"/>
      <c r="CJ740" t="inlineStr">
        <is>
          <t>Paid</t>
        </is>
      </c>
      <c r="CK740" t="inlineStr">
        <is>
          <t>Not Eligible</t>
        </is>
      </c>
      <c r="CL740"/>
      <c r="CM740"/>
    </row>
    <row r="741" ht="25.5" customHeight="1">
      <c r="A741" t="inlineStr">
        <is>
          <t>203405</t>
        </is>
      </c>
      <c r="B741" s="2"/>
      <c r="C741"/>
      <c r="D741" s="3">
        <v>46132.64460648148</v>
      </c>
      <c r="E741" t="inlineStr">
        <is>
          <t>Q2-W03</t>
        </is>
      </c>
      <c r="F741" t="inlineStr">
        <is>
          <t>Jess</t>
        </is>
      </c>
      <c r="G741" t="inlineStr">
        <is>
          <t>Customer</t>
        </is>
      </c>
      <c r="H741" s="2" t="str">
        <f>=HYPERLINK("https://upbox.ajobthing.my/customer/203405", "https://upbox.ajobthing.my/customer/203405")</f>
        <v>https://upbox.ajobthing.my/customer/203405</v>
      </c>
      <c r="I741" t="inlineStr">
        <is>
          <t>Future Bio Dent Sdn Bhd</t>
        </is>
      </c>
      <c r="J741" t="inlineStr">
        <is>
          <t>Dolphin</t>
        </is>
      </c>
      <c r="K741" t="inlineStr">
        <is>
          <t>Jess Lim</t>
        </is>
      </c>
      <c r="L741" s="4"/>
      <c r="M741" s="4">
        <v>46132.649502314816</v>
      </c>
      <c r="N741"/>
      <c r="O741">
        <v>6048</v>
      </c>
      <c r="P741" s="4"/>
      <c r="Q741" s="4">
        <v>46131.933842592596</v>
      </c>
      <c r="R741"/>
      <c r="S741">
        <v>0</v>
      </c>
      <c r="T741" s="4"/>
      <c r="U741" s="4"/>
      <c r="V741"/>
      <c r="W741"/>
      <c r="X741"/>
      <c r="Y741" t="inlineStr">
        <is>
          <t>Pending Appointment</t>
        </is>
      </c>
      <c r="Z741" t="inlineStr">
        <is>
          <t>Hiring Now</t>
        </is>
      </c>
      <c r="AA741">
        <v>1</v>
      </c>
      <c r="AB741" t="inlineStr">
        <is>
          <t>No Appointment Made</t>
        </is>
      </c>
      <c r="AC741"/>
      <c r="AD741" t="inlineStr">
        <is>
          <t>sales technician 5-7</t>
        </is>
      </c>
      <c r="AE741"/>
      <c r="AF741">
        <v>500</v>
      </c>
      <c r="AG741" s="4"/>
      <c r="AH741" s="4"/>
      <c r="AI741"/>
      <c r="AJ741">
        <v>1</v>
      </c>
      <c r="AK741" t="inlineStr">
        <is>
          <t>No, I don't need at all</t>
        </is>
      </c>
      <c r="AL741">
        <v>1</v>
      </c>
      <c r="AM741" t="inlineStr">
        <is>
          <t>No, I don't need at all</t>
        </is>
      </c>
      <c r="AN741"/>
      <c r="AO741" t="inlineStr">
        <is>
          <t>No, I don't need at all</t>
        </is>
      </c>
      <c r="AP741" t="inlineStr">
        <is>
          <t>Once a year (25%)</t>
        </is>
      </c>
      <c r="AQ741"/>
      <c r="AR741" t="inlineStr">
        <is>
          <t>Free Job Portal</t>
        </is>
      </c>
      <c r="AS741" t="inlineStr">
        <is>
          <t>- Headcount: 1
- Hiring Job Details: sales technician 5-7
- Hiring Urgency: Hiring Now
- Number of outlets: 1
- Have recruiter team: No, I don't need at all
- Number of recruiter in company: 1
- Have ATS system: No, I don't need at all
- Have career website: No, I don't need at all
- Current hiring budget: RM500.00
- Whole year budget: 
- Whole year number of vacancies: 
- Hiring frequency: Once a year (25%)
- External job portal: Free Job Portal</t>
        </is>
      </c>
      <c r="AT741">
        <v>105</v>
      </c>
      <c r="AU741" t="inlineStr">
        <is>
          <t>1.05</t>
        </is>
      </c>
      <c r="AV741" t="inlineStr">
        <is>
          <t>15</t>
        </is>
      </c>
      <c r="AW741" t="inlineStr">
        <is>
          <t>0</t>
        </is>
      </c>
      <c r="AX741" t="inlineStr">
        <is>
          <t>Not Qualified</t>
        </is>
      </c>
      <c r="AY741" s="4"/>
      <c r="AZ741"/>
      <c r="BA741"/>
      <c r="BB741"/>
      <c r="BC741" t="inlineStr">
        <is>
          <t>- Headcount: 1
- Hiring Job Details: sales technician 5-7
- Hiring Urgency: Hiring Now
- Number of outlets: 1
- Have recruiter team: No, I don't need at all
- Number of recruiter in company: 1
- Have ATS system: No, I don't need at all
- Have career website: No, I don't need at all
- Current hiring budget: RM500.00
- Whole year budget: 
- Whole year number of vacancies: 
- Hiring frequency: Once a year (25%)
- External job portal: Free Job Portal</t>
        </is>
      </c>
      <c r="BD741" s="4">
        <v>46132.66670138889</v>
      </c>
      <c r="BE741" t="inlineStr">
        <is>
          <t>paid</t>
        </is>
      </c>
      <c r="BF741"/>
      <c r="BG741" t="inlineStr">
        <is>
          <t>Reschedule</t>
        </is>
      </c>
      <c r="BH741" t="inlineStr">
        <is>
          <t>Fauziah Maharan</t>
        </is>
      </c>
      <c r="BI741" t="inlineStr">
        <is>
          <t>Healthcare / Medical</t>
        </is>
      </c>
      <c r="BJ741" s="4">
        <v>46144.75430555556</v>
      </c>
      <c r="BK741" s="4">
        <v>46131.9321875</v>
      </c>
      <c r="BL741" t="inlineStr">
        <is>
          <t>0.0</t>
        </is>
      </c>
      <c r="BM741" t="inlineStr">
        <is>
          <t>0.0</t>
        </is>
      </c>
      <c r="BN741" t="inlineStr">
        <is>
          <t>View Company Page</t>
        </is>
      </c>
      <c r="BO741" s="4">
        <v>46131.94695601852</v>
      </c>
      <c r="BP741">
        <v>167867</v>
      </c>
      <c r="BQ741">
        <v>123162</v>
      </c>
      <c r="BR741" t="inlineStr">
        <is>
          <t>Proforma</t>
        </is>
      </c>
      <c r="BS741" t="inlineStr">
        <is>
          <t>Free High Pay Job</t>
        </is>
      </c>
      <c r="BT741"/>
      <c r="BU741"/>
      <c r="BV741">
        <v>2716180</v>
      </c>
      <c r="BW741" t="inlineStr">
        <is>
          <t>Customer Inquiry</t>
        </is>
      </c>
      <c r="BX741"/>
      <c r="BY741"/>
      <c r="BZ741" s="4"/>
      <c r="CA741"/>
      <c r="CB741"/>
      <c r="CC741" s="4"/>
      <c r="CD741" t="inlineStr">
        <is>
          <t>20</t>
        </is>
      </c>
      <c r="CE741" t="inlineStr">
        <is>
          <t>0</t>
        </is>
      </c>
      <c r="CF741" t="inlineStr">
        <is>
          <t>Q2-W03</t>
        </is>
      </c>
      <c r="CG741" t="inlineStr">
        <is>
          <t>Q2-W03</t>
        </is>
      </c>
      <c r="CH741"/>
      <c r="CI741"/>
      <c r="CJ741" t="inlineStr">
        <is>
          <t>No Paid</t>
        </is>
      </c>
      <c r="CK741" t="inlineStr">
        <is>
          <t>Not Eligible</t>
        </is>
      </c>
      <c r="CL741"/>
      <c r="CM741"/>
    </row>
    <row r="742" ht="25.5" customHeight="1">
      <c r="A742" t="inlineStr">
        <is>
          <t>165361</t>
        </is>
      </c>
      <c r="B742" s="2"/>
      <c r="C742"/>
      <c r="D742" s="3">
        <v>46132.647997685184</v>
      </c>
      <c r="E742" t="inlineStr">
        <is>
          <t>Q2-W03</t>
        </is>
      </c>
      <c r="F742" t="inlineStr">
        <is>
          <t>Luqman</t>
        </is>
      </c>
      <c r="G742" t="inlineStr">
        <is>
          <t>Customer</t>
        </is>
      </c>
      <c r="H742" s="2" t="str">
        <f>=HYPERLINK("https://upbox.ajobthing.my/customer/165361", "https://upbox.ajobthing.my/customer/165361")</f>
        <v>https://upbox.ajobthing.my/customer/165361</v>
      </c>
      <c r="I742" t="inlineStr">
        <is>
          <t>Petsmore Sdn Bhd</t>
        </is>
      </c>
      <c r="J742" t="inlineStr">
        <is>
          <t>Dolphin</t>
        </is>
      </c>
      <c r="K742" t="inlineStr">
        <is>
          <t>Luqman</t>
        </is>
      </c>
      <c r="L742" s="4"/>
      <c r="M742" s="4">
        <v>46132.65037037037</v>
      </c>
      <c r="N742"/>
      <c r="O742">
        <v>6048</v>
      </c>
      <c r="P742" s="4"/>
      <c r="Q742" s="4">
        <v>45023.71337962963</v>
      </c>
      <c r="R742"/>
      <c r="S742">
        <v>1908</v>
      </c>
      <c r="T742" s="4">
        <v>45023.71337962963</v>
      </c>
      <c r="U742" s="4"/>
      <c r="V742"/>
      <c r="W742">
        <v>1908</v>
      </c>
      <c r="X742"/>
      <c r="Y742" t="inlineStr">
        <is>
          <t>Pending Appointment</t>
        </is>
      </c>
      <c r="Z742" t="inlineStr">
        <is>
          <t>Hiring Later</t>
        </is>
      </c>
      <c r="AA742">
        <v>2</v>
      </c>
      <c r="AB742" t="inlineStr">
        <is>
          <t>No Appointment Made</t>
        </is>
      </c>
      <c r="AC742"/>
      <c r="AD742" t="inlineStr">
        <is>
          <t xml:space="preserve">1. Admin Assistant 
2. Marketing Executive </t>
        </is>
      </c>
      <c r="AE742"/>
      <c r="AF742">
        <v>2000</v>
      </c>
      <c r="AG742" s="4"/>
      <c r="AH742" s="4"/>
      <c r="AI742">
        <v>2000</v>
      </c>
      <c r="AJ742"/>
      <c r="AK742" t="inlineStr">
        <is>
          <t>No, I don't need at all</t>
        </is>
      </c>
      <c r="AL742">
        <v>2</v>
      </c>
      <c r="AM742" t="inlineStr">
        <is>
          <t>No, I don't need at all</t>
        </is>
      </c>
      <c r="AN742"/>
      <c r="AO742" t="inlineStr">
        <is>
          <t>No, I don't need at all</t>
        </is>
      </c>
      <c r="AP742" t="inlineStr">
        <is>
          <t>Once a year (25%)</t>
        </is>
      </c>
      <c r="AQ742">
        <v>2</v>
      </c>
      <c r="AR742" t="inlineStr">
        <is>
          <t>Free Job Portal</t>
        </is>
      </c>
      <c r="AS742" t="inlineStr">
        <is>
          <t>- Headcount: 2
- Hiring Job Details: 1. Admin Assistant 2. Marketing Executive
- Number of outlets: 
- Have recruiter team: No, I don't need at all
- Number of recruiter in company: 2
- Have ATS system: No, I don't need at all
- Have career website: No, I don't need at all
- Current hiring budget: RM2,000
- Whole year budget: RM2,000.00
- Whole year number of vacancies: 2
- Hiring frequency: Once a year (25%)
- External job portal: Free Job Portal
- Hiring Urgency: Hiring Later</t>
        </is>
      </c>
      <c r="AT742">
        <v>95</v>
      </c>
      <c r="AU742" t="inlineStr">
        <is>
          <t>0.95</t>
        </is>
      </c>
      <c r="AV742" t="inlineStr">
        <is>
          <t>15</t>
        </is>
      </c>
      <c r="AW742" t="inlineStr">
        <is>
          <t>0</t>
        </is>
      </c>
      <c r="AX742" t="inlineStr">
        <is>
          <t>Not Qualified</t>
        </is>
      </c>
      <c r="AY742" s="4"/>
      <c r="AZ742"/>
      <c r="BA742"/>
      <c r="BB742"/>
      <c r="BC742" t="inlineStr">
        <is>
          <t>Marketing and Finance already finalize, other position filled already. Lost</t>
        </is>
      </c>
      <c r="BD742" s="4">
        <v>46139.475127314814</v>
      </c>
      <c r="BE742" t="inlineStr">
        <is>
          <t>paid</t>
        </is>
      </c>
      <c r="BF742"/>
      <c r="BG742" t="inlineStr">
        <is>
          <t>Reschedule</t>
        </is>
      </c>
      <c r="BH742" t="inlineStr">
        <is>
          <t>Edward Hoo</t>
        </is>
      </c>
      <c r="BI742" t="inlineStr">
        <is>
          <t>Retail / Merchandise</t>
        </is>
      </c>
      <c r="BJ742" s="4">
        <v>46144.751226851855</v>
      </c>
      <c r="BK742" s="4">
        <v>44999.46394675926</v>
      </c>
      <c r="BL742" t="inlineStr">
        <is>
          <t>0.0</t>
        </is>
      </c>
      <c r="BM742" t="inlineStr">
        <is>
          <t>600.0</t>
        </is>
      </c>
      <c r="BN742" t="inlineStr">
        <is>
          <t>View Company Page</t>
        </is>
      </c>
      <c r="BO742" s="4">
        <v>45884.66008101852</v>
      </c>
      <c r="BP742">
        <v>167870</v>
      </c>
      <c r="BQ742">
        <v>57114</v>
      </c>
      <c r="BR742" t="inlineStr">
        <is>
          <t>Online</t>
        </is>
      </c>
      <c r="BS742"/>
      <c r="BT742">
        <v>57114</v>
      </c>
      <c r="BU742"/>
      <c r="BV742">
        <v>2728623</v>
      </c>
      <c r="BW742" t="inlineStr">
        <is>
          <t>Follow Up : Lost - Paid Portal</t>
        </is>
      </c>
      <c r="BX742"/>
      <c r="BY742"/>
      <c r="BZ742" s="4"/>
      <c r="CA742"/>
      <c r="CB742"/>
      <c r="CC742" s="4"/>
      <c r="CD742" t="inlineStr">
        <is>
          <t>20</t>
        </is>
      </c>
      <c r="CE742" t="inlineStr">
        <is>
          <t>0</t>
        </is>
      </c>
      <c r="CF742" t="inlineStr">
        <is>
          <t>Q2-W03</t>
        </is>
      </c>
      <c r="CG742"/>
      <c r="CH742"/>
      <c r="CI742"/>
      <c r="CJ742" t="inlineStr">
        <is>
          <t>Paid</t>
        </is>
      </c>
      <c r="CK742" t="inlineStr">
        <is>
          <t>Not Eligible</t>
        </is>
      </c>
      <c r="CL742"/>
      <c r="CM742"/>
    </row>
    <row r="743" ht="25.5" customHeight="1">
      <c r="A743" t="inlineStr">
        <is>
          <t>189577</t>
        </is>
      </c>
      <c r="B743" s="2"/>
      <c r="C743"/>
      <c r="D743" s="3">
        <v>46132.65429398148</v>
      </c>
      <c r="E743" t="inlineStr">
        <is>
          <t>Q2-W03</t>
        </is>
      </c>
      <c r="F743" t="inlineStr">
        <is>
          <t>Angel  Low</t>
        </is>
      </c>
      <c r="G743" t="inlineStr">
        <is>
          <t>Customer</t>
        </is>
      </c>
      <c r="H743" s="2" t="str">
        <f>=HYPERLINK("https://upbox.ajobthing.my/customer/189577", "https://upbox.ajobthing.my/customer/189577")</f>
        <v>https://upbox.ajobthing.my/customer/189577</v>
      </c>
      <c r="I743" t="inlineStr">
        <is>
          <t>Wiselink MCCK Technology Sdn. Bhd.</t>
        </is>
      </c>
      <c r="J743" t="inlineStr">
        <is>
          <t>Dolphin</t>
        </is>
      </c>
      <c r="K743" t="inlineStr">
        <is>
          <t>Angel Low</t>
        </is>
      </c>
      <c r="L743" s="4"/>
      <c r="M743" s="4">
        <v>46132.65457175926</v>
      </c>
      <c r="N743"/>
      <c r="O743">
        <v>5508</v>
      </c>
      <c r="P743" s="4"/>
      <c r="Q743" s="4">
        <v>46131.89988425926</v>
      </c>
      <c r="R743"/>
      <c r="S743">
        <v>1728</v>
      </c>
      <c r="T743" s="4">
        <v>46131.89988425926</v>
      </c>
      <c r="U743" s="4"/>
      <c r="V743"/>
      <c r="W743">
        <v>1728</v>
      </c>
      <c r="X743"/>
      <c r="Y743" t="inlineStr">
        <is>
          <t>Pending Appointment</t>
        </is>
      </c>
      <c r="Z743"/>
      <c r="AA743">
        <v>4</v>
      </c>
      <c r="AB743" t="inlineStr">
        <is>
          <t>No Appointment Made</t>
        </is>
      </c>
      <c r="AC743"/>
      <c r="AD743" t="inlineStr">
        <is>
          <t xml:space="preserve">3 telemarketer , 1 media manager , mandarin speaker </t>
        </is>
      </c>
      <c r="AE743"/>
      <c r="AF743"/>
      <c r="AG743" s="4"/>
      <c r="AH743" s="4"/>
      <c r="AI743"/>
      <c r="AJ743"/>
      <c r="AK743"/>
      <c r="AL743"/>
      <c r="AM743"/>
      <c r="AN743"/>
      <c r="AO743"/>
      <c r="AP743"/>
      <c r="AQ743"/>
      <c r="AR743"/>
      <c r="AS743" t="inlineStr">
        <is>
          <t>- Headcount: 4
- Hiring Job Details: 3 telemarketer, 1 media manager (mandarin speaker)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is>
      </c>
      <c r="AT743">
        <v>65</v>
      </c>
      <c r="AU743" t="inlineStr">
        <is>
          <t>0.65</t>
        </is>
      </c>
      <c r="AV743" t="inlineStr">
        <is>
          <t>5</t>
        </is>
      </c>
      <c r="AW743" t="inlineStr">
        <is>
          <t>0</t>
        </is>
      </c>
      <c r="AX743" t="inlineStr">
        <is>
          <t>Not Qualified</t>
        </is>
      </c>
      <c r="AY743" s="4"/>
      <c r="AZ743"/>
      <c r="BA743"/>
      <c r="BB743"/>
      <c r="BC743" t="inlineStr">
        <is>
          <t>pending</t>
        </is>
      </c>
      <c r="BD743" s="4">
        <v>46140.53313657407</v>
      </c>
      <c r="BE743" t="inlineStr">
        <is>
          <t>paid</t>
        </is>
      </c>
      <c r="BF743" t="inlineStr">
        <is>
          <t>Q2-W03</t>
        </is>
      </c>
      <c r="BG743" t="inlineStr">
        <is>
          <t>Reschedule</t>
        </is>
      </c>
      <c r="BH743" t="inlineStr">
        <is>
          <t>Fauziah Maharan</t>
        </is>
      </c>
      <c r="BI743"/>
      <c r="BJ743" s="4">
        <v>46144.75232638889</v>
      </c>
      <c r="BK743" s="4">
        <v>45753.72917824074</v>
      </c>
      <c r="BL743" t="inlineStr">
        <is>
          <t>1728.0</t>
        </is>
      </c>
      <c r="BM743" t="inlineStr">
        <is>
          <t>0.0</t>
        </is>
      </c>
      <c r="BN743" t="inlineStr">
        <is>
          <t>View Candidate Search Page</t>
        </is>
      </c>
      <c r="BO743" s="4">
        <v>46144.74366898148</v>
      </c>
      <c r="BP743">
        <v>167873</v>
      </c>
      <c r="BQ743">
        <v>94263</v>
      </c>
      <c r="BR743" t="inlineStr">
        <is>
          <t>Online</t>
        </is>
      </c>
      <c r="BS743"/>
      <c r="BT743">
        <v>94263</v>
      </c>
      <c r="BU743"/>
      <c r="BV743">
        <v>2732490</v>
      </c>
      <c r="BW743" t="inlineStr">
        <is>
          <t>Follow Up : Decision Pending</t>
        </is>
      </c>
      <c r="BX743"/>
      <c r="BY743"/>
      <c r="BZ743" s="4"/>
      <c r="CA743"/>
      <c r="CB743"/>
      <c r="CC743" s="4"/>
      <c r="CD743" t="inlineStr">
        <is>
          <t>5</t>
        </is>
      </c>
      <c r="CE743" t="inlineStr">
        <is>
          <t>0</t>
        </is>
      </c>
      <c r="CF743" t="inlineStr">
        <is>
          <t>Q2-W03</t>
        </is>
      </c>
      <c r="CG743" t="inlineStr">
        <is>
          <t>Q2-W03</t>
        </is>
      </c>
      <c r="CH743" t="inlineStr">
        <is>
          <t>Q2-W03</t>
        </is>
      </c>
      <c r="CI743"/>
      <c r="CJ743" t="inlineStr">
        <is>
          <t>Paid</t>
        </is>
      </c>
      <c r="CK743" t="inlineStr">
        <is>
          <t>Not Eligible</t>
        </is>
      </c>
      <c r="CL743"/>
      <c r="CM743"/>
    </row>
    <row r="744" ht="25.5" customHeight="1">
      <c r="A744" t="inlineStr">
        <is>
          <t>22578</t>
        </is>
      </c>
      <c r="B744" s="2"/>
      <c r="C744"/>
      <c r="D744" s="3">
        <v>46132.66814814815</v>
      </c>
      <c r="E744" t="inlineStr">
        <is>
          <t>Q2-W03</t>
        </is>
      </c>
      <c r="F744" t="inlineStr">
        <is>
          <t>Keegan</t>
        </is>
      </c>
      <c r="G744" t="inlineStr">
        <is>
          <t>Customer</t>
        </is>
      </c>
      <c r="H744" s="2" t="str">
        <f>=HYPERLINK("https://upbox.ajobthing.my/customer/22578", "https://upbox.ajobthing.my/customer/22578")</f>
        <v>https://upbox.ajobthing.my/customer/22578</v>
      </c>
      <c r="I744" t="inlineStr">
        <is>
          <t>Sonciti Enterprise Sdn Bhd</t>
        </is>
      </c>
      <c r="J744" t="inlineStr">
        <is>
          <t>Dolphin</t>
        </is>
      </c>
      <c r="K744" t="inlineStr">
        <is>
          <t>Keegan</t>
        </is>
      </c>
      <c r="L744" s="4"/>
      <c r="M744" s="4">
        <v>46132.67082175926</v>
      </c>
      <c r="N744"/>
      <c r="O744">
        <v>6048</v>
      </c>
      <c r="P744" s="4"/>
      <c r="Q744" s="4"/>
      <c r="R744"/>
      <c r="S744"/>
      <c r="T744" s="4"/>
      <c r="U744" s="4"/>
      <c r="V744"/>
      <c r="W744"/>
      <c r="X744"/>
      <c r="Y744" t="inlineStr">
        <is>
          <t>Pending Appointment</t>
        </is>
      </c>
      <c r="Z744" t="inlineStr">
        <is>
          <t>Hiring Now</t>
        </is>
      </c>
      <c r="AA744">
        <v>2</v>
      </c>
      <c r="AB744" t="inlineStr">
        <is>
          <t>No Appointment Made</t>
        </is>
      </c>
      <c r="AC744"/>
      <c r="AD744" t="inlineStr">
        <is>
          <t xml:space="preserve">1. Lorry driver 
2. Sales </t>
        </is>
      </c>
      <c r="AE744"/>
      <c r="AF744"/>
      <c r="AG744" s="4"/>
      <c r="AH744" s="4"/>
      <c r="AI744"/>
      <c r="AJ744">
        <v>1</v>
      </c>
      <c r="AK744" t="inlineStr">
        <is>
          <t>No, I don't need at all</t>
        </is>
      </c>
      <c r="AL744">
        <v>0</v>
      </c>
      <c r="AM744" t="inlineStr">
        <is>
          <t>No, I don't need at all</t>
        </is>
      </c>
      <c r="AN744"/>
      <c r="AO744" t="inlineStr">
        <is>
          <t>No, I don't need at all</t>
        </is>
      </c>
      <c r="AP744" t="inlineStr">
        <is>
          <t>Once per quarter (75%)</t>
        </is>
      </c>
      <c r="AQ744"/>
      <c r="AR744" t="inlineStr">
        <is>
          <t>Did not use any job portal</t>
        </is>
      </c>
      <c r="AS744" t="inlineStr">
        <is>
          <t>- Headcount: 2
- Hiring Job Details: 1. Lorry driver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744">
        <v>75</v>
      </c>
      <c r="AU744" t="inlineStr">
        <is>
          <t>0.75</t>
        </is>
      </c>
      <c r="AV744" t="inlineStr">
        <is>
          <t>5</t>
        </is>
      </c>
      <c r="AW744" t="inlineStr">
        <is>
          <t>0</t>
        </is>
      </c>
      <c r="AX744" t="inlineStr">
        <is>
          <t>Not Qualified</t>
        </is>
      </c>
      <c r="AY744" s="4"/>
      <c r="AZ744"/>
      <c r="BA744"/>
      <c r="BB744"/>
      <c r="BC744" t="inlineStr">
        <is>
          <t>f/up on decision</t>
        </is>
      </c>
      <c r="BD744" s="4">
        <v>46141.64394675926</v>
      </c>
      <c r="BE744"/>
      <c r="BF744"/>
      <c r="BG744" t="inlineStr">
        <is>
          <t>Reschedule</t>
        </is>
      </c>
      <c r="BH744" t="inlineStr">
        <is>
          <t>Edward Hoo</t>
        </is>
      </c>
      <c r="BI744"/>
      <c r="BJ744" s="4">
        <v>46144.75444444444</v>
      </c>
      <c r="BK744" s="4">
        <v>42496.38888888889</v>
      </c>
      <c r="BL744" t="inlineStr">
        <is>
          <t>0.0</t>
        </is>
      </c>
      <c r="BM744" t="inlineStr">
        <is>
          <t>0.0</t>
        </is>
      </c>
      <c r="BN744"/>
      <c r="BO744" s="4"/>
      <c r="BP744">
        <v>167881</v>
      </c>
      <c r="BQ744"/>
      <c r="BR744"/>
      <c r="BS744"/>
      <c r="BT744"/>
      <c r="BU744"/>
      <c r="BV744">
        <v>2735621</v>
      </c>
      <c r="BW744" t="inlineStr">
        <is>
          <t>Follow Up : Quotation Sent 50%</t>
        </is>
      </c>
      <c r="BX744"/>
      <c r="BY744"/>
      <c r="BZ744" s="4"/>
      <c r="CA744"/>
      <c r="CB744"/>
      <c r="CC744" s="4"/>
      <c r="CD744" t="inlineStr">
        <is>
          <t>5</t>
        </is>
      </c>
      <c r="CE744" t="inlineStr">
        <is>
          <t>0</t>
        </is>
      </c>
      <c r="CF744" t="inlineStr">
        <is>
          <t>Q2-W03</t>
        </is>
      </c>
      <c r="CG744"/>
      <c r="CH744"/>
      <c r="CI744"/>
      <c r="CJ744" t="inlineStr">
        <is>
          <t>No Paid</t>
        </is>
      </c>
      <c r="CK744" t="inlineStr">
        <is>
          <t>Not Eligible</t>
        </is>
      </c>
      <c r="CL744"/>
      <c r="CM744"/>
    </row>
    <row r="745" ht="25.5" customHeight="1">
      <c r="A745" t="inlineStr">
        <is>
          <t>203441</t>
        </is>
      </c>
      <c r="B745" s="2"/>
      <c r="C745"/>
      <c r="D745" s="3">
        <v>46132.67322916666</v>
      </c>
      <c r="E745" t="inlineStr">
        <is>
          <t>Q2-W03</t>
        </is>
      </c>
      <c r="F745" t="inlineStr">
        <is>
          <t>Chia Yee</t>
        </is>
      </c>
      <c r="G745" t="inlineStr">
        <is>
          <t>Customer</t>
        </is>
      </c>
      <c r="H745" s="2" t="str">
        <f>=HYPERLINK("https://upbox.ajobthing.my/customer/203441", "https://upbox.ajobthing.my/customer/203441")</f>
        <v>https://upbox.ajobthing.my/customer/203441</v>
      </c>
      <c r="I745" t="inlineStr">
        <is>
          <t>TEH &amp; YAP</t>
        </is>
      </c>
      <c r="J745" t="inlineStr">
        <is>
          <t>Dolphin</t>
        </is>
      </c>
      <c r="K745" t="inlineStr">
        <is>
          <t>Chia Yee</t>
        </is>
      </c>
      <c r="L745" s="4"/>
      <c r="M745" s="4">
        <v>46132.67344907407</v>
      </c>
      <c r="N745"/>
      <c r="O745">
        <v>6048</v>
      </c>
      <c r="P745" s="4"/>
      <c r="Q745" s="4">
        <v>46135.504212962966</v>
      </c>
      <c r="R745"/>
      <c r="S745">
        <v>1296</v>
      </c>
      <c r="T745" s="4">
        <v>46135.504212962966</v>
      </c>
      <c r="U745" s="4"/>
      <c r="V745"/>
      <c r="W745">
        <v>1296</v>
      </c>
      <c r="X745"/>
      <c r="Y745" t="inlineStr">
        <is>
          <t>Pending Appointment</t>
        </is>
      </c>
      <c r="Z745" t="inlineStr">
        <is>
          <t>Hiring Now</t>
        </is>
      </c>
      <c r="AA745">
        <v>2</v>
      </c>
      <c r="AB745" t="inlineStr">
        <is>
          <t>No Appointment Made</t>
        </is>
      </c>
      <c r="AC745"/>
      <c r="AD745" t="inlineStr">
        <is>
          <t>Accounts cum Admin 
Legal Secretary</t>
        </is>
      </c>
      <c r="AE745"/>
      <c r="AF745">
        <v>0</v>
      </c>
      <c r="AG745" s="4"/>
      <c r="AH745" s="4"/>
      <c r="AI745">
        <v>0</v>
      </c>
      <c r="AJ745">
        <v>1</v>
      </c>
      <c r="AK745" t="inlineStr">
        <is>
          <t>No, I don't need at all</t>
        </is>
      </c>
      <c r="AL745">
        <v>1</v>
      </c>
      <c r="AM745" t="inlineStr">
        <is>
          <t>No, I don't need at all</t>
        </is>
      </c>
      <c r="AN745"/>
      <c r="AO745" t="inlineStr">
        <is>
          <t>No, I don't need at all</t>
        </is>
      </c>
      <c r="AP745" t="inlineStr">
        <is>
          <t>Once a year (25%)</t>
        </is>
      </c>
      <c r="AQ745">
        <v>2</v>
      </c>
      <c r="AR745" t="inlineStr">
        <is>
          <t>Did not use any job portal</t>
        </is>
      </c>
      <c r="AS745" t="inlineStr">
        <is>
          <t>- Headcount: 2
- Hiring Job Details: Accounts cum Admin, Legal Secretary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is>
      </c>
      <c r="AT745">
        <v>110</v>
      </c>
      <c r="AU745" t="inlineStr">
        <is>
          <t>1.10</t>
        </is>
      </c>
      <c r="AV745" t="inlineStr">
        <is>
          <t>15</t>
        </is>
      </c>
      <c r="AW745" t="inlineStr">
        <is>
          <t>0</t>
        </is>
      </c>
      <c r="AX745" t="inlineStr">
        <is>
          <t>Not Qualified</t>
        </is>
      </c>
      <c r="AY745" s="4"/>
      <c r="AZ745"/>
      <c r="BA745"/>
      <c r="BB745"/>
      <c r="BC745" t="inlineStr">
        <is>
          <t>WA ask what is candidate search. Explain</t>
        </is>
      </c>
      <c r="BD745" s="4">
        <v>46136.645787037036</v>
      </c>
      <c r="BE745" t="inlineStr">
        <is>
          <t>paid</t>
        </is>
      </c>
      <c r="BF745" t="inlineStr">
        <is>
          <t>Q2-W03</t>
        </is>
      </c>
      <c r="BG745" t="inlineStr">
        <is>
          <t>Reschedule</t>
        </is>
      </c>
      <c r="BH745" t="inlineStr">
        <is>
          <t>Reagen</t>
        </is>
      </c>
      <c r="BI745" t="inlineStr">
        <is>
          <t>Law / Legal</t>
        </is>
      </c>
      <c r="BJ745" s="4">
        <v>46144.75430555556</v>
      </c>
      <c r="BK745" s="4">
        <v>46132.64809027778</v>
      </c>
      <c r="BL745" t="inlineStr">
        <is>
          <t>1296.0</t>
        </is>
      </c>
      <c r="BM745" t="inlineStr">
        <is>
          <t>0.0</t>
        </is>
      </c>
      <c r="BN745" t="inlineStr">
        <is>
          <t>View Candidate Search Page</t>
        </is>
      </c>
      <c r="BO745" s="4">
        <v>46142.64675925926</v>
      </c>
      <c r="BP745">
        <v>167883</v>
      </c>
      <c r="BQ745">
        <v>94663</v>
      </c>
      <c r="BR745" t="inlineStr">
        <is>
          <t>Online</t>
        </is>
      </c>
      <c r="BS745"/>
      <c r="BT745">
        <v>94663</v>
      </c>
      <c r="BU745"/>
      <c r="BV745">
        <v>2726775</v>
      </c>
      <c r="BW745" t="inlineStr">
        <is>
          <t>Service / Technical : Job Outcome Enquiry</t>
        </is>
      </c>
      <c r="BX745">
        <v>1</v>
      </c>
      <c r="BY745">
        <v>0</v>
      </c>
      <c r="BZ745" s="4">
        <v>46135.516435185185</v>
      </c>
      <c r="CA745">
        <v>23</v>
      </c>
      <c r="CB745">
        <v>23</v>
      </c>
      <c r="CC745" s="4"/>
      <c r="CD745" t="inlineStr">
        <is>
          <t>20</t>
        </is>
      </c>
      <c r="CE745" t="inlineStr">
        <is>
          <t>0</t>
        </is>
      </c>
      <c r="CF745" t="inlineStr">
        <is>
          <t>Q2-W03</t>
        </is>
      </c>
      <c r="CG745" t="inlineStr">
        <is>
          <t>Q2-W03</t>
        </is>
      </c>
      <c r="CH745" t="inlineStr">
        <is>
          <t>Q2-W03</t>
        </is>
      </c>
      <c r="CI745"/>
      <c r="CJ745" t="inlineStr">
        <is>
          <t>Paid</t>
        </is>
      </c>
      <c r="CK745" t="inlineStr">
        <is>
          <t>Not Eligible</t>
        </is>
      </c>
      <c r="CL745"/>
      <c r="CM745"/>
    </row>
    <row r="746" ht="25.5" customHeight="1">
      <c r="A746" t="inlineStr">
        <is>
          <t>203107</t>
        </is>
      </c>
      <c r="B746" s="2"/>
      <c r="C746"/>
      <c r="D746" s="3">
        <v>46132.695231481484</v>
      </c>
      <c r="E746" t="inlineStr">
        <is>
          <t>Q2-W03</t>
        </is>
      </c>
      <c r="F746" t="inlineStr">
        <is>
          <t>Xin Quan</t>
        </is>
      </c>
      <c r="G746" t="inlineStr">
        <is>
          <t>Customer</t>
        </is>
      </c>
      <c r="H746" s="2" t="str">
        <f>=HYPERLINK("https://upbox.ajobthing.my/customer/203107", "https://upbox.ajobthing.my/customer/203107")</f>
        <v>https://upbox.ajobthing.my/customer/203107</v>
      </c>
      <c r="I746" t="inlineStr">
        <is>
          <t>Security Guard Services</t>
        </is>
      </c>
      <c r="J746" t="inlineStr">
        <is>
          <t>Dolphin</t>
        </is>
      </c>
      <c r="K746" t="inlineStr">
        <is>
          <t>Xin Quan</t>
        </is>
      </c>
      <c r="L746" s="4"/>
      <c r="M746" s="4">
        <v>46132.74361111111</v>
      </c>
      <c r="N746"/>
      <c r="O746">
        <v>11448</v>
      </c>
      <c r="P746" s="4"/>
      <c r="Q746" s="4"/>
      <c r="R746"/>
      <c r="S746"/>
      <c r="T746" s="4"/>
      <c r="U746" s="4"/>
      <c r="V746"/>
      <c r="W746"/>
      <c r="X746" t="inlineStr">
        <is>
          <t>Edward Hoo</t>
        </is>
      </c>
      <c r="Y746" t="inlineStr">
        <is>
          <t>Done Appointment</t>
        </is>
      </c>
      <c r="Z746" t="inlineStr">
        <is>
          <t>Hiring Now</t>
        </is>
      </c>
      <c r="AA746">
        <v>12.5</v>
      </c>
      <c r="AB746" t="inlineStr">
        <is>
          <t>Appointment Made</t>
        </is>
      </c>
      <c r="AC746" t="inlineStr">
        <is>
          <t>Mid-size (50-100 employees)</t>
        </is>
      </c>
      <c r="AD746" t="inlineStr">
        <is>
          <t xml:space="preserve"> 10-15 Security guard by the end of Q2, supervisor &amp; manager , Base in KL</t>
        </is>
      </c>
      <c r="AE746" t="inlineStr">
        <is>
          <t>HR Manager / Talent Manager</t>
        </is>
      </c>
      <c r="AF746">
        <v>6000</v>
      </c>
      <c r="AG746" s="4">
        <v>46132.666666666664</v>
      </c>
      <c r="AH746" s="4">
        <v>46132.6875</v>
      </c>
      <c r="AI746">
        <v>6000</v>
      </c>
      <c r="AJ746">
        <v>1</v>
      </c>
      <c r="AK746" t="inlineStr">
        <is>
          <t>No, I don't need at all</t>
        </is>
      </c>
      <c r="AL746">
        <v>1</v>
      </c>
      <c r="AM746" t="inlineStr">
        <is>
          <t>No, I don't need at all</t>
        </is>
      </c>
      <c r="AN746"/>
      <c r="AO746" t="inlineStr">
        <is>
          <t>No, I don't need at all</t>
        </is>
      </c>
      <c r="AP746" t="inlineStr">
        <is>
          <t>Once a year (25%)</t>
        </is>
      </c>
      <c r="AQ746">
        <v>15</v>
      </c>
      <c r="AR746"/>
      <c r="AS746" t="inlineStr">
        <is>
          <t>- Headcount: 12
- Hiring Job Details: 10-15 Security guard by the end of Q2, supervisor &amp; manager, Base in KL
- Hiring Urgency: Hiring Now
- Number of outlets: 1
- Have recruiter team: No, I don't need at all
- Number of recruiter in company: 1
- Have ATS system: No, I don't need at all
- Have career website: No, I don't need at all
- Current hiring budget: RM6,000
- Whole year budget: RM6,000.00
- Whole year number of vacancies: 15
- Hiring frequency: Once a year (25%)
- External job portal: None</t>
        </is>
      </c>
      <c r="AT746">
        <v>105</v>
      </c>
      <c r="AU746" t="inlineStr">
        <is>
          <t>1.05</t>
        </is>
      </c>
      <c r="AV746" t="inlineStr">
        <is>
          <t>45</t>
        </is>
      </c>
      <c r="AW746" t="inlineStr">
        <is>
          <t>0.5</t>
        </is>
      </c>
      <c r="AX746" t="inlineStr">
        <is>
          <t>Not Qualified</t>
        </is>
      </c>
      <c r="AY746" s="4">
        <v>46132.699849537035</v>
      </c>
      <c r="AZ746" t="inlineStr">
        <is>
          <t>Base Assistant</t>
        </is>
      </c>
      <c r="BA746"/>
      <c r="BB746"/>
      <c r="BC746" t="inlineStr">
        <is>
          <t>NA</t>
        </is>
      </c>
      <c r="BD746" s="4">
        <v>46140.57697916667</v>
      </c>
      <c r="BE746"/>
      <c r="BF746"/>
      <c r="BG746" t="inlineStr">
        <is>
          <t>Reschedule</t>
        </is>
      </c>
      <c r="BH746" t="inlineStr">
        <is>
          <t>Edward Hoo</t>
        </is>
      </c>
      <c r="BI746"/>
      <c r="BJ746" s="4">
        <v>46144.754212962966</v>
      </c>
      <c r="BK746" s="4">
        <v>46122.73112268518</v>
      </c>
      <c r="BL746" t="inlineStr">
        <is>
          <t>0.0</t>
        </is>
      </c>
      <c r="BM746" t="inlineStr">
        <is>
          <t>0.0</t>
        </is>
      </c>
      <c r="BN746"/>
      <c r="BO746" s="4"/>
      <c r="BP746">
        <v>167911</v>
      </c>
      <c r="BQ746"/>
      <c r="BR746"/>
      <c r="BS746"/>
      <c r="BT746"/>
      <c r="BU746"/>
      <c r="BV746">
        <v>2732628</v>
      </c>
      <c r="BW746" t="inlineStr">
        <is>
          <t>No Answer : Voicemail - WA sent to customer</t>
        </is>
      </c>
      <c r="BX746"/>
      <c r="BY746"/>
      <c r="BZ746" s="4"/>
      <c r="CA746"/>
      <c r="CB746"/>
      <c r="CC746" s="4"/>
      <c r="CD746" t="inlineStr">
        <is>
          <t>65</t>
        </is>
      </c>
      <c r="CE746" t="inlineStr">
        <is>
          <t>0.8</t>
        </is>
      </c>
      <c r="CF746" t="inlineStr">
        <is>
          <t>Q2-W03</t>
        </is>
      </c>
      <c r="CG746"/>
      <c r="CH746"/>
      <c r="CI746" t="inlineStr">
        <is>
          <t>Q2-W03</t>
        </is>
      </c>
      <c r="CJ746" t="inlineStr">
        <is>
          <t>No Paid</t>
        </is>
      </c>
      <c r="CK746" t="inlineStr">
        <is>
          <t>Eligible</t>
        </is>
      </c>
      <c r="CL746"/>
      <c r="CM746" t="inlineStr">
        <is>
          <t>Q2-W03</t>
        </is>
      </c>
    </row>
    <row r="747" ht="25.5" customHeight="1">
      <c r="A747" t="inlineStr">
        <is>
          <t>129152</t>
        </is>
      </c>
      <c r="B747" s="2"/>
      <c r="C747"/>
      <c r="D747" s="3">
        <v>46132.695706018516</v>
      </c>
      <c r="E747" t="inlineStr">
        <is>
          <t>Q2-W03</t>
        </is>
      </c>
      <c r="F747" t="inlineStr">
        <is>
          <t>Angel  Low</t>
        </is>
      </c>
      <c r="G747" t="inlineStr">
        <is>
          <t>Customer</t>
        </is>
      </c>
      <c r="H747" s="2" t="str">
        <f>=HYPERLINK("https://upbox.ajobthing.my/customer/129152", "https://upbox.ajobthing.my/customer/129152")</f>
        <v>https://upbox.ajobthing.my/customer/129152</v>
      </c>
      <c r="I747" t="inlineStr">
        <is>
          <t>Pusat Perkembangan Minda Kaedah Efektif</t>
        </is>
      </c>
      <c r="J747" t="inlineStr">
        <is>
          <t>Dolphin</t>
        </is>
      </c>
      <c r="K747" t="inlineStr">
        <is>
          <t>Angel Low</t>
        </is>
      </c>
      <c r="L747" s="4"/>
      <c r="M747" s="4">
        <v>46132.69614583333</v>
      </c>
      <c r="N747"/>
      <c r="O747">
        <v>5508</v>
      </c>
      <c r="P747" s="4"/>
      <c r="Q747" s="4">
        <v>46090.91724537037</v>
      </c>
      <c r="R747"/>
      <c r="S747">
        <v>0</v>
      </c>
      <c r="T747" s="4">
        <v>45126.93038194445</v>
      </c>
      <c r="U747" s="4"/>
      <c r="V747"/>
      <c r="W747">
        <v>636</v>
      </c>
      <c r="X747"/>
      <c r="Y747" t="inlineStr">
        <is>
          <t>Pending Appointment</t>
        </is>
      </c>
      <c r="Z747"/>
      <c r="AA747">
        <v>1</v>
      </c>
      <c r="AB747" t="inlineStr">
        <is>
          <t>No Appointment Made</t>
        </is>
      </c>
      <c r="AC747"/>
      <c r="AD747" t="inlineStr">
        <is>
          <t xml:space="preserve">teacher </t>
        </is>
      </c>
      <c r="AE747"/>
      <c r="AF747"/>
      <c r="AG747" s="4"/>
      <c r="AH747" s="4"/>
      <c r="AI747"/>
      <c r="AJ747"/>
      <c r="AK747"/>
      <c r="AL747"/>
      <c r="AM747"/>
      <c r="AN747"/>
      <c r="AO747"/>
      <c r="AP747"/>
      <c r="AQ747"/>
      <c r="AR747"/>
      <c r="AS747" t="inlineStr">
        <is>
          <t>- Headcount: 1
- Hiring Job Details: teacher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747">
        <v>60</v>
      </c>
      <c r="AU747" t="inlineStr">
        <is>
          <t>0.60</t>
        </is>
      </c>
      <c r="AV747" t="inlineStr">
        <is>
          <t>5</t>
        </is>
      </c>
      <c r="AW747" t="inlineStr">
        <is>
          <t>0</t>
        </is>
      </c>
      <c r="AX747" t="inlineStr">
        <is>
          <t>Not Qualified</t>
        </is>
      </c>
      <c r="AY747" s="4"/>
      <c r="AZ747"/>
      <c r="BA747"/>
      <c r="BB747"/>
      <c r="BC747" t="inlineStr">
        <is>
          <t>pending . (EN)</t>
        </is>
      </c>
      <c r="BD747" s="4">
        <v>46140.68069444445</v>
      </c>
      <c r="BE747" t="inlineStr">
        <is>
          <t>paid</t>
        </is>
      </c>
      <c r="BF747"/>
      <c r="BG747" t="inlineStr">
        <is>
          <t>Reschedule</t>
        </is>
      </c>
      <c r="BH747" t="inlineStr">
        <is>
          <t>Fauziah Maharan</t>
        </is>
      </c>
      <c r="BI747" t="inlineStr">
        <is>
          <t>Education / Training</t>
        </is>
      </c>
      <c r="BJ747" s="4">
        <v>46144.75042824074</v>
      </c>
      <c r="BK747" s="4">
        <v>44074.4841087963</v>
      </c>
      <c r="BL747" t="inlineStr">
        <is>
          <t>0.0</t>
        </is>
      </c>
      <c r="BM747" t="inlineStr">
        <is>
          <t>0.0</t>
        </is>
      </c>
      <c r="BN747" t="inlineStr">
        <is>
          <t>View Company Page</t>
        </is>
      </c>
      <c r="BO747" s="4">
        <v>46090.922430555554</v>
      </c>
      <c r="BP747">
        <v>167893</v>
      </c>
      <c r="BQ747">
        <v>116504</v>
      </c>
      <c r="BR747" t="inlineStr">
        <is>
          <t>Proforma</t>
        </is>
      </c>
      <c r="BS747" t="inlineStr">
        <is>
          <t>Free Part-Time Job</t>
        </is>
      </c>
      <c r="BT747">
        <v>60625</v>
      </c>
      <c r="BU747"/>
      <c r="BV747">
        <v>2733409</v>
      </c>
      <c r="BW747" t="inlineStr">
        <is>
          <t>Follow Up : Decision Pending</t>
        </is>
      </c>
      <c r="BX747"/>
      <c r="BY747"/>
      <c r="BZ747" s="4"/>
      <c r="CA747"/>
      <c r="CB747"/>
      <c r="CC747" s="4"/>
      <c r="CD747" t="inlineStr">
        <is>
          <t>5</t>
        </is>
      </c>
      <c r="CE747" t="inlineStr">
        <is>
          <t>0</t>
        </is>
      </c>
      <c r="CF747" t="inlineStr">
        <is>
          <t>Q2-W03</t>
        </is>
      </c>
      <c r="CG747" t="inlineStr">
        <is>
          <t>Q1-W10</t>
        </is>
      </c>
      <c r="CH747"/>
      <c r="CI747"/>
      <c r="CJ747" t="inlineStr">
        <is>
          <t>Paid</t>
        </is>
      </c>
      <c r="CK747" t="inlineStr">
        <is>
          <t>Not Eligible</t>
        </is>
      </c>
      <c r="CL747"/>
      <c r="CM747"/>
    </row>
    <row r="748" ht="25.5" customHeight="1">
      <c r="A748" t="inlineStr">
        <is>
          <t>154108</t>
        </is>
      </c>
      <c r="B748" s="2"/>
      <c r="C748"/>
      <c r="D748" s="3">
        <v>46132.70379629629</v>
      </c>
      <c r="E748" t="inlineStr">
        <is>
          <t>Q2-W03</t>
        </is>
      </c>
      <c r="F748" t="inlineStr">
        <is>
          <t>Angel  Low</t>
        </is>
      </c>
      <c r="G748" t="inlineStr">
        <is>
          <t>Customer</t>
        </is>
      </c>
      <c r="H748" s="2" t="str">
        <f>=HYPERLINK("https://upbox.ajobthing.my/customer/154108", "https://upbox.ajobthing.my/customer/154108")</f>
        <v>https://upbox.ajobthing.my/customer/154108</v>
      </c>
      <c r="I748" t="inlineStr">
        <is>
          <t>Excel Herbal Industries Sdn. Bhd.</t>
        </is>
      </c>
      <c r="J748" t="inlineStr">
        <is>
          <t>Dolphin</t>
        </is>
      </c>
      <c r="K748" t="inlineStr">
        <is>
          <t>Angel Low</t>
        </is>
      </c>
      <c r="L748" s="4"/>
      <c r="M748" s="4">
        <v>46132.71424768519</v>
      </c>
      <c r="N748"/>
      <c r="O748">
        <v>3672</v>
      </c>
      <c r="P748" s="4"/>
      <c r="Q748" s="4">
        <v>44698.50417824074</v>
      </c>
      <c r="R748"/>
      <c r="S748">
        <v>530</v>
      </c>
      <c r="T748" s="4">
        <v>44698.50417824074</v>
      </c>
      <c r="U748" s="4"/>
      <c r="V748"/>
      <c r="W748">
        <v>530</v>
      </c>
      <c r="X748"/>
      <c r="Y748" t="inlineStr">
        <is>
          <t>Pending Appointment</t>
        </is>
      </c>
      <c r="Z748"/>
      <c r="AA748">
        <v>1</v>
      </c>
      <c r="AB748" t="inlineStr">
        <is>
          <t>No Appointment Made</t>
        </is>
      </c>
      <c r="AC748"/>
      <c r="AD748" t="inlineStr">
        <is>
          <t xml:space="preserve">internship </t>
        </is>
      </c>
      <c r="AE748"/>
      <c r="AF748"/>
      <c r="AG748" s="4"/>
      <c r="AH748" s="4"/>
      <c r="AI748"/>
      <c r="AJ748"/>
      <c r="AK748"/>
      <c r="AL748"/>
      <c r="AM748"/>
      <c r="AN748"/>
      <c r="AO748"/>
      <c r="AP748"/>
      <c r="AQ748"/>
      <c r="AR748"/>
      <c r="AS748" t="inlineStr">
        <is>
          <t>- Headcount: 1
- Hiring Job Details: internship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748">
        <v>60</v>
      </c>
      <c r="AU748" t="inlineStr">
        <is>
          <t>0.60</t>
        </is>
      </c>
      <c r="AV748" t="inlineStr">
        <is>
          <t>5</t>
        </is>
      </c>
      <c r="AW748" t="inlineStr">
        <is>
          <t>0</t>
        </is>
      </c>
      <c r="AX748" t="inlineStr">
        <is>
          <t>Not Qualified</t>
        </is>
      </c>
      <c r="AY748" s="4"/>
      <c r="AZ748"/>
      <c r="BA748"/>
      <c r="BB748"/>
      <c r="BC748" t="inlineStr">
        <is>
          <t>quo ssent</t>
        </is>
      </c>
      <c r="BD748" s="4">
        <v>46132.71840277778</v>
      </c>
      <c r="BE748" t="inlineStr">
        <is>
          <t>paid</t>
        </is>
      </c>
      <c r="BF748"/>
      <c r="BG748" t="inlineStr">
        <is>
          <t>Reschedule</t>
        </is>
      </c>
      <c r="BH748" t="inlineStr">
        <is>
          <t>Fauziah Maharan</t>
        </is>
      </c>
      <c r="BI748" t="inlineStr">
        <is>
          <t>Manufacturing / Production</t>
        </is>
      </c>
      <c r="BJ748" s="4">
        <v>46144.7509375</v>
      </c>
      <c r="BK748" s="4">
        <v>44698.45627314815</v>
      </c>
      <c r="BL748" t="inlineStr">
        <is>
          <t>0.0</t>
        </is>
      </c>
      <c r="BM748" t="inlineStr">
        <is>
          <t>4800.0</t>
        </is>
      </c>
      <c r="BN748" t="inlineStr">
        <is>
          <t>View Company Page</t>
        </is>
      </c>
      <c r="BO748" s="4">
        <v>46095.70109953704</v>
      </c>
      <c r="BP748">
        <v>167903</v>
      </c>
      <c r="BQ748">
        <v>44944</v>
      </c>
      <c r="BR748" t="inlineStr">
        <is>
          <t>Online</t>
        </is>
      </c>
      <c r="BS748"/>
      <c r="BT748">
        <v>44944</v>
      </c>
      <c r="BU748"/>
      <c r="BV748">
        <v>2716560</v>
      </c>
      <c r="BW748" t="inlineStr">
        <is>
          <t>Customer Inquiry</t>
        </is>
      </c>
      <c r="BX748"/>
      <c r="BY748"/>
      <c r="BZ748" s="4"/>
      <c r="CA748"/>
      <c r="CB748"/>
      <c r="CC748" s="4"/>
      <c r="CD748" t="inlineStr">
        <is>
          <t>5</t>
        </is>
      </c>
      <c r="CE748" t="inlineStr">
        <is>
          <t>0</t>
        </is>
      </c>
      <c r="CF748" t="inlineStr">
        <is>
          <t>Q2-W03</t>
        </is>
      </c>
      <c r="CG748"/>
      <c r="CH748"/>
      <c r="CI748"/>
      <c r="CJ748" t="inlineStr">
        <is>
          <t>Paid</t>
        </is>
      </c>
      <c r="CK748" t="inlineStr">
        <is>
          <t>Not Eligible</t>
        </is>
      </c>
      <c r="CL748"/>
      <c r="CM748"/>
    </row>
    <row r="749" ht="25.5" customHeight="1">
      <c r="A749" t="inlineStr">
        <is>
          <t>203279</t>
        </is>
      </c>
      <c r="B749" s="2"/>
      <c r="C749"/>
      <c r="D749" s="3">
        <v>46132.723275462966</v>
      </c>
      <c r="E749" t="inlineStr">
        <is>
          <t>Q2-W03</t>
        </is>
      </c>
      <c r="F749" t="inlineStr">
        <is>
          <t>Jia Hui</t>
        </is>
      </c>
      <c r="G749" t="inlineStr">
        <is>
          <t>Customer</t>
        </is>
      </c>
      <c r="H749" s="2" t="str">
        <f>=HYPERLINK("https://upbox.ajobthing.my/customer/203279", "https://upbox.ajobthing.my/customer/203279")</f>
        <v>https://upbox.ajobthing.my/customer/203279</v>
      </c>
      <c r="I749" t="inlineStr">
        <is>
          <t>Agensi Pekerjaan Smart Recruit Sdn. Bhd.</t>
        </is>
      </c>
      <c r="J749" t="inlineStr">
        <is>
          <t>Dolphin</t>
        </is>
      </c>
      <c r="K749" t="inlineStr">
        <is>
          <t>Jia Hui</t>
        </is>
      </c>
      <c r="L749" s="4"/>
      <c r="M749" s="4">
        <v>46132.72237268519</v>
      </c>
      <c r="N749"/>
      <c r="O749">
        <v>1296</v>
      </c>
      <c r="P749" s="4"/>
      <c r="Q749" s="4">
        <v>46133.67291666667</v>
      </c>
      <c r="R749"/>
      <c r="S749">
        <v>1296</v>
      </c>
      <c r="T749" s="4">
        <v>46133.67291666667</v>
      </c>
      <c r="U749" s="4"/>
      <c r="V749"/>
      <c r="W749">
        <v>1296</v>
      </c>
      <c r="X749"/>
      <c r="Y749" t="inlineStr">
        <is>
          <t>Pending Appointment</t>
        </is>
      </c>
      <c r="Z749" t="inlineStr">
        <is>
          <t>Hiring Now</t>
        </is>
      </c>
      <c r="AA749">
        <v>1</v>
      </c>
      <c r="AB749" t="inlineStr">
        <is>
          <t>No Appointment Made</t>
        </is>
      </c>
      <c r="AC749"/>
      <c r="AD749" t="inlineStr">
        <is>
          <t>1 admin</t>
        </is>
      </c>
      <c r="AE749"/>
      <c r="AF749">
        <v>500</v>
      </c>
      <c r="AG749" s="4"/>
      <c r="AH749" s="4"/>
      <c r="AI749"/>
      <c r="AJ749"/>
      <c r="AK749" t="inlineStr">
        <is>
          <t>No, but I want in future</t>
        </is>
      </c>
      <c r="AL749"/>
      <c r="AM749"/>
      <c r="AN749"/>
      <c r="AO749"/>
      <c r="AP749" t="inlineStr">
        <is>
          <t>Once a year (25%)</t>
        </is>
      </c>
      <c r="AQ749"/>
      <c r="AR749"/>
      <c r="AS749" t="inlineStr">
        <is>
          <t>- Headcount: 1
- Hiring Job Details: 1 admin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749">
        <v>75</v>
      </c>
      <c r="AU749" t="inlineStr">
        <is>
          <t>0.75</t>
        </is>
      </c>
      <c r="AV749" t="inlineStr">
        <is>
          <t>15</t>
        </is>
      </c>
      <c r="AW749" t="inlineStr">
        <is>
          <t>0</t>
        </is>
      </c>
      <c r="AX749" t="inlineStr">
        <is>
          <t>Not Qualified</t>
        </is>
      </c>
      <c r="AY749" s="4"/>
      <c r="AZ749"/>
      <c r="BA749"/>
      <c r="BB749"/>
      <c r="BC749" t="inlineStr">
        <is>
          <t>posted the job ads, let me know if need any assistance</t>
        </is>
      </c>
      <c r="BD749" s="4">
        <v>46134.50234953704</v>
      </c>
      <c r="BE749" t="inlineStr">
        <is>
          <t>paid</t>
        </is>
      </c>
      <c r="BF749" t="inlineStr">
        <is>
          <t>Q2-W03</t>
        </is>
      </c>
      <c r="BG749" t="inlineStr">
        <is>
          <t>Reschedule</t>
        </is>
      </c>
      <c r="BH749" t="inlineStr">
        <is>
          <t>Reagen</t>
        </is>
      </c>
      <c r="BI749" t="inlineStr">
        <is>
          <t>HR Mgmt / Consulting</t>
        </is>
      </c>
      <c r="BJ749" s="4">
        <v>46144.75425925926</v>
      </c>
      <c r="BK749" s="4">
        <v>46127.699537037035</v>
      </c>
      <c r="BL749" t="inlineStr">
        <is>
          <t>1296.0</t>
        </is>
      </c>
      <c r="BM749" t="inlineStr">
        <is>
          <t>0.0</t>
        </is>
      </c>
      <c r="BN749" t="inlineStr">
        <is>
          <t>View Company Page</t>
        </is>
      </c>
      <c r="BO749" s="4">
        <v>46142.511458333334</v>
      </c>
      <c r="BP749">
        <v>167905</v>
      </c>
      <c r="BQ749">
        <v>94543</v>
      </c>
      <c r="BR749" t="inlineStr">
        <is>
          <t>Online</t>
        </is>
      </c>
      <c r="BS749"/>
      <c r="BT749">
        <v>94543</v>
      </c>
      <c r="BU749"/>
      <c r="BV749">
        <v>2720254</v>
      </c>
      <c r="BW749" t="inlineStr">
        <is>
          <t>Service / Technical : Job Outcome Enquiry</t>
        </is>
      </c>
      <c r="BX749">
        <v>1</v>
      </c>
      <c r="BY749">
        <v>0</v>
      </c>
      <c r="BZ749" s="4">
        <v>46133.71640046296</v>
      </c>
      <c r="CA749">
        <v>10</v>
      </c>
      <c r="CB749">
        <v>10</v>
      </c>
      <c r="CC749" s="4"/>
      <c r="CD749" t="inlineStr">
        <is>
          <t>20</t>
        </is>
      </c>
      <c r="CE749" t="inlineStr">
        <is>
          <t>0</t>
        </is>
      </c>
      <c r="CF749" t="inlineStr">
        <is>
          <t>Q2-W03</t>
        </is>
      </c>
      <c r="CG749" t="inlineStr">
        <is>
          <t>Q2-W03</t>
        </is>
      </c>
      <c r="CH749" t="inlineStr">
        <is>
          <t>Q2-W03</t>
        </is>
      </c>
      <c r="CI749"/>
      <c r="CJ749" t="inlineStr">
        <is>
          <t>Paid</t>
        </is>
      </c>
      <c r="CK749" t="inlineStr">
        <is>
          <t>Not Eligible</t>
        </is>
      </c>
      <c r="CL749"/>
      <c r="CM749"/>
    </row>
    <row r="750" ht="25.5" customHeight="1">
      <c r="A750" t="inlineStr">
        <is>
          <t>159980</t>
        </is>
      </c>
      <c r="B750" s="2"/>
      <c r="C750"/>
      <c r="D750" s="3">
        <v>46132.72982638889</v>
      </c>
      <c r="E750" t="inlineStr">
        <is>
          <t>Q2-W03</t>
        </is>
      </c>
      <c r="F750" t="inlineStr">
        <is>
          <t>Clover</t>
        </is>
      </c>
      <c r="G750" t="inlineStr">
        <is>
          <t>Customer</t>
        </is>
      </c>
      <c r="H750" s="2" t="str">
        <f>=HYPERLINK("https://upbox.ajobthing.my/customer/159980", "https://upbox.ajobthing.my/customer/159980")</f>
        <v>https://upbox.ajobthing.my/customer/159980</v>
      </c>
      <c r="I750" t="inlineStr">
        <is>
          <t>Promaid Cleaning Services &amp; Supplies</t>
        </is>
      </c>
      <c r="J750" t="inlineStr">
        <is>
          <t>Dolphin</t>
        </is>
      </c>
      <c r="K750" t="inlineStr">
        <is>
          <t>Clover</t>
        </is>
      </c>
      <c r="L750" s="4"/>
      <c r="M750" s="4">
        <v>46132.729421296295</v>
      </c>
      <c r="N750"/>
      <c r="O750">
        <v>6048</v>
      </c>
      <c r="P750" s="4"/>
      <c r="Q750" s="4">
        <v>46140.41358796296</v>
      </c>
      <c r="R750"/>
      <c r="S750">
        <v>0</v>
      </c>
      <c r="T750" s="4">
        <v>46136.584386574075</v>
      </c>
      <c r="U750" s="4"/>
      <c r="V750"/>
      <c r="W750">
        <v>3672</v>
      </c>
      <c r="X750"/>
      <c r="Y750" t="inlineStr">
        <is>
          <t>Pending Appointment</t>
        </is>
      </c>
      <c r="Z750" t="inlineStr">
        <is>
          <t>Hiring Now</t>
        </is>
      </c>
      <c r="AA750">
        <v>3</v>
      </c>
      <c r="AB750" t="inlineStr">
        <is>
          <t>No Appointment Made</t>
        </is>
      </c>
      <c r="AC750"/>
      <c r="AD750" t="inlineStr">
        <is>
          <t>Hire sales coordinator, x1-2 chi, admin x1, all races, urgent May start working, cleaning tmn iskandar,  0162608159 Mr Lim</t>
        </is>
      </c>
      <c r="AE750"/>
      <c r="AF750">
        <v>3000</v>
      </c>
      <c r="AG750" s="4"/>
      <c r="AH750" s="4"/>
      <c r="AI750">
        <v>3000</v>
      </c>
      <c r="AJ750">
        <v>1</v>
      </c>
      <c r="AK750" t="inlineStr">
        <is>
          <t>No, but I want in future</t>
        </is>
      </c>
      <c r="AL750">
        <v>1</v>
      </c>
      <c r="AM750" t="inlineStr">
        <is>
          <t>No, but I want in future</t>
        </is>
      </c>
      <c r="AN750"/>
      <c r="AO750" t="inlineStr">
        <is>
          <t>No, but I want in future</t>
        </is>
      </c>
      <c r="AP750" t="inlineStr">
        <is>
          <t>Once per quarter (75%)</t>
        </is>
      </c>
      <c r="AQ750">
        <v>3</v>
      </c>
      <c r="AR750" t="inlineStr">
        <is>
          <t>Did not use any job portal</t>
        </is>
      </c>
      <c r="AS750" t="inlineStr">
        <is>
          <t>- Headcount: 3
- Hiring Job Details: 1-2 sales coordinators, 1 admin, all races, urgent May start, cleaning tmn iskandar, contact 0162608159 Mr Lim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Once per quarter (75%)
- External job portal: Did not use any</t>
        </is>
      </c>
      <c r="AT750">
        <v>110</v>
      </c>
      <c r="AU750" t="inlineStr">
        <is>
          <t>1.10</t>
        </is>
      </c>
      <c r="AV750" t="inlineStr">
        <is>
          <t>15</t>
        </is>
      </c>
      <c r="AW750" t="inlineStr">
        <is>
          <t>0</t>
        </is>
      </c>
      <c r="AX750" t="inlineStr">
        <is>
          <t>Not Qualified</t>
        </is>
      </c>
      <c r="AY750" s="4"/>
      <c r="AZ750"/>
      <c r="BA750"/>
      <c r="BB750"/>
      <c r="BC750" t="inlineStr">
        <is>
          <t>Mr Lim 60162608159  receive zus voucher , system lag abit</t>
        </is>
      </c>
      <c r="BD750" s="4">
        <v>46140.44021990741</v>
      </c>
      <c r="BE750" t="inlineStr">
        <is>
          <t>paid</t>
        </is>
      </c>
      <c r="BF750" t="inlineStr">
        <is>
          <t>Q2-W04</t>
        </is>
      </c>
      <c r="BG750" t="inlineStr">
        <is>
          <t>Reschedule</t>
        </is>
      </c>
      <c r="BH750" t="inlineStr">
        <is>
          <t>Reagen</t>
        </is>
      </c>
      <c r="BI750" t="inlineStr">
        <is>
          <t>Other industries</t>
        </is>
      </c>
      <c r="BJ750" s="4">
        <v>46144.75109953704</v>
      </c>
      <c r="BK750" s="4">
        <v>44823.68040509259</v>
      </c>
      <c r="BL750" t="inlineStr">
        <is>
          <t>3672.0</t>
        </is>
      </c>
      <c r="BM750" t="inlineStr">
        <is>
          <t>0.0</t>
        </is>
      </c>
      <c r="BN750" t="inlineStr">
        <is>
          <t>View Company Page</t>
        </is>
      </c>
      <c r="BO750" s="4">
        <v>46144.74519675926</v>
      </c>
      <c r="BP750">
        <v>167906</v>
      </c>
      <c r="BQ750">
        <v>123821</v>
      </c>
      <c r="BR750" t="inlineStr">
        <is>
          <t>Proforma</t>
        </is>
      </c>
      <c r="BS750" t="inlineStr">
        <is>
          <t>Free Internship Job</t>
        </is>
      </c>
      <c r="BT750">
        <v>94718</v>
      </c>
      <c r="BU750"/>
      <c r="BV750">
        <v>2731860</v>
      </c>
      <c r="BW750" t="inlineStr">
        <is>
          <t>Service / Technical : Job Outcome Enquiry</t>
        </is>
      </c>
      <c r="BX750">
        <v>7</v>
      </c>
      <c r="BY750">
        <v>5</v>
      </c>
      <c r="BZ750" s="4">
        <v>46139.52107638889</v>
      </c>
      <c r="CA750">
        <v>60</v>
      </c>
      <c r="CB750">
        <v>28</v>
      </c>
      <c r="CC750" s="4">
        <v>46141.64664351852</v>
      </c>
      <c r="CD750" t="inlineStr">
        <is>
          <t>20</t>
        </is>
      </c>
      <c r="CE750" t="inlineStr">
        <is>
          <t>0</t>
        </is>
      </c>
      <c r="CF750" t="inlineStr">
        <is>
          <t>Q2-W03</t>
        </is>
      </c>
      <c r="CG750" t="inlineStr">
        <is>
          <t>Q2-W04</t>
        </is>
      </c>
      <c r="CH750" t="inlineStr">
        <is>
          <t>Q2-W04</t>
        </is>
      </c>
      <c r="CI750"/>
      <c r="CJ750" t="inlineStr">
        <is>
          <t>Paid</t>
        </is>
      </c>
      <c r="CK750" t="inlineStr">
        <is>
          <t>Not Eligible</t>
        </is>
      </c>
      <c r="CL750"/>
      <c r="CM750"/>
    </row>
    <row r="751" ht="25.5" customHeight="1">
      <c r="A751" t="inlineStr">
        <is>
          <t>45597</t>
        </is>
      </c>
      <c r="B751" s="2"/>
      <c r="C751"/>
      <c r="D751" s="3">
        <v>46132.74030092593</v>
      </c>
      <c r="E751" t="inlineStr">
        <is>
          <t>Q2-W03</t>
        </is>
      </c>
      <c r="F751" t="inlineStr">
        <is>
          <t>Keegan</t>
        </is>
      </c>
      <c r="G751" t="inlineStr">
        <is>
          <t>Customer</t>
        </is>
      </c>
      <c r="H751" s="2" t="str">
        <f>=HYPERLINK("https://upbox.ajobthing.my/customer/45597", "https://upbox.ajobthing.my/customer/45597")</f>
        <v>https://upbox.ajobthing.my/customer/45597</v>
      </c>
      <c r="I751" t="inlineStr">
        <is>
          <t>Travoyage Holiday Sdn Bhd</t>
        </is>
      </c>
      <c r="J751" t="inlineStr">
        <is>
          <t>Dolphin</t>
        </is>
      </c>
      <c r="K751" t="inlineStr">
        <is>
          <t>Keegan</t>
        </is>
      </c>
      <c r="L751" s="4"/>
      <c r="M751" s="4">
        <v>46132.740578703706</v>
      </c>
      <c r="N751"/>
      <c r="O751">
        <v>3888</v>
      </c>
      <c r="P751" s="4"/>
      <c r="Q751" s="4">
        <v>46000.77989583334</v>
      </c>
      <c r="R751"/>
      <c r="S751">
        <v>1296</v>
      </c>
      <c r="T751" s="4">
        <v>46000.77989583334</v>
      </c>
      <c r="U751" s="4"/>
      <c r="V751"/>
      <c r="W751">
        <v>1296</v>
      </c>
      <c r="X751"/>
      <c r="Y751" t="inlineStr">
        <is>
          <t>Pending Appointment</t>
        </is>
      </c>
      <c r="Z751" t="inlineStr">
        <is>
          <t>Hiring Later</t>
        </is>
      </c>
      <c r="AA751">
        <v>1</v>
      </c>
      <c r="AB751" t="inlineStr">
        <is>
          <t>No Appointment Made</t>
        </is>
      </c>
      <c r="AC751"/>
      <c r="AD751" t="inlineStr">
        <is>
          <t>1. Sales 
</t>
        </is>
      </c>
      <c r="AE751"/>
      <c r="AF751"/>
      <c r="AG751" s="4"/>
      <c r="AH751" s="4"/>
      <c r="AI751"/>
      <c r="AJ751">
        <v>1</v>
      </c>
      <c r="AK751" t="inlineStr">
        <is>
          <t>No, I don't need at all</t>
        </is>
      </c>
      <c r="AL751">
        <v>0</v>
      </c>
      <c r="AM751" t="inlineStr">
        <is>
          <t>No, I don't need at all</t>
        </is>
      </c>
      <c r="AN751"/>
      <c r="AO751" t="inlineStr">
        <is>
          <t>No, I don't need at all</t>
        </is>
      </c>
      <c r="AP751" t="inlineStr">
        <is>
          <t>Once per quarter (75%)</t>
        </is>
      </c>
      <c r="AQ751"/>
      <c r="AR751" t="inlineStr">
        <is>
          <t>Did not use any job portal</t>
        </is>
      </c>
      <c r="AS751" t="inlineStr">
        <is>
          <t>- Headcount: 1
- Hiring Job Details: 1 Sales
- Hiring Urgency: Hiring Later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751">
        <v>100</v>
      </c>
      <c r="AU751" t="inlineStr">
        <is>
          <t>1.00</t>
        </is>
      </c>
      <c r="AV751" t="inlineStr">
        <is>
          <t>5</t>
        </is>
      </c>
      <c r="AW751" t="inlineStr">
        <is>
          <t>0</t>
        </is>
      </c>
      <c r="AX751" t="inlineStr">
        <is>
          <t>Not Qualified</t>
        </is>
      </c>
      <c r="AY751" s="4"/>
      <c r="AZ751"/>
      <c r="BA751"/>
      <c r="BB751"/>
      <c r="BC751" t="inlineStr">
        <is>
          <t>Pending decision still</t>
        </is>
      </c>
      <c r="BD751" s="4">
        <v>46141.70780092593</v>
      </c>
      <c r="BE751" t="inlineStr">
        <is>
          <t>paid</t>
        </is>
      </c>
      <c r="BF751"/>
      <c r="BG751" t="inlineStr">
        <is>
          <t>Reschedule</t>
        </is>
      </c>
      <c r="BH751" t="inlineStr">
        <is>
          <t>Edward Hoo</t>
        </is>
      </c>
      <c r="BI751" t="inlineStr">
        <is>
          <t>Travel / Tourism</t>
        </is>
      </c>
      <c r="BJ751" s="4">
        <v>46144.7559837963</v>
      </c>
      <c r="BK751" s="4">
        <v>43124.65628472222</v>
      </c>
      <c r="BL751" t="inlineStr">
        <is>
          <t>1296.0</t>
        </is>
      </c>
      <c r="BM751" t="inlineStr">
        <is>
          <t>0.0</t>
        </is>
      </c>
      <c r="BN751" t="inlineStr">
        <is>
          <t>View Jobmanager Page</t>
        </is>
      </c>
      <c r="BO751" s="4">
        <v>46006.38988425926</v>
      </c>
      <c r="BP751">
        <v>167909</v>
      </c>
      <c r="BQ751">
        <v>84861</v>
      </c>
      <c r="BR751" t="inlineStr">
        <is>
          <t>Online</t>
        </is>
      </c>
      <c r="BS751"/>
      <c r="BT751">
        <v>84861</v>
      </c>
      <c r="BU751"/>
      <c r="BV751">
        <v>2736056</v>
      </c>
      <c r="BW751" t="inlineStr">
        <is>
          <t>Follow Up : Decision Pending</t>
        </is>
      </c>
      <c r="BX751"/>
      <c r="BY751"/>
      <c r="BZ751" s="4"/>
      <c r="CA751"/>
      <c r="CB751"/>
      <c r="CC751" s="4"/>
      <c r="CD751" t="inlineStr">
        <is>
          <t>5</t>
        </is>
      </c>
      <c r="CE751" t="inlineStr">
        <is>
          <t>0</t>
        </is>
      </c>
      <c r="CF751" t="inlineStr">
        <is>
          <t>Q2-W03</t>
        </is>
      </c>
      <c r="CG751"/>
      <c r="CH751"/>
      <c r="CI751"/>
      <c r="CJ751" t="inlineStr">
        <is>
          <t>Paid</t>
        </is>
      </c>
      <c r="CK751" t="inlineStr">
        <is>
          <t>Not Eligible</t>
        </is>
      </c>
      <c r="CL751"/>
      <c r="CM751"/>
    </row>
    <row r="752" ht="25.5" customHeight="1">
      <c r="A752" t="inlineStr">
        <is>
          <t>145795</t>
        </is>
      </c>
      <c r="B752" s="2"/>
      <c r="C752"/>
      <c r="D752" s="3">
        <v>46132.75565972222</v>
      </c>
      <c r="E752" t="inlineStr">
        <is>
          <t>Q2-W03</t>
        </is>
      </c>
      <c r="F752" t="inlineStr">
        <is>
          <t>Derek Lim</t>
        </is>
      </c>
      <c r="G752" t="inlineStr">
        <is>
          <t>Customer</t>
        </is>
      </c>
      <c r="H752" s="2" t="str">
        <f>=HYPERLINK("https://upbox.ajobthing.my/customer/145795", "https://upbox.ajobthing.my/customer/145795")</f>
        <v>https://upbox.ajobthing.my/customer/145795</v>
      </c>
      <c r="I752" t="inlineStr">
        <is>
          <t>MVP Auto Sdn Bhd</t>
        </is>
      </c>
      <c r="J752" t="inlineStr">
        <is>
          <t>Dolphin</t>
        </is>
      </c>
      <c r="K752" t="inlineStr">
        <is>
          <t>Derek Lim</t>
        </is>
      </c>
      <c r="L752" s="4"/>
      <c r="M752" s="4">
        <v>46132.75581018518</v>
      </c>
      <c r="N752"/>
      <c r="O752">
        <v>3888</v>
      </c>
      <c r="P752" s="4"/>
      <c r="Q752" s="4">
        <v>45695.5915625</v>
      </c>
      <c r="R752"/>
      <c r="S752">
        <v>3499.2</v>
      </c>
      <c r="T752" s="4">
        <v>45695.5915625</v>
      </c>
      <c r="U752" s="4"/>
      <c r="V752"/>
      <c r="W752">
        <v>3499.2</v>
      </c>
      <c r="X752"/>
      <c r="Y752" t="inlineStr">
        <is>
          <t>Pending Appointment</t>
        </is>
      </c>
      <c r="Z752" t="inlineStr">
        <is>
          <t>Hiring Now</t>
        </is>
      </c>
      <c r="AA752">
        <v>2</v>
      </c>
      <c r="AB752" t="inlineStr">
        <is>
          <t>No Appointment Made</t>
        </is>
      </c>
      <c r="AC752"/>
      <c r="AD752" t="inlineStr">
        <is>
          <t>finance - 1, admin - 1</t>
        </is>
      </c>
      <c r="AE752"/>
      <c r="AF752">
        <v>1000</v>
      </c>
      <c r="AG752" s="4"/>
      <c r="AH752" s="4"/>
      <c r="AI752">
        <v>1500</v>
      </c>
      <c r="AJ752">
        <v>1</v>
      </c>
      <c r="AK752" t="inlineStr">
        <is>
          <t>No, I don't need at all</t>
        </is>
      </c>
      <c r="AL752">
        <v>0</v>
      </c>
      <c r="AM752" t="inlineStr">
        <is>
          <t>No, I don't need at all</t>
        </is>
      </c>
      <c r="AN752"/>
      <c r="AO752" t="inlineStr">
        <is>
          <t>No, I don't need at all</t>
        </is>
      </c>
      <c r="AP752" t="inlineStr">
        <is>
          <t>Once a year (25%)</t>
        </is>
      </c>
      <c r="AQ752">
        <v>2</v>
      </c>
      <c r="AR752" t="inlineStr">
        <is>
          <t>Free Job Portal</t>
        </is>
      </c>
      <c r="AS752" t="inlineStr">
        <is>
          <t>- Headcount: 2
- Hiring Job Details: 1 finance, 1 admin
- Hiring Urgency: Hiring Now
- Number of outlets: 1
- Have recruiter team: No, I don't need at all
- Number of recruiter in company: 0
- Have ATS system: No, I don't need at all
- Have career website: No, I don't need at all
- Current hiring budget: RM1,000
- Whole year budget: RM1,500.00
- Whole year number of vacancies: 2
- Hiring frequency: Once a year (25%)
- External job portal: Free Job Portal</t>
        </is>
      </c>
      <c r="AT752">
        <v>120</v>
      </c>
      <c r="AU752" t="inlineStr">
        <is>
          <t>1.20</t>
        </is>
      </c>
      <c r="AV752" t="inlineStr">
        <is>
          <t>15</t>
        </is>
      </c>
      <c r="AW752" t="inlineStr">
        <is>
          <t>0</t>
        </is>
      </c>
      <c r="AX752" t="inlineStr">
        <is>
          <t>Not Qualified</t>
        </is>
      </c>
      <c r="AY752" s="4"/>
      <c r="AZ752"/>
      <c r="BA752"/>
      <c r="BB752"/>
      <c r="BC752" t="inlineStr">
        <is>
          <t>SHE SAY LATER UPDATE ME AGAIN</t>
        </is>
      </c>
      <c r="BD752" s="4">
        <v>46141.40528935185</v>
      </c>
      <c r="BE752" t="inlineStr">
        <is>
          <t>paid</t>
        </is>
      </c>
      <c r="BF752"/>
      <c r="BG752" t="inlineStr">
        <is>
          <t>Reschedule</t>
        </is>
      </c>
      <c r="BH752" t="inlineStr">
        <is>
          <t>Edward Hoo</t>
        </is>
      </c>
      <c r="BI752" t="inlineStr">
        <is>
          <t>Automobile / Automotive</t>
        </is>
      </c>
      <c r="BJ752" s="4">
        <v>46144.75074074074</v>
      </c>
      <c r="BK752" s="4">
        <v>44550.585960648146</v>
      </c>
      <c r="BL752" t="inlineStr">
        <is>
          <t>0.0</t>
        </is>
      </c>
      <c r="BM752" t="inlineStr">
        <is>
          <t>0.0</t>
        </is>
      </c>
      <c r="BN752" t="inlineStr">
        <is>
          <t>View Jobmanager Page</t>
        </is>
      </c>
      <c r="BO752" s="4">
        <v>46043.718298611115</v>
      </c>
      <c r="BP752">
        <v>167913</v>
      </c>
      <c r="BQ752">
        <v>76571</v>
      </c>
      <c r="BR752" t="inlineStr">
        <is>
          <t>Online</t>
        </is>
      </c>
      <c r="BS752"/>
      <c r="BT752">
        <v>76571</v>
      </c>
      <c r="BU752"/>
      <c r="BV752">
        <v>2734195</v>
      </c>
      <c r="BW752" t="inlineStr">
        <is>
          <t>Follow Up : Decision Pending</t>
        </is>
      </c>
      <c r="BX752"/>
      <c r="BY752"/>
      <c r="BZ752" s="4"/>
      <c r="CA752"/>
      <c r="CB752"/>
      <c r="CC752" s="4"/>
      <c r="CD752" t="inlineStr">
        <is>
          <t>20</t>
        </is>
      </c>
      <c r="CE752" t="inlineStr">
        <is>
          <t>0</t>
        </is>
      </c>
      <c r="CF752" t="inlineStr">
        <is>
          <t>Q2-W03</t>
        </is>
      </c>
      <c r="CG752"/>
      <c r="CH752"/>
      <c r="CI752"/>
      <c r="CJ752" t="inlineStr">
        <is>
          <t>Paid</t>
        </is>
      </c>
      <c r="CK752" t="inlineStr">
        <is>
          <t>Not Eligible</t>
        </is>
      </c>
      <c r="CL752"/>
      <c r="CM752"/>
    </row>
    <row r="753" ht="25.5" customHeight="1">
      <c r="A753" t="inlineStr">
        <is>
          <t>103638</t>
        </is>
      </c>
      <c r="B753" s="2"/>
      <c r="C753"/>
      <c r="D753" s="3">
        <v>46132.758877314816</v>
      </c>
      <c r="E753" t="inlineStr">
        <is>
          <t>Q2-W03</t>
        </is>
      </c>
      <c r="F753" t="inlineStr">
        <is>
          <t>Fariz</t>
        </is>
      </c>
      <c r="G753" t="inlineStr">
        <is>
          <t>Customer</t>
        </is>
      </c>
      <c r="H753" s="2" t="str">
        <f>=HYPERLINK("https://upbox.ajobthing.my/customer/103638", "https://upbox.ajobthing.my/customer/103638")</f>
        <v>https://upbox.ajobthing.my/customer/103638</v>
      </c>
      <c r="I753" t="inlineStr">
        <is>
          <t>Zafirah Travel &amp; Tours Sdn Bhd</t>
        </is>
      </c>
      <c r="J753" t="inlineStr">
        <is>
          <t>Dolphin</t>
        </is>
      </c>
      <c r="K753" t="inlineStr">
        <is>
          <t>Fariz</t>
        </is>
      </c>
      <c r="L753" s="4"/>
      <c r="M753" s="4">
        <v>46132.75922453704</v>
      </c>
      <c r="N753"/>
      <c r="O753">
        <v>3888</v>
      </c>
      <c r="P753" s="4"/>
      <c r="Q753" s="4">
        <v>43781.753958333335</v>
      </c>
      <c r="R753"/>
      <c r="S753">
        <v>530</v>
      </c>
      <c r="T753" s="4">
        <v>43781.753958333335</v>
      </c>
      <c r="U753" s="4"/>
      <c r="V753"/>
      <c r="W753">
        <v>530</v>
      </c>
      <c r="X753"/>
      <c r="Y753" t="inlineStr">
        <is>
          <t>Pending Appointment</t>
        </is>
      </c>
      <c r="Z753" t="inlineStr">
        <is>
          <t>Hiring Later</t>
        </is>
      </c>
      <c r="AA753">
        <v>1</v>
      </c>
      <c r="AB753" t="inlineStr">
        <is>
          <t>No Appointment Made</t>
        </is>
      </c>
      <c r="AC753"/>
      <c r="AD753" t="inlineStr">
        <is>
          <t>1 sales &amp; marketing</t>
        </is>
      </c>
      <c r="AE753"/>
      <c r="AF753">
        <v>3600</v>
      </c>
      <c r="AG753" s="4"/>
      <c r="AH753" s="4"/>
      <c r="AI753">
        <v>3600</v>
      </c>
      <c r="AJ753"/>
      <c r="AK753" t="inlineStr">
        <is>
          <t>No, I don't need at all</t>
        </is>
      </c>
      <c r="AL753">
        <v>1</v>
      </c>
      <c r="AM753" t="inlineStr">
        <is>
          <t>No, I don't need at all</t>
        </is>
      </c>
      <c r="AN753"/>
      <c r="AO753" t="inlineStr">
        <is>
          <t>Yes, I have</t>
        </is>
      </c>
      <c r="AP753" t="inlineStr">
        <is>
          <t>Once a year (25%)</t>
        </is>
      </c>
      <c r="AQ753">
        <v>2</v>
      </c>
      <c r="AR753" t="inlineStr">
        <is>
          <t>Free Job Portal</t>
        </is>
      </c>
      <c r="AS753" t="inlineStr">
        <is>
          <t>- Headcount: 1
- Hiring Job Details: 1 sales &amp; marketing
- Hiring Urgency: Hiring Later
- Number of outlets: None
- Have recruiter team: No, I don't need at all
- Number of recruiter in company: 1
- Have ATS system: No, I don't need at all
- Have career website: Yes
- Current hiring budget: RM3,600
- Whole year budget: RM3,600.00
- Whole year number of vacancies: 2
- Hiring frequency: Once a year (25%)
- External job portal: Free Job Portal</t>
        </is>
      </c>
      <c r="AT753">
        <v>105</v>
      </c>
      <c r="AU753" t="inlineStr">
        <is>
          <t>1.05</t>
        </is>
      </c>
      <c r="AV753" t="inlineStr">
        <is>
          <t>15</t>
        </is>
      </c>
      <c r="AW753" t="inlineStr">
        <is>
          <t>0</t>
        </is>
      </c>
      <c r="AX753" t="inlineStr">
        <is>
          <t>Not Qualified</t>
        </is>
      </c>
      <c r="AY753" s="4"/>
      <c r="AZ753"/>
      <c r="BA753"/>
      <c r="BB753"/>
      <c r="BC753" t="inlineStr">
        <is>
          <t>Follow up - na</t>
        </is>
      </c>
      <c r="BD753" s="4">
        <v>46135.66875</v>
      </c>
      <c r="BE753" t="inlineStr">
        <is>
          <t>paid</t>
        </is>
      </c>
      <c r="BF753"/>
      <c r="BG753" t="inlineStr">
        <is>
          <t>Reschedule</t>
        </is>
      </c>
      <c r="BH753" t="inlineStr">
        <is>
          <t>Edward Hoo</t>
        </is>
      </c>
      <c r="BI753" t="inlineStr">
        <is>
          <t>Travel / Tourism</t>
        </is>
      </c>
      <c r="BJ753" s="4">
        <v>46144.750127314815</v>
      </c>
      <c r="BK753" s="4">
        <v>43433.5146875</v>
      </c>
      <c r="BL753" t="inlineStr">
        <is>
          <t>0.0</t>
        </is>
      </c>
      <c r="BM753" t="inlineStr">
        <is>
          <t>0.0</t>
        </is>
      </c>
      <c r="BN753" t="inlineStr">
        <is>
          <t>View Candidate Search Page</t>
        </is>
      </c>
      <c r="BO753" s="4">
        <v>45796.41584490741</v>
      </c>
      <c r="BP753">
        <v>167915</v>
      </c>
      <c r="BQ753">
        <v>21392</v>
      </c>
      <c r="BR753" t="inlineStr">
        <is>
          <t>Online</t>
        </is>
      </c>
      <c r="BS753"/>
      <c r="BT753">
        <v>21392</v>
      </c>
      <c r="BU753"/>
      <c r="BV753">
        <v>2724595</v>
      </c>
      <c r="BW753" t="inlineStr">
        <is>
          <t>No Answer : Voicemail - WA sent to customer</t>
        </is>
      </c>
      <c r="BX753"/>
      <c r="BY753"/>
      <c r="BZ753" s="4"/>
      <c r="CA753"/>
      <c r="CB753"/>
      <c r="CC753" s="4"/>
      <c r="CD753" t="inlineStr">
        <is>
          <t>20</t>
        </is>
      </c>
      <c r="CE753" t="inlineStr">
        <is>
          <t>0</t>
        </is>
      </c>
      <c r="CF753" t="inlineStr">
        <is>
          <t>Q2-W03</t>
        </is>
      </c>
      <c r="CG753"/>
      <c r="CH753"/>
      <c r="CI753"/>
      <c r="CJ753" t="inlineStr">
        <is>
          <t>Paid</t>
        </is>
      </c>
      <c r="CK753" t="inlineStr">
        <is>
          <t>Not Eligible</t>
        </is>
      </c>
      <c r="CL753"/>
      <c r="CM753"/>
    </row>
    <row r="754" ht="25.5" customHeight="1">
      <c r="A754" t="inlineStr">
        <is>
          <t>181334</t>
        </is>
      </c>
      <c r="B754" s="2"/>
      <c r="C754"/>
      <c r="D754" s="3">
        <v>46133.38193287037</v>
      </c>
      <c r="E754" t="inlineStr">
        <is>
          <t>Q2-W03</t>
        </is>
      </c>
      <c r="F754" t="inlineStr">
        <is>
          <t>Alan KY</t>
        </is>
      </c>
      <c r="G754" t="inlineStr">
        <is>
          <t>Customer</t>
        </is>
      </c>
      <c r="H754" s="2" t="str">
        <f>=HYPERLINK("https://upbox.ajobthing.my/customer/181334", "https://upbox.ajobthing.my/customer/181334")</f>
        <v>https://upbox.ajobthing.my/customer/181334</v>
      </c>
      <c r="I754" t="inlineStr">
        <is>
          <t>Regair Sdn Bhd</t>
        </is>
      </c>
      <c r="J754" t="inlineStr">
        <is>
          <t>Dolphin</t>
        </is>
      </c>
      <c r="K754" t="inlineStr">
        <is>
          <t>Alan KY</t>
        </is>
      </c>
      <c r="L754" s="4"/>
      <c r="M754" s="4">
        <v>46133.378842592596</v>
      </c>
      <c r="N754"/>
      <c r="O754">
        <v>3888</v>
      </c>
      <c r="P754" s="4"/>
      <c r="Q754" s="4">
        <v>46135.620671296296</v>
      </c>
      <c r="R754"/>
      <c r="S754">
        <v>3672</v>
      </c>
      <c r="T754" s="4">
        <v>45768.64351851852</v>
      </c>
      <c r="U754" s="4"/>
      <c r="V754"/>
      <c r="W754">
        <v>2916</v>
      </c>
      <c r="X754"/>
      <c r="Y754" t="inlineStr">
        <is>
          <t>Pending Appointment</t>
        </is>
      </c>
      <c r="Z754" t="inlineStr">
        <is>
          <t>Hiring Now</t>
        </is>
      </c>
      <c r="AA754">
        <v>2</v>
      </c>
      <c r="AB754" t="inlineStr">
        <is>
          <t>No Appointment Made</t>
        </is>
      </c>
      <c r="AC754"/>
      <c r="AD754" t="inlineStr">
        <is>
          <t xml:space="preserve">1 admin, 1 account </t>
        </is>
      </c>
      <c r="AE754"/>
      <c r="AF754"/>
      <c r="AG754" s="4"/>
      <c r="AH754" s="4"/>
      <c r="AI754"/>
      <c r="AJ754"/>
      <c r="AK754" t="inlineStr">
        <is>
          <t>No, I don't need at all</t>
        </is>
      </c>
      <c r="AL754">
        <v>0</v>
      </c>
      <c r="AM754" t="inlineStr">
        <is>
          <t>No, I don't need at all</t>
        </is>
      </c>
      <c r="AN754"/>
      <c r="AO754" t="inlineStr">
        <is>
          <t>No, I don't need at all</t>
        </is>
      </c>
      <c r="AP754" t="inlineStr">
        <is>
          <t>Once per quarter (75%)</t>
        </is>
      </c>
      <c r="AQ754"/>
      <c r="AR754" t="inlineStr">
        <is>
          <t>Jobstreet</t>
        </is>
      </c>
      <c r="AS754" t="inlineStr">
        <is>
          <t>- Headcount: 2
- Hiring Job Details: 1 admin, 1 account
- Number of outlets: Not specified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
- Hiring Urgency: Hiring Now</t>
        </is>
      </c>
      <c r="AT754">
        <v>95</v>
      </c>
      <c r="AU754" t="inlineStr">
        <is>
          <t>0.95</t>
        </is>
      </c>
      <c r="AV754" t="inlineStr">
        <is>
          <t>5</t>
        </is>
      </c>
      <c r="AW754" t="inlineStr">
        <is>
          <t>0</t>
        </is>
      </c>
      <c r="AX754" t="inlineStr">
        <is>
          <t>Not Qualified</t>
        </is>
      </c>
      <c r="AY754" s="4"/>
      <c r="AZ754"/>
      <c r="BA754"/>
      <c r="BB754"/>
      <c r="BC754" t="inlineStr">
        <is>
          <t>Will on hold first</t>
        </is>
      </c>
      <c r="BD754" s="4">
        <v>46140.630057870374</v>
      </c>
      <c r="BE754" t="inlineStr">
        <is>
          <t>pending</t>
        </is>
      </c>
      <c r="BF754"/>
      <c r="BG754" t="inlineStr">
        <is>
          <t>Reschedule</t>
        </is>
      </c>
      <c r="BH754" t="inlineStr">
        <is>
          <t>Reagen</t>
        </is>
      </c>
      <c r="BI754" t="inlineStr">
        <is>
          <t>General / Wholesale Trading</t>
        </is>
      </c>
      <c r="BJ754" s="4">
        <v>46144.751863425925</v>
      </c>
      <c r="BK754" s="4">
        <v>45511.47032407407</v>
      </c>
      <c r="BL754" t="inlineStr">
        <is>
          <t>0.0</t>
        </is>
      </c>
      <c r="BM754" t="inlineStr">
        <is>
          <t>300.0</t>
        </is>
      </c>
      <c r="BN754" t="inlineStr">
        <is>
          <t>View Jobmanager Page</t>
        </is>
      </c>
      <c r="BO754" s="4">
        <v>46136.483298611114</v>
      </c>
      <c r="BP754">
        <v>167927</v>
      </c>
      <c r="BQ754">
        <v>123602</v>
      </c>
      <c r="BR754" t="inlineStr">
        <is>
          <t>Proforma</t>
        </is>
      </c>
      <c r="BS754" t="inlineStr">
        <is>
          <t>AI Yearly Standard Plan (Jan 26)</t>
        </is>
      </c>
      <c r="BT754">
        <v>78638</v>
      </c>
      <c r="BU754"/>
      <c r="BV754">
        <v>2732968</v>
      </c>
      <c r="BW754" t="inlineStr">
        <is>
          <t>Follow Up : Budget Concern</t>
        </is>
      </c>
      <c r="BX754"/>
      <c r="BY754"/>
      <c r="BZ754" s="4"/>
      <c r="CA754"/>
      <c r="CB754"/>
      <c r="CC754" s="4"/>
      <c r="CD754" t="inlineStr">
        <is>
          <t>5</t>
        </is>
      </c>
      <c r="CE754" t="inlineStr">
        <is>
          <t>0</t>
        </is>
      </c>
      <c r="CF754" t="inlineStr">
        <is>
          <t>Q2-W03</t>
        </is>
      </c>
      <c r="CG754" t="inlineStr">
        <is>
          <t>Q2-W03</t>
        </is>
      </c>
      <c r="CH754"/>
      <c r="CI754"/>
      <c r="CJ754" t="inlineStr">
        <is>
          <t>Paid</t>
        </is>
      </c>
      <c r="CK754" t="inlineStr">
        <is>
          <t>Not Eligible</t>
        </is>
      </c>
      <c r="CL754"/>
      <c r="CM754"/>
    </row>
    <row r="755" ht="25.5" customHeight="1">
      <c r="A755" t="inlineStr">
        <is>
          <t>4295014</t>
        </is>
      </c>
      <c r="B755" s="2"/>
      <c r="C755"/>
      <c r="D755" s="3">
        <v>46133.38747685185</v>
      </c>
      <c r="E755" t="inlineStr">
        <is>
          <t>Q2-W03</t>
        </is>
      </c>
      <c r="F755" t="inlineStr">
        <is>
          <t>Chia Yee</t>
        </is>
      </c>
      <c r="G755" t="inlineStr">
        <is>
          <t>Lead</t>
        </is>
      </c>
      <c r="H755" s="2" t="str">
        <f>=HYPERLINK("https://upbox.ajobthing.my/leads/4295014", "https://upbox.ajobthing.my/leads/4295014")</f>
        <v>https://upbox.ajobthing.my/leads/4295014</v>
      </c>
      <c r="I755" t="inlineStr">
        <is>
          <t>Convergint Malaysia</t>
        </is>
      </c>
      <c r="J755" t="inlineStr">
        <is>
          <t>Dolphin</t>
        </is>
      </c>
      <c r="K755" t="inlineStr">
        <is>
          <t>Chia Yee</t>
        </is>
      </c>
      <c r="L755" s="4"/>
      <c r="M755" s="4">
        <v>46133.38800925926</v>
      </c>
      <c r="N755"/>
      <c r="O755">
        <v>6048</v>
      </c>
      <c r="P755" s="4"/>
      <c r="Q755" s="4"/>
      <c r="R755"/>
      <c r="S755"/>
      <c r="T755" s="4"/>
      <c r="U755" s="4"/>
      <c r="V755"/>
      <c r="W755"/>
      <c r="X755"/>
      <c r="Y755" t="inlineStr">
        <is>
          <t>Pending Appointment</t>
        </is>
      </c>
      <c r="Z755" t="inlineStr">
        <is>
          <t>Hiring Now</t>
        </is>
      </c>
      <c r="AA755">
        <v>3</v>
      </c>
      <c r="AB755" t="inlineStr">
        <is>
          <t>No Appointment Made</t>
        </is>
      </c>
      <c r="AC755"/>
      <c r="AD755" t="inlineStr">
        <is>
          <t>Project Engineer, Safety Officer, BIM and Project Coordinator 0</t>
        </is>
      </c>
      <c r="AE755"/>
      <c r="AF755">
        <v>0</v>
      </c>
      <c r="AG755" s="4"/>
      <c r="AH755" s="4"/>
      <c r="AI755">
        <v>0</v>
      </c>
      <c r="AJ755">
        <v>1</v>
      </c>
      <c r="AK755" t="inlineStr">
        <is>
          <t>No, I don't need at all</t>
        </is>
      </c>
      <c r="AL755">
        <v>1</v>
      </c>
      <c r="AM755" t="inlineStr">
        <is>
          <t>No, I don't need at all</t>
        </is>
      </c>
      <c r="AN755"/>
      <c r="AO755" t="inlineStr">
        <is>
          <t>No, I don't need at all</t>
        </is>
      </c>
      <c r="AP755" t="inlineStr">
        <is>
          <t>Once a year (25%)</t>
        </is>
      </c>
      <c r="AQ755">
        <v>8</v>
      </c>
      <c r="AR755" t="inlineStr">
        <is>
          <t>Did not use any job portal</t>
        </is>
      </c>
      <c r="AS755" t="inlineStr">
        <is>
          <t>- Headcount: 3
- Hiring Job Details: Project Engineer, Safety Officer, BIM and Project Coordinator 0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8
- Hiring frequency: Once a year (25%)
- External job portal: Did not use any job portal</t>
        </is>
      </c>
      <c r="AT755">
        <v>55</v>
      </c>
      <c r="AU755" t="inlineStr">
        <is>
          <t>0.55</t>
        </is>
      </c>
      <c r="AV755" t="inlineStr">
        <is>
          <t>15</t>
        </is>
      </c>
      <c r="AW755" t="inlineStr">
        <is>
          <t>0</t>
        </is>
      </c>
      <c r="AX755" t="inlineStr">
        <is>
          <t>Not Qualified</t>
        </is>
      </c>
      <c r="AY755" s="4"/>
      <c r="AZ755"/>
      <c r="BA755"/>
      <c r="BB755"/>
      <c r="BC755"/>
      <c r="BD755" s="4"/>
      <c r="BE755"/>
      <c r="BF755"/>
      <c r="BG755" t="inlineStr">
        <is>
          <t>Reschedule</t>
        </is>
      </c>
      <c r="BH755" t="inlineStr">
        <is>
          <t>Reagen</t>
        </is>
      </c>
      <c r="BI755"/>
      <c r="BJ755" s="4">
        <v>46144.75585648148</v>
      </c>
      <c r="BK755" s="4">
        <v>46129.68494212963</v>
      </c>
      <c r="BL755" t="inlineStr">
        <is>
          <t>0.0</t>
        </is>
      </c>
      <c r="BM755" t="inlineStr">
        <is>
          <t>1200.0</t>
        </is>
      </c>
      <c r="BN755"/>
      <c r="BO755" s="4"/>
      <c r="BP755">
        <v>167929</v>
      </c>
      <c r="BQ755"/>
      <c r="BR755"/>
      <c r="BS755"/>
      <c r="BT755"/>
      <c r="BU755"/>
      <c r="BV755"/>
      <c r="BW755"/>
      <c r="BX755"/>
      <c r="BY755"/>
      <c r="BZ755" s="4"/>
      <c r="CA755"/>
      <c r="CB755"/>
      <c r="CC755" s="4"/>
      <c r="CD755" t="inlineStr">
        <is>
          <t>20</t>
        </is>
      </c>
      <c r="CE755" t="inlineStr">
        <is>
          <t>0</t>
        </is>
      </c>
      <c r="CF755" t="inlineStr">
        <is>
          <t>Q2-W03</t>
        </is>
      </c>
      <c r="CG755"/>
      <c r="CH755"/>
      <c r="CI755"/>
      <c r="CJ755" t="inlineStr">
        <is>
          <t>No Paid</t>
        </is>
      </c>
      <c r="CK755" t="inlineStr">
        <is>
          <t>Not Eligible</t>
        </is>
      </c>
      <c r="CL755"/>
      <c r="CM755"/>
    </row>
    <row r="756" ht="25.5" customHeight="1">
      <c r="A756" t="inlineStr">
        <is>
          <t>131361</t>
        </is>
      </c>
      <c r="B756" s="2"/>
      <c r="C756"/>
      <c r="D756" s="3">
        <v>46133.41494212963</v>
      </c>
      <c r="E756" t="inlineStr">
        <is>
          <t>Q2-W03</t>
        </is>
      </c>
      <c r="F756" t="inlineStr">
        <is>
          <t>Ratha</t>
        </is>
      </c>
      <c r="G756" t="inlineStr">
        <is>
          <t>Customer</t>
        </is>
      </c>
      <c r="H756" s="2" t="str">
        <f>=HYPERLINK("https://upbox.ajobthing.my/customer/131361", "https://upbox.ajobthing.my/customer/131361")</f>
        <v>https://upbox.ajobthing.my/customer/131361</v>
      </c>
      <c r="I756" t="inlineStr">
        <is>
          <t>Nadiah Ikram &amp; Co</t>
        </is>
      </c>
      <c r="J756" t="inlineStr">
        <is>
          <t>Dolphin</t>
        </is>
      </c>
      <c r="K756" t="inlineStr">
        <is>
          <t>Ratha</t>
        </is>
      </c>
      <c r="L756" s="4"/>
      <c r="M756" s="4">
        <v>46133.415497685186</v>
      </c>
      <c r="N756"/>
      <c r="O756">
        <v>3672</v>
      </c>
      <c r="P756" s="4"/>
      <c r="Q756" s="4">
        <v>46133.294224537036</v>
      </c>
      <c r="R756"/>
      <c r="S756">
        <v>0</v>
      </c>
      <c r="T756" s="4">
        <v>45761.71136574074</v>
      </c>
      <c r="U756" s="4"/>
      <c r="V756"/>
      <c r="W756">
        <v>2916</v>
      </c>
      <c r="X756"/>
      <c r="Y756" t="inlineStr">
        <is>
          <t>Pending Appointment</t>
        </is>
      </c>
      <c r="Z756" t="inlineStr">
        <is>
          <t>Hiring Now</t>
        </is>
      </c>
      <c r="AA756">
        <v>4</v>
      </c>
      <c r="AB756" t="inlineStr">
        <is>
          <t>No Appointment Made</t>
        </is>
      </c>
      <c r="AC756"/>
      <c r="AD756" t="inlineStr">
        <is>
          <t>Account 2
Clerk 2
Location : Desa Sri Hartamas</t>
        </is>
      </c>
      <c r="AE756"/>
      <c r="AF756"/>
      <c r="AG756" s="4"/>
      <c r="AH756" s="4"/>
      <c r="AI756">
        <v>0</v>
      </c>
      <c r="AJ756">
        <v>1</v>
      </c>
      <c r="AK756" t="inlineStr">
        <is>
          <t>Yes, I have</t>
        </is>
      </c>
      <c r="AL756">
        <v>2</v>
      </c>
      <c r="AM756" t="inlineStr">
        <is>
          <t>No, I don't need at all</t>
        </is>
      </c>
      <c r="AN756"/>
      <c r="AO756" t="inlineStr">
        <is>
          <t>No, I don't need at all</t>
        </is>
      </c>
      <c r="AP756" t="inlineStr">
        <is>
          <t>Once per quarter (75%)</t>
        </is>
      </c>
      <c r="AQ756">
        <v>0</v>
      </c>
      <c r="AR756" t="inlineStr">
        <is>
          <t>Did not use any job portal</t>
        </is>
      </c>
      <c r="AS756" t="inlineStr">
        <is>
          <t>- Headcount: 4
- Hiring Job Details: 2 Account, 2 Clerk; Location: Desa Sri Hartamas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is>
      </c>
      <c r="AT756">
        <v>95</v>
      </c>
      <c r="AU756" t="inlineStr">
        <is>
          <t>0.95</t>
        </is>
      </c>
      <c r="AV756" t="inlineStr">
        <is>
          <t>5</t>
        </is>
      </c>
      <c r="AW756" t="inlineStr">
        <is>
          <t>0</t>
        </is>
      </c>
      <c r="AX756" t="inlineStr">
        <is>
          <t>Not Qualified</t>
        </is>
      </c>
      <c r="AY756" s="4"/>
      <c r="AZ756"/>
      <c r="BA756"/>
      <c r="BB756"/>
      <c r="BC756" t="inlineStr">
        <is>
          <t>no answer</t>
        </is>
      </c>
      <c r="BD756" s="4">
        <v>46142.5934837963</v>
      </c>
      <c r="BE756" t="inlineStr">
        <is>
          <t>paid</t>
        </is>
      </c>
      <c r="BF756"/>
      <c r="BG756" t="inlineStr">
        <is>
          <t>Reschedule</t>
        </is>
      </c>
      <c r="BH756" t="inlineStr">
        <is>
          <t>Fauziah Maharan</t>
        </is>
      </c>
      <c r="BI756" t="inlineStr">
        <is>
          <t>Law / Legal</t>
        </is>
      </c>
      <c r="BJ756" s="4">
        <v>46144.75047453704</v>
      </c>
      <c r="BK756" s="4">
        <v>44130.93471064815</v>
      </c>
      <c r="BL756" t="inlineStr">
        <is>
          <t>0.0</t>
        </is>
      </c>
      <c r="BM756" t="inlineStr">
        <is>
          <t>0.0</t>
        </is>
      </c>
      <c r="BN756" t="inlineStr">
        <is>
          <t>View Company Page</t>
        </is>
      </c>
      <c r="BO756" s="4">
        <v>46133.35594907407</v>
      </c>
      <c r="BP756">
        <v>167938</v>
      </c>
      <c r="BQ756">
        <v>123371</v>
      </c>
      <c r="BR756" t="inlineStr">
        <is>
          <t>Proforma</t>
        </is>
      </c>
      <c r="BS756" t="inlineStr">
        <is>
          <t>Free Part-Time Job</t>
        </is>
      </c>
      <c r="BT756">
        <v>78457</v>
      </c>
      <c r="BU756"/>
      <c r="BV756">
        <v>2737655</v>
      </c>
      <c r="BW756" t="inlineStr">
        <is>
          <t>No Answer : Voicemail - WA sent to customer</t>
        </is>
      </c>
      <c r="BX756"/>
      <c r="BY756"/>
      <c r="BZ756" s="4"/>
      <c r="CA756"/>
      <c r="CB756"/>
      <c r="CC756" s="4"/>
      <c r="CD756" t="inlineStr">
        <is>
          <t>5</t>
        </is>
      </c>
      <c r="CE756" t="inlineStr">
        <is>
          <t>0</t>
        </is>
      </c>
      <c r="CF756" t="inlineStr">
        <is>
          <t>Q2-W03</t>
        </is>
      </c>
      <c r="CG756" t="inlineStr">
        <is>
          <t>Q2-W03</t>
        </is>
      </c>
      <c r="CH756"/>
      <c r="CI756"/>
      <c r="CJ756" t="inlineStr">
        <is>
          <t>Paid</t>
        </is>
      </c>
      <c r="CK756" t="inlineStr">
        <is>
          <t>Not Eligible</t>
        </is>
      </c>
      <c r="CL756"/>
      <c r="CM756"/>
    </row>
    <row r="757" ht="25.5" customHeight="1">
      <c r="A757" t="inlineStr">
        <is>
          <t>187757</t>
        </is>
      </c>
      <c r="B757" s="2"/>
      <c r="C757"/>
      <c r="D757" s="3">
        <v>46133.423171296294</v>
      </c>
      <c r="E757" t="inlineStr">
        <is>
          <t>Q2-W03</t>
        </is>
      </c>
      <c r="F757" t="inlineStr">
        <is>
          <t>Clover</t>
        </is>
      </c>
      <c r="G757" t="inlineStr">
        <is>
          <t>Customer</t>
        </is>
      </c>
      <c r="H757" s="2" t="str">
        <f>=HYPERLINK("https://upbox.ajobthing.my/customer/187757", "https://upbox.ajobthing.my/customer/187757")</f>
        <v>https://upbox.ajobthing.my/customer/187757</v>
      </c>
      <c r="I757" t="inlineStr">
        <is>
          <t>Borneo Chemical International (M) Sdn Bhd</t>
        </is>
      </c>
      <c r="J757" t="inlineStr">
        <is>
          <t>Dolphin</t>
        </is>
      </c>
      <c r="K757" t="inlineStr">
        <is>
          <t>Clover</t>
        </is>
      </c>
      <c r="L757" s="4"/>
      <c r="M757" s="4">
        <v>46133.423680555556</v>
      </c>
      <c r="N757"/>
      <c r="O757">
        <v>3888</v>
      </c>
      <c r="P757" s="4"/>
      <c r="Q757" s="4">
        <v>45719.44721064815</v>
      </c>
      <c r="R757"/>
      <c r="S757">
        <v>2916</v>
      </c>
      <c r="T757" s="4">
        <v>45719.44721064815</v>
      </c>
      <c r="U757" s="4"/>
      <c r="V757"/>
      <c r="W757">
        <v>2916</v>
      </c>
      <c r="X757"/>
      <c r="Y757" t="inlineStr">
        <is>
          <t>Pending Appointment</t>
        </is>
      </c>
      <c r="Z757" t="inlineStr">
        <is>
          <t>Hiring Now</t>
        </is>
      </c>
      <c r="AA757">
        <v>1</v>
      </c>
      <c r="AB757" t="inlineStr">
        <is>
          <t>No Appointment Made</t>
        </is>
      </c>
      <c r="AC757"/>
      <c r="AD757" t="inlineStr">
        <is>
          <t>Hire sales manager x1 chi, manage sales team, min 2 years exp, chemical trading,  HQ singapore, msia at Sarawak, suggest stand</t>
        </is>
      </c>
      <c r="AE757"/>
      <c r="AF757">
        <v>3000</v>
      </c>
      <c r="AG757" s="4"/>
      <c r="AH757" s="4"/>
      <c r="AI757">
        <v>3000</v>
      </c>
      <c r="AJ757">
        <v>1</v>
      </c>
      <c r="AK757" t="inlineStr">
        <is>
          <t>No, but I want in future</t>
        </is>
      </c>
      <c r="AL757">
        <v>1</v>
      </c>
      <c r="AM757" t="inlineStr">
        <is>
          <t>No, but I want in future</t>
        </is>
      </c>
      <c r="AN757"/>
      <c r="AO757" t="inlineStr">
        <is>
          <t>No, but I want in future</t>
        </is>
      </c>
      <c r="AP757" t="inlineStr">
        <is>
          <t>Once per quarter (75%)</t>
        </is>
      </c>
      <c r="AQ757">
        <v>3000</v>
      </c>
      <c r="AR757" t="inlineStr">
        <is>
          <t>Did not use any job portal</t>
        </is>
      </c>
      <c r="AS757" t="inlineStr">
        <is>
          <t>- Headcount: 1
- Hiring Job Details: 1 sales manager (chi), manage sales team, min 2 years exp, chemical trading, HQ singapore, msia at Sarawak,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3000
- Hiring frequency: Once per quarter (75%)
- External job portal: Did not use any</t>
        </is>
      </c>
      <c r="AT757">
        <v>100</v>
      </c>
      <c r="AU757" t="inlineStr">
        <is>
          <t>1.00</t>
        </is>
      </c>
      <c r="AV757" t="inlineStr">
        <is>
          <t>15</t>
        </is>
      </c>
      <c r="AW757" t="inlineStr">
        <is>
          <t>0</t>
        </is>
      </c>
      <c r="AX757" t="inlineStr">
        <is>
          <t>Not Qualified</t>
        </is>
      </c>
      <c r="AY757" s="4"/>
      <c r="AZ757"/>
      <c r="BA757"/>
      <c r="BB757"/>
      <c r="BC757" t="inlineStr">
        <is>
          <t>WA call npu, fu</t>
        </is>
      </c>
      <c r="BD757" s="4">
        <v>46134.72209490741</v>
      </c>
      <c r="BE757" t="inlineStr">
        <is>
          <t>paid</t>
        </is>
      </c>
      <c r="BF757"/>
      <c r="BG757" t="inlineStr">
        <is>
          <t>Reschedule</t>
        </is>
      </c>
      <c r="BH757" t="inlineStr">
        <is>
          <t>Reagen</t>
        </is>
      </c>
      <c r="BI757"/>
      <c r="BJ757" s="4">
        <v>46144.75219907407</v>
      </c>
      <c r="BK757" s="4">
        <v>45705.557442129626</v>
      </c>
      <c r="BL757" t="inlineStr">
        <is>
          <t>0.0</t>
        </is>
      </c>
      <c r="BM757" t="inlineStr">
        <is>
          <t>0.0</t>
        </is>
      </c>
      <c r="BN757" t="inlineStr">
        <is>
          <t>View Company Page</t>
        </is>
      </c>
      <c r="BO757" s="4">
        <v>46133.46582175926</v>
      </c>
      <c r="BP757">
        <v>167945</v>
      </c>
      <c r="BQ757">
        <v>77245</v>
      </c>
      <c r="BR757" t="inlineStr">
        <is>
          <t>Online</t>
        </is>
      </c>
      <c r="BS757"/>
      <c r="BT757">
        <v>77245</v>
      </c>
      <c r="BU757"/>
      <c r="BV757">
        <v>2721759</v>
      </c>
      <c r="BW757" t="inlineStr">
        <is>
          <t>No Answer : Voicemail - Email sent to customer</t>
        </is>
      </c>
      <c r="BX757"/>
      <c r="BY757"/>
      <c r="BZ757" s="4"/>
      <c r="CA757"/>
      <c r="CB757"/>
      <c r="CC757" s="4"/>
      <c r="CD757" t="inlineStr">
        <is>
          <t>20</t>
        </is>
      </c>
      <c r="CE757" t="inlineStr">
        <is>
          <t>0</t>
        </is>
      </c>
      <c r="CF757" t="inlineStr">
        <is>
          <t>Q2-W03</t>
        </is>
      </c>
      <c r="CG757"/>
      <c r="CH757"/>
      <c r="CI757"/>
      <c r="CJ757" t="inlineStr">
        <is>
          <t>Paid</t>
        </is>
      </c>
      <c r="CK757" t="inlineStr">
        <is>
          <t>Not Eligible</t>
        </is>
      </c>
      <c r="CL757"/>
      <c r="CM757"/>
    </row>
    <row r="758" ht="25.5" customHeight="1">
      <c r="A758" t="inlineStr">
        <is>
          <t>186569</t>
        </is>
      </c>
      <c r="B758" s="2"/>
      <c r="C758"/>
      <c r="D758" s="3">
        <v>46133.43309027778</v>
      </c>
      <c r="E758" t="inlineStr">
        <is>
          <t>Q2-W03</t>
        </is>
      </c>
      <c r="F758" t="inlineStr">
        <is>
          <t>Xin Hui</t>
        </is>
      </c>
      <c r="G758" t="inlineStr">
        <is>
          <t>Customer</t>
        </is>
      </c>
      <c r="H758" s="2" t="str">
        <f>=HYPERLINK("https://upbox.ajobthing.my/customer/186569", "https://upbox.ajobthing.my/customer/186569")</f>
        <v>https://upbox.ajobthing.my/customer/186569</v>
      </c>
      <c r="I758" t="inlineStr">
        <is>
          <t>Ktp &amp; Company Plt</t>
        </is>
      </c>
      <c r="J758" t="inlineStr">
        <is>
          <t>Dolphin</t>
        </is>
      </c>
      <c r="K758" t="inlineStr">
        <is>
          <t>Xin Hui</t>
        </is>
      </c>
      <c r="L758" s="4"/>
      <c r="M758" s="4">
        <v>46133.43376157407</v>
      </c>
      <c r="N758"/>
      <c r="O758">
        <v>3888</v>
      </c>
      <c r="P758" s="4"/>
      <c r="Q758" s="4"/>
      <c r="R758"/>
      <c r="S758"/>
      <c r="T758" s="4"/>
      <c r="U758" s="4"/>
      <c r="V758"/>
      <c r="W758"/>
      <c r="X758"/>
      <c r="Y758" t="inlineStr">
        <is>
          <t>Pending Appointment</t>
        </is>
      </c>
      <c r="Z758" t="inlineStr">
        <is>
          <t>Hiring Now</t>
        </is>
      </c>
      <c r="AA758">
        <v>1</v>
      </c>
      <c r="AB758" t="inlineStr">
        <is>
          <t>No Appointment Made</t>
        </is>
      </c>
      <c r="AC758"/>
      <c r="AD758" t="inlineStr">
        <is>
          <t xml:space="preserve">accountant </t>
        </is>
      </c>
      <c r="AE758"/>
      <c r="AF758"/>
      <c r="AG758" s="4"/>
      <c r="AH758" s="4"/>
      <c r="AI758"/>
      <c r="AJ758"/>
      <c r="AK758" t="inlineStr">
        <is>
          <t>No, I don't need at all</t>
        </is>
      </c>
      <c r="AL758"/>
      <c r="AM758" t="inlineStr">
        <is>
          <t>No, I don't need at all</t>
        </is>
      </c>
      <c r="AN758"/>
      <c r="AO758" t="inlineStr">
        <is>
          <t>No, I don't need at all</t>
        </is>
      </c>
      <c r="AP758" t="inlineStr">
        <is>
          <t>Once a year (25%)</t>
        </is>
      </c>
      <c r="AQ758"/>
      <c r="AR758"/>
      <c r="AS758" t="inlineStr">
        <is>
          <t>- Headcount: 1
- Hiring Job Details: accountant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758">
        <v>75</v>
      </c>
      <c r="AU758" t="inlineStr">
        <is>
          <t>0.75</t>
        </is>
      </c>
      <c r="AV758" t="inlineStr">
        <is>
          <t>5</t>
        </is>
      </c>
      <c r="AW758" t="inlineStr">
        <is>
          <t>0</t>
        </is>
      </c>
      <c r="AX758" t="inlineStr">
        <is>
          <t>Not Qualified</t>
        </is>
      </c>
      <c r="AY758" s="4"/>
      <c r="AZ758"/>
      <c r="BA758"/>
      <c r="BB758"/>
      <c r="BC758" t="inlineStr">
        <is>
          <t>na</t>
        </is>
      </c>
      <c r="BD758" s="4">
        <v>46141.620983796296</v>
      </c>
      <c r="BE758"/>
      <c r="BF758"/>
      <c r="BG758" t="inlineStr">
        <is>
          <t>Reschedule</t>
        </is>
      </c>
      <c r="BH758" t="inlineStr">
        <is>
          <t>Yee Hang</t>
        </is>
      </c>
      <c r="BI758" t="inlineStr">
        <is>
          <t>Accounting / Tax Services</t>
        </is>
      </c>
      <c r="BJ758" s="4">
        <v>46144.752118055556</v>
      </c>
      <c r="BK758" s="4">
        <v>45665.516064814816</v>
      </c>
      <c r="BL758" t="inlineStr">
        <is>
          <t>0.0</t>
        </is>
      </c>
      <c r="BM758" t="inlineStr">
        <is>
          <t>1800.0</t>
        </is>
      </c>
      <c r="BN758" t="inlineStr">
        <is>
          <t>User Visit(Logged In)</t>
        </is>
      </c>
      <c r="BO758" s="4">
        <v>45665.51609953704</v>
      </c>
      <c r="BP758">
        <v>167954</v>
      </c>
      <c r="BQ758"/>
      <c r="BR758"/>
      <c r="BS758"/>
      <c r="BT758"/>
      <c r="BU758"/>
      <c r="BV758">
        <v>2735440</v>
      </c>
      <c r="BW758" t="inlineStr">
        <is>
          <t>No Answer : Voicemail - WA sent to customer</t>
        </is>
      </c>
      <c r="BX758"/>
      <c r="BY758"/>
      <c r="BZ758" s="4"/>
      <c r="CA758"/>
      <c r="CB758"/>
      <c r="CC758" s="4"/>
      <c r="CD758" t="inlineStr">
        <is>
          <t>5</t>
        </is>
      </c>
      <c r="CE758" t="inlineStr">
        <is>
          <t>0</t>
        </is>
      </c>
      <c r="CF758" t="inlineStr">
        <is>
          <t>Q2-W03</t>
        </is>
      </c>
      <c r="CG758"/>
      <c r="CH758"/>
      <c r="CI758"/>
      <c r="CJ758" t="inlineStr">
        <is>
          <t>No Paid</t>
        </is>
      </c>
      <c r="CK758" t="inlineStr">
        <is>
          <t>Not Eligible</t>
        </is>
      </c>
      <c r="CL758"/>
      <c r="CM758"/>
    </row>
    <row r="759" ht="25.5" customHeight="1">
      <c r="A759" t="inlineStr">
        <is>
          <t>203449</t>
        </is>
      </c>
      <c r="B759" s="2"/>
      <c r="C759"/>
      <c r="D759" s="3">
        <v>46133.437731481485</v>
      </c>
      <c r="E759" t="inlineStr">
        <is>
          <t>Q2-W03</t>
        </is>
      </c>
      <c r="F759" t="inlineStr">
        <is>
          <t>Jess</t>
        </is>
      </c>
      <c r="G759" t="inlineStr">
        <is>
          <t>Customer</t>
        </is>
      </c>
      <c r="H759" s="2" t="str">
        <f>=HYPERLINK("https://upbox.ajobthing.my/customer/203449", "https://upbox.ajobthing.my/customer/203449")</f>
        <v>https://upbox.ajobthing.my/customer/203449</v>
      </c>
      <c r="I759" t="inlineStr">
        <is>
          <t>Penn Mart Toys Sdn.Bhd</t>
        </is>
      </c>
      <c r="J759" t="inlineStr">
        <is>
          <t>Dolphin</t>
        </is>
      </c>
      <c r="K759" t="inlineStr">
        <is>
          <t>Jess Lim</t>
        </is>
      </c>
      <c r="L759" s="4"/>
      <c r="M759" s="4">
        <v>46133.43792824074</v>
      </c>
      <c r="N759"/>
      <c r="O759">
        <v>6048</v>
      </c>
      <c r="P759" s="4"/>
      <c r="Q759" s="4"/>
      <c r="R759"/>
      <c r="S759"/>
      <c r="T759" s="4"/>
      <c r="U759" s="4"/>
      <c r="V759"/>
      <c r="W759"/>
      <c r="X759"/>
      <c r="Y759" t="inlineStr">
        <is>
          <t>Pending Appointment</t>
        </is>
      </c>
      <c r="Z759" t="inlineStr">
        <is>
          <t>Hiring Now</t>
        </is>
      </c>
      <c r="AA759">
        <v>3</v>
      </c>
      <c r="AB759" t="inlineStr">
        <is>
          <t>No Appointment Made</t>
        </is>
      </c>
      <c r="AC759"/>
      <c r="AD759" t="inlineStr">
        <is>
          <t>r shop helper, warehouse keeper,store keeper</t>
        </is>
      </c>
      <c r="AE759"/>
      <c r="AF759">
        <v>3600</v>
      </c>
      <c r="AG759" s="4"/>
      <c r="AH759" s="4"/>
      <c r="AI759"/>
      <c r="AJ759">
        <v>10</v>
      </c>
      <c r="AK759" t="inlineStr">
        <is>
          <t>No, I don't need at all</t>
        </is>
      </c>
      <c r="AL759">
        <v>1</v>
      </c>
      <c r="AM759" t="inlineStr">
        <is>
          <t>No, I don't need at all</t>
        </is>
      </c>
      <c r="AN759"/>
      <c r="AO759" t="inlineStr">
        <is>
          <t>No, I don't need at all</t>
        </is>
      </c>
      <c r="AP759" t="inlineStr">
        <is>
          <t>Once a year (25%)</t>
        </is>
      </c>
      <c r="AQ759"/>
      <c r="AR759" t="inlineStr">
        <is>
          <t>Free Job Portal</t>
        </is>
      </c>
      <c r="AS759" t="inlineStr">
        <is>
          <t>- Headcount: 3
- Hiring Job Details: r shop helper, warehouse keeper, store keeper
- Hiring Urgency: Hiring Now
- Number of outlets: 10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Free Job Portal</t>
        </is>
      </c>
      <c r="AT759">
        <v>75</v>
      </c>
      <c r="AU759" t="inlineStr">
        <is>
          <t>0.75</t>
        </is>
      </c>
      <c r="AV759" t="inlineStr">
        <is>
          <t>15</t>
        </is>
      </c>
      <c r="AW759" t="inlineStr">
        <is>
          <t>0</t>
        </is>
      </c>
      <c r="AX759" t="inlineStr">
        <is>
          <t>Not Qualified</t>
        </is>
      </c>
      <c r="AY759" s="4"/>
      <c r="AZ759"/>
      <c r="BA759"/>
      <c r="BB759"/>
      <c r="BC759" t="inlineStr">
        <is>
          <t>no pick up</t>
        </is>
      </c>
      <c r="BD759" s="4">
        <v>46139.615949074076</v>
      </c>
      <c r="BE759"/>
      <c r="BF759"/>
      <c r="BG759" t="inlineStr">
        <is>
          <t>Reschedule</t>
        </is>
      </c>
      <c r="BH759" t="inlineStr">
        <is>
          <t>Fauziah Maharan</t>
        </is>
      </c>
      <c r="BI759"/>
      <c r="BJ759" s="4">
        <v>46144.75430555556</v>
      </c>
      <c r="BK759" s="4">
        <v>46132.83898148148</v>
      </c>
      <c r="BL759" t="inlineStr">
        <is>
          <t>0.0</t>
        </is>
      </c>
      <c r="BM759" t="inlineStr">
        <is>
          <t>0.0</t>
        </is>
      </c>
      <c r="BN759" t="inlineStr">
        <is>
          <t>View Company Page</t>
        </is>
      </c>
      <c r="BO759" s="4">
        <v>46132.83908564815</v>
      </c>
      <c r="BP759">
        <v>167955</v>
      </c>
      <c r="BQ759"/>
      <c r="BR759"/>
      <c r="BS759"/>
      <c r="BT759"/>
      <c r="BU759"/>
      <c r="BV759">
        <v>2730038</v>
      </c>
      <c r="BW759" t="inlineStr">
        <is>
          <t>No Answer : Voicemail - WA sent to customer</t>
        </is>
      </c>
      <c r="BX759"/>
      <c r="BY759"/>
      <c r="BZ759" s="4"/>
      <c r="CA759"/>
      <c r="CB759"/>
      <c r="CC759" s="4"/>
      <c r="CD759" t="inlineStr">
        <is>
          <t>20</t>
        </is>
      </c>
      <c r="CE759" t="inlineStr">
        <is>
          <t>0</t>
        </is>
      </c>
      <c r="CF759" t="inlineStr">
        <is>
          <t>Q2-W03</t>
        </is>
      </c>
      <c r="CG759"/>
      <c r="CH759"/>
      <c r="CI759"/>
      <c r="CJ759" t="inlineStr">
        <is>
          <t>No Paid</t>
        </is>
      </c>
      <c r="CK759" t="inlineStr">
        <is>
          <t>Not Eligible</t>
        </is>
      </c>
      <c r="CL759"/>
      <c r="CM759"/>
    </row>
    <row r="760" ht="25.5" customHeight="1">
      <c r="A760" t="inlineStr">
        <is>
          <t>124904</t>
        </is>
      </c>
      <c r="B760" s="2"/>
      <c r="C760"/>
      <c r="D760" s="3">
        <v>46133.46340277778</v>
      </c>
      <c r="E760" t="inlineStr">
        <is>
          <t>Q2-W03</t>
        </is>
      </c>
      <c r="F760" t="inlineStr">
        <is>
          <t>Carmen</t>
        </is>
      </c>
      <c r="G760" t="inlineStr">
        <is>
          <t>Customer</t>
        </is>
      </c>
      <c r="H760" s="2" t="str">
        <f>=HYPERLINK("https://upbox.ajobthing.my/customer/124904", "https://upbox.ajobthing.my/customer/124904")</f>
        <v>https://upbox.ajobthing.my/customer/124904</v>
      </c>
      <c r="I760" t="inlineStr">
        <is>
          <t>SA Planners Consultancy</t>
        </is>
      </c>
      <c r="J760" t="inlineStr">
        <is>
          <t>Dolphin</t>
        </is>
      </c>
      <c r="K760" t="inlineStr">
        <is>
          <t>Carmen</t>
        </is>
      </c>
      <c r="L760" s="4"/>
      <c r="M760" s="4">
        <v>46133.46320601852</v>
      </c>
      <c r="N760"/>
      <c r="O760">
        <v>3888</v>
      </c>
      <c r="P760" s="4"/>
      <c r="Q760" s="4">
        <v>45183.567708333336</v>
      </c>
      <c r="R760"/>
      <c r="S760">
        <v>2077.6</v>
      </c>
      <c r="T760" s="4">
        <v>45183.00001157408</v>
      </c>
      <c r="U760" s="4"/>
      <c r="V760"/>
      <c r="W760">
        <v>2077.6</v>
      </c>
      <c r="X760"/>
      <c r="Y760" t="inlineStr">
        <is>
          <t>Pending Appointment</t>
        </is>
      </c>
      <c r="Z760" t="inlineStr">
        <is>
          <t>Continuous Hiring</t>
        </is>
      </c>
      <c r="AA760">
        <v>1</v>
      </c>
      <c r="AB760" t="inlineStr">
        <is>
          <t>No Appointment Made</t>
        </is>
      </c>
      <c r="AC760"/>
      <c r="AD760" t="inlineStr">
        <is>
          <t>1 takaful consultant</t>
        </is>
      </c>
      <c r="AE760"/>
      <c r="AF760">
        <v>100</v>
      </c>
      <c r="AG760" s="4"/>
      <c r="AH760" s="4"/>
      <c r="AI760"/>
      <c r="AJ760"/>
      <c r="AK760"/>
      <c r="AL760"/>
      <c r="AM760"/>
      <c r="AN760"/>
      <c r="AO760"/>
      <c r="AP760" t="inlineStr">
        <is>
          <t>Every month (100%)</t>
        </is>
      </c>
      <c r="AQ760"/>
      <c r="AR760"/>
      <c r="AS760" t="inlineStr">
        <is>
          <t>- Headcount: 1
- Hiring Job Details: 1 takaful consultant
- Hiring Urgency: Continuous Hiring
- Number of outlets: Not provided
- Have recruiter team: Not provided
- Number of recruiter in company: Not provided
- Have ATS system: Not provided
- Have career website: Not provided
- Current hiring budget: RM100.00
- Whole year budget: Not provided
- Whole year number of vacancies: Not provided
- Hiring frequency: Every month (100%)
- External job portal: Not provided</t>
        </is>
      </c>
      <c r="AT760">
        <v>75</v>
      </c>
      <c r="AU760" t="inlineStr">
        <is>
          <t>0.75</t>
        </is>
      </c>
      <c r="AV760" t="inlineStr">
        <is>
          <t>15</t>
        </is>
      </c>
      <c r="AW760" t="inlineStr">
        <is>
          <t>0</t>
        </is>
      </c>
      <c r="AX760" t="inlineStr">
        <is>
          <t>Not Qualified</t>
        </is>
      </c>
      <c r="AY760" s="4"/>
      <c r="AZ760"/>
      <c r="BA760"/>
      <c r="BB760"/>
      <c r="BC760" t="inlineStr">
        <is>
          <t>- Headcount: 1
- Hiring Job Details: 1 takaful consultant
- Hiring Urgency: Continuous Hiring
- Number of outlets: Not provided
- Have recruiter team: Not provided
- Number of recruiter in company: Not provided
- Have ATS system: Not provided
- Have career website: Not provided
- Current hiring budget: RM100.00
- Whole year budget: Not provided
- Whole year number of vacancies: Not provided
- Hiring frequency: Every month (100%)
- External job portal: Not provided</t>
        </is>
      </c>
      <c r="BD760" s="4">
        <v>46133.50019675926</v>
      </c>
      <c r="BE760" t="inlineStr">
        <is>
          <t>paid</t>
        </is>
      </c>
      <c r="BF760"/>
      <c r="BG760" t="inlineStr">
        <is>
          <t>Reschedule</t>
        </is>
      </c>
      <c r="BH760" t="inlineStr">
        <is>
          <t>Reagen</t>
        </is>
      </c>
      <c r="BI760" t="inlineStr">
        <is>
          <t>Insurance</t>
        </is>
      </c>
      <c r="BJ760" s="4">
        <v>46144.75033564815</v>
      </c>
      <c r="BK760" s="4">
        <v>43865.42575231481</v>
      </c>
      <c r="BL760" t="inlineStr">
        <is>
          <t>0.0</t>
        </is>
      </c>
      <c r="BM760" t="inlineStr">
        <is>
          <t>0.0</t>
        </is>
      </c>
      <c r="BN760" t="inlineStr">
        <is>
          <t>View Jobmanager Page</t>
        </is>
      </c>
      <c r="BO760" s="4">
        <v>45342.433587962965</v>
      </c>
      <c r="BP760">
        <v>167977</v>
      </c>
      <c r="BQ760">
        <v>80402</v>
      </c>
      <c r="BR760" t="inlineStr">
        <is>
          <t>Proforma</t>
        </is>
      </c>
      <c r="BS760" t="inlineStr">
        <is>
          <t>Startup Package - Instant Job Slot (30%)</t>
        </is>
      </c>
      <c r="BT760">
        <v>62152</v>
      </c>
      <c r="BU760"/>
      <c r="BV760">
        <v>2717575</v>
      </c>
      <c r="BW760" t="inlineStr">
        <is>
          <t>Customer Inquiry</t>
        </is>
      </c>
      <c r="BX760"/>
      <c r="BY760"/>
      <c r="BZ760" s="4"/>
      <c r="CA760"/>
      <c r="CB760"/>
      <c r="CC760" s="4"/>
      <c r="CD760" t="inlineStr">
        <is>
          <t>20</t>
        </is>
      </c>
      <c r="CE760" t="inlineStr">
        <is>
          <t>0</t>
        </is>
      </c>
      <c r="CF760" t="inlineStr">
        <is>
          <t>Q2-W03</t>
        </is>
      </c>
      <c r="CG760"/>
      <c r="CH760"/>
      <c r="CI760"/>
      <c r="CJ760" t="inlineStr">
        <is>
          <t>Paid</t>
        </is>
      </c>
      <c r="CK760" t="inlineStr">
        <is>
          <t>Not Eligible</t>
        </is>
      </c>
      <c r="CL760"/>
      <c r="CM760"/>
    </row>
    <row r="761" ht="25.5" customHeight="1">
      <c r="A761" t="inlineStr">
        <is>
          <t>203380</t>
        </is>
      </c>
      <c r="B761" s="2"/>
      <c r="C761"/>
      <c r="D761" s="3">
        <v>46133.473020833335</v>
      </c>
      <c r="E761" t="inlineStr">
        <is>
          <t>Q2-W03</t>
        </is>
      </c>
      <c r="F761" t="inlineStr">
        <is>
          <t>Lucas</t>
        </is>
      </c>
      <c r="G761" t="inlineStr">
        <is>
          <t>Customer</t>
        </is>
      </c>
      <c r="H761" s="2" t="str">
        <f>=HYPERLINK("https://upbox.ajobthing.my/customer/203380", "https://upbox.ajobthing.my/customer/203380")</f>
        <v>https://upbox.ajobthing.my/customer/203380</v>
      </c>
      <c r="I761" t="inlineStr">
        <is>
          <t>Dasein Academy Of Art</t>
        </is>
      </c>
      <c r="J761" t="inlineStr">
        <is>
          <t>Dolphin</t>
        </is>
      </c>
      <c r="K761" t="inlineStr">
        <is>
          <t>Lucas</t>
        </is>
      </c>
      <c r="L761" s="4"/>
      <c r="M761" s="4">
        <v>46133.46958333333</v>
      </c>
      <c r="N761"/>
      <c r="O761">
        <v>3888</v>
      </c>
      <c r="P761" s="4"/>
      <c r="Q761" s="4"/>
      <c r="R761"/>
      <c r="S761"/>
      <c r="T761" s="4"/>
      <c r="U761" s="4"/>
      <c r="V761"/>
      <c r="W761"/>
      <c r="X761"/>
      <c r="Y761" t="inlineStr">
        <is>
          <t>Pending Appointment</t>
        </is>
      </c>
      <c r="Z761" t="inlineStr">
        <is>
          <t>Hiring Now</t>
        </is>
      </c>
      <c r="AA761">
        <v>2</v>
      </c>
      <c r="AB761" t="inlineStr">
        <is>
          <t>No Appointment Made</t>
        </is>
      </c>
      <c r="AC761"/>
      <c r="AD761" t="inlineStr">
        <is>
          <t xml:space="preserve">1 HR, 1 sale executive </t>
        </is>
      </c>
      <c r="AE761"/>
      <c r="AF761">
        <v>0</v>
      </c>
      <c r="AG761" s="4"/>
      <c r="AH761" s="4"/>
      <c r="AI761">
        <v>0</v>
      </c>
      <c r="AJ761"/>
      <c r="AK761" t="inlineStr">
        <is>
          <t>No, I don't need at all</t>
        </is>
      </c>
      <c r="AL761">
        <v>0</v>
      </c>
      <c r="AM761" t="inlineStr">
        <is>
          <t>No, I don't need at all</t>
        </is>
      </c>
      <c r="AN761"/>
      <c r="AO761" t="inlineStr">
        <is>
          <t>No, I don't need at all</t>
        </is>
      </c>
      <c r="AP761" t="inlineStr">
        <is>
          <t>Once a year (25%)</t>
        </is>
      </c>
      <c r="AQ761">
        <v>2</v>
      </c>
      <c r="AR761" t="inlineStr">
        <is>
          <t>Did not use any job portal</t>
        </is>
      </c>
      <c r="AS761" t="inlineStr">
        <is>
          <t>- Headcount: 2
- Hiring Job Details: 1 HR, 1 sale executive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761">
        <v>120</v>
      </c>
      <c r="AU761" t="inlineStr">
        <is>
          <t>1.20</t>
        </is>
      </c>
      <c r="AV761" t="inlineStr">
        <is>
          <t>15</t>
        </is>
      </c>
      <c r="AW761" t="inlineStr">
        <is>
          <t>0</t>
        </is>
      </c>
      <c r="AX761" t="inlineStr">
        <is>
          <t>Not Qualified</t>
        </is>
      </c>
      <c r="AY761" s="4"/>
      <c r="AZ761"/>
      <c r="BA761"/>
      <c r="BB761"/>
      <c r="BC761" t="inlineStr">
        <is>
          <t>boss out station  , cant discuss with boss yet , maybe next week only back</t>
        </is>
      </c>
      <c r="BD761" s="4">
        <v>46139.59688657407</v>
      </c>
      <c r="BE761"/>
      <c r="BF761"/>
      <c r="BG761" t="inlineStr">
        <is>
          <t>Reschedule</t>
        </is>
      </c>
      <c r="BH761" t="inlineStr">
        <is>
          <t>Yee Hang</t>
        </is>
      </c>
      <c r="BI761" t="inlineStr">
        <is>
          <t>Education / Training</t>
        </is>
      </c>
      <c r="BJ761" s="4">
        <v>46144.754282407404</v>
      </c>
      <c r="BK761" s="4">
        <v>46130.407314814816</v>
      </c>
      <c r="BL761" t="inlineStr">
        <is>
          <t>0.0</t>
        </is>
      </c>
      <c r="BM761" t="inlineStr">
        <is>
          <t>0.0</t>
        </is>
      </c>
      <c r="BN761" t="inlineStr">
        <is>
          <t>View Company Page</t>
        </is>
      </c>
      <c r="BO761" s="4">
        <v>46142.47041666666</v>
      </c>
      <c r="BP761">
        <v>167979</v>
      </c>
      <c r="BQ761"/>
      <c r="BR761"/>
      <c r="BS761"/>
      <c r="BT761"/>
      <c r="BU761"/>
      <c r="BV761">
        <v>2729739</v>
      </c>
      <c r="BW761" t="inlineStr">
        <is>
          <t>Follow Up : Decision Pending</t>
        </is>
      </c>
      <c r="BX761"/>
      <c r="BY761"/>
      <c r="BZ761" s="4"/>
      <c r="CA761"/>
      <c r="CB761"/>
      <c r="CC761" s="4"/>
      <c r="CD761" t="inlineStr">
        <is>
          <t>20</t>
        </is>
      </c>
      <c r="CE761" t="inlineStr">
        <is>
          <t>0</t>
        </is>
      </c>
      <c r="CF761" t="inlineStr">
        <is>
          <t>Q2-W03</t>
        </is>
      </c>
      <c r="CG761"/>
      <c r="CH761"/>
      <c r="CI761"/>
      <c r="CJ761" t="inlineStr">
        <is>
          <t>No Paid</t>
        </is>
      </c>
      <c r="CK761" t="inlineStr">
        <is>
          <t>Not Eligible</t>
        </is>
      </c>
      <c r="CL761"/>
      <c r="CM761"/>
    </row>
    <row r="762" ht="25.5" customHeight="1">
      <c r="A762" t="inlineStr">
        <is>
          <t>203466</t>
        </is>
      </c>
      <c r="B762" s="2"/>
      <c r="C762"/>
      <c r="D762" s="3">
        <v>46133.48001157407</v>
      </c>
      <c r="E762" t="inlineStr">
        <is>
          <t>Q2-W03</t>
        </is>
      </c>
      <c r="F762" t="inlineStr">
        <is>
          <t>Clover</t>
        </is>
      </c>
      <c r="G762" t="inlineStr">
        <is>
          <t>Customer</t>
        </is>
      </c>
      <c r="H762" s="2" t="str">
        <f>=HYPERLINK("https://upbox.ajobthing.my/customer/203466", "https://upbox.ajobthing.my/customer/203466")</f>
        <v>https://upbox.ajobthing.my/customer/203466</v>
      </c>
      <c r="I762" t="inlineStr">
        <is>
          <t>Arise enterprise sdn bhd</t>
        </is>
      </c>
      <c r="J762" t="inlineStr">
        <is>
          <t>Dolphin</t>
        </is>
      </c>
      <c r="K762" t="inlineStr">
        <is>
          <t>Clover</t>
        </is>
      </c>
      <c r="L762" s="4"/>
      <c r="M762" s="4">
        <v>46133.4803125</v>
      </c>
      <c r="N762"/>
      <c r="O762">
        <v>3888</v>
      </c>
      <c r="P762" s="4"/>
      <c r="Q762" s="4"/>
      <c r="R762"/>
      <c r="S762"/>
      <c r="T762" s="4"/>
      <c r="U762" s="4"/>
      <c r="V762"/>
      <c r="W762"/>
      <c r="X762"/>
      <c r="Y762" t="inlineStr">
        <is>
          <t>Pending Appointment</t>
        </is>
      </c>
      <c r="Z762" t="inlineStr">
        <is>
          <t>Hiring Now</t>
        </is>
      </c>
      <c r="AA762">
        <v>5</v>
      </c>
      <c r="AB762" t="inlineStr">
        <is>
          <t>No Appointment Made</t>
        </is>
      </c>
      <c r="AC762"/>
      <c r="AD762" t="inlineStr">
        <is>
          <t>hire fork lift driver x5, all races, fresh grads, high TO, sg buloh, 三夾板 plywood trading, suggest stand</t>
        </is>
      </c>
      <c r="AE762"/>
      <c r="AF762">
        <v>3000</v>
      </c>
      <c r="AG762" s="4"/>
      <c r="AH762" s="4"/>
      <c r="AI762">
        <v>3000</v>
      </c>
      <c r="AJ762">
        <v>1</v>
      </c>
      <c r="AK762" t="inlineStr">
        <is>
          <t>No, but I want in future</t>
        </is>
      </c>
      <c r="AL762">
        <v>1</v>
      </c>
      <c r="AM762" t="inlineStr">
        <is>
          <t>No, but I want in future</t>
        </is>
      </c>
      <c r="AN762"/>
      <c r="AO762" t="inlineStr">
        <is>
          <t>No, but I want in future</t>
        </is>
      </c>
      <c r="AP762" t="inlineStr">
        <is>
          <t>Once per quarter (75%)</t>
        </is>
      </c>
      <c r="AQ762">
        <v>5</v>
      </c>
      <c r="AR762" t="inlineStr">
        <is>
          <t>Jobstreet</t>
        </is>
      </c>
      <c r="AS762" t="inlineStr">
        <is>
          <t>- Headcount: 5
- Hiring Job Details: hire fork lift driver x5, all races, fresh grads, high TO, sg buloh, 三夾板 plywood trading,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Once per quarter (75%)
- External job portal: Jobstreet</t>
        </is>
      </c>
      <c r="AT762">
        <v>115</v>
      </c>
      <c r="AU762" t="inlineStr">
        <is>
          <t>1.15</t>
        </is>
      </c>
      <c r="AV762" t="inlineStr">
        <is>
          <t>20</t>
        </is>
      </c>
      <c r="AW762" t="inlineStr">
        <is>
          <t>0</t>
        </is>
      </c>
      <c r="AX762" t="inlineStr">
        <is>
          <t>Not Qualified</t>
        </is>
      </c>
      <c r="AY762" s="4"/>
      <c r="AZ762"/>
      <c r="BA762"/>
      <c r="BB762"/>
      <c r="BC762" t="inlineStr">
        <is>
          <t>Still considering, pending management update</t>
        </is>
      </c>
      <c r="BD762" s="4">
        <v>46134.724074074074</v>
      </c>
      <c r="BE762"/>
      <c r="BF762"/>
      <c r="BG762" t="inlineStr">
        <is>
          <t>Reschedule</t>
        </is>
      </c>
      <c r="BH762" t="inlineStr">
        <is>
          <t>Reagen</t>
        </is>
      </c>
      <c r="BI762"/>
      <c r="BJ762" s="4">
        <v>46144.754328703704</v>
      </c>
      <c r="BK762" s="4">
        <v>46133.472280092596</v>
      </c>
      <c r="BL762" t="inlineStr">
        <is>
          <t>0.0</t>
        </is>
      </c>
      <c r="BM762" t="inlineStr">
        <is>
          <t>0.0</t>
        </is>
      </c>
      <c r="BN762"/>
      <c r="BO762" s="4"/>
      <c r="BP762">
        <v>167986</v>
      </c>
      <c r="BQ762"/>
      <c r="BR762"/>
      <c r="BS762"/>
      <c r="BT762"/>
      <c r="BU762"/>
      <c r="BV762">
        <v>2721774</v>
      </c>
      <c r="BW762" t="inlineStr">
        <is>
          <t>Follow Up : Decision Pending</t>
        </is>
      </c>
      <c r="BX762"/>
      <c r="BY762"/>
      <c r="BZ762" s="4"/>
      <c r="CA762"/>
      <c r="CB762"/>
      <c r="CC762" s="4"/>
      <c r="CD762" t="inlineStr">
        <is>
          <t>30</t>
        </is>
      </c>
      <c r="CE762" t="inlineStr">
        <is>
          <t>0</t>
        </is>
      </c>
      <c r="CF762" t="inlineStr">
        <is>
          <t>Q2-W03</t>
        </is>
      </c>
      <c r="CG762"/>
      <c r="CH762"/>
      <c r="CI762"/>
      <c r="CJ762" t="inlineStr">
        <is>
          <t>No Paid</t>
        </is>
      </c>
      <c r="CK762" t="inlineStr">
        <is>
          <t>Not Eligible</t>
        </is>
      </c>
      <c r="CL762"/>
      <c r="CM762"/>
    </row>
    <row r="763" ht="25.5" customHeight="1">
      <c r="A763" t="inlineStr">
        <is>
          <t>169367</t>
        </is>
      </c>
      <c r="B763" s="2"/>
      <c r="C763"/>
      <c r="D763" s="3">
        <v>46133.48171296297</v>
      </c>
      <c r="E763" t="inlineStr">
        <is>
          <t>Q2-W03</t>
        </is>
      </c>
      <c r="F763" t="inlineStr">
        <is>
          <t>Xin Hui</t>
        </is>
      </c>
      <c r="G763" t="inlineStr">
        <is>
          <t>Customer</t>
        </is>
      </c>
      <c r="H763" s="2" t="str">
        <f>=HYPERLINK("https://upbox.ajobthing.my/customer/169367", "https://upbox.ajobthing.my/customer/169367")</f>
        <v>https://upbox.ajobthing.my/customer/169367</v>
      </c>
      <c r="I763" t="inlineStr">
        <is>
          <t>SS Gan &amp; Co</t>
        </is>
      </c>
      <c r="J763" t="inlineStr">
        <is>
          <t>Dolphin</t>
        </is>
      </c>
      <c r="K763" t="inlineStr">
        <is>
          <t>Xin Hui</t>
        </is>
      </c>
      <c r="L763" s="4"/>
      <c r="M763" s="4">
        <v>46132.57179398148</v>
      </c>
      <c r="N763"/>
      <c r="O763">
        <v>1296</v>
      </c>
      <c r="P763" s="4"/>
      <c r="Q763" s="4">
        <v>46136.49140046296</v>
      </c>
      <c r="R763"/>
      <c r="S763">
        <v>0</v>
      </c>
      <c r="T763" s="4">
        <v>46133.61015046296</v>
      </c>
      <c r="U763" s="4"/>
      <c r="V763"/>
      <c r="W763">
        <v>1296</v>
      </c>
      <c r="X763"/>
      <c r="Y763" t="inlineStr">
        <is>
          <t>Pending Appointment</t>
        </is>
      </c>
      <c r="Z763" t="inlineStr">
        <is>
          <t>Hiring Now</t>
        </is>
      </c>
      <c r="AA763">
        <v>1</v>
      </c>
      <c r="AB763" t="inlineStr">
        <is>
          <t>No Appointment Made</t>
        </is>
      </c>
      <c r="AC763"/>
      <c r="AD763" t="inlineStr">
        <is>
          <t xml:space="preserve">audit </t>
        </is>
      </c>
      <c r="AE763"/>
      <c r="AF763"/>
      <c r="AG763" s="4"/>
      <c r="AH763" s="4"/>
      <c r="AI763"/>
      <c r="AJ763"/>
      <c r="AK763" t="inlineStr">
        <is>
          <t>No, I don't need at all</t>
        </is>
      </c>
      <c r="AL763"/>
      <c r="AM763" t="inlineStr">
        <is>
          <t>No, I don't need at all</t>
        </is>
      </c>
      <c r="AN763"/>
      <c r="AO763" t="inlineStr">
        <is>
          <t>No, I don't need at all</t>
        </is>
      </c>
      <c r="AP763" t="inlineStr">
        <is>
          <t>Once a year (25%)</t>
        </is>
      </c>
      <c r="AQ763"/>
      <c r="AR763"/>
      <c r="AS763" t="inlineStr">
        <is>
          <t>- Headcount: 1
- Hiring Job Details: audit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763">
        <v>75</v>
      </c>
      <c r="AU763" t="inlineStr">
        <is>
          <t>0.75</t>
        </is>
      </c>
      <c r="AV763" t="inlineStr">
        <is>
          <t>5</t>
        </is>
      </c>
      <c r="AW763" t="inlineStr">
        <is>
          <t>0</t>
        </is>
      </c>
      <c r="AX763" t="inlineStr">
        <is>
          <t>Not Qualified</t>
        </is>
      </c>
      <c r="AY763" s="4"/>
      <c r="AZ763"/>
      <c r="BA763"/>
      <c r="BB763"/>
      <c r="BC763" t="inlineStr">
        <is>
          <t>asking about how to review the results</t>
        </is>
      </c>
      <c r="BD763" s="4">
        <v>46139.44149305556</v>
      </c>
      <c r="BE763" t="inlineStr">
        <is>
          <t>paid</t>
        </is>
      </c>
      <c r="BF763" t="inlineStr">
        <is>
          <t>Q2-W03</t>
        </is>
      </c>
      <c r="BG763" t="inlineStr">
        <is>
          <t>Reschedule</t>
        </is>
      </c>
      <c r="BH763" t="inlineStr">
        <is>
          <t>Yee Hang</t>
        </is>
      </c>
      <c r="BI763" t="inlineStr">
        <is>
          <t>Accounting / Tax Services</t>
        </is>
      </c>
      <c r="BJ763" s="4">
        <v>46144.75136574074</v>
      </c>
      <c r="BK763" s="4">
        <v>45127.55159722222</v>
      </c>
      <c r="BL763" t="inlineStr">
        <is>
          <t>1296.0</t>
        </is>
      </c>
      <c r="BM763" t="inlineStr">
        <is>
          <t>0.0</t>
        </is>
      </c>
      <c r="BN763" t="inlineStr">
        <is>
          <t>View Company Page</t>
        </is>
      </c>
      <c r="BO763" s="4">
        <v>46142.385046296295</v>
      </c>
      <c r="BP763">
        <v>167822</v>
      </c>
      <c r="BQ763">
        <v>123660</v>
      </c>
      <c r="BR763" t="inlineStr">
        <is>
          <t>Proforma</t>
        </is>
      </c>
      <c r="BS763" t="inlineStr">
        <is>
          <t>Free Part-Time Job</t>
        </is>
      </c>
      <c r="BT763">
        <v>94528</v>
      </c>
      <c r="BU763"/>
      <c r="BV763">
        <v>2728406</v>
      </c>
      <c r="BW763" t="inlineStr">
        <is>
          <t>Service / Technical : Job Outcome Enquiry</t>
        </is>
      </c>
      <c r="BX763">
        <v>1</v>
      </c>
      <c r="BY763">
        <v>0</v>
      </c>
      <c r="BZ763" s="4">
        <v>46136.54096064815</v>
      </c>
      <c r="CA763">
        <v>23</v>
      </c>
      <c r="CB763">
        <v>21</v>
      </c>
      <c r="CC763" s="4">
        <v>46141.47363425926</v>
      </c>
      <c r="CD763" t="inlineStr">
        <is>
          <t>5</t>
        </is>
      </c>
      <c r="CE763" t="inlineStr">
        <is>
          <t>0</t>
        </is>
      </c>
      <c r="CF763" t="inlineStr">
        <is>
          <t>Q2-W03</t>
        </is>
      </c>
      <c r="CG763" t="inlineStr">
        <is>
          <t>Q2-W04</t>
        </is>
      </c>
      <c r="CH763" t="inlineStr">
        <is>
          <t>Q2-W03</t>
        </is>
      </c>
      <c r="CI763"/>
      <c r="CJ763" t="inlineStr">
        <is>
          <t>Paid</t>
        </is>
      </c>
      <c r="CK763" t="inlineStr">
        <is>
          <t>Not Eligible</t>
        </is>
      </c>
      <c r="CL763"/>
      <c r="CM763"/>
    </row>
    <row r="764" ht="25.5" customHeight="1">
      <c r="A764" t="inlineStr">
        <is>
          <t>185557</t>
        </is>
      </c>
      <c r="B764" s="2"/>
      <c r="C764"/>
      <c r="D764" s="3">
        <v>46133.485497685186</v>
      </c>
      <c r="E764" t="inlineStr">
        <is>
          <t>Q2-W03</t>
        </is>
      </c>
      <c r="F764" t="inlineStr">
        <is>
          <t>Lucas</t>
        </is>
      </c>
      <c r="G764" t="inlineStr">
        <is>
          <t>Customer</t>
        </is>
      </c>
      <c r="H764" s="2" t="str">
        <f>=HYPERLINK("https://upbox.ajobthing.my/customer/185557", "https://upbox.ajobthing.my/customer/185557")</f>
        <v>https://upbox.ajobthing.my/customer/185557</v>
      </c>
      <c r="I764" t="inlineStr">
        <is>
          <t>NCT Technologies (Penang) Sdn Bhd</t>
        </is>
      </c>
      <c r="J764" t="inlineStr">
        <is>
          <t>Dolphin</t>
        </is>
      </c>
      <c r="K764" t="inlineStr">
        <is>
          <t>Lucas</t>
        </is>
      </c>
      <c r="L764" s="4"/>
      <c r="M764" s="4">
        <v>46133.48335648148</v>
      </c>
      <c r="N764"/>
      <c r="O764">
        <v>3888</v>
      </c>
      <c r="P764" s="4"/>
      <c r="Q764" s="4"/>
      <c r="R764"/>
      <c r="S764"/>
      <c r="T764" s="4"/>
      <c r="U764" s="4"/>
      <c r="V764"/>
      <c r="W764"/>
      <c r="X764"/>
      <c r="Y764" t="inlineStr">
        <is>
          <t>Pending Appointment</t>
        </is>
      </c>
      <c r="Z764" t="inlineStr">
        <is>
          <t>Hiring Now</t>
        </is>
      </c>
      <c r="AA764">
        <v>1</v>
      </c>
      <c r="AB764" t="inlineStr">
        <is>
          <t>No Appointment Made</t>
        </is>
      </c>
      <c r="AC764"/>
      <c r="AD764" t="inlineStr">
        <is>
          <t>-1 position CNC Machine Service Technician</t>
        </is>
      </c>
      <c r="AE764"/>
      <c r="AF764">
        <v>0</v>
      </c>
      <c r="AG764" s="4"/>
      <c r="AH764" s="4"/>
      <c r="AI764">
        <v>0</v>
      </c>
      <c r="AJ764">
        <v>0</v>
      </c>
      <c r="AK764" t="inlineStr">
        <is>
          <t>No, I don't need at all</t>
        </is>
      </c>
      <c r="AL764">
        <v>0</v>
      </c>
      <c r="AM764" t="inlineStr">
        <is>
          <t>No, I don't need at all</t>
        </is>
      </c>
      <c r="AN764"/>
      <c r="AO764" t="inlineStr">
        <is>
          <t>No, I don't need at all</t>
        </is>
      </c>
      <c r="AP764" t="inlineStr">
        <is>
          <t>Once a year (25%)</t>
        </is>
      </c>
      <c r="AQ764">
        <v>1</v>
      </c>
      <c r="AR764" t="inlineStr">
        <is>
          <t>Did not use any job portal</t>
        </is>
      </c>
      <c r="AS764" t="inlineStr">
        <is>
          <t>- Headcount: 1
- Hiring Job Details: 1 position CNC Machine Service 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764">
        <v>100</v>
      </c>
      <c r="AU764" t="inlineStr">
        <is>
          <t>1.00</t>
        </is>
      </c>
      <c r="AV764" t="inlineStr">
        <is>
          <t>15</t>
        </is>
      </c>
      <c r="AW764" t="inlineStr">
        <is>
          <t>0</t>
        </is>
      </c>
      <c r="AX764" t="inlineStr">
        <is>
          <t>Not Qualified</t>
        </is>
      </c>
      <c r="AY764" s="4"/>
      <c r="AZ764"/>
      <c r="BA764"/>
      <c r="BB764"/>
      <c r="BC764" t="inlineStr">
        <is>
          <t>pending from boss</t>
        </is>
      </c>
      <c r="BD764" s="4">
        <v>46139.490069444444</v>
      </c>
      <c r="BE764"/>
      <c r="BF764"/>
      <c r="BG764" t="inlineStr">
        <is>
          <t>Reschedule</t>
        </is>
      </c>
      <c r="BH764" t="inlineStr">
        <is>
          <t>Yee Hang</t>
        </is>
      </c>
      <c r="BI764" t="inlineStr">
        <is>
          <t>Heavy Industrial / Machinery</t>
        </is>
      </c>
      <c r="BJ764" s="4">
        <v>46144.752071759256</v>
      </c>
      <c r="BK764" s="4">
        <v>45631.71913194445</v>
      </c>
      <c r="BL764" t="inlineStr">
        <is>
          <t>0.0</t>
        </is>
      </c>
      <c r="BM764" t="inlineStr">
        <is>
          <t>0.0</t>
        </is>
      </c>
      <c r="BN764" t="inlineStr">
        <is>
          <t>View Create Job Page</t>
        </is>
      </c>
      <c r="BO764" s="4">
        <v>45631.722337962965</v>
      </c>
      <c r="BP764">
        <v>167987</v>
      </c>
      <c r="BQ764"/>
      <c r="BR764"/>
      <c r="BS764"/>
      <c r="BT764"/>
      <c r="BU764"/>
      <c r="BV764">
        <v>2728707</v>
      </c>
      <c r="BW764" t="inlineStr">
        <is>
          <t>Follow Up : Decision Pending</t>
        </is>
      </c>
      <c r="BX764"/>
      <c r="BY764"/>
      <c r="BZ764" s="4"/>
      <c r="CA764"/>
      <c r="CB764"/>
      <c r="CC764" s="4"/>
      <c r="CD764" t="inlineStr">
        <is>
          <t>20</t>
        </is>
      </c>
      <c r="CE764" t="inlineStr">
        <is>
          <t>0</t>
        </is>
      </c>
      <c r="CF764" t="inlineStr">
        <is>
          <t>Q2-W03</t>
        </is>
      </c>
      <c r="CG764"/>
      <c r="CH764"/>
      <c r="CI764"/>
      <c r="CJ764" t="inlineStr">
        <is>
          <t>No Paid</t>
        </is>
      </c>
      <c r="CK764" t="inlineStr">
        <is>
          <t>Not Eligible</t>
        </is>
      </c>
      <c r="CL764"/>
      <c r="CM764"/>
    </row>
    <row r="765" ht="25.5" customHeight="1">
      <c r="A765" t="inlineStr">
        <is>
          <t>187042</t>
        </is>
      </c>
      <c r="B765" s="2"/>
      <c r="C765"/>
      <c r="D765" s="3">
        <v>46133.489907407406</v>
      </c>
      <c r="E765" t="inlineStr">
        <is>
          <t>Q2-W03</t>
        </is>
      </c>
      <c r="F765" t="inlineStr">
        <is>
          <t>Ken Yi</t>
        </is>
      </c>
      <c r="G765" t="inlineStr">
        <is>
          <t>Customer</t>
        </is>
      </c>
      <c r="H765" s="2" t="str">
        <f>=HYPERLINK("https://upbox.ajobthing.my/customer/187042", "https://upbox.ajobthing.my/customer/187042")</f>
        <v>https://upbox.ajobthing.my/customer/187042</v>
      </c>
      <c r="I765" t="inlineStr">
        <is>
          <t>MF Global Consultancy</t>
        </is>
      </c>
      <c r="J765" t="inlineStr">
        <is>
          <t>Dolphin</t>
        </is>
      </c>
      <c r="K765" t="inlineStr">
        <is>
          <t>Kenyi</t>
        </is>
      </c>
      <c r="L765" s="4"/>
      <c r="M765" s="4">
        <v>46133.48806712963</v>
      </c>
      <c r="N765"/>
      <c r="O765">
        <v>10800</v>
      </c>
      <c r="P765" s="4"/>
      <c r="Q765" s="4">
        <v>45721.59607638889</v>
      </c>
      <c r="R765"/>
      <c r="S765">
        <v>648</v>
      </c>
      <c r="T765" s="4">
        <v>45721.59607638889</v>
      </c>
      <c r="U765" s="4"/>
      <c r="V765"/>
      <c r="W765">
        <v>648</v>
      </c>
      <c r="X765"/>
      <c r="Y765" t="inlineStr">
        <is>
          <t>Pending Appointment</t>
        </is>
      </c>
      <c r="Z765" t="inlineStr">
        <is>
          <t>Hiring Now</t>
        </is>
      </c>
      <c r="AA765">
        <v>1</v>
      </c>
      <c r="AB765" t="inlineStr">
        <is>
          <t>No Appointment Made</t>
        </is>
      </c>
      <c r="AC765"/>
      <c r="AD765" t="inlineStr">
        <is>
          <t>Renewal 1</t>
        </is>
      </c>
      <c r="AE765"/>
      <c r="AF765">
        <v>0</v>
      </c>
      <c r="AG765" s="4"/>
      <c r="AH765" s="4"/>
      <c r="AI765">
        <v>0</v>
      </c>
      <c r="AJ765">
        <v>1</v>
      </c>
      <c r="AK765" t="inlineStr">
        <is>
          <t>No, I don't need at all</t>
        </is>
      </c>
      <c r="AL765">
        <v>1</v>
      </c>
      <c r="AM765" t="inlineStr">
        <is>
          <t>No, I don't need at all</t>
        </is>
      </c>
      <c r="AN765"/>
      <c r="AO765" t="inlineStr">
        <is>
          <t>No, I don't need at all</t>
        </is>
      </c>
      <c r="AP765" t="inlineStr">
        <is>
          <t>Every month (100%)</t>
        </is>
      </c>
      <c r="AQ765">
        <v>0</v>
      </c>
      <c r="AR765" t="inlineStr">
        <is>
          <t>Did not use any job portal</t>
        </is>
      </c>
      <c r="AS765" t="inlineStr">
        <is>
          <t>- Headcount: 1
- Hiring Job Details: Renewal 1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0
- Hiring frequency: Every month (100%)
- External job portal: Did not use any job portal</t>
        </is>
      </c>
      <c r="AT765">
        <v>75</v>
      </c>
      <c r="AU765" t="inlineStr">
        <is>
          <t>0.75</t>
        </is>
      </c>
      <c r="AV765" t="inlineStr">
        <is>
          <t>15</t>
        </is>
      </c>
      <c r="AW765" t="inlineStr">
        <is>
          <t>0</t>
        </is>
      </c>
      <c r="AX765" t="inlineStr">
        <is>
          <t>Not Qualified</t>
        </is>
      </c>
      <c r="AY765" s="4"/>
      <c r="AZ765"/>
      <c r="BA765"/>
      <c r="BB765"/>
      <c r="BC765" t="inlineStr">
        <is>
          <t>- Headcount: 1
- Hiring Job Details: Renewal 1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0
- Hiring frequency: Every month (100%)
- External job portal: Did not use any job portal</t>
        </is>
      </c>
      <c r="BD765" s="4">
        <v>46133.50019675926</v>
      </c>
      <c r="BE765" t="inlineStr">
        <is>
          <t>paid</t>
        </is>
      </c>
      <c r="BF765"/>
      <c r="BG765" t="inlineStr">
        <is>
          <t>Reschedule</t>
        </is>
      </c>
      <c r="BH765" t="inlineStr">
        <is>
          <t>Fauziah Maharan</t>
        </is>
      </c>
      <c r="BI765" t="inlineStr">
        <is>
          <t>Accounting / Tax Services</t>
        </is>
      </c>
      <c r="BJ765" s="4">
        <v>46144.75215277778</v>
      </c>
      <c r="BK765" s="4">
        <v>45679.743310185186</v>
      </c>
      <c r="BL765" t="inlineStr">
        <is>
          <t>0.0</t>
        </is>
      </c>
      <c r="BM765" t="inlineStr">
        <is>
          <t>0.0</t>
        </is>
      </c>
      <c r="BN765" t="inlineStr">
        <is>
          <t>View Jobmanager Page</t>
        </is>
      </c>
      <c r="BO765" s="4">
        <v>45768.72518518518</v>
      </c>
      <c r="BP765">
        <v>167991</v>
      </c>
      <c r="BQ765">
        <v>77351</v>
      </c>
      <c r="BR765" t="inlineStr">
        <is>
          <t>Online</t>
        </is>
      </c>
      <c r="BS765"/>
      <c r="BT765">
        <v>77351</v>
      </c>
      <c r="BU765"/>
      <c r="BV765">
        <v>2717589</v>
      </c>
      <c r="BW765" t="inlineStr">
        <is>
          <t>Customer Inquiry</t>
        </is>
      </c>
      <c r="BX765"/>
      <c r="BY765"/>
      <c r="BZ765" s="4"/>
      <c r="CA765"/>
      <c r="CB765"/>
      <c r="CC765" s="4"/>
      <c r="CD765" t="inlineStr">
        <is>
          <t>20</t>
        </is>
      </c>
      <c r="CE765" t="inlineStr">
        <is>
          <t>0</t>
        </is>
      </c>
      <c r="CF765" t="inlineStr">
        <is>
          <t>Q2-W03</t>
        </is>
      </c>
      <c r="CG765"/>
      <c r="CH765"/>
      <c r="CI765"/>
      <c r="CJ765" t="inlineStr">
        <is>
          <t>Paid</t>
        </is>
      </c>
      <c r="CK765" t="inlineStr">
        <is>
          <t>Not Eligible</t>
        </is>
      </c>
      <c r="CL765"/>
      <c r="CM765"/>
    </row>
    <row r="766" ht="25.5" customHeight="1">
      <c r="A766" t="inlineStr">
        <is>
          <t>4291074</t>
        </is>
      </c>
      <c r="B766" s="2"/>
      <c r="C766"/>
      <c r="D766" s="3">
        <v>46133.491736111115</v>
      </c>
      <c r="E766" t="inlineStr">
        <is>
          <t>Q2-W03</t>
        </is>
      </c>
      <c r="F766" t="inlineStr">
        <is>
          <t>Chia Yee</t>
        </is>
      </c>
      <c r="G766" t="inlineStr">
        <is>
          <t>Lead</t>
        </is>
      </c>
      <c r="H766" s="2" t="str">
        <f>=HYPERLINK("https://upbox.ajobthing.my/leads/4291074", "https://upbox.ajobthing.my/leads/4291074")</f>
        <v>https://upbox.ajobthing.my/leads/4291074</v>
      </c>
      <c r="I766" t="inlineStr">
        <is>
          <t>ML Low Tax Services Sdn. Bhd.</t>
        </is>
      </c>
      <c r="J766" t="inlineStr">
        <is>
          <t>Dolphin</t>
        </is>
      </c>
      <c r="K766" t="inlineStr">
        <is>
          <t>Chia Yee</t>
        </is>
      </c>
      <c r="L766" s="4"/>
      <c r="M766" s="4">
        <v>46133.49118055555</v>
      </c>
      <c r="N766"/>
      <c r="O766">
        <v>1296</v>
      </c>
      <c r="P766" s="4"/>
      <c r="Q766" s="4"/>
      <c r="R766"/>
      <c r="S766"/>
      <c r="T766" s="4"/>
      <c r="U766" s="4"/>
      <c r="V766"/>
      <c r="W766"/>
      <c r="X766"/>
      <c r="Y766" t="inlineStr">
        <is>
          <t>Pending Appointment</t>
        </is>
      </c>
      <c r="Z766" t="inlineStr">
        <is>
          <t>Hiring Now</t>
        </is>
      </c>
      <c r="AA766">
        <v>1</v>
      </c>
      <c r="AB766" t="inlineStr">
        <is>
          <t>No Appointment Made</t>
        </is>
      </c>
      <c r="AC766"/>
      <c r="AD766" t="inlineStr">
        <is>
          <t>1 Account Assistant</t>
        </is>
      </c>
      <c r="AE766"/>
      <c r="AF766">
        <v>0</v>
      </c>
      <c r="AG766" s="4"/>
      <c r="AH766" s="4"/>
      <c r="AI766">
        <v>0</v>
      </c>
      <c r="AJ766">
        <v>1</v>
      </c>
      <c r="AK766" t="inlineStr">
        <is>
          <t>No, I don't need at all</t>
        </is>
      </c>
      <c r="AL766">
        <v>1</v>
      </c>
      <c r="AM766" t="inlineStr">
        <is>
          <t>No, I don't need at all</t>
        </is>
      </c>
      <c r="AN766"/>
      <c r="AO766" t="inlineStr">
        <is>
          <t>Yes, I have</t>
        </is>
      </c>
      <c r="AP766" t="inlineStr">
        <is>
          <t>Once a year (25%)</t>
        </is>
      </c>
      <c r="AQ766">
        <v>1</v>
      </c>
      <c r="AR766" t="inlineStr">
        <is>
          <t>Did not use any job portal</t>
        </is>
      </c>
      <c r="AS766" t="inlineStr">
        <is>
          <t>- Headcount: 1
- Hiring Job Details: 1 Account Assistant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is>
      </c>
      <c r="AT766">
        <v>115</v>
      </c>
      <c r="AU766" t="inlineStr">
        <is>
          <t>1.15</t>
        </is>
      </c>
      <c r="AV766" t="inlineStr">
        <is>
          <t>15</t>
        </is>
      </c>
      <c r="AW766" t="inlineStr">
        <is>
          <t>0</t>
        </is>
      </c>
      <c r="AX766" t="inlineStr">
        <is>
          <t>Not Qualified</t>
        </is>
      </c>
      <c r="AY766" s="4"/>
      <c r="AZ766"/>
      <c r="BA766"/>
      <c r="BB766"/>
      <c r="BC766"/>
      <c r="BD766" s="4"/>
      <c r="BE766"/>
      <c r="BF766"/>
      <c r="BG766" t="inlineStr">
        <is>
          <t>Reschedule</t>
        </is>
      </c>
      <c r="BH766" t="inlineStr">
        <is>
          <t>Reagen</t>
        </is>
      </c>
      <c r="BI766"/>
      <c r="BJ766" s="4">
        <v>46144.75585648148</v>
      </c>
      <c r="BK766" s="4">
        <v>46128.79640046296</v>
      </c>
      <c r="BL766" t="inlineStr">
        <is>
          <t>0.0</t>
        </is>
      </c>
      <c r="BM766" t="inlineStr">
        <is>
          <t>1200.0</t>
        </is>
      </c>
      <c r="BN766"/>
      <c r="BO766" s="4"/>
      <c r="BP766">
        <v>167994</v>
      </c>
      <c r="BQ766"/>
      <c r="BR766"/>
      <c r="BS766"/>
      <c r="BT766"/>
      <c r="BU766"/>
      <c r="BV766"/>
      <c r="BW766"/>
      <c r="BX766"/>
      <c r="BY766"/>
      <c r="BZ766" s="4"/>
      <c r="CA766"/>
      <c r="CB766"/>
      <c r="CC766" s="4"/>
      <c r="CD766" t="inlineStr">
        <is>
          <t>20</t>
        </is>
      </c>
      <c r="CE766" t="inlineStr">
        <is>
          <t>0</t>
        </is>
      </c>
      <c r="CF766" t="inlineStr">
        <is>
          <t>Q2-W03</t>
        </is>
      </c>
      <c r="CG766"/>
      <c r="CH766"/>
      <c r="CI766"/>
      <c r="CJ766" t="inlineStr">
        <is>
          <t>No Paid</t>
        </is>
      </c>
      <c r="CK766" t="inlineStr">
        <is>
          <t>Not Eligible</t>
        </is>
      </c>
      <c r="CL766"/>
      <c r="CM766"/>
    </row>
    <row r="767" ht="25.5" customHeight="1">
      <c r="A767" t="inlineStr">
        <is>
          <t>24723</t>
        </is>
      </c>
      <c r="B767" s="2"/>
      <c r="C767"/>
      <c r="D767" s="3">
        <v>46133.493483796294</v>
      </c>
      <c r="E767" t="inlineStr">
        <is>
          <t>Q2-W03</t>
        </is>
      </c>
      <c r="F767" t="inlineStr">
        <is>
          <t>Lucas</t>
        </is>
      </c>
      <c r="G767" t="inlineStr">
        <is>
          <t>Customer</t>
        </is>
      </c>
      <c r="H767" s="2" t="str">
        <f>=HYPERLINK("https://upbox.ajobthing.my/customer/24723", "https://upbox.ajobthing.my/customer/24723")</f>
        <v>https://upbox.ajobthing.my/customer/24723</v>
      </c>
      <c r="I767" t="inlineStr">
        <is>
          <t>Greentech Ventures International Sdn. Bhd.</t>
        </is>
      </c>
      <c r="J767" t="inlineStr">
        <is>
          <t>Dolphin</t>
        </is>
      </c>
      <c r="K767" t="inlineStr">
        <is>
          <t>Lucas</t>
        </is>
      </c>
      <c r="L767" s="4"/>
      <c r="M767" s="4">
        <v>46133.492210648146</v>
      </c>
      <c r="N767"/>
      <c r="O767">
        <v>3888</v>
      </c>
      <c r="P767" s="4"/>
      <c r="Q767" s="4">
        <v>46134.44810185185</v>
      </c>
      <c r="R767"/>
      <c r="S767">
        <v>864</v>
      </c>
      <c r="T767" s="4">
        <v>46134.44810185185</v>
      </c>
      <c r="U767" s="4"/>
      <c r="V767"/>
      <c r="W767">
        <v>864</v>
      </c>
      <c r="X767"/>
      <c r="Y767" t="inlineStr">
        <is>
          <t>Pending Appointment</t>
        </is>
      </c>
      <c r="Z767" t="inlineStr">
        <is>
          <t>Hiring Now</t>
        </is>
      </c>
      <c r="AA767">
        <v>3</v>
      </c>
      <c r="AB767" t="inlineStr">
        <is>
          <t>No Appointment Made</t>
        </is>
      </c>
      <c r="AC767"/>
      <c r="AD767" t="inlineStr">
        <is>
          <t xml:space="preserve">1 account , another 2 pending  </t>
        </is>
      </c>
      <c r="AE767"/>
      <c r="AF767">
        <v>0</v>
      </c>
      <c r="AG767" s="4"/>
      <c r="AH767" s="4"/>
      <c r="AI767">
        <v>0</v>
      </c>
      <c r="AJ767">
        <v>0</v>
      </c>
      <c r="AK767" t="inlineStr">
        <is>
          <t>No, I don't need at all</t>
        </is>
      </c>
      <c r="AL767">
        <v>0</v>
      </c>
      <c r="AM767" t="inlineStr">
        <is>
          <t>No, I don't need at all</t>
        </is>
      </c>
      <c r="AN767"/>
      <c r="AO767" t="inlineStr">
        <is>
          <t>No, I don't need at all</t>
        </is>
      </c>
      <c r="AP767" t="inlineStr">
        <is>
          <t>Once a year (25%)</t>
        </is>
      </c>
      <c r="AQ767">
        <v>3</v>
      </c>
      <c r="AR767" t="inlineStr">
        <is>
          <t>Did not use any job portal</t>
        </is>
      </c>
      <c r="AS767" t="inlineStr">
        <is>
          <t>- Headcount: 3
- Hiring Job Details: 1 account, another 2 pending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is>
      </c>
      <c r="AT767">
        <v>65</v>
      </c>
      <c r="AU767" t="inlineStr">
        <is>
          <t>0.65</t>
        </is>
      </c>
      <c r="AV767" t="inlineStr">
        <is>
          <t>15</t>
        </is>
      </c>
      <c r="AW767" t="inlineStr">
        <is>
          <t>0</t>
        </is>
      </c>
      <c r="AX767" t="inlineStr">
        <is>
          <t>Not Qualified</t>
        </is>
      </c>
      <c r="AY767" s="4"/>
      <c r="AZ767"/>
      <c r="BA767"/>
      <c r="BB767"/>
      <c r="BC767" t="inlineStr">
        <is>
          <t>buy online</t>
        </is>
      </c>
      <c r="BD767" s="4">
        <v>46142.73166666667</v>
      </c>
      <c r="BE767" t="inlineStr">
        <is>
          <t>paid</t>
        </is>
      </c>
      <c r="BF767" t="inlineStr">
        <is>
          <t>Q2-W03</t>
        </is>
      </c>
      <c r="BG767" t="inlineStr">
        <is>
          <t>Reschedule</t>
        </is>
      </c>
      <c r="BH767" t="inlineStr">
        <is>
          <t>Yee Hang</t>
        </is>
      </c>
      <c r="BI767" t="inlineStr">
        <is>
          <t>Agriculture / Poultry / Fisheries</t>
        </is>
      </c>
      <c r="BJ767" s="4">
        <v>46144.75446759259</v>
      </c>
      <c r="BK767" s="4">
        <v>42534.93846064815</v>
      </c>
      <c r="BL767" t="inlineStr">
        <is>
          <t>864.0</t>
        </is>
      </c>
      <c r="BM767" t="inlineStr">
        <is>
          <t>0.0</t>
        </is>
      </c>
      <c r="BN767" t="inlineStr">
        <is>
          <t>View Company Page</t>
        </is>
      </c>
      <c r="BO767" s="4">
        <v>46142.769780092596</v>
      </c>
      <c r="BP767">
        <v>167997</v>
      </c>
      <c r="BQ767">
        <v>94583</v>
      </c>
      <c r="BR767" t="inlineStr">
        <is>
          <t>Online</t>
        </is>
      </c>
      <c r="BS767"/>
      <c r="BT767">
        <v>94583</v>
      </c>
      <c r="BU767"/>
      <c r="BV767">
        <v>2738424</v>
      </c>
      <c r="BW767" t="inlineStr">
        <is>
          <t>Follow Up : Lost - Paid Portal</t>
        </is>
      </c>
      <c r="BX767">
        <v>1</v>
      </c>
      <c r="BY767">
        <v>0</v>
      </c>
      <c r="BZ767" s="4">
        <v>46134.448113425926</v>
      </c>
      <c r="CA767">
        <v>10</v>
      </c>
      <c r="CB767">
        <v>10</v>
      </c>
      <c r="CC767" s="4"/>
      <c r="CD767" t="inlineStr">
        <is>
          <t>20</t>
        </is>
      </c>
      <c r="CE767" t="inlineStr">
        <is>
          <t>0</t>
        </is>
      </c>
      <c r="CF767" t="inlineStr">
        <is>
          <t>Q2-W03</t>
        </is>
      </c>
      <c r="CG767" t="inlineStr">
        <is>
          <t>Q2-W03</t>
        </is>
      </c>
      <c r="CH767" t="inlineStr">
        <is>
          <t>Q2-W03</t>
        </is>
      </c>
      <c r="CI767"/>
      <c r="CJ767" t="inlineStr">
        <is>
          <t>Paid</t>
        </is>
      </c>
      <c r="CK767" t="inlineStr">
        <is>
          <t>Not Eligible</t>
        </is>
      </c>
      <c r="CL767"/>
      <c r="CM767"/>
    </row>
    <row r="768" ht="25.5" customHeight="1">
      <c r="A768" t="inlineStr">
        <is>
          <t>191717</t>
        </is>
      </c>
      <c r="B768" s="2"/>
      <c r="C768"/>
      <c r="D768" s="3">
        <v>46133.497615740744</v>
      </c>
      <c r="E768" t="inlineStr">
        <is>
          <t>Q2-W03</t>
        </is>
      </c>
      <c r="F768" t="inlineStr">
        <is>
          <t>Carmen</t>
        </is>
      </c>
      <c r="G768" t="inlineStr">
        <is>
          <t>Customer</t>
        </is>
      </c>
      <c r="H768" s="2" t="str">
        <f>=HYPERLINK("https://upbox.ajobthing.my/customer/191717", "https://upbox.ajobthing.my/customer/191717")</f>
        <v>https://upbox.ajobthing.my/customer/191717</v>
      </c>
      <c r="I768" t="inlineStr">
        <is>
          <t>Glomaz Office Design &amp; Renovation (M) Sdn Bhd</t>
        </is>
      </c>
      <c r="J768" t="inlineStr">
        <is>
          <t>Dolphin</t>
        </is>
      </c>
      <c r="K768" t="inlineStr">
        <is>
          <t>Carmen</t>
        </is>
      </c>
      <c r="L768" s="4"/>
      <c r="M768" s="4">
        <v>46133.49805555555</v>
      </c>
      <c r="N768"/>
      <c r="O768">
        <v>3888</v>
      </c>
      <c r="P768" s="4"/>
      <c r="Q768" s="4">
        <v>45803.46802083333</v>
      </c>
      <c r="R768"/>
      <c r="S768">
        <v>1080</v>
      </c>
      <c r="T768" s="4">
        <v>45803.46802083333</v>
      </c>
      <c r="U768" s="4"/>
      <c r="V768"/>
      <c r="W768">
        <v>1080</v>
      </c>
      <c r="X768"/>
      <c r="Y768" t="inlineStr">
        <is>
          <t>Pending Appointment</t>
        </is>
      </c>
      <c r="Z768" t="inlineStr">
        <is>
          <t>Hiring Now</t>
        </is>
      </c>
      <c r="AA768">
        <v>1</v>
      </c>
      <c r="AB768" t="inlineStr">
        <is>
          <t>No Appointment Made</t>
        </is>
      </c>
      <c r="AC768"/>
      <c r="AD768" t="inlineStr">
        <is>
          <t>1 junior interior design</t>
        </is>
      </c>
      <c r="AE768"/>
      <c r="AF768">
        <v>1000</v>
      </c>
      <c r="AG768" s="4"/>
      <c r="AH768" s="4"/>
      <c r="AI768"/>
      <c r="AJ768"/>
      <c r="AK768"/>
      <c r="AL768"/>
      <c r="AM768"/>
      <c r="AN768"/>
      <c r="AO768"/>
      <c r="AP768" t="inlineStr">
        <is>
          <t>Twice a year (50%)</t>
        </is>
      </c>
      <c r="AQ768"/>
      <c r="AR768"/>
      <c r="AS768" t="inlineStr">
        <is>
          <t>- Headcount: 1
- Hiring Job Details: 1 junior interior design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Twice a year (50%)
- External job portal: Not available</t>
        </is>
      </c>
      <c r="AT768">
        <v>75</v>
      </c>
      <c r="AU768" t="inlineStr">
        <is>
          <t>0.75</t>
        </is>
      </c>
      <c r="AV768" t="inlineStr">
        <is>
          <t>15</t>
        </is>
      </c>
      <c r="AW768" t="inlineStr">
        <is>
          <t>0</t>
        </is>
      </c>
      <c r="AX768" t="inlineStr">
        <is>
          <t>Not Qualified</t>
        </is>
      </c>
      <c r="AY768" s="4"/>
      <c r="AZ768"/>
      <c r="BA768"/>
      <c r="BB768"/>
      <c r="BC768" t="inlineStr">
        <is>
          <t>followup</t>
        </is>
      </c>
      <c r="BD768" s="4">
        <v>46139.63626157407</v>
      </c>
      <c r="BE768" t="inlineStr">
        <is>
          <t>paid</t>
        </is>
      </c>
      <c r="BF768"/>
      <c r="BG768" t="inlineStr">
        <is>
          <t>Reschedule</t>
        </is>
      </c>
      <c r="BH768" t="inlineStr">
        <is>
          <t>Reagen</t>
        </is>
      </c>
      <c r="BI768" t="inlineStr">
        <is>
          <t>Construction / Building</t>
        </is>
      </c>
      <c r="BJ768" s="4">
        <v>46144.7524537037</v>
      </c>
      <c r="BK768" s="4">
        <v>45800.74236111111</v>
      </c>
      <c r="BL768" t="inlineStr">
        <is>
          <t>1080.0</t>
        </is>
      </c>
      <c r="BM768" t="inlineStr">
        <is>
          <t>0.0</t>
        </is>
      </c>
      <c r="BN768" t="inlineStr">
        <is>
          <t>User Visit(Logged In)</t>
        </is>
      </c>
      <c r="BO768" s="4">
        <v>45854.56450231482</v>
      </c>
      <c r="BP768">
        <v>168001</v>
      </c>
      <c r="BQ768">
        <v>79550</v>
      </c>
      <c r="BR768" t="inlineStr">
        <is>
          <t>Online</t>
        </is>
      </c>
      <c r="BS768"/>
      <c r="BT768">
        <v>79550</v>
      </c>
      <c r="BU768"/>
      <c r="BV768">
        <v>2730203</v>
      </c>
      <c r="BW768" t="inlineStr">
        <is>
          <t>Follow Up : Callback Request</t>
        </is>
      </c>
      <c r="BX768"/>
      <c r="BY768"/>
      <c r="BZ768" s="4"/>
      <c r="CA768"/>
      <c r="CB768"/>
      <c r="CC768" s="4"/>
      <c r="CD768" t="inlineStr">
        <is>
          <t>20</t>
        </is>
      </c>
      <c r="CE768" t="inlineStr">
        <is>
          <t>0</t>
        </is>
      </c>
      <c r="CF768" t="inlineStr">
        <is>
          <t>Q2-W03</t>
        </is>
      </c>
      <c r="CG768"/>
      <c r="CH768"/>
      <c r="CI768"/>
      <c r="CJ768" t="inlineStr">
        <is>
          <t>Paid</t>
        </is>
      </c>
      <c r="CK768" t="inlineStr">
        <is>
          <t>Not Eligible</t>
        </is>
      </c>
      <c r="CL768"/>
      <c r="CM768"/>
    </row>
    <row r="769" ht="25.5" customHeight="1">
      <c r="A769" t="inlineStr">
        <is>
          <t>203467</t>
        </is>
      </c>
      <c r="B769" s="2"/>
      <c r="C769"/>
      <c r="D769" s="3">
        <v>46133.49837962963</v>
      </c>
      <c r="E769" t="inlineStr">
        <is>
          <t>Q2-W03</t>
        </is>
      </c>
      <c r="F769" t="inlineStr">
        <is>
          <t>Evan</t>
        </is>
      </c>
      <c r="G769" t="inlineStr">
        <is>
          <t>Customer</t>
        </is>
      </c>
      <c r="H769" s="2" t="str">
        <f>=HYPERLINK("https://upbox.ajobthing.my/customer/203467", "https://upbox.ajobthing.my/customer/203467")</f>
        <v>https://upbox.ajobthing.my/customer/203467</v>
      </c>
      <c r="I769" t="inlineStr">
        <is>
          <t>Palmgold Gold Intan Sdn Bhd (sri Intan Club)</t>
        </is>
      </c>
      <c r="J769" t="inlineStr">
        <is>
          <t>Dolphin</t>
        </is>
      </c>
      <c r="K769" t="inlineStr">
        <is>
          <t>Evan</t>
        </is>
      </c>
      <c r="L769" s="4"/>
      <c r="M769" s="4">
        <v>46133.49521990741</v>
      </c>
      <c r="N769"/>
      <c r="O769">
        <v>3888</v>
      </c>
      <c r="P769" s="4"/>
      <c r="Q769" s="4"/>
      <c r="R769"/>
      <c r="S769"/>
      <c r="T769" s="4"/>
      <c r="U769" s="4"/>
      <c r="V769"/>
      <c r="W769"/>
      <c r="X769"/>
      <c r="Y769" t="inlineStr">
        <is>
          <t>Pending Appointment</t>
        </is>
      </c>
      <c r="Z769" t="inlineStr">
        <is>
          <t>Hiring Now</t>
        </is>
      </c>
      <c r="AA769">
        <v>1</v>
      </c>
      <c r="AB769" t="inlineStr">
        <is>
          <t>No Appointment Made</t>
        </is>
      </c>
      <c r="AC769"/>
      <c r="AD769" t="inlineStr">
        <is>
          <t>1 crew, all base in melaka</t>
        </is>
      </c>
      <c r="AE769"/>
      <c r="AF769">
        <v>1</v>
      </c>
      <c r="AG769" s="4"/>
      <c r="AH769" s="4"/>
      <c r="AI769">
        <v>1</v>
      </c>
      <c r="AJ769">
        <v>1</v>
      </c>
      <c r="AK769" t="inlineStr">
        <is>
          <t>No, I don't need at all</t>
        </is>
      </c>
      <c r="AL769">
        <v>0</v>
      </c>
      <c r="AM769" t="inlineStr">
        <is>
          <t>No, I don't need at all</t>
        </is>
      </c>
      <c r="AN769"/>
      <c r="AO769" t="inlineStr">
        <is>
          <t>No, I don't need at all</t>
        </is>
      </c>
      <c r="AP769" t="inlineStr">
        <is>
          <t>Once a year (25%)</t>
        </is>
      </c>
      <c r="AQ769">
        <v>1</v>
      </c>
      <c r="AR769" t="inlineStr">
        <is>
          <t>Did not use any job portal</t>
        </is>
      </c>
      <c r="AS769" t="inlineStr">
        <is>
          <t>- Headcount: 1
- Hiring Job Details: 1 crew, all based in melaka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769">
        <v>75</v>
      </c>
      <c r="AU769" t="inlineStr">
        <is>
          <t>0.75</t>
        </is>
      </c>
      <c r="AV769" t="inlineStr">
        <is>
          <t>15</t>
        </is>
      </c>
      <c r="AW769" t="inlineStr">
        <is>
          <t>0</t>
        </is>
      </c>
      <c r="AX769" t="inlineStr">
        <is>
          <t>Not Qualified</t>
        </is>
      </c>
      <c r="AY769" s="4"/>
      <c r="AZ769"/>
      <c r="BA769"/>
      <c r="BB769"/>
      <c r="BC769" t="inlineStr">
        <is>
          <t>share promo</t>
        </is>
      </c>
      <c r="BD769" s="4">
        <v>46141.497395833336</v>
      </c>
      <c r="BE769"/>
      <c r="BF769"/>
      <c r="BG769" t="inlineStr">
        <is>
          <t>Reschedule</t>
        </is>
      </c>
      <c r="BH769" t="inlineStr">
        <is>
          <t>Edward Hoo</t>
        </is>
      </c>
      <c r="BI769" t="inlineStr">
        <is>
          <t>Entertainment / Media</t>
        </is>
      </c>
      <c r="BJ769" s="4">
        <v>46144.754328703704</v>
      </c>
      <c r="BK769" s="4">
        <v>46133.47247685185</v>
      </c>
      <c r="BL769" t="inlineStr">
        <is>
          <t>0.0</t>
        </is>
      </c>
      <c r="BM769" t="inlineStr">
        <is>
          <t>0.0</t>
        </is>
      </c>
      <c r="BN769" t="inlineStr">
        <is>
          <t>View Company Page</t>
        </is>
      </c>
      <c r="BO769" s="4">
        <v>46134.46288194445</v>
      </c>
      <c r="BP769">
        <v>167999</v>
      </c>
      <c r="BQ769"/>
      <c r="BR769"/>
      <c r="BS769"/>
      <c r="BT769"/>
      <c r="BU769"/>
      <c r="BV769">
        <v>2734846</v>
      </c>
      <c r="BW769" t="inlineStr">
        <is>
          <t>Follow Up : Decision Pending</t>
        </is>
      </c>
      <c r="BX769"/>
      <c r="BY769"/>
      <c r="BZ769" s="4"/>
      <c r="CA769"/>
      <c r="CB769"/>
      <c r="CC769" s="4"/>
      <c r="CD769" t="inlineStr">
        <is>
          <t>20</t>
        </is>
      </c>
      <c r="CE769" t="inlineStr">
        <is>
          <t>0</t>
        </is>
      </c>
      <c r="CF769" t="inlineStr">
        <is>
          <t>Q2-W03</t>
        </is>
      </c>
      <c r="CG769"/>
      <c r="CH769"/>
      <c r="CI769"/>
      <c r="CJ769" t="inlineStr">
        <is>
          <t>No Paid</t>
        </is>
      </c>
      <c r="CK769" t="inlineStr">
        <is>
          <t>Not Eligible</t>
        </is>
      </c>
      <c r="CL769"/>
      <c r="CM769"/>
    </row>
    <row r="770" ht="25.5" customHeight="1">
      <c r="A770" t="inlineStr">
        <is>
          <t>120782</t>
        </is>
      </c>
      <c r="B770" s="2"/>
      <c r="C770"/>
      <c r="D770" s="3">
        <v>46133.5080787037</v>
      </c>
      <c r="E770" t="inlineStr">
        <is>
          <t>Q2-W03</t>
        </is>
      </c>
      <c r="F770" t="inlineStr">
        <is>
          <t>Alex Chan</t>
        </is>
      </c>
      <c r="G770" t="inlineStr">
        <is>
          <t>Customer</t>
        </is>
      </c>
      <c r="H770" s="2" t="str">
        <f>=HYPERLINK("https://upbox.ajobthing.my/customer/120782", "https://upbox.ajobthing.my/customer/120782")</f>
        <v>https://upbox.ajobthing.my/customer/120782</v>
      </c>
      <c r="I770" t="inlineStr">
        <is>
          <t>Leeden Sdn Bhd</t>
        </is>
      </c>
      <c r="J770" t="inlineStr">
        <is>
          <t>Dolphin</t>
        </is>
      </c>
      <c r="K770" t="inlineStr">
        <is>
          <t>Alex Chan</t>
        </is>
      </c>
      <c r="L770" s="4"/>
      <c r="M770" s="4">
        <v>46133.508310185185</v>
      </c>
      <c r="N770"/>
      <c r="O770">
        <v>3888</v>
      </c>
      <c r="P770" s="4"/>
      <c r="Q770" s="4">
        <v>46142.3528125</v>
      </c>
      <c r="R770"/>
      <c r="S770">
        <v>0</v>
      </c>
      <c r="T770" s="4">
        <v>46141.78424768519</v>
      </c>
      <c r="U770" s="4"/>
      <c r="V770"/>
      <c r="W770">
        <v>864</v>
      </c>
      <c r="X770"/>
      <c r="Y770" t="inlineStr">
        <is>
          <t>Pending Appointment</t>
        </is>
      </c>
      <c r="Z770" t="inlineStr">
        <is>
          <t>Hiring Now</t>
        </is>
      </c>
      <c r="AA770">
        <v>1</v>
      </c>
      <c r="AB770" t="inlineStr">
        <is>
          <t>No Appointment Made</t>
        </is>
      </c>
      <c r="AC770"/>
      <c r="AD770" t="inlineStr">
        <is>
          <t>1x Software Engineer</t>
        </is>
      </c>
      <c r="AE770"/>
      <c r="AF770">
        <v>3000</v>
      </c>
      <c r="AG770" s="4"/>
      <c r="AH770" s="4"/>
      <c r="AI770">
        <v>3000</v>
      </c>
      <c r="AJ770">
        <v>1</v>
      </c>
      <c r="AK770" t="inlineStr">
        <is>
          <t>No, I don't need at all</t>
        </is>
      </c>
      <c r="AL770">
        <v>1</v>
      </c>
      <c r="AM770" t="inlineStr">
        <is>
          <t>No, I don't need at all</t>
        </is>
      </c>
      <c r="AN770"/>
      <c r="AO770" t="inlineStr">
        <is>
          <t>No, I don't need at all</t>
        </is>
      </c>
      <c r="AP770" t="inlineStr">
        <is>
          <t>Once a year (25%)</t>
        </is>
      </c>
      <c r="AQ770">
        <v>1</v>
      </c>
      <c r="AR770" t="inlineStr">
        <is>
          <t>Jobstreet</t>
        </is>
      </c>
      <c r="AS770" t="inlineStr">
        <is>
          <t>- Headcount: 1
- Hiring Job Details: 1x Software Engineer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Jobstreet</t>
        </is>
      </c>
      <c r="AT770">
        <v>115</v>
      </c>
      <c r="AU770" t="inlineStr">
        <is>
          <t>1.15</t>
        </is>
      </c>
      <c r="AV770" t="inlineStr">
        <is>
          <t>15</t>
        </is>
      </c>
      <c r="AW770" t="inlineStr">
        <is>
          <t>0</t>
        </is>
      </c>
      <c r="AX770" t="inlineStr">
        <is>
          <t>Not Qualified</t>
        </is>
      </c>
      <c r="AY770" s="4"/>
      <c r="AZ770"/>
      <c r="BA770"/>
      <c r="BB770"/>
      <c r="BC770" t="inlineStr">
        <is>
          <t>Self intro to Julie. assist on change of name, request ssm</t>
        </is>
      </c>
      <c r="BD770" s="4">
        <v>46141.50194444445</v>
      </c>
      <c r="BE770" t="inlineStr">
        <is>
          <t>paid</t>
        </is>
      </c>
      <c r="BF770" t="inlineStr">
        <is>
          <t>Q2-W04</t>
        </is>
      </c>
      <c r="BG770" t="inlineStr">
        <is>
          <t>Reschedule</t>
        </is>
      </c>
      <c r="BH770" t="inlineStr">
        <is>
          <t>Reagen</t>
        </is>
      </c>
      <c r="BI770" t="inlineStr">
        <is>
          <t>Heavy Industrial / Machinery</t>
        </is>
      </c>
      <c r="BJ770" s="4">
        <v>46144.75025462963</v>
      </c>
      <c r="BK770" s="4">
        <v>43686.50413194444</v>
      </c>
      <c r="BL770" t="inlineStr">
        <is>
          <t>864.0</t>
        </is>
      </c>
      <c r="BM770" t="inlineStr">
        <is>
          <t>0.0</t>
        </is>
      </c>
      <c r="BN770" t="inlineStr">
        <is>
          <t>View Company Page</t>
        </is>
      </c>
      <c r="BO770" s="4">
        <v>46142.793703703705</v>
      </c>
      <c r="BP770">
        <v>168008</v>
      </c>
      <c r="BQ770">
        <v>124132</v>
      </c>
      <c r="BR770" t="inlineStr">
        <is>
          <t>Proforma</t>
        </is>
      </c>
      <c r="BS770" t="inlineStr">
        <is>
          <t>Free Part-Time Job</t>
        </is>
      </c>
      <c r="BT770">
        <v>95139</v>
      </c>
      <c r="BU770"/>
      <c r="BV770">
        <v>2734902</v>
      </c>
      <c r="BW770" t="inlineStr">
        <is>
          <t>Service / Technical : Job Outcome Enquiry</t>
        </is>
      </c>
      <c r="BX770">
        <v>3</v>
      </c>
      <c r="BY770">
        <v>1</v>
      </c>
      <c r="BZ770" s="4">
        <v>46142.79350694444</v>
      </c>
      <c r="CA770">
        <v>10</v>
      </c>
      <c r="CB770">
        <v>10</v>
      </c>
      <c r="CC770" s="4"/>
      <c r="CD770" t="inlineStr">
        <is>
          <t>20</t>
        </is>
      </c>
      <c r="CE770" t="inlineStr">
        <is>
          <t>0</t>
        </is>
      </c>
      <c r="CF770" t="inlineStr">
        <is>
          <t>Q2-W03</t>
        </is>
      </c>
      <c r="CG770" t="inlineStr">
        <is>
          <t>Q2-W04</t>
        </is>
      </c>
      <c r="CH770" t="inlineStr">
        <is>
          <t>Q2-W04</t>
        </is>
      </c>
      <c r="CI770"/>
      <c r="CJ770" t="inlineStr">
        <is>
          <t>Paid</t>
        </is>
      </c>
      <c r="CK770" t="inlineStr">
        <is>
          <t>Not Eligible</t>
        </is>
      </c>
      <c r="CL770"/>
      <c r="CM770"/>
    </row>
    <row r="771" ht="25.5" customHeight="1">
      <c r="A771" t="inlineStr">
        <is>
          <t>203465</t>
        </is>
      </c>
      <c r="B771" s="2"/>
      <c r="C771"/>
      <c r="D771" s="3">
        <v>46133.52982638889</v>
      </c>
      <c r="E771" t="inlineStr">
        <is>
          <t>Q2-W03</t>
        </is>
      </c>
      <c r="F771" t="inlineStr">
        <is>
          <t>Angel  Low</t>
        </is>
      </c>
      <c r="G771" t="inlineStr">
        <is>
          <t>Customer</t>
        </is>
      </c>
      <c r="H771" s="2" t="str">
        <f>=HYPERLINK("https://upbox.ajobthing.my/customer/203465", "https://upbox.ajobthing.my/customer/203465")</f>
        <v>https://upbox.ajobthing.my/customer/203465</v>
      </c>
      <c r="I771" t="inlineStr">
        <is>
          <t>Tang Yi Space Sdn Bhd</t>
        </is>
      </c>
      <c r="J771" t="inlineStr">
        <is>
          <t>Dolphin</t>
        </is>
      </c>
      <c r="K771" t="inlineStr">
        <is>
          <t>Angel Low</t>
        </is>
      </c>
      <c r="L771" s="4"/>
      <c r="M771" s="4">
        <v>46133.125185185185</v>
      </c>
      <c r="N771"/>
      <c r="O771">
        <v>3672</v>
      </c>
      <c r="P771" s="4"/>
      <c r="Q771" s="4">
        <v>46134.59128472222</v>
      </c>
      <c r="R771"/>
      <c r="S771">
        <v>3888</v>
      </c>
      <c r="T771" s="4">
        <v>46134.59128472222</v>
      </c>
      <c r="U771" s="4"/>
      <c r="V771"/>
      <c r="W771">
        <v>3888</v>
      </c>
      <c r="X771"/>
      <c r="Y771" t="inlineStr">
        <is>
          <t>Pending Appointment</t>
        </is>
      </c>
      <c r="Z771"/>
      <c r="AA771">
        <v>2</v>
      </c>
      <c r="AB771" t="inlineStr">
        <is>
          <t>No Appointment Made</t>
        </is>
      </c>
      <c r="AC771"/>
      <c r="AD771" t="inlineStr">
        <is>
          <t xml:space="preserve">2 sales and marketing </t>
        </is>
      </c>
      <c r="AE771"/>
      <c r="AF771"/>
      <c r="AG771" s="4"/>
      <c r="AH771" s="4"/>
      <c r="AI771"/>
      <c r="AJ771"/>
      <c r="AK771"/>
      <c r="AL771"/>
      <c r="AM771"/>
      <c r="AN771"/>
      <c r="AO771"/>
      <c r="AP771"/>
      <c r="AQ771"/>
      <c r="AR771"/>
      <c r="AS771" t="inlineStr">
        <is>
          <t>- Headcount: 2
- Hiring Job Details: 2 sales and marketing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771">
        <v>60</v>
      </c>
      <c r="AU771" t="inlineStr">
        <is>
          <t>0.60</t>
        </is>
      </c>
      <c r="AV771" t="inlineStr">
        <is>
          <t>5</t>
        </is>
      </c>
      <c r="AW771" t="inlineStr">
        <is>
          <t>0</t>
        </is>
      </c>
      <c r="AX771" t="inlineStr">
        <is>
          <t>Not Qualified</t>
        </is>
      </c>
      <c r="AY771" s="4"/>
      <c r="AZ771"/>
      <c r="BA771"/>
      <c r="BB771"/>
      <c r="BC771" t="inlineStr">
        <is>
          <t>assists</t>
        </is>
      </c>
      <c r="BD771" s="4">
        <v>46141.571226851855</v>
      </c>
      <c r="BE771" t="inlineStr">
        <is>
          <t>paid</t>
        </is>
      </c>
      <c r="BF771" t="inlineStr">
        <is>
          <t>Q2-W03</t>
        </is>
      </c>
      <c r="BG771" t="inlineStr">
        <is>
          <t>Reschedule</t>
        </is>
      </c>
      <c r="BH771" t="inlineStr">
        <is>
          <t>Fauziah Maharan</t>
        </is>
      </c>
      <c r="BI771" t="inlineStr">
        <is>
          <t>Architecture / Interior Design</t>
        </is>
      </c>
      <c r="BJ771" s="4">
        <v>46144.754328703704</v>
      </c>
      <c r="BK771" s="4">
        <v>46133.45842592593</v>
      </c>
      <c r="BL771" t="inlineStr">
        <is>
          <t>3888.0</t>
        </is>
      </c>
      <c r="BM771" t="inlineStr">
        <is>
          <t>0.0</t>
        </is>
      </c>
      <c r="BN771" t="inlineStr">
        <is>
          <t>PA Visit - Job Card</t>
        </is>
      </c>
      <c r="BO771" s="4">
        <v>46142.76949074074</v>
      </c>
      <c r="BP771">
        <v>167973</v>
      </c>
      <c r="BQ771">
        <v>94611</v>
      </c>
      <c r="BR771" t="inlineStr">
        <is>
          <t>Online</t>
        </is>
      </c>
      <c r="BS771"/>
      <c r="BT771">
        <v>94611</v>
      </c>
      <c r="BU771"/>
      <c r="BV771">
        <v>2735101</v>
      </c>
      <c r="BW771" t="inlineStr">
        <is>
          <t>Service / Technical : Job Outcome Enquiry</t>
        </is>
      </c>
      <c r="BX771">
        <v>6</v>
      </c>
      <c r="BY771">
        <v>3</v>
      </c>
      <c r="BZ771" s="4">
        <v>46139.608460648145</v>
      </c>
      <c r="CA771">
        <v>60</v>
      </c>
      <c r="CB771">
        <v>59</v>
      </c>
      <c r="CC771" s="4">
        <v>46141.344618055555</v>
      </c>
      <c r="CD771" t="inlineStr">
        <is>
          <t>5</t>
        </is>
      </c>
      <c r="CE771" t="inlineStr">
        <is>
          <t>0</t>
        </is>
      </c>
      <c r="CF771" t="inlineStr">
        <is>
          <t>Q2-W03</t>
        </is>
      </c>
      <c r="CG771" t="inlineStr">
        <is>
          <t>Q2-W03</t>
        </is>
      </c>
      <c r="CH771" t="inlineStr">
        <is>
          <t>Q2-W03</t>
        </is>
      </c>
      <c r="CI771"/>
      <c r="CJ771" t="inlineStr">
        <is>
          <t>Paid</t>
        </is>
      </c>
      <c r="CK771" t="inlineStr">
        <is>
          <t>Not Eligible</t>
        </is>
      </c>
      <c r="CL771"/>
      <c r="CM771"/>
    </row>
    <row r="772" ht="25.5" customHeight="1">
      <c r="A772" t="inlineStr">
        <is>
          <t>4309124</t>
        </is>
      </c>
      <c r="B772" s="2"/>
      <c r="C772"/>
      <c r="D772" s="3">
        <v>46133.541041666664</v>
      </c>
      <c r="E772" t="inlineStr">
        <is>
          <t>Q2-W03</t>
        </is>
      </c>
      <c r="F772" t="inlineStr">
        <is>
          <t>Evan</t>
        </is>
      </c>
      <c r="G772" t="inlineStr">
        <is>
          <t>Lead</t>
        </is>
      </c>
      <c r="H772" s="2" t="str">
        <f>=HYPERLINK("https://upbox.ajobthing.my/leads/4309124", "https://upbox.ajobthing.my/leads/4309124")</f>
        <v>https://upbox.ajobthing.my/leads/4309124</v>
      </c>
      <c r="I772" t="inlineStr">
        <is>
          <t>INTEGRATED MATERIAL HANDLING EQUIPMENT SDN BHD</t>
        </is>
      </c>
      <c r="J772" t="inlineStr">
        <is>
          <t>Dolphin</t>
        </is>
      </c>
      <c r="K772" t="inlineStr">
        <is>
          <t>Evan</t>
        </is>
      </c>
      <c r="L772" s="4"/>
      <c r="M772" s="4">
        <v>46133.5384375</v>
      </c>
      <c r="N772"/>
      <c r="O772">
        <v>3888</v>
      </c>
      <c r="P772" s="4"/>
      <c r="Q772" s="4"/>
      <c r="R772"/>
      <c r="S772"/>
      <c r="T772" s="4"/>
      <c r="U772" s="4"/>
      <c r="V772"/>
      <c r="W772"/>
      <c r="X772"/>
      <c r="Y772" t="inlineStr">
        <is>
          <t>Pending Appointment</t>
        </is>
      </c>
      <c r="Z772" t="inlineStr">
        <is>
          <t>Hiring Now</t>
        </is>
      </c>
      <c r="AA772">
        <v>1</v>
      </c>
      <c r="AB772" t="inlineStr">
        <is>
          <t>No Appointment Made</t>
        </is>
      </c>
      <c r="AC772"/>
      <c r="AD772" t="inlineStr">
        <is>
          <t>1 sales, all base in KL</t>
        </is>
      </c>
      <c r="AE772"/>
      <c r="AF772">
        <v>1</v>
      </c>
      <c r="AG772" s="4"/>
      <c r="AH772" s="4"/>
      <c r="AI772">
        <v>1</v>
      </c>
      <c r="AJ772">
        <v>1</v>
      </c>
      <c r="AK772" t="inlineStr">
        <is>
          <t>No, I don't need at all</t>
        </is>
      </c>
      <c r="AL772">
        <v>0</v>
      </c>
      <c r="AM772" t="inlineStr">
        <is>
          <t>No, I don't need at all</t>
        </is>
      </c>
      <c r="AN772"/>
      <c r="AO772" t="inlineStr">
        <is>
          <t>No, I don't need at all</t>
        </is>
      </c>
      <c r="AP772" t="inlineStr">
        <is>
          <t>Once a year (25%)</t>
        </is>
      </c>
      <c r="AQ772">
        <v>1</v>
      </c>
      <c r="AR772" t="inlineStr">
        <is>
          <t>Did not use any job portal</t>
        </is>
      </c>
      <c r="AS772" t="inlineStr">
        <is>
          <t>- Headcount: 1
- Hiring Job Details: 1 sales (all based in KL)
- Hiring Urgency: Hiring Now
- Number of outlets: 1
- Have recruiter team: No, don't need at all
- Number of recruiter in company: 0
- Have ATS system: No, don't need at all
- Have career website: No, don't need at all
- Current hiring budget: RM1
- Whole year budget: RM1.00
- Whole year number of vacancies: 1
- Hiring frequency: Once a year (25%)
- External job portal: Did not use any</t>
        </is>
      </c>
      <c r="AT772">
        <v>110</v>
      </c>
      <c r="AU772" t="inlineStr">
        <is>
          <t>1.10</t>
        </is>
      </c>
      <c r="AV772" t="inlineStr">
        <is>
          <t>15</t>
        </is>
      </c>
      <c r="AW772" t="inlineStr">
        <is>
          <t>0</t>
        </is>
      </c>
      <c r="AX772" t="inlineStr">
        <is>
          <t>Not Qualified</t>
        </is>
      </c>
      <c r="AY772" s="4"/>
      <c r="AZ772"/>
      <c r="BA772"/>
      <c r="BB772"/>
      <c r="BC772"/>
      <c r="BD772" s="4"/>
      <c r="BE772"/>
      <c r="BF772"/>
      <c r="BG772" t="inlineStr">
        <is>
          <t>Reschedule</t>
        </is>
      </c>
      <c r="BH772" t="inlineStr">
        <is>
          <t>Edward Hoo</t>
        </is>
      </c>
      <c r="BI772"/>
      <c r="BJ772" s="4">
        <v>46144.75587962963</v>
      </c>
      <c r="BK772" s="4">
        <v>46133.5093287037</v>
      </c>
      <c r="BL772" t="inlineStr">
        <is>
          <t>0.0</t>
        </is>
      </c>
      <c r="BM772" t="inlineStr">
        <is>
          <t>0.0</t>
        </is>
      </c>
      <c r="BN772"/>
      <c r="BO772" s="4"/>
      <c r="BP772">
        <v>168014</v>
      </c>
      <c r="BQ772"/>
      <c r="BR772"/>
      <c r="BS772"/>
      <c r="BT772"/>
      <c r="BU772"/>
      <c r="BV772"/>
      <c r="BW772"/>
      <c r="BX772"/>
      <c r="BY772"/>
      <c r="BZ772" s="4"/>
      <c r="CA772"/>
      <c r="CB772"/>
      <c r="CC772" s="4"/>
      <c r="CD772" t="inlineStr">
        <is>
          <t>20</t>
        </is>
      </c>
      <c r="CE772" t="inlineStr">
        <is>
          <t>0</t>
        </is>
      </c>
      <c r="CF772" t="inlineStr">
        <is>
          <t>Q2-W03</t>
        </is>
      </c>
      <c r="CG772"/>
      <c r="CH772"/>
      <c r="CI772"/>
      <c r="CJ772" t="inlineStr">
        <is>
          <t>No Paid</t>
        </is>
      </c>
      <c r="CK772" t="inlineStr">
        <is>
          <t>Not Eligible</t>
        </is>
      </c>
      <c r="CL772"/>
      <c r="CM772"/>
    </row>
    <row r="773" ht="25.5" customHeight="1">
      <c r="A773" t="inlineStr">
        <is>
          <t>172279</t>
        </is>
      </c>
      <c r="B773" s="2"/>
      <c r="C773"/>
      <c r="D773" s="3">
        <v>46133.57365740741</v>
      </c>
      <c r="E773" t="inlineStr">
        <is>
          <t>Q2-W03</t>
        </is>
      </c>
      <c r="F773" t="inlineStr">
        <is>
          <t>Jess</t>
        </is>
      </c>
      <c r="G773" t="inlineStr">
        <is>
          <t>Customer</t>
        </is>
      </c>
      <c r="H773" s="2" t="str">
        <f>=HYPERLINK("https://upbox.ajobthing.my/customer/172279", "https://upbox.ajobthing.my/customer/172279")</f>
        <v>https://upbox.ajobthing.my/customer/172279</v>
      </c>
      <c r="I773" t="inlineStr">
        <is>
          <t>Pusat Rakan Pendengaran Gembira</t>
        </is>
      </c>
      <c r="J773" t="inlineStr">
        <is>
          <t>Dolphin</t>
        </is>
      </c>
      <c r="K773" t="inlineStr">
        <is>
          <t>Jess Lim</t>
        </is>
      </c>
      <c r="L773" s="4"/>
      <c r="M773" s="4">
        <v>46133.57405092593</v>
      </c>
      <c r="N773"/>
      <c r="O773">
        <v>3888</v>
      </c>
      <c r="P773" s="4"/>
      <c r="Q773" s="4">
        <v>46130.569131944445</v>
      </c>
      <c r="R773"/>
      <c r="S773">
        <v>0</v>
      </c>
      <c r="T773" s="4">
        <v>45841.428981481484</v>
      </c>
      <c r="U773" s="4"/>
      <c r="V773"/>
      <c r="W773">
        <v>1296</v>
      </c>
      <c r="X773"/>
      <c r="Y773" t="inlineStr">
        <is>
          <t>Pending Appointment</t>
        </is>
      </c>
      <c r="Z773" t="inlineStr">
        <is>
          <t>Hiring Now</t>
        </is>
      </c>
      <c r="AA773">
        <v>2</v>
      </c>
      <c r="AB773" t="inlineStr">
        <is>
          <t>No Appointment Made</t>
        </is>
      </c>
      <c r="AC773"/>
      <c r="AD773" t="inlineStr">
        <is>
          <t>audioslogist 2</t>
        </is>
      </c>
      <c r="AE773"/>
      <c r="AF773">
        <v>1200</v>
      </c>
      <c r="AG773" s="4"/>
      <c r="AH773" s="4"/>
      <c r="AI773"/>
      <c r="AJ773">
        <v>1</v>
      </c>
      <c r="AK773" t="inlineStr">
        <is>
          <t>No, I don't need at all</t>
        </is>
      </c>
      <c r="AL773">
        <v>1</v>
      </c>
      <c r="AM773" t="inlineStr">
        <is>
          <t>No, I don't need at all</t>
        </is>
      </c>
      <c r="AN773"/>
      <c r="AO773" t="inlineStr">
        <is>
          <t>No, I don't need at all</t>
        </is>
      </c>
      <c r="AP773" t="inlineStr">
        <is>
          <t>Once a year (25%)</t>
        </is>
      </c>
      <c r="AQ773"/>
      <c r="AR773" t="inlineStr">
        <is>
          <t>Jobstreet</t>
        </is>
      </c>
      <c r="AS773" t="inlineStr">
        <is>
          <t>- Headcount: 2
- Hiring Job Details: 2 audiologists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is>
      </c>
      <c r="AT773">
        <v>110</v>
      </c>
      <c r="AU773" t="inlineStr">
        <is>
          <t>1.10</t>
        </is>
      </c>
      <c r="AV773" t="inlineStr">
        <is>
          <t>15</t>
        </is>
      </c>
      <c r="AW773" t="inlineStr">
        <is>
          <t>0</t>
        </is>
      </c>
      <c r="AX773" t="inlineStr">
        <is>
          <t>Not Qualified</t>
        </is>
      </c>
      <c r="AY773" s="4"/>
      <c r="AZ773"/>
      <c r="BA773"/>
      <c r="BB773"/>
      <c r="BC773" t="inlineStr">
        <is>
          <t>- Headcount: 2
- Hiring Job Details: 2 audiologists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is>
      </c>
      <c r="BD773" s="4">
        <v>46133.58335648148</v>
      </c>
      <c r="BE773" t="inlineStr">
        <is>
          <t>paid</t>
        </is>
      </c>
      <c r="BF773"/>
      <c r="BG773" t="inlineStr">
        <is>
          <t>Reschedule</t>
        </is>
      </c>
      <c r="BH773" t="inlineStr">
        <is>
          <t>Fauziah Maharan</t>
        </is>
      </c>
      <c r="BI773" t="inlineStr">
        <is>
          <t>Healthcare / Medical</t>
        </is>
      </c>
      <c r="BJ773" s="4">
        <v>46144.75148148148</v>
      </c>
      <c r="BK773" s="4">
        <v>45223.661157407405</v>
      </c>
      <c r="BL773" t="inlineStr">
        <is>
          <t>1296.0</t>
        </is>
      </c>
      <c r="BM773" t="inlineStr">
        <is>
          <t>0.0</t>
        </is>
      </c>
      <c r="BN773" t="inlineStr">
        <is>
          <t>User Visit(Logged In)</t>
        </is>
      </c>
      <c r="BO773" s="4">
        <v>46132.405381944445</v>
      </c>
      <c r="BP773">
        <v>168020</v>
      </c>
      <c r="BQ773">
        <v>123076</v>
      </c>
      <c r="BR773" t="inlineStr">
        <is>
          <t>Proforma</t>
        </is>
      </c>
      <c r="BS773" t="inlineStr">
        <is>
          <t>Free Part-Time Job</t>
        </is>
      </c>
      <c r="BT773">
        <v>80521</v>
      </c>
      <c r="BU773"/>
      <c r="BV773">
        <v>2718152</v>
      </c>
      <c r="BW773" t="inlineStr">
        <is>
          <t>Customer Inquiry</t>
        </is>
      </c>
      <c r="BX773"/>
      <c r="BY773"/>
      <c r="BZ773" s="4"/>
      <c r="CA773"/>
      <c r="CB773"/>
      <c r="CC773" s="4"/>
      <c r="CD773" t="inlineStr">
        <is>
          <t>20</t>
        </is>
      </c>
      <c r="CE773" t="inlineStr">
        <is>
          <t>0</t>
        </is>
      </c>
      <c r="CF773" t="inlineStr">
        <is>
          <t>Q2-W03</t>
        </is>
      </c>
      <c r="CG773" t="inlineStr">
        <is>
          <t>Q2-W03</t>
        </is>
      </c>
      <c r="CH773"/>
      <c r="CI773"/>
      <c r="CJ773" t="inlineStr">
        <is>
          <t>Paid</t>
        </is>
      </c>
      <c r="CK773" t="inlineStr">
        <is>
          <t>Not Eligible</t>
        </is>
      </c>
      <c r="CL773"/>
      <c r="CM773"/>
    </row>
    <row r="774" ht="25.5" customHeight="1">
      <c r="A774" t="inlineStr">
        <is>
          <t>201657</t>
        </is>
      </c>
      <c r="B774" s="2"/>
      <c r="C774"/>
      <c r="D774" s="3">
        <v>46133.578194444446</v>
      </c>
      <c r="E774" t="inlineStr">
        <is>
          <t>Q2-W03</t>
        </is>
      </c>
      <c r="F774" t="inlineStr">
        <is>
          <t>Janice Yap</t>
        </is>
      </c>
      <c r="G774" t="inlineStr">
        <is>
          <t>Customer</t>
        </is>
      </c>
      <c r="H774" s="2" t="str">
        <f>=HYPERLINK("https://upbox.ajobthing.my/customer/201657", "https://upbox.ajobthing.my/customer/201657")</f>
        <v>https://upbox.ajobthing.my/customer/201657</v>
      </c>
      <c r="I774" t="inlineStr">
        <is>
          <t>Kskin Management Sdn Bhd</t>
        </is>
      </c>
      <c r="J774" t="inlineStr">
        <is>
          <t>Dolphin</t>
        </is>
      </c>
      <c r="K774" t="inlineStr">
        <is>
          <t>Janice</t>
        </is>
      </c>
      <c r="L774" s="4"/>
      <c r="M774" s="4">
        <v>46133.57699074074</v>
      </c>
      <c r="N774"/>
      <c r="O774">
        <v>3888</v>
      </c>
      <c r="P774" s="4"/>
      <c r="Q774" s="4">
        <v>46139.69730324074</v>
      </c>
      <c r="R774"/>
      <c r="S774">
        <v>1296</v>
      </c>
      <c r="T774" s="4">
        <v>46139.69730324074</v>
      </c>
      <c r="U774" s="4"/>
      <c r="V774"/>
      <c r="W774">
        <v>1296</v>
      </c>
      <c r="X774"/>
      <c r="Y774" t="inlineStr">
        <is>
          <t>Pending Appointment</t>
        </is>
      </c>
      <c r="Z774" t="inlineStr">
        <is>
          <t>Hiring Now</t>
        </is>
      </c>
      <c r="AA774">
        <v>2</v>
      </c>
      <c r="AB774" t="inlineStr">
        <is>
          <t>No Appointment Made</t>
        </is>
      </c>
      <c r="AC774"/>
      <c r="AD774" t="inlineStr">
        <is>
          <t xml:space="preserve">2 Psychotherapist </t>
        </is>
      </c>
      <c r="AE774"/>
      <c r="AF774">
        <v>0</v>
      </c>
      <c r="AG774" s="4"/>
      <c r="AH774" s="4"/>
      <c r="AI774">
        <v>0</v>
      </c>
      <c r="AJ774"/>
      <c r="AK774" t="inlineStr">
        <is>
          <t>No, I don't need at all</t>
        </is>
      </c>
      <c r="AL774">
        <v>0</v>
      </c>
      <c r="AM774" t="inlineStr">
        <is>
          <t>No, I don't need at all</t>
        </is>
      </c>
      <c r="AN774"/>
      <c r="AO774" t="inlineStr">
        <is>
          <t>No, I don't need at all</t>
        </is>
      </c>
      <c r="AP774" t="inlineStr">
        <is>
          <t>Once a year (25%)</t>
        </is>
      </c>
      <c r="AQ774">
        <v>2</v>
      </c>
      <c r="AR774"/>
      <c r="AS774" t="inlineStr">
        <is>
          <t>- Headcount: 2
- Hiring Job Details: 2 Psychotherapist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None</t>
        </is>
      </c>
      <c r="AT774">
        <v>110</v>
      </c>
      <c r="AU774" t="inlineStr">
        <is>
          <t>1.10</t>
        </is>
      </c>
      <c r="AV774" t="inlineStr">
        <is>
          <t>15</t>
        </is>
      </c>
      <c r="AW774" t="inlineStr">
        <is>
          <t>0</t>
        </is>
      </c>
      <c r="AX774" t="inlineStr">
        <is>
          <t>Not Qualified</t>
        </is>
      </c>
      <c r="AY774" s="4"/>
      <c r="AZ774"/>
      <c r="BA774"/>
      <c r="BB774"/>
      <c r="BC774" t="inlineStr">
        <is>
          <t>Help to verify company account // pending SSM form</t>
        </is>
      </c>
      <c r="BD774" s="4">
        <v>46140.43498842593</v>
      </c>
      <c r="BE774" t="inlineStr">
        <is>
          <t>paid</t>
        </is>
      </c>
      <c r="BF774" t="inlineStr">
        <is>
          <t>Q2-W04</t>
        </is>
      </c>
      <c r="BG774" t="inlineStr">
        <is>
          <t>Reschedule</t>
        </is>
      </c>
      <c r="BH774" t="inlineStr">
        <is>
          <t>Yee Hang</t>
        </is>
      </c>
      <c r="BI774"/>
      <c r="BJ774" s="4">
        <v>46144.75383101852</v>
      </c>
      <c r="BK774" s="4">
        <v>46084.71135416667</v>
      </c>
      <c r="BL774" t="inlineStr">
        <is>
          <t>1296.0</t>
        </is>
      </c>
      <c r="BM774" t="inlineStr">
        <is>
          <t>300.0</t>
        </is>
      </c>
      <c r="BN774" t="inlineStr">
        <is>
          <t>View Company Page</t>
        </is>
      </c>
      <c r="BO774" s="4">
        <v>46141.59011574074</v>
      </c>
      <c r="BP774">
        <v>168022</v>
      </c>
      <c r="BQ774">
        <v>94822</v>
      </c>
      <c r="BR774" t="inlineStr">
        <is>
          <t>Online</t>
        </is>
      </c>
      <c r="BS774"/>
      <c r="BT774">
        <v>94822</v>
      </c>
      <c r="BU774"/>
      <c r="BV774">
        <v>2731815</v>
      </c>
      <c r="BW774" t="inlineStr">
        <is>
          <t>Service / Technical : Help To Post Job</t>
        </is>
      </c>
      <c r="BX774">
        <v>1</v>
      </c>
      <c r="BY774">
        <v>0</v>
      </c>
      <c r="BZ774" s="4">
        <v>46141.589895833335</v>
      </c>
      <c r="CA774">
        <v>10</v>
      </c>
      <c r="CB774">
        <v>10</v>
      </c>
      <c r="CC774" s="4"/>
      <c r="CD774" t="inlineStr">
        <is>
          <t>20</t>
        </is>
      </c>
      <c r="CE774" t="inlineStr">
        <is>
          <t>0</t>
        </is>
      </c>
      <c r="CF774" t="inlineStr">
        <is>
          <t>Q2-W03</t>
        </is>
      </c>
      <c r="CG774" t="inlineStr">
        <is>
          <t>Q2-W04</t>
        </is>
      </c>
      <c r="CH774" t="inlineStr">
        <is>
          <t>Q2-W04</t>
        </is>
      </c>
      <c r="CI774"/>
      <c r="CJ774" t="inlineStr">
        <is>
          <t>Paid</t>
        </is>
      </c>
      <c r="CK774" t="inlineStr">
        <is>
          <t>Not Eligible</t>
        </is>
      </c>
      <c r="CL774"/>
      <c r="CM774"/>
    </row>
    <row r="775" ht="25.5" customHeight="1">
      <c r="A775" t="inlineStr">
        <is>
          <t>203401</t>
        </is>
      </c>
      <c r="B775" s="2"/>
      <c r="C775"/>
      <c r="D775" s="3">
        <v>46133.584074074075</v>
      </c>
      <c r="E775" t="inlineStr">
        <is>
          <t>Q2-W03</t>
        </is>
      </c>
      <c r="F775" t="inlineStr">
        <is>
          <t>Eugene</t>
        </is>
      </c>
      <c r="G775" t="inlineStr">
        <is>
          <t>Customer</t>
        </is>
      </c>
      <c r="H775" s="2" t="str">
        <f>=HYPERLINK("https://upbox.ajobthing.my/customer/203401", "https://upbox.ajobthing.my/customer/203401")</f>
        <v>https://upbox.ajobthing.my/customer/203401</v>
      </c>
      <c r="I775" t="inlineStr">
        <is>
          <t xml:space="preserve">Nla Dfk </t>
        </is>
      </c>
      <c r="J775" t="inlineStr">
        <is>
          <t>Dolphin</t>
        </is>
      </c>
      <c r="K775" t="inlineStr">
        <is>
          <t>Eugene</t>
        </is>
      </c>
      <c r="L775" s="4"/>
      <c r="M775" s="4">
        <v>46133.58476851852</v>
      </c>
      <c r="N775"/>
      <c r="O775">
        <v>3888</v>
      </c>
      <c r="P775" s="4"/>
      <c r="Q775" s="4">
        <v>46131.72707175926</v>
      </c>
      <c r="R775"/>
      <c r="S775">
        <v>0</v>
      </c>
      <c r="T775" s="4"/>
      <c r="U775" s="4"/>
      <c r="V775"/>
      <c r="W775"/>
      <c r="X775" t="inlineStr">
        <is>
          <t>Edward Hoo</t>
        </is>
      </c>
      <c r="Y775" t="inlineStr">
        <is>
          <t>Done Appointment</t>
        </is>
      </c>
      <c r="Z775" t="inlineStr">
        <is>
          <t>Hiring Now</t>
        </is>
      </c>
      <c r="AA775">
        <v>5</v>
      </c>
      <c r="AB775" t="inlineStr">
        <is>
          <t>Appointment Made</t>
        </is>
      </c>
      <c r="AC775" t="inlineStr">
        <is>
          <t>Large (101-300 employees)</t>
        </is>
      </c>
      <c r="AD775" t="inlineStr">
        <is>
          <t>5 audit exec, based in Penang</t>
        </is>
      </c>
      <c r="AE775" t="inlineStr">
        <is>
          <t>HR Manager / Talent Manager</t>
        </is>
      </c>
      <c r="AF775">
        <v>3000</v>
      </c>
      <c r="AG775" s="4">
        <v>46133.5625</v>
      </c>
      <c r="AH775" s="4">
        <v>46133.583333333336</v>
      </c>
      <c r="AI775">
        <v>3000</v>
      </c>
      <c r="AJ775">
        <v>3</v>
      </c>
      <c r="AK775" t="inlineStr">
        <is>
          <t>No, but I want in future</t>
        </is>
      </c>
      <c r="AL775">
        <v>1</v>
      </c>
      <c r="AM775" t="inlineStr">
        <is>
          <t>No, I don't need at all</t>
        </is>
      </c>
      <c r="AN775"/>
      <c r="AO775" t="inlineStr">
        <is>
          <t>No, I don't need at all</t>
        </is>
      </c>
      <c r="AP775" t="inlineStr">
        <is>
          <t>Once per quarter (75%)</t>
        </is>
      </c>
      <c r="AQ775">
        <v>10</v>
      </c>
      <c r="AR775" t="inlineStr">
        <is>
          <t>Jobstreet</t>
        </is>
      </c>
      <c r="AS775" t="inlineStr">
        <is>
          <t>- Headcount: 5
- Hiring Job Details: 5 audit exec, based in Penang
- Hiring Urgency: Hiring Now
- Number of outlets: 3
- Have recruiter team: No, but I want in future
- Number of recruiter in company: 1
- Have ATS system: No, I don't need at all
- Have career website: No, I don't need at all
- Current hiring budget: RM3,000
- Whole year budget: RM3,000.00
- Whole year number of vacancies: 10
- Hiring frequency: Once per quarter (75%)
- External job portal: Jobstreet</t>
        </is>
      </c>
      <c r="AT775">
        <v>110</v>
      </c>
      <c r="AU775" t="inlineStr">
        <is>
          <t>1.10</t>
        </is>
      </c>
      <c r="AV775" t="inlineStr">
        <is>
          <t>45</t>
        </is>
      </c>
      <c r="AW775" t="inlineStr">
        <is>
          <t>0.5</t>
        </is>
      </c>
      <c r="AX775" t="inlineStr">
        <is>
          <t>Not Qualified</t>
        </is>
      </c>
      <c r="AY775" s="4">
        <v>46133.59447916667</v>
      </c>
      <c r="AZ775" t="inlineStr">
        <is>
          <t>Base Assistant</t>
        </is>
      </c>
      <c r="BA775"/>
      <c r="BB775"/>
      <c r="BC775" t="inlineStr">
        <is>
          <t>- Headcount: 5
- Hiring Job Details: 5 audit exec, based in Penang
- Hiring Urgency: Hiring Now
- Number of outlets: 3
- Have recruiter team: No, but I want in future
- Number of recruiter in company: 1
- Have ATS system: No, I don't need at all
- Have career website: No, I don't need at all
- Current hiring budget: RM3,000
- Whole year budget: RM3,000.00
- Whole year number of vacancies: 10
- Hiring frequency: Once per quarter (75%)
- External job portal: Jobstreet</t>
        </is>
      </c>
      <c r="BD775" s="4">
        <v>46133.62503472222</v>
      </c>
      <c r="BE775" t="inlineStr">
        <is>
          <t>paid</t>
        </is>
      </c>
      <c r="BF775"/>
      <c r="BG775" t="inlineStr">
        <is>
          <t>Reschedule</t>
        </is>
      </c>
      <c r="BH775" t="inlineStr">
        <is>
          <t>Edward Hoo</t>
        </is>
      </c>
      <c r="BI775"/>
      <c r="BJ775" s="4">
        <v>46144.75430555556</v>
      </c>
      <c r="BK775" s="4">
        <v>46131.72613425926</v>
      </c>
      <c r="BL775" t="inlineStr">
        <is>
          <t>0.0</t>
        </is>
      </c>
      <c r="BM775" t="inlineStr">
        <is>
          <t>0.0</t>
        </is>
      </c>
      <c r="BN775" t="inlineStr">
        <is>
          <t>User Visit(Logged In)</t>
        </is>
      </c>
      <c r="BO775" s="4">
        <v>46132.67612268519</v>
      </c>
      <c r="BP775">
        <v>168023</v>
      </c>
      <c r="BQ775">
        <v>123139</v>
      </c>
      <c r="BR775" t="inlineStr">
        <is>
          <t>Proforma</t>
        </is>
      </c>
      <c r="BS775" t="inlineStr">
        <is>
          <t>Free Part-Time Job</t>
        </is>
      </c>
      <c r="BT775"/>
      <c r="BU775"/>
      <c r="BV775">
        <v>2718402</v>
      </c>
      <c r="BW775" t="inlineStr">
        <is>
          <t>Customer Inquiry</t>
        </is>
      </c>
      <c r="BX775"/>
      <c r="BY775"/>
      <c r="BZ775" s="4"/>
      <c r="CA775"/>
      <c r="CB775"/>
      <c r="CC775" s="4"/>
      <c r="CD775" t="inlineStr">
        <is>
          <t>65</t>
        </is>
      </c>
      <c r="CE775" t="inlineStr">
        <is>
          <t>0.8</t>
        </is>
      </c>
      <c r="CF775" t="inlineStr">
        <is>
          <t>Q2-W03</t>
        </is>
      </c>
      <c r="CG775" t="inlineStr">
        <is>
          <t>Q2-W03</t>
        </is>
      </c>
      <c r="CH775"/>
      <c r="CI775" t="inlineStr">
        <is>
          <t>Q2-W03</t>
        </is>
      </c>
      <c r="CJ775" t="inlineStr">
        <is>
          <t>No Paid</t>
        </is>
      </c>
      <c r="CK775" t="inlineStr">
        <is>
          <t>Not Eligible</t>
        </is>
      </c>
      <c r="CL775"/>
      <c r="CM775" t="inlineStr">
        <is>
          <t>Q2-W03</t>
        </is>
      </c>
    </row>
    <row r="776" ht="25.5" customHeight="1">
      <c r="A776" t="inlineStr">
        <is>
          <t>4308155</t>
        </is>
      </c>
      <c r="B776" s="2"/>
      <c r="C776"/>
      <c r="D776" s="3">
        <v>46133.59427083333</v>
      </c>
      <c r="E776" t="inlineStr">
        <is>
          <t>Q2-W03</t>
        </is>
      </c>
      <c r="F776" t="inlineStr">
        <is>
          <t>Eugene</t>
        </is>
      </c>
      <c r="G776" t="inlineStr">
        <is>
          <t>Lead</t>
        </is>
      </c>
      <c r="H776" s="2" t="str">
        <f>=HYPERLINK("https://upbox.ajobthing.my/leads/4308155", "https://upbox.ajobthing.my/leads/4308155")</f>
        <v>https://upbox.ajobthing.my/leads/4308155</v>
      </c>
      <c r="I776" t="inlineStr">
        <is>
          <t>meridian world sdn bhd</t>
        </is>
      </c>
      <c r="J776" t="inlineStr">
        <is>
          <t>Dolphin</t>
        </is>
      </c>
      <c r="K776" t="inlineStr">
        <is>
          <t>Eugene</t>
        </is>
      </c>
      <c r="L776" s="4"/>
      <c r="M776" s="4">
        <v>46133.42141203704</v>
      </c>
      <c r="N776"/>
      <c r="O776">
        <v>3888</v>
      </c>
      <c r="P776" s="4"/>
      <c r="Q776" s="4"/>
      <c r="R776"/>
      <c r="S776"/>
      <c r="T776" s="4"/>
      <c r="U776" s="4"/>
      <c r="V776"/>
      <c r="W776"/>
      <c r="X776"/>
      <c r="Y776" t="inlineStr">
        <is>
          <t>Pending Appointment</t>
        </is>
      </c>
      <c r="Z776" t="inlineStr">
        <is>
          <t>Hiring Now</t>
        </is>
      </c>
      <c r="AA776">
        <v>1</v>
      </c>
      <c r="AB776" t="inlineStr">
        <is>
          <t>No Appointment Made</t>
        </is>
      </c>
      <c r="AC776"/>
      <c r="AD776" t="inlineStr">
        <is>
          <t>1 sales, based in Kedah</t>
        </is>
      </c>
      <c r="AE776"/>
      <c r="AF776">
        <v>3000</v>
      </c>
      <c r="AG776" s="4"/>
      <c r="AH776" s="4"/>
      <c r="AI776">
        <v>3000</v>
      </c>
      <c r="AJ776">
        <v>3</v>
      </c>
      <c r="AK776" t="inlineStr">
        <is>
          <t>No, I don't need at all</t>
        </is>
      </c>
      <c r="AL776">
        <v>1</v>
      </c>
      <c r="AM776" t="inlineStr">
        <is>
          <t>No, I don't need at all</t>
        </is>
      </c>
      <c r="AN776"/>
      <c r="AO776" t="inlineStr">
        <is>
          <t>No, I don't need at all</t>
        </is>
      </c>
      <c r="AP776" t="inlineStr">
        <is>
          <t>Once a year (25%)</t>
        </is>
      </c>
      <c r="AQ776">
        <v>3</v>
      </c>
      <c r="AR776" t="inlineStr">
        <is>
          <t>Free Job Portal</t>
        </is>
      </c>
      <c r="AS776" t="inlineStr">
        <is>
          <t>- Headcount: 1
- Hiring Job Details: 1 sales, based in Kedah
- Hiring Urgency: Hiring Now
- Number of outlets: 3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is>
      </c>
      <c r="AT776">
        <v>115</v>
      </c>
      <c r="AU776" t="inlineStr">
        <is>
          <t>1.15</t>
        </is>
      </c>
      <c r="AV776" t="inlineStr">
        <is>
          <t>15</t>
        </is>
      </c>
      <c r="AW776" t="inlineStr">
        <is>
          <t>0</t>
        </is>
      </c>
      <c r="AX776" t="inlineStr">
        <is>
          <t>Not Qualified</t>
        </is>
      </c>
      <c r="AY776" s="4"/>
      <c r="AZ776"/>
      <c r="BA776"/>
      <c r="BB776"/>
      <c r="BC776"/>
      <c r="BD776" s="4"/>
      <c r="BE776"/>
      <c r="BF776"/>
      <c r="BG776" t="inlineStr">
        <is>
          <t>Reschedule</t>
        </is>
      </c>
      <c r="BH776" t="inlineStr">
        <is>
          <t>Edward Hoo</t>
        </is>
      </c>
      <c r="BI776"/>
      <c r="BJ776" s="4">
        <v>46144.75587962963</v>
      </c>
      <c r="BK776" s="4">
        <v>46133.3481712963</v>
      </c>
      <c r="BL776" t="inlineStr">
        <is>
          <t>0.0</t>
        </is>
      </c>
      <c r="BM776" t="inlineStr">
        <is>
          <t>0.0</t>
        </is>
      </c>
      <c r="BN776"/>
      <c r="BO776" s="4"/>
      <c r="BP776">
        <v>167942</v>
      </c>
      <c r="BQ776"/>
      <c r="BR776"/>
      <c r="BS776"/>
      <c r="BT776"/>
      <c r="BU776"/>
      <c r="BV776"/>
      <c r="BW776"/>
      <c r="BX776"/>
      <c r="BY776"/>
      <c r="BZ776" s="4"/>
      <c r="CA776"/>
      <c r="CB776"/>
      <c r="CC776" s="4"/>
      <c r="CD776" t="inlineStr">
        <is>
          <t>20</t>
        </is>
      </c>
      <c r="CE776" t="inlineStr">
        <is>
          <t>0</t>
        </is>
      </c>
      <c r="CF776" t="inlineStr">
        <is>
          <t>Q2-W03</t>
        </is>
      </c>
      <c r="CG776"/>
      <c r="CH776"/>
      <c r="CI776"/>
      <c r="CJ776" t="inlineStr">
        <is>
          <t>No Paid</t>
        </is>
      </c>
      <c r="CK776" t="inlineStr">
        <is>
          <t>Not Eligible</t>
        </is>
      </c>
      <c r="CL776"/>
      <c r="CM776"/>
    </row>
    <row r="777" ht="25.5" customHeight="1">
      <c r="A777" t="inlineStr">
        <is>
          <t>129982</t>
        </is>
      </c>
      <c r="B777" s="2"/>
      <c r="C777"/>
      <c r="D777" s="3">
        <v>46133.595243055555</v>
      </c>
      <c r="E777" t="inlineStr">
        <is>
          <t>Q2-W03</t>
        </is>
      </c>
      <c r="F777" t="inlineStr">
        <is>
          <t>Eugene</t>
        </is>
      </c>
      <c r="G777" t="inlineStr">
        <is>
          <t>Customer</t>
        </is>
      </c>
      <c r="H777" s="2" t="str">
        <f>=HYPERLINK("https://upbox.ajobthing.my/customer/129982", "https://upbox.ajobthing.my/customer/129982")</f>
        <v>https://upbox.ajobthing.my/customer/129982</v>
      </c>
      <c r="I777" t="inlineStr">
        <is>
          <t>Meridian World Sdn Bhd</t>
        </is>
      </c>
      <c r="J777" t="inlineStr">
        <is>
          <t>Dolphin</t>
        </is>
      </c>
      <c r="K777" t="inlineStr">
        <is>
          <t>Eugene</t>
        </is>
      </c>
      <c r="L777" s="4"/>
      <c r="M777" s="4">
        <v>46133.42181712963</v>
      </c>
      <c r="N777"/>
      <c r="O777">
        <v>3888</v>
      </c>
      <c r="P777" s="4"/>
      <c r="Q777" s="4"/>
      <c r="R777"/>
      <c r="S777"/>
      <c r="T777" s="4"/>
      <c r="U777" s="4"/>
      <c r="V777"/>
      <c r="W777"/>
      <c r="X777"/>
      <c r="Y777" t="inlineStr">
        <is>
          <t>Pending Appointment</t>
        </is>
      </c>
      <c r="Z777" t="inlineStr">
        <is>
          <t>Hiring Now</t>
        </is>
      </c>
      <c r="AA777">
        <v>1</v>
      </c>
      <c r="AB777" t="inlineStr">
        <is>
          <t>No Appointment Made</t>
        </is>
      </c>
      <c r="AC777"/>
      <c r="AD777" t="inlineStr">
        <is>
          <t>1 sales, based in Kedah</t>
        </is>
      </c>
      <c r="AE777"/>
      <c r="AF777">
        <v>3000</v>
      </c>
      <c r="AG777" s="4"/>
      <c r="AH777" s="4"/>
      <c r="AI777">
        <v>3000</v>
      </c>
      <c r="AJ777">
        <v>3</v>
      </c>
      <c r="AK777" t="inlineStr">
        <is>
          <t>No, I don't need at all</t>
        </is>
      </c>
      <c r="AL777">
        <v>1</v>
      </c>
      <c r="AM777" t="inlineStr">
        <is>
          <t>No, I don't need at all</t>
        </is>
      </c>
      <c r="AN777"/>
      <c r="AO777" t="inlineStr">
        <is>
          <t>No, I don't need at all</t>
        </is>
      </c>
      <c r="AP777" t="inlineStr">
        <is>
          <t>Twice a year (50%)</t>
        </is>
      </c>
      <c r="AQ777">
        <v>3</v>
      </c>
      <c r="AR777" t="inlineStr">
        <is>
          <t>Free Job Portal</t>
        </is>
      </c>
      <c r="AS777" t="inlineStr">
        <is>
          <t>- Headcount: 1
- Hiring Job Details: 1 sales, based in Kedah
- Hiring Urgency: Hiring Now
- Number of outlets: 3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777">
        <v>115</v>
      </c>
      <c r="AU777" t="inlineStr">
        <is>
          <t>1.15</t>
        </is>
      </c>
      <c r="AV777" t="inlineStr">
        <is>
          <t>15</t>
        </is>
      </c>
      <c r="AW777" t="inlineStr">
        <is>
          <t>0</t>
        </is>
      </c>
      <c r="AX777" t="inlineStr">
        <is>
          <t>Not Qualified</t>
        </is>
      </c>
      <c r="AY777" s="4"/>
      <c r="AZ777"/>
      <c r="BA777"/>
      <c r="BB777"/>
      <c r="BC777" t="inlineStr">
        <is>
          <t>kiv</t>
        </is>
      </c>
      <c r="BD777" s="4">
        <v>46140.47636574074</v>
      </c>
      <c r="BE777"/>
      <c r="BF777"/>
      <c r="BG777" t="inlineStr">
        <is>
          <t>Reschedule</t>
        </is>
      </c>
      <c r="BH777" t="inlineStr">
        <is>
          <t>Edward Hoo</t>
        </is>
      </c>
      <c r="BI777"/>
      <c r="BJ777" s="4">
        <v>46144.750451388885</v>
      </c>
      <c r="BK777" s="4">
        <v>44091.597546296296</v>
      </c>
      <c r="BL777" t="inlineStr">
        <is>
          <t>0.0</t>
        </is>
      </c>
      <c r="BM777" t="inlineStr">
        <is>
          <t>0.0</t>
        </is>
      </c>
      <c r="BN777" t="inlineStr">
        <is>
          <t>View Job Applicants Page</t>
        </is>
      </c>
      <c r="BO777" s="4">
        <v>44120.454560185186</v>
      </c>
      <c r="BP777">
        <v>167943</v>
      </c>
      <c r="BQ777"/>
      <c r="BR777"/>
      <c r="BS777"/>
      <c r="BT777"/>
      <c r="BU777"/>
      <c r="BV777">
        <v>2732115</v>
      </c>
      <c r="BW777" t="inlineStr">
        <is>
          <t>Follow Up : Lost - Free Portal</t>
        </is>
      </c>
      <c r="BX777"/>
      <c r="BY777"/>
      <c r="BZ777" s="4"/>
      <c r="CA777"/>
      <c r="CB777"/>
      <c r="CC777" s="4"/>
      <c r="CD777" t="inlineStr">
        <is>
          <t>20</t>
        </is>
      </c>
      <c r="CE777" t="inlineStr">
        <is>
          <t>0</t>
        </is>
      </c>
      <c r="CF777" t="inlineStr">
        <is>
          <t>Q2-W03</t>
        </is>
      </c>
      <c r="CG777"/>
      <c r="CH777"/>
      <c r="CI777"/>
      <c r="CJ777" t="inlineStr">
        <is>
          <t>No Paid</t>
        </is>
      </c>
      <c r="CK777" t="inlineStr">
        <is>
          <t>Not Eligible</t>
        </is>
      </c>
      <c r="CL777"/>
      <c r="CM777"/>
    </row>
    <row r="778" ht="25.5" customHeight="1">
      <c r="A778" t="inlineStr">
        <is>
          <t>203469</t>
        </is>
      </c>
      <c r="B778" s="2"/>
      <c r="C778"/>
      <c r="D778" s="3">
        <v>46133.59614583333</v>
      </c>
      <c r="E778" t="inlineStr">
        <is>
          <t>Q2-W03</t>
        </is>
      </c>
      <c r="F778" t="inlineStr">
        <is>
          <t>Angel  Low</t>
        </is>
      </c>
      <c r="G778" t="inlineStr">
        <is>
          <t>Customer</t>
        </is>
      </c>
      <c r="H778" s="2" t="str">
        <f>=HYPERLINK("https://upbox.ajobthing.my/customer/203469", "https://upbox.ajobthing.my/customer/203469")</f>
        <v>https://upbox.ajobthing.my/customer/203469</v>
      </c>
      <c r="I778" t="inlineStr">
        <is>
          <t>Daulah Kuari Sdn Bhd</t>
        </is>
      </c>
      <c r="J778" t="inlineStr">
        <is>
          <t>Dolphin</t>
        </is>
      </c>
      <c r="K778" t="inlineStr">
        <is>
          <t>Angel Low</t>
        </is>
      </c>
      <c r="L778" s="4"/>
      <c r="M778" s="4">
        <v>46133.59652777778</v>
      </c>
      <c r="N778"/>
      <c r="O778">
        <v>3672</v>
      </c>
      <c r="P778" s="4"/>
      <c r="Q778" s="4"/>
      <c r="R778"/>
      <c r="S778"/>
      <c r="T778" s="4"/>
      <c r="U778" s="4"/>
      <c r="V778"/>
      <c r="W778"/>
      <c r="X778"/>
      <c r="Y778" t="inlineStr">
        <is>
          <t>Pending Appointment</t>
        </is>
      </c>
      <c r="Z778"/>
      <c r="AA778">
        <v>1</v>
      </c>
      <c r="AB778" t="inlineStr">
        <is>
          <t>No Appointment Made</t>
        </is>
      </c>
      <c r="AC778"/>
      <c r="AD778" t="inlineStr">
        <is>
          <t xml:space="preserve">1 account cum hr kelantan </t>
        </is>
      </c>
      <c r="AE778"/>
      <c r="AF778"/>
      <c r="AG778" s="4"/>
      <c r="AH778" s="4"/>
      <c r="AI778"/>
      <c r="AJ778"/>
      <c r="AK778"/>
      <c r="AL778"/>
      <c r="AM778"/>
      <c r="AN778"/>
      <c r="AO778"/>
      <c r="AP778"/>
      <c r="AQ778"/>
      <c r="AR778"/>
      <c r="AS778" t="inlineStr">
        <is>
          <t>- Headcount: 1
- Hiring Job Details: 1 account cum hr kelantan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778">
        <v>65</v>
      </c>
      <c r="AU778" t="inlineStr">
        <is>
          <t>0.65</t>
        </is>
      </c>
      <c r="AV778" t="inlineStr">
        <is>
          <t>5</t>
        </is>
      </c>
      <c r="AW778" t="inlineStr">
        <is>
          <t>0</t>
        </is>
      </c>
      <c r="AX778" t="inlineStr">
        <is>
          <t>Not Qualified</t>
        </is>
      </c>
      <c r="AY778" s="4"/>
      <c r="AZ778"/>
      <c r="BA778"/>
      <c r="BB778"/>
      <c r="BC778" t="inlineStr">
        <is>
          <t>- Headcount: 1
- Hiring Job Details: 1 account cum hr kelantan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778" s="4">
        <v>46133.62503472222</v>
      </c>
      <c r="BE778"/>
      <c r="BF778"/>
      <c r="BG778" t="inlineStr">
        <is>
          <t>Reschedule</t>
        </is>
      </c>
      <c r="BH778" t="inlineStr">
        <is>
          <t>Fauziah Maharan</t>
        </is>
      </c>
      <c r="BI778"/>
      <c r="BJ778" s="4">
        <v>46144.754328703704</v>
      </c>
      <c r="BK778" s="4">
        <v>46133.49769675926</v>
      </c>
      <c r="BL778" t="inlineStr">
        <is>
          <t>0.0</t>
        </is>
      </c>
      <c r="BM778" t="inlineStr">
        <is>
          <t>0.0</t>
        </is>
      </c>
      <c r="BN778" t="inlineStr">
        <is>
          <t>View Company Page</t>
        </is>
      </c>
      <c r="BO778" s="4">
        <v>46133.51923611111</v>
      </c>
      <c r="BP778">
        <v>168035</v>
      </c>
      <c r="BQ778"/>
      <c r="BR778"/>
      <c r="BS778"/>
      <c r="BT778"/>
      <c r="BU778"/>
      <c r="BV778">
        <v>2718409</v>
      </c>
      <c r="BW778" t="inlineStr">
        <is>
          <t>Customer Inquiry</t>
        </is>
      </c>
      <c r="BX778"/>
      <c r="BY778"/>
      <c r="BZ778" s="4"/>
      <c r="CA778"/>
      <c r="CB778"/>
      <c r="CC778" s="4"/>
      <c r="CD778" t="inlineStr">
        <is>
          <t>5</t>
        </is>
      </c>
      <c r="CE778" t="inlineStr">
        <is>
          <t>0</t>
        </is>
      </c>
      <c r="CF778" t="inlineStr">
        <is>
          <t>Q2-W03</t>
        </is>
      </c>
      <c r="CG778"/>
      <c r="CH778"/>
      <c r="CI778"/>
      <c r="CJ778" t="inlineStr">
        <is>
          <t>No Paid</t>
        </is>
      </c>
      <c r="CK778" t="inlineStr">
        <is>
          <t>Not Eligible</t>
        </is>
      </c>
      <c r="CL778"/>
      <c r="CM778"/>
    </row>
    <row r="779" ht="25.5" customHeight="1">
      <c r="A779" t="inlineStr">
        <is>
          <t>203480</t>
        </is>
      </c>
      <c r="B779" s="2"/>
      <c r="C779"/>
      <c r="D779" s="3">
        <v>46133.598333333335</v>
      </c>
      <c r="E779" t="inlineStr">
        <is>
          <t>Q2-W03</t>
        </is>
      </c>
      <c r="F779" t="inlineStr">
        <is>
          <t>Chia Yee</t>
        </is>
      </c>
      <c r="G779" t="inlineStr">
        <is>
          <t>Customer</t>
        </is>
      </c>
      <c r="H779" s="2" t="str">
        <f>=HYPERLINK("https://upbox.ajobthing.my/customer/203480", "https://upbox.ajobthing.my/customer/203480")</f>
        <v>https://upbox.ajobthing.my/customer/203480</v>
      </c>
      <c r="I779" t="inlineStr">
        <is>
          <t>Vss Autosoft Sdn Bhd</t>
        </is>
      </c>
      <c r="J779" t="inlineStr">
        <is>
          <t>Dolphin</t>
        </is>
      </c>
      <c r="K779" t="inlineStr">
        <is>
          <t>Evan</t>
        </is>
      </c>
      <c r="L779" s="4"/>
      <c r="M779" s="4">
        <v>46133.598449074074</v>
      </c>
      <c r="N779"/>
      <c r="O779">
        <v>3888</v>
      </c>
      <c r="P779" s="4"/>
      <c r="Q779" s="4">
        <v>46133.658854166664</v>
      </c>
      <c r="R779"/>
      <c r="S779">
        <v>1296</v>
      </c>
      <c r="T779" s="4">
        <v>46133.658854166664</v>
      </c>
      <c r="U779" s="4"/>
      <c r="V779"/>
      <c r="W779">
        <v>1296</v>
      </c>
      <c r="X779"/>
      <c r="Y779" t="inlineStr">
        <is>
          <t>Pending Appointment</t>
        </is>
      </c>
      <c r="Z779" t="inlineStr">
        <is>
          <t>Hiring Now</t>
        </is>
      </c>
      <c r="AA779">
        <v>2</v>
      </c>
      <c r="AB779" t="inlineStr">
        <is>
          <t>No Appointment Made</t>
        </is>
      </c>
      <c r="AC779"/>
      <c r="AD779" t="inlineStr">
        <is>
          <t xml:space="preserve">2 Application support </t>
        </is>
      </c>
      <c r="AE779"/>
      <c r="AF779">
        <v>0</v>
      </c>
      <c r="AG779" s="4"/>
      <c r="AH779" s="4"/>
      <c r="AI779">
        <v>0</v>
      </c>
      <c r="AJ779">
        <v>1</v>
      </c>
      <c r="AK779" t="inlineStr">
        <is>
          <t>No, I don't need at all</t>
        </is>
      </c>
      <c r="AL779">
        <v>1</v>
      </c>
      <c r="AM779" t="inlineStr">
        <is>
          <t>No, I don't need at all</t>
        </is>
      </c>
      <c r="AN779"/>
      <c r="AO779" t="inlineStr">
        <is>
          <t>No, I don't need at all</t>
        </is>
      </c>
      <c r="AP779" t="inlineStr">
        <is>
          <t>Once a year (25%)</t>
        </is>
      </c>
      <c r="AQ779">
        <v>2</v>
      </c>
      <c r="AR779" t="inlineStr">
        <is>
          <t>Did not use any job portal</t>
        </is>
      </c>
      <c r="AS779" t="inlineStr">
        <is>
          <t>- Headcount: 2
- Hiring Job Details: 2 Application support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is>
      </c>
      <c r="AT779">
        <v>110</v>
      </c>
      <c r="AU779" t="inlineStr">
        <is>
          <t>1.10</t>
        </is>
      </c>
      <c r="AV779" t="inlineStr">
        <is>
          <t>15</t>
        </is>
      </c>
      <c r="AW779" t="inlineStr">
        <is>
          <t>0</t>
        </is>
      </c>
      <c r="AX779" t="inlineStr">
        <is>
          <t>Not Qualified</t>
        </is>
      </c>
      <c r="AY779" s="4"/>
      <c r="AZ779"/>
      <c r="BA779"/>
      <c r="BB779"/>
      <c r="BC779" t="inlineStr">
        <is>
          <t>Called, no ans</t>
        </is>
      </c>
      <c r="BD779" s="4">
        <v>46142.58719907407</v>
      </c>
      <c r="BE779" t="inlineStr">
        <is>
          <t>paid</t>
        </is>
      </c>
      <c r="BF779" t="inlineStr">
        <is>
          <t>Q2-W03</t>
        </is>
      </c>
      <c r="BG779" t="inlineStr">
        <is>
          <t>Reschedule</t>
        </is>
      </c>
      <c r="BH779" t="inlineStr">
        <is>
          <t>Reagen</t>
        </is>
      </c>
      <c r="BI779" t="inlineStr">
        <is>
          <t>IT / Software</t>
        </is>
      </c>
      <c r="BJ779" s="4">
        <v>46144.754328703704</v>
      </c>
      <c r="BK779" s="4">
        <v>46133.5884375</v>
      </c>
      <c r="BL779" t="inlineStr">
        <is>
          <t>1296.0</t>
        </is>
      </c>
      <c r="BM779" t="inlineStr">
        <is>
          <t>0.0</t>
        </is>
      </c>
      <c r="BN779" t="inlineStr">
        <is>
          <t>User Visit(Logged In)</t>
        </is>
      </c>
      <c r="BO779" s="4">
        <v>46144.68278935185</v>
      </c>
      <c r="BP779">
        <v>168037</v>
      </c>
      <c r="BQ779">
        <v>94540</v>
      </c>
      <c r="BR779" t="inlineStr">
        <is>
          <t>Online</t>
        </is>
      </c>
      <c r="BS779"/>
      <c r="BT779">
        <v>94540</v>
      </c>
      <c r="BU779"/>
      <c r="BV779">
        <v>2737613</v>
      </c>
      <c r="BW779" t="inlineStr">
        <is>
          <t>No Answer : Voicemail - WA sent to customer</t>
        </is>
      </c>
      <c r="BX779">
        <v>1</v>
      </c>
      <c r="BY779">
        <v>0</v>
      </c>
      <c r="BZ779" s="4">
        <v>46134.40987268519</v>
      </c>
      <c r="CA779">
        <v>23</v>
      </c>
      <c r="CB779">
        <v>23</v>
      </c>
      <c r="CC779" s="4"/>
      <c r="CD779" t="inlineStr">
        <is>
          <t>20</t>
        </is>
      </c>
      <c r="CE779" t="inlineStr">
        <is>
          <t>0</t>
        </is>
      </c>
      <c r="CF779" t="inlineStr">
        <is>
          <t>Q2-W03</t>
        </is>
      </c>
      <c r="CG779" t="inlineStr">
        <is>
          <t>Q2-W03</t>
        </is>
      </c>
      <c r="CH779" t="inlineStr">
        <is>
          <t>Q2-W03</t>
        </is>
      </c>
      <c r="CI779"/>
      <c r="CJ779" t="inlineStr">
        <is>
          <t>Paid</t>
        </is>
      </c>
      <c r="CK779" t="inlineStr">
        <is>
          <t>Not Eligible</t>
        </is>
      </c>
      <c r="CL779"/>
      <c r="CM779"/>
    </row>
    <row r="780" ht="25.5" customHeight="1">
      <c r="A780" t="inlineStr">
        <is>
          <t>4309536</t>
        </is>
      </c>
      <c r="B780" s="2"/>
      <c r="C780"/>
      <c r="D780" s="3">
        <v>46133.60425925926</v>
      </c>
      <c r="E780" t="inlineStr">
        <is>
          <t>Q2-W03</t>
        </is>
      </c>
      <c r="F780" t="inlineStr">
        <is>
          <t>Jess</t>
        </is>
      </c>
      <c r="G780" t="inlineStr">
        <is>
          <t>Lead</t>
        </is>
      </c>
      <c r="H780" s="2" t="str">
        <f>=HYPERLINK("https://upbox.ajobthing.my/leads/4309536", "https://upbox.ajobthing.my/leads/4309536")</f>
        <v>https://upbox.ajobthing.my/leads/4309536</v>
      </c>
      <c r="I780" t="inlineStr">
        <is>
          <t>MTSC SOLUTION SDN BHD</t>
        </is>
      </c>
      <c r="J780" t="inlineStr">
        <is>
          <t>Dolphin</t>
        </is>
      </c>
      <c r="K780" t="inlineStr">
        <is>
          <t>Jess Lim</t>
        </is>
      </c>
      <c r="L780" s="4"/>
      <c r="M780" s="4">
        <v>46133.605833333335</v>
      </c>
      <c r="N780"/>
      <c r="O780">
        <v>3888</v>
      </c>
      <c r="P780" s="4"/>
      <c r="Q780" s="4"/>
      <c r="R780"/>
      <c r="S780"/>
      <c r="T780" s="4"/>
      <c r="U780" s="4"/>
      <c r="V780"/>
      <c r="W780"/>
      <c r="X780"/>
      <c r="Y780" t="inlineStr">
        <is>
          <t>Pending Appointment</t>
        </is>
      </c>
      <c r="Z780" t="inlineStr">
        <is>
          <t>Hiring Now</t>
        </is>
      </c>
      <c r="AA780">
        <v>1</v>
      </c>
      <c r="AB780" t="inlineStr">
        <is>
          <t>No Appointment Made</t>
        </is>
      </c>
      <c r="AC780"/>
      <c r="AD780" t="inlineStr">
        <is>
          <t>human reosurces 1</t>
        </is>
      </c>
      <c r="AE780"/>
      <c r="AF780">
        <v>3600</v>
      </c>
      <c r="AG780" s="4"/>
      <c r="AH780" s="4"/>
      <c r="AI780"/>
      <c r="AJ780">
        <v>3</v>
      </c>
      <c r="AK780" t="inlineStr">
        <is>
          <t>No, I don't need at all</t>
        </is>
      </c>
      <c r="AL780">
        <v>2</v>
      </c>
      <c r="AM780" t="inlineStr">
        <is>
          <t>No, I don't need at all</t>
        </is>
      </c>
      <c r="AN780"/>
      <c r="AO780"/>
      <c r="AP780" t="inlineStr">
        <is>
          <t>Once a year (25%)</t>
        </is>
      </c>
      <c r="AQ780"/>
      <c r="AR780" t="inlineStr">
        <is>
          <t>Indeed (Paid), Jobstreet</t>
        </is>
      </c>
      <c r="AS780" t="inlineStr">
        <is>
          <t>- Headcount: 1
- Hiring Job Details: 1 human resources
- Hiring Urgency: Hiring Now
- Number of outlets: 3
- Have recruiter team: No, I don't need at all
- Number of recruiter in company: 2
- Have ATS system: No, I don't need at all
- Have career website: Not provided
- Current hiring budget: RM3,600.00
- Whole year budget: Not provided
- Whole year number of vacancies: Not provided
- Hiring frequency: Once a year (25%)
- External job portal: Indeed (Paid), Jobstreet</t>
        </is>
      </c>
      <c r="AT780">
        <v>90</v>
      </c>
      <c r="AU780" t="inlineStr">
        <is>
          <t>0.90</t>
        </is>
      </c>
      <c r="AV780" t="inlineStr">
        <is>
          <t>15</t>
        </is>
      </c>
      <c r="AW780" t="inlineStr">
        <is>
          <t>0</t>
        </is>
      </c>
      <c r="AX780" t="inlineStr">
        <is>
          <t>Not Qualified</t>
        </is>
      </c>
      <c r="AY780" s="4"/>
      <c r="AZ780"/>
      <c r="BA780"/>
      <c r="BB780"/>
      <c r="BC780"/>
      <c r="BD780" s="4"/>
      <c r="BE780"/>
      <c r="BF780"/>
      <c r="BG780" t="inlineStr">
        <is>
          <t>Reschedule</t>
        </is>
      </c>
      <c r="BH780" t="inlineStr">
        <is>
          <t>Fauziah Maharan</t>
        </is>
      </c>
      <c r="BI780"/>
      <c r="BJ780" s="4">
        <v>46144.75587962963</v>
      </c>
      <c r="BK780" s="4">
        <v>46133.57740740741</v>
      </c>
      <c r="BL780" t="inlineStr">
        <is>
          <t>0.0</t>
        </is>
      </c>
      <c r="BM780" t="inlineStr">
        <is>
          <t>1800.0</t>
        </is>
      </c>
      <c r="BN780"/>
      <c r="BO780" s="4"/>
      <c r="BP780">
        <v>168046</v>
      </c>
      <c r="BQ780"/>
      <c r="BR780"/>
      <c r="BS780"/>
      <c r="BT780"/>
      <c r="BU780"/>
      <c r="BV780"/>
      <c r="BW780"/>
      <c r="BX780"/>
      <c r="BY780"/>
      <c r="BZ780" s="4"/>
      <c r="CA780"/>
      <c r="CB780"/>
      <c r="CC780" s="4"/>
      <c r="CD780" t="inlineStr">
        <is>
          <t>20</t>
        </is>
      </c>
      <c r="CE780" t="inlineStr">
        <is>
          <t>0</t>
        </is>
      </c>
      <c r="CF780" t="inlineStr">
        <is>
          <t>Q2-W03</t>
        </is>
      </c>
      <c r="CG780"/>
      <c r="CH780"/>
      <c r="CI780"/>
      <c r="CJ780" t="inlineStr">
        <is>
          <t>No Paid</t>
        </is>
      </c>
      <c r="CK780" t="inlineStr">
        <is>
          <t>Not Eligible</t>
        </is>
      </c>
      <c r="CL780"/>
      <c r="CM780"/>
    </row>
    <row r="781" ht="25.5" customHeight="1">
      <c r="A781" t="inlineStr">
        <is>
          <t>203483</t>
        </is>
      </c>
      <c r="B781" s="2"/>
      <c r="C781"/>
      <c r="D781" s="3">
        <v>46133.613645833335</v>
      </c>
      <c r="E781" t="inlineStr">
        <is>
          <t>Q2-W03</t>
        </is>
      </c>
      <c r="F781" t="inlineStr">
        <is>
          <t>Clover</t>
        </is>
      </c>
      <c r="G781" t="inlineStr">
        <is>
          <t>Customer</t>
        </is>
      </c>
      <c r="H781" s="2" t="str">
        <f>=HYPERLINK("https://upbox.ajobthing.my/customer/203483", "https://upbox.ajobthing.my/customer/203483")</f>
        <v>https://upbox.ajobthing.my/customer/203483</v>
      </c>
      <c r="I781" t="inlineStr">
        <is>
          <t>Carey</t>
        </is>
      </c>
      <c r="J781" t="inlineStr">
        <is>
          <t>Dolphin</t>
        </is>
      </c>
      <c r="K781" t="inlineStr">
        <is>
          <t>Clover</t>
        </is>
      </c>
      <c r="L781" s="4"/>
      <c r="M781" s="4">
        <v>46133.614270833335</v>
      </c>
      <c r="N781"/>
      <c r="O781">
        <v>6048</v>
      </c>
      <c r="P781" s="4"/>
      <c r="Q781" s="4"/>
      <c r="R781"/>
      <c r="S781"/>
      <c r="T781" s="4"/>
      <c r="U781" s="4"/>
      <c r="V781"/>
      <c r="W781"/>
      <c r="X781"/>
      <c r="Y781" t="inlineStr">
        <is>
          <t>Pending Appointment</t>
        </is>
      </c>
      <c r="Z781" t="inlineStr">
        <is>
          <t>Hiring Now</t>
        </is>
      </c>
      <c r="AA781">
        <v>5</v>
      </c>
      <c r="AB781" t="inlineStr">
        <is>
          <t>No Appointment Made</t>
        </is>
      </c>
      <c r="AC781"/>
      <c r="AD781" t="inlineStr">
        <is>
          <t>Hire warehouse x3, clerk x2, prefer mandarin speaker, construction ceramic import from China, sell to local, KL Selangor, company - Ruicheng Ceramic ,  PIC Mr Carey</t>
        </is>
      </c>
      <c r="AE781"/>
      <c r="AF781">
        <v>3000</v>
      </c>
      <c r="AG781" s="4"/>
      <c r="AH781" s="4"/>
      <c r="AI781">
        <v>3000</v>
      </c>
      <c r="AJ781">
        <v>1</v>
      </c>
      <c r="AK781" t="inlineStr">
        <is>
          <t>No, but I want in future</t>
        </is>
      </c>
      <c r="AL781">
        <v>1</v>
      </c>
      <c r="AM781" t="inlineStr">
        <is>
          <t>No, but I want in future</t>
        </is>
      </c>
      <c r="AN781"/>
      <c r="AO781" t="inlineStr">
        <is>
          <t>No, but I want in future</t>
        </is>
      </c>
      <c r="AP781" t="inlineStr">
        <is>
          <t>Twice a year (50%)</t>
        </is>
      </c>
      <c r="AQ781">
        <v>5</v>
      </c>
      <c r="AR781" t="inlineStr">
        <is>
          <t>Did not use any job portal</t>
        </is>
      </c>
      <c r="AS781" t="inlineStr">
        <is>
          <t>- Headcount: 5
- Hiring Job Details: 3 warehouse, 2 clerk, prefer mandarin speaker, construction ceramic import from China, sell to local, KL Selangor, company - Ruicheng Ceramic, PIC Mr Carey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Twice a year (50%)
- External job portal: Did not use any</t>
        </is>
      </c>
      <c r="AT781">
        <v>115</v>
      </c>
      <c r="AU781" t="inlineStr">
        <is>
          <t>1.15</t>
        </is>
      </c>
      <c r="AV781" t="inlineStr">
        <is>
          <t>20</t>
        </is>
      </c>
      <c r="AW781" t="inlineStr">
        <is>
          <t>0</t>
        </is>
      </c>
      <c r="AX781" t="inlineStr">
        <is>
          <t>Not Qualified</t>
        </is>
      </c>
      <c r="AY781" s="4"/>
      <c r="AZ781"/>
      <c r="BA781"/>
      <c r="BB781"/>
      <c r="BC781" t="inlineStr">
        <is>
          <t>- Headcount: 5
- Hiring Job Details: 3 warehouse, 2 clerk, prefer mandarin speaker, construction ceramic import from China, sell to local, KL Selangor, company - Ruicheng Ceramic, PIC Mr Carey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Twice a year (50%)
- External job portal: Did not use any</t>
        </is>
      </c>
      <c r="BD781" s="4">
        <v>46133.6250462963</v>
      </c>
      <c r="BE781"/>
      <c r="BF781"/>
      <c r="BG781" t="inlineStr">
        <is>
          <t>Reschedule</t>
        </is>
      </c>
      <c r="BH781" t="inlineStr">
        <is>
          <t>Reagen</t>
        </is>
      </c>
      <c r="BI781"/>
      <c r="BJ781" s="4">
        <v>46144.754328703704</v>
      </c>
      <c r="BK781" s="4">
        <v>46133.61046296296</v>
      </c>
      <c r="BL781" t="inlineStr">
        <is>
          <t>0.0</t>
        </is>
      </c>
      <c r="BM781" t="inlineStr">
        <is>
          <t>0.0</t>
        </is>
      </c>
      <c r="BN781"/>
      <c r="BO781" s="4"/>
      <c r="BP781">
        <v>168059</v>
      </c>
      <c r="BQ781"/>
      <c r="BR781"/>
      <c r="BS781"/>
      <c r="BT781"/>
      <c r="BU781"/>
      <c r="BV781">
        <v>2718421</v>
      </c>
      <c r="BW781" t="inlineStr">
        <is>
          <t>Customer Inquiry</t>
        </is>
      </c>
      <c r="BX781"/>
      <c r="BY781"/>
      <c r="BZ781" s="4"/>
      <c r="CA781"/>
      <c r="CB781"/>
      <c r="CC781" s="4"/>
      <c r="CD781" t="inlineStr">
        <is>
          <t>30</t>
        </is>
      </c>
      <c r="CE781" t="inlineStr">
        <is>
          <t>0</t>
        </is>
      </c>
      <c r="CF781" t="inlineStr">
        <is>
          <t>Q2-W03</t>
        </is>
      </c>
      <c r="CG781"/>
      <c r="CH781"/>
      <c r="CI781"/>
      <c r="CJ781" t="inlineStr">
        <is>
          <t>No Paid</t>
        </is>
      </c>
      <c r="CK781" t="inlineStr">
        <is>
          <t>Not Eligible</t>
        </is>
      </c>
      <c r="CL781"/>
      <c r="CM781"/>
    </row>
    <row r="782" ht="25.5" customHeight="1">
      <c r="A782" t="inlineStr">
        <is>
          <t>161491</t>
        </is>
      </c>
      <c r="B782" s="2"/>
      <c r="C782"/>
      <c r="D782" s="3">
        <v>46133.61408564815</v>
      </c>
      <c r="E782" t="inlineStr">
        <is>
          <t>Q2-W03</t>
        </is>
      </c>
      <c r="F782" t="inlineStr">
        <is>
          <t>Dickson</t>
        </is>
      </c>
      <c r="G782" t="inlineStr">
        <is>
          <t>Customer</t>
        </is>
      </c>
      <c r="H782" s="2" t="str">
        <f>=HYPERLINK("https://upbox.ajobthing.my/customer/161491", "https://upbox.ajobthing.my/customer/161491")</f>
        <v>https://upbox.ajobthing.my/customer/161491</v>
      </c>
      <c r="I782" t="inlineStr">
        <is>
          <t>AMS Extrusion Sdn Bhd</t>
        </is>
      </c>
      <c r="J782" t="inlineStr">
        <is>
          <t>Dolphin</t>
        </is>
      </c>
      <c r="K782" t="inlineStr">
        <is>
          <t>Dickson</t>
        </is>
      </c>
      <c r="L782" s="4"/>
      <c r="M782" s="4">
        <v>46133.614270833335</v>
      </c>
      <c r="N782"/>
      <c r="O782">
        <v>1296</v>
      </c>
      <c r="P782" s="4"/>
      <c r="Q782" s="4">
        <v>44970.430868055555</v>
      </c>
      <c r="R782"/>
      <c r="S782">
        <v>1696</v>
      </c>
      <c r="T782" s="4">
        <v>44865.00001157408</v>
      </c>
      <c r="U782" s="4"/>
      <c r="V782"/>
      <c r="W782">
        <v>1749</v>
      </c>
      <c r="X782"/>
      <c r="Y782" t="inlineStr">
        <is>
          <t>Pending Appointment</t>
        </is>
      </c>
      <c r="Z782" t="inlineStr">
        <is>
          <t>Hiring Now</t>
        </is>
      </c>
      <c r="AA782">
        <v>1</v>
      </c>
      <c r="AB782" t="inlineStr">
        <is>
          <t>No Appointment Made</t>
        </is>
      </c>
      <c r="AC782"/>
      <c r="AD782" t="inlineStr">
        <is>
          <t>1 account executive</t>
        </is>
      </c>
      <c r="AE782"/>
      <c r="AF782"/>
      <c r="AG782" s="4"/>
      <c r="AH782" s="4"/>
      <c r="AI782"/>
      <c r="AJ782">
        <v>1</v>
      </c>
      <c r="AK782" t="inlineStr">
        <is>
          <t>No, I don't need at all</t>
        </is>
      </c>
      <c r="AL782"/>
      <c r="AM782" t="inlineStr">
        <is>
          <t>No, I don't need at all</t>
        </is>
      </c>
      <c r="AN782"/>
      <c r="AO782" t="inlineStr">
        <is>
          <t>No, I don't need at all</t>
        </is>
      </c>
      <c r="AP782" t="inlineStr">
        <is>
          <t>Once per quarter (75%)</t>
        </is>
      </c>
      <c r="AQ782"/>
      <c r="AR782" t="inlineStr">
        <is>
          <t>Jobstreet</t>
        </is>
      </c>
      <c r="AS782" t="inlineStr">
        <is>
          <t>- Headcount: 1
- Hiring Job Details: 1 account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782">
        <v>95</v>
      </c>
      <c r="AU782" t="inlineStr">
        <is>
          <t>0.95</t>
        </is>
      </c>
      <c r="AV782" t="inlineStr">
        <is>
          <t>5</t>
        </is>
      </c>
      <c r="AW782" t="inlineStr">
        <is>
          <t>0</t>
        </is>
      </c>
      <c r="AX782" t="inlineStr">
        <is>
          <t>Not Qualified</t>
        </is>
      </c>
      <c r="AY782" s="4"/>
      <c r="AZ782"/>
      <c r="BA782"/>
      <c r="BB782"/>
      <c r="BC782" t="inlineStr">
        <is>
          <t>asked to follow up next week</t>
        </is>
      </c>
      <c r="BD782" s="4">
        <v>46142.750763888886</v>
      </c>
      <c r="BE782" t="inlineStr">
        <is>
          <t>pending</t>
        </is>
      </c>
      <c r="BF782"/>
      <c r="BG782" t="inlineStr">
        <is>
          <t>Reschedule</t>
        </is>
      </c>
      <c r="BH782" t="inlineStr">
        <is>
          <t>Edward Hoo</t>
        </is>
      </c>
      <c r="BI782" t="inlineStr">
        <is>
          <t>Automobile / Automotive</t>
        </is>
      </c>
      <c r="BJ782" s="4">
        <v>46144.751122685186</v>
      </c>
      <c r="BK782" s="4">
        <v>44861.57943287037</v>
      </c>
      <c r="BL782" t="inlineStr">
        <is>
          <t>0.0</t>
        </is>
      </c>
      <c r="BM782" t="inlineStr">
        <is>
          <t>600.0</t>
        </is>
      </c>
      <c r="BN782" t="inlineStr">
        <is>
          <t>View Candidate Search Page</t>
        </is>
      </c>
      <c r="BO782" s="4">
        <v>46133.61644675926</v>
      </c>
      <c r="BP782">
        <v>168058</v>
      </c>
      <c r="BQ782">
        <v>72262</v>
      </c>
      <c r="BR782" t="inlineStr">
        <is>
          <t>Proforma</t>
        </is>
      </c>
      <c r="BS782" t="inlineStr">
        <is>
          <t>FEB-bulous Promo - Standard Package</t>
        </is>
      </c>
      <c r="BT782">
        <v>51974</v>
      </c>
      <c r="BU782"/>
      <c r="BV782">
        <v>2738489</v>
      </c>
      <c r="BW782" t="inlineStr">
        <is>
          <t>Follow Up : Decision Pending</t>
        </is>
      </c>
      <c r="BX782"/>
      <c r="BY782"/>
      <c r="BZ782" s="4"/>
      <c r="CA782"/>
      <c r="CB782"/>
      <c r="CC782" s="4"/>
      <c r="CD782" t="inlineStr">
        <is>
          <t>5</t>
        </is>
      </c>
      <c r="CE782" t="inlineStr">
        <is>
          <t>0</t>
        </is>
      </c>
      <c r="CF782" t="inlineStr">
        <is>
          <t>Q2-W03</t>
        </is>
      </c>
      <c r="CG782"/>
      <c r="CH782"/>
      <c r="CI782"/>
      <c r="CJ782" t="inlineStr">
        <is>
          <t>Paid</t>
        </is>
      </c>
      <c r="CK782" t="inlineStr">
        <is>
          <t>Not Eligible</t>
        </is>
      </c>
      <c r="CL782"/>
      <c r="CM782"/>
    </row>
    <row r="783" ht="25.5" customHeight="1">
      <c r="A783" t="inlineStr">
        <is>
          <t>4309341</t>
        </is>
      </c>
      <c r="B783" s="2"/>
      <c r="C783"/>
      <c r="D783" s="3">
        <v>46133.62012731482</v>
      </c>
      <c r="E783" t="inlineStr">
        <is>
          <t>Q2-W03</t>
        </is>
      </c>
      <c r="F783" t="inlineStr">
        <is>
          <t>Eugene</t>
        </is>
      </c>
      <c r="G783" t="inlineStr">
        <is>
          <t>Lead</t>
        </is>
      </c>
      <c r="H783" s="2" t="str">
        <f>=HYPERLINK("https://upbox.ajobthing.my/leads/4309341", "https://upbox.ajobthing.my/leads/4309341")</f>
        <v>https://upbox.ajobthing.my/leads/4309341</v>
      </c>
      <c r="I783" t="inlineStr">
        <is>
          <t>My love wonderfood</t>
        </is>
      </c>
      <c r="J783" t="inlineStr">
        <is>
          <t>Dolphin</t>
        </is>
      </c>
      <c r="K783" t="inlineStr">
        <is>
          <t>Eugene</t>
        </is>
      </c>
      <c r="L783" s="4"/>
      <c r="M783" s="4">
        <v>46133.62033564815</v>
      </c>
      <c r="N783"/>
      <c r="O783">
        <v>3888</v>
      </c>
      <c r="P783" s="4"/>
      <c r="Q783" s="4"/>
      <c r="R783"/>
      <c r="S783"/>
      <c r="T783" s="4"/>
      <c r="U783" s="4"/>
      <c r="V783"/>
      <c r="W783"/>
      <c r="X783"/>
      <c r="Y783" t="inlineStr">
        <is>
          <t>Pending Appointment</t>
        </is>
      </c>
      <c r="Z783" t="inlineStr">
        <is>
          <t>Hiring Now</t>
        </is>
      </c>
      <c r="AA783">
        <v>4</v>
      </c>
      <c r="AB783" t="inlineStr">
        <is>
          <t>No Appointment Made</t>
        </is>
      </c>
      <c r="AC783"/>
      <c r="AD783" t="inlineStr">
        <is>
          <t>4 service crew, based in JB</t>
        </is>
      </c>
      <c r="AE783"/>
      <c r="AF783">
        <v>3888</v>
      </c>
      <c r="AG783" s="4"/>
      <c r="AH783" s="4"/>
      <c r="AI783">
        <v>3888</v>
      </c>
      <c r="AJ783">
        <v>1</v>
      </c>
      <c r="AK783" t="inlineStr">
        <is>
          <t>No, I don't need at all</t>
        </is>
      </c>
      <c r="AL783">
        <v>1</v>
      </c>
      <c r="AM783" t="inlineStr">
        <is>
          <t>No, I don't need at all</t>
        </is>
      </c>
      <c r="AN783"/>
      <c r="AO783" t="inlineStr">
        <is>
          <t>No, I don't need at all</t>
        </is>
      </c>
      <c r="AP783" t="inlineStr">
        <is>
          <t>Twice a year (50%)</t>
        </is>
      </c>
      <c r="AQ783">
        <v>4</v>
      </c>
      <c r="AR783" t="inlineStr">
        <is>
          <t>Free Job Portal</t>
        </is>
      </c>
      <c r="AS783" t="inlineStr">
        <is>
          <t>- Headcount: 4
- Hiring Job Details: 4 service crew, based in JB
- Hiring Urgency: Hiring Now
- Number of outlets: 1
- Have recruiter team: No, I don't need at all
- Number of recruiter in company: 1
- Have ATS system: No, I don't need at all
- Have career website: No, I don't need at all
- Current hiring budget: RM3,888
- Whole year budget: RM3,888.00
- Whole year number of vacancies: 4
- Hiring frequency: Twice a year (50%)
- External job portal: Free Job Portal</t>
        </is>
      </c>
      <c r="AT783">
        <v>110</v>
      </c>
      <c r="AU783" t="inlineStr">
        <is>
          <t>1.10</t>
        </is>
      </c>
      <c r="AV783" t="inlineStr">
        <is>
          <t>15</t>
        </is>
      </c>
      <c r="AW783" t="inlineStr">
        <is>
          <t>0</t>
        </is>
      </c>
      <c r="AX783" t="inlineStr">
        <is>
          <t>Not Qualified</t>
        </is>
      </c>
      <c r="AY783" s="4"/>
      <c r="AZ783"/>
      <c r="BA783"/>
      <c r="BB783"/>
      <c r="BC783"/>
      <c r="BD783" s="4"/>
      <c r="BE783"/>
      <c r="BF783"/>
      <c r="BG783" t="inlineStr">
        <is>
          <t>Reschedule</t>
        </is>
      </c>
      <c r="BH783" t="inlineStr">
        <is>
          <t>Edward Hoo</t>
        </is>
      </c>
      <c r="BI783"/>
      <c r="BJ783" s="4">
        <v>46144.75587962963</v>
      </c>
      <c r="BK783" s="4">
        <v>46133.54262731481</v>
      </c>
      <c r="BL783" t="inlineStr">
        <is>
          <t>0.0</t>
        </is>
      </c>
      <c r="BM783" t="inlineStr">
        <is>
          <t>0.0</t>
        </is>
      </c>
      <c r="BN783"/>
      <c r="BO783" s="4"/>
      <c r="BP783">
        <v>168061</v>
      </c>
      <c r="BQ783"/>
      <c r="BR783"/>
      <c r="BS783"/>
      <c r="BT783"/>
      <c r="BU783"/>
      <c r="BV783"/>
      <c r="BW783"/>
      <c r="BX783"/>
      <c r="BY783"/>
      <c r="BZ783" s="4"/>
      <c r="CA783"/>
      <c r="CB783"/>
      <c r="CC783" s="4"/>
      <c r="CD783" t="inlineStr">
        <is>
          <t>20</t>
        </is>
      </c>
      <c r="CE783" t="inlineStr">
        <is>
          <t>0</t>
        </is>
      </c>
      <c r="CF783" t="inlineStr">
        <is>
          <t>Q2-W03</t>
        </is>
      </c>
      <c r="CG783"/>
      <c r="CH783"/>
      <c r="CI783"/>
      <c r="CJ783" t="inlineStr">
        <is>
          <t>No Paid</t>
        </is>
      </c>
      <c r="CK783" t="inlineStr">
        <is>
          <t>Not Eligible</t>
        </is>
      </c>
      <c r="CL783"/>
      <c r="CM783"/>
    </row>
    <row r="784" ht="25.5" customHeight="1">
      <c r="A784" t="inlineStr">
        <is>
          <t>203474</t>
        </is>
      </c>
      <c r="B784" s="2"/>
      <c r="C784"/>
      <c r="D784" s="3">
        <v>46133.623773148145</v>
      </c>
      <c r="E784" t="inlineStr">
        <is>
          <t>Q2-W03</t>
        </is>
      </c>
      <c r="F784" t="inlineStr">
        <is>
          <t>Chia Yee</t>
        </is>
      </c>
      <c r="G784" t="inlineStr">
        <is>
          <t>Customer</t>
        </is>
      </c>
      <c r="H784" s="2" t="str">
        <f>=HYPERLINK("https://upbox.ajobthing.my/customer/203474", "https://upbox.ajobthing.my/customer/203474")</f>
        <v>https://upbox.ajobthing.my/customer/203474</v>
      </c>
      <c r="I784" t="inlineStr">
        <is>
          <t>Eutag global (m) Sdn Bhd</t>
        </is>
      </c>
      <c r="J784" t="inlineStr">
        <is>
          <t>Dolphin</t>
        </is>
      </c>
      <c r="K784" t="inlineStr">
        <is>
          <t>Chia Yee</t>
        </is>
      </c>
      <c r="L784" s="4"/>
      <c r="M784" s="4">
        <v>46133.20347222222</v>
      </c>
      <c r="N784"/>
      <c r="O784"/>
      <c r="P784" s="4"/>
      <c r="Q784" s="4">
        <v>46133.69186342593</v>
      </c>
      <c r="R784"/>
      <c r="S784">
        <v>0</v>
      </c>
      <c r="T784" s="4">
        <v>46133.67752314815</v>
      </c>
      <c r="U784" s="4"/>
      <c r="V784"/>
      <c r="W784">
        <v>1296</v>
      </c>
      <c r="X784"/>
      <c r="Y784" t="inlineStr">
        <is>
          <t>Pending Appointment</t>
        </is>
      </c>
      <c r="Z784" t="inlineStr">
        <is>
          <t>Hiring Now</t>
        </is>
      </c>
      <c r="AA784">
        <v>1</v>
      </c>
      <c r="AB784" t="inlineStr">
        <is>
          <t>No Appointment Made</t>
        </is>
      </c>
      <c r="AC784"/>
      <c r="AD784" t="inlineStr">
        <is>
          <t>1 designer (main) cum merchadiser</t>
        </is>
      </c>
      <c r="AE784"/>
      <c r="AF784">
        <v>0</v>
      </c>
      <c r="AG784" s="4"/>
      <c r="AH784" s="4"/>
      <c r="AI784">
        <v>0</v>
      </c>
      <c r="AJ784">
        <v>1</v>
      </c>
      <c r="AK784" t="inlineStr">
        <is>
          <t>No, I don't need at all</t>
        </is>
      </c>
      <c r="AL784">
        <v>1</v>
      </c>
      <c r="AM784" t="inlineStr">
        <is>
          <t>No, I don't need at all</t>
        </is>
      </c>
      <c r="AN784"/>
      <c r="AO784" t="inlineStr">
        <is>
          <t>No, I don't need at all</t>
        </is>
      </c>
      <c r="AP784" t="inlineStr">
        <is>
          <t>Once a year (25%)</t>
        </is>
      </c>
      <c r="AQ784">
        <v>1</v>
      </c>
      <c r="AR784" t="inlineStr">
        <is>
          <t>Did not use any job portal</t>
        </is>
      </c>
      <c r="AS784" t="inlineStr">
        <is>
          <t>- Headcount: 1
- Hiring Job Details: 1 designer (main) cum merchadiser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784">
        <v>105</v>
      </c>
      <c r="AU784" t="inlineStr">
        <is>
          <t>1.05</t>
        </is>
      </c>
      <c r="AV784" t="inlineStr">
        <is>
          <t>15</t>
        </is>
      </c>
      <c r="AW784" t="inlineStr">
        <is>
          <t>0</t>
        </is>
      </c>
      <c r="AX784" t="inlineStr">
        <is>
          <t>Not Qualified</t>
        </is>
      </c>
      <c r="AY784" s="4"/>
      <c r="AZ784"/>
      <c r="BA784"/>
      <c r="BB784"/>
      <c r="BC784" t="inlineStr">
        <is>
          <t>Mint called in ask how to post etc.</t>
        </is>
      </c>
      <c r="BD784" s="4">
        <v>46135.500081018516</v>
      </c>
      <c r="BE784" t="inlineStr">
        <is>
          <t>paid</t>
        </is>
      </c>
      <c r="BF784" t="inlineStr">
        <is>
          <t>Q2-W03</t>
        </is>
      </c>
      <c r="BG784" t="inlineStr">
        <is>
          <t>Reschedule</t>
        </is>
      </c>
      <c r="BH784" t="inlineStr">
        <is>
          <t>Reagen</t>
        </is>
      </c>
      <c r="BI784" t="inlineStr">
        <is>
          <t>Sports</t>
        </is>
      </c>
      <c r="BJ784" s="4">
        <v>46144.754328703704</v>
      </c>
      <c r="BK784" s="4">
        <v>46133.536782407406</v>
      </c>
      <c r="BL784" t="inlineStr">
        <is>
          <t>1296.0</t>
        </is>
      </c>
      <c r="BM784" t="inlineStr">
        <is>
          <t>0.0</t>
        </is>
      </c>
      <c r="BN784" t="inlineStr">
        <is>
          <t>View Company Page</t>
        </is>
      </c>
      <c r="BO784" s="4">
        <v>46142.67800925926</v>
      </c>
      <c r="BP784">
        <v>168013</v>
      </c>
      <c r="BQ784">
        <v>123465</v>
      </c>
      <c r="BR784" t="inlineStr">
        <is>
          <t>Proforma</t>
        </is>
      </c>
      <c r="BS784" t="inlineStr">
        <is>
          <t>Free Part-Time Job</t>
        </is>
      </c>
      <c r="BT784">
        <v>94544</v>
      </c>
      <c r="BU784"/>
      <c r="BV784">
        <v>2723012</v>
      </c>
      <c r="BW784" t="inlineStr">
        <is>
          <t>Service / Technical : Help To Post Job</t>
        </is>
      </c>
      <c r="BX784">
        <v>1</v>
      </c>
      <c r="BY784">
        <v>0</v>
      </c>
      <c r="BZ784" s="4">
        <v>46135.67618055556</v>
      </c>
      <c r="CA784">
        <v>23</v>
      </c>
      <c r="CB784">
        <v>23</v>
      </c>
      <c r="CC784" s="4"/>
      <c r="CD784" t="inlineStr">
        <is>
          <t>20</t>
        </is>
      </c>
      <c r="CE784" t="inlineStr">
        <is>
          <t>0</t>
        </is>
      </c>
      <c r="CF784" t="inlineStr">
        <is>
          <t>Q2-W03</t>
        </is>
      </c>
      <c r="CG784" t="inlineStr">
        <is>
          <t>Q2-W03</t>
        </is>
      </c>
      <c r="CH784" t="inlineStr">
        <is>
          <t>Q2-W03</t>
        </is>
      </c>
      <c r="CI784"/>
      <c r="CJ784" t="inlineStr">
        <is>
          <t>Paid</t>
        </is>
      </c>
      <c r="CK784" t="inlineStr">
        <is>
          <t>Not Eligible</t>
        </is>
      </c>
      <c r="CL784"/>
      <c r="CM784"/>
    </row>
    <row r="785" ht="25.5" customHeight="1">
      <c r="A785" t="inlineStr">
        <is>
          <t>164301</t>
        </is>
      </c>
      <c r="B785" s="2"/>
      <c r="C785"/>
      <c r="D785" s="3">
        <v>46133.62861111111</v>
      </c>
      <c r="E785" t="inlineStr">
        <is>
          <t>Q2-W03</t>
        </is>
      </c>
      <c r="F785" t="inlineStr">
        <is>
          <t>Luqman</t>
        </is>
      </c>
      <c r="G785" t="inlineStr">
        <is>
          <t>Customer</t>
        </is>
      </c>
      <c r="H785" s="2" t="str">
        <f>=HYPERLINK("https://upbox.ajobthing.my/customer/164301", "https://upbox.ajobthing.my/customer/164301")</f>
        <v>https://upbox.ajobthing.my/customer/164301</v>
      </c>
      <c r="I785" t="inlineStr">
        <is>
          <t>Pronature Pharmacy Sdn Bhd</t>
        </is>
      </c>
      <c r="J785" t="inlineStr">
        <is>
          <t>Dolphin</t>
        </is>
      </c>
      <c r="K785" t="inlineStr">
        <is>
          <t>Luqman</t>
        </is>
      </c>
      <c r="L785" s="4"/>
      <c r="M785" s="4">
        <v>46133.62869212963</v>
      </c>
      <c r="N785"/>
      <c r="O785">
        <v>3888</v>
      </c>
      <c r="P785" s="4"/>
      <c r="Q785" s="4">
        <v>44967.80112268519</v>
      </c>
      <c r="R785"/>
      <c r="S785">
        <v>636</v>
      </c>
      <c r="T785" s="4">
        <v>44967.80112268519</v>
      </c>
      <c r="U785" s="4"/>
      <c r="V785"/>
      <c r="W785">
        <v>636</v>
      </c>
      <c r="X785"/>
      <c r="Y785" t="inlineStr">
        <is>
          <t>Pending Appointment</t>
        </is>
      </c>
      <c r="Z785" t="inlineStr">
        <is>
          <t>Hiring Later</t>
        </is>
      </c>
      <c r="AA785">
        <v>1</v>
      </c>
      <c r="AB785" t="inlineStr">
        <is>
          <t>No Appointment Made</t>
        </is>
      </c>
      <c r="AC785"/>
      <c r="AD785" t="inlineStr">
        <is>
          <t xml:space="preserve">1. Pharmacist </t>
        </is>
      </c>
      <c r="AE785"/>
      <c r="AF785">
        <v>1200</v>
      </c>
      <c r="AG785" s="4"/>
      <c r="AH785" s="4"/>
      <c r="AI785">
        <v>1200</v>
      </c>
      <c r="AJ785"/>
      <c r="AK785" t="inlineStr">
        <is>
          <t>Yes, I have</t>
        </is>
      </c>
      <c r="AL785">
        <v>2</v>
      </c>
      <c r="AM785" t="inlineStr">
        <is>
          <t>No, I don't need at all</t>
        </is>
      </c>
      <c r="AN785"/>
      <c r="AO785" t="inlineStr">
        <is>
          <t>No, I don't need at all</t>
        </is>
      </c>
      <c r="AP785" t="inlineStr">
        <is>
          <t>Once a year (25%)</t>
        </is>
      </c>
      <c r="AQ785">
        <v>3</v>
      </c>
      <c r="AR785" t="inlineStr">
        <is>
          <t>Free Job Portal, Jobstreet</t>
        </is>
      </c>
      <c r="AS785" t="inlineStr">
        <is>
          <t>- Headcount: 1
- Hiring Job Details: 1 Pharmacist
- Hiring Urgency: Hiring Later
- Number of outlets: Not provided
- Have recruiter team: Yes
- Number of recruiter in company: 2
- Have ATS system: No, I don't need at all
- Have career website: No, I don't need at all
- Current hiring budget: RM1,200
- Whole year budget: RM1,200.00
- Whole year number of vacancies: 3
- Hiring frequency: Once a year (25%)
- External job portal: Free Job Portal, Jobstreet</t>
        </is>
      </c>
      <c r="AT785">
        <v>110</v>
      </c>
      <c r="AU785" t="inlineStr">
        <is>
          <t>1.10</t>
        </is>
      </c>
      <c r="AV785" t="inlineStr">
        <is>
          <t>15</t>
        </is>
      </c>
      <c r="AW785" t="inlineStr">
        <is>
          <t>0</t>
        </is>
      </c>
      <c r="AX785" t="inlineStr">
        <is>
          <t>Not Qualified</t>
        </is>
      </c>
      <c r="AY785" s="4"/>
      <c r="AZ785"/>
      <c r="BA785"/>
      <c r="BB785"/>
      <c r="BC785" t="inlineStr">
        <is>
          <t>- Headcount: 1
- Hiring Job Details: 1 Pharmacist
- Hiring Urgency: Hiring Later
- Number of outlets: Not provided
- Have recruiter team: Yes
- Number of recruiter in company: 2
- Have ATS system: No, I don't need at all
- Have career website: No, I don't need at all
- Current hiring budget: RM1,200
- Whole year budget: RM1,200.00
- Whole year number of vacancies: 3
- Hiring frequency: Once a year (25%)
- External job portal: Free Job Portal, Jobstreet</t>
        </is>
      </c>
      <c r="BD785" s="4">
        <v>46133.666712962964</v>
      </c>
      <c r="BE785" t="inlineStr">
        <is>
          <t>paid</t>
        </is>
      </c>
      <c r="BF785"/>
      <c r="BG785" t="inlineStr">
        <is>
          <t>Reschedule</t>
        </is>
      </c>
      <c r="BH785" t="inlineStr">
        <is>
          <t>Edward Hoo</t>
        </is>
      </c>
      <c r="BI785" t="inlineStr">
        <is>
          <t>Other industries</t>
        </is>
      </c>
      <c r="BJ785" s="4">
        <v>46144.7512037037</v>
      </c>
      <c r="BK785" s="4">
        <v>44967.4409375</v>
      </c>
      <c r="BL785" t="inlineStr">
        <is>
          <t>0.0</t>
        </is>
      </c>
      <c r="BM785" t="inlineStr">
        <is>
          <t>1200.0</t>
        </is>
      </c>
      <c r="BN785" t="inlineStr">
        <is>
          <t>View Company Page</t>
        </is>
      </c>
      <c r="BO785" s="4">
        <v>45833.63962962963</v>
      </c>
      <c r="BP785">
        <v>168064</v>
      </c>
      <c r="BQ785">
        <v>55384</v>
      </c>
      <c r="BR785" t="inlineStr">
        <is>
          <t>Online</t>
        </is>
      </c>
      <c r="BS785"/>
      <c r="BT785">
        <v>55384</v>
      </c>
      <c r="BU785"/>
      <c r="BV785">
        <v>2718687</v>
      </c>
      <c r="BW785" t="inlineStr">
        <is>
          <t>Customer Inquiry</t>
        </is>
      </c>
      <c r="BX785"/>
      <c r="BY785"/>
      <c r="BZ785" s="4"/>
      <c r="CA785"/>
      <c r="CB785"/>
      <c r="CC785" s="4"/>
      <c r="CD785" t="inlineStr">
        <is>
          <t>20</t>
        </is>
      </c>
      <c r="CE785" t="inlineStr">
        <is>
          <t>0</t>
        </is>
      </c>
      <c r="CF785" t="inlineStr">
        <is>
          <t>Q2-W03</t>
        </is>
      </c>
      <c r="CG785"/>
      <c r="CH785"/>
      <c r="CI785"/>
      <c r="CJ785" t="inlineStr">
        <is>
          <t>Paid</t>
        </is>
      </c>
      <c r="CK785" t="inlineStr">
        <is>
          <t>Not Eligible</t>
        </is>
      </c>
      <c r="CL785"/>
      <c r="CM785"/>
    </row>
    <row r="786" ht="25.5" customHeight="1">
      <c r="A786" t="inlineStr">
        <is>
          <t>203482</t>
        </is>
      </c>
      <c r="B786" s="2"/>
      <c r="C786"/>
      <c r="D786" s="3">
        <v>46133.62880787037</v>
      </c>
      <c r="E786" t="inlineStr">
        <is>
          <t>Q2-W03</t>
        </is>
      </c>
      <c r="F786" t="inlineStr">
        <is>
          <t>Derek Lim</t>
        </is>
      </c>
      <c r="G786" t="inlineStr">
        <is>
          <t>Customer</t>
        </is>
      </c>
      <c r="H786" s="2" t="str">
        <f>=HYPERLINK("https://upbox.ajobthing.my/customer/203482", "https://upbox.ajobthing.my/customer/203482")</f>
        <v>https://upbox.ajobthing.my/customer/203482</v>
      </c>
      <c r="I786" t="inlineStr">
        <is>
          <t>Yu Construction Sdn Bhd</t>
        </is>
      </c>
      <c r="J786" t="inlineStr">
        <is>
          <t>Dolphin</t>
        </is>
      </c>
      <c r="K786" t="inlineStr">
        <is>
          <t>Derek Lim</t>
        </is>
      </c>
      <c r="L786" s="4"/>
      <c r="M786" s="4">
        <v>46133.62925925926</v>
      </c>
      <c r="N786"/>
      <c r="O786">
        <v>3888</v>
      </c>
      <c r="P786" s="4"/>
      <c r="Q786" s="4">
        <v>46136.39952546296</v>
      </c>
      <c r="R786"/>
      <c r="S786">
        <v>1296</v>
      </c>
      <c r="T786" s="4"/>
      <c r="U786" s="4"/>
      <c r="V786"/>
      <c r="W786"/>
      <c r="X786"/>
      <c r="Y786" t="inlineStr">
        <is>
          <t>Pending Appointment</t>
        </is>
      </c>
      <c r="Z786" t="inlineStr">
        <is>
          <t>Hiring Now</t>
        </is>
      </c>
      <c r="AA786">
        <v>2</v>
      </c>
      <c r="AB786" t="inlineStr">
        <is>
          <t>No Appointment Made</t>
        </is>
      </c>
      <c r="AC786"/>
      <c r="AD786" t="inlineStr">
        <is>
          <t>QS - 2</t>
        </is>
      </c>
      <c r="AE786"/>
      <c r="AF786">
        <v>0</v>
      </c>
      <c r="AG786" s="4"/>
      <c r="AH786" s="4"/>
      <c r="AI786">
        <v>0</v>
      </c>
      <c r="AJ786">
        <v>1</v>
      </c>
      <c r="AK786" t="inlineStr">
        <is>
          <t>No, I don't need at all</t>
        </is>
      </c>
      <c r="AL786">
        <v>0</v>
      </c>
      <c r="AM786" t="inlineStr">
        <is>
          <t>No, I don't need at all</t>
        </is>
      </c>
      <c r="AN786"/>
      <c r="AO786" t="inlineStr">
        <is>
          <t>No, I don't need at all</t>
        </is>
      </c>
      <c r="AP786" t="inlineStr">
        <is>
          <t>Once a year (25%)</t>
        </is>
      </c>
      <c r="AQ786">
        <v>1</v>
      </c>
      <c r="AR786" t="inlineStr">
        <is>
          <t>Free Job Portal</t>
        </is>
      </c>
      <c r="AS786" t="inlineStr">
        <is>
          <t>- Headcount: 2
- Hiring Job Details: QS - 2
- Number of outlets: 1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
- Hiring Urgency: Hiring Now</t>
        </is>
      </c>
      <c r="AT786">
        <v>95</v>
      </c>
      <c r="AU786" t="inlineStr">
        <is>
          <t>0.95</t>
        </is>
      </c>
      <c r="AV786" t="inlineStr">
        <is>
          <t>15</t>
        </is>
      </c>
      <c r="AW786" t="inlineStr">
        <is>
          <t>0</t>
        </is>
      </c>
      <c r="AX786" t="inlineStr">
        <is>
          <t>Not Qualified</t>
        </is>
      </c>
      <c r="AY786" s="4"/>
      <c r="AZ786"/>
      <c r="BA786"/>
      <c r="BB786"/>
      <c r="BC786" t="inlineStr">
        <is>
          <t>CUSTOMER MENTION PENDING BOSS APPROVE THE PAYMENT, NOW AT OVERSEA</t>
        </is>
      </c>
      <c r="BD786" s="4">
        <v>46141.5915625</v>
      </c>
      <c r="BE786" t="inlineStr">
        <is>
          <t>pending</t>
        </is>
      </c>
      <c r="BF786"/>
      <c r="BG786" t="inlineStr">
        <is>
          <t>Reschedule</t>
        </is>
      </c>
      <c r="BH786" t="inlineStr">
        <is>
          <t>Edward Hoo</t>
        </is>
      </c>
      <c r="BI786"/>
      <c r="BJ786" s="4">
        <v>46144.754328703704</v>
      </c>
      <c r="BK786" s="4">
        <v>46133.60665509259</v>
      </c>
      <c r="BL786" t="inlineStr">
        <is>
          <t>0.0</t>
        </is>
      </c>
      <c r="BM786" t="inlineStr">
        <is>
          <t>600.0</t>
        </is>
      </c>
      <c r="BN786" t="inlineStr">
        <is>
          <t>User Visit(Logged In)</t>
        </is>
      </c>
      <c r="BO786" s="4">
        <v>46133.60668981481</v>
      </c>
      <c r="BP786">
        <v>168066</v>
      </c>
      <c r="BQ786">
        <v>123646</v>
      </c>
      <c r="BR786" t="inlineStr">
        <is>
          <t>Proforma</t>
        </is>
      </c>
      <c r="BS786" t="inlineStr">
        <is>
          <t>AI Ala Carte (Jan 26) Plus</t>
        </is>
      </c>
      <c r="BT786"/>
      <c r="BU786"/>
      <c r="BV786">
        <v>2735229</v>
      </c>
      <c r="BW786" t="inlineStr">
        <is>
          <t>Follow Up : Payment Pending</t>
        </is>
      </c>
      <c r="BX786"/>
      <c r="BY786"/>
      <c r="BZ786" s="4"/>
      <c r="CA786"/>
      <c r="CB786"/>
      <c r="CC786" s="4"/>
      <c r="CD786" t="inlineStr">
        <is>
          <t>20</t>
        </is>
      </c>
      <c r="CE786" t="inlineStr">
        <is>
          <t>0</t>
        </is>
      </c>
      <c r="CF786" t="inlineStr">
        <is>
          <t>Q2-W03</t>
        </is>
      </c>
      <c r="CG786" t="inlineStr">
        <is>
          <t>Q2-W04</t>
        </is>
      </c>
      <c r="CH786"/>
      <c r="CI786"/>
      <c r="CJ786" t="inlineStr">
        <is>
          <t>No Paid</t>
        </is>
      </c>
      <c r="CK786" t="inlineStr">
        <is>
          <t>Not Eligible</t>
        </is>
      </c>
      <c r="CL786"/>
      <c r="CM786"/>
    </row>
    <row r="787" ht="25.5" customHeight="1">
      <c r="A787" t="inlineStr">
        <is>
          <t>164291</t>
        </is>
      </c>
      <c r="B787" s="2"/>
      <c r="C787"/>
      <c r="D787" s="3">
        <v>46133.64084490741</v>
      </c>
      <c r="E787" t="inlineStr">
        <is>
          <t>Q2-W03</t>
        </is>
      </c>
      <c r="F787" t="inlineStr">
        <is>
          <t>Luqman</t>
        </is>
      </c>
      <c r="G787" t="inlineStr">
        <is>
          <t>Customer</t>
        </is>
      </c>
      <c r="H787" s="2" t="str">
        <f>=HYPERLINK("https://upbox.ajobthing.my/customer/164291", "https://upbox.ajobthing.my/customer/164291")</f>
        <v>https://upbox.ajobthing.my/customer/164291</v>
      </c>
      <c r="I787" t="inlineStr">
        <is>
          <t>Newton SG Sdn Bhd</t>
        </is>
      </c>
      <c r="J787" t="inlineStr">
        <is>
          <t>Dolphin</t>
        </is>
      </c>
      <c r="K787" t="inlineStr">
        <is>
          <t>Luqman</t>
        </is>
      </c>
      <c r="L787" s="4"/>
      <c r="M787" s="4">
        <v>46133.64096064815</v>
      </c>
      <c r="N787"/>
      <c r="O787">
        <v>3888</v>
      </c>
      <c r="P787" s="4"/>
      <c r="Q787" s="4">
        <v>45229.79388888889</v>
      </c>
      <c r="R787"/>
      <c r="S787">
        <v>2077.6</v>
      </c>
      <c r="T787" s="4">
        <v>45229.79388888889</v>
      </c>
      <c r="U787" s="4"/>
      <c r="V787"/>
      <c r="W787">
        <v>2077.6</v>
      </c>
      <c r="X787"/>
      <c r="Y787" t="inlineStr">
        <is>
          <t>Pending Appointment</t>
        </is>
      </c>
      <c r="Z787" t="inlineStr">
        <is>
          <t>Hiring Later</t>
        </is>
      </c>
      <c r="AA787">
        <v>2</v>
      </c>
      <c r="AB787" t="inlineStr">
        <is>
          <t>No Appointment Made</t>
        </is>
      </c>
      <c r="AC787"/>
      <c r="AD787" t="inlineStr">
        <is>
          <t xml:space="preserve">1. Teacher 2. Facilitator </t>
        </is>
      </c>
      <c r="AE787"/>
      <c r="AF787">
        <v>1200</v>
      </c>
      <c r="AG787" s="4"/>
      <c r="AH787" s="4"/>
      <c r="AI787">
        <v>1200</v>
      </c>
      <c r="AJ787"/>
      <c r="AK787" t="inlineStr">
        <is>
          <t>No, I don't need at all</t>
        </is>
      </c>
      <c r="AL787">
        <v>1</v>
      </c>
      <c r="AM787" t="inlineStr">
        <is>
          <t>No, I don't need at all</t>
        </is>
      </c>
      <c r="AN787"/>
      <c r="AO787" t="inlineStr">
        <is>
          <t>No, I don't need at all</t>
        </is>
      </c>
      <c r="AP787" t="inlineStr">
        <is>
          <t>Once a year (25%)</t>
        </is>
      </c>
      <c r="AQ787">
        <v>2</v>
      </c>
      <c r="AR787" t="inlineStr">
        <is>
          <t>Free Job Portal</t>
        </is>
      </c>
      <c r="AS787" t="inlineStr">
        <is>
          <t>- Headcount: 2
- Hiring Job Details: 1. Teacher 2. Facilitator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is>
      </c>
      <c r="AT787">
        <v>95</v>
      </c>
      <c r="AU787" t="inlineStr">
        <is>
          <t>0.95</t>
        </is>
      </c>
      <c r="AV787" t="inlineStr">
        <is>
          <t>15</t>
        </is>
      </c>
      <c r="AW787" t="inlineStr">
        <is>
          <t>0</t>
        </is>
      </c>
      <c r="AX787" t="inlineStr">
        <is>
          <t>Not Qualified</t>
        </is>
      </c>
      <c r="AY787" s="4"/>
      <c r="AZ787"/>
      <c r="BA787"/>
      <c r="BB787"/>
      <c r="BC787" t="inlineStr">
        <is>
          <t>Previous experience influenced organization verdict</t>
        </is>
      </c>
      <c r="BD787" s="4">
        <v>46141.57503472222</v>
      </c>
      <c r="BE787" t="inlineStr">
        <is>
          <t>paid</t>
        </is>
      </c>
      <c r="BF787"/>
      <c r="BG787" t="inlineStr">
        <is>
          <t>Reschedule</t>
        </is>
      </c>
      <c r="BH787" t="inlineStr">
        <is>
          <t>Edward Hoo</t>
        </is>
      </c>
      <c r="BI787" t="inlineStr">
        <is>
          <t>Education / Training</t>
        </is>
      </c>
      <c r="BJ787" s="4">
        <v>46144.7512037037</v>
      </c>
      <c r="BK787" s="4">
        <v>44967.38759259259</v>
      </c>
      <c r="BL787" t="inlineStr">
        <is>
          <t>0.0</t>
        </is>
      </c>
      <c r="BM787" t="inlineStr">
        <is>
          <t>600.0</t>
        </is>
      </c>
      <c r="BN787" t="inlineStr">
        <is>
          <t>View Jobmanager Page</t>
        </is>
      </c>
      <c r="BO787" s="4">
        <v>45623.911944444444</v>
      </c>
      <c r="BP787">
        <v>168074</v>
      </c>
      <c r="BQ787">
        <v>63354</v>
      </c>
      <c r="BR787" t="inlineStr">
        <is>
          <t>Online</t>
        </is>
      </c>
      <c r="BS787"/>
      <c r="BT787">
        <v>63354</v>
      </c>
      <c r="BU787"/>
      <c r="BV787">
        <v>2735116</v>
      </c>
      <c r="BW787" t="inlineStr">
        <is>
          <t>Follow Up : Lost - Paid Portal</t>
        </is>
      </c>
      <c r="BX787"/>
      <c r="BY787"/>
      <c r="BZ787" s="4"/>
      <c r="CA787"/>
      <c r="CB787"/>
      <c r="CC787" s="4"/>
      <c r="CD787" t="inlineStr">
        <is>
          <t>20</t>
        </is>
      </c>
      <c r="CE787" t="inlineStr">
        <is>
          <t>0</t>
        </is>
      </c>
      <c r="CF787" t="inlineStr">
        <is>
          <t>Q2-W03</t>
        </is>
      </c>
      <c r="CG787"/>
      <c r="CH787"/>
      <c r="CI787"/>
      <c r="CJ787" t="inlineStr">
        <is>
          <t>Paid</t>
        </is>
      </c>
      <c r="CK787" t="inlineStr">
        <is>
          <t>Not Eligible</t>
        </is>
      </c>
      <c r="CL787"/>
      <c r="CM787"/>
    </row>
    <row r="788" ht="25.5" customHeight="1">
      <c r="A788" t="inlineStr">
        <is>
          <t>163768</t>
        </is>
      </c>
      <c r="B788" s="2"/>
      <c r="C788"/>
      <c r="D788" s="3">
        <v>46133.6433912037</v>
      </c>
      <c r="E788" t="inlineStr">
        <is>
          <t>Q2-W03</t>
        </is>
      </c>
      <c r="F788" t="inlineStr">
        <is>
          <t>Jia Hui</t>
        </is>
      </c>
      <c r="G788" t="inlineStr">
        <is>
          <t>Customer</t>
        </is>
      </c>
      <c r="H788" s="2" t="str">
        <f>=HYPERLINK("https://upbox.ajobthing.my/customer/163768", "https://upbox.ajobthing.my/customer/163768")</f>
        <v>https://upbox.ajobthing.my/customer/163768</v>
      </c>
      <c r="I788" t="inlineStr">
        <is>
          <t>Radin Afendy Akmal</t>
        </is>
      </c>
      <c r="J788" t="inlineStr">
        <is>
          <t>Dolphin</t>
        </is>
      </c>
      <c r="K788" t="inlineStr">
        <is>
          <t>Jia Hui</t>
        </is>
      </c>
      <c r="L788" s="4"/>
      <c r="M788" s="4">
        <v>46133.639398148145</v>
      </c>
      <c r="N788"/>
      <c r="O788">
        <v>3888</v>
      </c>
      <c r="P788" s="4"/>
      <c r="Q788" s="4">
        <v>45215.71475694444</v>
      </c>
      <c r="R788"/>
      <c r="S788">
        <v>2374.4</v>
      </c>
      <c r="T788" s="4">
        <v>45215.71475694444</v>
      </c>
      <c r="U788" s="4"/>
      <c r="V788"/>
      <c r="W788">
        <v>2374.4</v>
      </c>
      <c r="X788"/>
      <c r="Y788" t="inlineStr">
        <is>
          <t>Pending Appointment</t>
        </is>
      </c>
      <c r="Z788" t="inlineStr">
        <is>
          <t>Hiring Now</t>
        </is>
      </c>
      <c r="AA788">
        <v>15</v>
      </c>
      <c r="AB788" t="inlineStr">
        <is>
          <t>No Appointment Made</t>
        </is>
      </c>
      <c r="AC788"/>
      <c r="AD788" t="inlineStr">
        <is>
          <t>15 insurance agents</t>
        </is>
      </c>
      <c r="AE788"/>
      <c r="AF788">
        <v>500</v>
      </c>
      <c r="AG788" s="4"/>
      <c r="AH788" s="4"/>
      <c r="AI788"/>
      <c r="AJ788"/>
      <c r="AK788" t="inlineStr">
        <is>
          <t>No, but I want in future</t>
        </is>
      </c>
      <c r="AL788"/>
      <c r="AM788"/>
      <c r="AN788"/>
      <c r="AO788"/>
      <c r="AP788" t="inlineStr">
        <is>
          <t>Once a year (25%)</t>
        </is>
      </c>
      <c r="AQ788"/>
      <c r="AR788"/>
      <c r="AS788" t="inlineStr">
        <is>
          <t>- Headcount: 15
- Hiring Job Details: 15 insurance agents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788">
        <v>95</v>
      </c>
      <c r="AU788" t="inlineStr">
        <is>
          <t>0.95</t>
        </is>
      </c>
      <c r="AV788" t="inlineStr">
        <is>
          <t>25</t>
        </is>
      </c>
      <c r="AW788" t="inlineStr">
        <is>
          <t>0</t>
        </is>
      </c>
      <c r="AX788" t="inlineStr">
        <is>
          <t>Not Qualified</t>
        </is>
      </c>
      <c r="AY788" s="4"/>
      <c r="AZ788"/>
      <c r="BA788"/>
      <c r="BB788"/>
      <c r="BC788" t="inlineStr">
        <is>
          <t>no ans, no respond</t>
        </is>
      </c>
      <c r="BD788" s="4">
        <v>46136.49181712963</v>
      </c>
      <c r="BE788" t="inlineStr">
        <is>
          <t>paid</t>
        </is>
      </c>
      <c r="BF788"/>
      <c r="BG788" t="inlineStr">
        <is>
          <t>Reschedule</t>
        </is>
      </c>
      <c r="BH788" t="inlineStr">
        <is>
          <t>Reagen</t>
        </is>
      </c>
      <c r="BI788" t="inlineStr">
        <is>
          <t>Insurance</t>
        </is>
      </c>
      <c r="BJ788" s="4">
        <v>46144.7512037037</v>
      </c>
      <c r="BK788" s="4">
        <v>44943.645891203705</v>
      </c>
      <c r="BL788" t="inlineStr">
        <is>
          <t>0.0</t>
        </is>
      </c>
      <c r="BM788" t="inlineStr">
        <is>
          <t>0.0</t>
        </is>
      </c>
      <c r="BN788" t="inlineStr">
        <is>
          <t>View Company Page</t>
        </is>
      </c>
      <c r="BO788" s="4">
        <v>46035.52854166667</v>
      </c>
      <c r="BP788">
        <v>168073</v>
      </c>
      <c r="BQ788">
        <v>62999</v>
      </c>
      <c r="BR788" t="inlineStr">
        <is>
          <t>Online</t>
        </is>
      </c>
      <c r="BS788"/>
      <c r="BT788">
        <v>62999</v>
      </c>
      <c r="BU788"/>
      <c r="BV788">
        <v>2725970</v>
      </c>
      <c r="BW788" t="inlineStr">
        <is>
          <t>No Answer : Voicemail - WA sent to customer</t>
        </is>
      </c>
      <c r="BX788"/>
      <c r="BY788"/>
      <c r="BZ788" s="4"/>
      <c r="CA788"/>
      <c r="CB788"/>
      <c r="CC788" s="4"/>
      <c r="CD788" t="inlineStr">
        <is>
          <t>35</t>
        </is>
      </c>
      <c r="CE788" t="inlineStr">
        <is>
          <t>0</t>
        </is>
      </c>
      <c r="CF788" t="inlineStr">
        <is>
          <t>Q2-W03</t>
        </is>
      </c>
      <c r="CG788"/>
      <c r="CH788"/>
      <c r="CI788"/>
      <c r="CJ788" t="inlineStr">
        <is>
          <t>Paid</t>
        </is>
      </c>
      <c r="CK788" t="inlineStr">
        <is>
          <t>Eligible</t>
        </is>
      </c>
      <c r="CL788"/>
      <c r="CM788"/>
    </row>
    <row r="789" ht="25.5" customHeight="1">
      <c r="A789" t="inlineStr">
        <is>
          <t>4309825</t>
        </is>
      </c>
      <c r="B789" s="2"/>
      <c r="C789"/>
      <c r="D789" s="3">
        <v>46133.64738425926</v>
      </c>
      <c r="E789" t="inlineStr">
        <is>
          <t>Q2-W03</t>
        </is>
      </c>
      <c r="F789" t="inlineStr">
        <is>
          <t>Jess</t>
        </is>
      </c>
      <c r="G789" t="inlineStr">
        <is>
          <t>Lead</t>
        </is>
      </c>
      <c r="H789" s="2" t="str">
        <f>=HYPERLINK("https://upbox.ajobthing.my/leads/4309825", "https://upbox.ajobthing.my/leads/4309825")</f>
        <v>https://upbox.ajobthing.my/leads/4309825</v>
      </c>
      <c r="I789" t="inlineStr">
        <is>
          <t>Prasanna Ramookutty</t>
        </is>
      </c>
      <c r="J789" t="inlineStr">
        <is>
          <t>Dolphin</t>
        </is>
      </c>
      <c r="K789" t="inlineStr">
        <is>
          <t>Jess Lim</t>
        </is>
      </c>
      <c r="L789" s="4"/>
      <c r="M789" s="4">
        <v>46133.65607638889</v>
      </c>
      <c r="N789"/>
      <c r="O789">
        <v>3888</v>
      </c>
      <c r="P789" s="4"/>
      <c r="Q789" s="4"/>
      <c r="R789"/>
      <c r="S789"/>
      <c r="T789" s="4"/>
      <c r="U789" s="4"/>
      <c r="V789"/>
      <c r="W789"/>
      <c r="X789"/>
      <c r="Y789" t="inlineStr">
        <is>
          <t>Pending Appointment</t>
        </is>
      </c>
      <c r="Z789" t="inlineStr">
        <is>
          <t>Hiring Now</t>
        </is>
      </c>
      <c r="AA789">
        <v>4</v>
      </c>
      <c r="AB789" t="inlineStr">
        <is>
          <t>No Appointment Made</t>
        </is>
      </c>
      <c r="AC789"/>
      <c r="AD789" t="inlineStr">
        <is>
          <t>furniture 
hr jun project sales</t>
        </is>
      </c>
      <c r="AE789"/>
      <c r="AF789">
        <v>3600</v>
      </c>
      <c r="AG789" s="4"/>
      <c r="AH789" s="4"/>
      <c r="AI789"/>
      <c r="AJ789"/>
      <c r="AK789" t="inlineStr">
        <is>
          <t>No, I don't need at all</t>
        </is>
      </c>
      <c r="AL789">
        <v>1</v>
      </c>
      <c r="AM789" t="inlineStr">
        <is>
          <t>No, I don't need at all</t>
        </is>
      </c>
      <c r="AN789"/>
      <c r="AO789" t="inlineStr">
        <is>
          <t>No, I don't need at all</t>
        </is>
      </c>
      <c r="AP789" t="inlineStr">
        <is>
          <t>Once a year (25%)</t>
        </is>
      </c>
      <c r="AQ789"/>
      <c r="AR789" t="inlineStr">
        <is>
          <t>Jobstreet</t>
        </is>
      </c>
      <c r="AS789" t="inlineStr">
        <is>
          <t>- Headcount: 4
- Hiring Job Details: furniture, hr jun project sales
- Hiring Urgency: Hiring Now
- Number of outlets: N/A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is>
      </c>
      <c r="AT789">
        <v>75</v>
      </c>
      <c r="AU789" t="inlineStr">
        <is>
          <t>0.75</t>
        </is>
      </c>
      <c r="AV789" t="inlineStr">
        <is>
          <t>15</t>
        </is>
      </c>
      <c r="AW789" t="inlineStr">
        <is>
          <t>0</t>
        </is>
      </c>
      <c r="AX789" t="inlineStr">
        <is>
          <t>Not Qualified</t>
        </is>
      </c>
      <c r="AY789" s="4"/>
      <c r="AZ789"/>
      <c r="BA789"/>
      <c r="BB789"/>
      <c r="BC789"/>
      <c r="BD789" s="4"/>
      <c r="BE789"/>
      <c r="BF789"/>
      <c r="BG789" t="inlineStr">
        <is>
          <t>Reschedule</t>
        </is>
      </c>
      <c r="BH789" t="inlineStr">
        <is>
          <t>Fauziah Maharan</t>
        </is>
      </c>
      <c r="BI789"/>
      <c r="BJ789" s="4">
        <v>46144.75587962963</v>
      </c>
      <c r="BK789" s="4">
        <v>46133.62373842593</v>
      </c>
      <c r="BL789" t="inlineStr">
        <is>
          <t>0.0</t>
        </is>
      </c>
      <c r="BM789" t="inlineStr">
        <is>
          <t>0.0</t>
        </is>
      </c>
      <c r="BN789"/>
      <c r="BO789" s="4"/>
      <c r="BP789">
        <v>168090</v>
      </c>
      <c r="BQ789"/>
      <c r="BR789"/>
      <c r="BS789"/>
      <c r="BT789"/>
      <c r="BU789"/>
      <c r="BV789"/>
      <c r="BW789"/>
      <c r="BX789"/>
      <c r="BY789"/>
      <c r="BZ789" s="4"/>
      <c r="CA789"/>
      <c r="CB789"/>
      <c r="CC789" s="4"/>
      <c r="CD789" t="inlineStr">
        <is>
          <t>20</t>
        </is>
      </c>
      <c r="CE789" t="inlineStr">
        <is>
          <t>0</t>
        </is>
      </c>
      <c r="CF789" t="inlineStr">
        <is>
          <t>Q2-W03</t>
        </is>
      </c>
      <c r="CG789"/>
      <c r="CH789"/>
      <c r="CI789"/>
      <c r="CJ789" t="inlineStr">
        <is>
          <t>No Paid</t>
        </is>
      </c>
      <c r="CK789" t="inlineStr">
        <is>
          <t>Not Eligible</t>
        </is>
      </c>
      <c r="CL789"/>
      <c r="CM789"/>
    </row>
    <row r="790" ht="25.5" customHeight="1">
      <c r="A790" t="inlineStr">
        <is>
          <t>165474</t>
        </is>
      </c>
      <c r="B790" s="2"/>
      <c r="C790"/>
      <c r="D790" s="3">
        <v>46133.647824074076</v>
      </c>
      <c r="E790" t="inlineStr">
        <is>
          <t>Q2-W03</t>
        </is>
      </c>
      <c r="F790" t="inlineStr">
        <is>
          <t>Luqman</t>
        </is>
      </c>
      <c r="G790" t="inlineStr">
        <is>
          <t>Customer</t>
        </is>
      </c>
      <c r="H790" s="2" t="str">
        <f>=HYPERLINK("https://upbox.ajobthing.my/customer/165474", "https://upbox.ajobthing.my/customer/165474")</f>
        <v>https://upbox.ajobthing.my/customer/165474</v>
      </c>
      <c r="I790" t="inlineStr">
        <is>
          <t>En Compass Sdn Bhd</t>
        </is>
      </c>
      <c r="J790" t="inlineStr">
        <is>
          <t>Dolphin</t>
        </is>
      </c>
      <c r="K790" t="inlineStr">
        <is>
          <t>Luqman</t>
        </is>
      </c>
      <c r="L790" s="4"/>
      <c r="M790" s="4">
        <v>46133.64805555555</v>
      </c>
      <c r="N790"/>
      <c r="O790">
        <v>3888</v>
      </c>
      <c r="P790" s="4"/>
      <c r="Q790" s="4">
        <v>45002.36483796296</v>
      </c>
      <c r="R790"/>
      <c r="S790">
        <v>636</v>
      </c>
      <c r="T790" s="4">
        <v>45001.00001157408</v>
      </c>
      <c r="U790" s="4"/>
      <c r="V790"/>
      <c r="W790">
        <v>636</v>
      </c>
      <c r="X790"/>
      <c r="Y790" t="inlineStr">
        <is>
          <t>Pending Appointment</t>
        </is>
      </c>
      <c r="Z790" t="inlineStr">
        <is>
          <t>Hiring Later</t>
        </is>
      </c>
      <c r="AA790">
        <v>3</v>
      </c>
      <c r="AB790" t="inlineStr">
        <is>
          <t>No Appointment Made</t>
        </is>
      </c>
      <c r="AC790"/>
      <c r="AD790" t="inlineStr">
        <is>
          <t xml:space="preserve">1. Creative 
2. Sales 
3. Content Creator </t>
        </is>
      </c>
      <c r="AE790"/>
      <c r="AF790">
        <v>3600</v>
      </c>
      <c r="AG790" s="4"/>
      <c r="AH790" s="4"/>
      <c r="AI790">
        <v>3600</v>
      </c>
      <c r="AJ790"/>
      <c r="AK790" t="inlineStr">
        <is>
          <t>Yes, I have</t>
        </is>
      </c>
      <c r="AL790">
        <v>2</v>
      </c>
      <c r="AM790" t="inlineStr">
        <is>
          <t>No, I don't need at all</t>
        </is>
      </c>
      <c r="AN790"/>
      <c r="AO790" t="inlineStr">
        <is>
          <t>Yes, I have</t>
        </is>
      </c>
      <c r="AP790" t="inlineStr">
        <is>
          <t>Once a year (25%)</t>
        </is>
      </c>
      <c r="AQ790">
        <v>3</v>
      </c>
      <c r="AR790" t="inlineStr">
        <is>
          <t>Jobstreet</t>
        </is>
      </c>
      <c r="AS790" t="inlineStr">
        <is>
          <t>- Headcount: 3
- Hiring Job Details: 1. Creative 2. Sales 3. Content Creator
- Hiring Urgency: Hiring Later
- Number of outlets: N/A
- Have recruiter team: Yes
- Number of recruiter in company: 2
- Have ATS system: No, I don't need at all
- Have career website: Yes
- Current hiring budget: RM3,600
- Whole year budget: RM3,600.00
- Whole year number of vacancies: 3
- Hiring frequency: Once a year (25%)
- External job portal: Jobstreet</t>
        </is>
      </c>
      <c r="AT790">
        <v>95</v>
      </c>
      <c r="AU790" t="inlineStr">
        <is>
          <t>0.95</t>
        </is>
      </c>
      <c r="AV790" t="inlineStr">
        <is>
          <t>15</t>
        </is>
      </c>
      <c r="AW790" t="inlineStr">
        <is>
          <t>0</t>
        </is>
      </c>
      <c r="AX790" t="inlineStr">
        <is>
          <t>Not Qualified</t>
        </is>
      </c>
      <c r="AY790" s="4"/>
      <c r="AZ790"/>
      <c r="BA790"/>
      <c r="BB790"/>
      <c r="BC790" t="inlineStr">
        <is>
          <t>Lost - No feedback</t>
        </is>
      </c>
      <c r="BD790" s="4">
        <v>46142.47390046297</v>
      </c>
      <c r="BE790" t="inlineStr">
        <is>
          <t>paid</t>
        </is>
      </c>
      <c r="BF790"/>
      <c r="BG790" t="inlineStr">
        <is>
          <t>Reschedule</t>
        </is>
      </c>
      <c r="BH790" t="inlineStr">
        <is>
          <t>Edward Hoo</t>
        </is>
      </c>
      <c r="BI790" t="inlineStr">
        <is>
          <t>Beauty / Fitness</t>
        </is>
      </c>
      <c r="BJ790" s="4">
        <v>46144.75127314815</v>
      </c>
      <c r="BK790" s="4">
        <v>45002.39262731482</v>
      </c>
      <c r="BL790" t="inlineStr">
        <is>
          <t>0.0</t>
        </is>
      </c>
      <c r="BM790" t="inlineStr">
        <is>
          <t>1200.0</t>
        </is>
      </c>
      <c r="BN790" t="inlineStr">
        <is>
          <t>View Applicant Page</t>
        </is>
      </c>
      <c r="BO790" s="4">
        <v>45069.65358796297</v>
      </c>
      <c r="BP790">
        <v>168081</v>
      </c>
      <c r="BQ790">
        <v>73706</v>
      </c>
      <c r="BR790" t="inlineStr">
        <is>
          <t>Proforma</t>
        </is>
      </c>
      <c r="BS790" t="inlineStr">
        <is>
          <t>GLFB Gold Package</t>
        </is>
      </c>
      <c r="BT790">
        <v>56718</v>
      </c>
      <c r="BU790"/>
      <c r="BV790">
        <v>2737120</v>
      </c>
      <c r="BW790" t="inlineStr">
        <is>
          <t>Follow Up : Lost - Free Portal</t>
        </is>
      </c>
      <c r="BX790"/>
      <c r="BY790"/>
      <c r="BZ790" s="4"/>
      <c r="CA790"/>
      <c r="CB790"/>
      <c r="CC790" s="4"/>
      <c r="CD790" t="inlineStr">
        <is>
          <t>20</t>
        </is>
      </c>
      <c r="CE790" t="inlineStr">
        <is>
          <t>0</t>
        </is>
      </c>
      <c r="CF790" t="inlineStr">
        <is>
          <t>Q2-W03</t>
        </is>
      </c>
      <c r="CG790"/>
      <c r="CH790"/>
      <c r="CI790"/>
      <c r="CJ790" t="inlineStr">
        <is>
          <t>Paid</t>
        </is>
      </c>
      <c r="CK790" t="inlineStr">
        <is>
          <t>Not Eligible</t>
        </is>
      </c>
      <c r="CL790"/>
      <c r="CM790"/>
    </row>
    <row r="791" ht="25.5" customHeight="1">
      <c r="A791" t="inlineStr">
        <is>
          <t>189094</t>
        </is>
      </c>
      <c r="B791" s="2"/>
      <c r="C791"/>
      <c r="D791" s="3">
        <v>46133.649363425924</v>
      </c>
      <c r="E791" t="inlineStr">
        <is>
          <t>Q2-W03</t>
        </is>
      </c>
      <c r="F791" t="inlineStr">
        <is>
          <t>Jia Hui</t>
        </is>
      </c>
      <c r="G791" t="inlineStr">
        <is>
          <t>Customer</t>
        </is>
      </c>
      <c r="H791" s="2" t="str">
        <f>=HYPERLINK("https://upbox.ajobthing.my/customer/189094", "https://upbox.ajobthing.my/customer/189094")</f>
        <v>https://upbox.ajobthing.my/customer/189094</v>
      </c>
      <c r="I791" t="inlineStr">
        <is>
          <t>Naka Restaurant Sdn Bhd</t>
        </is>
      </c>
      <c r="J791" t="inlineStr">
        <is>
          <t>Dolphin</t>
        </is>
      </c>
      <c r="K791" t="inlineStr">
        <is>
          <t>Jia Hui</t>
        </is>
      </c>
      <c r="L791" s="4"/>
      <c r="M791" s="4">
        <v>46133.64983796296</v>
      </c>
      <c r="N791"/>
      <c r="O791">
        <v>6048</v>
      </c>
      <c r="P791" s="4"/>
      <c r="Q791" s="4">
        <v>45744.58619212963</v>
      </c>
      <c r="R791"/>
      <c r="S791">
        <v>648</v>
      </c>
      <c r="T791" s="4">
        <v>45744.58619212963</v>
      </c>
      <c r="U791" s="4"/>
      <c r="V791"/>
      <c r="W791">
        <v>648</v>
      </c>
      <c r="X791"/>
      <c r="Y791" t="inlineStr">
        <is>
          <t>Pending Appointment</t>
        </is>
      </c>
      <c r="Z791" t="inlineStr">
        <is>
          <t>Hiring Now</t>
        </is>
      </c>
      <c r="AA791">
        <v>3</v>
      </c>
      <c r="AB791" t="inlineStr">
        <is>
          <t>No Appointment Made</t>
        </is>
      </c>
      <c r="AC791"/>
      <c r="AD791" t="inlineStr">
        <is>
          <t>1 outlet manager, 1 kitchen crew, 1 floor manager</t>
        </is>
      </c>
      <c r="AE791"/>
      <c r="AF791">
        <v>500</v>
      </c>
      <c r="AG791" s="4"/>
      <c r="AH791" s="4"/>
      <c r="AI791"/>
      <c r="AJ791"/>
      <c r="AK791" t="inlineStr">
        <is>
          <t>No, but I want in future</t>
        </is>
      </c>
      <c r="AL791"/>
      <c r="AM791"/>
      <c r="AN791"/>
      <c r="AO791"/>
      <c r="AP791" t="inlineStr">
        <is>
          <t>Once a year (25%)</t>
        </is>
      </c>
      <c r="AQ791"/>
      <c r="AR791"/>
      <c r="AS791" t="inlineStr">
        <is>
          <t>- Headcount: 3.
- Hiring Job Details: 1 outlet manager, 1 kitchen crew, 1 floor manager.
- Hiring Urgency: Hiring Now.
- Number of outlets: Not specified.
- Have recruiter team: No, but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791">
        <v>75</v>
      </c>
      <c r="AU791" t="inlineStr">
        <is>
          <t>0.75</t>
        </is>
      </c>
      <c r="AV791" t="inlineStr">
        <is>
          <t>15</t>
        </is>
      </c>
      <c r="AW791" t="inlineStr">
        <is>
          <t>0</t>
        </is>
      </c>
      <c r="AX791" t="inlineStr">
        <is>
          <t>Not Qualified</t>
        </is>
      </c>
      <c r="AY791" s="4"/>
      <c r="AZ791"/>
      <c r="BA791"/>
      <c r="BB791"/>
      <c r="BC791" t="inlineStr">
        <is>
          <t>already fulfilled the position, on hold</t>
        </is>
      </c>
      <c r="BD791" s="4">
        <v>46136.49732638889</v>
      </c>
      <c r="BE791" t="inlineStr">
        <is>
          <t>paid</t>
        </is>
      </c>
      <c r="BF791"/>
      <c r="BG791" t="inlineStr">
        <is>
          <t>Reschedule</t>
        </is>
      </c>
      <c r="BH791" t="inlineStr">
        <is>
          <t>Reagen</t>
        </is>
      </c>
      <c r="BI791" t="inlineStr">
        <is>
          <t>Food / Beverage</t>
        </is>
      </c>
      <c r="BJ791" s="4">
        <v>46144.752280092594</v>
      </c>
      <c r="BK791" s="4">
        <v>45736.58322916667</v>
      </c>
      <c r="BL791" t="inlineStr">
        <is>
          <t>0.0</t>
        </is>
      </c>
      <c r="BM791" t="inlineStr">
        <is>
          <t>0.0</t>
        </is>
      </c>
      <c r="BN791" t="inlineStr">
        <is>
          <t>View Candidate Search Page</t>
        </is>
      </c>
      <c r="BO791" s="4">
        <v>45797.68306712963</v>
      </c>
      <c r="BP791">
        <v>168084</v>
      </c>
      <c r="BQ791">
        <v>78062</v>
      </c>
      <c r="BR791" t="inlineStr">
        <is>
          <t>Online</t>
        </is>
      </c>
      <c r="BS791"/>
      <c r="BT791">
        <v>78062</v>
      </c>
      <c r="BU791"/>
      <c r="BV791">
        <v>2726009</v>
      </c>
      <c r="BW791" t="inlineStr">
        <is>
          <t>Follow Up : Budget Concern</t>
        </is>
      </c>
      <c r="BX791"/>
      <c r="BY791"/>
      <c r="BZ791" s="4"/>
      <c r="CA791"/>
      <c r="CB791"/>
      <c r="CC791" s="4"/>
      <c r="CD791" t="inlineStr">
        <is>
          <t>20</t>
        </is>
      </c>
      <c r="CE791" t="inlineStr">
        <is>
          <t>0</t>
        </is>
      </c>
      <c r="CF791" t="inlineStr">
        <is>
          <t>Q2-W03</t>
        </is>
      </c>
      <c r="CG791"/>
      <c r="CH791"/>
      <c r="CI791"/>
      <c r="CJ791" t="inlineStr">
        <is>
          <t>Paid</t>
        </is>
      </c>
      <c r="CK791" t="inlineStr">
        <is>
          <t>Not Eligible</t>
        </is>
      </c>
      <c r="CL791"/>
      <c r="CM791"/>
    </row>
    <row r="792" ht="25.5" customHeight="1">
      <c r="A792" t="inlineStr">
        <is>
          <t>189329</t>
        </is>
      </c>
      <c r="B792" s="2"/>
      <c r="C792"/>
      <c r="D792" s="3">
        <v>46133.65834490741</v>
      </c>
      <c r="E792" t="inlineStr">
        <is>
          <t>Q2-W03</t>
        </is>
      </c>
      <c r="F792" t="inlineStr">
        <is>
          <t>Luqman</t>
        </is>
      </c>
      <c r="G792" t="inlineStr">
        <is>
          <t>Customer</t>
        </is>
      </c>
      <c r="H792" s="2" t="str">
        <f>=HYPERLINK("https://upbox.ajobthing.my/customer/189329", "https://upbox.ajobthing.my/customer/189329")</f>
        <v>https://upbox.ajobthing.my/customer/189329</v>
      </c>
      <c r="I792" t="inlineStr">
        <is>
          <t>Asli Tech (M) Sdn Bhd</t>
        </is>
      </c>
      <c r="J792" t="inlineStr">
        <is>
          <t>Dolphin</t>
        </is>
      </c>
      <c r="K792" t="inlineStr">
        <is>
          <t>Luqman</t>
        </is>
      </c>
      <c r="L792" s="4"/>
      <c r="M792" s="4">
        <v>46139.51331018518</v>
      </c>
      <c r="N792"/>
      <c r="O792">
        <v>864</v>
      </c>
      <c r="P792" s="4"/>
      <c r="Q792" s="4">
        <v>45833.42517361111</v>
      </c>
      <c r="R792"/>
      <c r="S792">
        <v>648</v>
      </c>
      <c r="T792" s="4">
        <v>45833.42517361111</v>
      </c>
      <c r="U792" s="4"/>
      <c r="V792"/>
      <c r="W792">
        <v>648</v>
      </c>
      <c r="X792"/>
      <c r="Y792" t="inlineStr">
        <is>
          <t>Pending Appointment</t>
        </is>
      </c>
      <c r="Z792" t="inlineStr">
        <is>
          <t>Hiring Now</t>
        </is>
      </c>
      <c r="AA792">
        <v>1</v>
      </c>
      <c r="AB792" t="inlineStr">
        <is>
          <t>No Appointment Made</t>
        </is>
      </c>
      <c r="AC792"/>
      <c r="AD792" t="inlineStr">
        <is>
          <t xml:space="preserve">1. Sales Executive </t>
        </is>
      </c>
      <c r="AE792"/>
      <c r="AF792">
        <v>1200</v>
      </c>
      <c r="AG792" s="4"/>
      <c r="AH792" s="4"/>
      <c r="AI792">
        <v>1200</v>
      </c>
      <c r="AJ792"/>
      <c r="AK792" t="inlineStr">
        <is>
          <t>Yes, I have</t>
        </is>
      </c>
      <c r="AL792">
        <v>1</v>
      </c>
      <c r="AM792" t="inlineStr">
        <is>
          <t>No, I don't need at all</t>
        </is>
      </c>
      <c r="AN792"/>
      <c r="AO792" t="inlineStr">
        <is>
          <t>No, I don't need at all</t>
        </is>
      </c>
      <c r="AP792" t="inlineStr">
        <is>
          <t>Once a year (25%)</t>
        </is>
      </c>
      <c r="AQ792">
        <v>1</v>
      </c>
      <c r="AR792" t="inlineStr">
        <is>
          <t>Free Job Portal</t>
        </is>
      </c>
      <c r="AS792" t="inlineStr">
        <is>
          <t>- Headcount: 1
- Hiring Job Details: 1 Sales Executive
- Hiring Urgency: Hiring Now
- Number of outlets: N/A
- Have recruiter team: Yes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792">
        <v>115</v>
      </c>
      <c r="AU792" t="inlineStr">
        <is>
          <t>1.15</t>
        </is>
      </c>
      <c r="AV792" t="inlineStr">
        <is>
          <t>15</t>
        </is>
      </c>
      <c r="AW792" t="inlineStr">
        <is>
          <t>0</t>
        </is>
      </c>
      <c r="AX792" t="inlineStr">
        <is>
          <t>Not Qualified</t>
        </is>
      </c>
      <c r="AY792" s="4"/>
      <c r="AZ792"/>
      <c r="BA792"/>
      <c r="BB792"/>
      <c r="BC792" t="inlineStr">
        <is>
          <t>Lost - Position filled</t>
        </is>
      </c>
      <c r="BD792" s="4">
        <v>46142.66186342593</v>
      </c>
      <c r="BE792" t="inlineStr">
        <is>
          <t>paid</t>
        </is>
      </c>
      <c r="BF792"/>
      <c r="BG792" t="inlineStr">
        <is>
          <t>Reschedule</t>
        </is>
      </c>
      <c r="BH792" t="inlineStr">
        <is>
          <t>Edward Hoo</t>
        </is>
      </c>
      <c r="BI792" t="inlineStr">
        <is>
          <t>IT / Software</t>
        </is>
      </c>
      <c r="BJ792" s="4">
        <v>46144.75230324074</v>
      </c>
      <c r="BK792" s="4">
        <v>45742.63228009259</v>
      </c>
      <c r="BL792" t="inlineStr">
        <is>
          <t>648.0</t>
        </is>
      </c>
      <c r="BM792" t="inlineStr">
        <is>
          <t>600.0</t>
        </is>
      </c>
      <c r="BN792" t="inlineStr">
        <is>
          <t>PA Visit - Email</t>
        </is>
      </c>
      <c r="BO792" s="4">
        <v>45874.77884259259</v>
      </c>
      <c r="BP792">
        <v>169008</v>
      </c>
      <c r="BQ792">
        <v>80359</v>
      </c>
      <c r="BR792" t="inlineStr">
        <is>
          <t>Online</t>
        </is>
      </c>
      <c r="BS792"/>
      <c r="BT792">
        <v>80359</v>
      </c>
      <c r="BU792"/>
      <c r="BV792">
        <v>2738055</v>
      </c>
      <c r="BW792" t="inlineStr">
        <is>
          <t>Follow Up : Lost - Free Portal</t>
        </is>
      </c>
      <c r="BX792"/>
      <c r="BY792"/>
      <c r="BZ792" s="4"/>
      <c r="CA792"/>
      <c r="CB792"/>
      <c r="CC792" s="4"/>
      <c r="CD792" t="inlineStr">
        <is>
          <t>20</t>
        </is>
      </c>
      <c r="CE792" t="inlineStr">
        <is>
          <t>0</t>
        </is>
      </c>
      <c r="CF792" t="inlineStr">
        <is>
          <t>Q2-W04</t>
        </is>
      </c>
      <c r="CG792"/>
      <c r="CH792"/>
      <c r="CI792"/>
      <c r="CJ792" t="inlineStr">
        <is>
          <t>Paid</t>
        </is>
      </c>
      <c r="CK792" t="inlineStr">
        <is>
          <t>Not Eligible</t>
        </is>
      </c>
      <c r="CL792"/>
      <c r="CM792"/>
    </row>
    <row r="793" ht="25.5" customHeight="1">
      <c r="A793" t="inlineStr">
        <is>
          <t>4290823</t>
        </is>
      </c>
      <c r="B793" s="2"/>
      <c r="C793"/>
      <c r="D793" s="3">
        <v>46133.66039351852</v>
      </c>
      <c r="E793" t="inlineStr">
        <is>
          <t>Q2-W03</t>
        </is>
      </c>
      <c r="F793" t="inlineStr">
        <is>
          <t>Chia Yee</t>
        </is>
      </c>
      <c r="G793" t="inlineStr">
        <is>
          <t>Lead</t>
        </is>
      </c>
      <c r="H793" s="2" t="str">
        <f>=HYPERLINK("https://upbox.ajobthing.my/leads/4290823", "https://upbox.ajobthing.my/leads/4290823")</f>
        <v>https://upbox.ajobthing.my/leads/4290823</v>
      </c>
      <c r="I793" t="inlineStr">
        <is>
          <t>Terra Spa</t>
        </is>
      </c>
      <c r="J793" t="inlineStr">
        <is>
          <t>Dolphin</t>
        </is>
      </c>
      <c r="K793" t="inlineStr">
        <is>
          <t>Chia Yee</t>
        </is>
      </c>
      <c r="L793" s="4"/>
      <c r="M793" s="4">
        <v>46133.65996527778</v>
      </c>
      <c r="N793"/>
      <c r="O793">
        <v>8208</v>
      </c>
      <c r="P793" s="4"/>
      <c r="Q793" s="4"/>
      <c r="R793"/>
      <c r="S793"/>
      <c r="T793" s="4"/>
      <c r="U793" s="4"/>
      <c r="V793"/>
      <c r="W793"/>
      <c r="X793"/>
      <c r="Y793" t="inlineStr">
        <is>
          <t>Pending Appointment</t>
        </is>
      </c>
      <c r="Z793" t="inlineStr">
        <is>
          <t>Hiring Now</t>
        </is>
      </c>
      <c r="AA793">
        <v>10</v>
      </c>
      <c r="AB793" t="inlineStr">
        <is>
          <t>No Appointment Made</t>
        </is>
      </c>
      <c r="AC793"/>
      <c r="AD793" t="inlineStr">
        <is>
          <t>8 Therapist, 2 customer service</t>
        </is>
      </c>
      <c r="AE793"/>
      <c r="AF793">
        <v>0</v>
      </c>
      <c r="AG793" s="4"/>
      <c r="AH793" s="4"/>
      <c r="AI793">
        <v>0</v>
      </c>
      <c r="AJ793">
        <v>1</v>
      </c>
      <c r="AK793" t="inlineStr">
        <is>
          <t>No, I don't need at all</t>
        </is>
      </c>
      <c r="AL793">
        <v>1</v>
      </c>
      <c r="AM793" t="inlineStr">
        <is>
          <t>No, I don't need at all</t>
        </is>
      </c>
      <c r="AN793"/>
      <c r="AO793" t="inlineStr">
        <is>
          <t>Yes, I have</t>
        </is>
      </c>
      <c r="AP793" t="inlineStr">
        <is>
          <t>Twice a year (50%)</t>
        </is>
      </c>
      <c r="AQ793">
        <v>10</v>
      </c>
      <c r="AR793" t="inlineStr">
        <is>
          <t>Did not use any job portal</t>
        </is>
      </c>
      <c r="AS793" t="inlineStr">
        <is>
          <t>- Headcount: 10
- Hiring Job Details: 8 Therapist, 2 customer service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10
- Hiring frequency: Twice a year (50%)
- External job portal: Did not use any job portal</t>
        </is>
      </c>
      <c r="AT793">
        <v>110</v>
      </c>
      <c r="AU793" t="inlineStr">
        <is>
          <t>1.10</t>
        </is>
      </c>
      <c r="AV793" t="inlineStr">
        <is>
          <t>20</t>
        </is>
      </c>
      <c r="AW793" t="inlineStr">
        <is>
          <t>0</t>
        </is>
      </c>
      <c r="AX793" t="inlineStr">
        <is>
          <t>Not Qualified</t>
        </is>
      </c>
      <c r="AY793" s="4"/>
      <c r="AZ793"/>
      <c r="BA793"/>
      <c r="BB793"/>
      <c r="BC793"/>
      <c r="BD793" s="4"/>
      <c r="BE793"/>
      <c r="BF793"/>
      <c r="BG793" t="inlineStr">
        <is>
          <t>Reschedule</t>
        </is>
      </c>
      <c r="BH793" t="inlineStr">
        <is>
          <t>Reagen</t>
        </is>
      </c>
      <c r="BI793"/>
      <c r="BJ793" s="4">
        <v>46144.75585648148</v>
      </c>
      <c r="BK793" s="4">
        <v>46128.76366898148</v>
      </c>
      <c r="BL793" t="inlineStr">
        <is>
          <t>0.0</t>
        </is>
      </c>
      <c r="BM793" t="inlineStr">
        <is>
          <t>0.0</t>
        </is>
      </c>
      <c r="BN793"/>
      <c r="BO793" s="4"/>
      <c r="BP793">
        <v>168096</v>
      </c>
      <c r="BQ793"/>
      <c r="BR793"/>
      <c r="BS793"/>
      <c r="BT793"/>
      <c r="BU793"/>
      <c r="BV793"/>
      <c r="BW793"/>
      <c r="BX793"/>
      <c r="BY793"/>
      <c r="BZ793" s="4"/>
      <c r="CA793"/>
      <c r="CB793"/>
      <c r="CC793" s="4"/>
      <c r="CD793" t="inlineStr">
        <is>
          <t>30</t>
        </is>
      </c>
      <c r="CE793" t="inlineStr">
        <is>
          <t>0</t>
        </is>
      </c>
      <c r="CF793" t="inlineStr">
        <is>
          <t>Q2-W03</t>
        </is>
      </c>
      <c r="CG793"/>
      <c r="CH793"/>
      <c r="CI793"/>
      <c r="CJ793" t="inlineStr">
        <is>
          <t>No Paid</t>
        </is>
      </c>
      <c r="CK793" t="inlineStr">
        <is>
          <t>Eligible</t>
        </is>
      </c>
      <c r="CL793"/>
      <c r="CM793"/>
    </row>
    <row r="794" ht="25.5" customHeight="1">
      <c r="A794" t="inlineStr">
        <is>
          <t>164650</t>
        </is>
      </c>
      <c r="B794" s="2"/>
      <c r="C794"/>
      <c r="D794" s="3">
        <v>46133.669641203705</v>
      </c>
      <c r="E794" t="inlineStr">
        <is>
          <t>Q2-W03</t>
        </is>
      </c>
      <c r="F794" t="inlineStr">
        <is>
          <t>Chia Yee</t>
        </is>
      </c>
      <c r="G794" t="inlineStr">
        <is>
          <t>Customer</t>
        </is>
      </c>
      <c r="H794" s="2" t="str">
        <f>=HYPERLINK("https://upbox.ajobthing.my/customer/164650", "https://upbox.ajobthing.my/customer/164650")</f>
        <v>https://upbox.ajobthing.my/customer/164650</v>
      </c>
      <c r="I794" t="inlineStr">
        <is>
          <t>Sim Bina Perkasa Sdn Bhd</t>
        </is>
      </c>
      <c r="J794" t="inlineStr">
        <is>
          <t>Dolphin</t>
        </is>
      </c>
      <c r="K794" t="inlineStr">
        <is>
          <t>Chia Yee</t>
        </is>
      </c>
      <c r="L794" s="4"/>
      <c r="M794" s="4">
        <v>46133.66978009259</v>
      </c>
      <c r="N794"/>
      <c r="O794">
        <v>3672</v>
      </c>
      <c r="P794" s="4"/>
      <c r="Q794" s="4">
        <v>44977.24793981481</v>
      </c>
      <c r="R794"/>
      <c r="S794">
        <v>636</v>
      </c>
      <c r="T794" s="4">
        <v>44977.00001157408</v>
      </c>
      <c r="U794" s="4"/>
      <c r="V794"/>
      <c r="W794">
        <v>636</v>
      </c>
      <c r="X794"/>
      <c r="Y794" t="inlineStr">
        <is>
          <t>Pending Appointment</t>
        </is>
      </c>
      <c r="Z794" t="inlineStr">
        <is>
          <t>Hiring Now</t>
        </is>
      </c>
      <c r="AA794">
        <v>2</v>
      </c>
      <c r="AB794" t="inlineStr">
        <is>
          <t>No Appointment Made</t>
        </is>
      </c>
      <c r="AC794"/>
      <c r="AD794" t="inlineStr">
        <is>
          <t>1 Account Executive, 1 Admin</t>
        </is>
      </c>
      <c r="AE794"/>
      <c r="AF794">
        <v>0</v>
      </c>
      <c r="AG794" s="4"/>
      <c r="AH794" s="4"/>
      <c r="AI794">
        <v>0</v>
      </c>
      <c r="AJ794">
        <v>1</v>
      </c>
      <c r="AK794" t="inlineStr">
        <is>
          <t>No, I don't need at all</t>
        </is>
      </c>
      <c r="AL794">
        <v>1</v>
      </c>
      <c r="AM794" t="inlineStr">
        <is>
          <t>No, I don't need at all</t>
        </is>
      </c>
      <c r="AN794"/>
      <c r="AO794" t="inlineStr">
        <is>
          <t>No, I don't need at all</t>
        </is>
      </c>
      <c r="AP794" t="inlineStr">
        <is>
          <t>Once a year (25%)</t>
        </is>
      </c>
      <c r="AQ794">
        <v>1</v>
      </c>
      <c r="AR794" t="inlineStr">
        <is>
          <t>Did not use any job portal</t>
        </is>
      </c>
      <c r="AS794" t="inlineStr">
        <is>
          <t>- Headcount: 2
- Hiring Job Details: 1 Account Executive, 1 Admin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794">
        <v>95</v>
      </c>
      <c r="AU794" t="inlineStr">
        <is>
          <t>0.95</t>
        </is>
      </c>
      <c r="AV794" t="inlineStr">
        <is>
          <t>15</t>
        </is>
      </c>
      <c r="AW794" t="inlineStr">
        <is>
          <t>0</t>
        </is>
      </c>
      <c r="AX794" t="inlineStr">
        <is>
          <t>Not Qualified</t>
        </is>
      </c>
      <c r="AY794" s="4"/>
      <c r="AZ794"/>
      <c r="BA794"/>
      <c r="BB794"/>
      <c r="BC794" t="inlineStr">
        <is>
          <t>Called, Ms. Sim on leave. Nect week just back</t>
        </is>
      </c>
      <c r="BD794" s="4">
        <v>46142.48465277778</v>
      </c>
      <c r="BE794" t="inlineStr">
        <is>
          <t>paid</t>
        </is>
      </c>
      <c r="BF794"/>
      <c r="BG794" t="inlineStr">
        <is>
          <t>Reschedule</t>
        </is>
      </c>
      <c r="BH794" t="inlineStr">
        <is>
          <t>Reagen</t>
        </is>
      </c>
      <c r="BI794"/>
      <c r="BJ794" s="4">
        <v>46144.751226851855</v>
      </c>
      <c r="BK794" s="4">
        <v>44977.57853009259</v>
      </c>
      <c r="BL794" t="inlineStr">
        <is>
          <t>0.0</t>
        </is>
      </c>
      <c r="BM794" t="inlineStr">
        <is>
          <t>0.0</t>
        </is>
      </c>
      <c r="BN794" t="inlineStr">
        <is>
          <t>View Jobmanager Page</t>
        </is>
      </c>
      <c r="BO794" s="4">
        <v>46077.50648148148</v>
      </c>
      <c r="BP794">
        <v>168107</v>
      </c>
      <c r="BQ794">
        <v>72575</v>
      </c>
      <c r="BR794" t="inlineStr">
        <is>
          <t>Proforma</t>
        </is>
      </c>
      <c r="BS794" t="inlineStr">
        <is>
          <t>FEB-bulous Promo - Beginner Package</t>
        </is>
      </c>
      <c r="BT794">
        <v>55741</v>
      </c>
      <c r="BU794"/>
      <c r="BV794">
        <v>2737187</v>
      </c>
      <c r="BW794" t="inlineStr">
        <is>
          <t>No Answer : Voicemail - WA sent to customer</t>
        </is>
      </c>
      <c r="BX794"/>
      <c r="BY794"/>
      <c r="BZ794" s="4"/>
      <c r="CA794"/>
      <c r="CB794"/>
      <c r="CC794" s="4"/>
      <c r="CD794" t="inlineStr">
        <is>
          <t>20</t>
        </is>
      </c>
      <c r="CE794" t="inlineStr">
        <is>
          <t>0</t>
        </is>
      </c>
      <c r="CF794" t="inlineStr">
        <is>
          <t>Q2-W03</t>
        </is>
      </c>
      <c r="CG794"/>
      <c r="CH794"/>
      <c r="CI794"/>
      <c r="CJ794" t="inlineStr">
        <is>
          <t>Paid</t>
        </is>
      </c>
      <c r="CK794" t="inlineStr">
        <is>
          <t>Not Eligible</t>
        </is>
      </c>
      <c r="CL794"/>
      <c r="CM794"/>
    </row>
    <row r="795" ht="25.5" customHeight="1">
      <c r="A795" t="inlineStr">
        <is>
          <t>203488</t>
        </is>
      </c>
      <c r="B795" s="2"/>
      <c r="C795"/>
      <c r="D795" s="3">
        <v>46133.6824537037</v>
      </c>
      <c r="E795" t="inlineStr">
        <is>
          <t>Q2-W03</t>
        </is>
      </c>
      <c r="F795" t="inlineStr">
        <is>
          <t>Eugene</t>
        </is>
      </c>
      <c r="G795" t="inlineStr">
        <is>
          <t>Customer</t>
        </is>
      </c>
      <c r="H795" s="2" t="str">
        <f>=HYPERLINK("https://upbox.ajobthing.my/customer/203488", "https://upbox.ajobthing.my/customer/203488")</f>
        <v>https://upbox.ajobthing.my/customer/203488</v>
      </c>
      <c r="I795" t="inlineStr">
        <is>
          <t>Ctechno Malaysia Sdn Bhd</t>
        </is>
      </c>
      <c r="J795" t="inlineStr">
        <is>
          <t>Dolphin</t>
        </is>
      </c>
      <c r="K795" t="inlineStr">
        <is>
          <t>Eugene</t>
        </is>
      </c>
      <c r="L795" s="4"/>
      <c r="M795" s="4">
        <v>46133.682546296295</v>
      </c>
      <c r="N795"/>
      <c r="O795">
        <v>3888</v>
      </c>
      <c r="P795" s="4"/>
      <c r="Q795" s="4"/>
      <c r="R795"/>
      <c r="S795"/>
      <c r="T795" s="4"/>
      <c r="U795" s="4"/>
      <c r="V795"/>
      <c r="W795"/>
      <c r="X795"/>
      <c r="Y795" t="inlineStr">
        <is>
          <t>Pending Appointment</t>
        </is>
      </c>
      <c r="Z795" t="inlineStr">
        <is>
          <t>Hiring Now</t>
        </is>
      </c>
      <c r="AA795">
        <v>3</v>
      </c>
      <c r="AB795" t="inlineStr">
        <is>
          <t>No Appointment Made</t>
        </is>
      </c>
      <c r="AC795"/>
      <c r="AD795" t="inlineStr">
        <is>
          <t>2 sales, 1 project admin, based in Shah Alam</t>
        </is>
      </c>
      <c r="AE795"/>
      <c r="AF795">
        <v>1000</v>
      </c>
      <c r="AG795" s="4"/>
      <c r="AH795" s="4"/>
      <c r="AI795">
        <v>3000</v>
      </c>
      <c r="AJ795">
        <v>1</v>
      </c>
      <c r="AK795" t="inlineStr">
        <is>
          <t>No, I don't need at all</t>
        </is>
      </c>
      <c r="AL795">
        <v>1</v>
      </c>
      <c r="AM795" t="inlineStr">
        <is>
          <t>No, I don't need at all</t>
        </is>
      </c>
      <c r="AN795"/>
      <c r="AO795" t="inlineStr">
        <is>
          <t>No, I don't need at all</t>
        </is>
      </c>
      <c r="AP795" t="inlineStr">
        <is>
          <t>Twice a year (50%)</t>
        </is>
      </c>
      <c r="AQ795">
        <v>5</v>
      </c>
      <c r="AR795" t="inlineStr">
        <is>
          <t>Jobstreet, Indeed (Paid), Free Job Portal</t>
        </is>
      </c>
      <c r="AS795" t="inlineStr">
        <is>
          <t>- Headcount: 3
- Hiring Job Details: 2 sales, 1 project admin, based in Shah Alam
- Hiring Urgency: Hiring Now
- Number of outlets: 1
- Have recruiter team: No, I don't need at all
- Number of recruiter in company: 1
- Have ATS system: No, I don't need at all
- Have career website: No, I don't need at all
- Current hiring budget: RM1,000
- Whole year budget: RM3,000.00
- Whole year number of vacancies: 5
- Hiring frequency: Twice a year (50%)
- External job portal: Jobstreet, Indeed (Paid), Free Job Portal</t>
        </is>
      </c>
      <c r="AT795">
        <v>110</v>
      </c>
      <c r="AU795" t="inlineStr">
        <is>
          <t>1.10</t>
        </is>
      </c>
      <c r="AV795" t="inlineStr">
        <is>
          <t>15</t>
        </is>
      </c>
      <c r="AW795" t="inlineStr">
        <is>
          <t>0</t>
        </is>
      </c>
      <c r="AX795" t="inlineStr">
        <is>
          <t>Not Qualified</t>
        </is>
      </c>
      <c r="AY795" s="4"/>
      <c r="AZ795"/>
      <c r="BA795"/>
      <c r="BB795"/>
      <c r="BC795" t="inlineStr">
        <is>
          <t>pending</t>
        </is>
      </c>
      <c r="BD795" s="4">
        <v>46141.59846064815</v>
      </c>
      <c r="BE795"/>
      <c r="BF795"/>
      <c r="BG795" t="inlineStr">
        <is>
          <t>Reschedule</t>
        </is>
      </c>
      <c r="BH795" t="inlineStr">
        <is>
          <t>Edward Hoo</t>
        </is>
      </c>
      <c r="BI795"/>
      <c r="BJ795" s="4">
        <v>46144.754328703704</v>
      </c>
      <c r="BK795" s="4">
        <v>46133.65076388889</v>
      </c>
      <c r="BL795" t="inlineStr">
        <is>
          <t>0.0</t>
        </is>
      </c>
      <c r="BM795" t="inlineStr">
        <is>
          <t>4050.0</t>
        </is>
      </c>
      <c r="BN795" t="inlineStr">
        <is>
          <t>View Candidate Search Page</t>
        </is>
      </c>
      <c r="BO795" s="4">
        <v>46133.68054398148</v>
      </c>
      <c r="BP795">
        <v>168117</v>
      </c>
      <c r="BQ795"/>
      <c r="BR795"/>
      <c r="BS795"/>
      <c r="BT795"/>
      <c r="BU795"/>
      <c r="BV795">
        <v>2735282</v>
      </c>
      <c r="BW795" t="inlineStr">
        <is>
          <t>Follow Up : Decision Pending</t>
        </is>
      </c>
      <c r="BX795"/>
      <c r="BY795"/>
      <c r="BZ795" s="4"/>
      <c r="CA795"/>
      <c r="CB795"/>
      <c r="CC795" s="4"/>
      <c r="CD795" t="inlineStr">
        <is>
          <t>20</t>
        </is>
      </c>
      <c r="CE795" t="inlineStr">
        <is>
          <t>0</t>
        </is>
      </c>
      <c r="CF795" t="inlineStr">
        <is>
          <t>Q2-W03</t>
        </is>
      </c>
      <c r="CG795"/>
      <c r="CH795"/>
      <c r="CI795"/>
      <c r="CJ795" t="inlineStr">
        <is>
          <t>No Paid</t>
        </is>
      </c>
      <c r="CK795" t="inlineStr">
        <is>
          <t>Not Eligible</t>
        </is>
      </c>
      <c r="CL795"/>
      <c r="CM795"/>
    </row>
    <row r="796" ht="25.5" customHeight="1">
      <c r="A796" t="inlineStr">
        <is>
          <t>57665</t>
        </is>
      </c>
      <c r="B796" s="2"/>
      <c r="C796"/>
      <c r="D796" s="3">
        <v>46133.684895833336</v>
      </c>
      <c r="E796" t="inlineStr">
        <is>
          <t>Q2-W03</t>
        </is>
      </c>
      <c r="F796" t="inlineStr">
        <is>
          <t>Keegan</t>
        </is>
      </c>
      <c r="G796" t="inlineStr">
        <is>
          <t>Customer</t>
        </is>
      </c>
      <c r="H796" s="2" t="str">
        <f>=HYPERLINK("https://upbox.ajobthing.my/customer/57665", "https://upbox.ajobthing.my/customer/57665")</f>
        <v>https://upbox.ajobthing.my/customer/57665</v>
      </c>
      <c r="I796" t="inlineStr">
        <is>
          <t>Top Pet Station</t>
        </is>
      </c>
      <c r="J796" t="inlineStr">
        <is>
          <t>Dolphin</t>
        </is>
      </c>
      <c r="K796" t="inlineStr">
        <is>
          <t>Keegan</t>
        </is>
      </c>
      <c r="L796" s="4"/>
      <c r="M796" s="4">
        <v>46133.685069444444</v>
      </c>
      <c r="N796"/>
      <c r="O796">
        <v>3888</v>
      </c>
      <c r="P796" s="4"/>
      <c r="Q796" s="4">
        <v>44879.542650462965</v>
      </c>
      <c r="R796"/>
      <c r="S796">
        <v>1908</v>
      </c>
      <c r="T796" s="4">
        <v>44879.542650462965</v>
      </c>
      <c r="U796" s="4"/>
      <c r="V796"/>
      <c r="W796">
        <v>1908</v>
      </c>
      <c r="X796"/>
      <c r="Y796" t="inlineStr">
        <is>
          <t>Pending Appointment</t>
        </is>
      </c>
      <c r="Z796" t="inlineStr">
        <is>
          <t>Hiring Now</t>
        </is>
      </c>
      <c r="AA796">
        <v>1</v>
      </c>
      <c r="AB796" t="inlineStr">
        <is>
          <t>No Appointment Made</t>
        </is>
      </c>
      <c r="AC796"/>
      <c r="AD796" t="inlineStr">
        <is>
          <t xml:space="preserve">1. Pet helper </t>
        </is>
      </c>
      <c r="AE796"/>
      <c r="AF796"/>
      <c r="AG796" s="4"/>
      <c r="AH796" s="4"/>
      <c r="AI796"/>
      <c r="AJ796">
        <v>1</v>
      </c>
      <c r="AK796" t="inlineStr">
        <is>
          <t>No, I don't need at all</t>
        </is>
      </c>
      <c r="AL796">
        <v>0</v>
      </c>
      <c r="AM796" t="inlineStr">
        <is>
          <t>No, I don't need at all</t>
        </is>
      </c>
      <c r="AN796"/>
      <c r="AO796" t="inlineStr">
        <is>
          <t>No, I don't need at all</t>
        </is>
      </c>
      <c r="AP796" t="inlineStr">
        <is>
          <t>Once per quarter (75%)</t>
        </is>
      </c>
      <c r="AQ796"/>
      <c r="AR796" t="inlineStr">
        <is>
          <t>Did not use any job portal</t>
        </is>
      </c>
      <c r="AS796" t="inlineStr">
        <is>
          <t>- Headcount: 1
- Hiring Job Details: 1 pet helper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796">
        <v>95</v>
      </c>
      <c r="AU796" t="inlineStr">
        <is>
          <t>0.95</t>
        </is>
      </c>
      <c r="AV796" t="inlineStr">
        <is>
          <t>5</t>
        </is>
      </c>
      <c r="AW796" t="inlineStr">
        <is>
          <t>0</t>
        </is>
      </c>
      <c r="AX796" t="inlineStr">
        <is>
          <t>Not Qualified</t>
        </is>
      </c>
      <c r="AY796" s="4"/>
      <c r="AZ796"/>
      <c r="BA796"/>
      <c r="BB796"/>
      <c r="BC796" t="inlineStr">
        <is>
          <t>- Headcount: 1
- Hiring Job Details: 1 pet helper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796" s="4">
        <v>46133.70841435185</v>
      </c>
      <c r="BE796" t="inlineStr">
        <is>
          <t>paid</t>
        </is>
      </c>
      <c r="BF796"/>
      <c r="BG796" t="inlineStr">
        <is>
          <t>Reschedule</t>
        </is>
      </c>
      <c r="BH796" t="inlineStr">
        <is>
          <t>Edward Hoo</t>
        </is>
      </c>
      <c r="BI796" t="inlineStr">
        <is>
          <t>Retail / Merchandise</t>
        </is>
      </c>
      <c r="BJ796" s="4">
        <v>46144.75609953704</v>
      </c>
      <c r="BK796" s="4">
        <v>43346.52096064815</v>
      </c>
      <c r="BL796" t="inlineStr">
        <is>
          <t>0.0</t>
        </is>
      </c>
      <c r="BM796" t="inlineStr">
        <is>
          <t>0.0</t>
        </is>
      </c>
      <c r="BN796" t="inlineStr">
        <is>
          <t>View Create Job Page</t>
        </is>
      </c>
      <c r="BO796" s="4">
        <v>45940.68497685185</v>
      </c>
      <c r="BP796">
        <v>168119</v>
      </c>
      <c r="BQ796">
        <v>52605</v>
      </c>
      <c r="BR796" t="inlineStr">
        <is>
          <t>Online</t>
        </is>
      </c>
      <c r="BS796"/>
      <c r="BT796">
        <v>52605</v>
      </c>
      <c r="BU796"/>
      <c r="BV796">
        <v>2718958</v>
      </c>
      <c r="BW796" t="inlineStr">
        <is>
          <t>Customer Inquiry</t>
        </is>
      </c>
      <c r="BX796"/>
      <c r="BY796"/>
      <c r="BZ796" s="4"/>
      <c r="CA796"/>
      <c r="CB796"/>
      <c r="CC796" s="4"/>
      <c r="CD796" t="inlineStr">
        <is>
          <t>5</t>
        </is>
      </c>
      <c r="CE796" t="inlineStr">
        <is>
          <t>0</t>
        </is>
      </c>
      <c r="CF796" t="inlineStr">
        <is>
          <t>Q2-W03</t>
        </is>
      </c>
      <c r="CG796"/>
      <c r="CH796"/>
      <c r="CI796"/>
      <c r="CJ796" t="inlineStr">
        <is>
          <t>Paid</t>
        </is>
      </c>
      <c r="CK796" t="inlineStr">
        <is>
          <t>Not Eligible</t>
        </is>
      </c>
      <c r="CL796"/>
      <c r="CM796"/>
    </row>
    <row r="797" ht="25.5" customHeight="1">
      <c r="A797" t="inlineStr">
        <is>
          <t>182264</t>
        </is>
      </c>
      <c r="B797" s="2"/>
      <c r="C797"/>
      <c r="D797" s="3">
        <v>46133.68570601852</v>
      </c>
      <c r="E797" t="inlineStr">
        <is>
          <t>Q2-W03</t>
        </is>
      </c>
      <c r="F797" t="inlineStr">
        <is>
          <t>Dickson</t>
        </is>
      </c>
      <c r="G797" t="inlineStr">
        <is>
          <t>Customer</t>
        </is>
      </c>
      <c r="H797" s="2" t="str">
        <f>=HYPERLINK("https://upbox.ajobthing.my/customer/182264", "https://upbox.ajobthing.my/customer/182264")</f>
        <v>https://upbox.ajobthing.my/customer/182264</v>
      </c>
      <c r="I797" t="inlineStr">
        <is>
          <t>Industrial Filtration Sdn Bhd</t>
        </is>
      </c>
      <c r="J797" t="inlineStr">
        <is>
          <t>Dolphin</t>
        </is>
      </c>
      <c r="K797" t="inlineStr">
        <is>
          <t>Dickson</t>
        </is>
      </c>
      <c r="L797" s="4"/>
      <c r="M797" s="4">
        <v>46140.48185185185</v>
      </c>
      <c r="N797"/>
      <c r="O797">
        <v>1296</v>
      </c>
      <c r="P797" s="4"/>
      <c r="Q797" s="4">
        <v>45537.50815972222</v>
      </c>
      <c r="R797"/>
      <c r="S797">
        <v>756</v>
      </c>
      <c r="T797" s="4">
        <v>45537.50815972222</v>
      </c>
      <c r="U797" s="4"/>
      <c r="V797"/>
      <c r="W797">
        <v>756</v>
      </c>
      <c r="X797"/>
      <c r="Y797" t="inlineStr">
        <is>
          <t>Pending Appointment</t>
        </is>
      </c>
      <c r="Z797" t="inlineStr">
        <is>
          <t>Hiring Now</t>
        </is>
      </c>
      <c r="AA797">
        <v>3</v>
      </c>
      <c r="AB797" t="inlineStr">
        <is>
          <t>No Appointment Made</t>
        </is>
      </c>
      <c r="AC797"/>
      <c r="AD797" t="inlineStr">
        <is>
          <t>3 sales engineer</t>
        </is>
      </c>
      <c r="AE797"/>
      <c r="AF797"/>
      <c r="AG797" s="4"/>
      <c r="AH797" s="4"/>
      <c r="AI797"/>
      <c r="AJ797">
        <v>1</v>
      </c>
      <c r="AK797" t="inlineStr">
        <is>
          <t>No, I don't need at all</t>
        </is>
      </c>
      <c r="AL797"/>
      <c r="AM797" t="inlineStr">
        <is>
          <t>No, I don't need at all</t>
        </is>
      </c>
      <c r="AN797"/>
      <c r="AO797" t="inlineStr">
        <is>
          <t>No, I don't need at all</t>
        </is>
      </c>
      <c r="AP797" t="inlineStr">
        <is>
          <t>Once per quarter (75%)</t>
        </is>
      </c>
      <c r="AQ797"/>
      <c r="AR797" t="inlineStr">
        <is>
          <t>Free Job Portal</t>
        </is>
      </c>
      <c r="AS797" t="inlineStr">
        <is>
          <t>- Headcount: 3
- Hiring Job Details: 3 sales engineer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is>
      </c>
      <c r="AT797">
        <v>95</v>
      </c>
      <c r="AU797" t="inlineStr">
        <is>
          <t>0.95</t>
        </is>
      </c>
      <c r="AV797" t="inlineStr">
        <is>
          <t>5</t>
        </is>
      </c>
      <c r="AW797" t="inlineStr">
        <is>
          <t>0</t>
        </is>
      </c>
      <c r="AX797" t="inlineStr">
        <is>
          <t>Not Qualified</t>
        </is>
      </c>
      <c r="AY797" s="4"/>
      <c r="AZ797"/>
      <c r="BA797"/>
      <c r="BB797"/>
      <c r="BC797" t="inlineStr">
        <is>
          <t>- Headcount: 1
- Hiring Job Details: 1 marketing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Jobstore</t>
        </is>
      </c>
      <c r="BD797" s="4">
        <v>46140.500023148146</v>
      </c>
      <c r="BE797" t="inlineStr">
        <is>
          <t>paid</t>
        </is>
      </c>
      <c r="BF797"/>
      <c r="BG797" t="inlineStr">
        <is>
          <t>Reschedule</t>
        </is>
      </c>
      <c r="BH797" t="inlineStr">
        <is>
          <t>Edward Hoo</t>
        </is>
      </c>
      <c r="BI797" t="inlineStr">
        <is>
          <t>Manufacturing / Production</t>
        </is>
      </c>
      <c r="BJ797" s="4">
        <v>46144.751921296294</v>
      </c>
      <c r="BK797" s="4">
        <v>45537.473275462966</v>
      </c>
      <c r="BL797" t="inlineStr">
        <is>
          <t>0.0</t>
        </is>
      </c>
      <c r="BM797" t="inlineStr">
        <is>
          <t>1200.0</t>
        </is>
      </c>
      <c r="BN797" t="inlineStr">
        <is>
          <t>User Visit(Logged In)</t>
        </is>
      </c>
      <c r="BO797" s="4">
        <v>45791.44994212963</v>
      </c>
      <c r="BP797">
        <v>169190</v>
      </c>
      <c r="BQ797">
        <v>72647</v>
      </c>
      <c r="BR797" t="inlineStr">
        <is>
          <t>Online</t>
        </is>
      </c>
      <c r="BS797"/>
      <c r="BT797">
        <v>72647</v>
      </c>
      <c r="BU797"/>
      <c r="BV797">
        <v>2732311</v>
      </c>
      <c r="BW797" t="inlineStr">
        <is>
          <t>Customer Inquiry</t>
        </is>
      </c>
      <c r="BX797"/>
      <c r="BY797"/>
      <c r="BZ797" s="4"/>
      <c r="CA797"/>
      <c r="CB797"/>
      <c r="CC797" s="4"/>
      <c r="CD797" t="inlineStr">
        <is>
          <t>5</t>
        </is>
      </c>
      <c r="CE797" t="inlineStr">
        <is>
          <t>0</t>
        </is>
      </c>
      <c r="CF797" t="inlineStr">
        <is>
          <t>Q2-W04</t>
        </is>
      </c>
      <c r="CG797"/>
      <c r="CH797"/>
      <c r="CI797"/>
      <c r="CJ797" t="inlineStr">
        <is>
          <t>Paid</t>
        </is>
      </c>
      <c r="CK797" t="inlineStr">
        <is>
          <t>Not Eligible</t>
        </is>
      </c>
      <c r="CL797"/>
      <c r="CM797"/>
    </row>
    <row r="798" ht="25.5" customHeight="1">
      <c r="A798" t="inlineStr">
        <is>
          <t>181559</t>
        </is>
      </c>
      <c r="B798" s="2"/>
      <c r="C798"/>
      <c r="D798" s="3">
        <v>46133.68866898148</v>
      </c>
      <c r="E798" t="inlineStr">
        <is>
          <t>Q2-W03</t>
        </is>
      </c>
      <c r="F798" t="inlineStr">
        <is>
          <t>Derek Lim</t>
        </is>
      </c>
      <c r="G798" t="inlineStr">
        <is>
          <t>Customer</t>
        </is>
      </c>
      <c r="H798" s="2" t="str">
        <f>=HYPERLINK("https://upbox.ajobthing.my/customer/181559", "https://upbox.ajobthing.my/customer/181559")</f>
        <v>https://upbox.ajobthing.my/customer/181559</v>
      </c>
      <c r="I798" t="inlineStr">
        <is>
          <t>Hlc Logistics Sdn Bhd</t>
        </is>
      </c>
      <c r="J798" t="inlineStr">
        <is>
          <t>Dolphin</t>
        </is>
      </c>
      <c r="K798" t="inlineStr">
        <is>
          <t>Derek Lim</t>
        </is>
      </c>
      <c r="L798" s="4"/>
      <c r="M798" s="4">
        <v>46133.68895833333</v>
      </c>
      <c r="N798"/>
      <c r="O798">
        <v>3888</v>
      </c>
      <c r="P798" s="4"/>
      <c r="Q798" s="4"/>
      <c r="R798"/>
      <c r="S798"/>
      <c r="T798" s="4"/>
      <c r="U798" s="4"/>
      <c r="V798"/>
      <c r="W798"/>
      <c r="X798"/>
      <c r="Y798" t="inlineStr">
        <is>
          <t>Pending Appointment</t>
        </is>
      </c>
      <c r="Z798" t="inlineStr">
        <is>
          <t>Hiring Now</t>
        </is>
      </c>
      <c r="AA798">
        <v>1</v>
      </c>
      <c r="AB798" t="inlineStr">
        <is>
          <t>No Appointment Made</t>
        </is>
      </c>
      <c r="AC798"/>
      <c r="AD798" t="inlineStr">
        <is>
          <t>account executive - 1</t>
        </is>
      </c>
      <c r="AE798"/>
      <c r="AF798">
        <v>0</v>
      </c>
      <c r="AG798" s="4"/>
      <c r="AH798" s="4"/>
      <c r="AI798">
        <v>0</v>
      </c>
      <c r="AJ798">
        <v>1</v>
      </c>
      <c r="AK798" t="inlineStr">
        <is>
          <t>No, but I want in future</t>
        </is>
      </c>
      <c r="AL798">
        <v>0</v>
      </c>
      <c r="AM798" t="inlineStr">
        <is>
          <t>No, I don't need at all</t>
        </is>
      </c>
      <c r="AN798"/>
      <c r="AO798" t="inlineStr">
        <is>
          <t>No, but I want in future</t>
        </is>
      </c>
      <c r="AP798" t="inlineStr">
        <is>
          <t>Once a year (25%)</t>
        </is>
      </c>
      <c r="AQ798">
        <v>3</v>
      </c>
      <c r="AR798" t="inlineStr">
        <is>
          <t>Jobstreet</t>
        </is>
      </c>
      <c r="AS798" t="inlineStr">
        <is>
          <t>- Headcount: 1
- Hiring Job Details: 1 account executive
- Hiring Urgency: Hiring Now
- Number of outlets: 1
- Have recruiter team: No, but want in future
- Number of recruiter in company: 0
- Have ATS system: No, don't need at all
- Have career website: No, but want in future
- Current hiring budget: RM0.00
- Whole year budget: RM0.00
- Whole year number of vacancies: 3
- Hiring frequency: Once a year (25%)
- External job portal: Jobstreet</t>
        </is>
      </c>
      <c r="AT798">
        <v>100</v>
      </c>
      <c r="AU798" t="inlineStr">
        <is>
          <t>1.00</t>
        </is>
      </c>
      <c r="AV798" t="inlineStr">
        <is>
          <t>15</t>
        </is>
      </c>
      <c r="AW798" t="inlineStr">
        <is>
          <t>0</t>
        </is>
      </c>
      <c r="AX798" t="inlineStr">
        <is>
          <t>Not Qualified</t>
        </is>
      </c>
      <c r="AY798" s="4"/>
      <c r="AZ798"/>
      <c r="BA798"/>
      <c r="BB798"/>
      <c r="BC798" t="inlineStr">
        <is>
          <t>SHE SAY USE FREE WANT BECAUSE FIND ENTRY LEVEL DONT WANT TO PAY IF CAN'T FIND ONLY USE OUR PORTAL</t>
        </is>
      </c>
      <c r="BD798" s="4">
        <v>46134.60563657407</v>
      </c>
      <c r="BE798"/>
      <c r="BF798"/>
      <c r="BG798" t="inlineStr">
        <is>
          <t>Reschedule</t>
        </is>
      </c>
      <c r="BH798" t="inlineStr">
        <is>
          <t>Edward Hoo</t>
        </is>
      </c>
      <c r="BI798" t="inlineStr">
        <is>
          <t>Transportation / Logistics</t>
        </is>
      </c>
      <c r="BJ798" s="4">
        <v>46144.751863425925</v>
      </c>
      <c r="BK798" s="4">
        <v>45517.58076388889</v>
      </c>
      <c r="BL798" t="inlineStr">
        <is>
          <t>0.0</t>
        </is>
      </c>
      <c r="BM798" t="inlineStr">
        <is>
          <t>1200.0</t>
        </is>
      </c>
      <c r="BN798" t="inlineStr">
        <is>
          <t>View Company Page</t>
        </is>
      </c>
      <c r="BO798" s="4">
        <v>46133.67806712963</v>
      </c>
      <c r="BP798">
        <v>168126</v>
      </c>
      <c r="BQ798"/>
      <c r="BR798"/>
      <c r="BS798"/>
      <c r="BT798"/>
      <c r="BU798"/>
      <c r="BV798">
        <v>2720798</v>
      </c>
      <c r="BW798" t="inlineStr">
        <is>
          <t>Follow Up : Lost - Free Portal</t>
        </is>
      </c>
      <c r="BX798"/>
      <c r="BY798"/>
      <c r="BZ798" s="4"/>
      <c r="CA798"/>
      <c r="CB798"/>
      <c r="CC798" s="4"/>
      <c r="CD798" t="inlineStr">
        <is>
          <t>20</t>
        </is>
      </c>
      <c r="CE798" t="inlineStr">
        <is>
          <t>0</t>
        </is>
      </c>
      <c r="CF798" t="inlineStr">
        <is>
          <t>Q2-W03</t>
        </is>
      </c>
      <c r="CG798"/>
      <c r="CH798"/>
      <c r="CI798"/>
      <c r="CJ798" t="inlineStr">
        <is>
          <t>No Paid</t>
        </is>
      </c>
      <c r="CK798" t="inlineStr">
        <is>
          <t>Not Eligible</t>
        </is>
      </c>
      <c r="CL798"/>
      <c r="CM798"/>
    </row>
    <row r="799" ht="25.5" customHeight="1">
      <c r="A799" t="inlineStr">
        <is>
          <t>154867</t>
        </is>
      </c>
      <c r="B799" s="2"/>
      <c r="C799"/>
      <c r="D799" s="3">
        <v>46133.690613425926</v>
      </c>
      <c r="E799" t="inlineStr">
        <is>
          <t>Q2-W03</t>
        </is>
      </c>
      <c r="F799" t="inlineStr">
        <is>
          <t>Janice Yap</t>
        </is>
      </c>
      <c r="G799" t="inlineStr">
        <is>
          <t>Customer</t>
        </is>
      </c>
      <c r="H799" s="2" t="str">
        <f>=HYPERLINK("https://upbox.ajobthing.my/customer/154867", "https://upbox.ajobthing.my/customer/154867")</f>
        <v>https://upbox.ajobthing.my/customer/154867</v>
      </c>
      <c r="I799" t="inlineStr">
        <is>
          <t>Sunteck Aluminium &amp; Trading Sdn Bhd</t>
        </is>
      </c>
      <c r="J799" t="inlineStr">
        <is>
          <t>Dolphin</t>
        </is>
      </c>
      <c r="K799" t="inlineStr">
        <is>
          <t>Janice</t>
        </is>
      </c>
      <c r="L799" s="4"/>
      <c r="M799" s="4">
        <v>46133.688784722224</v>
      </c>
      <c r="N799"/>
      <c r="O799">
        <v>3888</v>
      </c>
      <c r="P799" s="4"/>
      <c r="Q799" s="4"/>
      <c r="R799"/>
      <c r="S799"/>
      <c r="T799" s="4"/>
      <c r="U799" s="4"/>
      <c r="V799"/>
      <c r="W799"/>
      <c r="X799"/>
      <c r="Y799" t="inlineStr">
        <is>
          <t>Pending Appointment</t>
        </is>
      </c>
      <c r="Z799" t="inlineStr">
        <is>
          <t>Hiring Now</t>
        </is>
      </c>
      <c r="AA799">
        <v>2</v>
      </c>
      <c r="AB799" t="inlineStr">
        <is>
          <t>No Appointment Made</t>
        </is>
      </c>
      <c r="AC799"/>
      <c r="AD799" t="inlineStr">
        <is>
          <t>2 technician</t>
        </is>
      </c>
      <c r="AE799"/>
      <c r="AF799">
        <v>0</v>
      </c>
      <c r="AG799" s="4"/>
      <c r="AH799" s="4"/>
      <c r="AI799">
        <v>0</v>
      </c>
      <c r="AJ799"/>
      <c r="AK799" t="inlineStr">
        <is>
          <t>No, I don't need at all</t>
        </is>
      </c>
      <c r="AL799">
        <v>0</v>
      </c>
      <c r="AM799" t="inlineStr">
        <is>
          <t>No, I don't need at all</t>
        </is>
      </c>
      <c r="AN799"/>
      <c r="AO799" t="inlineStr">
        <is>
          <t>No, I don't need at all</t>
        </is>
      </c>
      <c r="AP799" t="inlineStr">
        <is>
          <t>Once a year (25%)</t>
        </is>
      </c>
      <c r="AQ799">
        <v>2</v>
      </c>
      <c r="AR799" t="inlineStr">
        <is>
          <t>Free Job Portal</t>
        </is>
      </c>
      <c r="AS799" t="inlineStr">
        <is>
          <t>- Headcount: 2
- Hiring Job Details: 2 technician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AT799">
        <v>110</v>
      </c>
      <c r="AU799" t="inlineStr">
        <is>
          <t>1.10</t>
        </is>
      </c>
      <c r="AV799" t="inlineStr">
        <is>
          <t>15</t>
        </is>
      </c>
      <c r="AW799" t="inlineStr">
        <is>
          <t>0</t>
        </is>
      </c>
      <c r="AX799" t="inlineStr">
        <is>
          <t>Not Qualified</t>
        </is>
      </c>
      <c r="AY799" s="4"/>
      <c r="AZ799"/>
      <c r="BA799"/>
      <c r="BB799"/>
      <c r="BC799" t="inlineStr">
        <is>
          <t>PIC call me back // direct inform no need no need // hang up call</t>
        </is>
      </c>
      <c r="BD799" s="4">
        <v>46142.69081018519</v>
      </c>
      <c r="BE799"/>
      <c r="BF799"/>
      <c r="BG799" t="inlineStr">
        <is>
          <t>Reschedule</t>
        </is>
      </c>
      <c r="BH799" t="inlineStr">
        <is>
          <t>Yee Hang</t>
        </is>
      </c>
      <c r="BI799" t="inlineStr">
        <is>
          <t>Purchase / Supply Chain</t>
        </is>
      </c>
      <c r="BJ799" s="4">
        <v>46144.75096064815</v>
      </c>
      <c r="BK799" s="4">
        <v>44711.69996527778</v>
      </c>
      <c r="BL799" t="inlineStr">
        <is>
          <t>0.0</t>
        </is>
      </c>
      <c r="BM799" t="inlineStr">
        <is>
          <t>0.0</t>
        </is>
      </c>
      <c r="BN799" t="inlineStr">
        <is>
          <t>View Notifications</t>
        </is>
      </c>
      <c r="BO799" s="4">
        <v>45131.475023148145</v>
      </c>
      <c r="BP799">
        <v>168125</v>
      </c>
      <c r="BQ799"/>
      <c r="BR799"/>
      <c r="BS799"/>
      <c r="BT799"/>
      <c r="BU799"/>
      <c r="BV799">
        <v>2738202</v>
      </c>
      <c r="BW799" t="inlineStr">
        <is>
          <t>Follow Up : Budget Concern</t>
        </is>
      </c>
      <c r="BX799"/>
      <c r="BY799"/>
      <c r="BZ799" s="4"/>
      <c r="CA799"/>
      <c r="CB799"/>
      <c r="CC799" s="4"/>
      <c r="CD799" t="inlineStr">
        <is>
          <t>20</t>
        </is>
      </c>
      <c r="CE799" t="inlineStr">
        <is>
          <t>0</t>
        </is>
      </c>
      <c r="CF799" t="inlineStr">
        <is>
          <t>Q2-W03</t>
        </is>
      </c>
      <c r="CG799"/>
      <c r="CH799"/>
      <c r="CI799"/>
      <c r="CJ799" t="inlineStr">
        <is>
          <t>No Paid</t>
        </is>
      </c>
      <c r="CK799" t="inlineStr">
        <is>
          <t>Not Eligible</t>
        </is>
      </c>
      <c r="CL799"/>
      <c r="CM799"/>
    </row>
    <row r="800" ht="25.5" customHeight="1">
      <c r="A800" t="inlineStr">
        <is>
          <t>51130</t>
        </is>
      </c>
      <c r="B800" s="2"/>
      <c r="C800"/>
      <c r="D800" s="3">
        <v>46133.70452546296</v>
      </c>
      <c r="E800" t="inlineStr">
        <is>
          <t>Q2-W03</t>
        </is>
      </c>
      <c r="F800" t="inlineStr">
        <is>
          <t>Keegan</t>
        </is>
      </c>
      <c r="G800" t="inlineStr">
        <is>
          <t>Customer</t>
        </is>
      </c>
      <c r="H800" s="2" t="str">
        <f>=HYPERLINK("https://upbox.ajobthing.my/customer/51130", "https://upbox.ajobthing.my/customer/51130")</f>
        <v>https://upbox.ajobthing.my/customer/51130</v>
      </c>
      <c r="I800" t="inlineStr">
        <is>
          <t>LTL Global Sdn Bhd</t>
        </is>
      </c>
      <c r="J800" t="inlineStr">
        <is>
          <t>Dolphin</t>
        </is>
      </c>
      <c r="K800" t="inlineStr">
        <is>
          <t>Keegan</t>
        </is>
      </c>
      <c r="L800" s="4"/>
      <c r="M800" s="4">
        <v>46133.7046412037</v>
      </c>
      <c r="N800"/>
      <c r="O800">
        <v>6048</v>
      </c>
      <c r="P800" s="4"/>
      <c r="Q800" s="4">
        <v>45786.8125</v>
      </c>
      <c r="R800"/>
      <c r="S800">
        <v>648</v>
      </c>
      <c r="T800" s="4">
        <v>45786.8125</v>
      </c>
      <c r="U800" s="4"/>
      <c r="V800"/>
      <c r="W800">
        <v>648</v>
      </c>
      <c r="X800"/>
      <c r="Y800" t="inlineStr">
        <is>
          <t>Pending Appointment</t>
        </is>
      </c>
      <c r="Z800" t="inlineStr">
        <is>
          <t>Hiring Now</t>
        </is>
      </c>
      <c r="AA800">
        <v>3</v>
      </c>
      <c r="AB800" t="inlineStr">
        <is>
          <t>No Appointment Made</t>
        </is>
      </c>
      <c r="AC800"/>
      <c r="AD800" t="inlineStr">
        <is>
          <t xml:space="preserve">1. Sales 
2. Admin 
3. Lorry Driver </t>
        </is>
      </c>
      <c r="AE800"/>
      <c r="AF800"/>
      <c r="AG800" s="4"/>
      <c r="AH800" s="4"/>
      <c r="AI800"/>
      <c r="AJ800">
        <v>1</v>
      </c>
      <c r="AK800" t="inlineStr">
        <is>
          <t>No, I don't need at all</t>
        </is>
      </c>
      <c r="AL800">
        <v>0</v>
      </c>
      <c r="AM800" t="inlineStr">
        <is>
          <t>No, I don't need at all</t>
        </is>
      </c>
      <c r="AN800"/>
      <c r="AO800" t="inlineStr">
        <is>
          <t>No, I don't need at all</t>
        </is>
      </c>
      <c r="AP800" t="inlineStr">
        <is>
          <t>Once per quarter (75%)</t>
        </is>
      </c>
      <c r="AQ800"/>
      <c r="AR800" t="inlineStr">
        <is>
          <t>Did not use any job portal</t>
        </is>
      </c>
      <c r="AS800" t="inlineStr">
        <is>
          <t>- Headcount: 3
- Hiring Job Details: 1. Sales\n2. Admin\n3. Lorry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800">
        <v>85</v>
      </c>
      <c r="AU800" t="inlineStr">
        <is>
          <t>0.85</t>
        </is>
      </c>
      <c r="AV800" t="inlineStr">
        <is>
          <t>5</t>
        </is>
      </c>
      <c r="AW800" t="inlineStr">
        <is>
          <t>0</t>
        </is>
      </c>
      <c r="AX800" t="inlineStr">
        <is>
          <t>Not Qualified</t>
        </is>
      </c>
      <c r="AY800" s="4"/>
      <c r="AZ800"/>
      <c r="BA800"/>
      <c r="BB800"/>
      <c r="BC800" t="inlineStr">
        <is>
          <t>pending decision</t>
        </is>
      </c>
      <c r="BD800" s="4">
        <v>46135.47387731481</v>
      </c>
      <c r="BE800" t="inlineStr">
        <is>
          <t>paid</t>
        </is>
      </c>
      <c r="BF800"/>
      <c r="BG800" t="inlineStr">
        <is>
          <t>Reschedule</t>
        </is>
      </c>
      <c r="BH800" t="inlineStr">
        <is>
          <t>Edward Hoo</t>
        </is>
      </c>
      <c r="BI800" t="inlineStr">
        <is>
          <t>Retail / Merchandise</t>
        </is>
      </c>
      <c r="BJ800" s="4">
        <v>46144.756064814814</v>
      </c>
      <c r="BK800" s="4">
        <v>43309.51625</v>
      </c>
      <c r="BL800" t="inlineStr">
        <is>
          <t>648.0</t>
        </is>
      </c>
      <c r="BM800" t="inlineStr">
        <is>
          <t>0.0</t>
        </is>
      </c>
      <c r="BN800" t="inlineStr">
        <is>
          <t>View Jobmanager Page</t>
        </is>
      </c>
      <c r="BO800" s="4">
        <v>45850.52512731482</v>
      </c>
      <c r="BP800">
        <v>168132</v>
      </c>
      <c r="BQ800">
        <v>79180</v>
      </c>
      <c r="BR800" t="inlineStr">
        <is>
          <t>Online</t>
        </is>
      </c>
      <c r="BS800"/>
      <c r="BT800">
        <v>79180</v>
      </c>
      <c r="BU800"/>
      <c r="BV800">
        <v>2722820</v>
      </c>
      <c r="BW800" t="inlineStr">
        <is>
          <t>Follow Up : Decision Pending</t>
        </is>
      </c>
      <c r="BX800"/>
      <c r="BY800"/>
      <c r="BZ800" s="4"/>
      <c r="CA800"/>
      <c r="CB800"/>
      <c r="CC800" s="4"/>
      <c r="CD800" t="inlineStr">
        <is>
          <t>5</t>
        </is>
      </c>
      <c r="CE800" t="inlineStr">
        <is>
          <t>0</t>
        </is>
      </c>
      <c r="CF800" t="inlineStr">
        <is>
          <t>Q2-W03</t>
        </is>
      </c>
      <c r="CG800"/>
      <c r="CH800"/>
      <c r="CI800"/>
      <c r="CJ800" t="inlineStr">
        <is>
          <t>Paid</t>
        </is>
      </c>
      <c r="CK800" t="inlineStr">
        <is>
          <t>Not Eligible</t>
        </is>
      </c>
      <c r="CL800"/>
      <c r="CM800"/>
    </row>
    <row r="801" ht="25.5" customHeight="1">
      <c r="A801" t="inlineStr">
        <is>
          <t>58416</t>
        </is>
      </c>
      <c r="B801" s="2"/>
      <c r="C801"/>
      <c r="D801" s="3">
        <v>46133.7325462963</v>
      </c>
      <c r="E801" t="inlineStr">
        <is>
          <t>Q2-W03</t>
        </is>
      </c>
      <c r="F801" t="inlineStr">
        <is>
          <t>Keegan</t>
        </is>
      </c>
      <c r="G801" t="inlineStr">
        <is>
          <t>Customer</t>
        </is>
      </c>
      <c r="H801" s="2" t="str">
        <f>=HYPERLINK("https://upbox.ajobthing.my/customer/58416", "https://upbox.ajobthing.my/customer/58416")</f>
        <v>https://upbox.ajobthing.my/customer/58416</v>
      </c>
      <c r="I801" t="inlineStr">
        <is>
          <t>Urban Environmental Industries Sdn Bhd</t>
        </is>
      </c>
      <c r="J801" t="inlineStr">
        <is>
          <t>Dolphin</t>
        </is>
      </c>
      <c r="K801" t="inlineStr">
        <is>
          <t>Keegan</t>
        </is>
      </c>
      <c r="L801" s="4"/>
      <c r="M801" s="4">
        <v>46133.73263888889</v>
      </c>
      <c r="N801"/>
      <c r="O801">
        <v>3888</v>
      </c>
      <c r="P801" s="4"/>
      <c r="Q801" s="4">
        <v>43696.7159837963</v>
      </c>
      <c r="R801"/>
      <c r="S801">
        <v>530</v>
      </c>
      <c r="T801" s="4">
        <v>43696.7159837963</v>
      </c>
      <c r="U801" s="4"/>
      <c r="V801"/>
      <c r="W801">
        <v>530</v>
      </c>
      <c r="X801"/>
      <c r="Y801" t="inlineStr">
        <is>
          <t>Pending Appointment</t>
        </is>
      </c>
      <c r="Z801" t="inlineStr">
        <is>
          <t>Hiring Now</t>
        </is>
      </c>
      <c r="AA801">
        <v>1</v>
      </c>
      <c r="AB801" t="inlineStr">
        <is>
          <t>No Appointment Made</t>
        </is>
      </c>
      <c r="AC801"/>
      <c r="AD801" t="inlineStr">
        <is>
          <t xml:space="preserve">1. Sales </t>
        </is>
      </c>
      <c r="AE801"/>
      <c r="AF801"/>
      <c r="AG801" s="4"/>
      <c r="AH801" s="4"/>
      <c r="AI801"/>
      <c r="AJ801">
        <v>1</v>
      </c>
      <c r="AK801" t="inlineStr">
        <is>
          <t>No, I don't need at all</t>
        </is>
      </c>
      <c r="AL801">
        <v>0</v>
      </c>
      <c r="AM801" t="inlineStr">
        <is>
          <t>No, I don't need at all</t>
        </is>
      </c>
      <c r="AN801"/>
      <c r="AO801" t="inlineStr">
        <is>
          <t>No, I don't need at all</t>
        </is>
      </c>
      <c r="AP801" t="inlineStr">
        <is>
          <t>Once per quarter (75%)</t>
        </is>
      </c>
      <c r="AQ801"/>
      <c r="AR801" t="inlineStr">
        <is>
          <t>Did not use any job portal</t>
        </is>
      </c>
      <c r="AS801"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None
- Whole year budget: None
- Whole year number of vacancies: None
- Hiring frequency: Once per quarter (75%)
- External job portal: Did not use any job portal</t>
        </is>
      </c>
      <c r="AT801">
        <v>95</v>
      </c>
      <c r="AU801" t="inlineStr">
        <is>
          <t>0.95</t>
        </is>
      </c>
      <c r="AV801" t="inlineStr">
        <is>
          <t>5</t>
        </is>
      </c>
      <c r="AW801" t="inlineStr">
        <is>
          <t>0</t>
        </is>
      </c>
      <c r="AX801" t="inlineStr">
        <is>
          <t>Not Qualified</t>
        </is>
      </c>
      <c r="AY801" s="4"/>
      <c r="AZ801"/>
      <c r="BA801"/>
      <c r="BB801"/>
      <c r="BC801" t="inlineStr">
        <is>
          <t>Pending decision</t>
        </is>
      </c>
      <c r="BD801" s="4">
        <v>46135.57840277778</v>
      </c>
      <c r="BE801" t="inlineStr">
        <is>
          <t>paid</t>
        </is>
      </c>
      <c r="BF801"/>
      <c r="BG801" t="inlineStr">
        <is>
          <t>Reschedule</t>
        </is>
      </c>
      <c r="BH801" t="inlineStr">
        <is>
          <t>Edward Hoo</t>
        </is>
      </c>
      <c r="BI801" t="inlineStr">
        <is>
          <t>Environment / Health / Safety</t>
        </is>
      </c>
      <c r="BJ801" s="4">
        <v>46144.75609953704</v>
      </c>
      <c r="BK801" s="4">
        <v>43375.45811342593</v>
      </c>
      <c r="BL801" t="inlineStr">
        <is>
          <t>0.0</t>
        </is>
      </c>
      <c r="BM801" t="inlineStr">
        <is>
          <t>0.0</t>
        </is>
      </c>
      <c r="BN801" t="inlineStr">
        <is>
          <t>View Candidate Search Page</t>
        </is>
      </c>
      <c r="BO801" s="4">
        <v>45453.606828703705</v>
      </c>
      <c r="BP801">
        <v>168149</v>
      </c>
      <c r="BQ801">
        <v>19473</v>
      </c>
      <c r="BR801" t="inlineStr">
        <is>
          <t>Online</t>
        </is>
      </c>
      <c r="BS801"/>
      <c r="BT801">
        <v>19473</v>
      </c>
      <c r="BU801"/>
      <c r="BV801">
        <v>2723300</v>
      </c>
      <c r="BW801" t="inlineStr">
        <is>
          <t>Follow Up : Decision Pending</t>
        </is>
      </c>
      <c r="BX801"/>
      <c r="BY801"/>
      <c r="BZ801" s="4"/>
      <c r="CA801"/>
      <c r="CB801"/>
      <c r="CC801" s="4"/>
      <c r="CD801" t="inlineStr">
        <is>
          <t>5</t>
        </is>
      </c>
      <c r="CE801" t="inlineStr">
        <is>
          <t>0</t>
        </is>
      </c>
      <c r="CF801" t="inlineStr">
        <is>
          <t>Q2-W03</t>
        </is>
      </c>
      <c r="CG801"/>
      <c r="CH801"/>
      <c r="CI801"/>
      <c r="CJ801" t="inlineStr">
        <is>
          <t>Paid</t>
        </is>
      </c>
      <c r="CK801" t="inlineStr">
        <is>
          <t>Not Eligible</t>
        </is>
      </c>
      <c r="CL801"/>
      <c r="CM801"/>
    </row>
    <row r="802" ht="25.5" customHeight="1">
      <c r="A802" t="inlineStr">
        <is>
          <t>2553252</t>
        </is>
      </c>
      <c r="B802" s="2"/>
      <c r="C802"/>
      <c r="D802" s="3">
        <v>46133.74550925926</v>
      </c>
      <c r="E802" t="inlineStr">
        <is>
          <t>Q2-W03</t>
        </is>
      </c>
      <c r="F802" t="inlineStr">
        <is>
          <t>Janice Yap</t>
        </is>
      </c>
      <c r="G802" t="inlineStr">
        <is>
          <t>Lead</t>
        </is>
      </c>
      <c r="H802" s="2" t="str">
        <f>=HYPERLINK("https://upbox.ajobthing.my/leads/2553252", "https://upbox.ajobthing.my/leads/2553252")</f>
        <v>https://upbox.ajobthing.my/leads/2553252</v>
      </c>
      <c r="I802" t="inlineStr">
        <is>
          <t>EZZYWEALTH SDN BHD</t>
        </is>
      </c>
      <c r="J802" t="inlineStr">
        <is>
          <t>Dolphin</t>
        </is>
      </c>
      <c r="K802" t="inlineStr">
        <is>
          <t>Janice</t>
        </is>
      </c>
      <c r="L802" s="4"/>
      <c r="M802" s="4">
        <v>46133.74303240741</v>
      </c>
      <c r="N802"/>
      <c r="O802">
        <v>3888</v>
      </c>
      <c r="P802" s="4"/>
      <c r="Q802" s="4"/>
      <c r="R802"/>
      <c r="S802"/>
      <c r="T802" s="4"/>
      <c r="U802" s="4"/>
      <c r="V802"/>
      <c r="W802"/>
      <c r="X802"/>
      <c r="Y802" t="inlineStr">
        <is>
          <t>Pending Appointment</t>
        </is>
      </c>
      <c r="Z802" t="inlineStr">
        <is>
          <t>Hiring Now</t>
        </is>
      </c>
      <c r="AA802">
        <v>3</v>
      </c>
      <c r="AB802" t="inlineStr">
        <is>
          <t>No Appointment Made</t>
        </is>
      </c>
      <c r="AC802"/>
      <c r="AD802" t="inlineStr">
        <is>
          <t xml:space="preserve">Physiotherapist // digital market // sales marketing </t>
        </is>
      </c>
      <c r="AE802"/>
      <c r="AF802">
        <v>0</v>
      </c>
      <c r="AG802" s="4"/>
      <c r="AH802" s="4"/>
      <c r="AI802">
        <v>0</v>
      </c>
      <c r="AJ802"/>
      <c r="AK802" t="inlineStr">
        <is>
          <t>No, I don't need at all</t>
        </is>
      </c>
      <c r="AL802">
        <v>0</v>
      </c>
      <c r="AM802" t="inlineStr">
        <is>
          <t>No, I don't need at all</t>
        </is>
      </c>
      <c r="AN802"/>
      <c r="AO802" t="inlineStr">
        <is>
          <t>No, I don't need at all</t>
        </is>
      </c>
      <c r="AP802" t="inlineStr">
        <is>
          <t>Once a year (25%)</t>
        </is>
      </c>
      <c r="AQ802">
        <v>3</v>
      </c>
      <c r="AR802"/>
      <c r="AS802" t="inlineStr">
        <is>
          <t>- Headcount: 3
- Hiring Job Details: Physiotherapist // digital market // sales marketing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N/A</t>
        </is>
      </c>
      <c r="AT802">
        <v>75</v>
      </c>
      <c r="AU802" t="inlineStr">
        <is>
          <t>0.75</t>
        </is>
      </c>
      <c r="AV802" t="inlineStr">
        <is>
          <t>15</t>
        </is>
      </c>
      <c r="AW802" t="inlineStr">
        <is>
          <t>0</t>
        </is>
      </c>
      <c r="AX802" t="inlineStr">
        <is>
          <t>Not Qualified</t>
        </is>
      </c>
      <c r="AY802" s="4"/>
      <c r="AZ802"/>
      <c r="BA802"/>
      <c r="BB802"/>
      <c r="BC802"/>
      <c r="BD802" s="4"/>
      <c r="BE802"/>
      <c r="BF802"/>
      <c r="BG802" t="inlineStr">
        <is>
          <t>Reschedule</t>
        </is>
      </c>
      <c r="BH802" t="inlineStr">
        <is>
          <t>Yee Hang</t>
        </is>
      </c>
      <c r="BI802"/>
      <c r="BJ802" s="4">
        <v>46144.75446759259</v>
      </c>
      <c r="BK802" s="4">
        <v>45777.39802083333</v>
      </c>
      <c r="BL802" t="inlineStr">
        <is>
          <t>0.0</t>
        </is>
      </c>
      <c r="BM802" t="inlineStr">
        <is>
          <t>1200.0</t>
        </is>
      </c>
      <c r="BN802"/>
      <c r="BO802" s="4"/>
      <c r="BP802">
        <v>168153</v>
      </c>
      <c r="BQ802"/>
      <c r="BR802"/>
      <c r="BS802"/>
      <c r="BT802"/>
      <c r="BU802"/>
      <c r="BV802"/>
      <c r="BW802"/>
      <c r="BX802"/>
      <c r="BY802"/>
      <c r="BZ802" s="4"/>
      <c r="CA802"/>
      <c r="CB802"/>
      <c r="CC802" s="4"/>
      <c r="CD802" t="inlineStr">
        <is>
          <t>20</t>
        </is>
      </c>
      <c r="CE802" t="inlineStr">
        <is>
          <t>0</t>
        </is>
      </c>
      <c r="CF802" t="inlineStr">
        <is>
          <t>Q2-W03</t>
        </is>
      </c>
      <c r="CG802"/>
      <c r="CH802"/>
      <c r="CI802"/>
      <c r="CJ802" t="inlineStr">
        <is>
          <t>No Paid</t>
        </is>
      </c>
      <c r="CK802" t="inlineStr">
        <is>
          <t>Not Eligible</t>
        </is>
      </c>
      <c r="CL802"/>
      <c r="CM802"/>
    </row>
    <row r="803" ht="25.5" customHeight="1">
      <c r="A803" t="inlineStr">
        <is>
          <t>7628</t>
        </is>
      </c>
      <c r="B803" s="2"/>
      <c r="C803"/>
      <c r="D803" s="3">
        <v>46133.74560185185</v>
      </c>
      <c r="E803" t="inlineStr">
        <is>
          <t>Q2-W03</t>
        </is>
      </c>
      <c r="F803" t="inlineStr">
        <is>
          <t>Ratha</t>
        </is>
      </c>
      <c r="G803" t="inlineStr">
        <is>
          <t>Customer</t>
        </is>
      </c>
      <c r="H803" s="2" t="str">
        <f>=HYPERLINK("https://upbox.ajobthing.my/customer/7628", "https://upbox.ajobthing.my/customer/7628")</f>
        <v>https://upbox.ajobthing.my/customer/7628</v>
      </c>
      <c r="I803" t="inlineStr">
        <is>
          <t>Kow Hock Building Materials (M) Sdn Bhd</t>
        </is>
      </c>
      <c r="J803" t="inlineStr">
        <is>
          <t>Dolphin</t>
        </is>
      </c>
      <c r="K803" t="inlineStr">
        <is>
          <t>Ratha</t>
        </is>
      </c>
      <c r="L803" s="4"/>
      <c r="M803" s="4">
        <v>46133.74587962963</v>
      </c>
      <c r="N803"/>
      <c r="O803">
        <v>3888</v>
      </c>
      <c r="P803" s="4"/>
      <c r="Q803" s="4">
        <v>44972.00001157408</v>
      </c>
      <c r="R803"/>
      <c r="S803">
        <v>3392</v>
      </c>
      <c r="T803" s="4">
        <v>44972.00001157408</v>
      </c>
      <c r="U803" s="4"/>
      <c r="V803"/>
      <c r="W803">
        <v>3392</v>
      </c>
      <c r="X803"/>
      <c r="Y803" t="inlineStr">
        <is>
          <t>Pending Appointment</t>
        </is>
      </c>
      <c r="Z803" t="inlineStr">
        <is>
          <t>Hiring Later</t>
        </is>
      </c>
      <c r="AA803">
        <v>2</v>
      </c>
      <c r="AB803" t="inlineStr">
        <is>
          <t>No Appointment Made</t>
        </is>
      </c>
      <c r="AC803"/>
      <c r="AD803" t="inlineStr">
        <is>
          <t>Sales &amp; HR
Location : JB</t>
        </is>
      </c>
      <c r="AE803"/>
      <c r="AF803"/>
      <c r="AG803" s="4"/>
      <c r="AH803" s="4"/>
      <c r="AI803">
        <v>0</v>
      </c>
      <c r="AJ803">
        <v>1</v>
      </c>
      <c r="AK803" t="inlineStr">
        <is>
          <t>Yes, I have</t>
        </is>
      </c>
      <c r="AL803">
        <v>2</v>
      </c>
      <c r="AM803" t="inlineStr">
        <is>
          <t>No, I don't need at all</t>
        </is>
      </c>
      <c r="AN803"/>
      <c r="AO803" t="inlineStr">
        <is>
          <t>Yes, I have</t>
        </is>
      </c>
      <c r="AP803" t="inlineStr">
        <is>
          <t>Once per quarter (75%)</t>
        </is>
      </c>
      <c r="AQ803">
        <v>0</v>
      </c>
      <c r="AR803" t="inlineStr">
        <is>
          <t>Jobstreet, Free Job Portal</t>
        </is>
      </c>
      <c r="AS803" t="inlineStr">
        <is>
          <t>- Headcount: 2
- Hiring Job Details: Sales &amp; HR, Location: JB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is>
      </c>
      <c r="AT803">
        <v>70</v>
      </c>
      <c r="AU803" t="inlineStr">
        <is>
          <t>0.70</t>
        </is>
      </c>
      <c r="AV803" t="inlineStr">
        <is>
          <t>5</t>
        </is>
      </c>
      <c r="AW803" t="inlineStr">
        <is>
          <t>0</t>
        </is>
      </c>
      <c r="AX803" t="inlineStr">
        <is>
          <t>Not Qualified</t>
        </is>
      </c>
      <c r="AY803" s="4"/>
      <c r="AZ803"/>
      <c r="BA803"/>
      <c r="BB803"/>
      <c r="BC803" t="inlineStr">
        <is>
          <t>management insist not to change the current portal since getting good respond</t>
        </is>
      </c>
      <c r="BD803" s="4">
        <v>46135.46680555555</v>
      </c>
      <c r="BE803" t="inlineStr">
        <is>
          <t>paid</t>
        </is>
      </c>
      <c r="BF803"/>
      <c r="BG803" t="inlineStr">
        <is>
          <t>Reschedule</t>
        </is>
      </c>
      <c r="BH803" t="inlineStr">
        <is>
          <t>Fauziah Maharan</t>
        </is>
      </c>
      <c r="BI803" t="inlineStr">
        <is>
          <t>Construction / Building</t>
        </is>
      </c>
      <c r="BJ803" s="4">
        <v>46144.756157407406</v>
      </c>
      <c r="BK803" s="4">
        <v>42465.42444444444</v>
      </c>
      <c r="BL803" t="inlineStr">
        <is>
          <t>0.0</t>
        </is>
      </c>
      <c r="BM803" t="inlineStr">
        <is>
          <t>3600.0</t>
        </is>
      </c>
      <c r="BN803" t="inlineStr">
        <is>
          <t>View Company Page</t>
        </is>
      </c>
      <c r="BO803" s="4">
        <v>46126.68015046296</v>
      </c>
      <c r="BP803">
        <v>168155</v>
      </c>
      <c r="BQ803">
        <v>55446</v>
      </c>
      <c r="BR803" t="inlineStr">
        <is>
          <t>Online</t>
        </is>
      </c>
      <c r="BS803"/>
      <c r="BT803">
        <v>55446</v>
      </c>
      <c r="BU803"/>
      <c r="BV803">
        <v>2722763</v>
      </c>
      <c r="BW803" t="inlineStr">
        <is>
          <t>Follow Up : Lost - Paid Portal</t>
        </is>
      </c>
      <c r="BX803"/>
      <c r="BY803"/>
      <c r="BZ803" s="4"/>
      <c r="CA803"/>
      <c r="CB803"/>
      <c r="CC803" s="4"/>
      <c r="CD803" t="inlineStr">
        <is>
          <t>5</t>
        </is>
      </c>
      <c r="CE803" t="inlineStr">
        <is>
          <t>0</t>
        </is>
      </c>
      <c r="CF803" t="inlineStr">
        <is>
          <t>Q2-W03</t>
        </is>
      </c>
      <c r="CG803"/>
      <c r="CH803"/>
      <c r="CI803"/>
      <c r="CJ803" t="inlineStr">
        <is>
          <t>Paid</t>
        </is>
      </c>
      <c r="CK803" t="inlineStr">
        <is>
          <t>Not Eligible</t>
        </is>
      </c>
      <c r="CL803"/>
      <c r="CM803"/>
    </row>
    <row r="804" ht="25.5" customHeight="1">
      <c r="A804" t="inlineStr">
        <is>
          <t>201999</t>
        </is>
      </c>
      <c r="B804" s="2"/>
      <c r="C804"/>
      <c r="D804" s="3">
        <v>46133.752233796295</v>
      </c>
      <c r="E804" t="inlineStr">
        <is>
          <t>Q2-W03</t>
        </is>
      </c>
      <c r="F804" t="inlineStr">
        <is>
          <t>Angel  Low</t>
        </is>
      </c>
      <c r="G804" t="inlineStr">
        <is>
          <t>Customer</t>
        </is>
      </c>
      <c r="H804" s="2" t="str">
        <f>=HYPERLINK("https://upbox.ajobthing.my/customer/201999", "https://upbox.ajobthing.my/customer/201999")</f>
        <v>https://upbox.ajobthing.my/customer/201999</v>
      </c>
      <c r="I804" t="inlineStr">
        <is>
          <t>Unicome Media Sdn. Bhd.</t>
        </is>
      </c>
      <c r="J804" t="inlineStr">
        <is>
          <t>Dolphin</t>
        </is>
      </c>
      <c r="K804" t="inlineStr">
        <is>
          <t>Angel Low</t>
        </is>
      </c>
      <c r="L804" s="4"/>
      <c r="M804" s="4">
        <v>46133.75263888889</v>
      </c>
      <c r="N804"/>
      <c r="O804">
        <v>5508</v>
      </c>
      <c r="P804" s="4"/>
      <c r="Q804" s="4">
        <v>46142.80005787037</v>
      </c>
      <c r="R804"/>
      <c r="S804">
        <v>3672</v>
      </c>
      <c r="T804" s="4">
        <v>46142.80005787037</v>
      </c>
      <c r="U804" s="4"/>
      <c r="V804"/>
      <c r="W804">
        <v>3672</v>
      </c>
      <c r="X804"/>
      <c r="Y804" t="inlineStr">
        <is>
          <t>Pending Appointment</t>
        </is>
      </c>
      <c r="Z804"/>
      <c r="AA804">
        <v>1</v>
      </c>
      <c r="AB804" t="inlineStr">
        <is>
          <t>No Appointment Made</t>
        </is>
      </c>
      <c r="AC804"/>
      <c r="AD804" t="inlineStr">
        <is>
          <t xml:space="preserve">live host mandarin speaker </t>
        </is>
      </c>
      <c r="AE804"/>
      <c r="AF804"/>
      <c r="AG804" s="4"/>
      <c r="AH804" s="4"/>
      <c r="AI804"/>
      <c r="AJ804"/>
      <c r="AK804"/>
      <c r="AL804"/>
      <c r="AM804"/>
      <c r="AN804"/>
      <c r="AO804"/>
      <c r="AP804"/>
      <c r="AQ804"/>
      <c r="AR804"/>
      <c r="AS804" t="inlineStr">
        <is>
          <t>- Headcount: Not available
- Hiring Job Details: Live host mandarin speaker
- Hiring Urgency: Not available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t>
        </is>
      </c>
      <c r="AT804">
        <v>25</v>
      </c>
      <c r="AU804" t="inlineStr">
        <is>
          <t>0.25</t>
        </is>
      </c>
      <c r="AV804" t="inlineStr">
        <is>
          <t>5</t>
        </is>
      </c>
      <c r="AW804" t="inlineStr">
        <is>
          <t>0</t>
        </is>
      </c>
      <c r="AX804" t="inlineStr">
        <is>
          <t>Not Qualified</t>
        </is>
      </c>
      <c r="AY804" s="4"/>
      <c r="AZ804"/>
      <c r="BA804"/>
      <c r="BB804"/>
      <c r="BC804" t="inlineStr">
        <is>
          <t>CALled and spoke to Mr Tang he said already make payment and ask the account registration, assist to help on update the ssm</t>
        </is>
      </c>
      <c r="BD804" s="4">
        <v>46142.76054398148</v>
      </c>
      <c r="BE804" t="inlineStr">
        <is>
          <t>paid</t>
        </is>
      </c>
      <c r="BF804" t="inlineStr">
        <is>
          <t>Q2-W04</t>
        </is>
      </c>
      <c r="BG804" t="inlineStr">
        <is>
          <t>Reschedule</t>
        </is>
      </c>
      <c r="BH804" t="inlineStr">
        <is>
          <t>Fauziah Maharan</t>
        </is>
      </c>
      <c r="BI804"/>
      <c r="BJ804" s="4">
        <v>46144.75392361111</v>
      </c>
      <c r="BK804" s="4">
        <v>46092.94799768519</v>
      </c>
      <c r="BL804" t="inlineStr">
        <is>
          <t>3672.0</t>
        </is>
      </c>
      <c r="BM804" t="inlineStr">
        <is>
          <t>0.0</t>
        </is>
      </c>
      <c r="BN804" t="inlineStr">
        <is>
          <t>View Company Page</t>
        </is>
      </c>
      <c r="BO804" s="4">
        <v>46092.949282407404</v>
      </c>
      <c r="BP804">
        <v>168158</v>
      </c>
      <c r="BQ804">
        <v>95224</v>
      </c>
      <c r="BR804" t="inlineStr">
        <is>
          <t>Online</t>
        </is>
      </c>
      <c r="BS804"/>
      <c r="BT804">
        <v>95224</v>
      </c>
      <c r="BU804"/>
      <c r="BV804">
        <v>2738519</v>
      </c>
      <c r="BW804" t="inlineStr">
        <is>
          <t>Follow Up : Win - Customer Paid</t>
        </is>
      </c>
      <c r="BX804">
        <v>6</v>
      </c>
      <c r="BY804">
        <v>6</v>
      </c>
      <c r="BZ804" s="4"/>
      <c r="CA804">
        <v>60</v>
      </c>
      <c r="CB804">
        <v>60</v>
      </c>
      <c r="CC804" s="4"/>
      <c r="CD804" t="inlineStr">
        <is>
          <t>5</t>
        </is>
      </c>
      <c r="CE804" t="inlineStr">
        <is>
          <t>0</t>
        </is>
      </c>
      <c r="CF804" t="inlineStr">
        <is>
          <t>Q2-W03</t>
        </is>
      </c>
      <c r="CG804" t="inlineStr">
        <is>
          <t>Q2-W04</t>
        </is>
      </c>
      <c r="CH804" t="inlineStr">
        <is>
          <t>Q2-W04</t>
        </is>
      </c>
      <c r="CI804"/>
      <c r="CJ804" t="inlineStr">
        <is>
          <t>Paid</t>
        </is>
      </c>
      <c r="CK804" t="inlineStr">
        <is>
          <t>Not Eligible</t>
        </is>
      </c>
      <c r="CL804"/>
      <c r="CM804"/>
    </row>
    <row r="805" ht="25.5" customHeight="1">
      <c r="A805" t="inlineStr">
        <is>
          <t>176548</t>
        </is>
      </c>
      <c r="B805" s="2"/>
      <c r="C805"/>
      <c r="D805" s="3">
        <v>46133.97767361111</v>
      </c>
      <c r="E805" t="inlineStr">
        <is>
          <t>Q2-W03</t>
        </is>
      </c>
      <c r="F805" t="inlineStr">
        <is>
          <t>Yuli</t>
        </is>
      </c>
      <c r="G805" t="inlineStr">
        <is>
          <t>Customer</t>
        </is>
      </c>
      <c r="H805" s="2" t="str">
        <f>=HYPERLINK("https://upbox.ajobthing.my/customer/176548", "https://upbox.ajobthing.my/customer/176548")</f>
        <v>https://upbox.ajobthing.my/customer/176548</v>
      </c>
      <c r="I805" t="inlineStr">
        <is>
          <t xml:space="preserve">Double E Makii Makii Sdn Bhd </t>
        </is>
      </c>
      <c r="J805" t="inlineStr">
        <is>
          <t>Dolphin</t>
        </is>
      </c>
      <c r="K805" t="inlineStr">
        <is>
          <t>YuLi</t>
        </is>
      </c>
      <c r="L805" s="4"/>
      <c r="M805" s="4">
        <v>46133.97626157408</v>
      </c>
      <c r="N805"/>
      <c r="O805">
        <v>6048</v>
      </c>
      <c r="P805" s="4"/>
      <c r="Q805" s="4">
        <v>46100.40702546296</v>
      </c>
      <c r="R805"/>
      <c r="S805">
        <v>0</v>
      </c>
      <c r="T805" s="4">
        <v>45966.34133101852</v>
      </c>
      <c r="U805" s="4"/>
      <c r="V805"/>
      <c r="W805">
        <v>3672</v>
      </c>
      <c r="X805"/>
      <c r="Y805" t="inlineStr">
        <is>
          <t>Pending Appointment</t>
        </is>
      </c>
      <c r="Z805" t="inlineStr">
        <is>
          <t>Hiring Now</t>
        </is>
      </c>
      <c r="AA805">
        <v>2</v>
      </c>
      <c r="AB805" t="inlineStr">
        <is>
          <t>No Appointment Made</t>
        </is>
      </c>
      <c r="AC805"/>
      <c r="AD805" t="inlineStr">
        <is>
          <t>Service Crew and barista</t>
        </is>
      </c>
      <c r="AE805"/>
      <c r="AF805"/>
      <c r="AG805" s="4"/>
      <c r="AH805" s="4"/>
      <c r="AI805"/>
      <c r="AJ805"/>
      <c r="AK805"/>
      <c r="AL805"/>
      <c r="AM805"/>
      <c r="AN805"/>
      <c r="AO805"/>
      <c r="AP805"/>
      <c r="AQ805"/>
      <c r="AR805" t="inlineStr">
        <is>
          <t>Free Job Portal</t>
        </is>
      </c>
      <c r="AS805" t="inlineStr">
        <is>
          <t>- Headcount: 2
- Hiring Job Details: Service Crew and barista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Free Job Portal</t>
        </is>
      </c>
      <c r="AT805">
        <v>65</v>
      </c>
      <c r="AU805" t="inlineStr">
        <is>
          <t>0.65</t>
        </is>
      </c>
      <c r="AV805" t="inlineStr">
        <is>
          <t>5</t>
        </is>
      </c>
      <c r="AW805" t="inlineStr">
        <is>
          <t>0</t>
        </is>
      </c>
      <c r="AX805" t="inlineStr">
        <is>
          <t>Not Qualified</t>
        </is>
      </c>
      <c r="AY805" s="4"/>
      <c r="AZ805"/>
      <c r="BA805"/>
      <c r="BB805"/>
      <c r="BC805" t="inlineStr">
        <is>
          <t>quotation shard</t>
        </is>
      </c>
      <c r="BD805" s="4">
        <v>46133.977800925924</v>
      </c>
      <c r="BE805" t="inlineStr">
        <is>
          <t>paid</t>
        </is>
      </c>
      <c r="BF805"/>
      <c r="BG805" t="inlineStr">
        <is>
          <t>Reschedule</t>
        </is>
      </c>
      <c r="BH805" t="inlineStr">
        <is>
          <t>Fauziah Maharan</t>
        </is>
      </c>
      <c r="BI805" t="inlineStr">
        <is>
          <t>Food / Beverage</t>
        </is>
      </c>
      <c r="BJ805" s="4">
        <v>46144.751655092594</v>
      </c>
      <c r="BK805" s="4">
        <v>45370.505324074074</v>
      </c>
      <c r="BL805" t="inlineStr">
        <is>
          <t>3996.0</t>
        </is>
      </c>
      <c r="BM805" t="inlineStr">
        <is>
          <t>0.0</t>
        </is>
      </c>
      <c r="BN805" t="inlineStr">
        <is>
          <t>User Visit(Logged In)</t>
        </is>
      </c>
      <c r="BO805" s="4">
        <v>46143.752071759256</v>
      </c>
      <c r="BP805">
        <v>168162</v>
      </c>
      <c r="BQ805">
        <v>117924</v>
      </c>
      <c r="BR805" t="inlineStr">
        <is>
          <t>Proforma</t>
        </is>
      </c>
      <c r="BS805" t="inlineStr">
        <is>
          <t>A La Carte AI Job Ad Free</t>
        </is>
      </c>
      <c r="BT805">
        <v>6672</v>
      </c>
      <c r="BU805"/>
      <c r="BV805">
        <v>2719294</v>
      </c>
      <c r="BW805" t="inlineStr">
        <is>
          <t>Customer Inquiry</t>
        </is>
      </c>
      <c r="BX805">
        <v>6</v>
      </c>
      <c r="BY805">
        <v>0</v>
      </c>
      <c r="BZ805" s="4">
        <v>46130.896689814814</v>
      </c>
      <c r="CA805">
        <v>70</v>
      </c>
      <c r="CB805">
        <v>37</v>
      </c>
      <c r="CC805" s="4">
        <v>46126.6871875</v>
      </c>
      <c r="CD805" t="inlineStr">
        <is>
          <t>5</t>
        </is>
      </c>
      <c r="CE805" t="inlineStr">
        <is>
          <t>0</t>
        </is>
      </c>
      <c r="CF805" t="inlineStr">
        <is>
          <t>Q2-W03</t>
        </is>
      </c>
      <c r="CG805" t="inlineStr">
        <is>
          <t>Q1-W11</t>
        </is>
      </c>
      <c r="CH805"/>
      <c r="CI805"/>
      <c r="CJ805" t="inlineStr">
        <is>
          <t>Paid</t>
        </is>
      </c>
      <c r="CK805" t="inlineStr">
        <is>
          <t>Not Eligible</t>
        </is>
      </c>
      <c r="CL805"/>
      <c r="CM805"/>
    </row>
    <row r="806" ht="25.5" customHeight="1">
      <c r="A806" t="inlineStr">
        <is>
          <t>4312372</t>
        </is>
      </c>
      <c r="B806" s="2"/>
      <c r="C806"/>
      <c r="D806" s="3">
        <v>46134.410520833335</v>
      </c>
      <c r="E806" t="inlineStr">
        <is>
          <t>Q2-W03</t>
        </is>
      </c>
      <c r="F806" t="inlineStr">
        <is>
          <t>Eugene</t>
        </is>
      </c>
      <c r="G806" t="inlineStr">
        <is>
          <t>Lead</t>
        </is>
      </c>
      <c r="H806" s="2" t="str">
        <f>=HYPERLINK("https://upbox.ajobthing.my/leads/4312372", "https://upbox.ajobthing.my/leads/4312372")</f>
        <v>https://upbox.ajobthing.my/leads/4312372</v>
      </c>
      <c r="I806" t="inlineStr">
        <is>
          <t>ADVANCE CHAMPION CRANE &amp; TRANSPORT SDN BHD</t>
        </is>
      </c>
      <c r="J806" t="inlineStr">
        <is>
          <t>Dolphin</t>
        </is>
      </c>
      <c r="K806" t="inlineStr">
        <is>
          <t>Eugene</t>
        </is>
      </c>
      <c r="L806" s="4"/>
      <c r="M806" s="4">
        <v>46134.41069444444</v>
      </c>
      <c r="N806"/>
      <c r="O806">
        <v>3888</v>
      </c>
      <c r="P806" s="4"/>
      <c r="Q806" s="4"/>
      <c r="R806"/>
      <c r="S806"/>
      <c r="T806" s="4"/>
      <c r="U806" s="4"/>
      <c r="V806"/>
      <c r="W806"/>
      <c r="X806"/>
      <c r="Y806" t="inlineStr">
        <is>
          <t>Pending Appointment</t>
        </is>
      </c>
      <c r="Z806" t="inlineStr">
        <is>
          <t>Hiring Now</t>
        </is>
      </c>
      <c r="AA806">
        <v>2</v>
      </c>
      <c r="AB806" t="inlineStr">
        <is>
          <t>No Appointment Made</t>
        </is>
      </c>
      <c r="AC806"/>
      <c r="AD806" t="inlineStr">
        <is>
          <t>2 admin clerk</t>
        </is>
      </c>
      <c r="AE806"/>
      <c r="AF806">
        <v>3600</v>
      </c>
      <c r="AG806" s="4"/>
      <c r="AH806" s="4"/>
      <c r="AI806">
        <v>3600</v>
      </c>
      <c r="AJ806">
        <v>1</v>
      </c>
      <c r="AK806" t="inlineStr">
        <is>
          <t>No, I don't need at all</t>
        </is>
      </c>
      <c r="AL806">
        <v>1</v>
      </c>
      <c r="AM806" t="inlineStr">
        <is>
          <t>No, I don't need at all</t>
        </is>
      </c>
      <c r="AN806"/>
      <c r="AO806" t="inlineStr">
        <is>
          <t>No, I don't need at all</t>
        </is>
      </c>
      <c r="AP806" t="inlineStr">
        <is>
          <t>Twice a year (50%)</t>
        </is>
      </c>
      <c r="AQ806">
        <v>3</v>
      </c>
      <c r="AR806" t="inlineStr">
        <is>
          <t>Free Job Portal</t>
        </is>
      </c>
      <c r="AS806" t="inlineStr">
        <is>
          <t>- Headcount: 2
- Hiring Job Details: 2 admin clerk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3
- Hiring frequency: Twice a year (50%)
- External job portal: Free Job Portal</t>
        </is>
      </c>
      <c r="AT806">
        <v>110</v>
      </c>
      <c r="AU806" t="inlineStr">
        <is>
          <t>1.10</t>
        </is>
      </c>
      <c r="AV806" t="inlineStr">
        <is>
          <t>15</t>
        </is>
      </c>
      <c r="AW806" t="inlineStr">
        <is>
          <t>0</t>
        </is>
      </c>
      <c r="AX806" t="inlineStr">
        <is>
          <t>Not Qualified</t>
        </is>
      </c>
      <c r="AY806" s="4"/>
      <c r="AZ806"/>
      <c r="BA806"/>
      <c r="BB806"/>
      <c r="BC806"/>
      <c r="BD806" s="4"/>
      <c r="BE806"/>
      <c r="BF806"/>
      <c r="BG806" t="inlineStr">
        <is>
          <t>Reschedule</t>
        </is>
      </c>
      <c r="BH806" t="inlineStr">
        <is>
          <t>Edward Hoo</t>
        </is>
      </c>
      <c r="BI806"/>
      <c r="BJ806" s="4">
        <v>46144.75587962963</v>
      </c>
      <c r="BK806" s="4">
        <v>46134.39501157407</v>
      </c>
      <c r="BL806" t="inlineStr">
        <is>
          <t>0.0</t>
        </is>
      </c>
      <c r="BM806" t="inlineStr">
        <is>
          <t>0.0</t>
        </is>
      </c>
      <c r="BN806"/>
      <c r="BO806" s="4"/>
      <c r="BP806">
        <v>168183</v>
      </c>
      <c r="BQ806"/>
      <c r="BR806"/>
      <c r="BS806"/>
      <c r="BT806"/>
      <c r="BU806"/>
      <c r="BV806"/>
      <c r="BW806"/>
      <c r="BX806"/>
      <c r="BY806"/>
      <c r="BZ806" s="4"/>
      <c r="CA806"/>
      <c r="CB806"/>
      <c r="CC806" s="4"/>
      <c r="CD806" t="inlineStr">
        <is>
          <t>20</t>
        </is>
      </c>
      <c r="CE806" t="inlineStr">
        <is>
          <t>0</t>
        </is>
      </c>
      <c r="CF806" t="inlineStr">
        <is>
          <t>Q2-W03</t>
        </is>
      </c>
      <c r="CG806"/>
      <c r="CH806"/>
      <c r="CI806"/>
      <c r="CJ806" t="inlineStr">
        <is>
          <t>No Paid</t>
        </is>
      </c>
      <c r="CK806" t="inlineStr">
        <is>
          <t>Not Eligible</t>
        </is>
      </c>
      <c r="CL806"/>
      <c r="CM806"/>
    </row>
    <row r="807" ht="25.5" customHeight="1">
      <c r="A807" t="inlineStr">
        <is>
          <t>203507</t>
        </is>
      </c>
      <c r="B807" s="2"/>
      <c r="C807"/>
      <c r="D807" s="3">
        <v>46134.411875</v>
      </c>
      <c r="E807" t="inlineStr">
        <is>
          <t>Q2-W03</t>
        </is>
      </c>
      <c r="F807" t="inlineStr">
        <is>
          <t>Keegan</t>
        </is>
      </c>
      <c r="G807" t="inlineStr">
        <is>
          <t>Customer</t>
        </is>
      </c>
      <c r="H807" s="2" t="str">
        <f>=HYPERLINK("https://upbox.ajobthing.my/customer/203507", "https://upbox.ajobthing.my/customer/203507")</f>
        <v>https://upbox.ajobthing.my/customer/203507</v>
      </c>
      <c r="I807" t="inlineStr">
        <is>
          <t>Aerolift machinery sdn bhd</t>
        </is>
      </c>
      <c r="J807" t="inlineStr">
        <is>
          <t>Dolphin</t>
        </is>
      </c>
      <c r="K807" t="inlineStr">
        <is>
          <t>Keegan</t>
        </is>
      </c>
      <c r="L807" s="4"/>
      <c r="M807" s="4">
        <v>46134.4128125</v>
      </c>
      <c r="N807"/>
      <c r="O807">
        <v>6048</v>
      </c>
      <c r="P807" s="4"/>
      <c r="Q807" s="4"/>
      <c r="R807"/>
      <c r="S807"/>
      <c r="T807" s="4"/>
      <c r="U807" s="4"/>
      <c r="V807"/>
      <c r="W807"/>
      <c r="X807"/>
      <c r="Y807" t="inlineStr">
        <is>
          <t>Pending Appointment</t>
        </is>
      </c>
      <c r="Z807" t="inlineStr">
        <is>
          <t>Hiring Now</t>
        </is>
      </c>
      <c r="AA807">
        <v>3</v>
      </c>
      <c r="AB807" t="inlineStr">
        <is>
          <t>No Appointment Made</t>
        </is>
      </c>
      <c r="AC807"/>
      <c r="AD807" t="inlineStr">
        <is>
          <t xml:space="preserve">1. Technician 
2. Admin 
3. Sales </t>
        </is>
      </c>
      <c r="AE807"/>
      <c r="AF807"/>
      <c r="AG807" s="4"/>
      <c r="AH807" s="4"/>
      <c r="AI807"/>
      <c r="AJ807">
        <v>1</v>
      </c>
      <c r="AK807" t="inlineStr">
        <is>
          <t>No, I don't need at all</t>
        </is>
      </c>
      <c r="AL807">
        <v>0</v>
      </c>
      <c r="AM807" t="inlineStr">
        <is>
          <t>No, I don't need at all</t>
        </is>
      </c>
      <c r="AN807"/>
      <c r="AO807" t="inlineStr">
        <is>
          <t>No, I don't need at all</t>
        </is>
      </c>
      <c r="AP807" t="inlineStr">
        <is>
          <t>Once per quarter (75%)</t>
        </is>
      </c>
      <c r="AQ807"/>
      <c r="AR807" t="inlineStr">
        <is>
          <t>Did not use any job portal</t>
        </is>
      </c>
      <c r="AS807" t="inlineStr">
        <is>
          <t>- Headcount: 3
- Hiring Job Details: 1. Technician 2. Admin 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807">
        <v>75</v>
      </c>
      <c r="AU807" t="inlineStr">
        <is>
          <t>0.75</t>
        </is>
      </c>
      <c r="AV807" t="inlineStr">
        <is>
          <t>5</t>
        </is>
      </c>
      <c r="AW807" t="inlineStr">
        <is>
          <t>0</t>
        </is>
      </c>
      <c r="AX807" t="inlineStr">
        <is>
          <t>Not Qualified</t>
        </is>
      </c>
      <c r="AY807" s="4"/>
      <c r="AZ807"/>
      <c r="BA807"/>
      <c r="BB807"/>
      <c r="BC807" t="inlineStr">
        <is>
          <t>- Headcount: 3
- Hiring Job Details: 1. Technician 2. Admin 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807" s="4">
        <v>46134.41680555556</v>
      </c>
      <c r="BE807"/>
      <c r="BF807"/>
      <c r="BG807" t="inlineStr">
        <is>
          <t>Reschedule</t>
        </is>
      </c>
      <c r="BH807" t="inlineStr">
        <is>
          <t>Edward Hoo</t>
        </is>
      </c>
      <c r="BI807"/>
      <c r="BJ807" s="4">
        <v>46144.754328703704</v>
      </c>
      <c r="BK807" s="4">
        <v>46134.24248842592</v>
      </c>
      <c r="BL807" t="inlineStr">
        <is>
          <t>0.0</t>
        </is>
      </c>
      <c r="BM807" t="inlineStr">
        <is>
          <t>0.0</t>
        </is>
      </c>
      <c r="BN807" t="inlineStr">
        <is>
          <t>View Company Page</t>
        </is>
      </c>
      <c r="BO807" s="4">
        <v>46134.247766203705</v>
      </c>
      <c r="BP807">
        <v>168187</v>
      </c>
      <c r="BQ807"/>
      <c r="BR807"/>
      <c r="BS807"/>
      <c r="BT807"/>
      <c r="BU807"/>
      <c r="BV807">
        <v>2719544</v>
      </c>
      <c r="BW807" t="inlineStr">
        <is>
          <t>Customer Inquiry</t>
        </is>
      </c>
      <c r="BX807"/>
      <c r="BY807"/>
      <c r="BZ807" s="4"/>
      <c r="CA807"/>
      <c r="CB807"/>
      <c r="CC807" s="4"/>
      <c r="CD807" t="inlineStr">
        <is>
          <t>5</t>
        </is>
      </c>
      <c r="CE807" t="inlineStr">
        <is>
          <t>0</t>
        </is>
      </c>
      <c r="CF807" t="inlineStr">
        <is>
          <t>Q2-W03</t>
        </is>
      </c>
      <c r="CG807"/>
      <c r="CH807"/>
      <c r="CI807"/>
      <c r="CJ807" t="inlineStr">
        <is>
          <t>No Paid</t>
        </is>
      </c>
      <c r="CK807" t="inlineStr">
        <is>
          <t>Not Eligible</t>
        </is>
      </c>
      <c r="CL807"/>
      <c r="CM807"/>
    </row>
    <row r="808" ht="25.5" customHeight="1">
      <c r="A808" t="inlineStr">
        <is>
          <t>164093</t>
        </is>
      </c>
      <c r="B808" s="2"/>
      <c r="C808"/>
      <c r="D808" s="3">
        <v>46134.41400462963</v>
      </c>
      <c r="E808" t="inlineStr">
        <is>
          <t>Q2-W03</t>
        </is>
      </c>
      <c r="F808" t="inlineStr">
        <is>
          <t>Luqman</t>
        </is>
      </c>
      <c r="G808" t="inlineStr">
        <is>
          <t>Customer</t>
        </is>
      </c>
      <c r="H808" s="2" t="str">
        <f>=HYPERLINK("https://upbox.ajobthing.my/customer/164093", "https://upbox.ajobthing.my/customer/164093")</f>
        <v>https://upbox.ajobthing.my/customer/164093</v>
      </c>
      <c r="I808" t="inlineStr">
        <is>
          <t>Exilian Asia Sdn Bhd</t>
        </is>
      </c>
      <c r="J808" t="inlineStr">
        <is>
          <t>Dolphin</t>
        </is>
      </c>
      <c r="K808" t="inlineStr">
        <is>
          <t>Luqman</t>
        </is>
      </c>
      <c r="L808" s="4"/>
      <c r="M808" s="4">
        <v>46134.41407407408</v>
      </c>
      <c r="N808"/>
      <c r="O808">
        <v>3888</v>
      </c>
      <c r="P808" s="4"/>
      <c r="Q808" s="4">
        <v>44960.562418981484</v>
      </c>
      <c r="R808"/>
      <c r="S808">
        <v>636</v>
      </c>
      <c r="T808" s="4">
        <v>44960.562418981484</v>
      </c>
      <c r="U808" s="4"/>
      <c r="V808"/>
      <c r="W808">
        <v>636</v>
      </c>
      <c r="X808"/>
      <c r="Y808" t="inlineStr">
        <is>
          <t>Pending Appointment</t>
        </is>
      </c>
      <c r="Z808" t="inlineStr">
        <is>
          <t>Hiring Later</t>
        </is>
      </c>
      <c r="AA808">
        <v>1</v>
      </c>
      <c r="AB808" t="inlineStr">
        <is>
          <t>No Appointment Made</t>
        </is>
      </c>
      <c r="AC808"/>
      <c r="AD808" t="inlineStr">
        <is>
          <t xml:space="preserve">1. Driver </t>
        </is>
      </c>
      <c r="AE808"/>
      <c r="AF808">
        <v>1200</v>
      </c>
      <c r="AG808" s="4"/>
      <c r="AH808" s="4"/>
      <c r="AI808">
        <v>1200</v>
      </c>
      <c r="AJ808"/>
      <c r="AK808" t="inlineStr">
        <is>
          <t>No, I don't need at all</t>
        </is>
      </c>
      <c r="AL808">
        <v>2</v>
      </c>
      <c r="AM808" t="inlineStr">
        <is>
          <t>No, I don't need at all</t>
        </is>
      </c>
      <c r="AN808"/>
      <c r="AO808" t="inlineStr">
        <is>
          <t>No, I don't need at all</t>
        </is>
      </c>
      <c r="AP808" t="inlineStr">
        <is>
          <t>Twice a year (50%)</t>
        </is>
      </c>
      <c r="AQ808">
        <v>3</v>
      </c>
      <c r="AR808" t="inlineStr">
        <is>
          <t>Free Job Portal</t>
        </is>
      </c>
      <c r="AS808" t="inlineStr">
        <is>
          <t>- Headcount: 1
- Hiring Job Details: 1 Driver
- Hiring Urgency: Hiring Later
- Number of outlets: Not provided
- Have recruiter team: No, I don't need at all
- Number of recruiter in company: 2
- Have ATS system: No, I don't need at all
- Have career website: No, I don't need at all
- Current hiring budget: RM1,200
- Whole year budget: RM1,200.00
- Whole year number of vacancies: 3
- Hiring frequency: Twice a year (50%)
- External job portal: Free Job Portal</t>
        </is>
      </c>
      <c r="AT808">
        <v>100</v>
      </c>
      <c r="AU808" t="inlineStr">
        <is>
          <t>1.00</t>
        </is>
      </c>
      <c r="AV808" t="inlineStr">
        <is>
          <t>15</t>
        </is>
      </c>
      <c r="AW808" t="inlineStr">
        <is>
          <t>0</t>
        </is>
      </c>
      <c r="AX808" t="inlineStr">
        <is>
          <t>Not Qualified</t>
        </is>
      </c>
      <c r="AY808" s="4"/>
      <c r="AZ808"/>
      <c r="BA808"/>
      <c r="BB808"/>
      <c r="BC808" t="inlineStr">
        <is>
          <t>Business will utilize talent on hand before spending on paid portal</t>
        </is>
      </c>
      <c r="BD808" s="4">
        <v>46141.62375</v>
      </c>
      <c r="BE808" t="inlineStr">
        <is>
          <t>paid</t>
        </is>
      </c>
      <c r="BF808"/>
      <c r="BG808" t="inlineStr">
        <is>
          <t>Reschedule</t>
        </is>
      </c>
      <c r="BH808" t="inlineStr">
        <is>
          <t>Edward Hoo</t>
        </is>
      </c>
      <c r="BI808" t="inlineStr">
        <is>
          <t>Transportation / Logistics</t>
        </is>
      </c>
      <c r="BJ808" s="4">
        <v>46144.7512037037</v>
      </c>
      <c r="BK808" s="4">
        <v>44960.53337962963</v>
      </c>
      <c r="BL808" t="inlineStr">
        <is>
          <t>0.0</t>
        </is>
      </c>
      <c r="BM808" t="inlineStr">
        <is>
          <t>600.0</t>
        </is>
      </c>
      <c r="BN808" t="inlineStr">
        <is>
          <t>View Jobmanager Page</t>
        </is>
      </c>
      <c r="BO808" s="4">
        <v>44981.39686342593</v>
      </c>
      <c r="BP808">
        <v>168191</v>
      </c>
      <c r="BQ808">
        <v>55074</v>
      </c>
      <c r="BR808" t="inlineStr">
        <is>
          <t>Online</t>
        </is>
      </c>
      <c r="BS808"/>
      <c r="BT808">
        <v>55074</v>
      </c>
      <c r="BU808"/>
      <c r="BV808">
        <v>2735451</v>
      </c>
      <c r="BW808" t="inlineStr">
        <is>
          <t>Follow Up : Lost - Free Portal</t>
        </is>
      </c>
      <c r="BX808"/>
      <c r="BY808"/>
      <c r="BZ808" s="4"/>
      <c r="CA808"/>
      <c r="CB808"/>
      <c r="CC808" s="4"/>
      <c r="CD808" t="inlineStr">
        <is>
          <t>20</t>
        </is>
      </c>
      <c r="CE808" t="inlineStr">
        <is>
          <t>0</t>
        </is>
      </c>
      <c r="CF808" t="inlineStr">
        <is>
          <t>Q2-W03</t>
        </is>
      </c>
      <c r="CG808"/>
      <c r="CH808"/>
      <c r="CI808"/>
      <c r="CJ808" t="inlineStr">
        <is>
          <t>Paid</t>
        </is>
      </c>
      <c r="CK808" t="inlineStr">
        <is>
          <t>Not Eligible</t>
        </is>
      </c>
      <c r="CL808"/>
      <c r="CM808"/>
    </row>
    <row r="809" ht="25.5" customHeight="1">
      <c r="A809" t="inlineStr">
        <is>
          <t>4312478</t>
        </is>
      </c>
      <c r="B809" s="2"/>
      <c r="C809"/>
      <c r="D809" s="3">
        <v>46134.41947916667</v>
      </c>
      <c r="E809" t="inlineStr">
        <is>
          <t>Q2-W03</t>
        </is>
      </c>
      <c r="F809" t="inlineStr">
        <is>
          <t>Luqman</t>
        </is>
      </c>
      <c r="G809" t="inlineStr">
        <is>
          <t>Lead</t>
        </is>
      </c>
      <c r="H809" s="2" t="str">
        <f>=HYPERLINK("https://upbox.ajobthing.my/leads/4312478", "https://upbox.ajobthing.my/leads/4312478")</f>
        <v>https://upbox.ajobthing.my/leads/4312478</v>
      </c>
      <c r="I809" t="inlineStr">
        <is>
          <t>Restoran Kapitan sdn bhd</t>
        </is>
      </c>
      <c r="J809" t="inlineStr">
        <is>
          <t>Dolphin</t>
        </is>
      </c>
      <c r="K809" t="inlineStr">
        <is>
          <t>Luqman</t>
        </is>
      </c>
      <c r="L809" s="4"/>
      <c r="M809" s="4">
        <v>46134.425729166665</v>
      </c>
      <c r="N809"/>
      <c r="O809">
        <v>11448</v>
      </c>
      <c r="P809" s="4"/>
      <c r="Q809" s="4"/>
      <c r="R809"/>
      <c r="S809"/>
      <c r="T809" s="4"/>
      <c r="U809" s="4"/>
      <c r="V809"/>
      <c r="W809"/>
      <c r="X809"/>
      <c r="Y809" t="inlineStr">
        <is>
          <t>Pending Appointment</t>
        </is>
      </c>
      <c r="Z809" t="inlineStr">
        <is>
          <t>Hiring Now</t>
        </is>
      </c>
      <c r="AA809">
        <v>1</v>
      </c>
      <c r="AB809" t="inlineStr">
        <is>
          <t>No Appointment Made</t>
        </is>
      </c>
      <c r="AC809"/>
      <c r="AD809" t="inlineStr">
        <is>
          <t xml:space="preserve">1. Service Crew </t>
        </is>
      </c>
      <c r="AE809"/>
      <c r="AF809">
        <v>3600</v>
      </c>
      <c r="AG809" s="4"/>
      <c r="AH809" s="4"/>
      <c r="AI809">
        <v>3600</v>
      </c>
      <c r="AJ809"/>
      <c r="AK809" t="inlineStr">
        <is>
          <t>No, I don't need at all</t>
        </is>
      </c>
      <c r="AL809">
        <v>2</v>
      </c>
      <c r="AM809" t="inlineStr">
        <is>
          <t>No, I don't need at all</t>
        </is>
      </c>
      <c r="AN809"/>
      <c r="AO809" t="inlineStr">
        <is>
          <t>No, I don't need at all</t>
        </is>
      </c>
      <c r="AP809" t="inlineStr">
        <is>
          <t>Once a year (25%)</t>
        </is>
      </c>
      <c r="AQ809">
        <v>10</v>
      </c>
      <c r="AR809" t="inlineStr">
        <is>
          <t>Free Job Portal</t>
        </is>
      </c>
      <c r="AS809" t="inlineStr">
        <is>
          <t>- Headcount: 1
- Hiring Job Details: 1 Service Crew
- Hiring Urgency: Hiring Now
- Number of outlets: Not provided
- Have recruiter team: No, I don't need at all
- Number of recruiter in company: 2
- Have ATS system: No, I don't need at all
- Have career website: No, I don't need at all
- Current hiring budget: RM3,600
- Whole year budget: RM3,600.00
- Whole year number of vacancies: 10
- Hiring frequency: Once a year (25%)
- External job portal: Free Job Portal</t>
        </is>
      </c>
      <c r="AT809">
        <v>105</v>
      </c>
      <c r="AU809" t="inlineStr">
        <is>
          <t>1.05</t>
        </is>
      </c>
      <c r="AV809" t="inlineStr">
        <is>
          <t>15</t>
        </is>
      </c>
      <c r="AW809" t="inlineStr">
        <is>
          <t>0</t>
        </is>
      </c>
      <c r="AX809" t="inlineStr">
        <is>
          <t>Not Qualified</t>
        </is>
      </c>
      <c r="AY809" s="4"/>
      <c r="AZ809"/>
      <c r="BA809"/>
      <c r="BB809"/>
      <c r="BC809"/>
      <c r="BD809" s="4"/>
      <c r="BE809"/>
      <c r="BF809"/>
      <c r="BG809" t="inlineStr">
        <is>
          <t>Reschedule</t>
        </is>
      </c>
      <c r="BH809" t="inlineStr">
        <is>
          <t>Edward Hoo</t>
        </is>
      </c>
      <c r="BI809"/>
      <c r="BJ809" s="4">
        <v>46144.755902777775</v>
      </c>
      <c r="BK809" s="4">
        <v>46134.410787037035</v>
      </c>
      <c r="BL809" t="inlineStr">
        <is>
          <t>0.0</t>
        </is>
      </c>
      <c r="BM809" t="inlineStr">
        <is>
          <t>600.0</t>
        </is>
      </c>
      <c r="BN809"/>
      <c r="BO809" s="4"/>
      <c r="BP809">
        <v>168198</v>
      </c>
      <c r="BQ809"/>
      <c r="BR809"/>
      <c r="BS809"/>
      <c r="BT809"/>
      <c r="BU809"/>
      <c r="BV809"/>
      <c r="BW809"/>
      <c r="BX809"/>
      <c r="BY809"/>
      <c r="BZ809" s="4"/>
      <c r="CA809"/>
      <c r="CB809"/>
      <c r="CC809" s="4"/>
      <c r="CD809" t="inlineStr">
        <is>
          <t>20</t>
        </is>
      </c>
      <c r="CE809" t="inlineStr">
        <is>
          <t>0</t>
        </is>
      </c>
      <c r="CF809" t="inlineStr">
        <is>
          <t>Q2-W03</t>
        </is>
      </c>
      <c r="CG809"/>
      <c r="CH809"/>
      <c r="CI809"/>
      <c r="CJ809" t="inlineStr">
        <is>
          <t>No Paid</t>
        </is>
      </c>
      <c r="CK809" t="inlineStr">
        <is>
          <t>Not Eligible</t>
        </is>
      </c>
      <c r="CL809"/>
      <c r="CM809"/>
    </row>
    <row r="810" ht="25.5" customHeight="1">
      <c r="A810" t="inlineStr">
        <is>
          <t>203516</t>
        </is>
      </c>
      <c r="B810" s="2"/>
      <c r="C810"/>
      <c r="D810" s="3">
        <v>46134.43079861111</v>
      </c>
      <c r="E810" t="inlineStr">
        <is>
          <t>Q2-W03</t>
        </is>
      </c>
      <c r="F810" t="inlineStr">
        <is>
          <t>Clover</t>
        </is>
      </c>
      <c r="G810" t="inlineStr">
        <is>
          <t>Customer</t>
        </is>
      </c>
      <c r="H810" s="2" t="str">
        <f>=HYPERLINK("https://upbox.ajobthing.my/customer/203516", "https://upbox.ajobthing.my/customer/203516")</f>
        <v>https://upbox.ajobthing.my/customer/203516</v>
      </c>
      <c r="I810" t="inlineStr">
        <is>
          <t>Lumira Hotels &amp; Resort International Sdn Bhd</t>
        </is>
      </c>
      <c r="J810" t="inlineStr">
        <is>
          <t>Dolphin</t>
        </is>
      </c>
      <c r="K810" t="inlineStr">
        <is>
          <t>Clover</t>
        </is>
      </c>
      <c r="L810" s="4"/>
      <c r="M810" s="4">
        <v>46134.431076388886</v>
      </c>
      <c r="N810"/>
      <c r="O810">
        <v>6048</v>
      </c>
      <c r="P810" s="4"/>
      <c r="Q810" s="4"/>
      <c r="R810"/>
      <c r="S810"/>
      <c r="T810" s="4"/>
      <c r="U810" s="4"/>
      <c r="V810"/>
      <c r="W810"/>
      <c r="X810"/>
      <c r="Y810" t="inlineStr">
        <is>
          <t>Pending Appointment</t>
        </is>
      </c>
      <c r="Z810" t="inlineStr">
        <is>
          <t>Hiring Now</t>
        </is>
      </c>
      <c r="AA810">
        <v>1</v>
      </c>
      <c r="AB810" t="inlineStr">
        <is>
          <t>No Appointment Made</t>
        </is>
      </c>
      <c r="AC810"/>
      <c r="AD810" t="inlineStr">
        <is>
          <t>Hire general managerx1, all races, min 5 years exp,  after sept hiring, new hotel sarawak, start opening june, try linked in get 90 resumes, suggest pro</t>
        </is>
      </c>
      <c r="AE810"/>
      <c r="AF810">
        <v>5000</v>
      </c>
      <c r="AG810" s="4"/>
      <c r="AH810" s="4"/>
      <c r="AI810">
        <v>5000</v>
      </c>
      <c r="AJ810">
        <v>1</v>
      </c>
      <c r="AK810" t="inlineStr">
        <is>
          <t>No, but I want in future</t>
        </is>
      </c>
      <c r="AL810">
        <v>1</v>
      </c>
      <c r="AM810" t="inlineStr">
        <is>
          <t>No, but I want in future</t>
        </is>
      </c>
      <c r="AN810"/>
      <c r="AO810" t="inlineStr">
        <is>
          <t>No, but I want in future</t>
        </is>
      </c>
      <c r="AP810" t="inlineStr">
        <is>
          <t>Twice a year (50%)</t>
        </is>
      </c>
      <c r="AQ810">
        <v>2</v>
      </c>
      <c r="AR810" t="inlineStr">
        <is>
          <t>Linkedin (Paid)</t>
        </is>
      </c>
      <c r="AS810" t="inlineStr">
        <is>
          <t>- Headcount: 1
- Hiring Job Details: 1 general manager (all races, min 5 years exp, post-sept hiring, new Sarawak hotel, June opening; target 90 resumes via LinkedIn,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Linkedin (Paid)</t>
        </is>
      </c>
      <c r="AT810">
        <v>110</v>
      </c>
      <c r="AU810" t="inlineStr">
        <is>
          <t>1.10</t>
        </is>
      </c>
      <c r="AV810" t="inlineStr">
        <is>
          <t>15</t>
        </is>
      </c>
      <c r="AW810" t="inlineStr">
        <is>
          <t>0</t>
        </is>
      </c>
      <c r="AX810" t="inlineStr">
        <is>
          <t>Not Qualified</t>
        </is>
      </c>
      <c r="AY810" s="4"/>
      <c r="AZ810"/>
      <c r="BA810"/>
      <c r="BB810"/>
      <c r="BC810" t="inlineStr">
        <is>
          <t>On hold first, start hiring on sept 2026</t>
        </is>
      </c>
      <c r="BD810" s="4">
        <v>46136.65105324074</v>
      </c>
      <c r="BE810"/>
      <c r="BF810"/>
      <c r="BG810" t="inlineStr">
        <is>
          <t>Reschedule</t>
        </is>
      </c>
      <c r="BH810" t="inlineStr">
        <is>
          <t>Reagen</t>
        </is>
      </c>
      <c r="BI810"/>
      <c r="BJ810" s="4">
        <v>46144.754328703704</v>
      </c>
      <c r="BK810" s="4">
        <v>46134.42202546296</v>
      </c>
      <c r="BL810" t="inlineStr">
        <is>
          <t>0.0</t>
        </is>
      </c>
      <c r="BM810" t="inlineStr">
        <is>
          <t>0.0</t>
        </is>
      </c>
      <c r="BN810"/>
      <c r="BO810" s="4"/>
      <c r="BP810">
        <v>168205</v>
      </c>
      <c r="BQ810"/>
      <c r="BR810"/>
      <c r="BS810"/>
      <c r="BT810"/>
      <c r="BU810"/>
      <c r="BV810">
        <v>2726802</v>
      </c>
      <c r="BW810" t="inlineStr">
        <is>
          <t>Follow Up : Lost - Free Portal</t>
        </is>
      </c>
      <c r="BX810"/>
      <c r="BY810"/>
      <c r="BZ810" s="4"/>
      <c r="CA810"/>
      <c r="CB810"/>
      <c r="CC810" s="4"/>
      <c r="CD810" t="inlineStr">
        <is>
          <t>20</t>
        </is>
      </c>
      <c r="CE810" t="inlineStr">
        <is>
          <t>0</t>
        </is>
      </c>
      <c r="CF810" t="inlineStr">
        <is>
          <t>Q2-W03</t>
        </is>
      </c>
      <c r="CG810"/>
      <c r="CH810"/>
      <c r="CI810"/>
      <c r="CJ810" t="inlineStr">
        <is>
          <t>No Paid</t>
        </is>
      </c>
      <c r="CK810" t="inlineStr">
        <is>
          <t>Not Eligible</t>
        </is>
      </c>
      <c r="CL810"/>
      <c r="CM810"/>
    </row>
    <row r="811" ht="25.5" customHeight="1">
      <c r="A811" t="inlineStr">
        <is>
          <t>129930</t>
        </is>
      </c>
      <c r="B811" s="2"/>
      <c r="C811"/>
      <c r="D811" s="3">
        <v>46134.43273148148</v>
      </c>
      <c r="E811" t="inlineStr">
        <is>
          <t>Q2-W03</t>
        </is>
      </c>
      <c r="F811" t="inlineStr">
        <is>
          <t>Evan</t>
        </is>
      </c>
      <c r="G811" t="inlineStr">
        <is>
          <t>Customer</t>
        </is>
      </c>
      <c r="H811" s="2" t="str">
        <f>=HYPERLINK("https://upbox.ajobthing.my/customer/129930", "https://upbox.ajobthing.my/customer/129930")</f>
        <v>https://upbox.ajobthing.my/customer/129930</v>
      </c>
      <c r="I811" t="inlineStr">
        <is>
          <t>Zarl-Man Engineering Sdn Bhd</t>
        </is>
      </c>
      <c r="J811" t="inlineStr">
        <is>
          <t>Dolphin</t>
        </is>
      </c>
      <c r="K811" t="inlineStr">
        <is>
          <t>Evan</t>
        </is>
      </c>
      <c r="L811" s="4"/>
      <c r="M811" s="4">
        <v>46134.43133101852</v>
      </c>
      <c r="N811"/>
      <c r="O811">
        <v>3888</v>
      </c>
      <c r="P811" s="4"/>
      <c r="Q811" s="4"/>
      <c r="R811"/>
      <c r="S811"/>
      <c r="T811" s="4"/>
      <c r="U811" s="4"/>
      <c r="V811"/>
      <c r="W811"/>
      <c r="X811"/>
      <c r="Y811" t="inlineStr">
        <is>
          <t>Pending Appointment</t>
        </is>
      </c>
      <c r="Z811" t="inlineStr">
        <is>
          <t>Hiring Now</t>
        </is>
      </c>
      <c r="AA811">
        <v>3</v>
      </c>
      <c r="AB811" t="inlineStr">
        <is>
          <t>No Appointment Made</t>
        </is>
      </c>
      <c r="AC811"/>
      <c r="AD811" t="inlineStr">
        <is>
          <t>1 admin, 2 technician, all base in KL</t>
        </is>
      </c>
      <c r="AE811"/>
      <c r="AF811">
        <v>1</v>
      </c>
      <c r="AG811" s="4"/>
      <c r="AH811" s="4"/>
      <c r="AI811">
        <v>1</v>
      </c>
      <c r="AJ811">
        <v>1</v>
      </c>
      <c r="AK811" t="inlineStr">
        <is>
          <t>Yes, I have</t>
        </is>
      </c>
      <c r="AL811">
        <v>1</v>
      </c>
      <c r="AM811" t="inlineStr">
        <is>
          <t>No, I don't need at all</t>
        </is>
      </c>
      <c r="AN811"/>
      <c r="AO811" t="inlineStr">
        <is>
          <t>No, I don't need at all</t>
        </is>
      </c>
      <c r="AP811" t="inlineStr">
        <is>
          <t>Once a year (25%)</t>
        </is>
      </c>
      <c r="AQ811">
        <v>3</v>
      </c>
      <c r="AR811" t="inlineStr">
        <is>
          <t>Did not use any job portal</t>
        </is>
      </c>
      <c r="AS811" t="inlineStr">
        <is>
          <t>- Headcount: 3
- Hiring Job Details: 1 admin, 2 technician (all base in KL)
- Hiring Urgency: Hiring Now
- Number of outlets: 1
- Have recruiter team: Yes
- Number of recruiter in company: 1
- Have ATS system: No, I don't need at all
- Have career website: No, I don't need at all
- Current hiring budget: RM1
- Whole year budget: RM1.00
- Whole year number of vacancies: 3
- Hiring frequency: Once a year (25%)
- External job portal: Did not use any job portal</t>
        </is>
      </c>
      <c r="AT811">
        <v>110</v>
      </c>
      <c r="AU811" t="inlineStr">
        <is>
          <t>1.10</t>
        </is>
      </c>
      <c r="AV811" t="inlineStr">
        <is>
          <t>15</t>
        </is>
      </c>
      <c r="AW811" t="inlineStr">
        <is>
          <t>0</t>
        </is>
      </c>
      <c r="AX811" t="inlineStr">
        <is>
          <t>Not Qualified</t>
        </is>
      </c>
      <c r="AY811" s="4"/>
      <c r="AZ811"/>
      <c r="BA811"/>
      <c r="BB811"/>
      <c r="BC811" t="inlineStr">
        <is>
          <t>- Headcount: 3
- Hiring Job Details: 1 admin, 2 technician (all base in KL)
- Hiring Urgency: Hiring Now
- Number of outlets: 1
- Have recruiter team: Yes
- Number of recruiter in company: 1
- Have ATS system: No, I don't need at all
- Have career website: No, I don't need at all
- Current hiring budget: RM1
- Whole year budget: RM1.00
- Whole year number of vacancies: 3
- Hiring frequency: Once a year (25%)
- External job portal: Did not use any job portal</t>
        </is>
      </c>
      <c r="BD811" s="4">
        <v>46134.45835648148</v>
      </c>
      <c r="BE811"/>
      <c r="BF811"/>
      <c r="BG811" t="inlineStr">
        <is>
          <t>Reschedule</t>
        </is>
      </c>
      <c r="BH811" t="inlineStr">
        <is>
          <t>Edward Hoo</t>
        </is>
      </c>
      <c r="BI811"/>
      <c r="BJ811" s="4">
        <v>46144.750451388885</v>
      </c>
      <c r="BK811" s="4">
        <v>44089.705925925926</v>
      </c>
      <c r="BL811" t="inlineStr">
        <is>
          <t>0.0</t>
        </is>
      </c>
      <c r="BM811" t="inlineStr">
        <is>
          <t>0.0</t>
        </is>
      </c>
      <c r="BN811"/>
      <c r="BO811" s="4"/>
      <c r="BP811">
        <v>168206</v>
      </c>
      <c r="BQ811"/>
      <c r="BR811"/>
      <c r="BS811"/>
      <c r="BT811"/>
      <c r="BU811"/>
      <c r="BV811">
        <v>2719873</v>
      </c>
      <c r="BW811" t="inlineStr">
        <is>
          <t>Customer Inquiry</t>
        </is>
      </c>
      <c r="BX811"/>
      <c r="BY811"/>
      <c r="BZ811" s="4"/>
      <c r="CA811"/>
      <c r="CB811"/>
      <c r="CC811" s="4"/>
      <c r="CD811" t="inlineStr">
        <is>
          <t>20</t>
        </is>
      </c>
      <c r="CE811" t="inlineStr">
        <is>
          <t>0</t>
        </is>
      </c>
      <c r="CF811" t="inlineStr">
        <is>
          <t>Q2-W03</t>
        </is>
      </c>
      <c r="CG811"/>
      <c r="CH811"/>
      <c r="CI811"/>
      <c r="CJ811" t="inlineStr">
        <is>
          <t>No Paid</t>
        </is>
      </c>
      <c r="CK811" t="inlineStr">
        <is>
          <t>Not Eligible</t>
        </is>
      </c>
      <c r="CL811"/>
      <c r="CM811"/>
    </row>
    <row r="812" ht="25.5" customHeight="1">
      <c r="A812" t="inlineStr">
        <is>
          <t>39572</t>
        </is>
      </c>
      <c r="B812" s="2"/>
      <c r="C812"/>
      <c r="D812" s="3">
        <v>46134.43693287037</v>
      </c>
      <c r="E812" t="inlineStr">
        <is>
          <t>Q2-W03</t>
        </is>
      </c>
      <c r="F812" t="inlineStr">
        <is>
          <t>Angel  Low</t>
        </is>
      </c>
      <c r="G812" t="inlineStr">
        <is>
          <t>Customer</t>
        </is>
      </c>
      <c r="H812" s="2" t="str">
        <f>=HYPERLINK("https://upbox.ajobthing.my/customer/39572", "https://upbox.ajobthing.my/customer/39572")</f>
        <v>https://upbox.ajobthing.my/customer/39572</v>
      </c>
      <c r="I812" t="inlineStr">
        <is>
          <t>Securecam Technologies Sdn Bhd</t>
        </is>
      </c>
      <c r="J812" t="inlineStr">
        <is>
          <t>Dolphin</t>
        </is>
      </c>
      <c r="K812" t="inlineStr">
        <is>
          <t>Angel Low</t>
        </is>
      </c>
      <c r="L812" s="4"/>
      <c r="M812" s="4">
        <v>46134.437210648146</v>
      </c>
      <c r="N812"/>
      <c r="O812">
        <v>3672</v>
      </c>
      <c r="P812" s="4"/>
      <c r="Q812" s="4">
        <v>45595.486712962964</v>
      </c>
      <c r="R812"/>
      <c r="S812">
        <v>2916</v>
      </c>
      <c r="T812" s="4">
        <v>45595.486712962964</v>
      </c>
      <c r="U812" s="4"/>
      <c r="V812"/>
      <c r="W812">
        <v>2916</v>
      </c>
      <c r="X812"/>
      <c r="Y812" t="inlineStr">
        <is>
          <t>Pending Appointment</t>
        </is>
      </c>
      <c r="Z812"/>
      <c r="AA812">
        <v>1</v>
      </c>
      <c r="AB812" t="inlineStr">
        <is>
          <t>No Appointment Made</t>
        </is>
      </c>
      <c r="AC812"/>
      <c r="AD812" t="inlineStr">
        <is>
          <t xml:space="preserve">1 technician </t>
        </is>
      </c>
      <c r="AE812"/>
      <c r="AF812"/>
      <c r="AG812" s="4"/>
      <c r="AH812" s="4"/>
      <c r="AI812"/>
      <c r="AJ812"/>
      <c r="AK812"/>
      <c r="AL812"/>
      <c r="AM812"/>
      <c r="AN812"/>
      <c r="AO812"/>
      <c r="AP812"/>
      <c r="AQ812"/>
      <c r="AR812"/>
      <c r="AS812" t="inlineStr">
        <is>
          <t>- Headcount: 1
- Hiring Job Details: 1 technician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812">
        <v>60</v>
      </c>
      <c r="AU812" t="inlineStr">
        <is>
          <t>0.60</t>
        </is>
      </c>
      <c r="AV812" t="inlineStr">
        <is>
          <t>5</t>
        </is>
      </c>
      <c r="AW812" t="inlineStr">
        <is>
          <t>0</t>
        </is>
      </c>
      <c r="AX812" t="inlineStr">
        <is>
          <t>Not Qualified</t>
        </is>
      </c>
      <c r="AY812" s="4"/>
      <c r="AZ812"/>
      <c r="BA812"/>
      <c r="BB812"/>
      <c r="BC812" t="inlineStr">
        <is>
          <t>pending</t>
        </is>
      </c>
      <c r="BD812" s="4">
        <v>46140.56570601852</v>
      </c>
      <c r="BE812" t="inlineStr">
        <is>
          <t>paid</t>
        </is>
      </c>
      <c r="BF812"/>
      <c r="BG812" t="inlineStr">
        <is>
          <t>Reschedule</t>
        </is>
      </c>
      <c r="BH812" t="inlineStr">
        <is>
          <t>Fauziah Maharan</t>
        </is>
      </c>
      <c r="BI812" t="inlineStr">
        <is>
          <t>Electrical / Electronics</t>
        </is>
      </c>
      <c r="BJ812" s="4">
        <v>46144.75509259259</v>
      </c>
      <c r="BK812" s="4">
        <v>42929.909837962965</v>
      </c>
      <c r="BL812" t="inlineStr">
        <is>
          <t>0.0</t>
        </is>
      </c>
      <c r="BM812" t="inlineStr">
        <is>
          <t>0.0</t>
        </is>
      </c>
      <c r="BN812" t="inlineStr">
        <is>
          <t>View Company Page</t>
        </is>
      </c>
      <c r="BO812" s="4">
        <v>46140.58064814815</v>
      </c>
      <c r="BP812">
        <v>168209</v>
      </c>
      <c r="BQ812">
        <v>74249</v>
      </c>
      <c r="BR812" t="inlineStr">
        <is>
          <t>Online</t>
        </is>
      </c>
      <c r="BS812"/>
      <c r="BT812">
        <v>74249</v>
      </c>
      <c r="BU812"/>
      <c r="BV812">
        <v>2732574</v>
      </c>
      <c r="BW812" t="inlineStr">
        <is>
          <t>Follow Up : Budget Concern</t>
        </is>
      </c>
      <c r="BX812"/>
      <c r="BY812"/>
      <c r="BZ812" s="4"/>
      <c r="CA812"/>
      <c r="CB812"/>
      <c r="CC812" s="4"/>
      <c r="CD812" t="inlineStr">
        <is>
          <t>5</t>
        </is>
      </c>
      <c r="CE812" t="inlineStr">
        <is>
          <t>0</t>
        </is>
      </c>
      <c r="CF812" t="inlineStr">
        <is>
          <t>Q2-W03</t>
        </is>
      </c>
      <c r="CG812"/>
      <c r="CH812"/>
      <c r="CI812"/>
      <c r="CJ812" t="inlineStr">
        <is>
          <t>Paid</t>
        </is>
      </c>
      <c r="CK812" t="inlineStr">
        <is>
          <t>Not Eligible</t>
        </is>
      </c>
      <c r="CL812"/>
      <c r="CM812"/>
    </row>
    <row r="813" ht="25.5" customHeight="1">
      <c r="A813" t="inlineStr">
        <is>
          <t>162357</t>
        </is>
      </c>
      <c r="B813" s="2"/>
      <c r="C813"/>
      <c r="D813" s="3">
        <v>46134.44283564815</v>
      </c>
      <c r="E813" t="inlineStr">
        <is>
          <t>Q2-W03</t>
        </is>
      </c>
      <c r="F813" t="inlineStr">
        <is>
          <t>Luqman</t>
        </is>
      </c>
      <c r="G813" t="inlineStr">
        <is>
          <t>Customer</t>
        </is>
      </c>
      <c r="H813" s="2" t="str">
        <f>=HYPERLINK("https://upbox.ajobthing.my/customer/162357", "https://upbox.ajobthing.my/customer/162357")</f>
        <v>https://upbox.ajobthing.my/customer/162357</v>
      </c>
      <c r="I813" t="inlineStr">
        <is>
          <t>Hoe Li Motor Trading (M) Sdn Bhd</t>
        </is>
      </c>
      <c r="J813" t="inlineStr">
        <is>
          <t>Dolphin</t>
        </is>
      </c>
      <c r="K813" t="inlineStr">
        <is>
          <t>Luqman</t>
        </is>
      </c>
      <c r="L813" s="4"/>
      <c r="M813" s="4">
        <v>46134.443344907406</v>
      </c>
      <c r="N813"/>
      <c r="O813">
        <v>6048</v>
      </c>
      <c r="P813" s="4"/>
      <c r="Q813" s="4">
        <v>44890.439421296294</v>
      </c>
      <c r="R813"/>
      <c r="S813">
        <v>636</v>
      </c>
      <c r="T813" s="4">
        <v>44890.439421296294</v>
      </c>
      <c r="U813" s="4"/>
      <c r="V813"/>
      <c r="W813">
        <v>636</v>
      </c>
      <c r="X813"/>
      <c r="Y813" t="inlineStr">
        <is>
          <t>Pending Appointment</t>
        </is>
      </c>
      <c r="Z813" t="inlineStr">
        <is>
          <t>Hiring Later</t>
        </is>
      </c>
      <c r="AA813">
        <v>1</v>
      </c>
      <c r="AB813" t="inlineStr">
        <is>
          <t>No Appointment Made</t>
        </is>
      </c>
      <c r="AC813"/>
      <c r="AD813" t="inlineStr">
        <is>
          <t xml:space="preserve">1. Sales Executive </t>
        </is>
      </c>
      <c r="AE813"/>
      <c r="AF813">
        <v>1200</v>
      </c>
      <c r="AG813" s="4"/>
      <c r="AH813" s="4"/>
      <c r="AI813">
        <v>1200</v>
      </c>
      <c r="AJ813"/>
      <c r="AK813" t="inlineStr">
        <is>
          <t>Yes, I have</t>
        </is>
      </c>
      <c r="AL813">
        <v>2</v>
      </c>
      <c r="AM813" t="inlineStr">
        <is>
          <t>No, I don't need at all</t>
        </is>
      </c>
      <c r="AN813"/>
      <c r="AO813" t="inlineStr">
        <is>
          <t>No, I don't need at all</t>
        </is>
      </c>
      <c r="AP813" t="inlineStr">
        <is>
          <t>Once a year (25%)</t>
        </is>
      </c>
      <c r="AQ813">
        <v>2</v>
      </c>
      <c r="AR813" t="inlineStr">
        <is>
          <t>Free Job Portal</t>
        </is>
      </c>
      <c r="AS813" t="inlineStr">
        <is>
          <t>- Headcount: 1
- Hiring Job Details: 1 Sales Executive
- Hiring Urgency: Hiring Later
- Number of outlets: Not provided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is>
      </c>
      <c r="AT813">
        <v>110</v>
      </c>
      <c r="AU813" t="inlineStr">
        <is>
          <t>1.10</t>
        </is>
      </c>
      <c r="AV813" t="inlineStr">
        <is>
          <t>15</t>
        </is>
      </c>
      <c r="AW813" t="inlineStr">
        <is>
          <t>0</t>
        </is>
      </c>
      <c r="AX813" t="inlineStr">
        <is>
          <t>Not Qualified</t>
        </is>
      </c>
      <c r="AY813" s="4"/>
      <c r="AZ813"/>
      <c r="BA813"/>
      <c r="BB813"/>
      <c r="BC813" t="inlineStr">
        <is>
          <t>- Headcount: 1
- Hiring Job Details: 1 Sales Executive
- Hiring Urgency: Hiring Later
- Number of outlets: Not provided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is>
      </c>
      <c r="BD813" s="4">
        <v>46134.45835648148</v>
      </c>
      <c r="BE813" t="inlineStr">
        <is>
          <t>paid</t>
        </is>
      </c>
      <c r="BF813"/>
      <c r="BG813" t="inlineStr">
        <is>
          <t>Reschedule</t>
        </is>
      </c>
      <c r="BH813" t="inlineStr">
        <is>
          <t>Edward Hoo</t>
        </is>
      </c>
      <c r="BI813" t="inlineStr">
        <is>
          <t>General / Wholesale Trading</t>
        </is>
      </c>
      <c r="BJ813" s="4">
        <v>46144.75115740741</v>
      </c>
      <c r="BK813" s="4">
        <v>44888.70364583333</v>
      </c>
      <c r="BL813" t="inlineStr">
        <is>
          <t>0.0</t>
        </is>
      </c>
      <c r="BM813" t="inlineStr">
        <is>
          <t>1200.0</t>
        </is>
      </c>
      <c r="BN813" t="inlineStr">
        <is>
          <t>View Applicant Page</t>
        </is>
      </c>
      <c r="BO813" s="4">
        <v>44953.36890046296</v>
      </c>
      <c r="BP813">
        <v>168215</v>
      </c>
      <c r="BQ813">
        <v>53018</v>
      </c>
      <c r="BR813" t="inlineStr">
        <is>
          <t>Online</t>
        </is>
      </c>
      <c r="BS813"/>
      <c r="BT813">
        <v>53018</v>
      </c>
      <c r="BU813"/>
      <c r="BV813">
        <v>2719878</v>
      </c>
      <c r="BW813" t="inlineStr">
        <is>
          <t>Customer Inquiry</t>
        </is>
      </c>
      <c r="BX813"/>
      <c r="BY813"/>
      <c r="BZ813" s="4"/>
      <c r="CA813"/>
      <c r="CB813"/>
      <c r="CC813" s="4"/>
      <c r="CD813" t="inlineStr">
        <is>
          <t>20</t>
        </is>
      </c>
      <c r="CE813" t="inlineStr">
        <is>
          <t>0</t>
        </is>
      </c>
      <c r="CF813" t="inlineStr">
        <is>
          <t>Q2-W03</t>
        </is>
      </c>
      <c r="CG813"/>
      <c r="CH813"/>
      <c r="CI813"/>
      <c r="CJ813" t="inlineStr">
        <is>
          <t>Paid</t>
        </is>
      </c>
      <c r="CK813" t="inlineStr">
        <is>
          <t>Not Eligible</t>
        </is>
      </c>
      <c r="CL813"/>
      <c r="CM813"/>
    </row>
    <row r="814" ht="25.5" customHeight="1">
      <c r="A814" t="inlineStr">
        <is>
          <t>156634</t>
        </is>
      </c>
      <c r="B814" s="2"/>
      <c r="C814"/>
      <c r="D814" s="3">
        <v>46134.442974537036</v>
      </c>
      <c r="E814" t="inlineStr">
        <is>
          <t>Q2-W03</t>
        </is>
      </c>
      <c r="F814" t="inlineStr">
        <is>
          <t>Dickson</t>
        </is>
      </c>
      <c r="G814" t="inlineStr">
        <is>
          <t>Customer</t>
        </is>
      </c>
      <c r="H814" s="2" t="str">
        <f>=HYPERLINK("https://upbox.ajobthing.my/customer/156634", "https://upbox.ajobthing.my/customer/156634")</f>
        <v>https://upbox.ajobthing.my/customer/156634</v>
      </c>
      <c r="I814" t="inlineStr">
        <is>
          <t>CR Logistics Sdn Bhd</t>
        </is>
      </c>
      <c r="J814" t="inlineStr">
        <is>
          <t>Dolphin</t>
        </is>
      </c>
      <c r="K814" t="inlineStr">
        <is>
          <t>Dickson</t>
        </is>
      </c>
      <c r="L814" s="4"/>
      <c r="M814" s="4">
        <v>46134.44306712963</v>
      </c>
      <c r="N814"/>
      <c r="O814">
        <v>3888</v>
      </c>
      <c r="P814" s="4"/>
      <c r="Q814" s="4">
        <v>46140.588425925926</v>
      </c>
      <c r="R814"/>
      <c r="S814">
        <v>3672</v>
      </c>
      <c r="T814" s="4">
        <v>46140.588425925926</v>
      </c>
      <c r="U814" s="4"/>
      <c r="V814"/>
      <c r="W814">
        <v>3672</v>
      </c>
      <c r="X814"/>
      <c r="Y814" t="inlineStr">
        <is>
          <t>Pending Appointment</t>
        </is>
      </c>
      <c r="Z814" t="inlineStr">
        <is>
          <t>Hiring Now</t>
        </is>
      </c>
      <c r="AA814">
        <v>2</v>
      </c>
      <c r="AB814" t="inlineStr">
        <is>
          <t>No Appointment Made</t>
        </is>
      </c>
      <c r="AC814"/>
      <c r="AD814" t="inlineStr">
        <is>
          <t>1 account cum admin, 1 operation executive</t>
        </is>
      </c>
      <c r="AE814"/>
      <c r="AF814"/>
      <c r="AG814" s="4"/>
      <c r="AH814" s="4"/>
      <c r="AI814"/>
      <c r="AJ814">
        <v>1</v>
      </c>
      <c r="AK814" t="inlineStr">
        <is>
          <t>No, I don't need at all</t>
        </is>
      </c>
      <c r="AL814"/>
      <c r="AM814" t="inlineStr">
        <is>
          <t>No, I don't need at all</t>
        </is>
      </c>
      <c r="AN814"/>
      <c r="AO814" t="inlineStr">
        <is>
          <t>No, I don't need at all</t>
        </is>
      </c>
      <c r="AP814" t="inlineStr">
        <is>
          <t>Once per quarter (75%)</t>
        </is>
      </c>
      <c r="AQ814"/>
      <c r="AR814"/>
      <c r="AS814" t="inlineStr">
        <is>
          <t>- Headcount: 2
- Hiring Job Details: 1 account cum admin, 1 operation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814">
        <v>95</v>
      </c>
      <c r="AU814" t="inlineStr">
        <is>
          <t>0.95</t>
        </is>
      </c>
      <c r="AV814" t="inlineStr">
        <is>
          <t>5</t>
        </is>
      </c>
      <c r="AW814" t="inlineStr">
        <is>
          <t>0</t>
        </is>
      </c>
      <c r="AX814" t="inlineStr">
        <is>
          <t>Not Qualified</t>
        </is>
      </c>
      <c r="AY814" s="4"/>
      <c r="AZ814"/>
      <c r="BA814"/>
      <c r="BB814"/>
      <c r="BC814" t="inlineStr">
        <is>
          <t>help to post job</t>
        </is>
      </c>
      <c r="BD814" s="4">
        <v>46140.60141203704</v>
      </c>
      <c r="BE814" t="inlineStr">
        <is>
          <t>paid</t>
        </is>
      </c>
      <c r="BF814" t="inlineStr">
        <is>
          <t>Q2-W04</t>
        </is>
      </c>
      <c r="BG814" t="inlineStr">
        <is>
          <t>Reschedule</t>
        </is>
      </c>
      <c r="BH814" t="inlineStr">
        <is>
          <t>Edward Hoo</t>
        </is>
      </c>
      <c r="BI814" t="inlineStr">
        <is>
          <t>Transportation / Logistics</t>
        </is>
      </c>
      <c r="BJ814" s="4">
        <v>46144.75099537037</v>
      </c>
      <c r="BK814" s="4">
        <v>44746.68100694445</v>
      </c>
      <c r="BL814" t="inlineStr">
        <is>
          <t>3672.0</t>
        </is>
      </c>
      <c r="BM814" t="inlineStr">
        <is>
          <t>0.0</t>
        </is>
      </c>
      <c r="BN814" t="inlineStr">
        <is>
          <t>View Company Page</t>
        </is>
      </c>
      <c r="BO814" s="4">
        <v>46142.57282407407</v>
      </c>
      <c r="BP814">
        <v>168213</v>
      </c>
      <c r="BQ814">
        <v>94956</v>
      </c>
      <c r="BR814" t="inlineStr">
        <is>
          <t>Online</t>
        </is>
      </c>
      <c r="BS814"/>
      <c r="BT814">
        <v>94956</v>
      </c>
      <c r="BU814"/>
      <c r="BV814">
        <v>2732766</v>
      </c>
      <c r="BW814" t="inlineStr">
        <is>
          <t>Service / Technical : Help To Post Job</t>
        </is>
      </c>
      <c r="BX814">
        <v>6</v>
      </c>
      <c r="BY814">
        <v>5</v>
      </c>
      <c r="BZ814" s="4">
        <v>46140.59715277778</v>
      </c>
      <c r="CA814">
        <v>60</v>
      </c>
      <c r="CB814">
        <v>59</v>
      </c>
      <c r="CC814" s="4">
        <v>46142.43319444444</v>
      </c>
      <c r="CD814" t="inlineStr">
        <is>
          <t>5</t>
        </is>
      </c>
      <c r="CE814" t="inlineStr">
        <is>
          <t>0</t>
        </is>
      </c>
      <c r="CF814" t="inlineStr">
        <is>
          <t>Q2-W03</t>
        </is>
      </c>
      <c r="CG814" t="inlineStr">
        <is>
          <t>Q2-W04</t>
        </is>
      </c>
      <c r="CH814" t="inlineStr">
        <is>
          <t>Q2-W04</t>
        </is>
      </c>
      <c r="CI814"/>
      <c r="CJ814" t="inlineStr">
        <is>
          <t>Paid</t>
        </is>
      </c>
      <c r="CK814" t="inlineStr">
        <is>
          <t>Not Eligible</t>
        </is>
      </c>
      <c r="CL814"/>
      <c r="CM814"/>
    </row>
    <row r="815" ht="25.5" customHeight="1">
      <c r="A815" t="inlineStr">
        <is>
          <t>192714</t>
        </is>
      </c>
      <c r="B815" s="2"/>
      <c r="C815"/>
      <c r="D815" s="3">
        <v>46134.44641203704</v>
      </c>
      <c r="E815" t="inlineStr">
        <is>
          <t>Q2-W03</t>
        </is>
      </c>
      <c r="F815" t="inlineStr">
        <is>
          <t>Jess</t>
        </is>
      </c>
      <c r="G815" t="inlineStr">
        <is>
          <t>Customer</t>
        </is>
      </c>
      <c r="H815" s="2" t="str">
        <f>=HYPERLINK("https://upbox.ajobthing.my/customer/192714", "https://upbox.ajobthing.my/customer/192714")</f>
        <v>https://upbox.ajobthing.my/customer/192714</v>
      </c>
      <c r="I815" t="inlineStr">
        <is>
          <t>Ikatan Hemat Sdn Bhd</t>
        </is>
      </c>
      <c r="J815" t="inlineStr">
        <is>
          <t>Dolphin</t>
        </is>
      </c>
      <c r="K815" t="inlineStr">
        <is>
          <t>Jess Lim</t>
        </is>
      </c>
      <c r="L815" s="4"/>
      <c r="M815" s="4">
        <v>46134.44732638889</v>
      </c>
      <c r="N815"/>
      <c r="O815">
        <v>3672</v>
      </c>
      <c r="P815" s="4"/>
      <c r="Q815" s="4">
        <v>46134.618483796294</v>
      </c>
      <c r="R815"/>
      <c r="S815">
        <v>0</v>
      </c>
      <c r="T815" s="4">
        <v>46134.61701388889</v>
      </c>
      <c r="U815" s="4"/>
      <c r="V815"/>
      <c r="W815">
        <v>864</v>
      </c>
      <c r="X815"/>
      <c r="Y815" t="inlineStr">
        <is>
          <t>Pending Appointment</t>
        </is>
      </c>
      <c r="Z815" t="inlineStr">
        <is>
          <t>Hiring Now</t>
        </is>
      </c>
      <c r="AA815">
        <v>1</v>
      </c>
      <c r="AB815" t="inlineStr">
        <is>
          <t>No Appointment Made</t>
        </is>
      </c>
      <c r="AC815"/>
      <c r="AD815" t="inlineStr">
        <is>
          <t>plantation</t>
        </is>
      </c>
      <c r="AE815"/>
      <c r="AF815">
        <v>800</v>
      </c>
      <c r="AG815" s="4"/>
      <c r="AH815" s="4"/>
      <c r="AI815"/>
      <c r="AJ815">
        <v>1</v>
      </c>
      <c r="AK815" t="inlineStr">
        <is>
          <t>No, I don't need at all</t>
        </is>
      </c>
      <c r="AL815">
        <v>1</v>
      </c>
      <c r="AM815" t="inlineStr">
        <is>
          <t>No, I don't need at all</t>
        </is>
      </c>
      <c r="AN815"/>
      <c r="AO815" t="inlineStr">
        <is>
          <t>No, I don't need at all</t>
        </is>
      </c>
      <c r="AP815" t="inlineStr">
        <is>
          <t>Once a year (25%)</t>
        </is>
      </c>
      <c r="AQ815"/>
      <c r="AR815" t="inlineStr">
        <is>
          <t>Jobstreet</t>
        </is>
      </c>
      <c r="AS815" t="inlineStr">
        <is>
          <t>- Headcount: 1
- Hiring Job Details: plantation
- Hiring Urgency: Hiring Now
- Number of outlets: 1
- Have recruiter team: No, I don't need at all
- Number of recruiter in company: 1
- Have ATS system: No, I don't need at all
- Have career website: No, I don't need at all
- Current hiring budget: RM800.00
- Whole year budget: 
- Whole year number of vacancies: 
- Hiring frequency: Once a year (25%)
- External job portal: Jobstreet</t>
        </is>
      </c>
      <c r="AT815">
        <v>85</v>
      </c>
      <c r="AU815" t="inlineStr">
        <is>
          <t>0.85</t>
        </is>
      </c>
      <c r="AV815" t="inlineStr">
        <is>
          <t>15</t>
        </is>
      </c>
      <c r="AW815" t="inlineStr">
        <is>
          <t>0</t>
        </is>
      </c>
      <c r="AX815" t="inlineStr">
        <is>
          <t>Not Qualified</t>
        </is>
      </c>
      <c r="AY815" s="4"/>
      <c r="AZ815"/>
      <c r="BA815"/>
      <c r="BB815"/>
      <c r="BC815" t="inlineStr">
        <is>
          <t>customer want one posting first</t>
        </is>
      </c>
      <c r="BD815" s="4">
        <v>46134.65173611111</v>
      </c>
      <c r="BE815" t="inlineStr">
        <is>
          <t>paid</t>
        </is>
      </c>
      <c r="BF815" t="inlineStr">
        <is>
          <t>Q2-W03</t>
        </is>
      </c>
      <c r="BG815" t="inlineStr">
        <is>
          <t>Reschedule</t>
        </is>
      </c>
      <c r="BH815" t="inlineStr">
        <is>
          <t>Fauziah Maharan</t>
        </is>
      </c>
      <c r="BI815" t="inlineStr">
        <is>
          <t>Other industries</t>
        </is>
      </c>
      <c r="BJ815" s="4">
        <v>46144.752592592595</v>
      </c>
      <c r="BK815" s="4">
        <v>45826.01490740741</v>
      </c>
      <c r="BL815" t="inlineStr">
        <is>
          <t>2160.0</t>
        </is>
      </c>
      <c r="BM815" t="inlineStr">
        <is>
          <t>0.0</t>
        </is>
      </c>
      <c r="BN815" t="inlineStr">
        <is>
          <t>View Company Page</t>
        </is>
      </c>
      <c r="BO815" s="4">
        <v>46139.39564814815</v>
      </c>
      <c r="BP815">
        <v>168219</v>
      </c>
      <c r="BQ815">
        <v>123538</v>
      </c>
      <c r="BR815" t="inlineStr">
        <is>
          <t>Proforma</t>
        </is>
      </c>
      <c r="BS815" t="inlineStr">
        <is>
          <t>Free Part-Time Job</t>
        </is>
      </c>
      <c r="BT815">
        <v>94613</v>
      </c>
      <c r="BU815"/>
      <c r="BV815">
        <v>2721181</v>
      </c>
      <c r="BW815" t="inlineStr">
        <is>
          <t>Follow Up : Win - Customer Paid</t>
        </is>
      </c>
      <c r="BX815">
        <v>1</v>
      </c>
      <c r="BY815">
        <v>0</v>
      </c>
      <c r="BZ815" s="4">
        <v>46134.61701388889</v>
      </c>
      <c r="CA815">
        <v>10</v>
      </c>
      <c r="CB815">
        <v>10</v>
      </c>
      <c r="CC815" s="4"/>
      <c r="CD815" t="inlineStr">
        <is>
          <t>20</t>
        </is>
      </c>
      <c r="CE815" t="inlineStr">
        <is>
          <t>0</t>
        </is>
      </c>
      <c r="CF815" t="inlineStr">
        <is>
          <t>Q2-W03</t>
        </is>
      </c>
      <c r="CG815" t="inlineStr">
        <is>
          <t>Q2-W03</t>
        </is>
      </c>
      <c r="CH815" t="inlineStr">
        <is>
          <t>Q2-W03</t>
        </is>
      </c>
      <c r="CI815"/>
      <c r="CJ815" t="inlineStr">
        <is>
          <t>Paid</t>
        </is>
      </c>
      <c r="CK815" t="inlineStr">
        <is>
          <t>Not Eligible</t>
        </is>
      </c>
      <c r="CL815"/>
      <c r="CM815"/>
    </row>
    <row r="816" ht="25.5" customHeight="1">
      <c r="A816" t="inlineStr">
        <is>
          <t>203521</t>
        </is>
      </c>
      <c r="B816" s="2"/>
      <c r="C816"/>
      <c r="D816" s="3">
        <v>46134.4465625</v>
      </c>
      <c r="E816" t="inlineStr">
        <is>
          <t>Q2-W03</t>
        </is>
      </c>
      <c r="F816" t="inlineStr">
        <is>
          <t>Keegan</t>
        </is>
      </c>
      <c r="G816" t="inlineStr">
        <is>
          <t>Customer</t>
        </is>
      </c>
      <c r="H816" s="2" t="str">
        <f>=HYPERLINK("https://upbox.ajobthing.my/customer/203521", "https://upbox.ajobthing.my/customer/203521")</f>
        <v>https://upbox.ajobthing.my/customer/203521</v>
      </c>
      <c r="I816" t="inlineStr">
        <is>
          <t>Medi Express</t>
        </is>
      </c>
      <c r="J816" t="inlineStr">
        <is>
          <t>Dolphin</t>
        </is>
      </c>
      <c r="K816" t="inlineStr">
        <is>
          <t>Keegan</t>
        </is>
      </c>
      <c r="L816" s="4"/>
      <c r="M816" s="4">
        <v>46134.44662037037</v>
      </c>
      <c r="N816"/>
      <c r="O816">
        <v>6048</v>
      </c>
      <c r="P816" s="4"/>
      <c r="Q816" s="4"/>
      <c r="R816"/>
      <c r="S816"/>
      <c r="T816" s="4"/>
      <c r="U816" s="4"/>
      <c r="V816"/>
      <c r="W816"/>
      <c r="X816"/>
      <c r="Y816" t="inlineStr">
        <is>
          <t>Pending Appointment</t>
        </is>
      </c>
      <c r="Z816" t="inlineStr">
        <is>
          <t>Hiring Now</t>
        </is>
      </c>
      <c r="AA816">
        <v>2</v>
      </c>
      <c r="AB816" t="inlineStr">
        <is>
          <t>No Appointment Made</t>
        </is>
      </c>
      <c r="AC816"/>
      <c r="AD816" t="inlineStr">
        <is>
          <t xml:space="preserve">1. Customer Service 
2. Admin </t>
        </is>
      </c>
      <c r="AE816"/>
      <c r="AF816"/>
      <c r="AG816" s="4"/>
      <c r="AH816" s="4"/>
      <c r="AI816"/>
      <c r="AJ816">
        <v>1</v>
      </c>
      <c r="AK816" t="inlineStr">
        <is>
          <t>No, I don't need at all</t>
        </is>
      </c>
      <c r="AL816">
        <v>0</v>
      </c>
      <c r="AM816" t="inlineStr">
        <is>
          <t>No, I don't need at all</t>
        </is>
      </c>
      <c r="AN816"/>
      <c r="AO816" t="inlineStr">
        <is>
          <t>No, I don't need at all</t>
        </is>
      </c>
      <c r="AP816" t="inlineStr">
        <is>
          <t>Once per quarter (75%)</t>
        </is>
      </c>
      <c r="AQ816"/>
      <c r="AR816" t="inlineStr">
        <is>
          <t>Did not use any job portal</t>
        </is>
      </c>
      <c r="AS816" t="inlineStr">
        <is>
          <t>- Headcount: 2
- Hiring Job Details: 1. Customer Service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816">
        <v>85</v>
      </c>
      <c r="AU816" t="inlineStr">
        <is>
          <t>0.85</t>
        </is>
      </c>
      <c r="AV816" t="inlineStr">
        <is>
          <t>5</t>
        </is>
      </c>
      <c r="AW816" t="inlineStr">
        <is>
          <t>0</t>
        </is>
      </c>
      <c r="AX816" t="inlineStr">
        <is>
          <t>Not Qualified</t>
        </is>
      </c>
      <c r="AY816" s="4"/>
      <c r="AZ816"/>
      <c r="BA816"/>
      <c r="BB816"/>
      <c r="BC816" t="inlineStr">
        <is>
          <t>- Headcount: 2
- Hiring Job Details: 1. Customer Service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816" s="4">
        <v>46134.45835648148</v>
      </c>
      <c r="BE816"/>
      <c r="BF816"/>
      <c r="BG816" t="inlineStr">
        <is>
          <t>Reschedule</t>
        </is>
      </c>
      <c r="BH816" t="inlineStr">
        <is>
          <t>Edward Hoo</t>
        </is>
      </c>
      <c r="BI816"/>
      <c r="BJ816" s="4">
        <v>46144.754328703704</v>
      </c>
      <c r="BK816" s="4">
        <v>46134.445439814815</v>
      </c>
      <c r="BL816" t="inlineStr">
        <is>
          <t>0.0</t>
        </is>
      </c>
      <c r="BM816" t="inlineStr">
        <is>
          <t>4200.0</t>
        </is>
      </c>
      <c r="BN816"/>
      <c r="BO816" s="4"/>
      <c r="BP816">
        <v>168218</v>
      </c>
      <c r="BQ816"/>
      <c r="BR816"/>
      <c r="BS816"/>
      <c r="BT816"/>
      <c r="BU816"/>
      <c r="BV816">
        <v>2719881</v>
      </c>
      <c r="BW816" t="inlineStr">
        <is>
          <t>Customer Inquiry</t>
        </is>
      </c>
      <c r="BX816"/>
      <c r="BY816"/>
      <c r="BZ816" s="4"/>
      <c r="CA816"/>
      <c r="CB816"/>
      <c r="CC816" s="4"/>
      <c r="CD816" t="inlineStr">
        <is>
          <t>5</t>
        </is>
      </c>
      <c r="CE816" t="inlineStr">
        <is>
          <t>0</t>
        </is>
      </c>
      <c r="CF816" t="inlineStr">
        <is>
          <t>Q2-W03</t>
        </is>
      </c>
      <c r="CG816"/>
      <c r="CH816"/>
      <c r="CI816"/>
      <c r="CJ816" t="inlineStr">
        <is>
          <t>No Paid</t>
        </is>
      </c>
      <c r="CK816" t="inlineStr">
        <is>
          <t>Not Eligible</t>
        </is>
      </c>
      <c r="CL816"/>
      <c r="CM816"/>
    </row>
    <row r="817" ht="25.5" customHeight="1">
      <c r="A817" t="inlineStr">
        <is>
          <t>4312638</t>
        </is>
      </c>
      <c r="B817" s="2"/>
      <c r="C817"/>
      <c r="D817" s="3">
        <v>46134.44752314815</v>
      </c>
      <c r="E817" t="inlineStr">
        <is>
          <t>Q2-W03</t>
        </is>
      </c>
      <c r="F817" t="inlineStr">
        <is>
          <t>Eugene</t>
        </is>
      </c>
      <c r="G817" t="inlineStr">
        <is>
          <t>Lead</t>
        </is>
      </c>
      <c r="H817" s="2" t="str">
        <f>=HYPERLINK("https://upbox.ajobthing.my/leads/4312638", "https://upbox.ajobthing.my/leads/4312638")</f>
        <v>https://upbox.ajobthing.my/leads/4312638</v>
      </c>
      <c r="I817" t="inlineStr">
        <is>
          <t>Platinums M&amp;E Engineering Sdn Bhd</t>
        </is>
      </c>
      <c r="J817" t="inlineStr">
        <is>
          <t>Dolphin</t>
        </is>
      </c>
      <c r="K817" t="inlineStr">
        <is>
          <t>Eugene</t>
        </is>
      </c>
      <c r="L817" s="4"/>
      <c r="M817" s="4">
        <v>46134.447743055556</v>
      </c>
      <c r="N817"/>
      <c r="O817">
        <v>11448</v>
      </c>
      <c r="P817" s="4"/>
      <c r="Q817" s="4"/>
      <c r="R817"/>
      <c r="S817"/>
      <c r="T817" s="4"/>
      <c r="U817" s="4"/>
      <c r="V817"/>
      <c r="W817"/>
      <c r="X817"/>
      <c r="Y817" t="inlineStr">
        <is>
          <t>Pending Appointment</t>
        </is>
      </c>
      <c r="Z817" t="inlineStr">
        <is>
          <t>Continuous Hiring</t>
        </is>
      </c>
      <c r="AA817">
        <v>10</v>
      </c>
      <c r="AB817" t="inlineStr">
        <is>
          <t>No Appointment Made</t>
        </is>
      </c>
      <c r="AC817"/>
      <c r="AD817" t="inlineStr">
        <is>
          <t>10 positions, multiple branches</t>
        </is>
      </c>
      <c r="AE817"/>
      <c r="AF817">
        <v>6048</v>
      </c>
      <c r="AG817" s="4"/>
      <c r="AH817" s="4"/>
      <c r="AI817">
        <v>6048</v>
      </c>
      <c r="AJ817">
        <v>4</v>
      </c>
      <c r="AK817" t="inlineStr">
        <is>
          <t>No, I don't need at all</t>
        </is>
      </c>
      <c r="AL817">
        <v>2</v>
      </c>
      <c r="AM817" t="inlineStr">
        <is>
          <t>No, I don't need at all</t>
        </is>
      </c>
      <c r="AN817"/>
      <c r="AO817" t="inlineStr">
        <is>
          <t>No, I don't need at all</t>
        </is>
      </c>
      <c r="AP817" t="inlineStr">
        <is>
          <t>Once per quarter (75%)</t>
        </is>
      </c>
      <c r="AQ817">
        <v>15</v>
      </c>
      <c r="AR817" t="inlineStr">
        <is>
          <t>Jobstreet, Indeed (Paid), Free Job Portal</t>
        </is>
      </c>
      <c r="AS817" t="inlineStr">
        <is>
          <t>- Headcount: 10
- Hiring Job Details: 10 positions, multiple branches
- Hiring Urgency: Continuous Hiring
- Number of outlets: 4
- Have recruiter team: No, I don't need at all
- Number of recruiter in company: 2
- Have ATS system: No, I don't need at all
- Have career website: No, I don't need at all
- Current hiring budget: RM6,048
- Whole year budget: RM6,048.00
- Whole year number of vacancies: 15
- Hiring frequency: Once per quarter (75%)
- External job portal: Jobstreet,Indeed (Paid),Free Job Portal</t>
        </is>
      </c>
      <c r="AT817">
        <v>85</v>
      </c>
      <c r="AU817" t="inlineStr">
        <is>
          <t>0.85</t>
        </is>
      </c>
      <c r="AV817" t="inlineStr">
        <is>
          <t>20</t>
        </is>
      </c>
      <c r="AW817" t="inlineStr">
        <is>
          <t>0</t>
        </is>
      </c>
      <c r="AX817" t="inlineStr">
        <is>
          <t>Not Qualified</t>
        </is>
      </c>
      <c r="AY817" s="4"/>
      <c r="AZ817"/>
      <c r="BA817"/>
      <c r="BB817"/>
      <c r="BC817"/>
      <c r="BD817" s="4"/>
      <c r="BE817"/>
      <c r="BF817"/>
      <c r="BG817" t="inlineStr">
        <is>
          <t>Reschedule</t>
        </is>
      </c>
      <c r="BH817" t="inlineStr">
        <is>
          <t>Edward Hoo</t>
        </is>
      </c>
      <c r="BI817"/>
      <c r="BJ817" s="4">
        <v>46144.755902777775</v>
      </c>
      <c r="BK817" s="4">
        <v>46134.43518518518</v>
      </c>
      <c r="BL817" t="inlineStr">
        <is>
          <t>0.0</t>
        </is>
      </c>
      <c r="BM817" t="inlineStr">
        <is>
          <t>0.0</t>
        </is>
      </c>
      <c r="BN817"/>
      <c r="BO817" s="4"/>
      <c r="BP817">
        <v>168220</v>
      </c>
      <c r="BQ817"/>
      <c r="BR817"/>
      <c r="BS817"/>
      <c r="BT817"/>
      <c r="BU817"/>
      <c r="BV817"/>
      <c r="BW817"/>
      <c r="BX817"/>
      <c r="BY817"/>
      <c r="BZ817" s="4"/>
      <c r="CA817"/>
      <c r="CB817"/>
      <c r="CC817" s="4"/>
      <c r="CD817" t="inlineStr">
        <is>
          <t>30</t>
        </is>
      </c>
      <c r="CE817" t="inlineStr">
        <is>
          <t>0</t>
        </is>
      </c>
      <c r="CF817" t="inlineStr">
        <is>
          <t>Q2-W03</t>
        </is>
      </c>
      <c r="CG817"/>
      <c r="CH817"/>
      <c r="CI817"/>
      <c r="CJ817" t="inlineStr">
        <is>
          <t>No Paid</t>
        </is>
      </c>
      <c r="CK817" t="inlineStr">
        <is>
          <t>Eligible</t>
        </is>
      </c>
      <c r="CL817"/>
      <c r="CM817"/>
    </row>
    <row r="818" ht="25.5" customHeight="1">
      <c r="A818" t="inlineStr">
        <is>
          <t>47203</t>
        </is>
      </c>
      <c r="B818" s="2"/>
      <c r="C818"/>
      <c r="D818" s="3">
        <v>46134.44975694444</v>
      </c>
      <c r="E818" t="inlineStr">
        <is>
          <t>Q2-W03</t>
        </is>
      </c>
      <c r="F818" t="inlineStr">
        <is>
          <t>Angel  Low</t>
        </is>
      </c>
      <c r="G818" t="inlineStr">
        <is>
          <t>Customer</t>
        </is>
      </c>
      <c r="H818" s="2" t="str">
        <f>=HYPERLINK("https://upbox.ajobthing.my/customer/47203", "https://upbox.ajobthing.my/customer/47203")</f>
        <v>https://upbox.ajobthing.my/customer/47203</v>
      </c>
      <c r="I818" t="inlineStr">
        <is>
          <t>PPSE Industries Sdn Bhd</t>
        </is>
      </c>
      <c r="J818" t="inlineStr">
        <is>
          <t>Dolphin</t>
        </is>
      </c>
      <c r="K818" t="inlineStr">
        <is>
          <t>Angel Low</t>
        </is>
      </c>
      <c r="L818" s="4"/>
      <c r="M818" s="4">
        <v>46134.44880787037</v>
      </c>
      <c r="N818"/>
      <c r="O818">
        <v>5508</v>
      </c>
      <c r="P818" s="4"/>
      <c r="Q818" s="4">
        <v>45756.47310185185</v>
      </c>
      <c r="R818"/>
      <c r="S818">
        <v>2916</v>
      </c>
      <c r="T818" s="4">
        <v>45756.47310185185</v>
      </c>
      <c r="U818" s="4"/>
      <c r="V818"/>
      <c r="W818">
        <v>2916</v>
      </c>
      <c r="X818"/>
      <c r="Y818" t="inlineStr">
        <is>
          <t>Pending Appointment</t>
        </is>
      </c>
      <c r="Z818"/>
      <c r="AA818">
        <v>1</v>
      </c>
      <c r="AB818" t="inlineStr">
        <is>
          <t>No Appointment Made</t>
        </is>
      </c>
      <c r="AC818"/>
      <c r="AD818" t="inlineStr">
        <is>
          <t xml:space="preserve">1 sales </t>
        </is>
      </c>
      <c r="AE818"/>
      <c r="AF818"/>
      <c r="AG818" s="4"/>
      <c r="AH818" s="4"/>
      <c r="AI818"/>
      <c r="AJ818"/>
      <c r="AK818"/>
      <c r="AL818"/>
      <c r="AM818"/>
      <c r="AN818"/>
      <c r="AO818"/>
      <c r="AP818"/>
      <c r="AQ818"/>
      <c r="AR818"/>
      <c r="AS818" t="inlineStr">
        <is>
          <t>- Headcount: 1
- Hiring Job Details: 1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818">
        <v>60</v>
      </c>
      <c r="AU818" t="inlineStr">
        <is>
          <t>0.60</t>
        </is>
      </c>
      <c r="AV818" t="inlineStr">
        <is>
          <t>5</t>
        </is>
      </c>
      <c r="AW818" t="inlineStr">
        <is>
          <t>0</t>
        </is>
      </c>
      <c r="AX818" t="inlineStr">
        <is>
          <t>Not Qualified</t>
        </is>
      </c>
      <c r="AY818" s="4"/>
      <c r="AZ818"/>
      <c r="BA818"/>
      <c r="BB818"/>
      <c r="BC818" t="inlineStr">
        <is>
          <t>on hold</t>
        </is>
      </c>
      <c r="BD818" s="4">
        <v>46141.58509259259</v>
      </c>
      <c r="BE818" t="inlineStr">
        <is>
          <t>paid</t>
        </is>
      </c>
      <c r="BF818"/>
      <c r="BG818" t="inlineStr">
        <is>
          <t>Reschedule</t>
        </is>
      </c>
      <c r="BH818" t="inlineStr">
        <is>
          <t>Fauziah Maharan</t>
        </is>
      </c>
      <c r="BI818" t="inlineStr">
        <is>
          <t>Heavy Industrial / Machinery</t>
        </is>
      </c>
      <c r="BJ818" s="4">
        <v>46144.756006944444</v>
      </c>
      <c r="BK818" s="4">
        <v>43183.32681712963</v>
      </c>
      <c r="BL818" t="inlineStr">
        <is>
          <t>0.0</t>
        </is>
      </c>
      <c r="BM818" t="inlineStr">
        <is>
          <t>0.0</t>
        </is>
      </c>
      <c r="BN818" t="inlineStr">
        <is>
          <t>View Jobmanager Page</t>
        </is>
      </c>
      <c r="BO818" s="4">
        <v>46139.71108796296</v>
      </c>
      <c r="BP818">
        <v>168222</v>
      </c>
      <c r="BQ818">
        <v>78283</v>
      </c>
      <c r="BR818" t="inlineStr">
        <is>
          <t>Online</t>
        </is>
      </c>
      <c r="BS818"/>
      <c r="BT818">
        <v>78283</v>
      </c>
      <c r="BU818"/>
      <c r="BV818">
        <v>2735178</v>
      </c>
      <c r="BW818" t="inlineStr">
        <is>
          <t>Follow Up : Lost - Free Portal</t>
        </is>
      </c>
      <c r="BX818"/>
      <c r="BY818"/>
      <c r="BZ818" s="4"/>
      <c r="CA818"/>
      <c r="CB818"/>
      <c r="CC818" s="4"/>
      <c r="CD818" t="inlineStr">
        <is>
          <t>5</t>
        </is>
      </c>
      <c r="CE818" t="inlineStr">
        <is>
          <t>0</t>
        </is>
      </c>
      <c r="CF818" t="inlineStr">
        <is>
          <t>Q2-W03</t>
        </is>
      </c>
      <c r="CG818"/>
      <c r="CH818"/>
      <c r="CI818"/>
      <c r="CJ818" t="inlineStr">
        <is>
          <t>Paid</t>
        </is>
      </c>
      <c r="CK818" t="inlineStr">
        <is>
          <t>Not Eligible</t>
        </is>
      </c>
      <c r="CL818"/>
      <c r="CM818"/>
    </row>
    <row r="819" ht="25.5" customHeight="1">
      <c r="A819" t="inlineStr">
        <is>
          <t>192963</t>
        </is>
      </c>
      <c r="B819" s="2"/>
      <c r="C819"/>
      <c r="D819" s="3">
        <v>46134.46266203704</v>
      </c>
      <c r="E819" t="inlineStr">
        <is>
          <t>Q2-W03</t>
        </is>
      </c>
      <c r="F819" t="inlineStr">
        <is>
          <t>Janice Yap</t>
        </is>
      </c>
      <c r="G819" t="inlineStr">
        <is>
          <t>Customer</t>
        </is>
      </c>
      <c r="H819" s="2" t="str">
        <f>=HYPERLINK("https://upbox.ajobthing.my/customer/192963", "https://upbox.ajobthing.my/customer/192963")</f>
        <v>https://upbox.ajobthing.my/customer/192963</v>
      </c>
      <c r="I819" t="inlineStr">
        <is>
          <t>Qlt Hardware Sdn Bhd</t>
        </is>
      </c>
      <c r="J819" t="inlineStr">
        <is>
          <t>Dolphin</t>
        </is>
      </c>
      <c r="K819" t="inlineStr">
        <is>
          <t>Janice</t>
        </is>
      </c>
      <c r="L819" s="4"/>
      <c r="M819" s="4">
        <v>46134.46136574074</v>
      </c>
      <c r="N819"/>
      <c r="O819">
        <v>3888</v>
      </c>
      <c r="P819" s="4"/>
      <c r="Q819" s="4"/>
      <c r="R819"/>
      <c r="S819"/>
      <c r="T819" s="4"/>
      <c r="U819" s="4"/>
      <c r="V819"/>
      <c r="W819"/>
      <c r="X819"/>
      <c r="Y819" t="inlineStr">
        <is>
          <t>Pending Appointment</t>
        </is>
      </c>
      <c r="Z819" t="inlineStr">
        <is>
          <t>Hiring Now</t>
        </is>
      </c>
      <c r="AA819">
        <v>3</v>
      </c>
      <c r="AB819" t="inlineStr">
        <is>
          <t>No Appointment Made</t>
        </is>
      </c>
      <c r="AC819"/>
      <c r="AD819" t="inlineStr">
        <is>
          <t>admin // salesman // warehouse</t>
        </is>
      </c>
      <c r="AE819"/>
      <c r="AF819">
        <v>0</v>
      </c>
      <c r="AG819" s="4"/>
      <c r="AH819" s="4"/>
      <c r="AI819">
        <v>0</v>
      </c>
      <c r="AJ819"/>
      <c r="AK819" t="inlineStr">
        <is>
          <t>No, I don't need at all</t>
        </is>
      </c>
      <c r="AL819">
        <v>0</v>
      </c>
      <c r="AM819" t="inlineStr">
        <is>
          <t>No, I don't need at all</t>
        </is>
      </c>
      <c r="AN819"/>
      <c r="AO819" t="inlineStr">
        <is>
          <t>No, I don't need at all</t>
        </is>
      </c>
      <c r="AP819" t="inlineStr">
        <is>
          <t>Once a year (25%)</t>
        </is>
      </c>
      <c r="AQ819">
        <v>3</v>
      </c>
      <c r="AR819" t="inlineStr">
        <is>
          <t>Free Job Portal</t>
        </is>
      </c>
      <c r="AS819" t="inlineStr">
        <is>
          <t>- Headcount: 3
- Hiring Job Details: admin, salesman, warehouse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
- Hiring Urgency: Hiring Now</t>
        </is>
      </c>
      <c r="AT819">
        <v>110</v>
      </c>
      <c r="AU819" t="inlineStr">
        <is>
          <t>1.10</t>
        </is>
      </c>
      <c r="AV819" t="inlineStr">
        <is>
          <t>15</t>
        </is>
      </c>
      <c r="AW819" t="inlineStr">
        <is>
          <t>0</t>
        </is>
      </c>
      <c r="AX819" t="inlineStr">
        <is>
          <t>Not Qualified</t>
        </is>
      </c>
      <c r="AY819" s="4"/>
      <c r="AZ819"/>
      <c r="BA819"/>
      <c r="BB819"/>
      <c r="BC819" t="inlineStr">
        <is>
          <t>Her boss oversea - China // come back after 3 weeks // mid of May</t>
        </is>
      </c>
      <c r="BD819" s="4">
        <v>46135.64946759259</v>
      </c>
      <c r="BE819"/>
      <c r="BF819"/>
      <c r="BG819" t="inlineStr">
        <is>
          <t>Reschedule</t>
        </is>
      </c>
      <c r="BH819" t="inlineStr">
        <is>
          <t>Yee Hang</t>
        </is>
      </c>
      <c r="BI819" t="inlineStr">
        <is>
          <t>General / Wholesale Trading</t>
        </is>
      </c>
      <c r="BJ819" s="4">
        <v>46144.752592592595</v>
      </c>
      <c r="BK819" s="4">
        <v>45832.364537037036</v>
      </c>
      <c r="BL819" t="inlineStr">
        <is>
          <t>0.0</t>
        </is>
      </c>
      <c r="BM819" t="inlineStr">
        <is>
          <t>0.0</t>
        </is>
      </c>
      <c r="BN819" t="inlineStr">
        <is>
          <t>View Company Page</t>
        </is>
      </c>
      <c r="BO819" s="4">
        <v>45832.3659837963</v>
      </c>
      <c r="BP819">
        <v>168230</v>
      </c>
      <c r="BQ819"/>
      <c r="BR819"/>
      <c r="BS819"/>
      <c r="BT819"/>
      <c r="BU819"/>
      <c r="BV819">
        <v>2724446</v>
      </c>
      <c r="BW819" t="inlineStr">
        <is>
          <t>Follow Up : Lost - Free Portal</t>
        </is>
      </c>
      <c r="BX819"/>
      <c r="BY819"/>
      <c r="BZ819" s="4"/>
      <c r="CA819"/>
      <c r="CB819"/>
      <c r="CC819" s="4"/>
      <c r="CD819" t="inlineStr">
        <is>
          <t>20</t>
        </is>
      </c>
      <c r="CE819" t="inlineStr">
        <is>
          <t>0</t>
        </is>
      </c>
      <c r="CF819" t="inlineStr">
        <is>
          <t>Q2-W03</t>
        </is>
      </c>
      <c r="CG819"/>
      <c r="CH819"/>
      <c r="CI819"/>
      <c r="CJ819" t="inlineStr">
        <is>
          <t>No Paid</t>
        </is>
      </c>
      <c r="CK819" t="inlineStr">
        <is>
          <t>Not Eligible</t>
        </is>
      </c>
      <c r="CL819"/>
      <c r="CM819"/>
    </row>
    <row r="820" ht="25.5" customHeight="1">
      <c r="A820" t="inlineStr">
        <is>
          <t>76274</t>
        </is>
      </c>
      <c r="B820" s="2"/>
      <c r="C820"/>
      <c r="D820" s="3">
        <v>46134.465949074074</v>
      </c>
      <c r="E820" t="inlineStr">
        <is>
          <t>Q2-W03</t>
        </is>
      </c>
      <c r="F820" t="inlineStr">
        <is>
          <t>Eugene</t>
        </is>
      </c>
      <c r="G820" t="inlineStr">
        <is>
          <t>Customer</t>
        </is>
      </c>
      <c r="H820" s="2" t="str">
        <f>=HYPERLINK("https://upbox.ajobthing.my/customer/76274", "https://upbox.ajobthing.my/customer/76274")</f>
        <v>https://upbox.ajobthing.my/customer/76274</v>
      </c>
      <c r="I820" t="inlineStr">
        <is>
          <t>Refine Printing Sdn Bhd</t>
        </is>
      </c>
      <c r="J820" t="inlineStr">
        <is>
          <t>Dolphin</t>
        </is>
      </c>
      <c r="K820" t="inlineStr">
        <is>
          <t>Eugene</t>
        </is>
      </c>
      <c r="L820" s="4"/>
      <c r="M820" s="4">
        <v>46142.64265046296</v>
      </c>
      <c r="N820"/>
      <c r="O820">
        <v>3576.96</v>
      </c>
      <c r="P820" s="4"/>
      <c r="Q820" s="4">
        <v>43398.67055555555</v>
      </c>
      <c r="R820"/>
      <c r="S820">
        <v>424</v>
      </c>
      <c r="T820" s="4">
        <v>43398.67055555555</v>
      </c>
      <c r="U820" s="4"/>
      <c r="V820"/>
      <c r="W820">
        <v>424</v>
      </c>
      <c r="X820"/>
      <c r="Y820" t="inlineStr">
        <is>
          <t>Pending Appointment</t>
        </is>
      </c>
      <c r="Z820" t="inlineStr">
        <is>
          <t>Hiring Now</t>
        </is>
      </c>
      <c r="AA820">
        <v>2</v>
      </c>
      <c r="AB820" t="inlineStr">
        <is>
          <t>No Appointment Made</t>
        </is>
      </c>
      <c r="AC820"/>
      <c r="AD820" t="inlineStr">
        <is>
          <t>1 printing operation, 1 sales, based in JB</t>
        </is>
      </c>
      <c r="AE820"/>
      <c r="AF820">
        <v>3000</v>
      </c>
      <c r="AG820" s="4"/>
      <c r="AH820" s="4"/>
      <c r="AI820">
        <v>3000</v>
      </c>
      <c r="AJ820">
        <v>1</v>
      </c>
      <c r="AK820" t="inlineStr">
        <is>
          <t>No, I don't need at all</t>
        </is>
      </c>
      <c r="AL820">
        <v>1</v>
      </c>
      <c r="AM820" t="inlineStr">
        <is>
          <t>No, I don't need at all</t>
        </is>
      </c>
      <c r="AN820"/>
      <c r="AO820" t="inlineStr">
        <is>
          <t>No, I don't need at all</t>
        </is>
      </c>
      <c r="AP820" t="inlineStr">
        <is>
          <t>Once a year (25%)</t>
        </is>
      </c>
      <c r="AQ820">
        <v>2</v>
      </c>
      <c r="AR820" t="inlineStr">
        <is>
          <t>Free Job Portal</t>
        </is>
      </c>
      <c r="AS820" t="inlineStr">
        <is>
          <t>- Headcount: 2
- Hiring Job Details: 1 printing operation, 1 sales, based in JB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AT820">
        <v>115</v>
      </c>
      <c r="AU820" t="inlineStr">
        <is>
          <t>1.15</t>
        </is>
      </c>
      <c r="AV820" t="inlineStr">
        <is>
          <t>15</t>
        </is>
      </c>
      <c r="AW820" t="inlineStr">
        <is>
          <t>0</t>
        </is>
      </c>
      <c r="AX820" t="inlineStr">
        <is>
          <t>Not Qualified</t>
        </is>
      </c>
      <c r="AY820" s="4"/>
      <c r="AZ820"/>
      <c r="BA820"/>
      <c r="BB820"/>
      <c r="BC820" t="inlineStr">
        <is>
          <t>pending</t>
        </is>
      </c>
      <c r="BD820" s="4">
        <v>46141.41297453704</v>
      </c>
      <c r="BE820" t="inlineStr">
        <is>
          <t>paid</t>
        </is>
      </c>
      <c r="BF820"/>
      <c r="BG820" t="inlineStr">
        <is>
          <t>Reschedule</t>
        </is>
      </c>
      <c r="BH820" t="inlineStr">
        <is>
          <t>Edward Hoo</t>
        </is>
      </c>
      <c r="BI820" t="inlineStr">
        <is>
          <t>Printing / Publishing</t>
        </is>
      </c>
      <c r="BJ820" s="4">
        <v>46144.756157407406</v>
      </c>
      <c r="BK820" s="4">
        <v>43398.64599537037</v>
      </c>
      <c r="BL820" t="inlineStr">
        <is>
          <t>0.0</t>
        </is>
      </c>
      <c r="BM820" t="inlineStr">
        <is>
          <t>0.0</t>
        </is>
      </c>
      <c r="BN820" t="inlineStr">
        <is>
          <t>View Create Job Page V4</t>
        </is>
      </c>
      <c r="BO820" s="4">
        <v>46133.924629629626</v>
      </c>
      <c r="BP820">
        <v>169713</v>
      </c>
      <c r="BQ820">
        <v>14764</v>
      </c>
      <c r="BR820" t="inlineStr">
        <is>
          <t>Online</t>
        </is>
      </c>
      <c r="BS820"/>
      <c r="BT820">
        <v>14764</v>
      </c>
      <c r="BU820"/>
      <c r="BV820">
        <v>2734232</v>
      </c>
      <c r="BW820" t="inlineStr">
        <is>
          <t>Follow Up : Decision Pending</t>
        </is>
      </c>
      <c r="BX820"/>
      <c r="BY820"/>
      <c r="BZ820" s="4"/>
      <c r="CA820"/>
      <c r="CB820"/>
      <c r="CC820" s="4"/>
      <c r="CD820" t="inlineStr">
        <is>
          <t>20</t>
        </is>
      </c>
      <c r="CE820" t="inlineStr">
        <is>
          <t>0</t>
        </is>
      </c>
      <c r="CF820" t="inlineStr">
        <is>
          <t>Q2-W04</t>
        </is>
      </c>
      <c r="CG820"/>
      <c r="CH820"/>
      <c r="CI820"/>
      <c r="CJ820" t="inlineStr">
        <is>
          <t>Paid</t>
        </is>
      </c>
      <c r="CK820" t="inlineStr">
        <is>
          <t>Not Eligible</t>
        </is>
      </c>
      <c r="CL820"/>
      <c r="CM820"/>
    </row>
    <row r="821" ht="25.5" customHeight="1">
      <c r="A821" t="inlineStr">
        <is>
          <t>4312395</t>
        </is>
      </c>
      <c r="B821" s="2"/>
      <c r="C821"/>
      <c r="D821" s="3">
        <v>46134.467835648145</v>
      </c>
      <c r="E821" t="inlineStr">
        <is>
          <t>Q2-W03</t>
        </is>
      </c>
      <c r="F821" t="inlineStr">
        <is>
          <t>Jia Hui</t>
        </is>
      </c>
      <c r="G821" t="inlineStr">
        <is>
          <t>Lead</t>
        </is>
      </c>
      <c r="H821" s="2" t="str">
        <f>=HYPERLINK("https://upbox.ajobthing.my/leads/4312395", "https://upbox.ajobthing.my/leads/4312395")</f>
        <v>https://upbox.ajobthing.my/leads/4312395</v>
      </c>
      <c r="I821" t="inlineStr">
        <is>
          <t>Ta-Shou Electronics (m) Sdn Bhd.</t>
        </is>
      </c>
      <c r="J821" t="inlineStr">
        <is>
          <t>Dolphin</t>
        </is>
      </c>
      <c r="K821" t="inlineStr">
        <is>
          <t>Jia Hui</t>
        </is>
      </c>
      <c r="L821" s="4"/>
      <c r="M821" s="4">
        <v>46134.46810185185</v>
      </c>
      <c r="N821"/>
      <c r="O821">
        <v>6048</v>
      </c>
      <c r="P821" s="4"/>
      <c r="Q821" s="4"/>
      <c r="R821"/>
      <c r="S821"/>
      <c r="T821" s="4"/>
      <c r="U821" s="4"/>
      <c r="V821"/>
      <c r="W821"/>
      <c r="X821"/>
      <c r="Y821" t="inlineStr">
        <is>
          <t>Pending Appointment</t>
        </is>
      </c>
      <c r="Z821" t="inlineStr">
        <is>
          <t>Hiring Later</t>
        </is>
      </c>
      <c r="AA821">
        <v>2</v>
      </c>
      <c r="AB821" t="inlineStr">
        <is>
          <t>No Appointment Made</t>
        </is>
      </c>
      <c r="AC821"/>
      <c r="AD821" t="inlineStr">
        <is>
          <t>1 admin, 1 account</t>
        </is>
      </c>
      <c r="AE821"/>
      <c r="AF821">
        <v>500</v>
      </c>
      <c r="AG821" s="4"/>
      <c r="AH821" s="4"/>
      <c r="AI821"/>
      <c r="AJ821"/>
      <c r="AK821" t="inlineStr">
        <is>
          <t>No, but I want in future</t>
        </is>
      </c>
      <c r="AL821"/>
      <c r="AM821"/>
      <c r="AN821"/>
      <c r="AO821"/>
      <c r="AP821" t="inlineStr">
        <is>
          <t>Once a year (25%)</t>
        </is>
      </c>
      <c r="AQ821"/>
      <c r="AR821"/>
      <c r="AS821" t="inlineStr">
        <is>
          <t>- Headcount: 2
- Hiring Job Details: 1 admin, 1 account
- Hiring Urgency: Hiring Later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821">
        <v>75</v>
      </c>
      <c r="AU821" t="inlineStr">
        <is>
          <t>0.75</t>
        </is>
      </c>
      <c r="AV821" t="inlineStr">
        <is>
          <t>15</t>
        </is>
      </c>
      <c r="AW821" t="inlineStr">
        <is>
          <t>0</t>
        </is>
      </c>
      <c r="AX821" t="inlineStr">
        <is>
          <t>Not Qualified</t>
        </is>
      </c>
      <c r="AY821" s="4"/>
      <c r="AZ821"/>
      <c r="BA821"/>
      <c r="BB821"/>
      <c r="BC821"/>
      <c r="BD821" s="4"/>
      <c r="BE821"/>
      <c r="BF821"/>
      <c r="BG821" t="inlineStr">
        <is>
          <t>Reschedule</t>
        </is>
      </c>
      <c r="BH821" t="inlineStr">
        <is>
          <t>Reagen</t>
        </is>
      </c>
      <c r="BI821"/>
      <c r="BJ821" s="4">
        <v>46144.755902777775</v>
      </c>
      <c r="BK821" s="4">
        <v>46134.39778935185</v>
      </c>
      <c r="BL821" t="inlineStr">
        <is>
          <t>0.0</t>
        </is>
      </c>
      <c r="BM821" t="inlineStr">
        <is>
          <t>2400.0</t>
        </is>
      </c>
      <c r="BN821"/>
      <c r="BO821" s="4"/>
      <c r="BP821">
        <v>168232</v>
      </c>
      <c r="BQ821"/>
      <c r="BR821"/>
      <c r="BS821"/>
      <c r="BT821"/>
      <c r="BU821"/>
      <c r="BV821"/>
      <c r="BW821"/>
      <c r="BX821"/>
      <c r="BY821"/>
      <c r="BZ821" s="4"/>
      <c r="CA821"/>
      <c r="CB821"/>
      <c r="CC821" s="4"/>
      <c r="CD821" t="inlineStr">
        <is>
          <t>20</t>
        </is>
      </c>
      <c r="CE821" t="inlineStr">
        <is>
          <t>0</t>
        </is>
      </c>
      <c r="CF821" t="inlineStr">
        <is>
          <t>Q2-W03</t>
        </is>
      </c>
      <c r="CG821"/>
      <c r="CH821"/>
      <c r="CI821"/>
      <c r="CJ821" t="inlineStr">
        <is>
          <t>No Paid</t>
        </is>
      </c>
      <c r="CK821" t="inlineStr">
        <is>
          <t>Not Eligible</t>
        </is>
      </c>
      <c r="CL821"/>
      <c r="CM821"/>
    </row>
    <row r="822" ht="25.5" customHeight="1">
      <c r="A822" t="inlineStr">
        <is>
          <t>160641</t>
        </is>
      </c>
      <c r="B822" s="2"/>
      <c r="C822"/>
      <c r="D822" s="3">
        <v>46134.46880787037</v>
      </c>
      <c r="E822" t="inlineStr">
        <is>
          <t>Q2-W03</t>
        </is>
      </c>
      <c r="F822" t="inlineStr">
        <is>
          <t>Luqman</t>
        </is>
      </c>
      <c r="G822" t="inlineStr">
        <is>
          <t>Customer</t>
        </is>
      </c>
      <c r="H822" s="2" t="str">
        <f>=HYPERLINK("https://upbox.ajobthing.my/customer/160641", "https://upbox.ajobthing.my/customer/160641")</f>
        <v>https://upbox.ajobthing.my/customer/160641</v>
      </c>
      <c r="I822" t="inlineStr">
        <is>
          <t>Iforte Intelligence Sdn Bhd</t>
        </is>
      </c>
      <c r="J822" t="inlineStr">
        <is>
          <t>Dolphin</t>
        </is>
      </c>
      <c r="K822" t="inlineStr">
        <is>
          <t>Luqman</t>
        </is>
      </c>
      <c r="L822" s="4"/>
      <c r="M822" s="4">
        <v>46134.46902777778</v>
      </c>
      <c r="N822"/>
      <c r="O822">
        <v>6048</v>
      </c>
      <c r="P822" s="4"/>
      <c r="Q822" s="4">
        <v>44840.67201388889</v>
      </c>
      <c r="R822"/>
      <c r="S822">
        <v>848</v>
      </c>
      <c r="T822" s="4">
        <v>44840.67201388889</v>
      </c>
      <c r="U822" s="4"/>
      <c r="V822"/>
      <c r="W822">
        <v>848</v>
      </c>
      <c r="X822"/>
      <c r="Y822" t="inlineStr">
        <is>
          <t>Pending Appointment</t>
        </is>
      </c>
      <c r="Z822" t="inlineStr">
        <is>
          <t>Hiring Later</t>
        </is>
      </c>
      <c r="AA822">
        <v>1</v>
      </c>
      <c r="AB822" t="inlineStr">
        <is>
          <t>No Appointment Made</t>
        </is>
      </c>
      <c r="AC822"/>
      <c r="AD822" t="inlineStr">
        <is>
          <t xml:space="preserve">1. Sales &amp; Marketing </t>
        </is>
      </c>
      <c r="AE822"/>
      <c r="AF822">
        <v>3600</v>
      </c>
      <c r="AG822" s="4"/>
      <c r="AH822" s="4"/>
      <c r="AI822">
        <v>3600</v>
      </c>
      <c r="AJ822"/>
      <c r="AK822" t="inlineStr">
        <is>
          <t>Yes, I have</t>
        </is>
      </c>
      <c r="AL822">
        <v>4</v>
      </c>
      <c r="AM822" t="inlineStr">
        <is>
          <t>No, I don't need at all</t>
        </is>
      </c>
      <c r="AN822"/>
      <c r="AO822" t="inlineStr">
        <is>
          <t>Yes, I have</t>
        </is>
      </c>
      <c r="AP822" t="inlineStr">
        <is>
          <t>Once per quarter (75%)</t>
        </is>
      </c>
      <c r="AQ822">
        <v>3</v>
      </c>
      <c r="AR822" t="inlineStr">
        <is>
          <t>Jobstreet, Free Job Portal</t>
        </is>
      </c>
      <c r="AS822" t="inlineStr">
        <is>
          <t>- Headcount: 1
- Hiring Job Details: 1. Sales &amp; Marketing
- Hiring Urgency: Hiring Later
- Number of outlets: 
- Have recruiter team: Yes
- Number of recruiter in company: 4
- Have ATS system: No, I don't need at all
- Have career website: Yes
- Current hiring budget: RM3,600
- Whole year budget: RM3,600.00
- Whole year number of vacancies: 3
- Hiring frequency: Once per quarter (75%)
- External job portal: Jobstreet,Free Job Portal</t>
        </is>
      </c>
      <c r="AT822">
        <v>115</v>
      </c>
      <c r="AU822" t="inlineStr">
        <is>
          <t>1.15</t>
        </is>
      </c>
      <c r="AV822" t="inlineStr">
        <is>
          <t>15</t>
        </is>
      </c>
      <c r="AW822" t="inlineStr">
        <is>
          <t>0</t>
        </is>
      </c>
      <c r="AX822" t="inlineStr">
        <is>
          <t>Not Qualified</t>
        </is>
      </c>
      <c r="AY822" s="4"/>
      <c r="AZ822"/>
      <c r="BA822"/>
      <c r="BB822"/>
      <c r="BC822" t="inlineStr">
        <is>
          <t>Business most likely proceed on May, tag as lost in april</t>
        </is>
      </c>
      <c r="BD822" s="4">
        <v>46141.63476851852</v>
      </c>
      <c r="BE822" t="inlineStr">
        <is>
          <t>paid</t>
        </is>
      </c>
      <c r="BF822"/>
      <c r="BG822" t="inlineStr">
        <is>
          <t>Reschedule</t>
        </is>
      </c>
      <c r="BH822" t="inlineStr">
        <is>
          <t>Edward Hoo</t>
        </is>
      </c>
      <c r="BI822"/>
      <c r="BJ822" s="4">
        <v>46144.75109953704</v>
      </c>
      <c r="BK822" s="4">
        <v>44839.619155092594</v>
      </c>
      <c r="BL822" t="inlineStr">
        <is>
          <t>0.0</t>
        </is>
      </c>
      <c r="BM822" t="inlineStr">
        <is>
          <t>2400.0</t>
        </is>
      </c>
      <c r="BN822" t="inlineStr">
        <is>
          <t>View Applicant Page</t>
        </is>
      </c>
      <c r="BO822" s="4">
        <v>44890.72373842593</v>
      </c>
      <c r="BP822">
        <v>168235</v>
      </c>
      <c r="BQ822">
        <v>51310</v>
      </c>
      <c r="BR822" t="inlineStr">
        <is>
          <t>Online</t>
        </is>
      </c>
      <c r="BS822"/>
      <c r="BT822">
        <v>51310</v>
      </c>
      <c r="BU822"/>
      <c r="BV822">
        <v>2735571</v>
      </c>
      <c r="BW822" t="inlineStr">
        <is>
          <t>Follow Up : Lost - Free Portal</t>
        </is>
      </c>
      <c r="BX822"/>
      <c r="BY822"/>
      <c r="BZ822" s="4"/>
      <c r="CA822"/>
      <c r="CB822"/>
      <c r="CC822" s="4"/>
      <c r="CD822" t="inlineStr">
        <is>
          <t>20</t>
        </is>
      </c>
      <c r="CE822" t="inlineStr">
        <is>
          <t>0</t>
        </is>
      </c>
      <c r="CF822" t="inlineStr">
        <is>
          <t>Q2-W03</t>
        </is>
      </c>
      <c r="CG822"/>
      <c r="CH822"/>
      <c r="CI822"/>
      <c r="CJ822" t="inlineStr">
        <is>
          <t>Paid</t>
        </is>
      </c>
      <c r="CK822" t="inlineStr">
        <is>
          <t>Not Eligible</t>
        </is>
      </c>
      <c r="CL822"/>
      <c r="CM822"/>
    </row>
    <row r="823" ht="25.5" customHeight="1">
      <c r="A823" t="inlineStr">
        <is>
          <t>190340</t>
        </is>
      </c>
      <c r="B823" s="2"/>
      <c r="C823"/>
      <c r="D823" s="3">
        <v>46134.471504629626</v>
      </c>
      <c r="E823" t="inlineStr">
        <is>
          <t>Q2-W03</t>
        </is>
      </c>
      <c r="F823" t="inlineStr">
        <is>
          <t>Chia Yee</t>
        </is>
      </c>
      <c r="G823" t="inlineStr">
        <is>
          <t>Customer</t>
        </is>
      </c>
      <c r="H823" s="2" t="str">
        <f>=HYPERLINK("https://upbox.ajobthing.my/customer/190340", "https://upbox.ajobthing.my/customer/190340")</f>
        <v>https://upbox.ajobthing.my/customer/190340</v>
      </c>
      <c r="I823" t="inlineStr">
        <is>
          <t>Fukar Sdn Bhd</t>
        </is>
      </c>
      <c r="J823" t="inlineStr">
        <is>
          <t>Dolphin</t>
        </is>
      </c>
      <c r="K823" t="inlineStr">
        <is>
          <t>Chia Yee</t>
        </is>
      </c>
      <c r="L823" s="4"/>
      <c r="M823" s="4">
        <v>46134.47162037037</v>
      </c>
      <c r="N823"/>
      <c r="O823">
        <v>3888</v>
      </c>
      <c r="P823" s="4"/>
      <c r="Q823" s="4">
        <v>46135.552303240744</v>
      </c>
      <c r="R823"/>
      <c r="S823">
        <v>1296</v>
      </c>
      <c r="T823" s="4">
        <v>46135.552303240744</v>
      </c>
      <c r="U823" s="4"/>
      <c r="V823"/>
      <c r="W823">
        <v>1296</v>
      </c>
      <c r="X823"/>
      <c r="Y823" t="inlineStr">
        <is>
          <t>Pending Appointment</t>
        </is>
      </c>
      <c r="Z823" t="inlineStr">
        <is>
          <t>Hiring Now</t>
        </is>
      </c>
      <c r="AA823">
        <v>1</v>
      </c>
      <c r="AB823" t="inlineStr">
        <is>
          <t>No Appointment Made</t>
        </is>
      </c>
      <c r="AC823"/>
      <c r="AD823" t="inlineStr">
        <is>
          <t>1 Sales</t>
        </is>
      </c>
      <c r="AE823"/>
      <c r="AF823">
        <v>0</v>
      </c>
      <c r="AG823" s="4"/>
      <c r="AH823" s="4"/>
      <c r="AI823">
        <v>1200</v>
      </c>
      <c r="AJ823">
        <v>1</v>
      </c>
      <c r="AK823" t="inlineStr">
        <is>
          <t>Yes, I have</t>
        </is>
      </c>
      <c r="AL823">
        <v>1</v>
      </c>
      <c r="AM823" t="inlineStr">
        <is>
          <t>No, I don't need at all</t>
        </is>
      </c>
      <c r="AN823"/>
      <c r="AO823" t="inlineStr">
        <is>
          <t>Yes, I have</t>
        </is>
      </c>
      <c r="AP823" t="inlineStr">
        <is>
          <t>Once a year (25%)</t>
        </is>
      </c>
      <c r="AQ823">
        <v>1</v>
      </c>
      <c r="AR823" t="inlineStr">
        <is>
          <t>Did not use any job portal</t>
        </is>
      </c>
      <c r="AS823" t="inlineStr">
        <is>
          <t>- Headcount: 1
- Hiring Job Details: 1 Sales
- Hiring Urgency: Hiring Now
- Number of outlets: 1
- Have recruiter team: Yes
- Number of recruiter in company: 1
- Have ATS system: No, I don't need at all
- Have career website: Yes
- Current hiring budget: RM0.00
- Whole year budget: RM1,200.00
- Whole year number of vacancies: 1
- Hiring frequency: Once a year (25%)
- External job portal: Did not use any job portal</t>
        </is>
      </c>
      <c r="AT823">
        <v>115</v>
      </c>
      <c r="AU823" t="inlineStr">
        <is>
          <t>1.15</t>
        </is>
      </c>
      <c r="AV823" t="inlineStr">
        <is>
          <t>15</t>
        </is>
      </c>
      <c r="AW823" t="inlineStr">
        <is>
          <t>0</t>
        </is>
      </c>
      <c r="AX823" t="inlineStr">
        <is>
          <t>Not Qualified</t>
        </is>
      </c>
      <c r="AY823" s="4"/>
      <c r="AZ823"/>
      <c r="BA823"/>
      <c r="BB823"/>
      <c r="BC823" t="inlineStr">
        <is>
          <t>Paid and posted</t>
        </is>
      </c>
      <c r="BD823" s="4">
        <v>46136.41795138889</v>
      </c>
      <c r="BE823" t="inlineStr">
        <is>
          <t>paid</t>
        </is>
      </c>
      <c r="BF823" t="inlineStr">
        <is>
          <t>Q2-W03</t>
        </is>
      </c>
      <c r="BG823" t="inlineStr">
        <is>
          <t>Reschedule</t>
        </is>
      </c>
      <c r="BH823" t="inlineStr">
        <is>
          <t>Reagen</t>
        </is>
      </c>
      <c r="BI823" t="inlineStr">
        <is>
          <t>Manufacturing / Production</t>
        </is>
      </c>
      <c r="BJ823" s="4">
        <v>46144.75234953704</v>
      </c>
      <c r="BK823" s="4">
        <v>45769.36451388889</v>
      </c>
      <c r="BL823" t="inlineStr">
        <is>
          <t>4536.0</t>
        </is>
      </c>
      <c r="BM823" t="inlineStr">
        <is>
          <t>0.0</t>
        </is>
      </c>
      <c r="BN823" t="inlineStr">
        <is>
          <t>PA Visit - Job Card</t>
        </is>
      </c>
      <c r="BO823" s="4">
        <v>46144.62489583333</v>
      </c>
      <c r="BP823">
        <v>168241</v>
      </c>
      <c r="BQ823">
        <v>94665</v>
      </c>
      <c r="BR823" t="inlineStr">
        <is>
          <t>Online</t>
        </is>
      </c>
      <c r="BS823"/>
      <c r="BT823">
        <v>94665</v>
      </c>
      <c r="BU823"/>
      <c r="BV823">
        <v>2725501</v>
      </c>
      <c r="BW823" t="inlineStr">
        <is>
          <t>No Answer : Voicemail - WA sent to customer</t>
        </is>
      </c>
      <c r="BX823">
        <v>1</v>
      </c>
      <c r="BY823">
        <v>0</v>
      </c>
      <c r="BZ823" s="4">
        <v>46135.55370370371</v>
      </c>
      <c r="CA823">
        <v>10</v>
      </c>
      <c r="CB823">
        <v>9</v>
      </c>
      <c r="CC823" s="4">
        <v>46144.630324074074</v>
      </c>
      <c r="CD823" t="inlineStr">
        <is>
          <t>20</t>
        </is>
      </c>
      <c r="CE823" t="inlineStr">
        <is>
          <t>0</t>
        </is>
      </c>
      <c r="CF823" t="inlineStr">
        <is>
          <t>Q2-W03</t>
        </is>
      </c>
      <c r="CG823" t="inlineStr">
        <is>
          <t>Q2-W03</t>
        </is>
      </c>
      <c r="CH823" t="inlineStr">
        <is>
          <t>Q2-W03</t>
        </is>
      </c>
      <c r="CI823"/>
      <c r="CJ823" t="inlineStr">
        <is>
          <t>Paid</t>
        </is>
      </c>
      <c r="CK823" t="inlineStr">
        <is>
          <t>Not Eligible</t>
        </is>
      </c>
      <c r="CL823"/>
      <c r="CM823"/>
    </row>
    <row r="824" ht="25.5" customHeight="1">
      <c r="A824" t="inlineStr">
        <is>
          <t>186984</t>
        </is>
      </c>
      <c r="B824" s="2"/>
      <c r="C824"/>
      <c r="D824" s="3">
        <v>46134.477997685186</v>
      </c>
      <c r="E824" t="inlineStr">
        <is>
          <t>Q2-W03</t>
        </is>
      </c>
      <c r="F824" t="inlineStr">
        <is>
          <t>Fariz</t>
        </is>
      </c>
      <c r="G824" t="inlineStr">
        <is>
          <t>Customer</t>
        </is>
      </c>
      <c r="H824" s="2" t="str">
        <f>=HYPERLINK("https://upbox.ajobthing.my/customer/186984", "https://upbox.ajobthing.my/customer/186984")</f>
        <v>https://upbox.ajobthing.my/customer/186984</v>
      </c>
      <c r="I824" t="inlineStr">
        <is>
          <t>Sufian Engineering Consultant Sdn Bhd</t>
        </is>
      </c>
      <c r="J824" t="inlineStr">
        <is>
          <t>Dolphin</t>
        </is>
      </c>
      <c r="K824" t="inlineStr">
        <is>
          <t>Fariz</t>
        </is>
      </c>
      <c r="L824" s="4"/>
      <c r="M824" s="4">
        <v>46134.47826388889</v>
      </c>
      <c r="N824"/>
      <c r="O824">
        <v>3888</v>
      </c>
      <c r="P824" s="4"/>
      <c r="Q824" s="4"/>
      <c r="R824"/>
      <c r="S824"/>
      <c r="T824" s="4"/>
      <c r="U824" s="4"/>
      <c r="V824"/>
      <c r="W824"/>
      <c r="X824"/>
      <c r="Y824" t="inlineStr">
        <is>
          <t>Pending Appointment</t>
        </is>
      </c>
      <c r="Z824" t="inlineStr">
        <is>
          <t>Hiring Now</t>
        </is>
      </c>
      <c r="AA824">
        <v>3</v>
      </c>
      <c r="AB824" t="inlineStr">
        <is>
          <t>No Appointment Made</t>
        </is>
      </c>
      <c r="AC824"/>
      <c r="AD824" t="inlineStr">
        <is>
          <t>1 Admin, 1 architect, 1 engineer</t>
        </is>
      </c>
      <c r="AE824"/>
      <c r="AF824">
        <v>5000</v>
      </c>
      <c r="AG824" s="4"/>
      <c r="AH824" s="4"/>
      <c r="AI824">
        <v>5000</v>
      </c>
      <c r="AJ824"/>
      <c r="AK824" t="inlineStr">
        <is>
          <t>No, but I want in future</t>
        </is>
      </c>
      <c r="AL824">
        <v>1</v>
      </c>
      <c r="AM824" t="inlineStr">
        <is>
          <t>No, but I want in future</t>
        </is>
      </c>
      <c r="AN824"/>
      <c r="AO824" t="inlineStr">
        <is>
          <t>No, but I want in future</t>
        </is>
      </c>
      <c r="AP824" t="inlineStr">
        <is>
          <t>Twice a year (50%)</t>
        </is>
      </c>
      <c r="AQ824">
        <v>3</v>
      </c>
      <c r="AR824" t="inlineStr">
        <is>
          <t>Jobstreet, Free Job Portal</t>
        </is>
      </c>
      <c r="AS824" t="inlineStr">
        <is>
          <t>- Headcount: 3
- Hiring Job Details: 1 Admin, 1 architect, 1 engineer
- Hiring Urgency: Hiring Now
- Number of outlets: N/A
- Have recruiter team: No, but want in future
- Number of recruiter in company: 1
- Have ATS system: No, but want in future
- Have career website: No, but want in future
- Current hiring budget: RM5,000
- Whole year budget: RM5,000.00
- Whole year number of vacancies: 3
- Hiring frequency: Twice a year (50%)
- External job portal: Jobstreet, Free Job Portal</t>
        </is>
      </c>
      <c r="AT824">
        <v>115</v>
      </c>
      <c r="AU824" t="inlineStr">
        <is>
          <t>1.15</t>
        </is>
      </c>
      <c r="AV824" t="inlineStr">
        <is>
          <t>15</t>
        </is>
      </c>
      <c r="AW824" t="inlineStr">
        <is>
          <t>0</t>
        </is>
      </c>
      <c r="AX824" t="inlineStr">
        <is>
          <t>Not Qualified</t>
        </is>
      </c>
      <c r="AY824" s="4"/>
      <c r="AZ824"/>
      <c r="BA824"/>
      <c r="BB824"/>
      <c r="BC824" t="inlineStr">
        <is>
          <t>NA</t>
        </is>
      </c>
      <c r="BD824" s="4">
        <v>46141.7966087963</v>
      </c>
      <c r="BE824"/>
      <c r="BF824"/>
      <c r="BG824" t="inlineStr">
        <is>
          <t>Reschedule</t>
        </is>
      </c>
      <c r="BH824" t="inlineStr">
        <is>
          <t>Edward Hoo</t>
        </is>
      </c>
      <c r="BI824" t="inlineStr">
        <is>
          <t>Engineering / Technical Consulting</t>
        </is>
      </c>
      <c r="BJ824" s="4">
        <v>46144.75215277778</v>
      </c>
      <c r="BK824" s="4">
        <v>45678.483668981484</v>
      </c>
      <c r="BL824" t="inlineStr">
        <is>
          <t>0.0</t>
        </is>
      </c>
      <c r="BM824" t="inlineStr">
        <is>
          <t>1200.0</t>
        </is>
      </c>
      <c r="BN824" t="inlineStr">
        <is>
          <t>User Visit(Logged In)</t>
        </is>
      </c>
      <c r="BO824" s="4">
        <v>45678.48369212963</v>
      </c>
      <c r="BP824">
        <v>168250</v>
      </c>
      <c r="BQ824"/>
      <c r="BR824"/>
      <c r="BS824"/>
      <c r="BT824"/>
      <c r="BU824"/>
      <c r="BV824">
        <v>2736405</v>
      </c>
      <c r="BW824" t="inlineStr">
        <is>
          <t>No Answer : Voicemail - WA sent to customer</t>
        </is>
      </c>
      <c r="BX824"/>
      <c r="BY824"/>
      <c r="BZ824" s="4"/>
      <c r="CA824"/>
      <c r="CB824"/>
      <c r="CC824" s="4"/>
      <c r="CD824" t="inlineStr">
        <is>
          <t>20</t>
        </is>
      </c>
      <c r="CE824" t="inlineStr">
        <is>
          <t>0</t>
        </is>
      </c>
      <c r="CF824" t="inlineStr">
        <is>
          <t>Q2-W03</t>
        </is>
      </c>
      <c r="CG824"/>
      <c r="CH824"/>
      <c r="CI824"/>
      <c r="CJ824" t="inlineStr">
        <is>
          <t>No Paid</t>
        </is>
      </c>
      <c r="CK824" t="inlineStr">
        <is>
          <t>Not Eligible</t>
        </is>
      </c>
      <c r="CL824"/>
      <c r="CM824"/>
    </row>
    <row r="825" ht="25.5" customHeight="1">
      <c r="A825" t="inlineStr">
        <is>
          <t>173995</t>
        </is>
      </c>
      <c r="B825" s="2"/>
      <c r="C825"/>
      <c r="D825" s="3">
        <v>46134.481782407405</v>
      </c>
      <c r="E825" t="inlineStr">
        <is>
          <t>Q2-W03</t>
        </is>
      </c>
      <c r="F825" t="inlineStr">
        <is>
          <t>Chia Yee</t>
        </is>
      </c>
      <c r="G825" t="inlineStr">
        <is>
          <t>Customer</t>
        </is>
      </c>
      <c r="H825" s="2" t="str">
        <f>=HYPERLINK("https://upbox.ajobthing.my/customer/173995", "https://upbox.ajobthing.my/customer/173995")</f>
        <v>https://upbox.ajobthing.my/customer/173995</v>
      </c>
      <c r="I825" t="inlineStr">
        <is>
          <t xml:space="preserve">Rehan Advanced Technology Sdn Bhd </t>
        </is>
      </c>
      <c r="J825" t="inlineStr">
        <is>
          <t>Dolphin</t>
        </is>
      </c>
      <c r="K825" t="inlineStr">
        <is>
          <t>Chia Yee</t>
        </is>
      </c>
      <c r="L825" s="4"/>
      <c r="M825" s="4">
        <v>46134.48190972222</v>
      </c>
      <c r="N825"/>
      <c r="O825">
        <v>3888</v>
      </c>
      <c r="P825" s="4"/>
      <c r="Q825" s="4">
        <v>45975.451377314814</v>
      </c>
      <c r="R825"/>
      <c r="S825">
        <v>1296</v>
      </c>
      <c r="T825" s="4">
        <v>45975.451377314814</v>
      </c>
      <c r="U825" s="4"/>
      <c r="V825"/>
      <c r="W825">
        <v>1296</v>
      </c>
      <c r="X825"/>
      <c r="Y825" t="inlineStr">
        <is>
          <t>Pending Appointment</t>
        </is>
      </c>
      <c r="Z825" t="inlineStr">
        <is>
          <t>Hiring Now</t>
        </is>
      </c>
      <c r="AA825">
        <v>1</v>
      </c>
      <c r="AB825" t="inlineStr">
        <is>
          <t>No Appointment Made</t>
        </is>
      </c>
      <c r="AC825"/>
      <c r="AD825" t="inlineStr">
        <is>
          <t>1 hr admin cum accountant</t>
        </is>
      </c>
      <c r="AE825"/>
      <c r="AF825">
        <v>0</v>
      </c>
      <c r="AG825" s="4"/>
      <c r="AH825" s="4"/>
      <c r="AI825">
        <v>0</v>
      </c>
      <c r="AJ825">
        <v>1</v>
      </c>
      <c r="AK825" t="inlineStr">
        <is>
          <t>No, I don't need at all</t>
        </is>
      </c>
      <c r="AL825">
        <v>1</v>
      </c>
      <c r="AM825" t="inlineStr">
        <is>
          <t>No, I don't need at all</t>
        </is>
      </c>
      <c r="AN825"/>
      <c r="AO825" t="inlineStr">
        <is>
          <t>No, I don't need at all</t>
        </is>
      </c>
      <c r="AP825" t="inlineStr">
        <is>
          <t>Once a year (25%)</t>
        </is>
      </c>
      <c r="AQ825">
        <v>1</v>
      </c>
      <c r="AR825" t="inlineStr">
        <is>
          <t>Did not use any job portal</t>
        </is>
      </c>
      <c r="AS825" t="inlineStr">
        <is>
          <t>- Headcount: 1
- Hiring Job Details: 1 hr admin cum accountant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825">
        <v>105</v>
      </c>
      <c r="AU825" t="inlineStr">
        <is>
          <t>1.05</t>
        </is>
      </c>
      <c r="AV825" t="inlineStr">
        <is>
          <t>15</t>
        </is>
      </c>
      <c r="AW825" t="inlineStr">
        <is>
          <t>0</t>
        </is>
      </c>
      <c r="AX825" t="inlineStr">
        <is>
          <t>Not Qualified</t>
        </is>
      </c>
      <c r="AY825" s="4"/>
      <c r="AZ825"/>
      <c r="BA825"/>
      <c r="BB825"/>
      <c r="BC825" t="inlineStr">
        <is>
          <t>Replied: found candidate ady</t>
        </is>
      </c>
      <c r="BD825" s="4">
        <v>46140.51792824074</v>
      </c>
      <c r="BE825" t="inlineStr">
        <is>
          <t>paid</t>
        </is>
      </c>
      <c r="BF825"/>
      <c r="BG825" t="inlineStr">
        <is>
          <t>Reschedule</t>
        </is>
      </c>
      <c r="BH825" t="inlineStr">
        <is>
          <t>Reagen</t>
        </is>
      </c>
      <c r="BI825" t="inlineStr">
        <is>
          <t>Security / Law Enforcement</t>
        </is>
      </c>
      <c r="BJ825" s="4">
        <v>46144.75152777778</v>
      </c>
      <c r="BK825" s="4">
        <v>45282.73270833334</v>
      </c>
      <c r="BL825" t="inlineStr">
        <is>
          <t>1296.0</t>
        </is>
      </c>
      <c r="BM825" t="inlineStr">
        <is>
          <t>0.0</t>
        </is>
      </c>
      <c r="BN825" t="inlineStr">
        <is>
          <t>View Jobmanager Page</t>
        </is>
      </c>
      <c r="BO825" s="4">
        <v>46030.52820601852</v>
      </c>
      <c r="BP825">
        <v>168254</v>
      </c>
      <c r="BQ825">
        <v>84168</v>
      </c>
      <c r="BR825" t="inlineStr">
        <is>
          <t>Online</t>
        </is>
      </c>
      <c r="BS825"/>
      <c r="BT825">
        <v>84168</v>
      </c>
      <c r="BU825"/>
      <c r="BV825">
        <v>2732445</v>
      </c>
      <c r="BW825" t="inlineStr">
        <is>
          <t>Inquire for Hiring Needs : No Hiring</t>
        </is>
      </c>
      <c r="BX825"/>
      <c r="BY825"/>
      <c r="BZ825" s="4"/>
      <c r="CA825"/>
      <c r="CB825"/>
      <c r="CC825" s="4"/>
      <c r="CD825" t="inlineStr">
        <is>
          <t>20</t>
        </is>
      </c>
      <c r="CE825" t="inlineStr">
        <is>
          <t>0</t>
        </is>
      </c>
      <c r="CF825" t="inlineStr">
        <is>
          <t>Q2-W03</t>
        </is>
      </c>
      <c r="CG825"/>
      <c r="CH825"/>
      <c r="CI825"/>
      <c r="CJ825" t="inlineStr">
        <is>
          <t>Paid</t>
        </is>
      </c>
      <c r="CK825" t="inlineStr">
        <is>
          <t>Not Eligible</t>
        </is>
      </c>
      <c r="CL825"/>
      <c r="CM825"/>
    </row>
    <row r="826" ht="25.5" customHeight="1">
      <c r="A826" t="inlineStr">
        <is>
          <t>203433</t>
        </is>
      </c>
      <c r="B826" s="2"/>
      <c r="C826"/>
      <c r="D826" s="3">
        <v>46134.48662037037</v>
      </c>
      <c r="E826" t="inlineStr">
        <is>
          <t>Q2-W03</t>
        </is>
      </c>
      <c r="F826" t="inlineStr">
        <is>
          <t>Alan KY</t>
        </is>
      </c>
      <c r="G826" t="inlineStr">
        <is>
          <t>Customer</t>
        </is>
      </c>
      <c r="H826" s="2" t="str">
        <f>=HYPERLINK("https://upbox.ajobthing.my/customer/203433", "https://upbox.ajobthing.my/customer/203433")</f>
        <v>https://upbox.ajobthing.my/customer/203433</v>
      </c>
      <c r="I826" t="inlineStr">
        <is>
          <t>Her Place Sdn Bhd</t>
        </is>
      </c>
      <c r="J826" t="inlineStr">
        <is>
          <t>Dolphin</t>
        </is>
      </c>
      <c r="K826" t="inlineStr">
        <is>
          <t>Alan KY</t>
        </is>
      </c>
      <c r="L826" s="4"/>
      <c r="M826" s="4">
        <v>46134.490208333336</v>
      </c>
      <c r="N826"/>
      <c r="O826">
        <v>3888</v>
      </c>
      <c r="P826" s="4"/>
      <c r="Q826" s="4"/>
      <c r="R826"/>
      <c r="S826"/>
      <c r="T826" s="4"/>
      <c r="U826" s="4"/>
      <c r="V826"/>
      <c r="W826"/>
      <c r="X826"/>
      <c r="Y826" t="inlineStr">
        <is>
          <t>Pending Appointment</t>
        </is>
      </c>
      <c r="Z826" t="inlineStr">
        <is>
          <t>Hiring Now</t>
        </is>
      </c>
      <c r="AA826">
        <v>1</v>
      </c>
      <c r="AB826" t="inlineStr">
        <is>
          <t>No Appointment Made</t>
        </is>
      </c>
      <c r="AC826"/>
      <c r="AD826" t="inlineStr">
        <is>
          <t xml:space="preserve">Finance cum admin 1 , urgent. Based in Selangor </t>
        </is>
      </c>
      <c r="AE826"/>
      <c r="AF826"/>
      <c r="AG826" s="4"/>
      <c r="AH826" s="4"/>
      <c r="AI826"/>
      <c r="AJ826"/>
      <c r="AK826" t="inlineStr">
        <is>
          <t>No, I don't need at all</t>
        </is>
      </c>
      <c r="AL826">
        <v>0</v>
      </c>
      <c r="AM826" t="inlineStr">
        <is>
          <t>No, I don't need at all</t>
        </is>
      </c>
      <c r="AN826"/>
      <c r="AO826" t="inlineStr">
        <is>
          <t>No, I don't need at all</t>
        </is>
      </c>
      <c r="AP826" t="inlineStr">
        <is>
          <t>Once per quarter (75%)</t>
        </is>
      </c>
      <c r="AQ826"/>
      <c r="AR826" t="inlineStr">
        <is>
          <t>Jobstreet</t>
        </is>
      </c>
      <c r="AS826" t="inlineStr">
        <is>
          <t>- Headcount: 1
- Hiring Job Details: 1 Finance cum admin, urgent, based in Selangor
- Hiring Urgency: Hiring Now
- Number of outlets: Not specified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826">
        <v>95</v>
      </c>
      <c r="AU826" t="inlineStr">
        <is>
          <t>0.95</t>
        </is>
      </c>
      <c r="AV826" t="inlineStr">
        <is>
          <t>5</t>
        </is>
      </c>
      <c r="AW826" t="inlineStr">
        <is>
          <t>0</t>
        </is>
      </c>
      <c r="AX826" t="inlineStr">
        <is>
          <t>Not Qualified</t>
        </is>
      </c>
      <c r="AY826" s="4"/>
      <c r="AZ826"/>
      <c r="BA826"/>
      <c r="BB826"/>
      <c r="BC826" t="inlineStr">
        <is>
          <t>- Headcount: 1
- Hiring Job Details: 1 Finance cum admin, urgent, based in Selangor
- Hiring Urgency: Hiring Now
- Number of outlets: Not specified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BD826" s="4">
        <v>46134.50003472222</v>
      </c>
      <c r="BE826"/>
      <c r="BF826"/>
      <c r="BG826" t="inlineStr">
        <is>
          <t>Reschedule</t>
        </is>
      </c>
      <c r="BH826" t="inlineStr">
        <is>
          <t>Reagen</t>
        </is>
      </c>
      <c r="BI826" t="inlineStr">
        <is>
          <t>Beauty / Fitness</t>
        </is>
      </c>
      <c r="BJ826" s="4">
        <v>46144.75430555556</v>
      </c>
      <c r="BK826" s="4">
        <v>46132.618055555555</v>
      </c>
      <c r="BL826" t="inlineStr">
        <is>
          <t>0.0</t>
        </is>
      </c>
      <c r="BM826" t="inlineStr">
        <is>
          <t>0.0</t>
        </is>
      </c>
      <c r="BN826" t="inlineStr">
        <is>
          <t>View Jobmanager Page</t>
        </is>
      </c>
      <c r="BO826" s="4">
        <v>46134.484930555554</v>
      </c>
      <c r="BP826">
        <v>168262</v>
      </c>
      <c r="BQ826"/>
      <c r="BR826"/>
      <c r="BS826"/>
      <c r="BT826"/>
      <c r="BU826"/>
      <c r="BV826">
        <v>2720218</v>
      </c>
      <c r="BW826" t="inlineStr">
        <is>
          <t>Customer Inquiry</t>
        </is>
      </c>
      <c r="BX826"/>
      <c r="BY826"/>
      <c r="BZ826" s="4"/>
      <c r="CA826"/>
      <c r="CB826"/>
      <c r="CC826" s="4"/>
      <c r="CD826" t="inlineStr">
        <is>
          <t>5</t>
        </is>
      </c>
      <c r="CE826" t="inlineStr">
        <is>
          <t>0</t>
        </is>
      </c>
      <c r="CF826" t="inlineStr">
        <is>
          <t>Q2-W03</t>
        </is>
      </c>
      <c r="CG826"/>
      <c r="CH826"/>
      <c r="CI826"/>
      <c r="CJ826" t="inlineStr">
        <is>
          <t>No Paid</t>
        </is>
      </c>
      <c r="CK826" t="inlineStr">
        <is>
          <t>Not Eligible</t>
        </is>
      </c>
      <c r="CL826"/>
      <c r="CM826"/>
    </row>
    <row r="827" ht="25.5" customHeight="1">
      <c r="A827" t="inlineStr">
        <is>
          <t>203398</t>
        </is>
      </c>
      <c r="B827" s="2"/>
      <c r="C827"/>
      <c r="D827" s="3">
        <v>46134.48886574074</v>
      </c>
      <c r="E827" t="inlineStr">
        <is>
          <t>Q2-W03</t>
        </is>
      </c>
      <c r="F827" t="inlineStr">
        <is>
          <t>Chia Yee</t>
        </is>
      </c>
      <c r="G827" t="inlineStr">
        <is>
          <t>Customer</t>
        </is>
      </c>
      <c r="H827" s="2" t="str">
        <f>=HYPERLINK("https://upbox.ajobthing.my/customer/203398", "https://upbox.ajobthing.my/customer/203398")</f>
        <v>https://upbox.ajobthing.my/customer/203398</v>
      </c>
      <c r="I827" t="inlineStr">
        <is>
          <t>Xin Heng Safety Glass Sdn Bhd</t>
        </is>
      </c>
      <c r="J827" t="inlineStr">
        <is>
          <t>Dolphin</t>
        </is>
      </c>
      <c r="K827" t="inlineStr">
        <is>
          <t>Chia Yee</t>
        </is>
      </c>
      <c r="L827" s="4"/>
      <c r="M827" s="4">
        <v>46134.489016203705</v>
      </c>
      <c r="N827"/>
      <c r="O827">
        <v>6048</v>
      </c>
      <c r="P827" s="4"/>
      <c r="Q827" s="4">
        <v>46135.41679398148</v>
      </c>
      <c r="R827"/>
      <c r="S827">
        <v>1404</v>
      </c>
      <c r="T827" s="4">
        <v>46135.41679398148</v>
      </c>
      <c r="U827" s="4"/>
      <c r="V827"/>
      <c r="W827">
        <v>1404</v>
      </c>
      <c r="X827"/>
      <c r="Y827" t="inlineStr">
        <is>
          <t>Pending Appointment</t>
        </is>
      </c>
      <c r="Z827" t="inlineStr">
        <is>
          <t>Hiring Now</t>
        </is>
      </c>
      <c r="AA827">
        <v>1</v>
      </c>
      <c r="AB827" t="inlineStr">
        <is>
          <t>No Appointment Made</t>
        </is>
      </c>
      <c r="AC827"/>
      <c r="AD827" t="inlineStr">
        <is>
          <t>1 Account assistant</t>
        </is>
      </c>
      <c r="AE827"/>
      <c r="AF827">
        <v>0</v>
      </c>
      <c r="AG827" s="4"/>
      <c r="AH827" s="4"/>
      <c r="AI827">
        <v>0</v>
      </c>
      <c r="AJ827">
        <v>1</v>
      </c>
      <c r="AK827" t="inlineStr">
        <is>
          <t>No, I don't need at all</t>
        </is>
      </c>
      <c r="AL827">
        <v>1</v>
      </c>
      <c r="AM827" t="inlineStr">
        <is>
          <t>No, I don't need at all</t>
        </is>
      </c>
      <c r="AN827"/>
      <c r="AO827" t="inlineStr">
        <is>
          <t>Yes, I have</t>
        </is>
      </c>
      <c r="AP827" t="inlineStr">
        <is>
          <t>Once a year (25%)</t>
        </is>
      </c>
      <c r="AQ827">
        <v>1</v>
      </c>
      <c r="AR827" t="inlineStr">
        <is>
          <t>Did not use any job portal</t>
        </is>
      </c>
      <c r="AS827" t="inlineStr">
        <is>
          <t>- Headcount: 1
- Hiring Job Details: 1 Account assistant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is>
      </c>
      <c r="AT827">
        <v>110</v>
      </c>
      <c r="AU827" t="inlineStr">
        <is>
          <t>1.10</t>
        </is>
      </c>
      <c r="AV827" t="inlineStr">
        <is>
          <t>15</t>
        </is>
      </c>
      <c r="AW827" t="inlineStr">
        <is>
          <t>0</t>
        </is>
      </c>
      <c r="AX827" t="inlineStr">
        <is>
          <t>Not Qualified</t>
        </is>
      </c>
      <c r="AY827" s="4"/>
      <c r="AZ827"/>
      <c r="BA827"/>
      <c r="BB827"/>
      <c r="BC827" t="inlineStr">
        <is>
          <t>WA ask e- invoice. Share</t>
        </is>
      </c>
      <c r="BD827" s="4">
        <v>46136.52211805555</v>
      </c>
      <c r="BE827" t="inlineStr">
        <is>
          <t>paid</t>
        </is>
      </c>
      <c r="BF827" t="inlineStr">
        <is>
          <t>Q2-W03</t>
        </is>
      </c>
      <c r="BG827" t="inlineStr">
        <is>
          <t>Reschedule</t>
        </is>
      </c>
      <c r="BH827" t="inlineStr">
        <is>
          <t>Reagen</t>
        </is>
      </c>
      <c r="BI827"/>
      <c r="BJ827" s="4">
        <v>46144.75430555556</v>
      </c>
      <c r="BK827" s="4">
        <v>46131.585011574076</v>
      </c>
      <c r="BL827" t="inlineStr">
        <is>
          <t>1404.0</t>
        </is>
      </c>
      <c r="BM827" t="inlineStr">
        <is>
          <t>0.0</t>
        </is>
      </c>
      <c r="BN827" t="inlineStr">
        <is>
          <t>View Company Page</t>
        </is>
      </c>
      <c r="BO827" s="4">
        <v>46144.56123842593</v>
      </c>
      <c r="BP827">
        <v>168261</v>
      </c>
      <c r="BQ827">
        <v>94651</v>
      </c>
      <c r="BR827" t="inlineStr">
        <is>
          <t>Online</t>
        </is>
      </c>
      <c r="BS827"/>
      <c r="BT827">
        <v>94651</v>
      </c>
      <c r="BU827"/>
      <c r="BV827">
        <v>2726172</v>
      </c>
      <c r="BW827" t="inlineStr">
        <is>
          <t>Follow Up : Win - Customer Paid</t>
        </is>
      </c>
      <c r="BX827">
        <v>1</v>
      </c>
      <c r="BY827">
        <v>0</v>
      </c>
      <c r="BZ827" s="4">
        <v>46135.416817129626</v>
      </c>
      <c r="CA827">
        <v>23</v>
      </c>
      <c r="CB827">
        <v>23</v>
      </c>
      <c r="CC827" s="4"/>
      <c r="CD827" t="inlineStr">
        <is>
          <t>20</t>
        </is>
      </c>
      <c r="CE827" t="inlineStr">
        <is>
          <t>0</t>
        </is>
      </c>
      <c r="CF827" t="inlineStr">
        <is>
          <t>Q2-W03</t>
        </is>
      </c>
      <c r="CG827" t="inlineStr">
        <is>
          <t>Q2-W03</t>
        </is>
      </c>
      <c r="CH827" t="inlineStr">
        <is>
          <t>Q2-W03</t>
        </is>
      </c>
      <c r="CI827"/>
      <c r="CJ827" t="inlineStr">
        <is>
          <t>Paid</t>
        </is>
      </c>
      <c r="CK827" t="inlineStr">
        <is>
          <t>Not Eligible</t>
        </is>
      </c>
      <c r="CL827"/>
      <c r="CM827"/>
    </row>
    <row r="828" ht="25.5" customHeight="1">
      <c r="A828" t="inlineStr">
        <is>
          <t>37589</t>
        </is>
      </c>
      <c r="B828" s="2"/>
      <c r="C828"/>
      <c r="D828" s="3">
        <v>46134.49015046296</v>
      </c>
      <c r="E828" t="inlineStr">
        <is>
          <t>Q2-W03</t>
        </is>
      </c>
      <c r="F828" t="inlineStr">
        <is>
          <t>Ratha</t>
        </is>
      </c>
      <c r="G828" t="inlineStr">
        <is>
          <t>Customer</t>
        </is>
      </c>
      <c r="H828" s="2" t="str">
        <f>=HYPERLINK("https://upbox.ajobthing.my/customer/37589", "https://upbox.ajobthing.my/customer/37589")</f>
        <v>https://upbox.ajobthing.my/customer/37589</v>
      </c>
      <c r="I828" t="inlineStr">
        <is>
          <t>Ecolite Biotech Manufacturing Sdn Bhd</t>
        </is>
      </c>
      <c r="J828" t="inlineStr">
        <is>
          <t>Dolphin</t>
        </is>
      </c>
      <c r="K828" t="inlineStr">
        <is>
          <t>Ratha</t>
        </is>
      </c>
      <c r="L828" s="4"/>
      <c r="M828" s="4">
        <v>46134.491111111114</v>
      </c>
      <c r="N828"/>
      <c r="O828">
        <v>5832</v>
      </c>
      <c r="P828" s="4"/>
      <c r="Q828" s="4"/>
      <c r="R828"/>
      <c r="S828"/>
      <c r="T828" s="4"/>
      <c r="U828" s="4"/>
      <c r="V828"/>
      <c r="W828"/>
      <c r="X828"/>
      <c r="Y828" t="inlineStr">
        <is>
          <t>Pending Appointment</t>
        </is>
      </c>
      <c r="Z828" t="inlineStr">
        <is>
          <t>Hiring Later</t>
        </is>
      </c>
      <c r="AA828">
        <v>2</v>
      </c>
      <c r="AB828" t="inlineStr">
        <is>
          <t>No Appointment Made</t>
        </is>
      </c>
      <c r="AC828"/>
      <c r="AD828" t="inlineStr">
        <is>
          <t>Customer Service
sales
Location : Kl</t>
        </is>
      </c>
      <c r="AE828"/>
      <c r="AF828"/>
      <c r="AG828" s="4"/>
      <c r="AH828" s="4"/>
      <c r="AI828">
        <v>0</v>
      </c>
      <c r="AJ828">
        <v>1</v>
      </c>
      <c r="AK828" t="inlineStr">
        <is>
          <t>Yes, I have</t>
        </is>
      </c>
      <c r="AL828">
        <v>2</v>
      </c>
      <c r="AM828" t="inlineStr">
        <is>
          <t>No, I don't need at all</t>
        </is>
      </c>
      <c r="AN828"/>
      <c r="AO828" t="inlineStr">
        <is>
          <t>No, I don't need at all</t>
        </is>
      </c>
      <c r="AP828" t="inlineStr">
        <is>
          <t>Once per quarter (75%)</t>
        </is>
      </c>
      <c r="AQ828">
        <v>0</v>
      </c>
      <c r="AR828" t="inlineStr">
        <is>
          <t>Jobstreet, Free Job Portal</t>
        </is>
      </c>
      <c r="AS828" t="inlineStr">
        <is>
          <t>- Headcount: 2
- Hiring Job Details: Customer Service, sales (Location: Kl)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828">
        <v>75</v>
      </c>
      <c r="AU828" t="inlineStr">
        <is>
          <t>0.75</t>
        </is>
      </c>
      <c r="AV828" t="inlineStr">
        <is>
          <t>5</t>
        </is>
      </c>
      <c r="AW828" t="inlineStr">
        <is>
          <t>0</t>
        </is>
      </c>
      <c r="AX828" t="inlineStr">
        <is>
          <t>Not Qualified</t>
        </is>
      </c>
      <c r="AY828" s="4"/>
      <c r="AZ828"/>
      <c r="BA828"/>
      <c r="BB828"/>
      <c r="BC828" t="inlineStr">
        <is>
          <t>not proceed - JS budget 1 job - 3 months RM2000</t>
        </is>
      </c>
      <c r="BD828" s="4">
        <v>46142.420949074076</v>
      </c>
      <c r="BE828"/>
      <c r="BF828"/>
      <c r="BG828" t="inlineStr">
        <is>
          <t>Reschedule</t>
        </is>
      </c>
      <c r="BH828" t="inlineStr">
        <is>
          <t>Fauziah Maharan</t>
        </is>
      </c>
      <c r="BI828" t="inlineStr">
        <is>
          <t>Manufacturing / Production</t>
        </is>
      </c>
      <c r="BJ828" s="4">
        <v>46144.75480324074</v>
      </c>
      <c r="BK828" s="4">
        <v>42878.445439814815</v>
      </c>
      <c r="BL828" t="inlineStr">
        <is>
          <t>0.0</t>
        </is>
      </c>
      <c r="BM828" t="inlineStr">
        <is>
          <t>3000.0</t>
        </is>
      </c>
      <c r="BN828"/>
      <c r="BO828" s="4"/>
      <c r="BP828">
        <v>168265</v>
      </c>
      <c r="BQ828"/>
      <c r="BR828"/>
      <c r="BS828"/>
      <c r="BT828"/>
      <c r="BU828"/>
      <c r="BV828">
        <v>2736655</v>
      </c>
      <c r="BW828" t="inlineStr">
        <is>
          <t>Follow Up : Budget Concern</t>
        </is>
      </c>
      <c r="BX828"/>
      <c r="BY828"/>
      <c r="BZ828" s="4"/>
      <c r="CA828"/>
      <c r="CB828"/>
      <c r="CC828" s="4"/>
      <c r="CD828" t="inlineStr">
        <is>
          <t>5</t>
        </is>
      </c>
      <c r="CE828" t="inlineStr">
        <is>
          <t>0</t>
        </is>
      </c>
      <c r="CF828" t="inlineStr">
        <is>
          <t>Q2-W03</t>
        </is>
      </c>
      <c r="CG828"/>
      <c r="CH828"/>
      <c r="CI828"/>
      <c r="CJ828" t="inlineStr">
        <is>
          <t>No Paid</t>
        </is>
      </c>
      <c r="CK828" t="inlineStr">
        <is>
          <t>Not Eligible</t>
        </is>
      </c>
      <c r="CL828"/>
      <c r="CM828"/>
    </row>
    <row r="829" ht="25.5" customHeight="1">
      <c r="A829" t="inlineStr">
        <is>
          <t>147458</t>
        </is>
      </c>
      <c r="B829" s="2"/>
      <c r="C829"/>
      <c r="D829" s="3">
        <v>46134.49337962963</v>
      </c>
      <c r="E829" t="inlineStr">
        <is>
          <t>Q2-W03</t>
        </is>
      </c>
      <c r="F829" t="inlineStr">
        <is>
          <t>Josh</t>
        </is>
      </c>
      <c r="G829" t="inlineStr">
        <is>
          <t>Customer</t>
        </is>
      </c>
      <c r="H829" s="2" t="str">
        <f>=HYPERLINK("https://upbox.ajobthing.my/customer/147458", "https://upbox.ajobthing.my/customer/147458")</f>
        <v>https://upbox.ajobthing.my/customer/147458</v>
      </c>
      <c r="I829" t="inlineStr">
        <is>
          <t>CMEIS</t>
        </is>
      </c>
      <c r="J829" t="inlineStr">
        <is>
          <t>Dolphin</t>
        </is>
      </c>
      <c r="K829" t="inlineStr">
        <is>
          <t>Josh</t>
        </is>
      </c>
      <c r="L829" s="4"/>
      <c r="M829" s="4">
        <v>46134.49395833333</v>
      </c>
      <c r="N829"/>
      <c r="O829">
        <v>1296</v>
      </c>
      <c r="P829" s="4"/>
      <c r="Q829" s="4"/>
      <c r="R829"/>
      <c r="S829"/>
      <c r="T829" s="4"/>
      <c r="U829" s="4"/>
      <c r="V829"/>
      <c r="W829"/>
      <c r="X829"/>
      <c r="Y829" t="inlineStr">
        <is>
          <t>Pending Appointment</t>
        </is>
      </c>
      <c r="Z829" t="inlineStr">
        <is>
          <t>Hiring Now</t>
        </is>
      </c>
      <c r="AA829">
        <v>1</v>
      </c>
      <c r="AB829" t="inlineStr">
        <is>
          <t>No Appointment Made</t>
        </is>
      </c>
      <c r="AC829"/>
      <c r="AD829" t="inlineStr">
        <is>
          <t xml:space="preserve">1 site engineer </t>
        </is>
      </c>
      <c r="AE829"/>
      <c r="AF829">
        <v>1500</v>
      </c>
      <c r="AG829" s="4"/>
      <c r="AH829" s="4"/>
      <c r="AI829"/>
      <c r="AJ829"/>
      <c r="AK829" t="inlineStr">
        <is>
          <t>Yes, I have</t>
        </is>
      </c>
      <c r="AL829"/>
      <c r="AM829"/>
      <c r="AN829"/>
      <c r="AO829"/>
      <c r="AP829" t="inlineStr">
        <is>
          <t>Once a year (25%)</t>
        </is>
      </c>
      <c r="AQ829"/>
      <c r="AR829"/>
      <c r="AS829" t="inlineStr">
        <is>
          <t>- Headcount: 1
- Hiring Job Details: 1 site engineer
- Hiring Urgency: Hiring Now
- Number of outlets: Not provided
- Have recruiter team: Yes
- Number of recruiter in company: Not provided
- Have ATS system: Not provided
- Have career website: Not provided
- Current hiring budget: RM1,500.00
- Whole year budget: Not provided
- Whole year number of vacancies: Not provided
- Hiring frequency: Once a year (25%)
- External job portal: Not provided</t>
        </is>
      </c>
      <c r="AT829">
        <v>75</v>
      </c>
      <c r="AU829" t="inlineStr">
        <is>
          <t>0.75</t>
        </is>
      </c>
      <c r="AV829" t="inlineStr">
        <is>
          <t>15</t>
        </is>
      </c>
      <c r="AW829" t="inlineStr">
        <is>
          <t>0</t>
        </is>
      </c>
      <c r="AX829" t="inlineStr">
        <is>
          <t>Not Qualified</t>
        </is>
      </c>
      <c r="AY829" s="4"/>
      <c r="AZ829"/>
      <c r="BA829"/>
      <c r="BB829"/>
      <c r="BC829" t="inlineStr">
        <is>
          <t>go for 1 job</t>
        </is>
      </c>
      <c r="BD829" s="4">
        <v>46139.428773148145</v>
      </c>
      <c r="BE829"/>
      <c r="BF829"/>
      <c r="BG829" t="inlineStr">
        <is>
          <t>Reschedule</t>
        </is>
      </c>
      <c r="BH829" t="inlineStr">
        <is>
          <t>Fauziah Maharan</t>
        </is>
      </c>
      <c r="BI829" t="inlineStr">
        <is>
          <t>Engineering / Technical Consulting</t>
        </is>
      </c>
      <c r="BJ829" s="4">
        <v>46139.43846064815</v>
      </c>
      <c r="BK829" s="4">
        <v>44582.238657407404</v>
      </c>
      <c r="BL829" t="inlineStr">
        <is>
          <t>0.0</t>
        </is>
      </c>
      <c r="BM829" t="inlineStr">
        <is>
          <t>0.0</t>
        </is>
      </c>
      <c r="BN829" t="inlineStr">
        <is>
          <t>View Jobmanager Page</t>
        </is>
      </c>
      <c r="BO829" s="4">
        <v>44582.65363425926</v>
      </c>
      <c r="BP829">
        <v>168268</v>
      </c>
      <c r="BQ829"/>
      <c r="BR829"/>
      <c r="BS829"/>
      <c r="BT829"/>
      <c r="BU829"/>
      <c r="BV829">
        <v>2728303</v>
      </c>
      <c r="BW829" t="inlineStr">
        <is>
          <t>Follow Up : Invoice Sent 75%</t>
        </is>
      </c>
      <c r="BX829"/>
      <c r="BY829"/>
      <c r="BZ829" s="4"/>
      <c r="CA829"/>
      <c r="CB829"/>
      <c r="CC829" s="4"/>
      <c r="CD829" t="inlineStr">
        <is>
          <t>20</t>
        </is>
      </c>
      <c r="CE829" t="inlineStr">
        <is>
          <t>0</t>
        </is>
      </c>
      <c r="CF829" t="inlineStr">
        <is>
          <t>Q2-W03</t>
        </is>
      </c>
      <c r="CG829"/>
      <c r="CH829"/>
      <c r="CI829"/>
      <c r="CJ829" t="inlineStr">
        <is>
          <t>No Paid</t>
        </is>
      </c>
      <c r="CK829" t="inlineStr">
        <is>
          <t>Not Eligible</t>
        </is>
      </c>
      <c r="CL829"/>
      <c r="CM829"/>
    </row>
    <row r="830" ht="25.5" customHeight="1">
      <c r="A830" t="inlineStr">
        <is>
          <t>191576</t>
        </is>
      </c>
      <c r="B830" s="2"/>
      <c r="C830"/>
      <c r="D830" s="3">
        <v>46134.49733796297</v>
      </c>
      <c r="E830" t="inlineStr">
        <is>
          <t>Q2-W03</t>
        </is>
      </c>
      <c r="F830" t="inlineStr">
        <is>
          <t>Derek Lim</t>
        </is>
      </c>
      <c r="G830" t="inlineStr">
        <is>
          <t>Customer</t>
        </is>
      </c>
      <c r="H830" s="2" t="str">
        <f>=HYPERLINK("https://upbox.ajobthing.my/customer/191576", "https://upbox.ajobthing.my/customer/191576")</f>
        <v>https://upbox.ajobthing.my/customer/191576</v>
      </c>
      <c r="I830" t="inlineStr">
        <is>
          <t>Space Plast Sdn Bhd</t>
        </is>
      </c>
      <c r="J830" t="inlineStr">
        <is>
          <t>Dolphin</t>
        </is>
      </c>
      <c r="K830" t="inlineStr">
        <is>
          <t>Derek Lim</t>
        </is>
      </c>
      <c r="L830" s="4"/>
      <c r="M830" s="4">
        <v>46134.497708333336</v>
      </c>
      <c r="N830"/>
      <c r="O830">
        <v>6048</v>
      </c>
      <c r="P830" s="4"/>
      <c r="Q830" s="4"/>
      <c r="R830"/>
      <c r="S830"/>
      <c r="T830" s="4"/>
      <c r="U830" s="4"/>
      <c r="V830"/>
      <c r="W830"/>
      <c r="X830"/>
      <c r="Y830" t="inlineStr">
        <is>
          <t>Pending Appointment</t>
        </is>
      </c>
      <c r="Z830" t="inlineStr">
        <is>
          <t>Hiring Now</t>
        </is>
      </c>
      <c r="AA830">
        <v>3</v>
      </c>
      <c r="AB830" t="inlineStr">
        <is>
          <t>No Appointment Made</t>
        </is>
      </c>
      <c r="AC830"/>
      <c r="AD830" t="inlineStr">
        <is>
          <t>Technician - 1, logistic executive - 1, engineer - 1</t>
        </is>
      </c>
      <c r="AE830"/>
      <c r="AF830">
        <v>800</v>
      </c>
      <c r="AG830" s="4"/>
      <c r="AH830" s="4"/>
      <c r="AI830">
        <v>2400</v>
      </c>
      <c r="AJ830">
        <v>1</v>
      </c>
      <c r="AK830" t="inlineStr">
        <is>
          <t>No, but I want in future</t>
        </is>
      </c>
      <c r="AL830">
        <v>0</v>
      </c>
      <c r="AM830" t="inlineStr">
        <is>
          <t>No, I don't need at all</t>
        </is>
      </c>
      <c r="AN830"/>
      <c r="AO830" t="inlineStr">
        <is>
          <t>No, but I want in future</t>
        </is>
      </c>
      <c r="AP830" t="inlineStr">
        <is>
          <t>Twice a year (50%)</t>
        </is>
      </c>
      <c r="AQ830">
        <v>3</v>
      </c>
      <c r="AR830" t="inlineStr">
        <is>
          <t>Jobstreet, Indeed (Paid), Free Job Portal</t>
        </is>
      </c>
      <c r="AS830" t="inlineStr">
        <is>
          <t>- Headcount: 3
- Hiring Job Details: 1 Technician, 1 logistic executive, 1 engineer
- Hiring Urgency: Hiring Now
- Number of outlets: 1
- Have recruiter team: No, but want in future
- Number of recruiter in company: 0
- Have ATS system: No, don't need at all
- Have career website: No, but want in future
- Current hiring budget: RM800
- Whole year budget: RM2,400.00
- Whole year number of vacancies: 3
- Hiring frequency: Twice a year (50%)
- External job portal: Jobstreet, Indeed (Paid), Free Job Portal</t>
        </is>
      </c>
      <c r="AT830">
        <v>95</v>
      </c>
      <c r="AU830" t="inlineStr">
        <is>
          <t>0.95</t>
        </is>
      </c>
      <c r="AV830" t="inlineStr">
        <is>
          <t>15</t>
        </is>
      </c>
      <c r="AW830" t="inlineStr">
        <is>
          <t>0</t>
        </is>
      </c>
      <c r="AX830" t="inlineStr">
        <is>
          <t>Not Qualified</t>
        </is>
      </c>
      <c r="AY830" s="4"/>
      <c r="AZ830"/>
      <c r="BA830"/>
      <c r="BB830"/>
      <c r="BC830" t="inlineStr">
        <is>
          <t>NO ANSWER, WHATSAPP</t>
        </is>
      </c>
      <c r="BD830" s="4">
        <v>46141.59428240741</v>
      </c>
      <c r="BE830"/>
      <c r="BF830"/>
      <c r="BG830" t="inlineStr">
        <is>
          <t>Reschedule</t>
        </is>
      </c>
      <c r="BH830" t="inlineStr">
        <is>
          <t>Edward Hoo</t>
        </is>
      </c>
      <c r="BI830"/>
      <c r="BJ830" s="4">
        <v>46144.752430555556</v>
      </c>
      <c r="BK830" s="4">
        <v>45798.453680555554</v>
      </c>
      <c r="BL830" t="inlineStr">
        <is>
          <t>0.0</t>
        </is>
      </c>
      <c r="BM830" t="inlineStr">
        <is>
          <t>2400.0</t>
        </is>
      </c>
      <c r="BN830" t="inlineStr">
        <is>
          <t>View Company Page</t>
        </is>
      </c>
      <c r="BO830" s="4">
        <v>46134.48546296296</v>
      </c>
      <c r="BP830">
        <v>168271</v>
      </c>
      <c r="BQ830"/>
      <c r="BR830"/>
      <c r="BS830"/>
      <c r="BT830"/>
      <c r="BU830"/>
      <c r="BV830">
        <v>2735241</v>
      </c>
      <c r="BW830" t="inlineStr">
        <is>
          <t>No Answer : Voicemail - WA sent to customer</t>
        </is>
      </c>
      <c r="BX830"/>
      <c r="BY830"/>
      <c r="BZ830" s="4"/>
      <c r="CA830"/>
      <c r="CB830"/>
      <c r="CC830" s="4"/>
      <c r="CD830" t="inlineStr">
        <is>
          <t>20</t>
        </is>
      </c>
      <c r="CE830" t="inlineStr">
        <is>
          <t>0</t>
        </is>
      </c>
      <c r="CF830" t="inlineStr">
        <is>
          <t>Q2-W03</t>
        </is>
      </c>
      <c r="CG830"/>
      <c r="CH830"/>
      <c r="CI830"/>
      <c r="CJ830" t="inlineStr">
        <is>
          <t>No Paid</t>
        </is>
      </c>
      <c r="CK830" t="inlineStr">
        <is>
          <t>Not Eligible</t>
        </is>
      </c>
      <c r="CL830"/>
      <c r="CM830"/>
    </row>
    <row r="831" ht="25.5" customHeight="1">
      <c r="A831" t="inlineStr">
        <is>
          <t>176909</t>
        </is>
      </c>
      <c r="B831" s="2"/>
      <c r="C831"/>
      <c r="D831" s="3">
        <v>46134.49936342592</v>
      </c>
      <c r="E831" t="inlineStr">
        <is>
          <t>Q2-W03</t>
        </is>
      </c>
      <c r="F831" t="inlineStr">
        <is>
          <t>Chia Yee</t>
        </is>
      </c>
      <c r="G831" t="inlineStr">
        <is>
          <t>Customer</t>
        </is>
      </c>
      <c r="H831" s="2" t="str">
        <f>=HYPERLINK("https://upbox.ajobthing.my/customer/176909", "https://upbox.ajobthing.my/customer/176909")</f>
        <v>https://upbox.ajobthing.my/customer/176909</v>
      </c>
      <c r="I831" t="inlineStr">
        <is>
          <t>Sinar Utara Niaga</t>
        </is>
      </c>
      <c r="J831" t="inlineStr">
        <is>
          <t>Dolphin</t>
        </is>
      </c>
      <c r="K831" t="inlineStr">
        <is>
          <t>Chia Yee</t>
        </is>
      </c>
      <c r="L831" s="4"/>
      <c r="M831" s="4">
        <v>46134.49946759259</v>
      </c>
      <c r="N831"/>
      <c r="O831">
        <v>1296</v>
      </c>
      <c r="P831" s="4"/>
      <c r="Q831" s="4">
        <v>46121.66732638889</v>
      </c>
      <c r="R831"/>
      <c r="S831">
        <v>0</v>
      </c>
      <c r="T831" s="4">
        <v>46066.677777777775</v>
      </c>
      <c r="U831" s="4"/>
      <c r="V831"/>
      <c r="W831">
        <v>1296</v>
      </c>
      <c r="X831"/>
      <c r="Y831" t="inlineStr">
        <is>
          <t>Pending Appointment</t>
        </is>
      </c>
      <c r="Z831" t="inlineStr">
        <is>
          <t>Hiring Now</t>
        </is>
      </c>
      <c r="AA831">
        <v>1</v>
      </c>
      <c r="AB831" t="inlineStr">
        <is>
          <t>No Appointment Made</t>
        </is>
      </c>
      <c r="AC831"/>
      <c r="AD831" t="inlineStr">
        <is>
          <t>1 Technician Aircon</t>
        </is>
      </c>
      <c r="AE831"/>
      <c r="AF831">
        <v>0</v>
      </c>
      <c r="AG831" s="4"/>
      <c r="AH831" s="4"/>
      <c r="AI831">
        <v>0</v>
      </c>
      <c r="AJ831">
        <v>1</v>
      </c>
      <c r="AK831" t="inlineStr">
        <is>
          <t>No, I don't need at all</t>
        </is>
      </c>
      <c r="AL831">
        <v>1</v>
      </c>
      <c r="AM831" t="inlineStr">
        <is>
          <t>No, I don't need at all</t>
        </is>
      </c>
      <c r="AN831"/>
      <c r="AO831" t="inlineStr">
        <is>
          <t>No, I don't need at all</t>
        </is>
      </c>
      <c r="AP831" t="inlineStr">
        <is>
          <t>Once a year (25%)</t>
        </is>
      </c>
      <c r="AQ831">
        <v>1</v>
      </c>
      <c r="AR831" t="inlineStr">
        <is>
          <t>Did not use any job portal</t>
        </is>
      </c>
      <c r="AS831" t="inlineStr">
        <is>
          <t>- Headcount: 1
- Hiring Job Details: 1 Technician Aircon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831">
        <v>110</v>
      </c>
      <c r="AU831" t="inlineStr">
        <is>
          <t>1.10</t>
        </is>
      </c>
      <c r="AV831" t="inlineStr">
        <is>
          <t>15</t>
        </is>
      </c>
      <c r="AW831" t="inlineStr">
        <is>
          <t>0</t>
        </is>
      </c>
      <c r="AX831" t="inlineStr">
        <is>
          <t>Not Qualified</t>
        </is>
      </c>
      <c r="AY831" s="4"/>
      <c r="AZ831"/>
      <c r="BA831"/>
      <c r="BB831"/>
      <c r="BC831" t="inlineStr">
        <is>
          <t>-</t>
        </is>
      </c>
      <c r="BD831" s="4">
        <v>46136.43216435185</v>
      </c>
      <c r="BE831" t="inlineStr">
        <is>
          <t>paid</t>
        </is>
      </c>
      <c r="BF831" t="inlineStr">
        <is>
          <t>Q1-W07</t>
        </is>
      </c>
      <c r="BG831" t="inlineStr">
        <is>
          <t>Reschedule</t>
        </is>
      </c>
      <c r="BH831" t="inlineStr">
        <is>
          <t>Reagen</t>
        </is>
      </c>
      <c r="BI831" t="inlineStr">
        <is>
          <t>Property / Real Estate</t>
        </is>
      </c>
      <c r="BJ831" s="4">
        <v>46144.751655092594</v>
      </c>
      <c r="BK831" s="4">
        <v>45380.64440972222</v>
      </c>
      <c r="BL831" t="inlineStr">
        <is>
          <t>1296.0</t>
        </is>
      </c>
      <c r="BM831" t="inlineStr">
        <is>
          <t>1200.0</t>
        </is>
      </c>
      <c r="BN831" t="inlineStr">
        <is>
          <t>View Company Page</t>
        </is>
      </c>
      <c r="BO831" s="4">
        <v>46123.27202546296</v>
      </c>
      <c r="BP831">
        <v>168273</v>
      </c>
      <c r="BQ831">
        <v>121378</v>
      </c>
      <c r="BR831" t="inlineStr">
        <is>
          <t>Proforma</t>
        </is>
      </c>
      <c r="BS831" t="inlineStr">
        <is>
          <t>Free Internship Job</t>
        </is>
      </c>
      <c r="BT831">
        <v>86619</v>
      </c>
      <c r="BU831"/>
      <c r="BV831">
        <v>2725577</v>
      </c>
      <c r="BW831" t="inlineStr">
        <is>
          <t>No Answer : Voicemail - WA sent to customer</t>
        </is>
      </c>
      <c r="BX831"/>
      <c r="BY831"/>
      <c r="BZ831" s="4"/>
      <c r="CA831"/>
      <c r="CB831"/>
      <c r="CC831" s="4"/>
      <c r="CD831" t="inlineStr">
        <is>
          <t>20</t>
        </is>
      </c>
      <c r="CE831" t="inlineStr">
        <is>
          <t>0</t>
        </is>
      </c>
      <c r="CF831" t="inlineStr">
        <is>
          <t>Q2-W03</t>
        </is>
      </c>
      <c r="CG831" t="inlineStr">
        <is>
          <t>Q2-W01</t>
        </is>
      </c>
      <c r="CH831" t="inlineStr">
        <is>
          <t>Q1-W07</t>
        </is>
      </c>
      <c r="CI831"/>
      <c r="CJ831" t="inlineStr">
        <is>
          <t>Paid</t>
        </is>
      </c>
      <c r="CK831" t="inlineStr">
        <is>
          <t>Not Eligible</t>
        </is>
      </c>
      <c r="CL831"/>
      <c r="CM831"/>
    </row>
    <row r="832" ht="25.5" customHeight="1">
      <c r="A832" t="inlineStr">
        <is>
          <t>203527</t>
        </is>
      </c>
      <c r="B832" s="2"/>
      <c r="C832"/>
      <c r="D832" s="3">
        <v>46134.557962962965</v>
      </c>
      <c r="E832" t="inlineStr">
        <is>
          <t>Q2-W03</t>
        </is>
      </c>
      <c r="F832" t="inlineStr">
        <is>
          <t>Lucas</t>
        </is>
      </c>
      <c r="G832" t="inlineStr">
        <is>
          <t>Customer</t>
        </is>
      </c>
      <c r="H832" s="2" t="str">
        <f>=HYPERLINK("https://upbox.ajobthing.my/customer/203527", "https://upbox.ajobthing.my/customer/203527")</f>
        <v>https://upbox.ajobthing.my/customer/203527</v>
      </c>
      <c r="I832" t="inlineStr">
        <is>
          <t>Livera Group Pte Ltd</t>
        </is>
      </c>
      <c r="J832" t="inlineStr">
        <is>
          <t>Dolphin</t>
        </is>
      </c>
      <c r="K832" t="inlineStr">
        <is>
          <t>Lucas</t>
        </is>
      </c>
      <c r="L832" s="4"/>
      <c r="M832" s="4">
        <v>46134.554074074076</v>
      </c>
      <c r="N832"/>
      <c r="O832">
        <v>3888</v>
      </c>
      <c r="P832" s="4"/>
      <c r="Q832" s="4"/>
      <c r="R832"/>
      <c r="S832"/>
      <c r="T832" s="4"/>
      <c r="U832" s="4"/>
      <c r="V832"/>
      <c r="W832"/>
      <c r="X832"/>
      <c r="Y832" t="inlineStr">
        <is>
          <t>Pending Appointment</t>
        </is>
      </c>
      <c r="Z832" t="inlineStr">
        <is>
          <t>Hiring Now</t>
        </is>
      </c>
      <c r="AA832">
        <v>1</v>
      </c>
      <c r="AB832" t="inlineStr">
        <is>
          <t>No Appointment Made</t>
        </is>
      </c>
      <c r="AC832"/>
      <c r="AD832" t="inlineStr">
        <is>
          <t xml:space="preserve">1 caregiver </t>
        </is>
      </c>
      <c r="AE832"/>
      <c r="AF832">
        <v>0</v>
      </c>
      <c r="AG832" s="4"/>
      <c r="AH832" s="4"/>
      <c r="AI832">
        <v>0</v>
      </c>
      <c r="AJ832">
        <v>0</v>
      </c>
      <c r="AK832" t="inlineStr">
        <is>
          <t>No, I don't need at all</t>
        </is>
      </c>
      <c r="AL832">
        <v>0</v>
      </c>
      <c r="AM832" t="inlineStr">
        <is>
          <t>No, I don't need at all</t>
        </is>
      </c>
      <c r="AN832"/>
      <c r="AO832" t="inlineStr">
        <is>
          <t>No, I don't need at all</t>
        </is>
      </c>
      <c r="AP832" t="inlineStr">
        <is>
          <t>Once a year (25%)</t>
        </is>
      </c>
      <c r="AQ832">
        <v>1</v>
      </c>
      <c r="AR832" t="inlineStr">
        <is>
          <t>Did not use any job portal</t>
        </is>
      </c>
      <c r="AS832" t="inlineStr">
        <is>
          <t>- Headcount: 1
- Hiring Job Details: 1 caregiver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832">
        <v>115</v>
      </c>
      <c r="AU832" t="inlineStr">
        <is>
          <t>1.15</t>
        </is>
      </c>
      <c r="AV832" t="inlineStr">
        <is>
          <t>15</t>
        </is>
      </c>
      <c r="AW832" t="inlineStr">
        <is>
          <t>0</t>
        </is>
      </c>
      <c r="AX832" t="inlineStr">
        <is>
          <t>Not Qualified</t>
        </is>
      </c>
      <c r="AY832" s="4"/>
      <c r="AZ832"/>
      <c r="BA832"/>
      <c r="BB832"/>
      <c r="BC832" t="inlineStr">
        <is>
          <t>pending</t>
        </is>
      </c>
      <c r="BD832" s="4">
        <v>46139.60943287037</v>
      </c>
      <c r="BE832"/>
      <c r="BF832"/>
      <c r="BG832" t="inlineStr">
        <is>
          <t>Reschedule</t>
        </is>
      </c>
      <c r="BH832" t="inlineStr">
        <is>
          <t>Yee Hang</t>
        </is>
      </c>
      <c r="BI832" t="inlineStr">
        <is>
          <t>Healthcare / Medical</t>
        </is>
      </c>
      <c r="BJ832" s="4">
        <v>46144.754328703704</v>
      </c>
      <c r="BK832" s="4">
        <v>46134.49465277778</v>
      </c>
      <c r="BL832" t="inlineStr">
        <is>
          <t>0.0</t>
        </is>
      </c>
      <c r="BM832" t="inlineStr">
        <is>
          <t>0.0</t>
        </is>
      </c>
      <c r="BN832" t="inlineStr">
        <is>
          <t>View Company Page</t>
        </is>
      </c>
      <c r="BO832" s="4">
        <v>46134.51896990741</v>
      </c>
      <c r="BP832">
        <v>168289</v>
      </c>
      <c r="BQ832"/>
      <c r="BR832"/>
      <c r="BS832"/>
      <c r="BT832"/>
      <c r="BU832"/>
      <c r="BV832">
        <v>2729988</v>
      </c>
      <c r="BW832" t="inlineStr">
        <is>
          <t>Follow Up : Decision Pending</t>
        </is>
      </c>
      <c r="BX832"/>
      <c r="BY832"/>
      <c r="BZ832" s="4"/>
      <c r="CA832"/>
      <c r="CB832"/>
      <c r="CC832" s="4"/>
      <c r="CD832" t="inlineStr">
        <is>
          <t>20</t>
        </is>
      </c>
      <c r="CE832" t="inlineStr">
        <is>
          <t>0</t>
        </is>
      </c>
      <c r="CF832" t="inlineStr">
        <is>
          <t>Q2-W03</t>
        </is>
      </c>
      <c r="CG832"/>
      <c r="CH832"/>
      <c r="CI832"/>
      <c r="CJ832" t="inlineStr">
        <is>
          <t>No Paid</t>
        </is>
      </c>
      <c r="CK832" t="inlineStr">
        <is>
          <t>Not Eligible</t>
        </is>
      </c>
      <c r="CL832"/>
      <c r="CM832"/>
    </row>
    <row r="833" ht="25.5" customHeight="1">
      <c r="A833" t="inlineStr">
        <is>
          <t>138374</t>
        </is>
      </c>
      <c r="B833" s="2"/>
      <c r="C833"/>
      <c r="D833" s="3">
        <v>46134.57671296296</v>
      </c>
      <c r="E833" t="inlineStr">
        <is>
          <t>Q2-W03</t>
        </is>
      </c>
      <c r="F833" t="inlineStr">
        <is>
          <t>Carmen</t>
        </is>
      </c>
      <c r="G833" t="inlineStr">
        <is>
          <t>Customer</t>
        </is>
      </c>
      <c r="H833" s="2" t="str">
        <f>=HYPERLINK("https://upbox.ajobthing.my/customer/138374", "https://upbox.ajobthing.my/customer/138374")</f>
        <v>https://upbox.ajobthing.my/customer/138374</v>
      </c>
      <c r="I833" t="inlineStr">
        <is>
          <t>Alpha Talentive Recruitment Agency Sdn Bhd</t>
        </is>
      </c>
      <c r="J833" t="inlineStr">
        <is>
          <t>Dolphin</t>
        </is>
      </c>
      <c r="K833" t="inlineStr">
        <is>
          <t>Carmen</t>
        </is>
      </c>
      <c r="L833" s="4"/>
      <c r="M833" s="4">
        <v>46134.64162037037</v>
      </c>
      <c r="N833"/>
      <c r="O833">
        <v>51840</v>
      </c>
      <c r="P833" s="4"/>
      <c r="Q833" s="4">
        <v>44956.387511574074</v>
      </c>
      <c r="R833"/>
      <c r="S833">
        <v>3392</v>
      </c>
      <c r="T833" s="4">
        <v>44956.387511574074</v>
      </c>
      <c r="U833" s="4"/>
      <c r="V833"/>
      <c r="W833">
        <v>3392</v>
      </c>
      <c r="X833" t="inlineStr">
        <is>
          <t>Dandy Liu</t>
        </is>
      </c>
      <c r="Y833" t="inlineStr">
        <is>
          <t>Done Appointment</t>
        </is>
      </c>
      <c r="Z833" t="inlineStr">
        <is>
          <t>Continuous Hiring</t>
        </is>
      </c>
      <c r="AA833">
        <v>120</v>
      </c>
      <c r="AB833" t="inlineStr">
        <is>
          <t>Appointment Made</t>
        </is>
      </c>
      <c r="AC833" t="inlineStr">
        <is>
          <t>SME (&lt;50 employees)</t>
        </is>
      </c>
      <c r="AD833" t="inlineStr">
        <is>
          <t>120 positions</t>
        </is>
      </c>
      <c r="AE833" t="inlineStr">
        <is>
          <t>C-Suite (CHR / COO / CEO)</t>
        </is>
      </c>
      <c r="AF833">
        <v>10000</v>
      </c>
      <c r="AG833" s="4">
        <v>46134.604166666664</v>
      </c>
      <c r="AH833" s="4">
        <v>46134.625</v>
      </c>
      <c r="AI833"/>
      <c r="AJ833"/>
      <c r="AK833" t="inlineStr">
        <is>
          <t>Yes, I have</t>
        </is>
      </c>
      <c r="AL833"/>
      <c r="AM833"/>
      <c r="AN833"/>
      <c r="AO833"/>
      <c r="AP833" t="inlineStr">
        <is>
          <t>Every month (100%)</t>
        </is>
      </c>
      <c r="AQ833"/>
      <c r="AR833"/>
      <c r="AS833" t="inlineStr">
        <is>
          <t>- Headcount: 120
- Hiring Job Details: 120 positions
- Hiring Urgency: Continuous Hiring
- Number of outlets: Not provided
- Have recruiter team: Yes
- Number of recruiter in company: Not provided
- Have ATS system: Not provided
- Have career website: Not provided
- Current hiring budget: RM10,000.00
- Whole year budget: Not provided
- Whole year number of vacancies: Not provided
- Hiring frequency: Every month (100%)
- External job portal: Not provided</t>
        </is>
      </c>
      <c r="AT833">
        <v>85</v>
      </c>
      <c r="AU833" t="inlineStr">
        <is>
          <t>0.85</t>
        </is>
      </c>
      <c r="AV833" t="inlineStr">
        <is>
          <t>65</t>
        </is>
      </c>
      <c r="AW833" t="inlineStr">
        <is>
          <t>0.8</t>
        </is>
      </c>
      <c r="AX833" t="inlineStr">
        <is>
          <t>Not Qualified</t>
        </is>
      </c>
      <c r="AY833" s="4">
        <v>46135.41217592593</v>
      </c>
      <c r="AZ833" t="inlineStr">
        <is>
          <t>Base Assistant</t>
        </is>
      </c>
      <c r="BA833"/>
      <c r="BB833"/>
      <c r="BC833" t="inlineStr">
        <is>
          <t>Wallace and Reeva joined the online meeting. They want to post job ads for their clients. currently they have 4-5 project and need to fulfill the hiring within short period. Request if we can help them to contact job seeker side. they handles the project of China company, mostly are hiring for mid executive level,  need 20 job slots per month. they are using smartCRM system to use auto bot to qualify the candidates. they also want to give access to their clients to view applications from AJT log in system. but set expectation clear for sub user account. another option for them is to link the applications to their URL. but informed there would be drop off rate if redirect them to their own CRM system. share 240 job ads, 100 job ads and 20 job slots package.</t>
        </is>
      </c>
      <c r="BD833" s="4">
        <v>46134.692453703705</v>
      </c>
      <c r="BE833" t="inlineStr">
        <is>
          <t>paid</t>
        </is>
      </c>
      <c r="BF833"/>
      <c r="BG833" t="inlineStr">
        <is>
          <t>Reschedule</t>
        </is>
      </c>
      <c r="BH833" t="inlineStr">
        <is>
          <t>Reagen</t>
        </is>
      </c>
      <c r="BI833" t="inlineStr">
        <is>
          <t>HR Mgmt / Consulting</t>
        </is>
      </c>
      <c r="BJ833" s="4">
        <v>46144.750613425924</v>
      </c>
      <c r="BK833" s="4">
        <v>44338.98946759259</v>
      </c>
      <c r="BL833" t="inlineStr">
        <is>
          <t>0.0</t>
        </is>
      </c>
      <c r="BM833" t="inlineStr">
        <is>
          <t>0.0</t>
        </is>
      </c>
      <c r="BN833" t="inlineStr">
        <is>
          <t>View Candidate Search Page</t>
        </is>
      </c>
      <c r="BO833" s="4">
        <v>46134.62986111111</v>
      </c>
      <c r="BP833">
        <v>168342</v>
      </c>
      <c r="BQ833">
        <v>54780</v>
      </c>
      <c r="BR833" t="inlineStr">
        <is>
          <t>Online</t>
        </is>
      </c>
      <c r="BS833"/>
      <c r="BT833">
        <v>54780</v>
      </c>
      <c r="BU833"/>
      <c r="BV833">
        <v>2721539</v>
      </c>
      <c r="BW833" t="inlineStr">
        <is>
          <t>Inquire for Hiring Needs : Quotation Sent 50%</t>
        </is>
      </c>
      <c r="BX833"/>
      <c r="BY833"/>
      <c r="BZ833" s="4"/>
      <c r="CA833"/>
      <c r="CB833"/>
      <c r="CC833" s="4"/>
      <c r="CD833" t="inlineStr">
        <is>
          <t>90</t>
        </is>
      </c>
      <c r="CE833" t="inlineStr">
        <is>
          <t>1.2</t>
        </is>
      </c>
      <c r="CF833" t="inlineStr">
        <is>
          <t>Q2-W03</t>
        </is>
      </c>
      <c r="CG833"/>
      <c r="CH833"/>
      <c r="CI833" t="inlineStr">
        <is>
          <t>Q2-W03</t>
        </is>
      </c>
      <c r="CJ833" t="inlineStr">
        <is>
          <t>Paid</t>
        </is>
      </c>
      <c r="CK833" t="inlineStr">
        <is>
          <t>Eligible</t>
        </is>
      </c>
      <c r="CL833"/>
      <c r="CM833" t="inlineStr">
        <is>
          <t>Q2-W03</t>
        </is>
      </c>
    </row>
    <row r="834" ht="25.5" customHeight="1">
      <c r="A834" t="inlineStr">
        <is>
          <t>203531</t>
        </is>
      </c>
      <c r="B834" s="2"/>
      <c r="C834"/>
      <c r="D834" s="3">
        <v>46134.577314814815</v>
      </c>
      <c r="E834" t="inlineStr">
        <is>
          <t>Q2-W03</t>
        </is>
      </c>
      <c r="F834" t="inlineStr">
        <is>
          <t>Lucas</t>
        </is>
      </c>
      <c r="G834" t="inlineStr">
        <is>
          <t>Customer</t>
        </is>
      </c>
      <c r="H834" s="2" t="str">
        <f>=HYPERLINK("https://upbox.ajobthing.my/customer/203531", "https://upbox.ajobthing.my/customer/203531")</f>
        <v>https://upbox.ajobthing.my/customer/203531</v>
      </c>
      <c r="I834" t="inlineStr">
        <is>
          <t>Hr Consult Work</t>
        </is>
      </c>
      <c r="J834" t="inlineStr">
        <is>
          <t>Dolphin</t>
        </is>
      </c>
      <c r="K834" t="inlineStr">
        <is>
          <t>Lucas</t>
        </is>
      </c>
      <c r="L834" s="4"/>
      <c r="M834" s="4">
        <v>46134.57472222222</v>
      </c>
      <c r="N834"/>
      <c r="O834">
        <v>3888</v>
      </c>
      <c r="P834" s="4"/>
      <c r="Q834" s="4"/>
      <c r="R834"/>
      <c r="S834"/>
      <c r="T834" s="4"/>
      <c r="U834" s="4"/>
      <c r="V834"/>
      <c r="W834"/>
      <c r="X834"/>
      <c r="Y834" t="inlineStr">
        <is>
          <t>Pending Appointment</t>
        </is>
      </c>
      <c r="Z834" t="inlineStr">
        <is>
          <t>Hiring Now</t>
        </is>
      </c>
      <c r="AA834">
        <v>2</v>
      </c>
      <c r="AB834" t="inlineStr">
        <is>
          <t>No Appointment Made</t>
        </is>
      </c>
      <c r="AC834"/>
      <c r="AD834" t="inlineStr">
        <is>
          <t>1 technician , 1 admin</t>
        </is>
      </c>
      <c r="AE834"/>
      <c r="AF834">
        <v>0</v>
      </c>
      <c r="AG834" s="4"/>
      <c r="AH834" s="4"/>
      <c r="AI834">
        <v>0</v>
      </c>
      <c r="AJ834">
        <v>0</v>
      </c>
      <c r="AK834" t="inlineStr">
        <is>
          <t>No, I don't need at all</t>
        </is>
      </c>
      <c r="AL834">
        <v>0</v>
      </c>
      <c r="AM834" t="inlineStr">
        <is>
          <t>No, I don't need at all</t>
        </is>
      </c>
      <c r="AN834"/>
      <c r="AO834" t="inlineStr">
        <is>
          <t>No, I don't need at all</t>
        </is>
      </c>
      <c r="AP834" t="inlineStr">
        <is>
          <t>Once a year (25%)</t>
        </is>
      </c>
      <c r="AQ834">
        <v>2</v>
      </c>
      <c r="AR834" t="inlineStr">
        <is>
          <t>Did not use any job portal</t>
        </is>
      </c>
      <c r="AS834" t="inlineStr">
        <is>
          <t>- Headcount: 2
- Hiring Job Details: 1 technician, 1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834">
        <v>120</v>
      </c>
      <c r="AU834" t="inlineStr">
        <is>
          <t>1.20</t>
        </is>
      </c>
      <c r="AV834" t="inlineStr">
        <is>
          <t>15</t>
        </is>
      </c>
      <c r="AW834" t="inlineStr">
        <is>
          <t>0</t>
        </is>
      </c>
      <c r="AX834" t="inlineStr">
        <is>
          <t>Not Qualified</t>
        </is>
      </c>
      <c r="AY834" s="4"/>
      <c r="AZ834"/>
      <c r="BA834"/>
      <c r="BB834"/>
      <c r="BC834" t="inlineStr">
        <is>
          <t>expensive</t>
        </is>
      </c>
      <c r="BD834" s="4">
        <v>46136.40284722222</v>
      </c>
      <c r="BE834"/>
      <c r="BF834"/>
      <c r="BG834" t="inlineStr">
        <is>
          <t>Reschedule</t>
        </is>
      </c>
      <c r="BH834" t="inlineStr">
        <is>
          <t>Yee Hang</t>
        </is>
      </c>
      <c r="BI834"/>
      <c r="BJ834" s="4">
        <v>46144.754328703704</v>
      </c>
      <c r="BK834" s="4">
        <v>46134.56487268519</v>
      </c>
      <c r="BL834" t="inlineStr">
        <is>
          <t>0.0</t>
        </is>
      </c>
      <c r="BM834" t="inlineStr">
        <is>
          <t>0.0</t>
        </is>
      </c>
      <c r="BN834" t="inlineStr">
        <is>
          <t>View Company Page</t>
        </is>
      </c>
      <c r="BO834" s="4">
        <v>46134.56637731481</v>
      </c>
      <c r="BP834">
        <v>168293</v>
      </c>
      <c r="BQ834"/>
      <c r="BR834"/>
      <c r="BS834"/>
      <c r="BT834"/>
      <c r="BU834"/>
      <c r="BV834">
        <v>2725396</v>
      </c>
      <c r="BW834" t="inlineStr">
        <is>
          <t>Follow Up : Budget Concern</t>
        </is>
      </c>
      <c r="BX834"/>
      <c r="BY834"/>
      <c r="BZ834" s="4"/>
      <c r="CA834"/>
      <c r="CB834"/>
      <c r="CC834" s="4"/>
      <c r="CD834" t="inlineStr">
        <is>
          <t>20</t>
        </is>
      </c>
      <c r="CE834" t="inlineStr">
        <is>
          <t>0</t>
        </is>
      </c>
      <c r="CF834" t="inlineStr">
        <is>
          <t>Q2-W03</t>
        </is>
      </c>
      <c r="CG834"/>
      <c r="CH834"/>
      <c r="CI834"/>
      <c r="CJ834" t="inlineStr">
        <is>
          <t>No Paid</t>
        </is>
      </c>
      <c r="CK834" t="inlineStr">
        <is>
          <t>Not Eligible</t>
        </is>
      </c>
      <c r="CL834"/>
      <c r="CM834"/>
    </row>
    <row r="835" ht="25.5" customHeight="1">
      <c r="A835" t="inlineStr">
        <is>
          <t>201729</t>
        </is>
      </c>
      <c r="B835" s="2"/>
      <c r="C835"/>
      <c r="D835" s="3">
        <v>46134.58770833333</v>
      </c>
      <c r="E835" t="inlineStr">
        <is>
          <t>Q2-W03</t>
        </is>
      </c>
      <c r="F835" t="inlineStr">
        <is>
          <t>Chia Yee</t>
        </is>
      </c>
      <c r="G835" t="inlineStr">
        <is>
          <t>Customer</t>
        </is>
      </c>
      <c r="H835" s="2" t="str">
        <f>=HYPERLINK("https://upbox.ajobthing.my/customer/201729", "https://upbox.ajobthing.my/customer/201729")</f>
        <v>https://upbox.ajobthing.my/customer/201729</v>
      </c>
      <c r="I835" t="inlineStr">
        <is>
          <t>Easytech International Sdn Bhd</t>
        </is>
      </c>
      <c r="J835" t="inlineStr">
        <is>
          <t>Dolphin</t>
        </is>
      </c>
      <c r="K835" t="inlineStr">
        <is>
          <t>Chia Yee</t>
        </is>
      </c>
      <c r="L835" s="4"/>
      <c r="M835" s="4">
        <v>46134.587905092594</v>
      </c>
      <c r="N835"/>
      <c r="O835">
        <v>3672</v>
      </c>
      <c r="P835" s="4"/>
      <c r="Q835" s="4">
        <v>46134.720405092594</v>
      </c>
      <c r="R835"/>
      <c r="S835">
        <v>864</v>
      </c>
      <c r="T835" s="4">
        <v>46134.720405092594</v>
      </c>
      <c r="U835" s="4"/>
      <c r="V835"/>
      <c r="W835">
        <v>864</v>
      </c>
      <c r="X835"/>
      <c r="Y835" t="inlineStr">
        <is>
          <t>Pending Appointment</t>
        </is>
      </c>
      <c r="Z835" t="inlineStr">
        <is>
          <t>Hiring Now</t>
        </is>
      </c>
      <c r="AA835">
        <v>2</v>
      </c>
      <c r="AB835" t="inlineStr">
        <is>
          <t>No Appointment Made</t>
        </is>
      </c>
      <c r="AC835"/>
      <c r="AD835" t="inlineStr">
        <is>
          <t>2 Sdmin, programmer</t>
        </is>
      </c>
      <c r="AE835"/>
      <c r="AF835">
        <v>800</v>
      </c>
      <c r="AG835" s="4"/>
      <c r="AH835" s="4"/>
      <c r="AI835">
        <v>800</v>
      </c>
      <c r="AJ835">
        <v>1</v>
      </c>
      <c r="AK835" t="inlineStr">
        <is>
          <t>No, I don't need at all</t>
        </is>
      </c>
      <c r="AL835">
        <v>1</v>
      </c>
      <c r="AM835" t="inlineStr">
        <is>
          <t>No, I don't need at all</t>
        </is>
      </c>
      <c r="AN835"/>
      <c r="AO835" t="inlineStr">
        <is>
          <t>Yes, I have</t>
        </is>
      </c>
      <c r="AP835" t="inlineStr">
        <is>
          <t>Once a year (25%)</t>
        </is>
      </c>
      <c r="AQ835">
        <v>3</v>
      </c>
      <c r="AR835" t="inlineStr">
        <is>
          <t>Did not use any job portal</t>
        </is>
      </c>
      <c r="AS835" t="inlineStr">
        <is>
          <t>- Headcount: 2
- Hiring Job Details: 2 Admin, programmer
- Hiring Urgency: Hiring Now
- Number of outlets: 1
- Have recruiter team: No, I don't need at all
- Number of recruiter in company: 1
- Have ATS system: No, I don't need at all
- Have career website: Yes
- Current hiring budget: RM800
- Whole year budget: RM800.00
- Whole year number of vacancies: 3
- Hiring frequency: Once a year (25%)
- External job portal: Did not use any job portal</t>
        </is>
      </c>
      <c r="AT835">
        <v>95</v>
      </c>
      <c r="AU835" t="inlineStr">
        <is>
          <t>0.95</t>
        </is>
      </c>
      <c r="AV835" t="inlineStr">
        <is>
          <t>15</t>
        </is>
      </c>
      <c r="AW835" t="inlineStr">
        <is>
          <t>0</t>
        </is>
      </c>
      <c r="AX835" t="inlineStr">
        <is>
          <t>Not Qualified</t>
        </is>
      </c>
      <c r="AY835" s="4"/>
      <c r="AZ835"/>
      <c r="BA835"/>
      <c r="BB835"/>
      <c r="BC835" t="inlineStr">
        <is>
          <t>Called Zack, not first . Go for 1 job only.</t>
        </is>
      </c>
      <c r="BD835" s="4">
        <v>46142.45070601852</v>
      </c>
      <c r="BE835" t="inlineStr">
        <is>
          <t>paid</t>
        </is>
      </c>
      <c r="BF835" t="inlineStr">
        <is>
          <t>Q2-W03</t>
        </is>
      </c>
      <c r="BG835" t="inlineStr">
        <is>
          <t>Reschedule</t>
        </is>
      </c>
      <c r="BH835" t="inlineStr">
        <is>
          <t>Reagen</t>
        </is>
      </c>
      <c r="BI835" t="inlineStr">
        <is>
          <t>IT / Software</t>
        </is>
      </c>
      <c r="BJ835" s="4">
        <v>46144.753854166665</v>
      </c>
      <c r="BK835" s="4">
        <v>46086.44189814815</v>
      </c>
      <c r="BL835" t="inlineStr">
        <is>
          <t>1728.0</t>
        </is>
      </c>
      <c r="BM835" t="inlineStr">
        <is>
          <t>1800.0</t>
        </is>
      </c>
      <c r="BN835" t="inlineStr">
        <is>
          <t>View Company Page</t>
        </is>
      </c>
      <c r="BO835" s="4">
        <v>46141.64375</v>
      </c>
      <c r="BP835">
        <v>168305</v>
      </c>
      <c r="BQ835">
        <v>94633</v>
      </c>
      <c r="BR835" t="inlineStr">
        <is>
          <t>Online</t>
        </is>
      </c>
      <c r="BS835"/>
      <c r="BT835">
        <v>94633</v>
      </c>
      <c r="BU835"/>
      <c r="BV835">
        <v>2736871</v>
      </c>
      <c r="BW835" t="inlineStr">
        <is>
          <t>Follow Up : Budget Concern</t>
        </is>
      </c>
      <c r="BX835">
        <v>1</v>
      </c>
      <c r="BY835">
        <v>0</v>
      </c>
      <c r="BZ835" s="4">
        <v>46134.72041666666</v>
      </c>
      <c r="CA835">
        <v>23</v>
      </c>
      <c r="CB835">
        <v>23</v>
      </c>
      <c r="CC835" s="4"/>
      <c r="CD835" t="inlineStr">
        <is>
          <t>20</t>
        </is>
      </c>
      <c r="CE835" t="inlineStr">
        <is>
          <t>0</t>
        </is>
      </c>
      <c r="CF835" t="inlineStr">
        <is>
          <t>Q2-W03</t>
        </is>
      </c>
      <c r="CG835" t="inlineStr">
        <is>
          <t>Q2-W03</t>
        </is>
      </c>
      <c r="CH835" t="inlineStr">
        <is>
          <t>Q2-W03</t>
        </is>
      </c>
      <c r="CI835"/>
      <c r="CJ835" t="inlineStr">
        <is>
          <t>Paid</t>
        </is>
      </c>
      <c r="CK835" t="inlineStr">
        <is>
          <t>Not Eligible</t>
        </is>
      </c>
      <c r="CL835"/>
      <c r="CM835"/>
    </row>
    <row r="836" ht="25.5" customHeight="1">
      <c r="A836" t="inlineStr">
        <is>
          <t>189885</t>
        </is>
      </c>
      <c r="B836" s="2"/>
      <c r="C836"/>
      <c r="D836" s="3">
        <v>46134.59631944444</v>
      </c>
      <c r="E836" t="inlineStr">
        <is>
          <t>Q2-W03</t>
        </is>
      </c>
      <c r="F836" t="inlineStr">
        <is>
          <t>Eugene</t>
        </is>
      </c>
      <c r="G836" t="inlineStr">
        <is>
          <t>Customer</t>
        </is>
      </c>
      <c r="H836" s="2" t="str">
        <f>=HYPERLINK("https://upbox.ajobthing.my/customer/189885", "https://upbox.ajobthing.my/customer/189885")</f>
        <v>https://upbox.ajobthing.my/customer/189885</v>
      </c>
      <c r="I836" t="inlineStr">
        <is>
          <t>Gee Seng Industrial Parts &amp; Hoist Supply Sdn. Bhd.</t>
        </is>
      </c>
      <c r="J836" t="inlineStr">
        <is>
          <t>Dolphin</t>
        </is>
      </c>
      <c r="K836" t="inlineStr">
        <is>
          <t>Eugene</t>
        </is>
      </c>
      <c r="L836" s="4"/>
      <c r="M836" s="4">
        <v>46120.64493055556</v>
      </c>
      <c r="N836"/>
      <c r="O836">
        <v>3888</v>
      </c>
      <c r="P836" s="4"/>
      <c r="Q836" s="4">
        <v>46140.73270833334</v>
      </c>
      <c r="R836"/>
      <c r="S836">
        <v>0</v>
      </c>
      <c r="T836" s="4">
        <v>46135.73719907407</v>
      </c>
      <c r="U836" s="4"/>
      <c r="V836"/>
      <c r="W836">
        <v>1296</v>
      </c>
      <c r="X836"/>
      <c r="Y836" t="inlineStr">
        <is>
          <t>Pending Appointment</t>
        </is>
      </c>
      <c r="Z836" t="inlineStr">
        <is>
          <t>Hiring Now</t>
        </is>
      </c>
      <c r="AA836">
        <v>1</v>
      </c>
      <c r="AB836" t="inlineStr">
        <is>
          <t>No Appointment Made</t>
        </is>
      </c>
      <c r="AC836"/>
      <c r="AD836" t="inlineStr">
        <is>
          <t>1 account admin, based in KL</t>
        </is>
      </c>
      <c r="AE836"/>
      <c r="AF836">
        <v>1200</v>
      </c>
      <c r="AG836" s="4"/>
      <c r="AH836" s="4"/>
      <c r="AI836">
        <v>1200</v>
      </c>
      <c r="AJ836">
        <v>1</v>
      </c>
      <c r="AK836" t="inlineStr">
        <is>
          <t>No, I don't need at all</t>
        </is>
      </c>
      <c r="AL836">
        <v>1</v>
      </c>
      <c r="AM836" t="inlineStr">
        <is>
          <t>No, I don't need at all</t>
        </is>
      </c>
      <c r="AN836"/>
      <c r="AO836" t="inlineStr">
        <is>
          <t>No, I don't need at all</t>
        </is>
      </c>
      <c r="AP836" t="inlineStr">
        <is>
          <t>Once a year (25%)</t>
        </is>
      </c>
      <c r="AQ836">
        <v>1</v>
      </c>
      <c r="AR836" t="inlineStr">
        <is>
          <t>Free Job Portal</t>
        </is>
      </c>
      <c r="AS836" t="inlineStr">
        <is>
          <t>- Headcount: 1
- Hiring Job Details: 1 account admin, based in KL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836">
        <v>110</v>
      </c>
      <c r="AU836" t="inlineStr">
        <is>
          <t>1.10</t>
        </is>
      </c>
      <c r="AV836" t="inlineStr">
        <is>
          <t>15</t>
        </is>
      </c>
      <c r="AW836" t="inlineStr">
        <is>
          <t>0</t>
        </is>
      </c>
      <c r="AX836" t="inlineStr">
        <is>
          <t>Not Qualified</t>
        </is>
      </c>
      <c r="AY836" s="4"/>
      <c r="AZ836"/>
      <c r="BA836"/>
      <c r="BB836"/>
      <c r="BC836" t="inlineStr">
        <is>
          <t>post job</t>
        </is>
      </c>
      <c r="BD836" s="4">
        <v>46140.6109375</v>
      </c>
      <c r="BE836" t="inlineStr">
        <is>
          <t>paid</t>
        </is>
      </c>
      <c r="BF836" t="inlineStr">
        <is>
          <t>Q2-W03</t>
        </is>
      </c>
      <c r="BG836" t="inlineStr">
        <is>
          <t>Reschedule</t>
        </is>
      </c>
      <c r="BH836" t="inlineStr">
        <is>
          <t>Edward Hoo</t>
        </is>
      </c>
      <c r="BI836" t="inlineStr">
        <is>
          <t>Automobile / Automotive</t>
        </is>
      </c>
      <c r="BJ836" s="4">
        <v>46144.75232638889</v>
      </c>
      <c r="BK836" s="4">
        <v>45758.47597222222</v>
      </c>
      <c r="BL836" t="inlineStr">
        <is>
          <t>2592.0</t>
        </is>
      </c>
      <c r="BM836" t="inlineStr">
        <is>
          <t>0.0</t>
        </is>
      </c>
      <c r="BN836" t="inlineStr">
        <is>
          <t>View Company Page</t>
        </is>
      </c>
      <c r="BO836" s="4">
        <v>46142.573171296295</v>
      </c>
      <c r="BP836">
        <v>165960</v>
      </c>
      <c r="BQ836">
        <v>123957</v>
      </c>
      <c r="BR836" t="inlineStr">
        <is>
          <t>Proforma</t>
        </is>
      </c>
      <c r="BS836" t="inlineStr">
        <is>
          <t>Free Part-Time Job</t>
        </is>
      </c>
      <c r="BT836">
        <v>7676</v>
      </c>
      <c r="BU836"/>
      <c r="BV836">
        <v>2732825</v>
      </c>
      <c r="BW836" t="inlineStr">
        <is>
          <t>Service / Technical : Help To Post Job</t>
        </is>
      </c>
      <c r="BX836">
        <v>3</v>
      </c>
      <c r="BY836">
        <v>2</v>
      </c>
      <c r="BZ836" s="4">
        <v>46140.745775462965</v>
      </c>
      <c r="CA836">
        <v>10</v>
      </c>
      <c r="CB836">
        <v>10</v>
      </c>
      <c r="CC836" s="4"/>
      <c r="CD836" t="inlineStr">
        <is>
          <t>20</t>
        </is>
      </c>
      <c r="CE836" t="inlineStr">
        <is>
          <t>0</t>
        </is>
      </c>
      <c r="CF836" t="inlineStr">
        <is>
          <t>Q2-W01</t>
        </is>
      </c>
      <c r="CG836" t="inlineStr">
        <is>
          <t>Q2-W04</t>
        </is>
      </c>
      <c r="CH836" t="inlineStr">
        <is>
          <t>Q2-W03</t>
        </is>
      </c>
      <c r="CI836"/>
      <c r="CJ836" t="inlineStr">
        <is>
          <t>Paid</t>
        </is>
      </c>
      <c r="CK836" t="inlineStr">
        <is>
          <t>Not Eligible</t>
        </is>
      </c>
      <c r="CL836"/>
      <c r="CM836"/>
    </row>
    <row r="837" ht="25.5" customHeight="1">
      <c r="A837" t="inlineStr">
        <is>
          <t>4313451</t>
        </is>
      </c>
      <c r="B837" s="2"/>
      <c r="C837"/>
      <c r="D837" s="3">
        <v>46134.59673611111</v>
      </c>
      <c r="E837" t="inlineStr">
        <is>
          <t>Q2-W03</t>
        </is>
      </c>
      <c r="F837" t="inlineStr">
        <is>
          <t>Evan</t>
        </is>
      </c>
      <c r="G837" t="inlineStr">
        <is>
          <t>Lead</t>
        </is>
      </c>
      <c r="H837" s="2" t="str">
        <f>=HYPERLINK("https://upbox.ajobthing.my/leads/4313451", "https://upbox.ajobthing.my/leads/4313451")</f>
        <v>https://upbox.ajobthing.my/leads/4313451</v>
      </c>
      <c r="I837" t="inlineStr">
        <is>
          <t>Golden Leaf Industries Sdn Bhd</t>
        </is>
      </c>
      <c r="J837" t="inlineStr">
        <is>
          <t>Dolphin</t>
        </is>
      </c>
      <c r="K837" t="inlineStr">
        <is>
          <t>Evan</t>
        </is>
      </c>
      <c r="L837" s="4"/>
      <c r="M837" s="4">
        <v>46134.59616898148</v>
      </c>
      <c r="N837"/>
      <c r="O837">
        <v>3888</v>
      </c>
      <c r="P837" s="4"/>
      <c r="Q837" s="4"/>
      <c r="R837"/>
      <c r="S837"/>
      <c r="T837" s="4"/>
      <c r="U837" s="4"/>
      <c r="V837"/>
      <c r="W837"/>
      <c r="X837"/>
      <c r="Y837" t="inlineStr">
        <is>
          <t>Pending Appointment</t>
        </is>
      </c>
      <c r="Z837" t="inlineStr">
        <is>
          <t>Hiring Now</t>
        </is>
      </c>
      <c r="AA837">
        <v>2</v>
      </c>
      <c r="AB837" t="inlineStr">
        <is>
          <t>No Appointment Made</t>
        </is>
      </c>
      <c r="AC837"/>
      <c r="AD837" t="inlineStr">
        <is>
          <t>2 sales, all base in KL</t>
        </is>
      </c>
      <c r="AE837"/>
      <c r="AF837">
        <v>1</v>
      </c>
      <c r="AG837" s="4"/>
      <c r="AH837" s="4"/>
      <c r="AI837">
        <v>1</v>
      </c>
      <c r="AJ837">
        <v>2</v>
      </c>
      <c r="AK837" t="inlineStr">
        <is>
          <t>No, I don't need at all</t>
        </is>
      </c>
      <c r="AL837">
        <v>0</v>
      </c>
      <c r="AM837" t="inlineStr">
        <is>
          <t>No, I don't need at all</t>
        </is>
      </c>
      <c r="AN837"/>
      <c r="AO837" t="inlineStr">
        <is>
          <t>No, I don't need at all</t>
        </is>
      </c>
      <c r="AP837" t="inlineStr">
        <is>
          <t>Once a year (25%)</t>
        </is>
      </c>
      <c r="AQ837">
        <v>2</v>
      </c>
      <c r="AR837" t="inlineStr">
        <is>
          <t>Jobstreet</t>
        </is>
      </c>
      <c r="AS837" t="inlineStr">
        <is>
          <t>- Headcount: 2
- Hiring Job Details: 2 sales, all base in KL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Jobstreet</t>
        </is>
      </c>
      <c r="AT837">
        <v>110</v>
      </c>
      <c r="AU837" t="inlineStr">
        <is>
          <t>1.10</t>
        </is>
      </c>
      <c r="AV837" t="inlineStr">
        <is>
          <t>15</t>
        </is>
      </c>
      <c r="AW837" t="inlineStr">
        <is>
          <t>0</t>
        </is>
      </c>
      <c r="AX837" t="inlineStr">
        <is>
          <t>Not Qualified</t>
        </is>
      </c>
      <c r="AY837" s="4"/>
      <c r="AZ837"/>
      <c r="BA837"/>
      <c r="BB837"/>
      <c r="BC837"/>
      <c r="BD837" s="4"/>
      <c r="BE837"/>
      <c r="BF837"/>
      <c r="BG837" t="inlineStr">
        <is>
          <t>Reschedule</t>
        </is>
      </c>
      <c r="BH837" t="inlineStr">
        <is>
          <t>Edward Hoo</t>
        </is>
      </c>
      <c r="BI837"/>
      <c r="BJ837" s="4">
        <v>46144.755902777775</v>
      </c>
      <c r="BK837" s="4">
        <v>46134.571493055555</v>
      </c>
      <c r="BL837" t="inlineStr">
        <is>
          <t>0.0</t>
        </is>
      </c>
      <c r="BM837" t="inlineStr">
        <is>
          <t>1200.0</t>
        </is>
      </c>
      <c r="BN837"/>
      <c r="BO837" s="4"/>
      <c r="BP837">
        <v>168309</v>
      </c>
      <c r="BQ837"/>
      <c r="BR837"/>
      <c r="BS837"/>
      <c r="BT837"/>
      <c r="BU837"/>
      <c r="BV837"/>
      <c r="BW837"/>
      <c r="BX837"/>
      <c r="BY837"/>
      <c r="BZ837" s="4"/>
      <c r="CA837"/>
      <c r="CB837"/>
      <c r="CC837" s="4"/>
      <c r="CD837" t="inlineStr">
        <is>
          <t>20</t>
        </is>
      </c>
      <c r="CE837" t="inlineStr">
        <is>
          <t>0</t>
        </is>
      </c>
      <c r="CF837" t="inlineStr">
        <is>
          <t>Q2-W03</t>
        </is>
      </c>
      <c r="CG837"/>
      <c r="CH837"/>
      <c r="CI837"/>
      <c r="CJ837" t="inlineStr">
        <is>
          <t>No Paid</t>
        </is>
      </c>
      <c r="CK837" t="inlineStr">
        <is>
          <t>Not Eligible</t>
        </is>
      </c>
      <c r="CL837"/>
      <c r="CM837"/>
    </row>
    <row r="838" ht="25.5" customHeight="1">
      <c r="A838" t="inlineStr">
        <is>
          <t>201729</t>
        </is>
      </c>
      <c r="B838" s="2"/>
      <c r="C838"/>
      <c r="D838" s="3">
        <v>46134.600810185184</v>
      </c>
      <c r="E838" t="inlineStr">
        <is>
          <t>Q2-W03</t>
        </is>
      </c>
      <c r="F838" t="inlineStr">
        <is>
          <t>Chia Yee</t>
        </is>
      </c>
      <c r="G838" t="inlineStr">
        <is>
          <t>Customer</t>
        </is>
      </c>
      <c r="H838" s="2" t="str">
        <f>=HYPERLINK("https://upbox.ajobthing.my/customer/201729", "https://upbox.ajobthing.my/customer/201729")</f>
        <v>https://upbox.ajobthing.my/customer/201729</v>
      </c>
      <c r="I838" t="inlineStr">
        <is>
          <t>Easytech International Sdn Bhd</t>
        </is>
      </c>
      <c r="J838" t="inlineStr">
        <is>
          <t>Dolphin</t>
        </is>
      </c>
      <c r="K838" t="inlineStr">
        <is>
          <t>Chia Yee</t>
        </is>
      </c>
      <c r="L838" s="4"/>
      <c r="M838" s="4">
        <v>46134.587905092594</v>
      </c>
      <c r="N838"/>
      <c r="O838">
        <v>3672</v>
      </c>
      <c r="P838" s="4"/>
      <c r="Q838" s="4">
        <v>46134.720405092594</v>
      </c>
      <c r="R838"/>
      <c r="S838">
        <v>864</v>
      </c>
      <c r="T838" s="4">
        <v>46134.720405092594</v>
      </c>
      <c r="U838" s="4"/>
      <c r="V838"/>
      <c r="W838">
        <v>864</v>
      </c>
      <c r="X838"/>
      <c r="Y838" t="inlineStr">
        <is>
          <t>Pending Appointment</t>
        </is>
      </c>
      <c r="Z838" t="inlineStr">
        <is>
          <t>Hiring Now</t>
        </is>
      </c>
      <c r="AA838">
        <v>3</v>
      </c>
      <c r="AB838" t="inlineStr">
        <is>
          <t>No Appointment Made</t>
        </is>
      </c>
      <c r="AC838"/>
      <c r="AD838" t="inlineStr">
        <is>
          <t xml:space="preserve"> 2 Admin, programmer. </t>
        </is>
      </c>
      <c r="AE838"/>
      <c r="AF838">
        <v>0</v>
      </c>
      <c r="AG838" s="4"/>
      <c r="AH838" s="4"/>
      <c r="AI838">
        <v>0</v>
      </c>
      <c r="AJ838">
        <v>1</v>
      </c>
      <c r="AK838" t="inlineStr">
        <is>
          <t>No, I don't need at all</t>
        </is>
      </c>
      <c r="AL838">
        <v>1</v>
      </c>
      <c r="AM838" t="inlineStr">
        <is>
          <t>No, I don't need at all</t>
        </is>
      </c>
      <c r="AN838"/>
      <c r="AO838" t="inlineStr">
        <is>
          <t>No, I don't need at all</t>
        </is>
      </c>
      <c r="AP838" t="inlineStr">
        <is>
          <t>Once a year (25%)</t>
        </is>
      </c>
      <c r="AQ838">
        <v>3</v>
      </c>
      <c r="AR838" t="inlineStr">
        <is>
          <t>Did not use any job portal</t>
        </is>
      </c>
      <c r="AS838" t="inlineStr">
        <is>
          <t>- Headcount: 3
- Hiring Job Details: 2 Admin, programmer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is>
      </c>
      <c r="AT838">
        <v>85</v>
      </c>
      <c r="AU838" t="inlineStr">
        <is>
          <t>0.85</t>
        </is>
      </c>
      <c r="AV838" t="inlineStr">
        <is>
          <t>15</t>
        </is>
      </c>
      <c r="AW838" t="inlineStr">
        <is>
          <t>0</t>
        </is>
      </c>
      <c r="AX838" t="inlineStr">
        <is>
          <t>Not Qualified</t>
        </is>
      </c>
      <c r="AY838" s="4"/>
      <c r="AZ838"/>
      <c r="BA838"/>
      <c r="BB838"/>
      <c r="BC838" t="inlineStr">
        <is>
          <t>Called Zack, not first . Go for 1 job only.</t>
        </is>
      </c>
      <c r="BD838" s="4">
        <v>46142.45070601852</v>
      </c>
      <c r="BE838" t="inlineStr">
        <is>
          <t>paid</t>
        </is>
      </c>
      <c r="BF838" t="inlineStr">
        <is>
          <t>Q2-W03</t>
        </is>
      </c>
      <c r="BG838" t="inlineStr">
        <is>
          <t>Reschedule</t>
        </is>
      </c>
      <c r="BH838" t="inlineStr">
        <is>
          <t>Reagen</t>
        </is>
      </c>
      <c r="BI838" t="inlineStr">
        <is>
          <t>IT / Software</t>
        </is>
      </c>
      <c r="BJ838" s="4">
        <v>46144.753854166665</v>
      </c>
      <c r="BK838" s="4">
        <v>46086.44189814815</v>
      </c>
      <c r="BL838" t="inlineStr">
        <is>
          <t>1728.0</t>
        </is>
      </c>
      <c r="BM838" t="inlineStr">
        <is>
          <t>1800.0</t>
        </is>
      </c>
      <c r="BN838" t="inlineStr">
        <is>
          <t>View Company Page</t>
        </is>
      </c>
      <c r="BO838" s="4">
        <v>46141.64375</v>
      </c>
      <c r="BP838">
        <v>168305</v>
      </c>
      <c r="BQ838">
        <v>94633</v>
      </c>
      <c r="BR838" t="inlineStr">
        <is>
          <t>Online</t>
        </is>
      </c>
      <c r="BS838"/>
      <c r="BT838">
        <v>94633</v>
      </c>
      <c r="BU838"/>
      <c r="BV838">
        <v>2736871</v>
      </c>
      <c r="BW838" t="inlineStr">
        <is>
          <t>Follow Up : Budget Concern</t>
        </is>
      </c>
      <c r="BX838">
        <v>1</v>
      </c>
      <c r="BY838">
        <v>0</v>
      </c>
      <c r="BZ838" s="4">
        <v>46134.72041666666</v>
      </c>
      <c r="CA838">
        <v>23</v>
      </c>
      <c r="CB838">
        <v>23</v>
      </c>
      <c r="CC838" s="4"/>
      <c r="CD838" t="inlineStr">
        <is>
          <t>20</t>
        </is>
      </c>
      <c r="CE838" t="inlineStr">
        <is>
          <t>0</t>
        </is>
      </c>
      <c r="CF838" t="inlineStr">
        <is>
          <t>Q2-W03</t>
        </is>
      </c>
      <c r="CG838" t="inlineStr">
        <is>
          <t>Q2-W03</t>
        </is>
      </c>
      <c r="CH838" t="inlineStr">
        <is>
          <t>Q2-W03</t>
        </is>
      </c>
      <c r="CI838"/>
      <c r="CJ838" t="inlineStr">
        <is>
          <t>Paid</t>
        </is>
      </c>
      <c r="CK838" t="inlineStr">
        <is>
          <t>Not Eligible</t>
        </is>
      </c>
      <c r="CL838"/>
      <c r="CM838"/>
    </row>
    <row r="839" ht="25.5" customHeight="1">
      <c r="A839" t="inlineStr">
        <is>
          <t>203532</t>
        </is>
      </c>
      <c r="B839" s="2"/>
      <c r="C839"/>
      <c r="D839" s="3">
        <v>46134.60290509259</v>
      </c>
      <c r="E839" t="inlineStr">
        <is>
          <t>Q2-W03</t>
        </is>
      </c>
      <c r="F839" t="inlineStr">
        <is>
          <t>Jia Hui</t>
        </is>
      </c>
      <c r="G839" t="inlineStr">
        <is>
          <t>Customer</t>
        </is>
      </c>
      <c r="H839" s="2" t="str">
        <f>=HYPERLINK("https://upbox.ajobthing.my/customer/203532", "https://upbox.ajobthing.my/customer/203532")</f>
        <v>https://upbox.ajobthing.my/customer/203532</v>
      </c>
      <c r="I839" t="inlineStr">
        <is>
          <t>Kusuma Agroniaga Sdn Bhd</t>
        </is>
      </c>
      <c r="J839" t="inlineStr">
        <is>
          <t>Dolphin</t>
        </is>
      </c>
      <c r="K839" t="inlineStr">
        <is>
          <t>Jia Hui</t>
        </is>
      </c>
      <c r="L839" s="4"/>
      <c r="M839" s="4">
        <v>46134.600011574075</v>
      </c>
      <c r="N839"/>
      <c r="O839">
        <v>1296</v>
      </c>
      <c r="P839" s="4"/>
      <c r="Q839" s="4"/>
      <c r="R839"/>
      <c r="S839"/>
      <c r="T839" s="4"/>
      <c r="U839" s="4"/>
      <c r="V839"/>
      <c r="W839"/>
      <c r="X839"/>
      <c r="Y839" t="inlineStr">
        <is>
          <t>Pending Appointment</t>
        </is>
      </c>
      <c r="Z839" t="inlineStr">
        <is>
          <t>Hiring Now</t>
        </is>
      </c>
      <c r="AA839">
        <v>1</v>
      </c>
      <c r="AB839" t="inlineStr">
        <is>
          <t>No Appointment Made</t>
        </is>
      </c>
      <c r="AC839"/>
      <c r="AD839" t="inlineStr">
        <is>
          <t>1 food technology executive</t>
        </is>
      </c>
      <c r="AE839"/>
      <c r="AF839">
        <v>500</v>
      </c>
      <c r="AG839" s="4"/>
      <c r="AH839" s="4"/>
      <c r="AI839"/>
      <c r="AJ839"/>
      <c r="AK839" t="inlineStr">
        <is>
          <t>No, but I want in future</t>
        </is>
      </c>
      <c r="AL839"/>
      <c r="AM839"/>
      <c r="AN839"/>
      <c r="AO839"/>
      <c r="AP839" t="inlineStr">
        <is>
          <t>Once a year (25%)</t>
        </is>
      </c>
      <c r="AQ839"/>
      <c r="AR839"/>
      <c r="AS839" t="inlineStr">
        <is>
          <t>- Headcount: 1
- Hiring Job Details: 1 food technology executive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is>
      </c>
      <c r="AT839">
        <v>75</v>
      </c>
      <c r="AU839" t="inlineStr">
        <is>
          <t>0.75</t>
        </is>
      </c>
      <c r="AV839" t="inlineStr">
        <is>
          <t>15</t>
        </is>
      </c>
      <c r="AW839" t="inlineStr">
        <is>
          <t>0</t>
        </is>
      </c>
      <c r="AX839" t="inlineStr">
        <is>
          <t>Not Qualified</t>
        </is>
      </c>
      <c r="AY839" s="4"/>
      <c r="AZ839"/>
      <c r="BA839"/>
      <c r="BB839"/>
      <c r="BC839" t="inlineStr">
        <is>
          <t>npu wa</t>
        </is>
      </c>
      <c r="BD839" s="4">
        <v>46136.60586805556</v>
      </c>
      <c r="BE839"/>
      <c r="BF839"/>
      <c r="BG839" t="inlineStr">
        <is>
          <t>Reschedule</t>
        </is>
      </c>
      <c r="BH839" t="inlineStr">
        <is>
          <t>Reagen</t>
        </is>
      </c>
      <c r="BI839" t="inlineStr">
        <is>
          <t>Manufacturing / Production</t>
        </is>
      </c>
      <c r="BJ839" s="4">
        <v>46144.754328703704</v>
      </c>
      <c r="BK839" s="4">
        <v>46134.57974537037</v>
      </c>
      <c r="BL839" t="inlineStr">
        <is>
          <t>0.0</t>
        </is>
      </c>
      <c r="BM839" t="inlineStr">
        <is>
          <t>0.0</t>
        </is>
      </c>
      <c r="BN839" t="inlineStr">
        <is>
          <t>View Company Page</t>
        </is>
      </c>
      <c r="BO839" s="4">
        <v>46135.46009259259</v>
      </c>
      <c r="BP839">
        <v>168310</v>
      </c>
      <c r="BQ839"/>
      <c r="BR839"/>
      <c r="BS839"/>
      <c r="BT839"/>
      <c r="BU839"/>
      <c r="BV839">
        <v>2726484</v>
      </c>
      <c r="BW839" t="inlineStr">
        <is>
          <t>No Answer : Voicemail - WA sent to customer</t>
        </is>
      </c>
      <c r="BX839"/>
      <c r="BY839"/>
      <c r="BZ839" s="4"/>
      <c r="CA839"/>
      <c r="CB839"/>
      <c r="CC839" s="4"/>
      <c r="CD839" t="inlineStr">
        <is>
          <t>20</t>
        </is>
      </c>
      <c r="CE839" t="inlineStr">
        <is>
          <t>0</t>
        </is>
      </c>
      <c r="CF839" t="inlineStr">
        <is>
          <t>Q2-W03</t>
        </is>
      </c>
      <c r="CG839"/>
      <c r="CH839"/>
      <c r="CI839"/>
      <c r="CJ839" t="inlineStr">
        <is>
          <t>No Paid</t>
        </is>
      </c>
      <c r="CK839" t="inlineStr">
        <is>
          <t>Not Eligible</t>
        </is>
      </c>
      <c r="CL839"/>
      <c r="CM839"/>
    </row>
    <row r="840" ht="25.5" customHeight="1">
      <c r="A840" t="inlineStr">
        <is>
          <t>161646</t>
        </is>
      </c>
      <c r="B840" s="2"/>
      <c r="C840"/>
      <c r="D840" s="3">
        <v>46134.610868055555</v>
      </c>
      <c r="E840" t="inlineStr">
        <is>
          <t>Q2-W03</t>
        </is>
      </c>
      <c r="F840" t="inlineStr">
        <is>
          <t>Xin Quan</t>
        </is>
      </c>
      <c r="G840" t="inlineStr">
        <is>
          <t>Customer</t>
        </is>
      </c>
      <c r="H840" s="2" t="str">
        <f>=HYPERLINK("https://upbox.ajobthing.my/customer/161646", "https://upbox.ajobthing.my/customer/161646")</f>
        <v>https://upbox.ajobthing.my/customer/161646</v>
      </c>
      <c r="I840" t="inlineStr">
        <is>
          <t>180 Degrees Brandcom Sdn Bhd</t>
        </is>
      </c>
      <c r="J840" t="inlineStr">
        <is>
          <t>Dolphin</t>
        </is>
      </c>
      <c r="K840" t="inlineStr">
        <is>
          <t>Xin Quan</t>
        </is>
      </c>
      <c r="L840" s="4"/>
      <c r="M840" s="4">
        <v>46134.60870370371</v>
      </c>
      <c r="N840"/>
      <c r="O840">
        <v>3888</v>
      </c>
      <c r="P840" s="4"/>
      <c r="Q840" s="4">
        <v>46101.67673611111</v>
      </c>
      <c r="R840"/>
      <c r="S840">
        <v>0</v>
      </c>
      <c r="T840" s="4">
        <v>44872.60642361111</v>
      </c>
      <c r="U840" s="4"/>
      <c r="V840"/>
      <c r="W840">
        <v>636</v>
      </c>
      <c r="X840"/>
      <c r="Y840" t="inlineStr">
        <is>
          <t>Pending Appointment</t>
        </is>
      </c>
      <c r="Z840" t="inlineStr">
        <is>
          <t>Hiring Now</t>
        </is>
      </c>
      <c r="AA840">
        <v>1</v>
      </c>
      <c r="AB840" t="inlineStr">
        <is>
          <t>No Appointment Made</t>
        </is>
      </c>
      <c r="AC840"/>
      <c r="AD840" t="inlineStr">
        <is>
          <t>1 Marketer , Base in KL</t>
        </is>
      </c>
      <c r="AE840"/>
      <c r="AF840">
        <v>2000</v>
      </c>
      <c r="AG840" s="4"/>
      <c r="AH840" s="4"/>
      <c r="AI840">
        <v>24000</v>
      </c>
      <c r="AJ840">
        <v>1</v>
      </c>
      <c r="AK840" t="inlineStr">
        <is>
          <t>No, I don't need at all</t>
        </is>
      </c>
      <c r="AL840">
        <v>1</v>
      </c>
      <c r="AM840" t="inlineStr">
        <is>
          <t>No, I don't need at all</t>
        </is>
      </c>
      <c r="AN840"/>
      <c r="AO840" t="inlineStr">
        <is>
          <t>No, I don't need at all</t>
        </is>
      </c>
      <c r="AP840" t="inlineStr">
        <is>
          <t>Once a year (25%)</t>
        </is>
      </c>
      <c r="AQ840">
        <v>1</v>
      </c>
      <c r="AR840"/>
      <c r="AS840" t="inlineStr">
        <is>
          <t>- Headcount: 1
- Hiring Job Details: 1 Marketer,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840">
        <v>115</v>
      </c>
      <c r="AU840" t="inlineStr">
        <is>
          <t>1.15</t>
        </is>
      </c>
      <c r="AV840" t="inlineStr">
        <is>
          <t>15</t>
        </is>
      </c>
      <c r="AW840" t="inlineStr">
        <is>
          <t>0</t>
        </is>
      </c>
      <c r="AX840" t="inlineStr">
        <is>
          <t>Not Qualified</t>
        </is>
      </c>
      <c r="AY840" s="4"/>
      <c r="AZ840"/>
      <c r="BA840"/>
      <c r="BB840"/>
      <c r="BC840" t="inlineStr">
        <is>
          <t>EXTRA benefit to winback</t>
        </is>
      </c>
      <c r="BD840" s="4">
        <v>46135.48851851852</v>
      </c>
      <c r="BE840" t="inlineStr">
        <is>
          <t>paid</t>
        </is>
      </c>
      <c r="BF840"/>
      <c r="BG840" t="inlineStr">
        <is>
          <t>Reschedule</t>
        </is>
      </c>
      <c r="BH840" t="inlineStr">
        <is>
          <t>Edward Hoo</t>
        </is>
      </c>
      <c r="BI840" t="inlineStr">
        <is>
          <t>Advertising / Marketing</t>
        </is>
      </c>
      <c r="BJ840" s="4">
        <v>46144.751122685186</v>
      </c>
      <c r="BK840" s="4">
        <v>44867.389085648145</v>
      </c>
      <c r="BL840" t="inlineStr">
        <is>
          <t>0.0</t>
        </is>
      </c>
      <c r="BM840" t="inlineStr">
        <is>
          <t>1800.0</t>
        </is>
      </c>
      <c r="BN840" t="inlineStr">
        <is>
          <t>View Applicant Page</t>
        </is>
      </c>
      <c r="BO840" s="4">
        <v>45028.55158564815</v>
      </c>
      <c r="BP840">
        <v>168314</v>
      </c>
      <c r="BQ840">
        <v>118097</v>
      </c>
      <c r="BR840" t="inlineStr">
        <is>
          <t>Proforma</t>
        </is>
      </c>
      <c r="BS840" t="inlineStr">
        <is>
          <t>Free Singapore Job</t>
        </is>
      </c>
      <c r="BT840">
        <v>52320</v>
      </c>
      <c r="BU840"/>
      <c r="BV840">
        <v>2722931</v>
      </c>
      <c r="BW840" t="inlineStr">
        <is>
          <t>Inquire for Hiring Needs : No Hiring</t>
        </is>
      </c>
      <c r="BX840"/>
      <c r="BY840"/>
      <c r="BZ840" s="4"/>
      <c r="CA840"/>
      <c r="CB840"/>
      <c r="CC840" s="4"/>
      <c r="CD840" t="inlineStr">
        <is>
          <t>20</t>
        </is>
      </c>
      <c r="CE840" t="inlineStr">
        <is>
          <t>0</t>
        </is>
      </c>
      <c r="CF840" t="inlineStr">
        <is>
          <t>Q2-W03</t>
        </is>
      </c>
      <c r="CG840" t="inlineStr">
        <is>
          <t>Q1-W12</t>
        </is>
      </c>
      <c r="CH840"/>
      <c r="CI840"/>
      <c r="CJ840" t="inlineStr">
        <is>
          <t>Paid</t>
        </is>
      </c>
      <c r="CK840" t="inlineStr">
        <is>
          <t>Not Eligible</t>
        </is>
      </c>
      <c r="CL840"/>
      <c r="CM840"/>
    </row>
    <row r="841" ht="25.5" customHeight="1">
      <c r="A841" t="inlineStr">
        <is>
          <t>203534</t>
        </is>
      </c>
      <c r="B841" s="2"/>
      <c r="C841"/>
      <c r="D841" s="3">
        <v>46134.62092592593</v>
      </c>
      <c r="E841" t="inlineStr">
        <is>
          <t>Q2-W03</t>
        </is>
      </c>
      <c r="F841" t="inlineStr">
        <is>
          <t>Josh</t>
        </is>
      </c>
      <c r="G841" t="inlineStr">
        <is>
          <t>Customer</t>
        </is>
      </c>
      <c r="H841" s="2" t="str">
        <f>=HYPERLINK("https://upbox.ajobthing.my/customer/203534", "https://upbox.ajobthing.my/customer/203534")</f>
        <v>https://upbox.ajobthing.my/customer/203534</v>
      </c>
      <c r="I841" t="inlineStr">
        <is>
          <t>Soho Labs Sdn Bhd</t>
        </is>
      </c>
      <c r="J841" t="inlineStr">
        <is>
          <t>Dolphin</t>
        </is>
      </c>
      <c r="K841" t="inlineStr">
        <is>
          <t>Josh</t>
        </is>
      </c>
      <c r="L841" s="4"/>
      <c r="M841" s="4">
        <v>46134.62119212963</v>
      </c>
      <c r="N841"/>
      <c r="O841">
        <v>3672</v>
      </c>
      <c r="P841" s="4"/>
      <c r="Q841" s="4">
        <v>46139.447071759256</v>
      </c>
      <c r="R841"/>
      <c r="S841">
        <v>0</v>
      </c>
      <c r="T841" s="4"/>
      <c r="U841" s="4"/>
      <c r="V841"/>
      <c r="W841"/>
      <c r="X841"/>
      <c r="Y841" t="inlineStr">
        <is>
          <t>Pending Appointment</t>
        </is>
      </c>
      <c r="Z841" t="inlineStr">
        <is>
          <t>Hiring Now</t>
        </is>
      </c>
      <c r="AA841">
        <v>1</v>
      </c>
      <c r="AB841" t="inlineStr">
        <is>
          <t>No Appointment Made</t>
        </is>
      </c>
      <c r="AC841"/>
      <c r="AD841" t="inlineStr">
        <is>
          <t xml:space="preserve">1 intern graphic designer </t>
        </is>
      </c>
      <c r="AE841"/>
      <c r="AF841">
        <v>3000</v>
      </c>
      <c r="AG841" s="4"/>
      <c r="AH841" s="4"/>
      <c r="AI841"/>
      <c r="AJ841"/>
      <c r="AK841" t="inlineStr">
        <is>
          <t>Yes, I have</t>
        </is>
      </c>
      <c r="AL841"/>
      <c r="AM841"/>
      <c r="AN841"/>
      <c r="AO841"/>
      <c r="AP841" t="inlineStr">
        <is>
          <t>Once a year (25%)</t>
        </is>
      </c>
      <c r="AQ841"/>
      <c r="AR841"/>
      <c r="AS841" t="inlineStr">
        <is>
          <t>- Headcount: 1
- Hiring Job Details: 1 intern graphic designer
- Hiring Urgency: Hiring Now
- Number of outlets: N/A
- Have recruiter team: Yes
- Number of recruiter in company: N/A
- Have ATS system: N/A
- Have career website: N/A
- Current hiring budget: RM3,000.00
- Whole year budget: N/A
- Whole year number of vacancies: N/A
- Hiring frequency: Once a year (25%)
- External job portal: N/A</t>
        </is>
      </c>
      <c r="AT841">
        <v>95</v>
      </c>
      <c r="AU841" t="inlineStr">
        <is>
          <t>0.95</t>
        </is>
      </c>
      <c r="AV841" t="inlineStr">
        <is>
          <t>15</t>
        </is>
      </c>
      <c r="AW841" t="inlineStr">
        <is>
          <t>0</t>
        </is>
      </c>
      <c r="AX841" t="inlineStr">
        <is>
          <t>Not Qualified</t>
        </is>
      </c>
      <c r="AY841" s="4"/>
      <c r="AZ841"/>
      <c r="BA841"/>
      <c r="BB841"/>
      <c r="BC841" t="inlineStr">
        <is>
          <t>will use free intern post first</t>
        </is>
      </c>
      <c r="BD841" s="4">
        <v>46135.58908564815</v>
      </c>
      <c r="BE841" t="inlineStr">
        <is>
          <t>paid</t>
        </is>
      </c>
      <c r="BF841"/>
      <c r="BG841" t="inlineStr">
        <is>
          <t>Reschedule</t>
        </is>
      </c>
      <c r="BH841" t="inlineStr">
        <is>
          <t>Fauziah Maharan</t>
        </is>
      </c>
      <c r="BI841" t="inlineStr">
        <is>
          <t>Advertising / Marketing</t>
        </is>
      </c>
      <c r="BJ841" s="4">
        <v>46144.754328703704</v>
      </c>
      <c r="BK841" s="4">
        <v>46134.590416666666</v>
      </c>
      <c r="BL841" t="inlineStr">
        <is>
          <t>0.0</t>
        </is>
      </c>
      <c r="BM841" t="inlineStr">
        <is>
          <t>0.0</t>
        </is>
      </c>
      <c r="BN841" t="inlineStr">
        <is>
          <t>View Company Page</t>
        </is>
      </c>
      <c r="BO841" s="4">
        <v>46139.44761574074</v>
      </c>
      <c r="BP841">
        <v>168325</v>
      </c>
      <c r="BQ841">
        <v>123742</v>
      </c>
      <c r="BR841" t="inlineStr">
        <is>
          <t>Proforma</t>
        </is>
      </c>
      <c r="BS841" t="inlineStr">
        <is>
          <t>Free Part-Time Job</t>
        </is>
      </c>
      <c r="BT841"/>
      <c r="BU841"/>
      <c r="BV841">
        <v>2723352</v>
      </c>
      <c r="BW841" t="inlineStr">
        <is>
          <t>Inquire for Hiring Needs : No Hiring</t>
        </is>
      </c>
      <c r="BX841">
        <v>2</v>
      </c>
      <c r="BY841">
        <v>2</v>
      </c>
      <c r="BZ841" s="4"/>
      <c r="CA841">
        <v>13</v>
      </c>
      <c r="CB841">
        <v>13</v>
      </c>
      <c r="CC841" s="4"/>
      <c r="CD841" t="inlineStr">
        <is>
          <t>20</t>
        </is>
      </c>
      <c r="CE841" t="inlineStr">
        <is>
          <t>0</t>
        </is>
      </c>
      <c r="CF841" t="inlineStr">
        <is>
          <t>Q2-W03</t>
        </is>
      </c>
      <c r="CG841" t="inlineStr">
        <is>
          <t>Q2-W04</t>
        </is>
      </c>
      <c r="CH841"/>
      <c r="CI841"/>
      <c r="CJ841" t="inlineStr">
        <is>
          <t>No Paid</t>
        </is>
      </c>
      <c r="CK841" t="inlineStr">
        <is>
          <t>Not Eligible</t>
        </is>
      </c>
      <c r="CL841"/>
      <c r="CM841"/>
    </row>
    <row r="842" ht="25.5" customHeight="1">
      <c r="A842" t="inlineStr">
        <is>
          <t>173742</t>
        </is>
      </c>
      <c r="B842" s="2"/>
      <c r="C842"/>
      <c r="D842" s="3">
        <v>46134.62383101852</v>
      </c>
      <c r="E842" t="inlineStr">
        <is>
          <t>Q2-W03</t>
        </is>
      </c>
      <c r="F842" t="inlineStr">
        <is>
          <t>Chia Yee</t>
        </is>
      </c>
      <c r="G842" t="inlineStr">
        <is>
          <t>Customer</t>
        </is>
      </c>
      <c r="H842" s="2" t="str">
        <f>=HYPERLINK("https://upbox.ajobthing.my/customer/173742", "https://upbox.ajobthing.my/customer/173742")</f>
        <v>https://upbox.ajobthing.my/customer/173742</v>
      </c>
      <c r="I842" t="inlineStr">
        <is>
          <t>ORC Risk Consulting Group Sdn Bhd</t>
        </is>
      </c>
      <c r="J842" t="inlineStr">
        <is>
          <t>Dolphin</t>
        </is>
      </c>
      <c r="K842" t="inlineStr">
        <is>
          <t>Chia Yee</t>
        </is>
      </c>
      <c r="L842" s="4"/>
      <c r="M842" s="4">
        <v>46134.61381944444</v>
      </c>
      <c r="N842"/>
      <c r="O842">
        <v>3672</v>
      </c>
      <c r="P842" s="4"/>
      <c r="Q842" s="4">
        <v>46141.628229166665</v>
      </c>
      <c r="R842"/>
      <c r="S842">
        <v>0</v>
      </c>
      <c r="T842" s="4">
        <v>46140.58909722222</v>
      </c>
      <c r="U842" s="4"/>
      <c r="V842"/>
      <c r="W842">
        <v>4968</v>
      </c>
      <c r="X842"/>
      <c r="Y842" t="inlineStr">
        <is>
          <t>Pending Appointment</t>
        </is>
      </c>
      <c r="Z842" t="inlineStr">
        <is>
          <t>Hiring Now</t>
        </is>
      </c>
      <c r="AA842">
        <v>2.5</v>
      </c>
      <c r="AB842" t="inlineStr">
        <is>
          <t>No Appointment Made</t>
        </is>
      </c>
      <c r="AC842"/>
      <c r="AD842" t="inlineStr">
        <is>
          <t>2-3 Marketing executive</t>
        </is>
      </c>
      <c r="AE842"/>
      <c r="AF842"/>
      <c r="AG842" s="4"/>
      <c r="AH842" s="4"/>
      <c r="AI842">
        <v>0</v>
      </c>
      <c r="AJ842">
        <v>1</v>
      </c>
      <c r="AK842" t="inlineStr">
        <is>
          <t>No, I don't need at all</t>
        </is>
      </c>
      <c r="AL842">
        <v>1</v>
      </c>
      <c r="AM842" t="inlineStr">
        <is>
          <t>No, I don't need at all</t>
        </is>
      </c>
      <c r="AN842"/>
      <c r="AO842" t="inlineStr">
        <is>
          <t>No, I don't need at all</t>
        </is>
      </c>
      <c r="AP842" t="inlineStr">
        <is>
          <t>Once a year (25%)</t>
        </is>
      </c>
      <c r="AQ842">
        <v>3</v>
      </c>
      <c r="AR842" t="inlineStr">
        <is>
          <t>Did not use any job portal</t>
        </is>
      </c>
      <c r="AS842" t="inlineStr">
        <is>
          <t>- Headcount: 2
- Hiring Job Details: 2-3 Marketing executive
- Hiring Urgency: Hiring Now
- Number of outlets: 1
- Have recruiter team: No, I don't need at all
- Number of recruiter in company: 1
- Have ATS system: No, I don't need at all
- Have career website: No, I don't need at all
- Current hiring budget: RM
- Whole year budget: RM0.00
- Whole year number of vacancies: 3
- Hiring frequency: Once a year (25%)
- External job portal: Did not use any job portal</t>
        </is>
      </c>
      <c r="AT842">
        <v>75</v>
      </c>
      <c r="AU842" t="inlineStr">
        <is>
          <t>0.75</t>
        </is>
      </c>
      <c r="AV842" t="inlineStr">
        <is>
          <t>5</t>
        </is>
      </c>
      <c r="AW842" t="inlineStr">
        <is>
          <t>0</t>
        </is>
      </c>
      <c r="AX842" t="inlineStr">
        <is>
          <t>Not Qualified</t>
        </is>
      </c>
      <c r="AY842" s="4"/>
      <c r="AZ842"/>
      <c r="BA842"/>
      <c r="BB842"/>
      <c r="BC842" t="inlineStr">
        <is>
          <t>WA payment slip</t>
        </is>
      </c>
      <c r="BD842" s="4">
        <v>46140.48533564815</v>
      </c>
      <c r="BE842" t="inlineStr">
        <is>
          <t>paid</t>
        </is>
      </c>
      <c r="BF842" t="inlineStr">
        <is>
          <t>Q2-W04</t>
        </is>
      </c>
      <c r="BG842" t="inlineStr">
        <is>
          <t>Reschedule</t>
        </is>
      </c>
      <c r="BH842" t="inlineStr">
        <is>
          <t>Reagen</t>
        </is>
      </c>
      <c r="BI842" t="inlineStr">
        <is>
          <t>Banking / Finance</t>
        </is>
      </c>
      <c r="BJ842" s="4">
        <v>46144.75152777778</v>
      </c>
      <c r="BK842" s="4">
        <v>45273.476111111115</v>
      </c>
      <c r="BL842" t="inlineStr">
        <is>
          <t>4968.0</t>
        </is>
      </c>
      <c r="BM842" t="inlineStr">
        <is>
          <t>0.0</t>
        </is>
      </c>
      <c r="BN842" t="inlineStr">
        <is>
          <t>View Company Page</t>
        </is>
      </c>
      <c r="BO842" s="4">
        <v>46141.6590625</v>
      </c>
      <c r="BP842">
        <v>168319</v>
      </c>
      <c r="BQ842">
        <v>124077</v>
      </c>
      <c r="BR842" t="inlineStr">
        <is>
          <t>Proforma</t>
        </is>
      </c>
      <c r="BS842" t="inlineStr">
        <is>
          <t>Free Internship Job</t>
        </is>
      </c>
      <c r="BT842">
        <v>94958</v>
      </c>
      <c r="BU842"/>
      <c r="BV842">
        <v>2732198</v>
      </c>
      <c r="BW842" t="inlineStr">
        <is>
          <t>Follow Up : Win - Customer Paid</t>
        </is>
      </c>
      <c r="BX842">
        <v>2</v>
      </c>
      <c r="BY842">
        <v>1</v>
      </c>
      <c r="BZ842" s="4">
        <v>46141.65746527778</v>
      </c>
      <c r="CA842"/>
      <c r="CB842"/>
      <c r="CC842" s="4"/>
      <c r="CD842" t="inlineStr">
        <is>
          <t>5</t>
        </is>
      </c>
      <c r="CE842" t="inlineStr">
        <is>
          <t>0</t>
        </is>
      </c>
      <c r="CF842" t="inlineStr">
        <is>
          <t>Q2-W03</t>
        </is>
      </c>
      <c r="CG842" t="inlineStr">
        <is>
          <t>Q2-W04</t>
        </is>
      </c>
      <c r="CH842" t="inlineStr">
        <is>
          <t>Q2-W04</t>
        </is>
      </c>
      <c r="CI842"/>
      <c r="CJ842" t="inlineStr">
        <is>
          <t>Paid</t>
        </is>
      </c>
      <c r="CK842" t="inlineStr">
        <is>
          <t>Not Eligible</t>
        </is>
      </c>
      <c r="CL842"/>
      <c r="CM842"/>
    </row>
    <row r="843" ht="25.5" customHeight="1">
      <c r="A843" t="inlineStr">
        <is>
          <t>201329</t>
        </is>
      </c>
      <c r="B843" s="2"/>
      <c r="C843"/>
      <c r="D843" s="3">
        <v>46134.62640046296</v>
      </c>
      <c r="E843" t="inlineStr">
        <is>
          <t>Q2-W03</t>
        </is>
      </c>
      <c r="F843" t="inlineStr">
        <is>
          <t>Alan KY</t>
        </is>
      </c>
      <c r="G843" t="inlineStr">
        <is>
          <t>Customer</t>
        </is>
      </c>
      <c r="H843" s="2" t="str">
        <f>=HYPERLINK("https://upbox.ajobthing.my/customer/201329", "https://upbox.ajobthing.my/customer/201329")</f>
        <v>https://upbox.ajobthing.my/customer/201329</v>
      </c>
      <c r="I843" t="inlineStr">
        <is>
          <t>CBRE WTW PROPERTY SERVICES SDN BHD</t>
        </is>
      </c>
      <c r="J843" t="inlineStr">
        <is>
          <t>Dolphin</t>
        </is>
      </c>
      <c r="K843" t="inlineStr">
        <is>
          <t>Alan KY</t>
        </is>
      </c>
      <c r="L843" s="4"/>
      <c r="M843" s="4">
        <v>46134.62462962963</v>
      </c>
      <c r="N843"/>
      <c r="O843">
        <v>11448</v>
      </c>
      <c r="P843" s="4"/>
      <c r="Q843" s="4"/>
      <c r="R843"/>
      <c r="S843"/>
      <c r="T843" s="4"/>
      <c r="U843" s="4"/>
      <c r="V843"/>
      <c r="W843"/>
      <c r="X843"/>
      <c r="Y843" t="inlineStr">
        <is>
          <t>Pending Appointment</t>
        </is>
      </c>
      <c r="Z843" t="inlineStr">
        <is>
          <t>Hiring Now</t>
        </is>
      </c>
      <c r="AA843">
        <v>6</v>
      </c>
      <c r="AB843" t="inlineStr">
        <is>
          <t>No Appointment Made</t>
        </is>
      </c>
      <c r="AC843"/>
      <c r="AD843" t="inlineStr">
        <is>
          <t xml:space="preserve">Building manager
Property management executive
Admin executive
Account executive
Technician cum handyman
Receptionist (ms)
based in KL selangor </t>
        </is>
      </c>
      <c r="AE843"/>
      <c r="AF843"/>
      <c r="AG843" s="4"/>
      <c r="AH843" s="4"/>
      <c r="AI843"/>
      <c r="AJ843"/>
      <c r="AK843" t="inlineStr">
        <is>
          <t>No, but I want in future</t>
        </is>
      </c>
      <c r="AL843"/>
      <c r="AM843" t="inlineStr">
        <is>
          <t>No, I don't need at all</t>
        </is>
      </c>
      <c r="AN843"/>
      <c r="AO843" t="inlineStr">
        <is>
          <t>No, I don't need at all</t>
        </is>
      </c>
      <c r="AP843" t="inlineStr">
        <is>
          <t>Every month (100%)</t>
        </is>
      </c>
      <c r="AQ843"/>
      <c r="AR843" t="inlineStr">
        <is>
          <t>Jobstreet, Free Job Portal</t>
        </is>
      </c>
      <c r="AS843" t="inlineStr">
        <is>
          <t>- Headcount: 6
- Hiring Job Details: Building manager, Property management executive, Admin executive, Account executive, Technician cum handyman, Receptionist (ms) (based in KL selangor)
- Hiring Urgency: Hiring Now
- Number of outlets: N/A
- Have recruiter team: No, but want in future
- Number of recruiter in company: N/A
- Have ATS system: No, I don't need at all
- Have career website: No, I don't need at all
- Current hiring budget: N/A
- Whole year budget: N/A
- Whole year number of vacancies: N/A
- Hiring frequency: Every month (100%)
- External job portal: Jobstreet, Free Job Portal</t>
        </is>
      </c>
      <c r="AT843">
        <v>75</v>
      </c>
      <c r="AU843" t="inlineStr">
        <is>
          <t>0.75</t>
        </is>
      </c>
      <c r="AV843" t="inlineStr">
        <is>
          <t>10</t>
        </is>
      </c>
      <c r="AW843" t="inlineStr">
        <is>
          <t>0</t>
        </is>
      </c>
      <c r="AX843" t="inlineStr">
        <is>
          <t>Not Qualified</t>
        </is>
      </c>
      <c r="AY843" s="4"/>
      <c r="AZ843"/>
      <c r="BA843"/>
      <c r="BB843"/>
      <c r="BC843" t="inlineStr">
        <is>
          <t>Havent discuss yet</t>
        </is>
      </c>
      <c r="BD843" s="4">
        <v>46136.746932870374</v>
      </c>
      <c r="BE843"/>
      <c r="BF843"/>
      <c r="BG843" t="inlineStr">
        <is>
          <t>Reschedule</t>
        </is>
      </c>
      <c r="BH843" t="inlineStr">
        <is>
          <t>Reagen</t>
        </is>
      </c>
      <c r="BI843"/>
      <c r="BJ843" s="4">
        <v>46144.75377314815</v>
      </c>
      <c r="BK843" s="4">
        <v>46076.42619212963</v>
      </c>
      <c r="BL843" t="inlineStr">
        <is>
          <t>0.0</t>
        </is>
      </c>
      <c r="BM843" t="inlineStr">
        <is>
          <t>3600.0</t>
        </is>
      </c>
      <c r="BN843"/>
      <c r="BO843" s="4"/>
      <c r="BP843">
        <v>168329</v>
      </c>
      <c r="BQ843"/>
      <c r="BR843"/>
      <c r="BS843"/>
      <c r="BT843"/>
      <c r="BU843"/>
      <c r="BV843">
        <v>2727472</v>
      </c>
      <c r="BW843" t="inlineStr">
        <is>
          <t>Follow Up : Decision Pending</t>
        </is>
      </c>
      <c r="BX843"/>
      <c r="BY843"/>
      <c r="BZ843" s="4"/>
      <c r="CA843"/>
      <c r="CB843"/>
      <c r="CC843" s="4"/>
      <c r="CD843" t="inlineStr">
        <is>
          <t>15</t>
        </is>
      </c>
      <c r="CE843" t="inlineStr">
        <is>
          <t>0</t>
        </is>
      </c>
      <c r="CF843" t="inlineStr">
        <is>
          <t>Q2-W03</t>
        </is>
      </c>
      <c r="CG843"/>
      <c r="CH843"/>
      <c r="CI843"/>
      <c r="CJ843" t="inlineStr">
        <is>
          <t>No Paid</t>
        </is>
      </c>
      <c r="CK843" t="inlineStr">
        <is>
          <t>Not Eligible</t>
        </is>
      </c>
      <c r="CL843"/>
      <c r="CM843"/>
    </row>
    <row r="844" ht="25.5" customHeight="1">
      <c r="A844" t="inlineStr">
        <is>
          <t>131561</t>
        </is>
      </c>
      <c r="B844" s="2"/>
      <c r="C844"/>
      <c r="D844" s="3">
        <v>46134.63123842593</v>
      </c>
      <c r="E844" t="inlineStr">
        <is>
          <t>Q2-W03</t>
        </is>
      </c>
      <c r="F844" t="inlineStr">
        <is>
          <t>Janice Yap</t>
        </is>
      </c>
      <c r="G844" t="inlineStr">
        <is>
          <t>Customer</t>
        </is>
      </c>
      <c r="H844" s="2" t="str">
        <f>=HYPERLINK("https://upbox.ajobthing.my/customer/131561", "https://upbox.ajobthing.my/customer/131561")</f>
        <v>https://upbox.ajobthing.my/customer/131561</v>
      </c>
      <c r="I844" t="inlineStr">
        <is>
          <t>Sanctuary Health Sdn Bhd</t>
        </is>
      </c>
      <c r="J844" t="inlineStr">
        <is>
          <t>Dolphin</t>
        </is>
      </c>
      <c r="K844" t="inlineStr">
        <is>
          <t>Janice</t>
        </is>
      </c>
      <c r="L844" s="4"/>
      <c r="M844" s="4">
        <v>46134.62856481481</v>
      </c>
      <c r="N844"/>
      <c r="O844">
        <v>3888</v>
      </c>
      <c r="P844" s="4"/>
      <c r="Q844" s="4"/>
      <c r="R844"/>
      <c r="S844"/>
      <c r="T844" s="4"/>
      <c r="U844" s="4"/>
      <c r="V844"/>
      <c r="W844"/>
      <c r="X844"/>
      <c r="Y844" t="inlineStr">
        <is>
          <t>Pending Appointment</t>
        </is>
      </c>
      <c r="Z844" t="inlineStr">
        <is>
          <t>Hiring Now</t>
        </is>
      </c>
      <c r="AA844">
        <v>1</v>
      </c>
      <c r="AB844" t="inlineStr">
        <is>
          <t>No Appointment Made</t>
        </is>
      </c>
      <c r="AC844"/>
      <c r="AD844" t="inlineStr">
        <is>
          <t>1 operator</t>
        </is>
      </c>
      <c r="AE844"/>
      <c r="AF844">
        <v>0</v>
      </c>
      <c r="AG844" s="4"/>
      <c r="AH844" s="4"/>
      <c r="AI844">
        <v>0</v>
      </c>
      <c r="AJ844"/>
      <c r="AK844" t="inlineStr">
        <is>
          <t>No, I don't need at all</t>
        </is>
      </c>
      <c r="AL844">
        <v>0</v>
      </c>
      <c r="AM844" t="inlineStr">
        <is>
          <t>No, I don't need at all</t>
        </is>
      </c>
      <c r="AN844"/>
      <c r="AO844" t="inlineStr">
        <is>
          <t>No, I don't need at all</t>
        </is>
      </c>
      <c r="AP844" t="inlineStr">
        <is>
          <t>Once a year (25%)</t>
        </is>
      </c>
      <c r="AQ844">
        <v>1</v>
      </c>
      <c r="AR844" t="inlineStr">
        <is>
          <t>Free Job Portal</t>
        </is>
      </c>
      <c r="AS844" t="inlineStr">
        <is>
          <t>- Headcount: 1
- Hiring Job Details: 1 operator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844">
        <v>115</v>
      </c>
      <c r="AU844" t="inlineStr">
        <is>
          <t>1.15</t>
        </is>
      </c>
      <c r="AV844" t="inlineStr">
        <is>
          <t>15</t>
        </is>
      </c>
      <c r="AW844" t="inlineStr">
        <is>
          <t>0</t>
        </is>
      </c>
      <c r="AX844" t="inlineStr">
        <is>
          <t>Not Qualified</t>
        </is>
      </c>
      <c r="AY844" s="4"/>
      <c r="AZ844"/>
      <c r="BA844"/>
      <c r="BB844"/>
      <c r="BC844" t="inlineStr">
        <is>
          <t>Called office 05 201 2800 // mentioned no need // the PIC Ms Lau resigned from this company // if need post job will call me back</t>
        </is>
      </c>
      <c r="BD844" s="4">
        <v>46136.603680555556</v>
      </c>
      <c r="BE844"/>
      <c r="BF844"/>
      <c r="BG844" t="inlineStr">
        <is>
          <t>Reschedule</t>
        </is>
      </c>
      <c r="BH844" t="inlineStr">
        <is>
          <t>Yee Hang</t>
        </is>
      </c>
      <c r="BI844"/>
      <c r="BJ844" s="4">
        <v>46144.75047453704</v>
      </c>
      <c r="BK844" s="4">
        <v>44139.71423611111</v>
      </c>
      <c r="BL844" t="inlineStr">
        <is>
          <t>0.0</t>
        </is>
      </c>
      <c r="BM844" t="inlineStr">
        <is>
          <t>1200.0</t>
        </is>
      </c>
      <c r="BN844" t="inlineStr">
        <is>
          <t>View Job Applicants Page</t>
        </is>
      </c>
      <c r="BO844" s="4">
        <v>44449.52380787037</v>
      </c>
      <c r="BP844">
        <v>168331</v>
      </c>
      <c r="BQ844"/>
      <c r="BR844"/>
      <c r="BS844"/>
      <c r="BT844"/>
      <c r="BU844"/>
      <c r="BV844">
        <v>2726452</v>
      </c>
      <c r="BW844" t="inlineStr">
        <is>
          <t>Follow Up : Lost - Free Portal</t>
        </is>
      </c>
      <c r="BX844"/>
      <c r="BY844"/>
      <c r="BZ844" s="4"/>
      <c r="CA844"/>
      <c r="CB844"/>
      <c r="CC844" s="4"/>
      <c r="CD844" t="inlineStr">
        <is>
          <t>20</t>
        </is>
      </c>
      <c r="CE844" t="inlineStr">
        <is>
          <t>0</t>
        </is>
      </c>
      <c r="CF844" t="inlineStr">
        <is>
          <t>Q2-W03</t>
        </is>
      </c>
      <c r="CG844"/>
      <c r="CH844"/>
      <c r="CI844"/>
      <c r="CJ844" t="inlineStr">
        <is>
          <t>No Paid</t>
        </is>
      </c>
      <c r="CK844" t="inlineStr">
        <is>
          <t>Not Eligible</t>
        </is>
      </c>
      <c r="CL844"/>
      <c r="CM844"/>
    </row>
    <row r="845" ht="25.5" customHeight="1">
      <c r="A845" t="inlineStr">
        <is>
          <t>18926</t>
        </is>
      </c>
      <c r="B845" s="2"/>
      <c r="C845"/>
      <c r="D845" s="3">
        <v>46134.6384375</v>
      </c>
      <c r="E845" t="inlineStr">
        <is>
          <t>Q2-W03</t>
        </is>
      </c>
      <c r="F845" t="inlineStr">
        <is>
          <t>Ratha</t>
        </is>
      </c>
      <c r="G845" t="inlineStr">
        <is>
          <t>Customer</t>
        </is>
      </c>
      <c r="H845" s="2" t="str">
        <f>=HYPERLINK("https://upbox.ajobthing.my/customer/18926", "https://upbox.ajobthing.my/customer/18926")</f>
        <v>https://upbox.ajobthing.my/customer/18926</v>
      </c>
      <c r="I845" t="inlineStr">
        <is>
          <t>Oriental Property Management Sdn Bhd</t>
        </is>
      </c>
      <c r="J845" t="inlineStr">
        <is>
          <t>Dolphin</t>
        </is>
      </c>
      <c r="K845" t="inlineStr">
        <is>
          <t>Ratha</t>
        </is>
      </c>
      <c r="L845" s="4"/>
      <c r="M845" s="4">
        <v>46134.640081018515</v>
      </c>
      <c r="N845"/>
      <c r="O845">
        <v>6048</v>
      </c>
      <c r="P845" s="4"/>
      <c r="Q845" s="4"/>
      <c r="R845"/>
      <c r="S845"/>
      <c r="T845" s="4"/>
      <c r="U845" s="4"/>
      <c r="V845"/>
      <c r="W845"/>
      <c r="X845"/>
      <c r="Y845" t="inlineStr">
        <is>
          <t>Pending Appointment</t>
        </is>
      </c>
      <c r="Z845" t="inlineStr">
        <is>
          <t>Hiring Later</t>
        </is>
      </c>
      <c r="AA845">
        <v>2</v>
      </c>
      <c r="AB845" t="inlineStr">
        <is>
          <t>No Appointment Made</t>
        </is>
      </c>
      <c r="AC845"/>
      <c r="AD845" t="inlineStr">
        <is>
          <t>Admin
property manager
location : kl</t>
        </is>
      </c>
      <c r="AE845"/>
      <c r="AF845"/>
      <c r="AG845" s="4"/>
      <c r="AH845" s="4"/>
      <c r="AI845">
        <v>0</v>
      </c>
      <c r="AJ845">
        <v>1</v>
      </c>
      <c r="AK845" t="inlineStr">
        <is>
          <t>Yes, I have</t>
        </is>
      </c>
      <c r="AL845">
        <v>2</v>
      </c>
      <c r="AM845" t="inlineStr">
        <is>
          <t>No, I don't need at all</t>
        </is>
      </c>
      <c r="AN845"/>
      <c r="AO845" t="inlineStr">
        <is>
          <t>Yes, I have</t>
        </is>
      </c>
      <c r="AP845" t="inlineStr">
        <is>
          <t>Once per quarter (75%)</t>
        </is>
      </c>
      <c r="AQ845">
        <v>0</v>
      </c>
      <c r="AR845" t="inlineStr">
        <is>
          <t>Jobstreet, Free Job Portal</t>
        </is>
      </c>
      <c r="AS845" t="inlineStr">
        <is>
          <t>- Headcount: 2
- Hiring Job Details: Admin, property manager (location: kl)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is>
      </c>
      <c r="AT845">
        <v>75</v>
      </c>
      <c r="AU845" t="inlineStr">
        <is>
          <t>0.75</t>
        </is>
      </c>
      <c r="AV845" t="inlineStr">
        <is>
          <t>5</t>
        </is>
      </c>
      <c r="AW845" t="inlineStr">
        <is>
          <t>0</t>
        </is>
      </c>
      <c r="AX845" t="inlineStr">
        <is>
          <t>Not Qualified</t>
        </is>
      </c>
      <c r="AY845" s="4"/>
      <c r="AZ845"/>
      <c r="BA845"/>
      <c r="BB845"/>
      <c r="BC845" t="inlineStr">
        <is>
          <t>no status yet and management still thinking</t>
        </is>
      </c>
      <c r="BD845" s="4">
        <v>46136.45178240741</v>
      </c>
      <c r="BE845"/>
      <c r="BF845"/>
      <c r="BG845" t="inlineStr">
        <is>
          <t>Reschedule</t>
        </is>
      </c>
      <c r="BH845" t="inlineStr">
        <is>
          <t>Fauziah Maharan</t>
        </is>
      </c>
      <c r="BI845"/>
      <c r="BJ845" s="4">
        <v>46144.75230324074</v>
      </c>
      <c r="BK845" s="4">
        <v>42478.85663194444</v>
      </c>
      <c r="BL845" t="inlineStr">
        <is>
          <t>0.0</t>
        </is>
      </c>
      <c r="BM845" t="inlineStr">
        <is>
          <t>1800.0</t>
        </is>
      </c>
      <c r="BN845"/>
      <c r="BO845" s="4"/>
      <c r="BP845">
        <v>168339</v>
      </c>
      <c r="BQ845"/>
      <c r="BR845"/>
      <c r="BS845"/>
      <c r="BT845"/>
      <c r="BU845"/>
      <c r="BV845">
        <v>2725701</v>
      </c>
      <c r="BW845" t="inlineStr">
        <is>
          <t>Follow Up : Decision Pending</t>
        </is>
      </c>
      <c r="BX845"/>
      <c r="BY845"/>
      <c r="BZ845" s="4"/>
      <c r="CA845"/>
      <c r="CB845"/>
      <c r="CC845" s="4"/>
      <c r="CD845" t="inlineStr">
        <is>
          <t>5</t>
        </is>
      </c>
      <c r="CE845" t="inlineStr">
        <is>
          <t>0</t>
        </is>
      </c>
      <c r="CF845" t="inlineStr">
        <is>
          <t>Q2-W03</t>
        </is>
      </c>
      <c r="CG845"/>
      <c r="CH845"/>
      <c r="CI845"/>
      <c r="CJ845" t="inlineStr">
        <is>
          <t>No Paid</t>
        </is>
      </c>
      <c r="CK845" t="inlineStr">
        <is>
          <t>Not Eligible</t>
        </is>
      </c>
      <c r="CL845"/>
      <c r="CM845"/>
    </row>
    <row r="846" ht="25.5" customHeight="1">
      <c r="A846" t="inlineStr">
        <is>
          <t>168410</t>
        </is>
      </c>
      <c r="B846" s="2"/>
      <c r="C846"/>
      <c r="D846" s="3">
        <v>46134.64454861111</v>
      </c>
      <c r="E846" t="inlineStr">
        <is>
          <t>Q2-W03</t>
        </is>
      </c>
      <c r="F846" t="inlineStr">
        <is>
          <t>Chia Yee</t>
        </is>
      </c>
      <c r="G846" t="inlineStr">
        <is>
          <t>Customer</t>
        </is>
      </c>
      <c r="H846" s="2" t="str">
        <f>=HYPERLINK("https://upbox.ajobthing.my/customer/168410", "https://upbox.ajobthing.my/customer/168410")</f>
        <v>https://upbox.ajobthing.my/customer/168410</v>
      </c>
      <c r="I846" t="inlineStr">
        <is>
          <t>Jaring Metal Industries Sdn Bhd</t>
        </is>
      </c>
      <c r="J846" t="inlineStr">
        <is>
          <t>Dolphin</t>
        </is>
      </c>
      <c r="K846" t="inlineStr">
        <is>
          <t>Chia Yee</t>
        </is>
      </c>
      <c r="L846" s="4"/>
      <c r="M846" s="4">
        <v>46134.64349537037</v>
      </c>
      <c r="N846"/>
      <c r="O846">
        <v>4968</v>
      </c>
      <c r="P846" s="4"/>
      <c r="Q846" s="4">
        <v>45891.5468287037</v>
      </c>
      <c r="R846"/>
      <c r="S846">
        <v>864</v>
      </c>
      <c r="T846" s="4">
        <v>45891.5468287037</v>
      </c>
      <c r="U846" s="4"/>
      <c r="V846"/>
      <c r="W846">
        <v>864</v>
      </c>
      <c r="X846"/>
      <c r="Y846" t="inlineStr">
        <is>
          <t>Pending Appointment</t>
        </is>
      </c>
      <c r="Z846" t="inlineStr">
        <is>
          <t>Hiring Now</t>
        </is>
      </c>
      <c r="AA846">
        <v>2</v>
      </c>
      <c r="AB846" t="inlineStr">
        <is>
          <t>No Appointment Made</t>
        </is>
      </c>
      <c r="AC846"/>
      <c r="AD846" t="inlineStr">
        <is>
          <t xml:space="preserve"> 1 lab assistant, 1 lorry driver</t>
        </is>
      </c>
      <c r="AE846"/>
      <c r="AF846">
        <v>0</v>
      </c>
      <c r="AG846" s="4"/>
      <c r="AH846" s="4"/>
      <c r="AI846">
        <v>0</v>
      </c>
      <c r="AJ846">
        <v>1</v>
      </c>
      <c r="AK846" t="inlineStr">
        <is>
          <t>No, I don't need at all</t>
        </is>
      </c>
      <c r="AL846">
        <v>1</v>
      </c>
      <c r="AM846" t="inlineStr">
        <is>
          <t>No, I don't need at all</t>
        </is>
      </c>
      <c r="AN846"/>
      <c r="AO846" t="inlineStr">
        <is>
          <t>No, I don't need at all</t>
        </is>
      </c>
      <c r="AP846" t="inlineStr">
        <is>
          <t>Once a year (25%)</t>
        </is>
      </c>
      <c r="AQ846">
        <v>2</v>
      </c>
      <c r="AR846" t="inlineStr">
        <is>
          <t>Did not use any job portal</t>
        </is>
      </c>
      <c r="AS846" t="inlineStr">
        <is>
          <t>- Headcount: 2
- Hiring Job Details: 1 lab assistant, 1 lorry driver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846">
        <v>120</v>
      </c>
      <c r="AU846" t="inlineStr">
        <is>
          <t>1.20</t>
        </is>
      </c>
      <c r="AV846" t="inlineStr">
        <is>
          <t>15</t>
        </is>
      </c>
      <c r="AW846" t="inlineStr">
        <is>
          <t>0</t>
        </is>
      </c>
      <c r="AX846" t="inlineStr">
        <is>
          <t>Not Qualified</t>
        </is>
      </c>
      <c r="AY846" s="4"/>
      <c r="AZ846"/>
      <c r="BA846"/>
      <c r="BB846"/>
      <c r="BC846" t="inlineStr">
        <is>
          <t>Called, she said not feeling well. WA inform promo</t>
        </is>
      </c>
      <c r="BD846" s="4">
        <v>46141.41370370371</v>
      </c>
      <c r="BE846" t="inlineStr">
        <is>
          <t>paid</t>
        </is>
      </c>
      <c r="BF846"/>
      <c r="BG846" t="inlineStr">
        <is>
          <t>Reschedule</t>
        </is>
      </c>
      <c r="BH846" t="inlineStr">
        <is>
          <t>Reagen</t>
        </is>
      </c>
      <c r="BI846" t="inlineStr">
        <is>
          <t>Manufacturing / Production</t>
        </is>
      </c>
      <c r="BJ846" s="4">
        <v>46144.75134259259</v>
      </c>
      <c r="BK846" s="4">
        <v>45099.44981481481</v>
      </c>
      <c r="BL846" t="inlineStr">
        <is>
          <t>1512.0</t>
        </is>
      </c>
      <c r="BM846" t="inlineStr">
        <is>
          <t>2400.0</t>
        </is>
      </c>
      <c r="BN846" t="inlineStr">
        <is>
          <t>View Jobmanager Page</t>
        </is>
      </c>
      <c r="BO846" s="4">
        <v>45931.56083333334</v>
      </c>
      <c r="BP846">
        <v>168343</v>
      </c>
      <c r="BQ846">
        <v>81776</v>
      </c>
      <c r="BR846" t="inlineStr">
        <is>
          <t>Online</t>
        </is>
      </c>
      <c r="BS846"/>
      <c r="BT846">
        <v>81776</v>
      </c>
      <c r="BU846"/>
      <c r="BV846">
        <v>2734235</v>
      </c>
      <c r="BW846" t="inlineStr">
        <is>
          <t>Follow Up : Decision Pending</t>
        </is>
      </c>
      <c r="BX846"/>
      <c r="BY846"/>
      <c r="BZ846" s="4"/>
      <c r="CA846"/>
      <c r="CB846"/>
      <c r="CC846" s="4"/>
      <c r="CD846" t="inlineStr">
        <is>
          <t>20</t>
        </is>
      </c>
      <c r="CE846" t="inlineStr">
        <is>
          <t>0</t>
        </is>
      </c>
      <c r="CF846" t="inlineStr">
        <is>
          <t>Q2-W03</t>
        </is>
      </c>
      <c r="CG846"/>
      <c r="CH846"/>
      <c r="CI846"/>
      <c r="CJ846" t="inlineStr">
        <is>
          <t>Paid</t>
        </is>
      </c>
      <c r="CK846" t="inlineStr">
        <is>
          <t>Not Eligible</t>
        </is>
      </c>
      <c r="CL846"/>
      <c r="CM846"/>
    </row>
    <row r="847" ht="25.5" customHeight="1">
      <c r="A847" t="inlineStr">
        <is>
          <t>27609</t>
        </is>
      </c>
      <c r="B847" s="2"/>
      <c r="C847"/>
      <c r="D847" s="3">
        <v>46134.64672453704</v>
      </c>
      <c r="E847" t="inlineStr">
        <is>
          <t>Q2-W03</t>
        </is>
      </c>
      <c r="F847" t="inlineStr">
        <is>
          <t>Jia Hui</t>
        </is>
      </c>
      <c r="G847" t="inlineStr">
        <is>
          <t>Customer</t>
        </is>
      </c>
      <c r="H847" s="2" t="str">
        <f>=HYPERLINK("https://upbox.ajobthing.my/customer/27609", "https://upbox.ajobthing.my/customer/27609")</f>
        <v>https://upbox.ajobthing.my/customer/27609</v>
      </c>
      <c r="I847" t="inlineStr">
        <is>
          <t>Macpack Machineries Sdn Bhd</t>
        </is>
      </c>
      <c r="J847" t="inlineStr">
        <is>
          <t>Dolphin</t>
        </is>
      </c>
      <c r="K847" t="inlineStr">
        <is>
          <t>Jia Hui</t>
        </is>
      </c>
      <c r="L847" s="4"/>
      <c r="M847" s="4">
        <v>46134.64412037037</v>
      </c>
      <c r="N847"/>
      <c r="O847">
        <v>6048</v>
      </c>
      <c r="P847" s="4"/>
      <c r="Q847" s="4">
        <v>44236.67358796296</v>
      </c>
      <c r="R847"/>
      <c r="S847">
        <v>199.28</v>
      </c>
      <c r="T847" s="4">
        <v>44236.67358796296</v>
      </c>
      <c r="U847" s="4"/>
      <c r="V847"/>
      <c r="W847">
        <v>199.28</v>
      </c>
      <c r="X847"/>
      <c r="Y847" t="inlineStr">
        <is>
          <t>Pending Appointment</t>
        </is>
      </c>
      <c r="Z847" t="inlineStr">
        <is>
          <t>Hiring Now</t>
        </is>
      </c>
      <c r="AA847">
        <v>1</v>
      </c>
      <c r="AB847" t="inlineStr">
        <is>
          <t>No Appointment Made</t>
        </is>
      </c>
      <c r="AC847"/>
      <c r="AD847" t="inlineStr">
        <is>
          <t>1 technical staff</t>
        </is>
      </c>
      <c r="AE847"/>
      <c r="AF847">
        <v>500</v>
      </c>
      <c r="AG847" s="4"/>
      <c r="AH847" s="4"/>
      <c r="AI847"/>
      <c r="AJ847"/>
      <c r="AK847" t="inlineStr">
        <is>
          <t>No, but I want in future</t>
        </is>
      </c>
      <c r="AL847"/>
      <c r="AM847"/>
      <c r="AN847"/>
      <c r="AO847"/>
      <c r="AP847" t="inlineStr">
        <is>
          <t>Once a year (25%)</t>
        </is>
      </c>
      <c r="AQ847"/>
      <c r="AR847"/>
      <c r="AS847" t="inlineStr">
        <is>
          <t>- Headcount: 1
- Hiring Job Details: 1 technical staff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847">
        <v>75</v>
      </c>
      <c r="AU847" t="inlineStr">
        <is>
          <t>0.75</t>
        </is>
      </c>
      <c r="AV847" t="inlineStr">
        <is>
          <t>15</t>
        </is>
      </c>
      <c r="AW847" t="inlineStr">
        <is>
          <t>0</t>
        </is>
      </c>
      <c r="AX847" t="inlineStr">
        <is>
          <t>Not Qualified</t>
        </is>
      </c>
      <c r="AY847" s="4"/>
      <c r="AZ847"/>
      <c r="BA847"/>
      <c r="BB847"/>
      <c r="BC847" t="inlineStr">
        <is>
          <t>no hiring atm, only will hire after June</t>
        </is>
      </c>
      <c r="BD847" s="4">
        <v>46141.47263888889</v>
      </c>
      <c r="BE847" t="inlineStr">
        <is>
          <t>paid</t>
        </is>
      </c>
      <c r="BF847"/>
      <c r="BG847" t="inlineStr">
        <is>
          <t>Reschedule</t>
        </is>
      </c>
      <c r="BH847" t="inlineStr">
        <is>
          <t>Reagen</t>
        </is>
      </c>
      <c r="BI847" t="inlineStr">
        <is>
          <t>Heavy Industrial / Machinery</t>
        </is>
      </c>
      <c r="BJ847" s="4">
        <v>46144.75451388889</v>
      </c>
      <c r="BK847" s="4">
        <v>42605.63024305556</v>
      </c>
      <c r="BL847" t="inlineStr">
        <is>
          <t>0.0</t>
        </is>
      </c>
      <c r="BM847" t="inlineStr">
        <is>
          <t>1800.0</t>
        </is>
      </c>
      <c r="BN847" t="inlineStr">
        <is>
          <t>User Login</t>
        </is>
      </c>
      <c r="BO847" s="4">
        <v>44276.70496527778</v>
      </c>
      <c r="BP847">
        <v>168345</v>
      </c>
      <c r="BQ847">
        <v>30185</v>
      </c>
      <c r="BR847" t="inlineStr">
        <is>
          <t>Online</t>
        </is>
      </c>
      <c r="BS847"/>
      <c r="BT847">
        <v>30185</v>
      </c>
      <c r="BU847"/>
      <c r="BV847">
        <v>2734699</v>
      </c>
      <c r="BW847" t="inlineStr">
        <is>
          <t>Inquire for Hiring Needs : No Hiring</t>
        </is>
      </c>
      <c r="BX847"/>
      <c r="BY847"/>
      <c r="BZ847" s="4"/>
      <c r="CA847"/>
      <c r="CB847"/>
      <c r="CC847" s="4"/>
      <c r="CD847" t="inlineStr">
        <is>
          <t>20</t>
        </is>
      </c>
      <c r="CE847" t="inlineStr">
        <is>
          <t>0</t>
        </is>
      </c>
      <c r="CF847" t="inlineStr">
        <is>
          <t>Q2-W03</t>
        </is>
      </c>
      <c r="CG847"/>
      <c r="CH847"/>
      <c r="CI847"/>
      <c r="CJ847" t="inlineStr">
        <is>
          <t>Paid</t>
        </is>
      </c>
      <c r="CK847" t="inlineStr">
        <is>
          <t>Not Eligible</t>
        </is>
      </c>
      <c r="CL847"/>
      <c r="CM847"/>
    </row>
    <row r="848" ht="25.5" customHeight="1">
      <c r="A848" t="inlineStr">
        <is>
          <t>167320</t>
        </is>
      </c>
      <c r="B848" s="2"/>
      <c r="C848"/>
      <c r="D848" s="3">
        <v>46134.64974537037</v>
      </c>
      <c r="E848" t="inlineStr">
        <is>
          <t>Q2-W03</t>
        </is>
      </c>
      <c r="F848" t="inlineStr">
        <is>
          <t>Ratha</t>
        </is>
      </c>
      <c r="G848" t="inlineStr">
        <is>
          <t>Customer</t>
        </is>
      </c>
      <c r="H848" s="2" t="str">
        <f>=HYPERLINK("https://upbox.ajobthing.my/customer/167320", "https://upbox.ajobthing.my/customer/167320")</f>
        <v>https://upbox.ajobthing.my/customer/167320</v>
      </c>
      <c r="I848" t="inlineStr">
        <is>
          <t>Eastern File (M) Sdn Bhd</t>
        </is>
      </c>
      <c r="J848" t="inlineStr">
        <is>
          <t>Dolphin</t>
        </is>
      </c>
      <c r="K848" t="inlineStr">
        <is>
          <t>Ratha</t>
        </is>
      </c>
      <c r="L848" s="4"/>
      <c r="M848" s="4">
        <v>46134.65047453704</v>
      </c>
      <c r="N848"/>
      <c r="O848">
        <v>3672</v>
      </c>
      <c r="P848" s="4"/>
      <c r="Q848" s="4">
        <v>46139.65400462963</v>
      </c>
      <c r="R848"/>
      <c r="S848">
        <v>3672</v>
      </c>
      <c r="T848" s="4">
        <v>46139.65400462963</v>
      </c>
      <c r="U848" s="4"/>
      <c r="V848"/>
      <c r="W848">
        <v>3672</v>
      </c>
      <c r="X848"/>
      <c r="Y848" t="inlineStr">
        <is>
          <t>Pending Appointment</t>
        </is>
      </c>
      <c r="Z848" t="inlineStr">
        <is>
          <t>Hiring Now</t>
        </is>
      </c>
      <c r="AA848">
        <v>1</v>
      </c>
      <c r="AB848" t="inlineStr">
        <is>
          <t>No Appointment Made</t>
        </is>
      </c>
      <c r="AC848"/>
      <c r="AD848" t="inlineStr">
        <is>
          <t>Stock Controller &amp; Admin (with acc basic)
location : subang</t>
        </is>
      </c>
      <c r="AE848"/>
      <c r="AF848"/>
      <c r="AG848" s="4"/>
      <c r="AH848" s="4"/>
      <c r="AI848">
        <v>0</v>
      </c>
      <c r="AJ848">
        <v>1</v>
      </c>
      <c r="AK848" t="inlineStr">
        <is>
          <t>Yes, I have</t>
        </is>
      </c>
      <c r="AL848">
        <v>2</v>
      </c>
      <c r="AM848" t="inlineStr">
        <is>
          <t>No, I don't need at all</t>
        </is>
      </c>
      <c r="AN848"/>
      <c r="AO848" t="inlineStr">
        <is>
          <t>No, I don't need at all</t>
        </is>
      </c>
      <c r="AP848" t="inlineStr">
        <is>
          <t>Twice a year (50%)</t>
        </is>
      </c>
      <c r="AQ848">
        <v>0</v>
      </c>
      <c r="AR848" t="inlineStr">
        <is>
          <t>Did not use any job portal</t>
        </is>
      </c>
      <c r="AS848" t="inlineStr">
        <is>
          <t>- Headcount: 1
- Hiring Job Details: Stock Controller &amp; Admin (with acc basic), location: subang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is>
      </c>
      <c r="AT848">
        <v>100</v>
      </c>
      <c r="AU848" t="inlineStr">
        <is>
          <t>1.00</t>
        </is>
      </c>
      <c r="AV848" t="inlineStr">
        <is>
          <t>5</t>
        </is>
      </c>
      <c r="AW848" t="inlineStr">
        <is>
          <t>0</t>
        </is>
      </c>
      <c r="AX848" t="inlineStr">
        <is>
          <t>Not Qualified</t>
        </is>
      </c>
      <c r="AY848" s="4"/>
      <c r="AZ848"/>
      <c r="BA848"/>
      <c r="BB848"/>
      <c r="BC848" t="inlineStr">
        <is>
          <t>no answer - paid</t>
        </is>
      </c>
      <c r="BD848" s="4">
        <v>46140.566400462965</v>
      </c>
      <c r="BE848" t="inlineStr">
        <is>
          <t>paid</t>
        </is>
      </c>
      <c r="BF848" t="inlineStr">
        <is>
          <t>Q2-W04</t>
        </is>
      </c>
      <c r="BG848" t="inlineStr">
        <is>
          <t>Reschedule</t>
        </is>
      </c>
      <c r="BH848" t="inlineStr">
        <is>
          <t>Fauziah Maharan</t>
        </is>
      </c>
      <c r="BI848" t="inlineStr">
        <is>
          <t>Manufacturing / Production</t>
        </is>
      </c>
      <c r="BJ848" s="4">
        <v>46144.75131944445</v>
      </c>
      <c r="BK848" s="4">
        <v>45070.68640046296</v>
      </c>
      <c r="BL848" t="inlineStr">
        <is>
          <t>4320.0</t>
        </is>
      </c>
      <c r="BM848" t="inlineStr">
        <is>
          <t>600.0</t>
        </is>
      </c>
      <c r="BN848" t="inlineStr">
        <is>
          <t>View Company Page</t>
        </is>
      </c>
      <c r="BO848" s="4">
        <v>46142.43619212963</v>
      </c>
      <c r="BP848">
        <v>168352</v>
      </c>
      <c r="BQ848">
        <v>94815</v>
      </c>
      <c r="BR848" t="inlineStr">
        <is>
          <t>Online</t>
        </is>
      </c>
      <c r="BS848"/>
      <c r="BT848">
        <v>94815</v>
      </c>
      <c r="BU848"/>
      <c r="BV848">
        <v>2732587</v>
      </c>
      <c r="BW848" t="inlineStr">
        <is>
          <t>No Answer : Voicemail - WA sent to customer</t>
        </is>
      </c>
      <c r="BX848">
        <v>6</v>
      </c>
      <c r="BY848">
        <v>5</v>
      </c>
      <c r="BZ848" s="4">
        <v>46142.431597222225</v>
      </c>
      <c r="CA848">
        <v>60</v>
      </c>
      <c r="CB848">
        <v>60</v>
      </c>
      <c r="CC848" s="4"/>
      <c r="CD848" t="inlineStr">
        <is>
          <t>5</t>
        </is>
      </c>
      <c r="CE848" t="inlineStr">
        <is>
          <t>0</t>
        </is>
      </c>
      <c r="CF848" t="inlineStr">
        <is>
          <t>Q2-W03</t>
        </is>
      </c>
      <c r="CG848" t="inlineStr">
        <is>
          <t>Q2-W04</t>
        </is>
      </c>
      <c r="CH848" t="inlineStr">
        <is>
          <t>Q2-W04</t>
        </is>
      </c>
      <c r="CI848"/>
      <c r="CJ848" t="inlineStr">
        <is>
          <t>Paid</t>
        </is>
      </c>
      <c r="CK848" t="inlineStr">
        <is>
          <t>Not Eligible</t>
        </is>
      </c>
      <c r="CL848"/>
      <c r="CM848"/>
    </row>
    <row r="849" ht="25.5" customHeight="1">
      <c r="A849" t="inlineStr">
        <is>
          <t>45756</t>
        </is>
      </c>
      <c r="B849" s="2"/>
      <c r="C849"/>
      <c r="D849" s="3">
        <v>46134.64996527778</v>
      </c>
      <c r="E849" t="inlineStr">
        <is>
          <t>Q2-W03</t>
        </is>
      </c>
      <c r="F849" t="inlineStr">
        <is>
          <t>Lucas</t>
        </is>
      </c>
      <c r="G849" t="inlineStr">
        <is>
          <t>Customer</t>
        </is>
      </c>
      <c r="H849" s="2" t="str">
        <f>=HYPERLINK("https://upbox.ajobthing.my/customer/45756", "https://upbox.ajobthing.my/customer/45756")</f>
        <v>https://upbox.ajobthing.my/customer/45756</v>
      </c>
      <c r="I849" t="inlineStr">
        <is>
          <t>Agensi Pekerjaan Together Sdn Bhd</t>
        </is>
      </c>
      <c r="J849" t="inlineStr">
        <is>
          <t>Dolphin</t>
        </is>
      </c>
      <c r="K849" t="inlineStr">
        <is>
          <t>Lucas</t>
        </is>
      </c>
      <c r="L849" s="4"/>
      <c r="M849" s="4">
        <v>46140.64121527778</v>
      </c>
      <c r="N849"/>
      <c r="O849">
        <v>3576.96</v>
      </c>
      <c r="P849" s="4"/>
      <c r="Q849" s="4">
        <v>45591</v>
      </c>
      <c r="R849"/>
      <c r="S849">
        <v>2700</v>
      </c>
      <c r="T849" s="4">
        <v>45591</v>
      </c>
      <c r="U849" s="4"/>
      <c r="V849"/>
      <c r="W849">
        <v>2700</v>
      </c>
      <c r="X849"/>
      <c r="Y849" t="inlineStr">
        <is>
          <t>Pending Appointment</t>
        </is>
      </c>
      <c r="Z849" t="inlineStr">
        <is>
          <t>Hiring Now</t>
        </is>
      </c>
      <c r="AA849">
        <v>1</v>
      </c>
      <c r="AB849" t="inlineStr">
        <is>
          <t>No Appointment Made</t>
        </is>
      </c>
      <c r="AC849"/>
      <c r="AD849" t="inlineStr">
        <is>
          <t>1 customer service (mandarin speaker )</t>
        </is>
      </c>
      <c r="AE849"/>
      <c r="AF849">
        <v>0</v>
      </c>
      <c r="AG849" s="4"/>
      <c r="AH849" s="4"/>
      <c r="AI849">
        <v>0</v>
      </c>
      <c r="AJ849">
        <v>0</v>
      </c>
      <c r="AK849" t="inlineStr">
        <is>
          <t>No, I don't need at all</t>
        </is>
      </c>
      <c r="AL849">
        <v>0</v>
      </c>
      <c r="AM849" t="inlineStr">
        <is>
          <t>No, I don't need at all</t>
        </is>
      </c>
      <c r="AN849"/>
      <c r="AO849" t="inlineStr">
        <is>
          <t>No, I don't need at all</t>
        </is>
      </c>
      <c r="AP849" t="inlineStr">
        <is>
          <t>Once a year (25%)</t>
        </is>
      </c>
      <c r="AQ849">
        <v>1</v>
      </c>
      <c r="AR849" t="inlineStr">
        <is>
          <t>Did not use any job portal</t>
        </is>
      </c>
      <c r="AS849" t="inlineStr">
        <is>
          <t>- Headcount: 1
- Hiring Job Details: 1 customer service (mandarin speaker)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849">
        <v>105</v>
      </c>
      <c r="AU849" t="inlineStr">
        <is>
          <t>1.05</t>
        </is>
      </c>
      <c r="AV849" t="inlineStr">
        <is>
          <t>15</t>
        </is>
      </c>
      <c r="AW849" t="inlineStr">
        <is>
          <t>0</t>
        </is>
      </c>
      <c r="AX849" t="inlineStr">
        <is>
          <t>Not Qualified</t>
        </is>
      </c>
      <c r="AY849" s="4"/>
      <c r="AZ849"/>
      <c r="BA849"/>
      <c r="BB849"/>
      <c r="BC849" t="inlineStr">
        <is>
          <t>pending</t>
        </is>
      </c>
      <c r="BD849" s="4">
        <v>46140.64267361111</v>
      </c>
      <c r="BE849" t="inlineStr">
        <is>
          <t>paid</t>
        </is>
      </c>
      <c r="BF849"/>
      <c r="BG849" t="inlineStr">
        <is>
          <t>Reschedule</t>
        </is>
      </c>
      <c r="BH849" t="inlineStr">
        <is>
          <t>Yee Hang</t>
        </is>
      </c>
      <c r="BI849" t="inlineStr">
        <is>
          <t>Social Services / NGO</t>
        </is>
      </c>
      <c r="BJ849" s="4">
        <v>46144.7559837963</v>
      </c>
      <c r="BK849" s="4">
        <v>43130.459699074076</v>
      </c>
      <c r="BL849" t="inlineStr">
        <is>
          <t>0.0</t>
        </is>
      </c>
      <c r="BM849" t="inlineStr">
        <is>
          <t>0.0</t>
        </is>
      </c>
      <c r="BN849" t="inlineStr">
        <is>
          <t>View Notifications</t>
        </is>
      </c>
      <c r="BO849" s="4">
        <v>46012.48195601852</v>
      </c>
      <c r="BP849">
        <v>169279</v>
      </c>
      <c r="BQ849">
        <v>74175</v>
      </c>
      <c r="BR849" t="inlineStr">
        <is>
          <t>Online</t>
        </is>
      </c>
      <c r="BS849"/>
      <c r="BT849">
        <v>74175</v>
      </c>
      <c r="BU849"/>
      <c r="BV849">
        <v>2733070</v>
      </c>
      <c r="BW849" t="inlineStr">
        <is>
          <t>Follow Up : Decision Pending</t>
        </is>
      </c>
      <c r="BX849"/>
      <c r="BY849"/>
      <c r="BZ849" s="4"/>
      <c r="CA849"/>
      <c r="CB849"/>
      <c r="CC849" s="4"/>
      <c r="CD849" t="inlineStr">
        <is>
          <t>20</t>
        </is>
      </c>
      <c r="CE849" t="inlineStr">
        <is>
          <t>0</t>
        </is>
      </c>
      <c r="CF849" t="inlineStr">
        <is>
          <t>Q2-W04</t>
        </is>
      </c>
      <c r="CG849"/>
      <c r="CH849"/>
      <c r="CI849"/>
      <c r="CJ849" t="inlineStr">
        <is>
          <t>Paid</t>
        </is>
      </c>
      <c r="CK849" t="inlineStr">
        <is>
          <t>Not Eligible</t>
        </is>
      </c>
      <c r="CL849"/>
      <c r="CM849"/>
    </row>
    <row r="850" ht="25.5" customHeight="1">
      <c r="A850" t="inlineStr">
        <is>
          <t>203540</t>
        </is>
      </c>
      <c r="B850" s="2"/>
      <c r="C850"/>
      <c r="D850" s="3">
        <v>46134.652662037035</v>
      </c>
      <c r="E850" t="inlineStr">
        <is>
          <t>Q2-W03</t>
        </is>
      </c>
      <c r="F850" t="inlineStr">
        <is>
          <t>Yvonne Lee</t>
        </is>
      </c>
      <c r="G850" t="inlineStr">
        <is>
          <t>Customer</t>
        </is>
      </c>
      <c r="H850" s="2" t="str">
        <f>=HYPERLINK("https://upbox.ajobthing.my/customer/203540", "https://upbox.ajobthing.my/customer/203540")</f>
        <v>https://upbox.ajobthing.my/customer/203540</v>
      </c>
      <c r="I850" t="inlineStr">
        <is>
          <t>CABBEEN FASHION (M) SDN. BHD.</t>
        </is>
      </c>
      <c r="J850" t="inlineStr">
        <is>
          <t>Dolphin</t>
        </is>
      </c>
      <c r="K850" t="inlineStr">
        <is>
          <t>Yvonne</t>
        </is>
      </c>
      <c r="L850" s="4"/>
      <c r="M850" s="4">
        <v>46134.65659722222</v>
      </c>
      <c r="N850"/>
      <c r="O850">
        <v>10800</v>
      </c>
      <c r="P850" s="4"/>
      <c r="Q850" s="4"/>
      <c r="R850"/>
      <c r="S850"/>
      <c r="T850" s="4"/>
      <c r="U850" s="4"/>
      <c r="V850"/>
      <c r="W850"/>
      <c r="X850"/>
      <c r="Y850" t="inlineStr">
        <is>
          <t>Pending Appointment</t>
        </is>
      </c>
      <c r="Z850" t="inlineStr">
        <is>
          <t>Hiring Now</t>
        </is>
      </c>
      <c r="AA850">
        <v>3</v>
      </c>
      <c r="AB850" t="inlineStr">
        <is>
          <t>No Appointment Made</t>
        </is>
      </c>
      <c r="AC850"/>
      <c r="AD850" t="inlineStr">
        <is>
          <t>1) Sales Associates
2) HR positions
3) Finance admin</t>
        </is>
      </c>
      <c r="AE850"/>
      <c r="AF850">
        <v>10000</v>
      </c>
      <c r="AG850" s="4"/>
      <c r="AH850" s="4"/>
      <c r="AI850">
        <v>10000</v>
      </c>
      <c r="AJ850">
        <v>2</v>
      </c>
      <c r="AK850" t="inlineStr">
        <is>
          <t>Yes, I have</t>
        </is>
      </c>
      <c r="AL850">
        <v>1</v>
      </c>
      <c r="AM850" t="inlineStr">
        <is>
          <t>No, I don't need at all</t>
        </is>
      </c>
      <c r="AN850"/>
      <c r="AO850" t="inlineStr">
        <is>
          <t>No, but I want in future</t>
        </is>
      </c>
      <c r="AP850" t="inlineStr">
        <is>
          <t>Once per quarter (75%)</t>
        </is>
      </c>
      <c r="AQ850">
        <v>30</v>
      </c>
      <c r="AR850" t="inlineStr">
        <is>
          <t>Jobstreet</t>
        </is>
      </c>
      <c r="AS850" t="inlineStr">
        <is>
          <t>- Headcount: 3
- Hiring Job Details: 1) Sales Associates 2) HR positions 3) Finance admin
- Hiring Urgency: Hiring Now
- Number of outlets: 2
- Have recruiter team: Yes
- Number of recruiter in company: 1
- Have ATS system: No, I don't need at all
- Have career website: No, but I want in future
- Current hiring budget: RM10,000
- Whole year budget: RM10,000.00
- Whole year number of vacancies: 30
- Hiring frequency: Once per quarter (75%)
- External job portal: Jobstreet</t>
        </is>
      </c>
      <c r="AT850">
        <v>95</v>
      </c>
      <c r="AU850" t="inlineStr">
        <is>
          <t>0.95</t>
        </is>
      </c>
      <c r="AV850" t="inlineStr">
        <is>
          <t>15</t>
        </is>
      </c>
      <c r="AW850" t="inlineStr">
        <is>
          <t>0</t>
        </is>
      </c>
      <c r="AX850" t="inlineStr">
        <is>
          <t>Not Qualified</t>
        </is>
      </c>
      <c r="AY850" s="4"/>
      <c r="AZ850"/>
      <c r="BA850"/>
      <c r="BB850"/>
      <c r="BC850" t="inlineStr">
        <is>
          <t>pending and share about our current promotion goes on for Labour day!</t>
        </is>
      </c>
      <c r="BD850" s="4">
        <v>46141.58681712963</v>
      </c>
      <c r="BE850"/>
      <c r="BF850"/>
      <c r="BG850" t="inlineStr">
        <is>
          <t>Reschedule</t>
        </is>
      </c>
      <c r="BH850" t="inlineStr">
        <is>
          <t>andy@ajobthing.com</t>
        </is>
      </c>
      <c r="BI850"/>
      <c r="BJ850" s="4">
        <v>46144.754328703704</v>
      </c>
      <c r="BK850" s="4">
        <v>46134.64252314815</v>
      </c>
      <c r="BL850" t="inlineStr">
        <is>
          <t>0.0</t>
        </is>
      </c>
      <c r="BM850" t="inlineStr">
        <is>
          <t>600.0</t>
        </is>
      </c>
      <c r="BN850"/>
      <c r="BO850" s="4"/>
      <c r="BP850">
        <v>168356</v>
      </c>
      <c r="BQ850"/>
      <c r="BR850"/>
      <c r="BS850"/>
      <c r="BT850"/>
      <c r="BU850"/>
      <c r="BV850">
        <v>2735187</v>
      </c>
      <c r="BW850" t="inlineStr">
        <is>
          <t>Follow Up : Budget Concern</t>
        </is>
      </c>
      <c r="BX850"/>
      <c r="BY850"/>
      <c r="BZ850" s="4"/>
      <c r="CA850"/>
      <c r="CB850"/>
      <c r="CC850" s="4"/>
      <c r="CD850" t="inlineStr">
        <is>
          <t>20</t>
        </is>
      </c>
      <c r="CE850" t="inlineStr">
        <is>
          <t>0</t>
        </is>
      </c>
      <c r="CF850" t="inlineStr">
        <is>
          <t>Q2-W03</t>
        </is>
      </c>
      <c r="CG850"/>
      <c r="CH850"/>
      <c r="CI850"/>
      <c r="CJ850" t="inlineStr">
        <is>
          <t>No Paid</t>
        </is>
      </c>
      <c r="CK850" t="inlineStr">
        <is>
          <t>Not Eligible</t>
        </is>
      </c>
      <c r="CL850"/>
      <c r="CM850"/>
    </row>
    <row r="851" ht="25.5" customHeight="1">
      <c r="A851" t="inlineStr">
        <is>
          <t>4310060</t>
        </is>
      </c>
      <c r="B851" s="2"/>
      <c r="C851"/>
      <c r="D851" s="3">
        <v>46134.65480324074</v>
      </c>
      <c r="E851" t="inlineStr">
        <is>
          <t>Q2-W03</t>
        </is>
      </c>
      <c r="F851" t="inlineStr">
        <is>
          <t>Josh</t>
        </is>
      </c>
      <c r="G851" t="inlineStr">
        <is>
          <t>Lead</t>
        </is>
      </c>
      <c r="H851" s="2" t="str">
        <f>=HYPERLINK("https://upbox.ajobthing.my/leads/4310060", "https://upbox.ajobthing.my/leads/4310060")</f>
        <v>https://upbox.ajobthing.my/leads/4310060</v>
      </c>
      <c r="I851" t="inlineStr">
        <is>
          <t>BRICAN NETWORK SDN. BHD.</t>
        </is>
      </c>
      <c r="J851" t="inlineStr">
        <is>
          <t>Dolphin</t>
        </is>
      </c>
      <c r="K851" t="inlineStr">
        <is>
          <t>Josh</t>
        </is>
      </c>
      <c r="L851" s="4"/>
      <c r="M851" s="4">
        <v>46134.65521990741</v>
      </c>
      <c r="N851"/>
      <c r="O851">
        <v>3672</v>
      </c>
      <c r="P851" s="4"/>
      <c r="Q851" s="4"/>
      <c r="R851"/>
      <c r="S851"/>
      <c r="T851" s="4"/>
      <c r="U851" s="4"/>
      <c r="V851"/>
      <c r="W851"/>
      <c r="X851"/>
      <c r="Y851" t="inlineStr">
        <is>
          <t>Pending Appointment</t>
        </is>
      </c>
      <c r="Z851" t="inlineStr">
        <is>
          <t>Hiring Now</t>
        </is>
      </c>
      <c r="AA851">
        <v>2</v>
      </c>
      <c r="AB851" t="inlineStr">
        <is>
          <t>No Appointment Made</t>
        </is>
      </c>
      <c r="AC851"/>
      <c r="AD851" t="inlineStr">
        <is>
          <t xml:space="preserve">1 intern marketing, 1 customer service sales </t>
        </is>
      </c>
      <c r="AE851"/>
      <c r="AF851">
        <v>3000</v>
      </c>
      <c r="AG851" s="4"/>
      <c r="AH851" s="4"/>
      <c r="AI851"/>
      <c r="AJ851"/>
      <c r="AK851" t="inlineStr">
        <is>
          <t>Yes, I have</t>
        </is>
      </c>
      <c r="AL851">
        <v>1</v>
      </c>
      <c r="AM851"/>
      <c r="AN851"/>
      <c r="AO851"/>
      <c r="AP851" t="inlineStr">
        <is>
          <t>Once a year (25%)</t>
        </is>
      </c>
      <c r="AQ851"/>
      <c r="AR851"/>
      <c r="AS851" t="inlineStr">
        <is>
          <t>- Headcount: 2
- Hiring Job Details: 1 intern marketing, 1 customer service sales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AT851">
        <v>95</v>
      </c>
      <c r="AU851" t="inlineStr">
        <is>
          <t>0.95</t>
        </is>
      </c>
      <c r="AV851" t="inlineStr">
        <is>
          <t>15</t>
        </is>
      </c>
      <c r="AW851" t="inlineStr">
        <is>
          <t>0</t>
        </is>
      </c>
      <c r="AX851" t="inlineStr">
        <is>
          <t>Not Qualified</t>
        </is>
      </c>
      <c r="AY851" s="4"/>
      <c r="AZ851"/>
      <c r="BA851"/>
      <c r="BB851"/>
      <c r="BC851"/>
      <c r="BD851" s="4"/>
      <c r="BE851"/>
      <c r="BF851"/>
      <c r="BG851" t="inlineStr">
        <is>
          <t>Reschedule</t>
        </is>
      </c>
      <c r="BH851" t="inlineStr">
        <is>
          <t>Fauziah Maharan</t>
        </is>
      </c>
      <c r="BI851"/>
      <c r="BJ851" s="4">
        <v>46144.75587962963</v>
      </c>
      <c r="BK851" s="4">
        <v>46133.66494212963</v>
      </c>
      <c r="BL851" t="inlineStr">
        <is>
          <t>0.0</t>
        </is>
      </c>
      <c r="BM851" t="inlineStr">
        <is>
          <t>1350.0</t>
        </is>
      </c>
      <c r="BN851"/>
      <c r="BO851" s="4"/>
      <c r="BP851">
        <v>168354</v>
      </c>
      <c r="BQ851"/>
      <c r="BR851"/>
      <c r="BS851"/>
      <c r="BT851"/>
      <c r="BU851"/>
      <c r="BV851"/>
      <c r="BW851"/>
      <c r="BX851"/>
      <c r="BY851"/>
      <c r="BZ851" s="4"/>
      <c r="CA851"/>
      <c r="CB851"/>
      <c r="CC851" s="4"/>
      <c r="CD851" t="inlineStr">
        <is>
          <t>20</t>
        </is>
      </c>
      <c r="CE851" t="inlineStr">
        <is>
          <t>0</t>
        </is>
      </c>
      <c r="CF851" t="inlineStr">
        <is>
          <t>Q2-W03</t>
        </is>
      </c>
      <c r="CG851"/>
      <c r="CH851"/>
      <c r="CI851"/>
      <c r="CJ851" t="inlineStr">
        <is>
          <t>No Paid</t>
        </is>
      </c>
      <c r="CK851" t="inlineStr">
        <is>
          <t>Not Eligible</t>
        </is>
      </c>
      <c r="CL851"/>
      <c r="CM851"/>
    </row>
    <row r="852" ht="25.5" customHeight="1">
      <c r="A852" t="inlineStr">
        <is>
          <t>162525</t>
        </is>
      </c>
      <c r="B852" s="2"/>
      <c r="C852"/>
      <c r="D852" s="3">
        <v>46134.65578703704</v>
      </c>
      <c r="E852" t="inlineStr">
        <is>
          <t>Q2-W03</t>
        </is>
      </c>
      <c r="F852" t="inlineStr">
        <is>
          <t>Jia Hui</t>
        </is>
      </c>
      <c r="G852" t="inlineStr">
        <is>
          <t>Customer</t>
        </is>
      </c>
      <c r="H852" s="2" t="str">
        <f>=HYPERLINK("https://upbox.ajobthing.my/customer/162525", "https://upbox.ajobthing.my/customer/162525")</f>
        <v>https://upbox.ajobthing.my/customer/162525</v>
      </c>
      <c r="I852" t="inlineStr">
        <is>
          <t>Sittal &amp; Associates Metals Sdn Bhd</t>
        </is>
      </c>
      <c r="J852" t="inlineStr">
        <is>
          <t>Dolphin</t>
        </is>
      </c>
      <c r="K852" t="inlineStr">
        <is>
          <t>Jia Hui</t>
        </is>
      </c>
      <c r="L852" s="4"/>
      <c r="M852" s="4">
        <v>46132.41260416667</v>
      </c>
      <c r="N852"/>
      <c r="O852">
        <v>3888</v>
      </c>
      <c r="P852" s="4"/>
      <c r="Q852" s="4">
        <v>46134.65429398148</v>
      </c>
      <c r="R852"/>
      <c r="S852">
        <v>3672</v>
      </c>
      <c r="T852" s="4">
        <v>45894.60707175926</v>
      </c>
      <c r="U852" s="4"/>
      <c r="V852"/>
      <c r="W852">
        <v>1296</v>
      </c>
      <c r="X852"/>
      <c r="Y852" t="inlineStr">
        <is>
          <t>Pending Appointment</t>
        </is>
      </c>
      <c r="Z852" t="inlineStr">
        <is>
          <t>Hiring Now</t>
        </is>
      </c>
      <c r="AA852">
        <v>2</v>
      </c>
      <c r="AB852" t="inlineStr">
        <is>
          <t>No Appointment Made</t>
        </is>
      </c>
      <c r="AC852"/>
      <c r="AD852" t="inlineStr">
        <is>
          <t>1 operation admin, 1 account</t>
        </is>
      </c>
      <c r="AE852"/>
      <c r="AF852">
        <v>500</v>
      </c>
      <c r="AG852" s="4"/>
      <c r="AH852" s="4"/>
      <c r="AI852"/>
      <c r="AJ852"/>
      <c r="AK852" t="inlineStr">
        <is>
          <t>Yes, I have</t>
        </is>
      </c>
      <c r="AL852"/>
      <c r="AM852"/>
      <c r="AN852"/>
      <c r="AO852"/>
      <c r="AP852" t="inlineStr">
        <is>
          <t>Once a year (25%)</t>
        </is>
      </c>
      <c r="AQ852"/>
      <c r="AR852"/>
      <c r="AS852" t="inlineStr">
        <is>
          <t>- Headcount: 2
- Hiring Job Details: 1 operation admin, 1 account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
- Hiring Urgency: Hiring Now</t>
        </is>
      </c>
      <c r="AT852">
        <v>95</v>
      </c>
      <c r="AU852" t="inlineStr">
        <is>
          <t>0.95</t>
        </is>
      </c>
      <c r="AV852" t="inlineStr">
        <is>
          <t>15</t>
        </is>
      </c>
      <c r="AW852" t="inlineStr">
        <is>
          <t>0</t>
        </is>
      </c>
      <c r="AX852" t="inlineStr">
        <is>
          <t>Not Qualified</t>
        </is>
      </c>
      <c r="AY852" s="4"/>
      <c r="AZ852"/>
      <c r="BA852"/>
      <c r="BB852"/>
      <c r="BC852" t="inlineStr">
        <is>
          <t>customer paid</t>
        </is>
      </c>
      <c r="BD852" s="4">
        <v>46135.481157407405</v>
      </c>
      <c r="BE852" t="inlineStr">
        <is>
          <t>pending</t>
        </is>
      </c>
      <c r="BF852"/>
      <c r="BG852" t="inlineStr">
        <is>
          <t>Reschedule</t>
        </is>
      </c>
      <c r="BH852" t="inlineStr">
        <is>
          <t>Reagen</t>
        </is>
      </c>
      <c r="BI852" t="inlineStr">
        <is>
          <t>Construction / Building</t>
        </is>
      </c>
      <c r="BJ852" s="4">
        <v>46144.75115740741</v>
      </c>
      <c r="BK852" s="4">
        <v>44895.65415509259</v>
      </c>
      <c r="BL852" t="inlineStr">
        <is>
          <t>1296.0</t>
        </is>
      </c>
      <c r="BM852" t="inlineStr">
        <is>
          <t>0.0</t>
        </is>
      </c>
      <c r="BN852" t="inlineStr">
        <is>
          <t>User Visit(Logged In)</t>
        </is>
      </c>
      <c r="BO852" s="4">
        <v>46013.46625</v>
      </c>
      <c r="BP852">
        <v>167747</v>
      </c>
      <c r="BQ852">
        <v>123547</v>
      </c>
      <c r="BR852" t="inlineStr">
        <is>
          <t>Proforma</t>
        </is>
      </c>
      <c r="BS852" t="inlineStr">
        <is>
          <t>AI Yearly Standard Plan (Jan 26)</t>
        </is>
      </c>
      <c r="BT852">
        <v>81846</v>
      </c>
      <c r="BU852"/>
      <c r="BV852">
        <v>2722882</v>
      </c>
      <c r="BW852" t="inlineStr">
        <is>
          <t>Follow Up : Win - Customer Paid</t>
        </is>
      </c>
      <c r="BX852"/>
      <c r="BY852"/>
      <c r="BZ852" s="4"/>
      <c r="CA852"/>
      <c r="CB852"/>
      <c r="CC852" s="4"/>
      <c r="CD852" t="inlineStr">
        <is>
          <t>20</t>
        </is>
      </c>
      <c r="CE852" t="inlineStr">
        <is>
          <t>0</t>
        </is>
      </c>
      <c r="CF852" t="inlineStr">
        <is>
          <t>Q2-W03</t>
        </is>
      </c>
      <c r="CG852" t="inlineStr">
        <is>
          <t>Q2-W03</t>
        </is>
      </c>
      <c r="CH852"/>
      <c r="CI852"/>
      <c r="CJ852" t="inlineStr">
        <is>
          <t>Paid</t>
        </is>
      </c>
      <c r="CK852" t="inlineStr">
        <is>
          <t>Not Eligible</t>
        </is>
      </c>
      <c r="CL852"/>
      <c r="CM852"/>
    </row>
    <row r="853" ht="25.5" customHeight="1">
      <c r="A853" t="inlineStr">
        <is>
          <t>203540</t>
        </is>
      </c>
      <c r="B853" s="2"/>
      <c r="C853"/>
      <c r="D853" s="3">
        <v>46134.65877314815</v>
      </c>
      <c r="E853" t="inlineStr">
        <is>
          <t>Q2-W03</t>
        </is>
      </c>
      <c r="F853" t="inlineStr">
        <is>
          <t>Yvonne Lee</t>
        </is>
      </c>
      <c r="G853" t="inlineStr">
        <is>
          <t>Customer</t>
        </is>
      </c>
      <c r="H853" s="2" t="str">
        <f>=HYPERLINK("https://upbox.ajobthing.my/customer/203540", "https://upbox.ajobthing.my/customer/203540")</f>
        <v>https://upbox.ajobthing.my/customer/203540</v>
      </c>
      <c r="I853" t="inlineStr">
        <is>
          <t>CABBEEN FASHION (M) SDN. BHD.</t>
        </is>
      </c>
      <c r="J853" t="inlineStr">
        <is>
          <t>Dolphin</t>
        </is>
      </c>
      <c r="K853" t="inlineStr">
        <is>
          <t>Yvonne</t>
        </is>
      </c>
      <c r="L853" s="4"/>
      <c r="M853" s="4">
        <v>46134.65659722222</v>
      </c>
      <c r="N853"/>
      <c r="O853">
        <v>10800</v>
      </c>
      <c r="P853" s="4"/>
      <c r="Q853" s="4"/>
      <c r="R853"/>
      <c r="S853"/>
      <c r="T853" s="4"/>
      <c r="U853" s="4"/>
      <c r="V853"/>
      <c r="W853"/>
      <c r="X853"/>
      <c r="Y853" t="inlineStr">
        <is>
          <t>Pending Appointment</t>
        </is>
      </c>
      <c r="Z853" t="inlineStr">
        <is>
          <t>Hiring Now</t>
        </is>
      </c>
      <c r="AA853">
        <v>3</v>
      </c>
      <c r="AB853" t="inlineStr">
        <is>
          <t>No Appointment Made</t>
        </is>
      </c>
      <c r="AC853"/>
      <c r="AD853" t="inlineStr">
        <is>
          <t>1) HR Admin
2) Finance positions
3) Sales Associates</t>
        </is>
      </c>
      <c r="AE853"/>
      <c r="AF853">
        <v>10000</v>
      </c>
      <c r="AG853" s="4"/>
      <c r="AH853" s="4"/>
      <c r="AI853">
        <v>10000</v>
      </c>
      <c r="AJ853">
        <v>2</v>
      </c>
      <c r="AK853" t="inlineStr">
        <is>
          <t>Yes, I have</t>
        </is>
      </c>
      <c r="AL853">
        <v>1</v>
      </c>
      <c r="AM853" t="inlineStr">
        <is>
          <t>No, I don't need at all</t>
        </is>
      </c>
      <c r="AN853"/>
      <c r="AO853" t="inlineStr">
        <is>
          <t>No, but I want in future</t>
        </is>
      </c>
      <c r="AP853" t="inlineStr">
        <is>
          <t>Once per quarter (75%)</t>
        </is>
      </c>
      <c r="AQ853">
        <v>30</v>
      </c>
      <c r="AR853" t="inlineStr">
        <is>
          <t>Jobstreet</t>
        </is>
      </c>
      <c r="AS853" t="inlineStr">
        <is>
          <t>- Headcount: Not provided
- Hiring Job Details: 1) HR Admin 2) Finance positions 3) Sales Associates
- Hiring Urgency: Hiring Now
- Number of outlets: 2
- Have recruiter team: Yes
- Number of recruiter in company: 1
- Have ATS system: No, I don't need at all
- Have career website: No, but I want in future
- Current hiring budget: RM10,000
- Whole year budget: RM10,000.00
- Whole year number of vacancies: 30
- Hiring frequency: Once per quarter (75%)
- External job portal: Jobstreet</t>
        </is>
      </c>
      <c r="AT853">
        <v>75</v>
      </c>
      <c r="AU853" t="inlineStr">
        <is>
          <t>0.75</t>
        </is>
      </c>
      <c r="AV853" t="inlineStr">
        <is>
          <t>15</t>
        </is>
      </c>
      <c r="AW853" t="inlineStr">
        <is>
          <t>0</t>
        </is>
      </c>
      <c r="AX853" t="inlineStr">
        <is>
          <t>Not Qualified</t>
        </is>
      </c>
      <c r="AY853" s="4"/>
      <c r="AZ853"/>
      <c r="BA853"/>
      <c r="BB853"/>
      <c r="BC853" t="inlineStr">
        <is>
          <t>pending and share about our current promotion goes on for Labour day!</t>
        </is>
      </c>
      <c r="BD853" s="4">
        <v>46141.58681712963</v>
      </c>
      <c r="BE853"/>
      <c r="BF853"/>
      <c r="BG853" t="inlineStr">
        <is>
          <t>Reschedule</t>
        </is>
      </c>
      <c r="BH853" t="inlineStr">
        <is>
          <t>andy@ajobthing.com</t>
        </is>
      </c>
      <c r="BI853"/>
      <c r="BJ853" s="4">
        <v>46144.754328703704</v>
      </c>
      <c r="BK853" s="4">
        <v>46134.64252314815</v>
      </c>
      <c r="BL853" t="inlineStr">
        <is>
          <t>0.0</t>
        </is>
      </c>
      <c r="BM853" t="inlineStr">
        <is>
          <t>600.0</t>
        </is>
      </c>
      <c r="BN853"/>
      <c r="BO853" s="4"/>
      <c r="BP853">
        <v>168356</v>
      </c>
      <c r="BQ853"/>
      <c r="BR853"/>
      <c r="BS853"/>
      <c r="BT853"/>
      <c r="BU853"/>
      <c r="BV853">
        <v>2735187</v>
      </c>
      <c r="BW853" t="inlineStr">
        <is>
          <t>Follow Up : Budget Concern</t>
        </is>
      </c>
      <c r="BX853"/>
      <c r="BY853"/>
      <c r="BZ853" s="4"/>
      <c r="CA853"/>
      <c r="CB853"/>
      <c r="CC853" s="4"/>
      <c r="CD853" t="inlineStr">
        <is>
          <t>20</t>
        </is>
      </c>
      <c r="CE853" t="inlineStr">
        <is>
          <t>0</t>
        </is>
      </c>
      <c r="CF853" t="inlineStr">
        <is>
          <t>Q2-W03</t>
        </is>
      </c>
      <c r="CG853"/>
      <c r="CH853"/>
      <c r="CI853"/>
      <c r="CJ853" t="inlineStr">
        <is>
          <t>No Paid</t>
        </is>
      </c>
      <c r="CK853" t="inlineStr">
        <is>
          <t>Not Eligible</t>
        </is>
      </c>
      <c r="CL853"/>
      <c r="CM853"/>
    </row>
    <row r="854" ht="25.5" customHeight="1">
      <c r="A854" t="inlineStr">
        <is>
          <t>22347</t>
        </is>
      </c>
      <c r="B854" s="2"/>
      <c r="C854"/>
      <c r="D854" s="3">
        <v>46134.6694212963</v>
      </c>
      <c r="E854" t="inlineStr">
        <is>
          <t>Q2-W03</t>
        </is>
      </c>
      <c r="F854" t="inlineStr">
        <is>
          <t>Josh</t>
        </is>
      </c>
      <c r="G854" t="inlineStr">
        <is>
          <t>Customer</t>
        </is>
      </c>
      <c r="H854" s="2" t="str">
        <f>=HYPERLINK("https://upbox.ajobthing.my/customer/22347", "https://upbox.ajobthing.my/customer/22347")</f>
        <v>https://upbox.ajobthing.my/customer/22347</v>
      </c>
      <c r="I854" t="inlineStr">
        <is>
          <t>Dancomech Engineering Sdn Bhd</t>
        </is>
      </c>
      <c r="J854" t="inlineStr">
        <is>
          <t>Dolphin</t>
        </is>
      </c>
      <c r="K854" t="inlineStr">
        <is>
          <t>Josh</t>
        </is>
      </c>
      <c r="L854" s="4"/>
      <c r="M854" s="4">
        <v>46134.66782407407</v>
      </c>
      <c r="N854"/>
      <c r="O854">
        <v>10908</v>
      </c>
      <c r="P854" s="4"/>
      <c r="Q854" s="4">
        <v>45727.3825462963</v>
      </c>
      <c r="R854"/>
      <c r="S854">
        <v>2916</v>
      </c>
      <c r="T854" s="4">
        <v>45727.3825462963</v>
      </c>
      <c r="U854" s="4"/>
      <c r="V854"/>
      <c r="W854">
        <v>2916</v>
      </c>
      <c r="X854"/>
      <c r="Y854" t="inlineStr">
        <is>
          <t>Pending Appointment</t>
        </is>
      </c>
      <c r="Z854" t="inlineStr">
        <is>
          <t>Hiring Now</t>
        </is>
      </c>
      <c r="AA854">
        <v>1</v>
      </c>
      <c r="AB854" t="inlineStr">
        <is>
          <t>No Appointment Made</t>
        </is>
      </c>
      <c r="AC854"/>
      <c r="AD854" t="inlineStr">
        <is>
          <t xml:space="preserve">1 engineer </t>
        </is>
      </c>
      <c r="AE854"/>
      <c r="AF854">
        <v>3000</v>
      </c>
      <c r="AG854" s="4"/>
      <c r="AH854" s="4"/>
      <c r="AI854"/>
      <c r="AJ854"/>
      <c r="AK854" t="inlineStr">
        <is>
          <t>Yes, I have</t>
        </is>
      </c>
      <c r="AL854"/>
      <c r="AM854"/>
      <c r="AN854"/>
      <c r="AO854"/>
      <c r="AP854" t="inlineStr">
        <is>
          <t>Once a year (25%)</t>
        </is>
      </c>
      <c r="AQ854"/>
      <c r="AR854"/>
      <c r="AS854" t="inlineStr">
        <is>
          <t>- Headcount: 1
- Hiring Job Details: 1 engineer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854">
        <v>75</v>
      </c>
      <c r="AU854" t="inlineStr">
        <is>
          <t>0.75</t>
        </is>
      </c>
      <c r="AV854" t="inlineStr">
        <is>
          <t>15</t>
        </is>
      </c>
      <c r="AW854" t="inlineStr">
        <is>
          <t>0</t>
        </is>
      </c>
      <c r="AX854" t="inlineStr">
        <is>
          <t>Not Qualified</t>
        </is>
      </c>
      <c r="AY854" s="4"/>
      <c r="AZ854"/>
      <c r="BA854"/>
      <c r="BB854"/>
      <c r="BC854" t="inlineStr">
        <is>
          <t>pending decision</t>
        </is>
      </c>
      <c r="BD854" s="4">
        <v>46140.44876157407</v>
      </c>
      <c r="BE854" t="inlineStr">
        <is>
          <t>paid</t>
        </is>
      </c>
      <c r="BF854"/>
      <c r="BG854" t="inlineStr">
        <is>
          <t>Reschedule</t>
        </is>
      </c>
      <c r="BH854" t="inlineStr">
        <is>
          <t>Fauziah Maharan</t>
        </is>
      </c>
      <c r="BI854" t="inlineStr">
        <is>
          <t>Engineering / Technical Consulting</t>
        </is>
      </c>
      <c r="BJ854" s="4">
        <v>46144.7544212963</v>
      </c>
      <c r="BK854" s="4">
        <v>42493.397997685184</v>
      </c>
      <c r="BL854" t="inlineStr">
        <is>
          <t>0.0</t>
        </is>
      </c>
      <c r="BM854" t="inlineStr">
        <is>
          <t>0.0</t>
        </is>
      </c>
      <c r="BN854" t="inlineStr">
        <is>
          <t>View Candidate Search Page</t>
        </is>
      </c>
      <c r="BO854" s="4">
        <v>46134.66614583333</v>
      </c>
      <c r="BP854">
        <v>168365</v>
      </c>
      <c r="BQ854">
        <v>77533</v>
      </c>
      <c r="BR854" t="inlineStr">
        <is>
          <t>Online</t>
        </is>
      </c>
      <c r="BS854"/>
      <c r="BT854">
        <v>77533</v>
      </c>
      <c r="BU854"/>
      <c r="BV854">
        <v>2731932</v>
      </c>
      <c r="BW854" t="inlineStr">
        <is>
          <t>Follow Up : Decision Pending</t>
        </is>
      </c>
      <c r="BX854"/>
      <c r="BY854"/>
      <c r="BZ854" s="4"/>
      <c r="CA854"/>
      <c r="CB854"/>
      <c r="CC854" s="4"/>
      <c r="CD854" t="inlineStr">
        <is>
          <t>20</t>
        </is>
      </c>
      <c r="CE854" t="inlineStr">
        <is>
          <t>0</t>
        </is>
      </c>
      <c r="CF854" t="inlineStr">
        <is>
          <t>Q2-W03</t>
        </is>
      </c>
      <c r="CG854"/>
      <c r="CH854"/>
      <c r="CI854"/>
      <c r="CJ854" t="inlineStr">
        <is>
          <t>Paid</t>
        </is>
      </c>
      <c r="CK854" t="inlineStr">
        <is>
          <t>Not Eligible</t>
        </is>
      </c>
      <c r="CL854"/>
      <c r="CM854"/>
    </row>
    <row r="855" ht="25.5" customHeight="1">
      <c r="A855" t="inlineStr">
        <is>
          <t>203327</t>
        </is>
      </c>
      <c r="B855" s="2"/>
      <c r="C855"/>
      <c r="D855" s="3">
        <v>46134.67078703704</v>
      </c>
      <c r="E855" t="inlineStr">
        <is>
          <t>Q2-W03</t>
        </is>
      </c>
      <c r="F855" t="inlineStr">
        <is>
          <t>Evan</t>
        </is>
      </c>
      <c r="G855" t="inlineStr">
        <is>
          <t>Customer</t>
        </is>
      </c>
      <c r="H855" s="2" t="str">
        <f>=HYPERLINK("https://upbox.ajobthing.my/customer/203327", "https://upbox.ajobthing.my/customer/203327")</f>
        <v>https://upbox.ajobthing.my/customer/203327</v>
      </c>
      <c r="I855" t="inlineStr">
        <is>
          <t>Mun Chuen Transport S/B</t>
        </is>
      </c>
      <c r="J855" t="inlineStr">
        <is>
          <t>Dolphin</t>
        </is>
      </c>
      <c r="K855" t="inlineStr">
        <is>
          <t>Evan</t>
        </is>
      </c>
      <c r="L855" s="4"/>
      <c r="M855" s="4">
        <v>46128.38375</v>
      </c>
      <c r="N855"/>
      <c r="O855"/>
      <c r="P855" s="4"/>
      <c r="Q855" s="4">
        <v>46136.71724537037</v>
      </c>
      <c r="R855"/>
      <c r="S855">
        <v>3888</v>
      </c>
      <c r="T855" s="4">
        <v>46136.71724537037</v>
      </c>
      <c r="U855" s="4"/>
      <c r="V855"/>
      <c r="W855">
        <v>3888</v>
      </c>
      <c r="X855"/>
      <c r="Y855" t="inlineStr">
        <is>
          <t>Pending Appointment</t>
        </is>
      </c>
      <c r="Z855" t="inlineStr">
        <is>
          <t>Hiring Now</t>
        </is>
      </c>
      <c r="AA855">
        <v>1</v>
      </c>
      <c r="AB855" t="inlineStr">
        <is>
          <t>No Appointment Made</t>
        </is>
      </c>
      <c r="AC855"/>
      <c r="AD855" t="inlineStr">
        <is>
          <t>1 account, all base in Terrenganu</t>
        </is>
      </c>
      <c r="AE855"/>
      <c r="AF855">
        <v>1</v>
      </c>
      <c r="AG855" s="4"/>
      <c r="AH855" s="4"/>
      <c r="AI855">
        <v>1</v>
      </c>
      <c r="AJ855">
        <v>2</v>
      </c>
      <c r="AK855" t="inlineStr">
        <is>
          <t>No, I don't need at all</t>
        </is>
      </c>
      <c r="AL855">
        <v>1</v>
      </c>
      <c r="AM855" t="inlineStr">
        <is>
          <t>No, I don't need at all</t>
        </is>
      </c>
      <c r="AN855"/>
      <c r="AO855" t="inlineStr">
        <is>
          <t>No, I don't need at all</t>
        </is>
      </c>
      <c r="AP855" t="inlineStr">
        <is>
          <t>Once a year (25%)</t>
        </is>
      </c>
      <c r="AQ855">
        <v>1</v>
      </c>
      <c r="AR855" t="inlineStr">
        <is>
          <t>Jobstreet</t>
        </is>
      </c>
      <c r="AS855" t="inlineStr">
        <is>
          <t>- Headcount: 1
- Hiring Job Details: 1 account, all base in Terrenganu
- Hiring Urgency: Hiring Now
- Number of outlets: 2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Jobstreet</t>
        </is>
      </c>
      <c r="AT855">
        <v>75</v>
      </c>
      <c r="AU855" t="inlineStr">
        <is>
          <t>0.75</t>
        </is>
      </c>
      <c r="AV855" t="inlineStr">
        <is>
          <t>15</t>
        </is>
      </c>
      <c r="AW855" t="inlineStr">
        <is>
          <t>0</t>
        </is>
      </c>
      <c r="AX855" t="inlineStr">
        <is>
          <t>Not Qualified</t>
        </is>
      </c>
      <c r="AY855" s="4"/>
      <c r="AZ855"/>
      <c r="BA855"/>
      <c r="BB855"/>
      <c r="BC855" t="inlineStr">
        <is>
          <t>will revert</t>
        </is>
      </c>
      <c r="BD855" s="4">
        <v>46140.56456018519</v>
      </c>
      <c r="BE855" t="inlineStr">
        <is>
          <t>paid</t>
        </is>
      </c>
      <c r="BF855" t="inlineStr">
        <is>
          <t>Q2-W04</t>
        </is>
      </c>
      <c r="BG855" t="inlineStr">
        <is>
          <t>Reschedule</t>
        </is>
      </c>
      <c r="BH855" t="inlineStr">
        <is>
          <t>Edward Hoo</t>
        </is>
      </c>
      <c r="BI855"/>
      <c r="BJ855" s="4">
        <v>46144.754282407404</v>
      </c>
      <c r="BK855" s="4">
        <v>46128.71707175926</v>
      </c>
      <c r="BL855" t="inlineStr">
        <is>
          <t>3888.0</t>
        </is>
      </c>
      <c r="BM855" t="inlineStr">
        <is>
          <t>0.0</t>
        </is>
      </c>
      <c r="BN855" t="inlineStr">
        <is>
          <t>View Jobmanager Page</t>
        </is>
      </c>
      <c r="BO855" s="4">
        <v>46139.665983796294</v>
      </c>
      <c r="BP855">
        <v>167489</v>
      </c>
      <c r="BQ855">
        <v>94743</v>
      </c>
      <c r="BR855" t="inlineStr">
        <is>
          <t>Online</t>
        </is>
      </c>
      <c r="BS855"/>
      <c r="BT855">
        <v>94743</v>
      </c>
      <c r="BU855"/>
      <c r="BV855">
        <v>2732566</v>
      </c>
      <c r="BW855" t="inlineStr">
        <is>
          <t>Service / Technical : Job Outcome Enquiry</t>
        </is>
      </c>
      <c r="BX855">
        <v>6</v>
      </c>
      <c r="BY855">
        <v>6</v>
      </c>
      <c r="BZ855" s="4"/>
      <c r="CA855">
        <v>60</v>
      </c>
      <c r="CB855">
        <v>60</v>
      </c>
      <c r="CC855" s="4"/>
      <c r="CD855" t="inlineStr">
        <is>
          <t>20</t>
        </is>
      </c>
      <c r="CE855" t="inlineStr">
        <is>
          <t>0</t>
        </is>
      </c>
      <c r="CF855" t="inlineStr">
        <is>
          <t>Q2-W02</t>
        </is>
      </c>
      <c r="CG855" t="inlineStr">
        <is>
          <t>Q2-W04</t>
        </is>
      </c>
      <c r="CH855" t="inlineStr">
        <is>
          <t>Q2-W04</t>
        </is>
      </c>
      <c r="CI855"/>
      <c r="CJ855" t="inlineStr">
        <is>
          <t>Paid</t>
        </is>
      </c>
      <c r="CK855" t="inlineStr">
        <is>
          <t>Not Eligible</t>
        </is>
      </c>
      <c r="CL855"/>
      <c r="CM855"/>
    </row>
    <row r="856" ht="25.5" customHeight="1">
      <c r="A856" t="inlineStr">
        <is>
          <t>196603</t>
        </is>
      </c>
      <c r="B856" s="2"/>
      <c r="C856"/>
      <c r="D856" s="3">
        <v>46134.67092592592</v>
      </c>
      <c r="E856" t="inlineStr">
        <is>
          <t>Q2-W03</t>
        </is>
      </c>
      <c r="F856" t="inlineStr">
        <is>
          <t>Angel  Low</t>
        </is>
      </c>
      <c r="G856" t="inlineStr">
        <is>
          <t>Customer</t>
        </is>
      </c>
      <c r="H856" s="2" t="str">
        <f>=HYPERLINK("https://upbox.ajobthing.my/customer/196603", "https://upbox.ajobthing.my/customer/196603")</f>
        <v>https://upbox.ajobthing.my/customer/196603</v>
      </c>
      <c r="I856" t="inlineStr">
        <is>
          <t xml:space="preserve">little talent </t>
        </is>
      </c>
      <c r="J856" t="inlineStr">
        <is>
          <t>Dolphin</t>
        </is>
      </c>
      <c r="K856" t="inlineStr">
        <is>
          <t>Angel Low</t>
        </is>
      </c>
      <c r="L856" s="4"/>
      <c r="M856" s="4">
        <v>46141.51971064815</v>
      </c>
      <c r="N856"/>
      <c r="O856">
        <v>3576.96</v>
      </c>
      <c r="P856" s="4"/>
      <c r="Q856" s="4">
        <v>46066.9065625</v>
      </c>
      <c r="R856"/>
      <c r="S856">
        <v>0</v>
      </c>
      <c r="T856" s="4"/>
      <c r="U856" s="4"/>
      <c r="V856"/>
      <c r="W856"/>
      <c r="X856"/>
      <c r="Y856" t="inlineStr">
        <is>
          <t>Pending Appointment</t>
        </is>
      </c>
      <c r="Z856"/>
      <c r="AA856">
        <v>1</v>
      </c>
      <c r="AB856" t="inlineStr">
        <is>
          <t>No Appointment Made</t>
        </is>
      </c>
      <c r="AC856"/>
      <c r="AD856" t="inlineStr">
        <is>
          <t xml:space="preserve">1  teacher mandarin speaker </t>
        </is>
      </c>
      <c r="AE856"/>
      <c r="AF856"/>
      <c r="AG856" s="4"/>
      <c r="AH856" s="4"/>
      <c r="AI856"/>
      <c r="AJ856"/>
      <c r="AK856"/>
      <c r="AL856"/>
      <c r="AM856"/>
      <c r="AN856"/>
      <c r="AO856"/>
      <c r="AP856"/>
      <c r="AQ856"/>
      <c r="AR856"/>
      <c r="AS856" t="inlineStr">
        <is>
          <t>- Headcount: 1
- Hiring Job Details: 1 teacher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856">
        <v>65</v>
      </c>
      <c r="AU856" t="inlineStr">
        <is>
          <t>0.65</t>
        </is>
      </c>
      <c r="AV856" t="inlineStr">
        <is>
          <t>5</t>
        </is>
      </c>
      <c r="AW856" t="inlineStr">
        <is>
          <t>0</t>
        </is>
      </c>
      <c r="AX856" t="inlineStr">
        <is>
          <t>Not Qualified</t>
        </is>
      </c>
      <c r="AY856" s="4"/>
      <c r="AZ856"/>
      <c r="BA856"/>
      <c r="BB856"/>
      <c r="BC856" t="inlineStr">
        <is>
          <t>quo sent</t>
        </is>
      </c>
      <c r="BD856" s="4">
        <v>46141.522685185184</v>
      </c>
      <c r="BE856" t="inlineStr">
        <is>
          <t>paid</t>
        </is>
      </c>
      <c r="BF856"/>
      <c r="BG856" t="inlineStr">
        <is>
          <t>Reschedule</t>
        </is>
      </c>
      <c r="BH856" t="inlineStr">
        <is>
          <t>Fauziah Maharan</t>
        </is>
      </c>
      <c r="BI856"/>
      <c r="BJ856" s="4">
        <v>46144.75283564815</v>
      </c>
      <c r="BK856" s="4">
        <v>45926.79015046296</v>
      </c>
      <c r="BL856" t="inlineStr">
        <is>
          <t>0.0</t>
        </is>
      </c>
      <c r="BM856" t="inlineStr">
        <is>
          <t>0.0</t>
        </is>
      </c>
      <c r="BN856" t="inlineStr">
        <is>
          <t>User Visit(Logged In)</t>
        </is>
      </c>
      <c r="BO856" s="4">
        <v>45926.790185185186</v>
      </c>
      <c r="BP856">
        <v>169476</v>
      </c>
      <c r="BQ856">
        <v>115272</v>
      </c>
      <c r="BR856" t="inlineStr">
        <is>
          <t>Proforma</t>
        </is>
      </c>
      <c r="BS856" t="inlineStr">
        <is>
          <t>Free Internship Job</t>
        </is>
      </c>
      <c r="BT856"/>
      <c r="BU856"/>
      <c r="BV856">
        <v>2734966</v>
      </c>
      <c r="BW856" t="inlineStr">
        <is>
          <t>Customer Inquiry</t>
        </is>
      </c>
      <c r="BX856"/>
      <c r="BY856"/>
      <c r="BZ856" s="4"/>
      <c r="CA856"/>
      <c r="CB856"/>
      <c r="CC856" s="4"/>
      <c r="CD856" t="inlineStr">
        <is>
          <t>5</t>
        </is>
      </c>
      <c r="CE856" t="inlineStr">
        <is>
          <t>0</t>
        </is>
      </c>
      <c r="CF856" t="inlineStr">
        <is>
          <t>Q2-W04</t>
        </is>
      </c>
      <c r="CG856" t="inlineStr">
        <is>
          <t>Q1-W07</t>
        </is>
      </c>
      <c r="CH856"/>
      <c r="CI856"/>
      <c r="CJ856" t="inlineStr">
        <is>
          <t>No Paid</t>
        </is>
      </c>
      <c r="CK856" t="inlineStr">
        <is>
          <t>Not Eligible</t>
        </is>
      </c>
      <c r="CL856"/>
      <c r="CM856"/>
    </row>
    <row r="857" ht="25.5" customHeight="1">
      <c r="A857" t="inlineStr">
        <is>
          <t>119449</t>
        </is>
      </c>
      <c r="B857" s="2"/>
      <c r="C857"/>
      <c r="D857" s="3">
        <v>46134.67261574074</v>
      </c>
      <c r="E857" t="inlineStr">
        <is>
          <t>Q2-W03</t>
        </is>
      </c>
      <c r="F857" t="inlineStr">
        <is>
          <t>Xin Hui</t>
        </is>
      </c>
      <c r="G857" t="inlineStr">
        <is>
          <t>Customer</t>
        </is>
      </c>
      <c r="H857" s="2" t="str">
        <f>=HYPERLINK("https://upbox.ajobthing.my/customer/119449", "https://upbox.ajobthing.my/customer/119449")</f>
        <v>https://upbox.ajobthing.my/customer/119449</v>
      </c>
      <c r="I857" t="inlineStr">
        <is>
          <t>Nano Food (M) Sdn Bhd</t>
        </is>
      </c>
      <c r="J857" t="inlineStr">
        <is>
          <t>Dolphin</t>
        </is>
      </c>
      <c r="K857" t="inlineStr">
        <is>
          <t>Xin Hui</t>
        </is>
      </c>
      <c r="L857" s="4"/>
      <c r="M857" s="4">
        <v>46128.68357638889</v>
      </c>
      <c r="N857"/>
      <c r="O857">
        <v>3888</v>
      </c>
      <c r="P857" s="4"/>
      <c r="Q857" s="4">
        <v>46140.628657407404</v>
      </c>
      <c r="R857"/>
      <c r="S857">
        <v>0</v>
      </c>
      <c r="T857" s="4">
        <v>46134.754479166666</v>
      </c>
      <c r="U857" s="4"/>
      <c r="V857"/>
      <c r="W857">
        <v>3888</v>
      </c>
      <c r="X857"/>
      <c r="Y857" t="inlineStr">
        <is>
          <t>Pending Appointment</t>
        </is>
      </c>
      <c r="Z857" t="inlineStr">
        <is>
          <t>Hiring Now</t>
        </is>
      </c>
      <c r="AA857">
        <v>2</v>
      </c>
      <c r="AB857" t="inlineStr">
        <is>
          <t>No Appointment Made</t>
        </is>
      </c>
      <c r="AC857"/>
      <c r="AD857" t="inlineStr">
        <is>
          <t xml:space="preserve">marketing / factory worker </t>
        </is>
      </c>
      <c r="AE857"/>
      <c r="AF857"/>
      <c r="AG857" s="4"/>
      <c r="AH857" s="4"/>
      <c r="AI857"/>
      <c r="AJ857"/>
      <c r="AK857" t="inlineStr">
        <is>
          <t>No, I don't need at all</t>
        </is>
      </c>
      <c r="AL857"/>
      <c r="AM857" t="inlineStr">
        <is>
          <t>No, I don't need at all</t>
        </is>
      </c>
      <c r="AN857"/>
      <c r="AO857" t="inlineStr">
        <is>
          <t>No, I don't need at all</t>
        </is>
      </c>
      <c r="AP857" t="inlineStr">
        <is>
          <t>Once a year (25%)</t>
        </is>
      </c>
      <c r="AQ857"/>
      <c r="AR857"/>
      <c r="AS857" t="inlineStr">
        <is>
          <t>- Headcount: 2
- Hiring Job Details: marketing / factory worker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857">
        <v>75</v>
      </c>
      <c r="AU857" t="inlineStr">
        <is>
          <t>0.75</t>
        </is>
      </c>
      <c r="AV857" t="inlineStr">
        <is>
          <t>5</t>
        </is>
      </c>
      <c r="AW857" t="inlineStr">
        <is>
          <t>0</t>
        </is>
      </c>
      <c r="AX857" t="inlineStr">
        <is>
          <t>Not Qualified</t>
        </is>
      </c>
      <c r="AY857" s="4"/>
      <c r="AZ857"/>
      <c r="BA857"/>
      <c r="BB857"/>
      <c r="BC857" t="inlineStr">
        <is>
          <t>asking why applicant so less // why candidate search not functions // how to unlock candidate profile</t>
        </is>
      </c>
      <c r="BD857" s="4">
        <v>46142.49865740741</v>
      </c>
      <c r="BE857" t="inlineStr">
        <is>
          <t>paid</t>
        </is>
      </c>
      <c r="BF857" t="inlineStr">
        <is>
          <t>Q2-W03</t>
        </is>
      </c>
      <c r="BG857" t="inlineStr">
        <is>
          <t>Reschedule</t>
        </is>
      </c>
      <c r="BH857" t="inlineStr">
        <is>
          <t>Yee Hang</t>
        </is>
      </c>
      <c r="BI857" t="inlineStr">
        <is>
          <t>Manufacturing / Production</t>
        </is>
      </c>
      <c r="BJ857" s="4">
        <v>46144.750231481485</v>
      </c>
      <c r="BK857" s="4">
        <v>43637.52730324074</v>
      </c>
      <c r="BL857" t="inlineStr">
        <is>
          <t>3888.0</t>
        </is>
      </c>
      <c r="BM857" t="inlineStr">
        <is>
          <t>0.0</t>
        </is>
      </c>
      <c r="BN857" t="inlineStr">
        <is>
          <t>View Company Page</t>
        </is>
      </c>
      <c r="BO857" s="4">
        <v>46142.52868055556</v>
      </c>
      <c r="BP857">
        <v>167464</v>
      </c>
      <c r="BQ857">
        <v>123928</v>
      </c>
      <c r="BR857" t="inlineStr">
        <is>
          <t>Proforma</t>
        </is>
      </c>
      <c r="BS857" t="inlineStr">
        <is>
          <t>Free Internship Job</t>
        </is>
      </c>
      <c r="BT857">
        <v>94640</v>
      </c>
      <c r="BU857"/>
      <c r="BV857">
        <v>2737281</v>
      </c>
      <c r="BW857" t="inlineStr">
        <is>
          <t>Service / Technical : Job Outcome Enquiry</t>
        </is>
      </c>
      <c r="BX857">
        <v>7</v>
      </c>
      <c r="BY857">
        <v>6</v>
      </c>
      <c r="BZ857" s="4">
        <v>46136.51123842593</v>
      </c>
      <c r="CA857">
        <v>73</v>
      </c>
      <c r="CB857">
        <v>71</v>
      </c>
      <c r="CC857" s="4">
        <v>46142.530810185184</v>
      </c>
      <c r="CD857" t="inlineStr">
        <is>
          <t>5</t>
        </is>
      </c>
      <c r="CE857" t="inlineStr">
        <is>
          <t>0</t>
        </is>
      </c>
      <c r="CF857" t="inlineStr">
        <is>
          <t>Q2-W02</t>
        </is>
      </c>
      <c r="CG857" t="inlineStr">
        <is>
          <t>Q2-W04</t>
        </is>
      </c>
      <c r="CH857" t="inlineStr">
        <is>
          <t>Q2-W03</t>
        </is>
      </c>
      <c r="CI857"/>
      <c r="CJ857" t="inlineStr">
        <is>
          <t>Paid</t>
        </is>
      </c>
      <c r="CK857" t="inlineStr">
        <is>
          <t>Not Eligible</t>
        </is>
      </c>
      <c r="CL857"/>
      <c r="CM857"/>
    </row>
    <row r="858" ht="25.5" customHeight="1">
      <c r="A858" t="inlineStr">
        <is>
          <t>203541</t>
        </is>
      </c>
      <c r="B858" s="2"/>
      <c r="C858"/>
      <c r="D858" s="3">
        <v>46134.69349537037</v>
      </c>
      <c r="E858" t="inlineStr">
        <is>
          <t>Q2-W03</t>
        </is>
      </c>
      <c r="F858" t="inlineStr">
        <is>
          <t>Alan KY</t>
        </is>
      </c>
      <c r="G858" t="inlineStr">
        <is>
          <t>Customer</t>
        </is>
      </c>
      <c r="H858" s="2" t="str">
        <f>=HYPERLINK("https://upbox.ajobthing.my/customer/203541", "https://upbox.ajobthing.my/customer/203541")</f>
        <v>https://upbox.ajobthing.my/customer/203541</v>
      </c>
      <c r="I858" t="inlineStr">
        <is>
          <t>Breakthrough F&amp;b Sdn Bhd</t>
        </is>
      </c>
      <c r="J858" t="inlineStr">
        <is>
          <t>Dolphin</t>
        </is>
      </c>
      <c r="K858" t="inlineStr">
        <is>
          <t>Alan KY</t>
        </is>
      </c>
      <c r="L858" s="4"/>
      <c r="M858" s="4">
        <v>46134.692708333336</v>
      </c>
      <c r="N858"/>
      <c r="O858">
        <v>6048</v>
      </c>
      <c r="P858" s="4"/>
      <c r="Q858" s="4"/>
      <c r="R858"/>
      <c r="S858"/>
      <c r="T858" s="4"/>
      <c r="U858" s="4"/>
      <c r="V858"/>
      <c r="W858"/>
      <c r="X858"/>
      <c r="Y858" t="inlineStr">
        <is>
          <t>Pending Appointment</t>
        </is>
      </c>
      <c r="Z858" t="inlineStr">
        <is>
          <t>Continuous Hiring</t>
        </is>
      </c>
      <c r="AA858">
        <v>9</v>
      </c>
      <c r="AB858" t="inlineStr">
        <is>
          <t>No Appointment Made</t>
        </is>
      </c>
      <c r="AC858"/>
      <c r="AD858" t="inlineStr">
        <is>
          <t xml:space="preserve">kitchen crew 6-10, service crew 3 
based in KL </t>
        </is>
      </c>
      <c r="AE858"/>
      <c r="AF858"/>
      <c r="AG858" s="4"/>
      <c r="AH858" s="4"/>
      <c r="AI858"/>
      <c r="AJ858"/>
      <c r="AK858" t="inlineStr">
        <is>
          <t>No, I don't need at all</t>
        </is>
      </c>
      <c r="AL858"/>
      <c r="AM858" t="inlineStr">
        <is>
          <t>No, I don't need at all</t>
        </is>
      </c>
      <c r="AN858"/>
      <c r="AO858" t="inlineStr">
        <is>
          <t>No, I don't need at all</t>
        </is>
      </c>
      <c r="AP858" t="inlineStr">
        <is>
          <t>Every month (100%)</t>
        </is>
      </c>
      <c r="AQ858"/>
      <c r="AR858" t="inlineStr">
        <is>
          <t>Jobstreet, Free Job Portal</t>
        </is>
      </c>
      <c r="AS858" t="inlineStr">
        <is>
          <t>- Headcount: 9
- Hiring Job Details: kitchen crew 6-10, service crew 3, based in KL
- Hiring Urgency: Continuous Hiring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Every month (100%)
- External job portal: Jobstreet, Free Job Portal</t>
        </is>
      </c>
      <c r="AT858">
        <v>95</v>
      </c>
      <c r="AU858" t="inlineStr">
        <is>
          <t>0.95</t>
        </is>
      </c>
      <c r="AV858" t="inlineStr">
        <is>
          <t>10</t>
        </is>
      </c>
      <c r="AW858" t="inlineStr">
        <is>
          <t>0</t>
        </is>
      </c>
      <c r="AX858" t="inlineStr">
        <is>
          <t>Not Qualified</t>
        </is>
      </c>
      <c r="AY858" s="4"/>
      <c r="AZ858"/>
      <c r="BA858"/>
      <c r="BB858"/>
      <c r="BC858" t="inlineStr">
        <is>
          <t>Still in review, explain package</t>
        </is>
      </c>
      <c r="BD858" s="4">
        <v>46139.75728009259</v>
      </c>
      <c r="BE858"/>
      <c r="BF858"/>
      <c r="BG858" t="inlineStr">
        <is>
          <t>Reschedule</t>
        </is>
      </c>
      <c r="BH858" t="inlineStr">
        <is>
          <t>Reagen</t>
        </is>
      </c>
      <c r="BI858"/>
      <c r="BJ858" s="4">
        <v>46144.75435185185</v>
      </c>
      <c r="BK858" s="4">
        <v>46134.656909722224</v>
      </c>
      <c r="BL858" t="inlineStr">
        <is>
          <t>0.0</t>
        </is>
      </c>
      <c r="BM858" t="inlineStr">
        <is>
          <t>0.0</t>
        </is>
      </c>
      <c r="BN858" t="inlineStr">
        <is>
          <t>View Create Job Page V4</t>
        </is>
      </c>
      <c r="BO858" s="4">
        <v>46134.66511574074</v>
      </c>
      <c r="BP858">
        <v>168376</v>
      </c>
      <c r="BQ858"/>
      <c r="BR858"/>
      <c r="BS858"/>
      <c r="BT858"/>
      <c r="BU858"/>
      <c r="BV858">
        <v>2731593</v>
      </c>
      <c r="BW858" t="inlineStr">
        <is>
          <t>Follow Up : Decision Pending</t>
        </is>
      </c>
      <c r="BX858"/>
      <c r="BY858"/>
      <c r="BZ858" s="4"/>
      <c r="CA858"/>
      <c r="CB858"/>
      <c r="CC858" s="4"/>
      <c r="CD858" t="inlineStr">
        <is>
          <t>15</t>
        </is>
      </c>
      <c r="CE858" t="inlineStr">
        <is>
          <t>0</t>
        </is>
      </c>
      <c r="CF858" t="inlineStr">
        <is>
          <t>Q2-W03</t>
        </is>
      </c>
      <c r="CG858"/>
      <c r="CH858"/>
      <c r="CI858"/>
      <c r="CJ858" t="inlineStr">
        <is>
          <t>No Paid</t>
        </is>
      </c>
      <c r="CK858" t="inlineStr">
        <is>
          <t>Eligible</t>
        </is>
      </c>
      <c r="CL858"/>
      <c r="CM858"/>
    </row>
    <row r="859" ht="25.5" customHeight="1">
      <c r="A859" t="inlineStr">
        <is>
          <t>180052</t>
        </is>
      </c>
      <c r="B859" s="2"/>
      <c r="C859"/>
      <c r="D859" s="3">
        <v>46134.698217592595</v>
      </c>
      <c r="E859" t="inlineStr">
        <is>
          <t>Q2-W03</t>
        </is>
      </c>
      <c r="F859" t="inlineStr">
        <is>
          <t>Xin Quan</t>
        </is>
      </c>
      <c r="G859" t="inlineStr">
        <is>
          <t>Customer</t>
        </is>
      </c>
      <c r="H859" s="2" t="str">
        <f>=HYPERLINK("https://upbox.ajobthing.my/customer/180052", "https://upbox.ajobthing.my/customer/180052")</f>
        <v>https://upbox.ajobthing.my/customer/180052</v>
      </c>
      <c r="I859" t="inlineStr">
        <is>
          <t>CMYap Management Services (KL) Sdn Bhd</t>
        </is>
      </c>
      <c r="J859" t="inlineStr">
        <is>
          <t>Dolphin</t>
        </is>
      </c>
      <c r="K859" t="inlineStr">
        <is>
          <t>Xin Quan</t>
        </is>
      </c>
      <c r="L859" s="4"/>
      <c r="M859" s="4">
        <v>46134.698287037034</v>
      </c>
      <c r="N859"/>
      <c r="O859">
        <v>3888</v>
      </c>
      <c r="P859" s="4"/>
      <c r="Q859" s="4">
        <v>46119.62600694445</v>
      </c>
      <c r="R859"/>
      <c r="S859">
        <v>0</v>
      </c>
      <c r="T859" s="4">
        <v>45532.7391087963</v>
      </c>
      <c r="U859" s="4"/>
      <c r="V859"/>
      <c r="W859">
        <v>1728</v>
      </c>
      <c r="X859"/>
      <c r="Y859" t="inlineStr">
        <is>
          <t>Pending Appointment</t>
        </is>
      </c>
      <c r="Z859" t="inlineStr">
        <is>
          <t>Hiring Now</t>
        </is>
      </c>
      <c r="AA859">
        <v>2</v>
      </c>
      <c r="AB859" t="inlineStr">
        <is>
          <t>No Appointment Made</t>
        </is>
      </c>
      <c r="AC859"/>
      <c r="AD859" t="inlineStr">
        <is>
          <t>2 Sales , Base in KL</t>
        </is>
      </c>
      <c r="AE859"/>
      <c r="AF859">
        <v>2000</v>
      </c>
      <c r="AG859" s="4"/>
      <c r="AH859" s="4"/>
      <c r="AI859">
        <v>48000</v>
      </c>
      <c r="AJ859">
        <v>1</v>
      </c>
      <c r="AK859" t="inlineStr">
        <is>
          <t>No, I don't need at all</t>
        </is>
      </c>
      <c r="AL859">
        <v>1</v>
      </c>
      <c r="AM859" t="inlineStr">
        <is>
          <t>No, I don't need at all</t>
        </is>
      </c>
      <c r="AN859"/>
      <c r="AO859" t="inlineStr">
        <is>
          <t>No, I don't need at all</t>
        </is>
      </c>
      <c r="AP859" t="inlineStr">
        <is>
          <t>Once a year (25%)</t>
        </is>
      </c>
      <c r="AQ859">
        <v>2</v>
      </c>
      <c r="AR859"/>
      <c r="AS859" t="inlineStr">
        <is>
          <t>- Headcount: Not specified
- Hiring Job Details: 2 Sales, Base in KL
- Hiring Urgency: Hiring Now
- Number of outlets: 1
- Have recruiter team: No, I don't need at all
- Number of recruiter in company: 1
- Have ATS system: No, I don't need at all
- Have career website: No, I don't need at all
- Current hiring budget: RM2,000
- Whole year budget: RM48,000.00
- Whole year number of vacancies: 2
- Hiring frequency: Once a year (25%)
- External job portal: Not specified</t>
        </is>
      </c>
      <c r="AT859">
        <v>85</v>
      </c>
      <c r="AU859" t="inlineStr">
        <is>
          <t>0.85</t>
        </is>
      </c>
      <c r="AV859" t="inlineStr">
        <is>
          <t>15</t>
        </is>
      </c>
      <c r="AW859" t="inlineStr">
        <is>
          <t>0</t>
        </is>
      </c>
      <c r="AX859" t="inlineStr">
        <is>
          <t>Not Qualified</t>
        </is>
      </c>
      <c r="AY859" s="4"/>
      <c r="AZ859"/>
      <c r="BA859"/>
      <c r="BB859"/>
      <c r="BC859" t="inlineStr">
        <is>
          <t>SABI , 1K reason , shoot9 her sin</t>
        </is>
      </c>
      <c r="BD859" s="4">
        <v>46141.43269675926</v>
      </c>
      <c r="BE859" t="inlineStr">
        <is>
          <t>paid</t>
        </is>
      </c>
      <c r="BF859"/>
      <c r="BG859" t="inlineStr">
        <is>
          <t>Reschedule</t>
        </is>
      </c>
      <c r="BH859" t="inlineStr">
        <is>
          <t>Edward Hoo</t>
        </is>
      </c>
      <c r="BI859" t="inlineStr">
        <is>
          <t>Accounting / Tax Services</t>
        </is>
      </c>
      <c r="BJ859" s="4">
        <v>46144.75181712963</v>
      </c>
      <c r="BK859" s="4">
        <v>45474.69331018518</v>
      </c>
      <c r="BL859" t="inlineStr">
        <is>
          <t>0.0</t>
        </is>
      </c>
      <c r="BM859" t="inlineStr">
        <is>
          <t>0.0</t>
        </is>
      </c>
      <c r="BN859" t="inlineStr">
        <is>
          <t>View Candidate Search Page</t>
        </is>
      </c>
      <c r="BO859" s="4">
        <v>46134.731400462966</v>
      </c>
      <c r="BP859">
        <v>168378</v>
      </c>
      <c r="BQ859">
        <v>120467</v>
      </c>
      <c r="BR859" t="inlineStr">
        <is>
          <t>Proforma</t>
        </is>
      </c>
      <c r="BS859" t="inlineStr">
        <is>
          <t>Free Internship Job</t>
        </is>
      </c>
      <c r="BT859">
        <v>72542</v>
      </c>
      <c r="BU859"/>
      <c r="BV859">
        <v>2734392</v>
      </c>
      <c r="BW859" t="inlineStr">
        <is>
          <t>Inquire for Hiring Needs : No Hiring</t>
        </is>
      </c>
      <c r="BX859"/>
      <c r="BY859"/>
      <c r="BZ859" s="4"/>
      <c r="CA859"/>
      <c r="CB859"/>
      <c r="CC859" s="4"/>
      <c r="CD859" t="inlineStr">
        <is>
          <t>20</t>
        </is>
      </c>
      <c r="CE859" t="inlineStr">
        <is>
          <t>0</t>
        </is>
      </c>
      <c r="CF859" t="inlineStr">
        <is>
          <t>Q2-W03</t>
        </is>
      </c>
      <c r="CG859" t="inlineStr">
        <is>
          <t>Q2-W01</t>
        </is>
      </c>
      <c r="CH859"/>
      <c r="CI859"/>
      <c r="CJ859" t="inlineStr">
        <is>
          <t>Paid</t>
        </is>
      </c>
      <c r="CK859" t="inlineStr">
        <is>
          <t>Not Eligible</t>
        </is>
      </c>
      <c r="CL859"/>
      <c r="CM859"/>
    </row>
    <row r="860" ht="25.5" customHeight="1">
      <c r="A860" t="inlineStr">
        <is>
          <t>187266</t>
        </is>
      </c>
      <c r="B860" s="2"/>
      <c r="C860"/>
      <c r="D860" s="3">
        <v>46134.70482638889</v>
      </c>
      <c r="E860" t="inlineStr">
        <is>
          <t>Q2-W03</t>
        </is>
      </c>
      <c r="F860" t="inlineStr">
        <is>
          <t>Eugene</t>
        </is>
      </c>
      <c r="G860" t="inlineStr">
        <is>
          <t>Customer</t>
        </is>
      </c>
      <c r="H860" s="2" t="str">
        <f>=HYPERLINK("https://upbox.ajobthing.my/customer/187266", "https://upbox.ajobthing.my/customer/187266")</f>
        <v>https://upbox.ajobthing.my/customer/187266</v>
      </c>
      <c r="I860" t="inlineStr">
        <is>
          <t>Printmore Sdn Bhd</t>
        </is>
      </c>
      <c r="J860" t="inlineStr">
        <is>
          <t>Dolphin</t>
        </is>
      </c>
      <c r="K860" t="inlineStr">
        <is>
          <t>Eugene</t>
        </is>
      </c>
      <c r="L860" s="4"/>
      <c r="M860" s="4">
        <v>46134.705196759256</v>
      </c>
      <c r="N860"/>
      <c r="O860">
        <v>3888</v>
      </c>
      <c r="P860" s="4"/>
      <c r="Q860" s="4">
        <v>45995.61418981481</v>
      </c>
      <c r="R860"/>
      <c r="S860">
        <v>3348</v>
      </c>
      <c r="T860" s="4">
        <v>45769.455300925925</v>
      </c>
      <c r="U860" s="4"/>
      <c r="V860"/>
      <c r="W860">
        <v>2916</v>
      </c>
      <c r="X860"/>
      <c r="Y860" t="inlineStr">
        <is>
          <t>Pending Appointment</t>
        </is>
      </c>
      <c r="Z860" t="inlineStr">
        <is>
          <t>Hiring Later</t>
        </is>
      </c>
      <c r="AA860">
        <v>3</v>
      </c>
      <c r="AB860" t="inlineStr">
        <is>
          <t>No Appointment Made</t>
        </is>
      </c>
      <c r="AC860"/>
      <c r="AD860" t="inlineStr">
        <is>
          <t>3 positions, based in KL</t>
        </is>
      </c>
      <c r="AE860"/>
      <c r="AF860">
        <v>3000</v>
      </c>
      <c r="AG860" s="4"/>
      <c r="AH860" s="4"/>
      <c r="AI860">
        <v>3000</v>
      </c>
      <c r="AJ860">
        <v>1</v>
      </c>
      <c r="AK860" t="inlineStr">
        <is>
          <t>No, I don't need at all</t>
        </is>
      </c>
      <c r="AL860">
        <v>1</v>
      </c>
      <c r="AM860" t="inlineStr">
        <is>
          <t>No, I don't need at all</t>
        </is>
      </c>
      <c r="AN860"/>
      <c r="AO860" t="inlineStr">
        <is>
          <t>No, I don't need at all</t>
        </is>
      </c>
      <c r="AP860" t="inlineStr">
        <is>
          <t>Once per quarter (75%)</t>
        </is>
      </c>
      <c r="AQ860">
        <v>6</v>
      </c>
      <c r="AR860" t="inlineStr">
        <is>
          <t>Free Job Portal</t>
        </is>
      </c>
      <c r="AS860" t="inlineStr">
        <is>
          <t>- Headcount: 3
- Hiring Job Details: 3 positions,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6
- Hiring frequency: Once per quarter (75%)
- External job portal: Free Job Portal</t>
        </is>
      </c>
      <c r="AT860">
        <v>75</v>
      </c>
      <c r="AU860" t="inlineStr">
        <is>
          <t>0.75</t>
        </is>
      </c>
      <c r="AV860" t="inlineStr">
        <is>
          <t>15</t>
        </is>
      </c>
      <c r="AW860" t="inlineStr">
        <is>
          <t>0</t>
        </is>
      </c>
      <c r="AX860" t="inlineStr">
        <is>
          <t>Not Qualified</t>
        </is>
      </c>
      <c r="AY860" s="4"/>
      <c r="AZ860"/>
      <c r="BA860"/>
      <c r="BB860"/>
      <c r="BC860" t="inlineStr">
        <is>
          <t>- Headcount: 3
- Hiring Job Details: 3 positions,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6
- Hiring frequency: Once per quarter (75%)
- External job portal: Free Job Portal</t>
        </is>
      </c>
      <c r="BD860" s="4">
        <v>46134.70837962963</v>
      </c>
      <c r="BE860" t="inlineStr">
        <is>
          <t>pending</t>
        </is>
      </c>
      <c r="BF860"/>
      <c r="BG860" t="inlineStr">
        <is>
          <t>Reschedule</t>
        </is>
      </c>
      <c r="BH860" t="inlineStr">
        <is>
          <t>Edward Hoo</t>
        </is>
      </c>
      <c r="BI860"/>
      <c r="BJ860" s="4">
        <v>46144.75215277778</v>
      </c>
      <c r="BK860" s="4">
        <v>45692.48679398148</v>
      </c>
      <c r="BL860" t="inlineStr">
        <is>
          <t>0.0</t>
        </is>
      </c>
      <c r="BM860" t="inlineStr">
        <is>
          <t>0.0</t>
        </is>
      </c>
      <c r="BN860" t="inlineStr">
        <is>
          <t>View Create Job Page V4</t>
        </is>
      </c>
      <c r="BO860" s="4">
        <v>46135.511782407404</v>
      </c>
      <c r="BP860">
        <v>168383</v>
      </c>
      <c r="BQ860">
        <v>112636</v>
      </c>
      <c r="BR860" t="inlineStr">
        <is>
          <t>Proforma</t>
        </is>
      </c>
      <c r="BS860" t="inlineStr">
        <is>
          <t>AI Yearly Standard Plan (Year End Promo 25  With Disc)</t>
        </is>
      </c>
      <c r="BT860">
        <v>78662</v>
      </c>
      <c r="BU860"/>
      <c r="BV860">
        <v>2721672</v>
      </c>
      <c r="BW860" t="inlineStr">
        <is>
          <t>Customer Inquiry</t>
        </is>
      </c>
      <c r="BX860"/>
      <c r="BY860"/>
      <c r="BZ860" s="4"/>
      <c r="CA860"/>
      <c r="CB860"/>
      <c r="CC860" s="4"/>
      <c r="CD860" t="inlineStr">
        <is>
          <t>20</t>
        </is>
      </c>
      <c r="CE860" t="inlineStr">
        <is>
          <t>0</t>
        </is>
      </c>
      <c r="CF860" t="inlineStr">
        <is>
          <t>Q2-W03</t>
        </is>
      </c>
      <c r="CG860"/>
      <c r="CH860"/>
      <c r="CI860"/>
      <c r="CJ860" t="inlineStr">
        <is>
          <t>Paid</t>
        </is>
      </c>
      <c r="CK860" t="inlineStr">
        <is>
          <t>Not Eligible</t>
        </is>
      </c>
      <c r="CL860"/>
      <c r="CM860"/>
    </row>
    <row r="861" ht="25.5" customHeight="1">
      <c r="A861" t="inlineStr">
        <is>
          <t>203543</t>
        </is>
      </c>
      <c r="B861" s="2"/>
      <c r="C861"/>
      <c r="D861" s="3">
        <v>46134.706458333334</v>
      </c>
      <c r="E861" t="inlineStr">
        <is>
          <t>Q2-W03</t>
        </is>
      </c>
      <c r="F861" t="inlineStr">
        <is>
          <t>Keegan</t>
        </is>
      </c>
      <c r="G861" t="inlineStr">
        <is>
          <t>Customer</t>
        </is>
      </c>
      <c r="H861" s="2" t="str">
        <f>=HYPERLINK("https://upbox.ajobthing.my/customer/203543", "https://upbox.ajobthing.my/customer/203543")</f>
        <v>https://upbox.ajobthing.my/customer/203543</v>
      </c>
      <c r="I861" t="inlineStr">
        <is>
          <t>Gugusan Cemerlang Bina Sdn Bhd</t>
        </is>
      </c>
      <c r="J861" t="inlineStr">
        <is>
          <t>Dolphin</t>
        </is>
      </c>
      <c r="K861" t="inlineStr">
        <is>
          <t>Keegan</t>
        </is>
      </c>
      <c r="L861" s="4"/>
      <c r="M861" s="4">
        <v>46134.7065162037</v>
      </c>
      <c r="N861"/>
      <c r="O861">
        <v>6048</v>
      </c>
      <c r="P861" s="4"/>
      <c r="Q861" s="4"/>
      <c r="R861"/>
      <c r="S861"/>
      <c r="T861" s="4"/>
      <c r="U861" s="4"/>
      <c r="V861"/>
      <c r="W861"/>
      <c r="X861"/>
      <c r="Y861" t="inlineStr">
        <is>
          <t>Pending Appointment</t>
        </is>
      </c>
      <c r="Z861" t="inlineStr">
        <is>
          <t>Hiring Now</t>
        </is>
      </c>
      <c r="AA861">
        <v>3</v>
      </c>
      <c r="AB861" t="inlineStr">
        <is>
          <t>No Appointment Made</t>
        </is>
      </c>
      <c r="AC861"/>
      <c r="AD861" t="inlineStr">
        <is>
          <t xml:space="preserve">1. Site Manager 
2. Engineer
3. QS </t>
        </is>
      </c>
      <c r="AE861"/>
      <c r="AF861"/>
      <c r="AG861" s="4"/>
      <c r="AH861" s="4"/>
      <c r="AI861"/>
      <c r="AJ861">
        <v>1</v>
      </c>
      <c r="AK861" t="inlineStr">
        <is>
          <t>No, I don't need at all</t>
        </is>
      </c>
      <c r="AL861">
        <v>0</v>
      </c>
      <c r="AM861" t="inlineStr">
        <is>
          <t>No, I don't need at all</t>
        </is>
      </c>
      <c r="AN861"/>
      <c r="AO861" t="inlineStr">
        <is>
          <t>No, I don't need at all</t>
        </is>
      </c>
      <c r="AP861" t="inlineStr">
        <is>
          <t>Once per quarter (75%)</t>
        </is>
      </c>
      <c r="AQ861"/>
      <c r="AR861" t="inlineStr">
        <is>
          <t>Did not use any job portal</t>
        </is>
      </c>
      <c r="AS861" t="inlineStr">
        <is>
          <t>- Headcount: 3
- Hiring Job Details: 1. Site Manager, 2. Engineer, 3. QS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861">
        <v>75</v>
      </c>
      <c r="AU861" t="inlineStr">
        <is>
          <t>0.75</t>
        </is>
      </c>
      <c r="AV861" t="inlineStr">
        <is>
          <t>5</t>
        </is>
      </c>
      <c r="AW861" t="inlineStr">
        <is>
          <t>0</t>
        </is>
      </c>
      <c r="AX861" t="inlineStr">
        <is>
          <t>Not Qualified</t>
        </is>
      </c>
      <c r="AY861" s="4"/>
      <c r="AZ861"/>
      <c r="BA861"/>
      <c r="BB861"/>
      <c r="BC861" t="inlineStr">
        <is>
          <t>Still in discussion so no final decision yet</t>
        </is>
      </c>
      <c r="BD861" s="4">
        <v>46140.47275462963</v>
      </c>
      <c r="BE861"/>
      <c r="BF861"/>
      <c r="BG861" t="inlineStr">
        <is>
          <t>Reschedule</t>
        </is>
      </c>
      <c r="BH861" t="inlineStr">
        <is>
          <t>Edward Hoo</t>
        </is>
      </c>
      <c r="BI861"/>
      <c r="BJ861" s="4">
        <v>46144.75435185185</v>
      </c>
      <c r="BK861" s="4">
        <v>46134.68809027778</v>
      </c>
      <c r="BL861" t="inlineStr">
        <is>
          <t>0.0</t>
        </is>
      </c>
      <c r="BM861" t="inlineStr">
        <is>
          <t>0.0</t>
        </is>
      </c>
      <c r="BN861" t="inlineStr">
        <is>
          <t>View Create Job Page V4</t>
        </is>
      </c>
      <c r="BO861" s="4">
        <v>46134.69553240741</v>
      </c>
      <c r="BP861">
        <v>168386</v>
      </c>
      <c r="BQ861"/>
      <c r="BR861"/>
      <c r="BS861"/>
      <c r="BT861"/>
      <c r="BU861"/>
      <c r="BV861">
        <v>2732092</v>
      </c>
      <c r="BW861" t="inlineStr">
        <is>
          <t>Follow Up : Decision Pending</t>
        </is>
      </c>
      <c r="BX861"/>
      <c r="BY861"/>
      <c r="BZ861" s="4"/>
      <c r="CA861"/>
      <c r="CB861"/>
      <c r="CC861" s="4"/>
      <c r="CD861" t="inlineStr">
        <is>
          <t>5</t>
        </is>
      </c>
      <c r="CE861" t="inlineStr">
        <is>
          <t>0</t>
        </is>
      </c>
      <c r="CF861" t="inlineStr">
        <is>
          <t>Q2-W03</t>
        </is>
      </c>
      <c r="CG861"/>
      <c r="CH861"/>
      <c r="CI861"/>
      <c r="CJ861" t="inlineStr">
        <is>
          <t>No Paid</t>
        </is>
      </c>
      <c r="CK861" t="inlineStr">
        <is>
          <t>Not Eligible</t>
        </is>
      </c>
      <c r="CL861"/>
      <c r="CM861"/>
    </row>
    <row r="862" ht="25.5" customHeight="1">
      <c r="A862" t="inlineStr">
        <is>
          <t>17261</t>
        </is>
      </c>
      <c r="B862" s="2"/>
      <c r="C862"/>
      <c r="D862" s="3">
        <v>46134.71978009259</v>
      </c>
      <c r="E862" t="inlineStr">
        <is>
          <t>Q2-W03</t>
        </is>
      </c>
      <c r="F862" t="inlineStr">
        <is>
          <t>Jia Hui</t>
        </is>
      </c>
      <c r="G862" t="inlineStr">
        <is>
          <t>Customer</t>
        </is>
      </c>
      <c r="H862" s="2" t="str">
        <f>=HYPERLINK("https://upbox.ajobthing.my/customer/17261", "https://upbox.ajobthing.my/customer/17261")</f>
        <v>https://upbox.ajobthing.my/customer/17261</v>
      </c>
      <c r="I862" t="inlineStr">
        <is>
          <t>T&amp;A Multi Sourcing Sdn Bhd</t>
        </is>
      </c>
      <c r="J862" t="inlineStr">
        <is>
          <t>Dolphin</t>
        </is>
      </c>
      <c r="K862" t="inlineStr">
        <is>
          <t>Jia Hui</t>
        </is>
      </c>
      <c r="L862" s="4"/>
      <c r="M862" s="4">
        <v>46134.72042824074</v>
      </c>
      <c r="N862"/>
      <c r="O862">
        <v>11448</v>
      </c>
      <c r="P862" s="4"/>
      <c r="Q862" s="4"/>
      <c r="R862"/>
      <c r="S862"/>
      <c r="T862" s="4"/>
      <c r="U862" s="4"/>
      <c r="V862"/>
      <c r="W862"/>
      <c r="X862"/>
      <c r="Y862" t="inlineStr">
        <is>
          <t>Pending Appointment</t>
        </is>
      </c>
      <c r="Z862" t="inlineStr">
        <is>
          <t>Hiring Now</t>
        </is>
      </c>
      <c r="AA862">
        <v>3</v>
      </c>
      <c r="AB862" t="inlineStr">
        <is>
          <t>No Appointment Made</t>
        </is>
      </c>
      <c r="AC862"/>
      <c r="AD862" t="inlineStr">
        <is>
          <t xml:space="preserve">1 administration,1 outlet sales, 1 supervisor </t>
        </is>
      </c>
      <c r="AE862"/>
      <c r="AF862">
        <v>500</v>
      </c>
      <c r="AG862" s="4"/>
      <c r="AH862" s="4"/>
      <c r="AI862"/>
      <c r="AJ862"/>
      <c r="AK862" t="inlineStr">
        <is>
          <t>Yes, I have</t>
        </is>
      </c>
      <c r="AL862"/>
      <c r="AM862"/>
      <c r="AN862"/>
      <c r="AO862"/>
      <c r="AP862" t="inlineStr">
        <is>
          <t>Twice a year (50%)</t>
        </is>
      </c>
      <c r="AQ862"/>
      <c r="AR862"/>
      <c r="AS862" t="inlineStr">
        <is>
          <t>- Headcount: 3
- Hiring Job Details: 1 administration, 1 outlet sales, 1 supervisor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is>
      </c>
      <c r="AT862">
        <v>95</v>
      </c>
      <c r="AU862" t="inlineStr">
        <is>
          <t>0.95</t>
        </is>
      </c>
      <c r="AV862" t="inlineStr">
        <is>
          <t>15</t>
        </is>
      </c>
      <c r="AW862" t="inlineStr">
        <is>
          <t>0</t>
        </is>
      </c>
      <c r="AX862" t="inlineStr">
        <is>
          <t>Not Qualified</t>
        </is>
      </c>
      <c r="AY862" s="4"/>
      <c r="AZ862"/>
      <c r="BA862"/>
      <c r="BB862"/>
      <c r="BC862" t="inlineStr">
        <is>
          <t>no ans, wa</t>
        </is>
      </c>
      <c r="BD862" s="4">
        <v>46136.612905092596</v>
      </c>
      <c r="BE862"/>
      <c r="BF862"/>
      <c r="BG862" t="inlineStr">
        <is>
          <t>Reschedule</t>
        </is>
      </c>
      <c r="BH862" t="inlineStr">
        <is>
          <t>Reagen</t>
        </is>
      </c>
      <c r="BI862"/>
      <c r="BJ862" s="4">
        <v>46144.75148148148</v>
      </c>
      <c r="BK862" s="4">
        <v>42478.8566087963</v>
      </c>
      <c r="BL862" t="inlineStr">
        <is>
          <t>0.0</t>
        </is>
      </c>
      <c r="BM862" t="inlineStr">
        <is>
          <t>1200.0</t>
        </is>
      </c>
      <c r="BN862" t="inlineStr">
        <is>
          <t>View Company Page</t>
        </is>
      </c>
      <c r="BO862" s="4">
        <v>46017.90158564815</v>
      </c>
      <c r="BP862">
        <v>168392</v>
      </c>
      <c r="BQ862"/>
      <c r="BR862"/>
      <c r="BS862"/>
      <c r="BT862"/>
      <c r="BU862"/>
      <c r="BV862">
        <v>2726524</v>
      </c>
      <c r="BW862" t="inlineStr">
        <is>
          <t>No Answer : Voicemail - WA sent to customer</t>
        </is>
      </c>
      <c r="BX862"/>
      <c r="BY862"/>
      <c r="BZ862" s="4"/>
      <c r="CA862"/>
      <c r="CB862"/>
      <c r="CC862" s="4"/>
      <c r="CD862" t="inlineStr">
        <is>
          <t>20</t>
        </is>
      </c>
      <c r="CE862" t="inlineStr">
        <is>
          <t>0</t>
        </is>
      </c>
      <c r="CF862" t="inlineStr">
        <is>
          <t>Q2-W03</t>
        </is>
      </c>
      <c r="CG862"/>
      <c r="CH862"/>
      <c r="CI862"/>
      <c r="CJ862" t="inlineStr">
        <is>
          <t>No Paid</t>
        </is>
      </c>
      <c r="CK862" t="inlineStr">
        <is>
          <t>Not Eligible</t>
        </is>
      </c>
      <c r="CL862"/>
      <c r="CM862"/>
    </row>
    <row r="863" ht="25.5" customHeight="1">
      <c r="A863" t="inlineStr">
        <is>
          <t>203548</t>
        </is>
      </c>
      <c r="B863" s="2"/>
      <c r="C863"/>
      <c r="D863" s="3">
        <v>46134.72943287037</v>
      </c>
      <c r="E863" t="inlineStr">
        <is>
          <t>Q2-W03</t>
        </is>
      </c>
      <c r="F863" t="inlineStr">
        <is>
          <t>Lucas</t>
        </is>
      </c>
      <c r="G863" t="inlineStr">
        <is>
          <t>Customer</t>
        </is>
      </c>
      <c r="H863" s="2" t="str">
        <f>=HYPERLINK("https://upbox.ajobthing.my/customer/203548", "https://upbox.ajobthing.my/customer/203548")</f>
        <v>https://upbox.ajobthing.my/customer/203548</v>
      </c>
      <c r="I863" t="inlineStr">
        <is>
          <t>Acts Advisory Group</t>
        </is>
      </c>
      <c r="J863" t="inlineStr">
        <is>
          <t>Dolphin</t>
        </is>
      </c>
      <c r="K863" t="inlineStr">
        <is>
          <t>Lucas</t>
        </is>
      </c>
      <c r="L863" s="4"/>
      <c r="M863" s="4">
        <v>46139.618101851855</v>
      </c>
      <c r="N863"/>
      <c r="O863">
        <v>3672</v>
      </c>
      <c r="P863" s="4"/>
      <c r="Q863" s="4"/>
      <c r="R863"/>
      <c r="S863"/>
      <c r="T863" s="4"/>
      <c r="U863" s="4"/>
      <c r="V863"/>
      <c r="W863"/>
      <c r="X863"/>
      <c r="Y863" t="inlineStr">
        <is>
          <t>Pending Appointment</t>
        </is>
      </c>
      <c r="Z863" t="inlineStr">
        <is>
          <t>Hiring Now</t>
        </is>
      </c>
      <c r="AA863">
        <v>2</v>
      </c>
      <c r="AB863" t="inlineStr">
        <is>
          <t>No Appointment Made</t>
        </is>
      </c>
      <c r="AC863"/>
      <c r="AD863" t="inlineStr">
        <is>
          <t xml:space="preserve">2 saleman for insurance </t>
        </is>
      </c>
      <c r="AE863"/>
      <c r="AF863">
        <v>0</v>
      </c>
      <c r="AG863" s="4"/>
      <c r="AH863" s="4"/>
      <c r="AI863">
        <v>0</v>
      </c>
      <c r="AJ863">
        <v>0</v>
      </c>
      <c r="AK863" t="inlineStr">
        <is>
          <t>No, I don't need at all</t>
        </is>
      </c>
      <c r="AL863">
        <v>0</v>
      </c>
      <c r="AM863" t="inlineStr">
        <is>
          <t>No, I don't need at all</t>
        </is>
      </c>
      <c r="AN863"/>
      <c r="AO863" t="inlineStr">
        <is>
          <t>No, I don't need at all</t>
        </is>
      </c>
      <c r="AP863" t="inlineStr">
        <is>
          <t>Once a year (25%)</t>
        </is>
      </c>
      <c r="AQ863">
        <v>2</v>
      </c>
      <c r="AR863" t="inlineStr">
        <is>
          <t>Jobstreet</t>
        </is>
      </c>
      <c r="AS863" t="inlineStr">
        <is>
          <t>- Headcount: 2
- Hiring Job Details: 2 saleman for insurance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is>
      </c>
      <c r="AT863">
        <v>105</v>
      </c>
      <c r="AU863" t="inlineStr">
        <is>
          <t>1.05</t>
        </is>
      </c>
      <c r="AV863" t="inlineStr">
        <is>
          <t>15</t>
        </is>
      </c>
      <c r="AW863" t="inlineStr">
        <is>
          <t>0</t>
        </is>
      </c>
      <c r="AX863" t="inlineStr">
        <is>
          <t>Not Qualified</t>
        </is>
      </c>
      <c r="AY863" s="4"/>
      <c r="AZ863"/>
      <c r="BA863"/>
      <c r="BB863"/>
      <c r="BC863" t="inlineStr">
        <is>
          <t>pending</t>
        </is>
      </c>
      <c r="BD863" s="4">
        <v>46142.61219907407</v>
      </c>
      <c r="BE863"/>
      <c r="BF863"/>
      <c r="BG863" t="inlineStr">
        <is>
          <t>Reschedule</t>
        </is>
      </c>
      <c r="BH863" t="inlineStr">
        <is>
          <t>Yee Hang</t>
        </is>
      </c>
      <c r="BI863"/>
      <c r="BJ863" s="4">
        <v>46144.75435185185</v>
      </c>
      <c r="BK863" s="4">
        <v>46134.724131944444</v>
      </c>
      <c r="BL863" t="inlineStr">
        <is>
          <t>0.0</t>
        </is>
      </c>
      <c r="BM863" t="inlineStr">
        <is>
          <t>0.0</t>
        </is>
      </c>
      <c r="BN863"/>
      <c r="BO863" s="4"/>
      <c r="BP863">
        <v>169045</v>
      </c>
      <c r="BQ863"/>
      <c r="BR863"/>
      <c r="BS863"/>
      <c r="BT863"/>
      <c r="BU863"/>
      <c r="BV863">
        <v>2737766</v>
      </c>
      <c r="BW863" t="inlineStr">
        <is>
          <t>Follow Up : Decision Pending</t>
        </is>
      </c>
      <c r="BX863"/>
      <c r="BY863"/>
      <c r="BZ863" s="4"/>
      <c r="CA863"/>
      <c r="CB863"/>
      <c r="CC863" s="4"/>
      <c r="CD863" t="inlineStr">
        <is>
          <t>20</t>
        </is>
      </c>
      <c r="CE863" t="inlineStr">
        <is>
          <t>0</t>
        </is>
      </c>
      <c r="CF863" t="inlineStr">
        <is>
          <t>Q2-W04</t>
        </is>
      </c>
      <c r="CG863"/>
      <c r="CH863"/>
      <c r="CI863"/>
      <c r="CJ863" t="inlineStr">
        <is>
          <t>No Paid</t>
        </is>
      </c>
      <c r="CK863" t="inlineStr">
        <is>
          <t>Not Eligible</t>
        </is>
      </c>
      <c r="CL863"/>
      <c r="CM863"/>
    </row>
    <row r="864" ht="25.5" customHeight="1">
      <c r="A864" t="inlineStr">
        <is>
          <t>201790</t>
        </is>
      </c>
      <c r="B864" s="2"/>
      <c r="C864"/>
      <c r="D864" s="3">
        <v>46134.73241898148</v>
      </c>
      <c r="E864" t="inlineStr">
        <is>
          <t>Q2-W03</t>
        </is>
      </c>
      <c r="F864" t="inlineStr">
        <is>
          <t>Josh</t>
        </is>
      </c>
      <c r="G864" t="inlineStr">
        <is>
          <t>Customer</t>
        </is>
      </c>
      <c r="H864" s="2" t="str">
        <f>=HYPERLINK("https://upbox.ajobthing.my/customer/201790", "https://upbox.ajobthing.my/customer/201790")</f>
        <v>https://upbox.ajobthing.my/customer/201790</v>
      </c>
      <c r="I864" t="inlineStr">
        <is>
          <t>Arbeit Consultancy Services</t>
        </is>
      </c>
      <c r="J864" t="inlineStr">
        <is>
          <t>Dolphin</t>
        </is>
      </c>
      <c r="K864" t="inlineStr">
        <is>
          <t>Josh</t>
        </is>
      </c>
      <c r="L864" s="4"/>
      <c r="M864" s="4">
        <v>46134.732569444444</v>
      </c>
      <c r="N864"/>
      <c r="O864">
        <v>6048</v>
      </c>
      <c r="P864" s="4"/>
      <c r="Q864" s="4"/>
      <c r="R864"/>
      <c r="S864"/>
      <c r="T864" s="4"/>
      <c r="U864" s="4"/>
      <c r="V864"/>
      <c r="W864"/>
      <c r="X864"/>
      <c r="Y864" t="inlineStr">
        <is>
          <t>Pending Appointment</t>
        </is>
      </c>
      <c r="Z864" t="inlineStr">
        <is>
          <t>Hiring Later</t>
        </is>
      </c>
      <c r="AA864">
        <v>1</v>
      </c>
      <c r="AB864" t="inlineStr">
        <is>
          <t>No Appointment Made</t>
        </is>
      </c>
      <c r="AC864"/>
      <c r="AD864" t="inlineStr">
        <is>
          <t xml:space="preserve">1 engineer </t>
        </is>
      </c>
      <c r="AE864"/>
      <c r="AF864">
        <v>3000</v>
      </c>
      <c r="AG864" s="4"/>
      <c r="AH864" s="4"/>
      <c r="AI864"/>
      <c r="AJ864"/>
      <c r="AK864"/>
      <c r="AL864"/>
      <c r="AM864"/>
      <c r="AN864"/>
      <c r="AO864"/>
      <c r="AP864" t="inlineStr">
        <is>
          <t>Once a year (25%)</t>
        </is>
      </c>
      <c r="AQ864"/>
      <c r="AR864"/>
      <c r="AS864" t="inlineStr">
        <is>
          <t>- Headcount: 1
- Hiring Job Details: 1 engineer
- Hiring Urgency: Hiring Later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864">
        <v>75</v>
      </c>
      <c r="AU864" t="inlineStr">
        <is>
          <t>0.75</t>
        </is>
      </c>
      <c r="AV864" t="inlineStr">
        <is>
          <t>15</t>
        </is>
      </c>
      <c r="AW864" t="inlineStr">
        <is>
          <t>0</t>
        </is>
      </c>
      <c r="AX864" t="inlineStr">
        <is>
          <t>Not Qualified</t>
        </is>
      </c>
      <c r="AY864" s="4"/>
      <c r="AZ864"/>
      <c r="BA864"/>
      <c r="BB864"/>
      <c r="BC864" t="inlineStr">
        <is>
          <t>- Headcount: 1
- Hiring Job Details: 1 engineer
- Hiring Urgency: Hiring Later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BD864" s="4">
        <v>46134.75005787037</v>
      </c>
      <c r="BE864"/>
      <c r="BF864"/>
      <c r="BG864" t="inlineStr">
        <is>
          <t>Reschedule</t>
        </is>
      </c>
      <c r="BH864" t="inlineStr">
        <is>
          <t>Fauziah Maharan</t>
        </is>
      </c>
      <c r="BI864"/>
      <c r="BJ864" s="4">
        <v>46144.753854166665</v>
      </c>
      <c r="BK864" s="4">
        <v>46087.43751157408</v>
      </c>
      <c r="BL864" t="inlineStr">
        <is>
          <t>0.0</t>
        </is>
      </c>
      <c r="BM864" t="inlineStr">
        <is>
          <t>0.0</t>
        </is>
      </c>
      <c r="BN864" t="inlineStr">
        <is>
          <t>View Company Page</t>
        </is>
      </c>
      <c r="BO864" s="4">
        <v>46087.48849537037</v>
      </c>
      <c r="BP864">
        <v>168405</v>
      </c>
      <c r="BQ864"/>
      <c r="BR864"/>
      <c r="BS864"/>
      <c r="BT864"/>
      <c r="BU864"/>
      <c r="BV864">
        <v>2722065</v>
      </c>
      <c r="BW864" t="inlineStr">
        <is>
          <t>Customer Inquiry</t>
        </is>
      </c>
      <c r="BX864"/>
      <c r="BY864"/>
      <c r="BZ864" s="4"/>
      <c r="CA864"/>
      <c r="CB864"/>
      <c r="CC864" s="4"/>
      <c r="CD864" t="inlineStr">
        <is>
          <t>20</t>
        </is>
      </c>
      <c r="CE864" t="inlineStr">
        <is>
          <t>0</t>
        </is>
      </c>
      <c r="CF864" t="inlineStr">
        <is>
          <t>Q2-W03</t>
        </is>
      </c>
      <c r="CG864"/>
      <c r="CH864"/>
      <c r="CI864"/>
      <c r="CJ864" t="inlineStr">
        <is>
          <t>No Paid</t>
        </is>
      </c>
      <c r="CK864" t="inlineStr">
        <is>
          <t>Not Eligible</t>
        </is>
      </c>
      <c r="CL864"/>
      <c r="CM864"/>
    </row>
    <row r="865" ht="25.5" customHeight="1">
      <c r="A865" t="inlineStr">
        <is>
          <t>192094</t>
        </is>
      </c>
      <c r="B865" s="2"/>
      <c r="C865"/>
      <c r="D865" s="3">
        <v>46134.73961805556</v>
      </c>
      <c r="E865" t="inlineStr">
        <is>
          <t>Q2-W03</t>
        </is>
      </c>
      <c r="F865" t="inlineStr">
        <is>
          <t>Xin Hui</t>
        </is>
      </c>
      <c r="G865" t="inlineStr">
        <is>
          <t>Customer</t>
        </is>
      </c>
      <c r="H865" s="2" t="str">
        <f>=HYPERLINK("https://upbox.ajobthing.my/customer/192094", "https://upbox.ajobthing.my/customer/192094")</f>
        <v>https://upbox.ajobthing.my/customer/192094</v>
      </c>
      <c r="I865" t="inlineStr">
        <is>
          <t>Goldreeds Associates Sdn Bhd</t>
        </is>
      </c>
      <c r="J865" t="inlineStr">
        <is>
          <t>Dolphin</t>
        </is>
      </c>
      <c r="K865" t="inlineStr">
        <is>
          <t>Xin Hui</t>
        </is>
      </c>
      <c r="L865" s="4"/>
      <c r="M865" s="4">
        <v>46134.7400462963</v>
      </c>
      <c r="N865"/>
      <c r="O865">
        <v>3888</v>
      </c>
      <c r="P865" s="4"/>
      <c r="Q865" s="4">
        <v>45812.666655092595</v>
      </c>
      <c r="R865"/>
      <c r="S865">
        <v>1188</v>
      </c>
      <c r="T865" s="4">
        <v>45812.666655092595</v>
      </c>
      <c r="U865" s="4"/>
      <c r="V865"/>
      <c r="W865">
        <v>1188</v>
      </c>
      <c r="X865"/>
      <c r="Y865" t="inlineStr">
        <is>
          <t>Pending Appointment</t>
        </is>
      </c>
      <c r="Z865" t="inlineStr">
        <is>
          <t>Hiring Now</t>
        </is>
      </c>
      <c r="AA865">
        <v>1</v>
      </c>
      <c r="AB865" t="inlineStr">
        <is>
          <t>No Appointment Made</t>
        </is>
      </c>
      <c r="AC865"/>
      <c r="AD865" t="inlineStr">
        <is>
          <t xml:space="preserve">interior designer </t>
        </is>
      </c>
      <c r="AE865"/>
      <c r="AF865"/>
      <c r="AG865" s="4"/>
      <c r="AH865" s="4"/>
      <c r="AI865"/>
      <c r="AJ865"/>
      <c r="AK865" t="inlineStr">
        <is>
          <t>No, I don't need at all</t>
        </is>
      </c>
      <c r="AL865"/>
      <c r="AM865" t="inlineStr">
        <is>
          <t>No, I don't need at all</t>
        </is>
      </c>
      <c r="AN865"/>
      <c r="AO865" t="inlineStr">
        <is>
          <t>No, I don't need at all</t>
        </is>
      </c>
      <c r="AP865" t="inlineStr">
        <is>
          <t>Once a year (25%)</t>
        </is>
      </c>
      <c r="AQ865"/>
      <c r="AR865"/>
      <c r="AS865" t="inlineStr">
        <is>
          <t>- Headcount: 1
- Hiring Job Details: interior designer
- Hiring Urgency: Hiring Now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a year (25%)
- External job portal: Not available</t>
        </is>
      </c>
      <c r="AT865">
        <v>75</v>
      </c>
      <c r="AU865" t="inlineStr">
        <is>
          <t>0.75</t>
        </is>
      </c>
      <c r="AV865" t="inlineStr">
        <is>
          <t>5</t>
        </is>
      </c>
      <c r="AW865" t="inlineStr">
        <is>
          <t>0</t>
        </is>
      </c>
      <c r="AX865" t="inlineStr">
        <is>
          <t>Not Qualified</t>
        </is>
      </c>
      <c r="AY865" s="4"/>
      <c r="AZ865"/>
      <c r="BA865"/>
      <c r="BB865"/>
      <c r="BC865" t="inlineStr">
        <is>
          <t>Busy , decision pending</t>
        </is>
      </c>
      <c r="BD865" s="4">
        <v>46141.64262731482</v>
      </c>
      <c r="BE865" t="inlineStr">
        <is>
          <t>paid</t>
        </is>
      </c>
      <c r="BF865"/>
      <c r="BG865" t="inlineStr">
        <is>
          <t>Reschedule</t>
        </is>
      </c>
      <c r="BH865" t="inlineStr">
        <is>
          <t>Yee Hang</t>
        </is>
      </c>
      <c r="BI865" t="inlineStr">
        <is>
          <t>Architecture / Interior Design</t>
        </is>
      </c>
      <c r="BJ865" s="4">
        <v>46144.752546296295</v>
      </c>
      <c r="BK865" s="4">
        <v>45811.42626157407</v>
      </c>
      <c r="BL865" t="inlineStr">
        <is>
          <t>1188.0</t>
        </is>
      </c>
      <c r="BM865" t="inlineStr">
        <is>
          <t>0.0</t>
        </is>
      </c>
      <c r="BN865" t="inlineStr">
        <is>
          <t>View AI Candidate Search</t>
        </is>
      </c>
      <c r="BO865" s="4">
        <v>45951.439375</v>
      </c>
      <c r="BP865">
        <v>168411</v>
      </c>
      <c r="BQ865">
        <v>79823</v>
      </c>
      <c r="BR865" t="inlineStr">
        <is>
          <t>Online</t>
        </is>
      </c>
      <c r="BS865"/>
      <c r="BT865">
        <v>79823</v>
      </c>
      <c r="BU865"/>
      <c r="BV865">
        <v>2735616</v>
      </c>
      <c r="BW865" t="inlineStr">
        <is>
          <t>Follow Up : Decision Pending</t>
        </is>
      </c>
      <c r="BX865"/>
      <c r="BY865"/>
      <c r="BZ865" s="4"/>
      <c r="CA865"/>
      <c r="CB865"/>
      <c r="CC865" s="4"/>
      <c r="CD865" t="inlineStr">
        <is>
          <t>5</t>
        </is>
      </c>
      <c r="CE865" t="inlineStr">
        <is>
          <t>0</t>
        </is>
      </c>
      <c r="CF865" t="inlineStr">
        <is>
          <t>Q2-W03</t>
        </is>
      </c>
      <c r="CG865"/>
      <c r="CH865"/>
      <c r="CI865"/>
      <c r="CJ865" t="inlineStr">
        <is>
          <t>Paid</t>
        </is>
      </c>
      <c r="CK865" t="inlineStr">
        <is>
          <t>Not Eligible</t>
        </is>
      </c>
      <c r="CL865"/>
      <c r="CM865"/>
    </row>
    <row r="866" ht="25.5" customHeight="1">
      <c r="A866" t="inlineStr">
        <is>
          <t>25699</t>
        </is>
      </c>
      <c r="B866" s="2"/>
      <c r="C866"/>
      <c r="D866" s="3">
        <v>46134.74505787037</v>
      </c>
      <c r="E866" t="inlineStr">
        <is>
          <t>Q2-W03</t>
        </is>
      </c>
      <c r="F866" t="inlineStr">
        <is>
          <t>Jia Hui</t>
        </is>
      </c>
      <c r="G866" t="inlineStr">
        <is>
          <t>Customer</t>
        </is>
      </c>
      <c r="H866" s="2" t="str">
        <f>=HYPERLINK("https://upbox.ajobthing.my/customer/25699", "https://upbox.ajobthing.my/customer/25699")</f>
        <v>https://upbox.ajobthing.my/customer/25699</v>
      </c>
      <c r="I866" t="inlineStr">
        <is>
          <t>Ketcotec (M) Sdn. Bhd.</t>
        </is>
      </c>
      <c r="J866" t="inlineStr">
        <is>
          <t>Dolphin</t>
        </is>
      </c>
      <c r="K866" t="inlineStr">
        <is>
          <t>Jia Hui</t>
        </is>
      </c>
      <c r="L866" s="4"/>
      <c r="M866" s="4">
        <v>46134.745844907404</v>
      </c>
      <c r="N866"/>
      <c r="O866">
        <v>6048</v>
      </c>
      <c r="P866" s="4"/>
      <c r="Q866" s="4">
        <v>42689.54451388889</v>
      </c>
      <c r="R866"/>
      <c r="S866">
        <v>15.9</v>
      </c>
      <c r="T866" s="4">
        <v>42689.54451388889</v>
      </c>
      <c r="U866" s="4"/>
      <c r="V866"/>
      <c r="W866">
        <v>15.9</v>
      </c>
      <c r="X866"/>
      <c r="Y866" t="inlineStr">
        <is>
          <t>Pending Appointment</t>
        </is>
      </c>
      <c r="Z866" t="inlineStr">
        <is>
          <t>Hiring Now</t>
        </is>
      </c>
      <c r="AA866">
        <v>2</v>
      </c>
      <c r="AB866" t="inlineStr">
        <is>
          <t>No Appointment Made</t>
        </is>
      </c>
      <c r="AC866"/>
      <c r="AD866" t="inlineStr">
        <is>
          <t>1 admin, 1 operation</t>
        </is>
      </c>
      <c r="AE866"/>
      <c r="AF866">
        <v>500</v>
      </c>
      <c r="AG866" s="4"/>
      <c r="AH866" s="4"/>
      <c r="AI866"/>
      <c r="AJ866"/>
      <c r="AK866" t="inlineStr">
        <is>
          <t>No, but I want in future</t>
        </is>
      </c>
      <c r="AL866"/>
      <c r="AM866"/>
      <c r="AN866"/>
      <c r="AO866"/>
      <c r="AP866" t="inlineStr">
        <is>
          <t>Once a year (25%)</t>
        </is>
      </c>
      <c r="AQ866"/>
      <c r="AR866"/>
      <c r="AS866" t="inlineStr">
        <is>
          <t>- Headcount: 2
- Hiring Job Details: 1 admin, 1 operation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is>
      </c>
      <c r="AT866">
        <v>75</v>
      </c>
      <c r="AU866" t="inlineStr">
        <is>
          <t>0.75</t>
        </is>
      </c>
      <c r="AV866" t="inlineStr">
        <is>
          <t>15</t>
        </is>
      </c>
      <c r="AW866" t="inlineStr">
        <is>
          <t>0</t>
        </is>
      </c>
      <c r="AX866" t="inlineStr">
        <is>
          <t>Not Qualified</t>
        </is>
      </c>
      <c r="AY866" s="4"/>
      <c r="AZ866"/>
      <c r="BA866"/>
      <c r="BB866"/>
      <c r="BC866" t="inlineStr">
        <is>
          <t>HR PIC: Ms Moo, pending decision on the job packages</t>
        </is>
      </c>
      <c r="BD866" s="4">
        <v>46136.63358796296</v>
      </c>
      <c r="BE866" t="inlineStr">
        <is>
          <t>paid</t>
        </is>
      </c>
      <c r="BF866"/>
      <c r="BG866" t="inlineStr">
        <is>
          <t>Reschedule</t>
        </is>
      </c>
      <c r="BH866" t="inlineStr">
        <is>
          <t>Reagen</t>
        </is>
      </c>
      <c r="BI866" t="inlineStr">
        <is>
          <t>General / Wholesale Trading</t>
        </is>
      </c>
      <c r="BJ866" s="4">
        <v>46144.75449074074</v>
      </c>
      <c r="BK866" s="4">
        <v>42562.75077546296</v>
      </c>
      <c r="BL866" t="inlineStr">
        <is>
          <t>0.0</t>
        </is>
      </c>
      <c r="BM866" t="inlineStr">
        <is>
          <t>1200.0</t>
        </is>
      </c>
      <c r="BN866"/>
      <c r="BO866" s="4"/>
      <c r="BP866">
        <v>168414</v>
      </c>
      <c r="BQ866">
        <v>4525</v>
      </c>
      <c r="BR866" t="inlineStr">
        <is>
          <t>Online</t>
        </is>
      </c>
      <c r="BS866" t="inlineStr">
        <is>
          <t>WhatsApp Application Mass Recruitment Campaign (1 week)
- Social Media Marketing
- 200 WhatsApp Application Join WhatsApp Group
* Payment before 25.2.2022*</t>
        </is>
      </c>
      <c r="BT866">
        <v>4525</v>
      </c>
      <c r="BU866"/>
      <c r="BV866">
        <v>2726700</v>
      </c>
      <c r="BW866" t="inlineStr">
        <is>
          <t>Follow Up : Decision Pending</t>
        </is>
      </c>
      <c r="BX866"/>
      <c r="BY866"/>
      <c r="BZ866" s="4"/>
      <c r="CA866"/>
      <c r="CB866"/>
      <c r="CC866" s="4"/>
      <c r="CD866" t="inlineStr">
        <is>
          <t>20</t>
        </is>
      </c>
      <c r="CE866" t="inlineStr">
        <is>
          <t>0</t>
        </is>
      </c>
      <c r="CF866" t="inlineStr">
        <is>
          <t>Q2-W03</t>
        </is>
      </c>
      <c r="CG866"/>
      <c r="CH866"/>
      <c r="CI866"/>
      <c r="CJ866" t="inlineStr">
        <is>
          <t>Paid</t>
        </is>
      </c>
      <c r="CK866" t="inlineStr">
        <is>
          <t>Not Eligible</t>
        </is>
      </c>
      <c r="CL866"/>
      <c r="CM866"/>
    </row>
    <row r="867" ht="25.5" customHeight="1">
      <c r="A867" t="inlineStr">
        <is>
          <t>116736</t>
        </is>
      </c>
      <c r="B867" s="2"/>
      <c r="C867"/>
      <c r="D867" s="3">
        <v>46134.74585648148</v>
      </c>
      <c r="E867" t="inlineStr">
        <is>
          <t>Q2-W03</t>
        </is>
      </c>
      <c r="F867" t="inlineStr">
        <is>
          <t>Keegan</t>
        </is>
      </c>
      <c r="G867" t="inlineStr">
        <is>
          <t>Customer</t>
        </is>
      </c>
      <c r="H867" s="2" t="str">
        <f>=HYPERLINK("https://upbox.ajobthing.my/customer/116736", "https://upbox.ajobthing.my/customer/116736")</f>
        <v>https://upbox.ajobthing.my/customer/116736</v>
      </c>
      <c r="I867" t="inlineStr">
        <is>
          <t>Mainsource Management Sdn Bhd</t>
        </is>
      </c>
      <c r="J867" t="inlineStr">
        <is>
          <t>Dolphin</t>
        </is>
      </c>
      <c r="K867" t="inlineStr">
        <is>
          <t>Keegan</t>
        </is>
      </c>
      <c r="L867" s="4"/>
      <c r="M867" s="4">
        <v>46134.74592592593</v>
      </c>
      <c r="N867"/>
      <c r="O867">
        <v>1296</v>
      </c>
      <c r="P867" s="4"/>
      <c r="Q867" s="4">
        <v>46135.40751157407</v>
      </c>
      <c r="R867"/>
      <c r="S867">
        <v>864</v>
      </c>
      <c r="T867" s="4">
        <v>45939.47420138889</v>
      </c>
      <c r="U867" s="4"/>
      <c r="V867"/>
      <c r="W867">
        <v>864</v>
      </c>
      <c r="X867"/>
      <c r="Y867" t="inlineStr">
        <is>
          <t>Pending Appointment</t>
        </is>
      </c>
      <c r="Z867" t="inlineStr">
        <is>
          <t>Hiring Now</t>
        </is>
      </c>
      <c r="AA867">
        <v>1</v>
      </c>
      <c r="AB867" t="inlineStr">
        <is>
          <t>No Appointment Made</t>
        </is>
      </c>
      <c r="AC867"/>
      <c r="AD867" t="inlineStr">
        <is>
          <t xml:space="preserve">1. Account </t>
        </is>
      </c>
      <c r="AE867"/>
      <c r="AF867"/>
      <c r="AG867" s="4"/>
      <c r="AH867" s="4"/>
      <c r="AI867"/>
      <c r="AJ867">
        <v>1</v>
      </c>
      <c r="AK867" t="inlineStr">
        <is>
          <t>No, I don't need at all</t>
        </is>
      </c>
      <c r="AL867">
        <v>0</v>
      </c>
      <c r="AM867" t="inlineStr">
        <is>
          <t>No, I don't need at all</t>
        </is>
      </c>
      <c r="AN867"/>
      <c r="AO867" t="inlineStr">
        <is>
          <t>No, I don't need at all</t>
        </is>
      </c>
      <c r="AP867" t="inlineStr">
        <is>
          <t>Once per quarter (75%)</t>
        </is>
      </c>
      <c r="AQ867"/>
      <c r="AR867" t="inlineStr">
        <is>
          <t>Did not use any job portal</t>
        </is>
      </c>
      <c r="AS867" t="inlineStr">
        <is>
          <t>- Headcount: 1
- Hiring Job Details: 1 Account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
- Hiring Urgency: Hiring Now</t>
        </is>
      </c>
      <c r="AT867">
        <v>75</v>
      </c>
      <c r="AU867" t="inlineStr">
        <is>
          <t>0.75</t>
        </is>
      </c>
      <c r="AV867" t="inlineStr">
        <is>
          <t>5</t>
        </is>
      </c>
      <c r="AW867" t="inlineStr">
        <is>
          <t>0</t>
        </is>
      </c>
      <c r="AX867" t="inlineStr">
        <is>
          <t>Not Qualified</t>
        </is>
      </c>
      <c r="AY867" s="4"/>
      <c r="AZ867"/>
      <c r="BA867"/>
      <c r="BB867"/>
      <c r="BC867" t="inlineStr">
        <is>
          <t>Payment pending status f/up</t>
        </is>
      </c>
      <c r="BD867" s="4">
        <v>46139.444340277776</v>
      </c>
      <c r="BE867" t="inlineStr">
        <is>
          <t>pending</t>
        </is>
      </c>
      <c r="BF867"/>
      <c r="BG867" t="inlineStr">
        <is>
          <t>Reschedule</t>
        </is>
      </c>
      <c r="BH867" t="inlineStr">
        <is>
          <t>Edward Hoo</t>
        </is>
      </c>
      <c r="BI867" t="inlineStr">
        <is>
          <t>Business / Mgmt Consulting</t>
        </is>
      </c>
      <c r="BJ867" s="4">
        <v>46144.75016203704</v>
      </c>
      <c r="BK867" s="4">
        <v>43537.69998842593</v>
      </c>
      <c r="BL867" t="inlineStr">
        <is>
          <t>864.0</t>
        </is>
      </c>
      <c r="BM867" t="inlineStr">
        <is>
          <t>1200.0</t>
        </is>
      </c>
      <c r="BN867" t="inlineStr">
        <is>
          <t>View Candidate Search Page</t>
        </is>
      </c>
      <c r="BO867" s="4">
        <v>45993.47895833333</v>
      </c>
      <c r="BP867">
        <v>168415</v>
      </c>
      <c r="BQ867">
        <v>123576</v>
      </c>
      <c r="BR867" t="inlineStr">
        <is>
          <t>Proforma</t>
        </is>
      </c>
      <c r="BS867" t="inlineStr">
        <is>
          <t>AI Ala Carte (Jan 26)</t>
        </is>
      </c>
      <c r="BT867">
        <v>83139</v>
      </c>
      <c r="BU867"/>
      <c r="BV867">
        <v>2728422</v>
      </c>
      <c r="BW867" t="inlineStr">
        <is>
          <t>Follow Up : Payment Pending</t>
        </is>
      </c>
      <c r="BX867"/>
      <c r="BY867"/>
      <c r="BZ867" s="4"/>
      <c r="CA867"/>
      <c r="CB867"/>
      <c r="CC867" s="4"/>
      <c r="CD867" t="inlineStr">
        <is>
          <t>5</t>
        </is>
      </c>
      <c r="CE867" t="inlineStr">
        <is>
          <t>0</t>
        </is>
      </c>
      <c r="CF867" t="inlineStr">
        <is>
          <t>Q2-W03</t>
        </is>
      </c>
      <c r="CG867" t="inlineStr">
        <is>
          <t>Q2-W03</t>
        </is>
      </c>
      <c r="CH867"/>
      <c r="CI867"/>
      <c r="CJ867" t="inlineStr">
        <is>
          <t>Paid</t>
        </is>
      </c>
      <c r="CK867" t="inlineStr">
        <is>
          <t>Not Eligible</t>
        </is>
      </c>
      <c r="CL867"/>
      <c r="CM867"/>
    </row>
    <row r="868" ht="25.5" customHeight="1">
      <c r="A868" t="inlineStr">
        <is>
          <t>180821</t>
        </is>
      </c>
      <c r="B868" s="2"/>
      <c r="C868"/>
      <c r="D868" s="3">
        <v>46134.74673611111</v>
      </c>
      <c r="E868" t="inlineStr">
        <is>
          <t>Q2-W03</t>
        </is>
      </c>
      <c r="F868" t="inlineStr">
        <is>
          <t>Derek Lim</t>
        </is>
      </c>
      <c r="G868" t="inlineStr">
        <is>
          <t>Customer</t>
        </is>
      </c>
      <c r="H868" s="2" t="str">
        <f>=HYPERLINK("https://upbox.ajobthing.my/customer/180821", "https://upbox.ajobthing.my/customer/180821")</f>
        <v>https://upbox.ajobthing.my/customer/180821</v>
      </c>
      <c r="I868" t="inlineStr">
        <is>
          <t>Rentalworks Sdn Bhd</t>
        </is>
      </c>
      <c r="J868" t="inlineStr">
        <is>
          <t>Dolphin</t>
        </is>
      </c>
      <c r="K868" t="inlineStr">
        <is>
          <t>Derek Lim</t>
        </is>
      </c>
      <c r="L868" s="4"/>
      <c r="M868" s="4">
        <v>46134.74710648148</v>
      </c>
      <c r="N868"/>
      <c r="O868">
        <v>6048</v>
      </c>
      <c r="P868" s="4"/>
      <c r="Q868" s="4">
        <v>45546.49704861111</v>
      </c>
      <c r="R868"/>
      <c r="S868">
        <v>2916</v>
      </c>
      <c r="T868" s="4">
        <v>45546.49704861111</v>
      </c>
      <c r="U868" s="4"/>
      <c r="V868"/>
      <c r="W868">
        <v>2916</v>
      </c>
      <c r="X868"/>
      <c r="Y868" t="inlineStr">
        <is>
          <t>Pending Appointment</t>
        </is>
      </c>
      <c r="Z868" t="inlineStr">
        <is>
          <t>Hiring Now</t>
        </is>
      </c>
      <c r="AA868">
        <v>3</v>
      </c>
      <c r="AB868" t="inlineStr">
        <is>
          <t>No Appointment Made</t>
        </is>
      </c>
      <c r="AC868"/>
      <c r="AD868" t="inlineStr">
        <is>
          <t>operation - 1, support - 1, hr manager - 1</t>
        </is>
      </c>
      <c r="AE868"/>
      <c r="AF868">
        <v>1000</v>
      </c>
      <c r="AG868" s="4"/>
      <c r="AH868" s="4"/>
      <c r="AI868">
        <v>2000</v>
      </c>
      <c r="AJ868">
        <v>2</v>
      </c>
      <c r="AK868" t="inlineStr">
        <is>
          <t>No, but I want in future</t>
        </is>
      </c>
      <c r="AL868">
        <v>0</v>
      </c>
      <c r="AM868" t="inlineStr">
        <is>
          <t>No, I don't need at all</t>
        </is>
      </c>
      <c r="AN868"/>
      <c r="AO868" t="inlineStr">
        <is>
          <t>No, but I want in future</t>
        </is>
      </c>
      <c r="AP868" t="inlineStr">
        <is>
          <t>Once a year (25%)</t>
        </is>
      </c>
      <c r="AQ868">
        <v>3</v>
      </c>
      <c r="AR868" t="inlineStr">
        <is>
          <t>Linkedin (Paid)</t>
        </is>
      </c>
      <c r="AS868" t="inlineStr">
        <is>
          <t>- Headcount: 3
- Hiring Job Details: 1 operation, 1 support, 1 hr manager
- Hiring Urgency: Hiring Now
- Number of outlets: 2
- Have recruiter team: No, but want in future
- Number of recruiter in company: 0
- Have ATS system: No, don't need at all
- Have career website: No, but want in future
- Current hiring budget: RM1,000
- Whole year budget: RM2,000.00
- Whole year number of vacancies: 3
- Hiring frequency: Once a year (25%)
- External job portal: Linkedin (Paid)</t>
        </is>
      </c>
      <c r="AT868">
        <v>115</v>
      </c>
      <c r="AU868" t="inlineStr">
        <is>
          <t>1.15</t>
        </is>
      </c>
      <c r="AV868" t="inlineStr">
        <is>
          <t>15</t>
        </is>
      </c>
      <c r="AW868" t="inlineStr">
        <is>
          <t>0</t>
        </is>
      </c>
      <c r="AX868" t="inlineStr">
        <is>
          <t>Not Qualified</t>
        </is>
      </c>
      <c r="AY868" s="4"/>
      <c r="AZ868"/>
      <c r="BA868"/>
      <c r="BB868"/>
      <c r="BC868" t="inlineStr">
        <is>
          <t>NO ANSWER, WHATSAPP</t>
        </is>
      </c>
      <c r="BD868" s="4">
        <v>46141.58719907407</v>
      </c>
      <c r="BE868" t="inlineStr">
        <is>
          <t>paid</t>
        </is>
      </c>
      <c r="BF868"/>
      <c r="BG868" t="inlineStr">
        <is>
          <t>Reschedule</t>
        </is>
      </c>
      <c r="BH868" t="inlineStr">
        <is>
          <t>Edward Hoo</t>
        </is>
      </c>
      <c r="BI868" t="inlineStr">
        <is>
          <t>IT / Hardware</t>
        </is>
      </c>
      <c r="BJ868" s="4">
        <v>46144.75184027778</v>
      </c>
      <c r="BK868" s="4">
        <v>45496.634247685186</v>
      </c>
      <c r="BL868" t="inlineStr">
        <is>
          <t>0.0</t>
        </is>
      </c>
      <c r="BM868" t="inlineStr">
        <is>
          <t>0.0</t>
        </is>
      </c>
      <c r="BN868" t="inlineStr">
        <is>
          <t>View Jobmanager Page</t>
        </is>
      </c>
      <c r="BO868" s="4">
        <v>45994.684432870374</v>
      </c>
      <c r="BP868">
        <v>168416</v>
      </c>
      <c r="BQ868">
        <v>72930</v>
      </c>
      <c r="BR868" t="inlineStr">
        <is>
          <t>Online</t>
        </is>
      </c>
      <c r="BS868"/>
      <c r="BT868">
        <v>72930</v>
      </c>
      <c r="BU868"/>
      <c r="BV868">
        <v>2735188</v>
      </c>
      <c r="BW868" t="inlineStr">
        <is>
          <t>No Answer : Voicemail - WA sent to customer</t>
        </is>
      </c>
      <c r="BX868"/>
      <c r="BY868"/>
      <c r="BZ868" s="4"/>
      <c r="CA868"/>
      <c r="CB868"/>
      <c r="CC868" s="4"/>
      <c r="CD868" t="inlineStr">
        <is>
          <t>20</t>
        </is>
      </c>
      <c r="CE868" t="inlineStr">
        <is>
          <t>0</t>
        </is>
      </c>
      <c r="CF868" t="inlineStr">
        <is>
          <t>Q2-W03</t>
        </is>
      </c>
      <c r="CG868"/>
      <c r="CH868"/>
      <c r="CI868"/>
      <c r="CJ868" t="inlineStr">
        <is>
          <t>Paid</t>
        </is>
      </c>
      <c r="CK868" t="inlineStr">
        <is>
          <t>Not Eligible</t>
        </is>
      </c>
      <c r="CL868"/>
      <c r="CM868"/>
    </row>
    <row r="869" ht="25.5" customHeight="1">
      <c r="A869" t="inlineStr">
        <is>
          <t>203556</t>
        </is>
      </c>
      <c r="B869" s="2"/>
      <c r="C869"/>
      <c r="D869" s="3">
        <v>46135.38414351852</v>
      </c>
      <c r="E869" t="inlineStr">
        <is>
          <t>Q2-W03</t>
        </is>
      </c>
      <c r="F869" t="inlineStr">
        <is>
          <t>Carmen</t>
        </is>
      </c>
      <c r="G869" t="inlineStr">
        <is>
          <t>Customer</t>
        </is>
      </c>
      <c r="H869" s="2" t="str">
        <f>=HYPERLINK("https://upbox.ajobthing.my/customer/203556", "https://upbox.ajobthing.my/customer/203556")</f>
        <v>https://upbox.ajobthing.my/customer/203556</v>
      </c>
      <c r="I869" t="inlineStr">
        <is>
          <t>Kin Health Century Sdn Bhd</t>
        </is>
      </c>
      <c r="J869" t="inlineStr">
        <is>
          <t>Dolphin</t>
        </is>
      </c>
      <c r="K869" t="inlineStr">
        <is>
          <t>Carmen</t>
        </is>
      </c>
      <c r="L869" s="4"/>
      <c r="M869" s="4">
        <v>46135.384305555555</v>
      </c>
      <c r="N869"/>
      <c r="O869">
        <v>3888</v>
      </c>
      <c r="P869" s="4"/>
      <c r="Q869" s="4">
        <v>46142.62321759259</v>
      </c>
      <c r="R869"/>
      <c r="S869">
        <v>3888</v>
      </c>
      <c r="T869" s="4">
        <v>46142.62321759259</v>
      </c>
      <c r="U869" s="4"/>
      <c r="V869"/>
      <c r="W869">
        <v>3888</v>
      </c>
      <c r="X869"/>
      <c r="Y869" t="inlineStr">
        <is>
          <t>Pending Appointment</t>
        </is>
      </c>
      <c r="Z869" t="inlineStr">
        <is>
          <t>Hiring Now</t>
        </is>
      </c>
      <c r="AA869">
        <v>1</v>
      </c>
      <c r="AB869" t="inlineStr">
        <is>
          <t>No Appointment Made</t>
        </is>
      </c>
      <c r="AC869"/>
      <c r="AD869" t="inlineStr">
        <is>
          <t>1 operation manager</t>
        </is>
      </c>
      <c r="AE869"/>
      <c r="AF869">
        <v>1000</v>
      </c>
      <c r="AG869" s="4"/>
      <c r="AH869" s="4"/>
      <c r="AI869"/>
      <c r="AJ869"/>
      <c r="AK869"/>
      <c r="AL869"/>
      <c r="AM869"/>
      <c r="AN869"/>
      <c r="AO869"/>
      <c r="AP869" t="inlineStr">
        <is>
          <t>Once a year (25%)</t>
        </is>
      </c>
      <c r="AQ869"/>
      <c r="AR869"/>
      <c r="AS869" t="inlineStr">
        <is>
          <t>- Headcount: 1
- Hiring Job Details: 1 operation manager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869">
        <v>65</v>
      </c>
      <c r="AU869" t="inlineStr">
        <is>
          <t>0.65</t>
        </is>
      </c>
      <c r="AV869" t="inlineStr">
        <is>
          <t>15</t>
        </is>
      </c>
      <c r="AW869" t="inlineStr">
        <is>
          <t>0</t>
        </is>
      </c>
      <c r="AX869" t="inlineStr">
        <is>
          <t>Not Qualified</t>
        </is>
      </c>
      <c r="AY869" s="4"/>
      <c r="AZ869"/>
      <c r="BA869"/>
      <c r="BB869"/>
      <c r="BC869" t="inlineStr">
        <is>
          <t>she done</t>
        </is>
      </c>
      <c r="BD869" s="4">
        <v>46142.620891203704</v>
      </c>
      <c r="BE869" t="inlineStr">
        <is>
          <t>paid</t>
        </is>
      </c>
      <c r="BF869" t="inlineStr">
        <is>
          <t>Q2-W04</t>
        </is>
      </c>
      <c r="BG869" t="inlineStr">
        <is>
          <t>Reschedule</t>
        </is>
      </c>
      <c r="BH869" t="inlineStr">
        <is>
          <t>Reagen</t>
        </is>
      </c>
      <c r="BI869"/>
      <c r="BJ869" s="4">
        <v>46144.75435185185</v>
      </c>
      <c r="BK869" s="4">
        <v>46135.38109953704</v>
      </c>
      <c r="BL869" t="inlineStr">
        <is>
          <t>3888.0</t>
        </is>
      </c>
      <c r="BM869" t="inlineStr">
        <is>
          <t>0.0</t>
        </is>
      </c>
      <c r="BN869" t="inlineStr">
        <is>
          <t>View Company Page</t>
        </is>
      </c>
      <c r="BO869" s="4">
        <v>46136.14523148148</v>
      </c>
      <c r="BP869">
        <v>168423</v>
      </c>
      <c r="BQ869">
        <v>95203</v>
      </c>
      <c r="BR869" t="inlineStr">
        <is>
          <t>Online</t>
        </is>
      </c>
      <c r="BS869"/>
      <c r="BT869">
        <v>95203</v>
      </c>
      <c r="BU869"/>
      <c r="BV869">
        <v>2737816</v>
      </c>
      <c r="BW869" t="inlineStr">
        <is>
          <t>Follow Up : Win - Customer Paid</t>
        </is>
      </c>
      <c r="BX869">
        <v>6</v>
      </c>
      <c r="BY869">
        <v>6</v>
      </c>
      <c r="BZ869" s="4"/>
      <c r="CA869">
        <v>60</v>
      </c>
      <c r="CB869">
        <v>60</v>
      </c>
      <c r="CC869" s="4"/>
      <c r="CD869" t="inlineStr">
        <is>
          <t>20</t>
        </is>
      </c>
      <c r="CE869" t="inlineStr">
        <is>
          <t>0</t>
        </is>
      </c>
      <c r="CF869" t="inlineStr">
        <is>
          <t>Q2-W03</t>
        </is>
      </c>
      <c r="CG869" t="inlineStr">
        <is>
          <t>Q2-W04</t>
        </is>
      </c>
      <c r="CH869" t="inlineStr">
        <is>
          <t>Q2-W04</t>
        </is>
      </c>
      <c r="CI869"/>
      <c r="CJ869" t="inlineStr">
        <is>
          <t>Paid</t>
        </is>
      </c>
      <c r="CK869" t="inlineStr">
        <is>
          <t>Not Eligible</t>
        </is>
      </c>
      <c r="CL869"/>
      <c r="CM869"/>
    </row>
    <row r="870" ht="25.5" customHeight="1">
      <c r="A870" t="inlineStr">
        <is>
          <t>140770</t>
        </is>
      </c>
      <c r="B870" s="2"/>
      <c r="C870"/>
      <c r="D870" s="3">
        <v>46135.402604166666</v>
      </c>
      <c r="E870" t="inlineStr">
        <is>
          <t>Q2-W03</t>
        </is>
      </c>
      <c r="F870" t="inlineStr">
        <is>
          <t>Keegan</t>
        </is>
      </c>
      <c r="G870" t="inlineStr">
        <is>
          <t>Customer</t>
        </is>
      </c>
      <c r="H870" s="2" t="str">
        <f>=HYPERLINK("https://upbox.ajobthing.my/customer/140770", "https://upbox.ajobthing.my/customer/140770")</f>
        <v>https://upbox.ajobthing.my/customer/140770</v>
      </c>
      <c r="I870" t="inlineStr">
        <is>
          <t>Three C Technovation Sdn Bhd</t>
        </is>
      </c>
      <c r="J870" t="inlineStr">
        <is>
          <t>Dolphin</t>
        </is>
      </c>
      <c r="K870" t="inlineStr">
        <is>
          <t>Keegan</t>
        </is>
      </c>
      <c r="L870" s="4"/>
      <c r="M870" s="4">
        <v>46135.40295138889</v>
      </c>
      <c r="N870"/>
      <c r="O870">
        <v>3888</v>
      </c>
      <c r="P870" s="4"/>
      <c r="Q870" s="4"/>
      <c r="R870"/>
      <c r="S870"/>
      <c r="T870" s="4"/>
      <c r="U870" s="4"/>
      <c r="V870"/>
      <c r="W870"/>
      <c r="X870"/>
      <c r="Y870" t="inlineStr">
        <is>
          <t>Pending Appointment</t>
        </is>
      </c>
      <c r="Z870" t="inlineStr">
        <is>
          <t>Hiring Now</t>
        </is>
      </c>
      <c r="AA870">
        <v>1</v>
      </c>
      <c r="AB870" t="inlineStr">
        <is>
          <t>No Appointment Made</t>
        </is>
      </c>
      <c r="AC870"/>
      <c r="AD870" t="inlineStr">
        <is>
          <t>1. Technician</t>
        </is>
      </c>
      <c r="AE870"/>
      <c r="AF870"/>
      <c r="AG870" s="4"/>
      <c r="AH870" s="4"/>
      <c r="AI870"/>
      <c r="AJ870">
        <v>1</v>
      </c>
      <c r="AK870" t="inlineStr">
        <is>
          <t>No, I don't need at all</t>
        </is>
      </c>
      <c r="AL870">
        <v>0</v>
      </c>
      <c r="AM870" t="inlineStr">
        <is>
          <t>No, I don't need at all</t>
        </is>
      </c>
      <c r="AN870"/>
      <c r="AO870" t="inlineStr">
        <is>
          <t>No, I don't need at all</t>
        </is>
      </c>
      <c r="AP870" t="inlineStr">
        <is>
          <t>Once per quarter (75%)</t>
        </is>
      </c>
      <c r="AQ870"/>
      <c r="AR870" t="inlineStr">
        <is>
          <t>Did not use any job portal</t>
        </is>
      </c>
      <c r="AS870" t="inlineStr">
        <is>
          <t>- Headcount: 1
- Hiring Job Details: 1 Technician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870">
        <v>95</v>
      </c>
      <c r="AU870" t="inlineStr">
        <is>
          <t>0.95</t>
        </is>
      </c>
      <c r="AV870" t="inlineStr">
        <is>
          <t>5</t>
        </is>
      </c>
      <c r="AW870" t="inlineStr">
        <is>
          <t>0</t>
        </is>
      </c>
      <c r="AX870" t="inlineStr">
        <is>
          <t>Not Qualified</t>
        </is>
      </c>
      <c r="AY870" s="4"/>
      <c r="AZ870"/>
      <c r="BA870"/>
      <c r="BB870"/>
      <c r="BC870" t="inlineStr">
        <is>
          <t>- Headcount: 1
- Hiring Job Details: 1 Technician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870" s="4">
        <v>46135.416817129626</v>
      </c>
      <c r="BE870"/>
      <c r="BF870"/>
      <c r="BG870" t="inlineStr">
        <is>
          <t>Reschedule</t>
        </is>
      </c>
      <c r="BH870" t="inlineStr">
        <is>
          <t>Edward Hoo</t>
        </is>
      </c>
      <c r="BI870"/>
      <c r="BJ870" s="4">
        <v>46144.75067129629</v>
      </c>
      <c r="BK870" s="4">
        <v>44453.68003472222</v>
      </c>
      <c r="BL870" t="inlineStr">
        <is>
          <t>0.0</t>
        </is>
      </c>
      <c r="BM870" t="inlineStr">
        <is>
          <t>0.0</t>
        </is>
      </c>
      <c r="BN870" t="inlineStr">
        <is>
          <t>View Create Job Page</t>
        </is>
      </c>
      <c r="BO870" s="4">
        <v>44453.69069444444</v>
      </c>
      <c r="BP870">
        <v>168429</v>
      </c>
      <c r="BQ870"/>
      <c r="BR870"/>
      <c r="BS870"/>
      <c r="BT870"/>
      <c r="BU870"/>
      <c r="BV870">
        <v>2722333</v>
      </c>
      <c r="BW870" t="inlineStr">
        <is>
          <t>Customer Inquiry</t>
        </is>
      </c>
      <c r="BX870"/>
      <c r="BY870"/>
      <c r="BZ870" s="4"/>
      <c r="CA870"/>
      <c r="CB870"/>
      <c r="CC870" s="4"/>
      <c r="CD870" t="inlineStr">
        <is>
          <t>5</t>
        </is>
      </c>
      <c r="CE870" t="inlineStr">
        <is>
          <t>0</t>
        </is>
      </c>
      <c r="CF870" t="inlineStr">
        <is>
          <t>Q2-W03</t>
        </is>
      </c>
      <c r="CG870"/>
      <c r="CH870"/>
      <c r="CI870"/>
      <c r="CJ870" t="inlineStr">
        <is>
          <t>No Paid</t>
        </is>
      </c>
      <c r="CK870" t="inlineStr">
        <is>
          <t>Not Eligible</t>
        </is>
      </c>
      <c r="CL870"/>
      <c r="CM870"/>
    </row>
    <row r="871" ht="25.5" customHeight="1">
      <c r="A871" t="inlineStr">
        <is>
          <t>4308896</t>
        </is>
      </c>
      <c r="B871" s="2"/>
      <c r="C871"/>
      <c r="D871" s="3">
        <v>46135.405810185184</v>
      </c>
      <c r="E871" t="inlineStr">
        <is>
          <t>Q2-W03</t>
        </is>
      </c>
      <c r="F871" t="inlineStr">
        <is>
          <t>Josh</t>
        </is>
      </c>
      <c r="G871" t="inlineStr">
        <is>
          <t>Lead</t>
        </is>
      </c>
      <c r="H871" s="2" t="str">
        <f>=HYPERLINK("https://upbox.ajobthing.my/leads/4308896", "https://upbox.ajobthing.my/leads/4308896")</f>
        <v>https://upbox.ajobthing.my/leads/4308896</v>
      </c>
      <c r="I871" t="inlineStr">
        <is>
          <t>United BC Team Sdn Bhd</t>
        </is>
      </c>
      <c r="J871" t="inlineStr">
        <is>
          <t>Dolphin</t>
        </is>
      </c>
      <c r="K871" t="inlineStr">
        <is>
          <t>Josh</t>
        </is>
      </c>
      <c r="L871" s="4"/>
      <c r="M871" s="4">
        <v>46135.67091435185</v>
      </c>
      <c r="N871"/>
      <c r="O871">
        <v>6372</v>
      </c>
      <c r="P871" s="4"/>
      <c r="Q871" s="4"/>
      <c r="R871"/>
      <c r="S871"/>
      <c r="T871" s="4"/>
      <c r="U871" s="4"/>
      <c r="V871"/>
      <c r="W871"/>
      <c r="X871"/>
      <c r="Y871" t="inlineStr">
        <is>
          <t>Pending Appointment</t>
        </is>
      </c>
      <c r="Z871" t="inlineStr">
        <is>
          <t>Hiring Now</t>
        </is>
      </c>
      <c r="AA871">
        <v>2</v>
      </c>
      <c r="AB871" t="inlineStr">
        <is>
          <t>No Appointment Made</t>
        </is>
      </c>
      <c r="AC871"/>
      <c r="AD871" t="inlineStr">
        <is>
          <t xml:space="preserve">1 engineering, 1 designer </t>
        </is>
      </c>
      <c r="AE871"/>
      <c r="AF871">
        <v>1000</v>
      </c>
      <c r="AG871" s="4"/>
      <c r="AH871" s="4"/>
      <c r="AI871"/>
      <c r="AJ871"/>
      <c r="AK871" t="inlineStr">
        <is>
          <t>Yes, I have</t>
        </is>
      </c>
      <c r="AL871">
        <v>1</v>
      </c>
      <c r="AM871"/>
      <c r="AN871"/>
      <c r="AO871"/>
      <c r="AP871" t="inlineStr">
        <is>
          <t>Once a year (25%)</t>
        </is>
      </c>
      <c r="AQ871"/>
      <c r="AR871"/>
      <c r="AS871" t="inlineStr">
        <is>
          <t>- Headcount: 2
- Hiring Job Details: 1 engineering, 1 designer
- Number of outlets: N/A
- Have recruiter team: Yes
- Number of recruiter in company: 1
- Have ATS system: N/A
- Have career website: N/A
- Current hiring budget: RM1,000.00
- Whole year budget: N/A
- Whole year number of vacancies: N/A
- Hiring frequency: Once a year (25%)
- External job portal: N/A
- Hiring Urgency: Hiring Now</t>
        </is>
      </c>
      <c r="AT871">
        <v>95</v>
      </c>
      <c r="AU871" t="inlineStr">
        <is>
          <t>0.95</t>
        </is>
      </c>
      <c r="AV871" t="inlineStr">
        <is>
          <t>15</t>
        </is>
      </c>
      <c r="AW871" t="inlineStr">
        <is>
          <t>0</t>
        </is>
      </c>
      <c r="AX871" t="inlineStr">
        <is>
          <t>Not Qualified</t>
        </is>
      </c>
      <c r="AY871" s="4"/>
      <c r="AZ871"/>
      <c r="BA871"/>
      <c r="BB871"/>
      <c r="BC871"/>
      <c r="BD871" s="4"/>
      <c r="BE871"/>
      <c r="BF871"/>
      <c r="BG871" t="inlineStr">
        <is>
          <t>Reschedule</t>
        </is>
      </c>
      <c r="BH871" t="inlineStr">
        <is>
          <t>Fauziah Maharan</t>
        </is>
      </c>
      <c r="BI871"/>
      <c r="BJ871" s="4">
        <v>46144.75587962963</v>
      </c>
      <c r="BK871" s="4">
        <v>46133.47398148148</v>
      </c>
      <c r="BL871" t="inlineStr">
        <is>
          <t>0.0</t>
        </is>
      </c>
      <c r="BM871" t="inlineStr">
        <is>
          <t>4800.0</t>
        </is>
      </c>
      <c r="BN871"/>
      <c r="BO871" s="4"/>
      <c r="BP871">
        <v>168612</v>
      </c>
      <c r="BQ871"/>
      <c r="BR871"/>
      <c r="BS871"/>
      <c r="BT871"/>
      <c r="BU871"/>
      <c r="BV871"/>
      <c r="BW871"/>
      <c r="BX871"/>
      <c r="BY871"/>
      <c r="BZ871" s="4"/>
      <c r="CA871"/>
      <c r="CB871"/>
      <c r="CC871" s="4"/>
      <c r="CD871" t="inlineStr">
        <is>
          <t>20</t>
        </is>
      </c>
      <c r="CE871" t="inlineStr">
        <is>
          <t>0</t>
        </is>
      </c>
      <c r="CF871" t="inlineStr">
        <is>
          <t>Q2-W03</t>
        </is>
      </c>
      <c r="CG871"/>
      <c r="CH871"/>
      <c r="CI871"/>
      <c r="CJ871" t="inlineStr">
        <is>
          <t>No Paid</t>
        </is>
      </c>
      <c r="CK871" t="inlineStr">
        <is>
          <t>Not Eligible</t>
        </is>
      </c>
      <c r="CL871"/>
      <c r="CM871"/>
    </row>
    <row r="872" ht="25.5" customHeight="1">
      <c r="A872" t="inlineStr">
        <is>
          <t>4313976</t>
        </is>
      </c>
      <c r="B872" s="2"/>
      <c r="C872"/>
      <c r="D872" s="3">
        <v>46135.4137962963</v>
      </c>
      <c r="E872" t="inlineStr">
        <is>
          <t>Q2-W03</t>
        </is>
      </c>
      <c r="F872" t="inlineStr">
        <is>
          <t>Chia Yee</t>
        </is>
      </c>
      <c r="G872" t="inlineStr">
        <is>
          <t>Lead</t>
        </is>
      </c>
      <c r="H872" s="2" t="str">
        <f>=HYPERLINK("https://upbox.ajobthing.my/leads/4313976", "https://upbox.ajobthing.my/leads/4313976")</f>
        <v>https://upbox.ajobthing.my/leads/4313976</v>
      </c>
      <c r="I872" t="inlineStr">
        <is>
          <t>SFeng Sdn Bhd</t>
        </is>
      </c>
      <c r="J872" t="inlineStr">
        <is>
          <t>Dolphin</t>
        </is>
      </c>
      <c r="K872" t="inlineStr">
        <is>
          <t>Chia Yee</t>
        </is>
      </c>
      <c r="L872" s="4"/>
      <c r="M872" s="4">
        <v>46135.41452546296</v>
      </c>
      <c r="N872"/>
      <c r="O872">
        <v>6048</v>
      </c>
      <c r="P872" s="4"/>
      <c r="Q872" s="4"/>
      <c r="R872"/>
      <c r="S872"/>
      <c r="T872" s="4"/>
      <c r="U872" s="4"/>
      <c r="V872"/>
      <c r="W872"/>
      <c r="X872"/>
      <c r="Y872" t="inlineStr">
        <is>
          <t>Pending Appointment</t>
        </is>
      </c>
      <c r="Z872" t="inlineStr">
        <is>
          <t>Hiring Now</t>
        </is>
      </c>
      <c r="AA872">
        <v>5</v>
      </c>
      <c r="AB872" t="inlineStr">
        <is>
          <t>No Appointment Made</t>
        </is>
      </c>
      <c r="AC872"/>
      <c r="AD872" t="inlineStr">
        <is>
          <t>1 Restaurant supervisor, 1 Cashier, 3-4 Waiter / waitress</t>
        </is>
      </c>
      <c r="AE872"/>
      <c r="AF872">
        <v>0</v>
      </c>
      <c r="AG872" s="4"/>
      <c r="AH872" s="4"/>
      <c r="AI872">
        <v>0</v>
      </c>
      <c r="AJ872">
        <v>1</v>
      </c>
      <c r="AK872" t="inlineStr">
        <is>
          <t>No, I don't need at all</t>
        </is>
      </c>
      <c r="AL872">
        <v>1</v>
      </c>
      <c r="AM872" t="inlineStr">
        <is>
          <t>No, I don't need at all</t>
        </is>
      </c>
      <c r="AN872"/>
      <c r="AO872" t="inlineStr">
        <is>
          <t>No, I don't need at all</t>
        </is>
      </c>
      <c r="AP872" t="inlineStr">
        <is>
          <t>Once a year (25%)</t>
        </is>
      </c>
      <c r="AQ872">
        <v>5</v>
      </c>
      <c r="AR872" t="inlineStr">
        <is>
          <t>Did not use any job portal</t>
        </is>
      </c>
      <c r="AS872" t="inlineStr">
        <is>
          <t>- Headcount: 5
- Hiring Job Details: 1 Restaurant supervisor, 1 Cashier, 3-4 Waiter / waitress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is>
      </c>
      <c r="AT872">
        <v>105</v>
      </c>
      <c r="AU872" t="inlineStr">
        <is>
          <t>1.05</t>
        </is>
      </c>
      <c r="AV872" t="inlineStr">
        <is>
          <t>20</t>
        </is>
      </c>
      <c r="AW872" t="inlineStr">
        <is>
          <t>0</t>
        </is>
      </c>
      <c r="AX872" t="inlineStr">
        <is>
          <t>Not Qualified</t>
        </is>
      </c>
      <c r="AY872" s="4"/>
      <c r="AZ872"/>
      <c r="BA872"/>
      <c r="BB872"/>
      <c r="BC872"/>
      <c r="BD872" s="4"/>
      <c r="BE872"/>
      <c r="BF872"/>
      <c r="BG872" t="inlineStr">
        <is>
          <t>Reschedule</t>
        </is>
      </c>
      <c r="BH872" t="inlineStr">
        <is>
          <t>Reagen</t>
        </is>
      </c>
      <c r="BI872"/>
      <c r="BJ872" s="4">
        <v>46144.755902777775</v>
      </c>
      <c r="BK872" s="4">
        <v>46134.779641203706</v>
      </c>
      <c r="BL872" t="inlineStr">
        <is>
          <t>0.0</t>
        </is>
      </c>
      <c r="BM872" t="inlineStr">
        <is>
          <t>0.0</t>
        </is>
      </c>
      <c r="BN872"/>
      <c r="BO872" s="4"/>
      <c r="BP872">
        <v>168437</v>
      </c>
      <c r="BQ872"/>
      <c r="BR872"/>
      <c r="BS872"/>
      <c r="BT872"/>
      <c r="BU872"/>
      <c r="BV872"/>
      <c r="BW872"/>
      <c r="BX872"/>
      <c r="BY872"/>
      <c r="BZ872" s="4"/>
      <c r="CA872"/>
      <c r="CB872"/>
      <c r="CC872" s="4"/>
      <c r="CD872" t="inlineStr">
        <is>
          <t>30</t>
        </is>
      </c>
      <c r="CE872" t="inlineStr">
        <is>
          <t>0</t>
        </is>
      </c>
      <c r="CF872" t="inlineStr">
        <is>
          <t>Q2-W03</t>
        </is>
      </c>
      <c r="CG872"/>
      <c r="CH872"/>
      <c r="CI872"/>
      <c r="CJ872" t="inlineStr">
        <is>
          <t>No Paid</t>
        </is>
      </c>
      <c r="CK872" t="inlineStr">
        <is>
          <t>Not Eligible</t>
        </is>
      </c>
      <c r="CL872"/>
      <c r="CM872"/>
    </row>
    <row r="873" ht="25.5" customHeight="1">
      <c r="A873" t="inlineStr">
        <is>
          <t>159435</t>
        </is>
      </c>
      <c r="B873" s="2"/>
      <c r="C873"/>
      <c r="D873" s="3">
        <v>46135.41427083333</v>
      </c>
      <c r="E873" t="inlineStr">
        <is>
          <t>Q2-W03</t>
        </is>
      </c>
      <c r="F873" t="inlineStr">
        <is>
          <t>Eugene</t>
        </is>
      </c>
      <c r="G873" t="inlineStr">
        <is>
          <t>Customer</t>
        </is>
      </c>
      <c r="H873" s="2" t="str">
        <f>=HYPERLINK("https://upbox.ajobthing.my/customer/159435", "https://upbox.ajobthing.my/customer/159435")</f>
        <v>https://upbox.ajobthing.my/customer/159435</v>
      </c>
      <c r="I873" t="inlineStr">
        <is>
          <t>Rahmat Venture Sdn Bhd</t>
        </is>
      </c>
      <c r="J873" t="inlineStr">
        <is>
          <t>Dolphin</t>
        </is>
      </c>
      <c r="K873" t="inlineStr">
        <is>
          <t>Eugene</t>
        </is>
      </c>
      <c r="L873" s="4"/>
      <c r="M873" s="4">
        <v>46135.41442129629</v>
      </c>
      <c r="N873"/>
      <c r="O873">
        <v>8208</v>
      </c>
      <c r="P873" s="4"/>
      <c r="Q873" s="4"/>
      <c r="R873"/>
      <c r="S873"/>
      <c r="T873" s="4"/>
      <c r="U873" s="4"/>
      <c r="V873"/>
      <c r="W873"/>
      <c r="X873"/>
      <c r="Y873" t="inlineStr">
        <is>
          <t>Pending Appointment</t>
        </is>
      </c>
      <c r="Z873" t="inlineStr">
        <is>
          <t>Continuous Hiring</t>
        </is>
      </c>
      <c r="AA873">
        <v>20</v>
      </c>
      <c r="AB873" t="inlineStr">
        <is>
          <t>No Appointment Made</t>
        </is>
      </c>
      <c r="AC873"/>
      <c r="AD873" t="inlineStr">
        <is>
          <t>20 service crew, based in KL</t>
        </is>
      </c>
      <c r="AE873"/>
      <c r="AF873">
        <v>4000</v>
      </c>
      <c r="AG873" s="4"/>
      <c r="AH873" s="4"/>
      <c r="AI873">
        <v>4000</v>
      </c>
      <c r="AJ873">
        <v>2</v>
      </c>
      <c r="AK873" t="inlineStr">
        <is>
          <t>No, I don't need at all</t>
        </is>
      </c>
      <c r="AL873">
        <v>1</v>
      </c>
      <c r="AM873" t="inlineStr">
        <is>
          <t>No, I don't need at all</t>
        </is>
      </c>
      <c r="AN873"/>
      <c r="AO873" t="inlineStr">
        <is>
          <t>No, I don't need at all</t>
        </is>
      </c>
      <c r="AP873" t="inlineStr">
        <is>
          <t>Once per quarter (75%)</t>
        </is>
      </c>
      <c r="AQ873">
        <v>20</v>
      </c>
      <c r="AR873" t="inlineStr">
        <is>
          <t>Free Job Portal</t>
        </is>
      </c>
      <c r="AS873" t="inlineStr">
        <is>
          <t>- Headcount: 20
- Hiring Job Details: 20 service crew, based in KL
- Hiring Urgency: Continuous Hiring
- Number of outlets: 2
- Have recruiter team: No, I don't need at all
- Number of recruiter in company: 1
- Have ATS system: No, I don't need at all
- Have career website: No, I don't need at all
- Current hiring budget: RM4,000
- Whole year budget: RM4,000.00
- Whole year number of vacancies: 20
- Hiring frequency: Once per quarter (75%)
- External job portal: Free Job Portal</t>
        </is>
      </c>
      <c r="AT873">
        <v>110</v>
      </c>
      <c r="AU873" t="inlineStr">
        <is>
          <t>1.10</t>
        </is>
      </c>
      <c r="AV873" t="inlineStr">
        <is>
          <t>25</t>
        </is>
      </c>
      <c r="AW873" t="inlineStr">
        <is>
          <t>0</t>
        </is>
      </c>
      <c r="AX873" t="inlineStr">
        <is>
          <t>Not Qualified</t>
        </is>
      </c>
      <c r="AY873" s="4"/>
      <c r="AZ873"/>
      <c r="BA873"/>
      <c r="BB873"/>
      <c r="BC873" t="inlineStr">
        <is>
          <t>budget</t>
        </is>
      </c>
      <c r="BD873" s="4">
        <v>46140.69358796296</v>
      </c>
      <c r="BE873"/>
      <c r="BF873"/>
      <c r="BG873" t="inlineStr">
        <is>
          <t>Reschedule</t>
        </is>
      </c>
      <c r="BH873" t="inlineStr">
        <is>
          <t>Edward Hoo</t>
        </is>
      </c>
      <c r="BI873" t="inlineStr">
        <is>
          <t>Food / Beverage</t>
        </is>
      </c>
      <c r="BJ873" s="4">
        <v>46144.751064814816</v>
      </c>
      <c r="BK873" s="4">
        <v>44810.52228009259</v>
      </c>
      <c r="BL873" t="inlineStr">
        <is>
          <t>0.0</t>
        </is>
      </c>
      <c r="BM873" t="inlineStr">
        <is>
          <t>0.0</t>
        </is>
      </c>
      <c r="BN873" t="inlineStr">
        <is>
          <t>View Create Job Page</t>
        </is>
      </c>
      <c r="BO873" s="4">
        <v>44812.44482638889</v>
      </c>
      <c r="BP873">
        <v>168436</v>
      </c>
      <c r="BQ873"/>
      <c r="BR873"/>
      <c r="BS873"/>
      <c r="BT873"/>
      <c r="BU873"/>
      <c r="BV873">
        <v>2733514</v>
      </c>
      <c r="BW873" t="inlineStr">
        <is>
          <t>Follow Up : Budget Concern</t>
        </is>
      </c>
      <c r="BX873"/>
      <c r="BY873"/>
      <c r="BZ873" s="4"/>
      <c r="CA873"/>
      <c r="CB873"/>
      <c r="CC873" s="4"/>
      <c r="CD873" t="inlineStr">
        <is>
          <t>35</t>
        </is>
      </c>
      <c r="CE873" t="inlineStr">
        <is>
          <t>0</t>
        </is>
      </c>
      <c r="CF873" t="inlineStr">
        <is>
          <t>Q2-W03</t>
        </is>
      </c>
      <c r="CG873"/>
      <c r="CH873"/>
      <c r="CI873"/>
      <c r="CJ873" t="inlineStr">
        <is>
          <t>No Paid</t>
        </is>
      </c>
      <c r="CK873" t="inlineStr">
        <is>
          <t>Eligible</t>
        </is>
      </c>
      <c r="CL873"/>
      <c r="CM873"/>
    </row>
    <row r="874" ht="25.5" customHeight="1">
      <c r="A874" t="inlineStr">
        <is>
          <t>203544</t>
        </is>
      </c>
      <c r="B874" s="2"/>
      <c r="C874"/>
      <c r="D874" s="3">
        <v>46135.419386574074</v>
      </c>
      <c r="E874" t="inlineStr">
        <is>
          <t>Q2-W03</t>
        </is>
      </c>
      <c r="F874" t="inlineStr">
        <is>
          <t>Ken Yi</t>
        </is>
      </c>
      <c r="G874" t="inlineStr">
        <is>
          <t>Customer</t>
        </is>
      </c>
      <c r="H874" s="2" t="str">
        <f>=HYPERLINK("https://upbox.ajobthing.my/customer/203544", "https://upbox.ajobthing.my/customer/203544")</f>
        <v>https://upbox.ajobthing.my/customer/203544</v>
      </c>
      <c r="I874" t="inlineStr">
        <is>
          <t>Stone Blockchain Sdn Bhd</t>
        </is>
      </c>
      <c r="J874" t="inlineStr">
        <is>
          <t>Dolphin</t>
        </is>
      </c>
      <c r="K874" t="inlineStr">
        <is>
          <t>Kenyi</t>
        </is>
      </c>
      <c r="L874" s="4"/>
      <c r="M874" s="4">
        <v>46135.43347222222</v>
      </c>
      <c r="N874"/>
      <c r="O874">
        <v>3888</v>
      </c>
      <c r="P874" s="4"/>
      <c r="Q874" s="4">
        <v>46140.43736111111</v>
      </c>
      <c r="R874"/>
      <c r="S874">
        <v>0</v>
      </c>
      <c r="T874" s="4">
        <v>46139.61056712963</v>
      </c>
      <c r="U874" s="4"/>
      <c r="V874"/>
      <c r="W874">
        <v>3888</v>
      </c>
      <c r="X874"/>
      <c r="Y874" t="inlineStr">
        <is>
          <t>Pending Appointment</t>
        </is>
      </c>
      <c r="Z874" t="inlineStr">
        <is>
          <t>Hiring Now</t>
        </is>
      </c>
      <c r="AA874">
        <v>2</v>
      </c>
      <c r="AB874" t="inlineStr">
        <is>
          <t>No Appointment Made</t>
        </is>
      </c>
      <c r="AC874"/>
      <c r="AD874" t="inlineStr">
        <is>
          <t>Supervisor 1 , Measurer mandarin speaker 1</t>
        </is>
      </c>
      <c r="AE874"/>
      <c r="AF874">
        <v>6048</v>
      </c>
      <c r="AG874" s="4"/>
      <c r="AH874" s="4"/>
      <c r="AI874">
        <v>6048</v>
      </c>
      <c r="AJ874">
        <v>2</v>
      </c>
      <c r="AK874" t="inlineStr">
        <is>
          <t>Yes, I have</t>
        </is>
      </c>
      <c r="AL874">
        <v>1</v>
      </c>
      <c r="AM874" t="inlineStr">
        <is>
          <t>No, I don't need at all</t>
        </is>
      </c>
      <c r="AN874"/>
      <c r="AO874" t="inlineStr">
        <is>
          <t>Yes, I have</t>
        </is>
      </c>
      <c r="AP874" t="inlineStr">
        <is>
          <t>Every month (100%)</t>
        </is>
      </c>
      <c r="AQ874">
        <v>2</v>
      </c>
      <c r="AR874" t="inlineStr">
        <is>
          <t>Jobstreet</t>
        </is>
      </c>
      <c r="AS874" t="inlineStr">
        <is>
          <t>- Headcount: 2
- Hiring Job Details: 1 Supervisor, 1 Mandarin-speaking Measurer
- Hiring Urgency: Hiring Now
- Number of outlets: 2
- Have recruiter team: Yes
- Number of recruiter in company: 1
- Have ATS system: No, don't need at all
- Have career website: Yes
- Current hiring budget: RM6,048
- Whole year budget: RM6,048.00
- Whole year number of vacancies: 2
- Hiring frequency: Every month (100%)
- External job portal: Jobstreet</t>
        </is>
      </c>
      <c r="AT874">
        <v>115</v>
      </c>
      <c r="AU874" t="inlineStr">
        <is>
          <t>1.15</t>
        </is>
      </c>
      <c r="AV874" t="inlineStr">
        <is>
          <t>15</t>
        </is>
      </c>
      <c r="AW874" t="inlineStr">
        <is>
          <t>0</t>
        </is>
      </c>
      <c r="AX874" t="inlineStr">
        <is>
          <t>Not Qualified</t>
        </is>
      </c>
      <c r="AY874" s="4"/>
      <c r="AZ874"/>
      <c r="BA874"/>
      <c r="BB874"/>
      <c r="BC874" t="inlineStr">
        <is>
          <t>Customer paid, help to follow up</t>
        </is>
      </c>
      <c r="BD874" s="4">
        <v>46140.437789351854</v>
      </c>
      <c r="BE874" t="inlineStr">
        <is>
          <t>paid</t>
        </is>
      </c>
      <c r="BF874" t="inlineStr">
        <is>
          <t>Q2-W04</t>
        </is>
      </c>
      <c r="BG874" t="inlineStr">
        <is>
          <t>Reschedule</t>
        </is>
      </c>
      <c r="BH874" t="inlineStr">
        <is>
          <t>Fauziah Maharan</t>
        </is>
      </c>
      <c r="BI874" t="inlineStr">
        <is>
          <t>Manufacturing / Production</t>
        </is>
      </c>
      <c r="BJ874" s="4">
        <v>46144.75435185185</v>
      </c>
      <c r="BK874" s="4">
        <v>46134.69416666667</v>
      </c>
      <c r="BL874" t="inlineStr">
        <is>
          <t>3888.0</t>
        </is>
      </c>
      <c r="BM874" t="inlineStr">
        <is>
          <t>0.0</t>
        </is>
      </c>
      <c r="BN874" t="inlineStr">
        <is>
          <t>View Company Page</t>
        </is>
      </c>
      <c r="BO874" s="4">
        <v>46140.722974537035</v>
      </c>
      <c r="BP874">
        <v>168459</v>
      </c>
      <c r="BQ874">
        <v>123836</v>
      </c>
      <c r="BR874" t="inlineStr">
        <is>
          <t>Proforma</t>
        </is>
      </c>
      <c r="BS874" t="inlineStr">
        <is>
          <t>Free Internship Job</t>
        </is>
      </c>
      <c r="BT874">
        <v>7721</v>
      </c>
      <c r="BU874"/>
      <c r="BV874">
        <v>2731839</v>
      </c>
      <c r="BW874" t="inlineStr">
        <is>
          <t>Follow Up : Win - Customer Paid</t>
        </is>
      </c>
      <c r="BX874">
        <v>7</v>
      </c>
      <c r="BY874">
        <v>4</v>
      </c>
      <c r="BZ874" s="4">
        <v>46140.72275462963</v>
      </c>
      <c r="CA874">
        <v>60</v>
      </c>
      <c r="CB874">
        <v>59</v>
      </c>
      <c r="CC874" s="4">
        <v>46139.64837962963</v>
      </c>
      <c r="CD874" t="inlineStr">
        <is>
          <t>20</t>
        </is>
      </c>
      <c r="CE874" t="inlineStr">
        <is>
          <t>0</t>
        </is>
      </c>
      <c r="CF874" t="inlineStr">
        <is>
          <t>Q2-W03</t>
        </is>
      </c>
      <c r="CG874" t="inlineStr">
        <is>
          <t>Q2-W04</t>
        </is>
      </c>
      <c r="CH874" t="inlineStr">
        <is>
          <t>Q2-W04</t>
        </is>
      </c>
      <c r="CI874"/>
      <c r="CJ874" t="inlineStr">
        <is>
          <t>Paid</t>
        </is>
      </c>
      <c r="CK874" t="inlineStr">
        <is>
          <t>Not Eligible</t>
        </is>
      </c>
      <c r="CL874"/>
      <c r="CM874"/>
    </row>
    <row r="875" ht="25.5" customHeight="1">
      <c r="A875" t="inlineStr">
        <is>
          <t>27020</t>
        </is>
      </c>
      <c r="B875" s="2"/>
      <c r="C875"/>
      <c r="D875" s="3">
        <v>46135.42502314815</v>
      </c>
      <c r="E875" t="inlineStr">
        <is>
          <t>Q2-W03</t>
        </is>
      </c>
      <c r="F875" t="inlineStr">
        <is>
          <t>Jia Hui</t>
        </is>
      </c>
      <c r="G875" t="inlineStr">
        <is>
          <t>Customer</t>
        </is>
      </c>
      <c r="H875" s="2" t="str">
        <f>=HYPERLINK("https://upbox.ajobthing.my/customer/27020", "https://upbox.ajobthing.my/customer/27020")</f>
        <v>https://upbox.ajobthing.my/customer/27020</v>
      </c>
      <c r="I875" t="inlineStr">
        <is>
          <t>QT Environmental (M) Sdn Bhd</t>
        </is>
      </c>
      <c r="J875" t="inlineStr">
        <is>
          <t>Dolphin</t>
        </is>
      </c>
      <c r="K875" t="inlineStr">
        <is>
          <t>Jia Hui</t>
        </is>
      </c>
      <c r="L875" s="4"/>
      <c r="M875" s="4">
        <v>46135.425104166665</v>
      </c>
      <c r="N875"/>
      <c r="O875">
        <v>6048</v>
      </c>
      <c r="P875" s="4"/>
      <c r="Q875" s="4">
        <v>43036.629745370374</v>
      </c>
      <c r="R875"/>
      <c r="S875">
        <v>424</v>
      </c>
      <c r="T875" s="4">
        <v>43036.629745370374</v>
      </c>
      <c r="U875" s="4"/>
      <c r="V875"/>
      <c r="W875">
        <v>424</v>
      </c>
      <c r="X875"/>
      <c r="Y875" t="inlineStr">
        <is>
          <t>Pending Appointment</t>
        </is>
      </c>
      <c r="Z875" t="inlineStr">
        <is>
          <t>Hiring Later</t>
        </is>
      </c>
      <c r="AA875">
        <v>1</v>
      </c>
      <c r="AB875" t="inlineStr">
        <is>
          <t>No Appointment Made</t>
        </is>
      </c>
      <c r="AC875"/>
      <c r="AD875" t="inlineStr">
        <is>
          <t>1 technical staff</t>
        </is>
      </c>
      <c r="AE875"/>
      <c r="AF875">
        <v>500</v>
      </c>
      <c r="AG875" s="4"/>
      <c r="AH875" s="4"/>
      <c r="AI875"/>
      <c r="AJ875"/>
      <c r="AK875" t="inlineStr">
        <is>
          <t>Yes, I have</t>
        </is>
      </c>
      <c r="AL875"/>
      <c r="AM875"/>
      <c r="AN875"/>
      <c r="AO875"/>
      <c r="AP875" t="inlineStr">
        <is>
          <t>Once a year (25%)</t>
        </is>
      </c>
      <c r="AQ875"/>
      <c r="AR875"/>
      <c r="AS875" t="inlineStr">
        <is>
          <t>- Headcount: 1
- Hiring Job Details: 1 technical staff
- Hiring Urgency: Hiring Later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875">
        <v>75</v>
      </c>
      <c r="AU875" t="inlineStr">
        <is>
          <t>0.75</t>
        </is>
      </c>
      <c r="AV875" t="inlineStr">
        <is>
          <t>15</t>
        </is>
      </c>
      <c r="AW875" t="inlineStr">
        <is>
          <t>0</t>
        </is>
      </c>
      <c r="AX875" t="inlineStr">
        <is>
          <t>Not Qualified</t>
        </is>
      </c>
      <c r="AY875" s="4"/>
      <c r="AZ875"/>
      <c r="BA875"/>
      <c r="BB875"/>
      <c r="BC875" t="inlineStr">
        <is>
          <t>- Headcount: 1
- Hiring Job Details: 1 technical staff
- Hiring Urgency: Hiring Later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BD875" s="4">
        <v>46135.458344907405</v>
      </c>
      <c r="BE875" t="inlineStr">
        <is>
          <t>paid</t>
        </is>
      </c>
      <c r="BF875"/>
      <c r="BG875" t="inlineStr">
        <is>
          <t>Reschedule</t>
        </is>
      </c>
      <c r="BH875" t="inlineStr">
        <is>
          <t>Reagen</t>
        </is>
      </c>
      <c r="BI875" t="inlineStr">
        <is>
          <t>Environment / Health / Safety</t>
        </is>
      </c>
      <c r="BJ875" s="4">
        <v>46144.75449074074</v>
      </c>
      <c r="BK875" s="4">
        <v>42593.48946759259</v>
      </c>
      <c r="BL875" t="inlineStr">
        <is>
          <t>0.0</t>
        </is>
      </c>
      <c r="BM875" t="inlineStr">
        <is>
          <t>2400.0</t>
        </is>
      </c>
      <c r="BN875"/>
      <c r="BO875" s="4"/>
      <c r="BP875">
        <v>168446</v>
      </c>
      <c r="BQ875">
        <v>9352</v>
      </c>
      <c r="BR875" t="inlineStr">
        <is>
          <t>Online</t>
        </is>
      </c>
      <c r="BS875"/>
      <c r="BT875">
        <v>9352</v>
      </c>
      <c r="BU875"/>
      <c r="BV875">
        <v>2722679</v>
      </c>
      <c r="BW875" t="inlineStr">
        <is>
          <t>Customer Inquiry</t>
        </is>
      </c>
      <c r="BX875"/>
      <c r="BY875"/>
      <c r="BZ875" s="4"/>
      <c r="CA875"/>
      <c r="CB875"/>
      <c r="CC875" s="4"/>
      <c r="CD875" t="inlineStr">
        <is>
          <t>20</t>
        </is>
      </c>
      <c r="CE875" t="inlineStr">
        <is>
          <t>0</t>
        </is>
      </c>
      <c r="CF875" t="inlineStr">
        <is>
          <t>Q2-W03</t>
        </is>
      </c>
      <c r="CG875"/>
      <c r="CH875"/>
      <c r="CI875"/>
      <c r="CJ875" t="inlineStr">
        <is>
          <t>Paid</t>
        </is>
      </c>
      <c r="CK875" t="inlineStr">
        <is>
          <t>Not Eligible</t>
        </is>
      </c>
      <c r="CL875"/>
      <c r="CM875"/>
    </row>
    <row r="876" ht="25.5" customHeight="1">
      <c r="A876" t="inlineStr">
        <is>
          <t>34100</t>
        </is>
      </c>
      <c r="B876" s="2"/>
      <c r="C876"/>
      <c r="D876" s="3">
        <v>46135.428923611114</v>
      </c>
      <c r="E876" t="inlineStr">
        <is>
          <t>Q2-W03</t>
        </is>
      </c>
      <c r="F876" t="inlineStr">
        <is>
          <t>Chia Yee</t>
        </is>
      </c>
      <c r="G876" t="inlineStr">
        <is>
          <t>Customer</t>
        </is>
      </c>
      <c r="H876" s="2" t="str">
        <f>=HYPERLINK("https://upbox.ajobthing.my/customer/34100", "https://upbox.ajobthing.my/customer/34100")</f>
        <v>https://upbox.ajobthing.my/customer/34100</v>
      </c>
      <c r="I876" t="inlineStr">
        <is>
          <t>Danistar Marketing And Services</t>
        </is>
      </c>
      <c r="J876" t="inlineStr">
        <is>
          <t>Dolphin</t>
        </is>
      </c>
      <c r="K876" t="inlineStr">
        <is>
          <t>Chia Yee</t>
        </is>
      </c>
      <c r="L876" s="4"/>
      <c r="M876" s="4">
        <v>46135.42903935185</v>
      </c>
      <c r="N876"/>
      <c r="O876">
        <v>4968</v>
      </c>
      <c r="P876" s="4"/>
      <c r="Q876" s="4">
        <v>46066.910833333335</v>
      </c>
      <c r="R876"/>
      <c r="S876">
        <v>0</v>
      </c>
      <c r="T876" s="4">
        <v>45071.67153935185</v>
      </c>
      <c r="U876" s="4"/>
      <c r="V876"/>
      <c r="W876">
        <v>1908</v>
      </c>
      <c r="X876"/>
      <c r="Y876" t="inlineStr">
        <is>
          <t>Pending Appointment</t>
        </is>
      </c>
      <c r="Z876" t="inlineStr">
        <is>
          <t>Hiring Now</t>
        </is>
      </c>
      <c r="AA876">
        <v>1</v>
      </c>
      <c r="AB876" t="inlineStr">
        <is>
          <t>No Appointment Made</t>
        </is>
      </c>
      <c r="AC876"/>
      <c r="AD876" t="inlineStr">
        <is>
          <t>1 Clerk</t>
        </is>
      </c>
      <c r="AE876"/>
      <c r="AF876">
        <v>0</v>
      </c>
      <c r="AG876" s="4"/>
      <c r="AH876" s="4"/>
      <c r="AI876">
        <v>0</v>
      </c>
      <c r="AJ876">
        <v>1</v>
      </c>
      <c r="AK876" t="inlineStr">
        <is>
          <t>No, I don't need at all</t>
        </is>
      </c>
      <c r="AL876">
        <v>1</v>
      </c>
      <c r="AM876" t="inlineStr">
        <is>
          <t>No, I don't need at all</t>
        </is>
      </c>
      <c r="AN876"/>
      <c r="AO876" t="inlineStr">
        <is>
          <t>No, I don't need at all</t>
        </is>
      </c>
      <c r="AP876" t="inlineStr">
        <is>
          <t>Once a year (25%)</t>
        </is>
      </c>
      <c r="AQ876">
        <v>1</v>
      </c>
      <c r="AR876" t="inlineStr">
        <is>
          <t>Did not use any job portal</t>
        </is>
      </c>
      <c r="AS876" t="inlineStr">
        <is>
          <t>- Headcount: 1
- Hiring Job Details: 1 Clerk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876">
        <v>115</v>
      </c>
      <c r="AU876" t="inlineStr">
        <is>
          <t>1.15</t>
        </is>
      </c>
      <c r="AV876" t="inlineStr">
        <is>
          <t>15</t>
        </is>
      </c>
      <c r="AW876" t="inlineStr">
        <is>
          <t>0</t>
        </is>
      </c>
      <c r="AX876" t="inlineStr">
        <is>
          <t>Not Qualified</t>
        </is>
      </c>
      <c r="AY876" s="4"/>
      <c r="AZ876"/>
      <c r="BA876"/>
      <c r="BB876"/>
      <c r="BC876" t="inlineStr">
        <is>
          <t>Called Danial, not now as too high. Budget within 400 only.</t>
        </is>
      </c>
      <c r="BD876" s="4">
        <v>46139.56172453704</v>
      </c>
      <c r="BE876" t="inlineStr">
        <is>
          <t>paid</t>
        </is>
      </c>
      <c r="BF876"/>
      <c r="BG876" t="inlineStr">
        <is>
          <t>Reschedule</t>
        </is>
      </c>
      <c r="BH876" t="inlineStr">
        <is>
          <t>Reagen</t>
        </is>
      </c>
      <c r="BI876" t="inlineStr">
        <is>
          <t>Repair / Maintenance</t>
        </is>
      </c>
      <c r="BJ876" s="4">
        <v>46144.754594907405</v>
      </c>
      <c r="BK876" s="4">
        <v>42790.42863425926</v>
      </c>
      <c r="BL876" t="inlineStr">
        <is>
          <t>0.0</t>
        </is>
      </c>
      <c r="BM876" t="inlineStr">
        <is>
          <t>0.0</t>
        </is>
      </c>
      <c r="BN876" t="inlineStr">
        <is>
          <t>View Company Page</t>
        </is>
      </c>
      <c r="BO876" s="4">
        <v>46135.43067129629</v>
      </c>
      <c r="BP876">
        <v>168452</v>
      </c>
      <c r="BQ876">
        <v>115436</v>
      </c>
      <c r="BR876" t="inlineStr">
        <is>
          <t>Proforma</t>
        </is>
      </c>
      <c r="BS876" t="inlineStr">
        <is>
          <t>Free Internship Job</t>
        </is>
      </c>
      <c r="BT876">
        <v>58695</v>
      </c>
      <c r="BU876"/>
      <c r="BV876">
        <v>2729175</v>
      </c>
      <c r="BW876" t="inlineStr">
        <is>
          <t>Follow Up : Budget Concern</t>
        </is>
      </c>
      <c r="BX876"/>
      <c r="BY876"/>
      <c r="BZ876" s="4"/>
      <c r="CA876"/>
      <c r="CB876"/>
      <c r="CC876" s="4"/>
      <c r="CD876" t="inlineStr">
        <is>
          <t>20</t>
        </is>
      </c>
      <c r="CE876" t="inlineStr">
        <is>
          <t>0</t>
        </is>
      </c>
      <c r="CF876" t="inlineStr">
        <is>
          <t>Q2-W03</t>
        </is>
      </c>
      <c r="CG876" t="inlineStr">
        <is>
          <t>Q1-W07</t>
        </is>
      </c>
      <c r="CH876"/>
      <c r="CI876"/>
      <c r="CJ876" t="inlineStr">
        <is>
          <t>Paid</t>
        </is>
      </c>
      <c r="CK876" t="inlineStr">
        <is>
          <t>Not Eligible</t>
        </is>
      </c>
      <c r="CL876"/>
      <c r="CM876"/>
    </row>
    <row r="877" ht="25.5" customHeight="1">
      <c r="A877" t="inlineStr">
        <is>
          <t>4315271</t>
        </is>
      </c>
      <c r="B877" s="2"/>
      <c r="C877"/>
      <c r="D877" s="3">
        <v>46135.430185185185</v>
      </c>
      <c r="E877" t="inlineStr">
        <is>
          <t>Q2-W03</t>
        </is>
      </c>
      <c r="F877" t="inlineStr">
        <is>
          <t>Carmen</t>
        </is>
      </c>
      <c r="G877" t="inlineStr">
        <is>
          <t>Lead</t>
        </is>
      </c>
      <c r="H877" s="2" t="str">
        <f>=HYPERLINK("https://upbox.ajobthing.my/leads/4315271", "https://upbox.ajobthing.my/leads/4315271")</f>
        <v>https://upbox.ajobthing.my/leads/4315271</v>
      </c>
      <c r="I877" t="inlineStr">
        <is>
          <t>MBF minara</t>
        </is>
      </c>
      <c r="J877" t="inlineStr">
        <is>
          <t>Dolphin</t>
        </is>
      </c>
      <c r="K877" t="inlineStr">
        <is>
          <t>Carmen</t>
        </is>
      </c>
      <c r="L877" s="4"/>
      <c r="M877" s="4">
        <v>46135.43078703704</v>
      </c>
      <c r="N877"/>
      <c r="O877">
        <v>3888</v>
      </c>
      <c r="P877" s="4"/>
      <c r="Q877" s="4"/>
      <c r="R877"/>
      <c r="S877"/>
      <c r="T877" s="4"/>
      <c r="U877" s="4"/>
      <c r="V877"/>
      <c r="W877"/>
      <c r="X877"/>
      <c r="Y877" t="inlineStr">
        <is>
          <t>Pending Appointment</t>
        </is>
      </c>
      <c r="Z877" t="inlineStr">
        <is>
          <t>Hiring Now</t>
        </is>
      </c>
      <c r="AA877">
        <v>2</v>
      </c>
      <c r="AB877" t="inlineStr">
        <is>
          <t>No Appointment Made</t>
        </is>
      </c>
      <c r="AC877"/>
      <c r="AD877" t="inlineStr">
        <is>
          <t>1 general helper ; 1 kitchen helper</t>
        </is>
      </c>
      <c r="AE877"/>
      <c r="AF877">
        <v>0</v>
      </c>
      <c r="AG877" s="4"/>
      <c r="AH877" s="4"/>
      <c r="AI877"/>
      <c r="AJ877"/>
      <c r="AK877"/>
      <c r="AL877"/>
      <c r="AM877"/>
      <c r="AN877"/>
      <c r="AO877"/>
      <c r="AP877" t="inlineStr">
        <is>
          <t>Once a year (25%)</t>
        </is>
      </c>
      <c r="AQ877"/>
      <c r="AR877"/>
      <c r="AS877" t="inlineStr">
        <is>
          <t>- Headcount: 2
- Hiring Job Details: 1 general helper ; 1 kitchen helper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877">
        <v>75</v>
      </c>
      <c r="AU877" t="inlineStr">
        <is>
          <t>0.75</t>
        </is>
      </c>
      <c r="AV877" t="inlineStr">
        <is>
          <t>15</t>
        </is>
      </c>
      <c r="AW877" t="inlineStr">
        <is>
          <t>0</t>
        </is>
      </c>
      <c r="AX877" t="inlineStr">
        <is>
          <t>Not Qualified</t>
        </is>
      </c>
      <c r="AY877" s="4"/>
      <c r="AZ877"/>
      <c r="BA877"/>
      <c r="BB877"/>
      <c r="BC877"/>
      <c r="BD877" s="4"/>
      <c r="BE877"/>
      <c r="BF877"/>
      <c r="BG877" t="inlineStr">
        <is>
          <t>Reschedule</t>
        </is>
      </c>
      <c r="BH877" t="inlineStr">
        <is>
          <t>Reagen</t>
        </is>
      </c>
      <c r="BI877"/>
      <c r="BJ877" s="4">
        <v>46144.755902777775</v>
      </c>
      <c r="BK877" s="4">
        <v>46135.41853009259</v>
      </c>
      <c r="BL877" t="inlineStr">
        <is>
          <t>0.0</t>
        </is>
      </c>
      <c r="BM877" t="inlineStr">
        <is>
          <t>0.0</t>
        </is>
      </c>
      <c r="BN877"/>
      <c r="BO877" s="4"/>
      <c r="BP877">
        <v>168455</v>
      </c>
      <c r="BQ877"/>
      <c r="BR877"/>
      <c r="BS877"/>
      <c r="BT877"/>
      <c r="BU877"/>
      <c r="BV877"/>
      <c r="BW877"/>
      <c r="BX877"/>
      <c r="BY877"/>
      <c r="BZ877" s="4"/>
      <c r="CA877"/>
      <c r="CB877"/>
      <c r="CC877" s="4"/>
      <c r="CD877" t="inlineStr">
        <is>
          <t>20</t>
        </is>
      </c>
      <c r="CE877" t="inlineStr">
        <is>
          <t>0</t>
        </is>
      </c>
      <c r="CF877" t="inlineStr">
        <is>
          <t>Q2-W03</t>
        </is>
      </c>
      <c r="CG877"/>
      <c r="CH877"/>
      <c r="CI877"/>
      <c r="CJ877" t="inlineStr">
        <is>
          <t>No Paid</t>
        </is>
      </c>
      <c r="CK877" t="inlineStr">
        <is>
          <t>Not Eligible</t>
        </is>
      </c>
      <c r="CL877"/>
      <c r="CM877"/>
    </row>
    <row r="878" ht="25.5" customHeight="1">
      <c r="A878" t="inlineStr">
        <is>
          <t>4314208</t>
        </is>
      </c>
      <c r="B878" s="2"/>
      <c r="C878"/>
      <c r="D878" s="3">
        <v>46135.43760416667</v>
      </c>
      <c r="E878" t="inlineStr">
        <is>
          <t>Q2-W03</t>
        </is>
      </c>
      <c r="F878" t="inlineStr">
        <is>
          <t>Jia Hui</t>
        </is>
      </c>
      <c r="G878" t="inlineStr">
        <is>
          <t>Lead</t>
        </is>
      </c>
      <c r="H878" s="2" t="str">
        <f>=HYPERLINK("https://upbox.ajobthing.my/leads/4314208", "https://upbox.ajobthing.my/leads/4314208")</f>
        <v>https://upbox.ajobthing.my/leads/4314208</v>
      </c>
      <c r="I878" t="inlineStr">
        <is>
          <t>Azie Barakbah</t>
        </is>
      </c>
      <c r="J878" t="inlineStr">
        <is>
          <t>Dolphin</t>
        </is>
      </c>
      <c r="K878" t="inlineStr">
        <is>
          <t>Jia Hui</t>
        </is>
      </c>
      <c r="L878" s="4"/>
      <c r="M878" s="4">
        <v>46135.43577546296</v>
      </c>
      <c r="N878"/>
      <c r="O878">
        <v>3888</v>
      </c>
      <c r="P878" s="4"/>
      <c r="Q878" s="4"/>
      <c r="R878"/>
      <c r="S878"/>
      <c r="T878" s="4"/>
      <c r="U878" s="4"/>
      <c r="V878"/>
      <c r="W878"/>
      <c r="X878"/>
      <c r="Y878" t="inlineStr">
        <is>
          <t>Pending Appointment</t>
        </is>
      </c>
      <c r="Z878" t="inlineStr">
        <is>
          <t>Hiring Now</t>
        </is>
      </c>
      <c r="AA878">
        <v>1</v>
      </c>
      <c r="AB878" t="inlineStr">
        <is>
          <t>No Appointment Made</t>
        </is>
      </c>
      <c r="AC878"/>
      <c r="AD878" t="inlineStr">
        <is>
          <t>1 content creator</t>
        </is>
      </c>
      <c r="AE878"/>
      <c r="AF878"/>
      <c r="AG878" s="4"/>
      <c r="AH878" s="4"/>
      <c r="AI878"/>
      <c r="AJ878"/>
      <c r="AK878" t="inlineStr">
        <is>
          <t>No, but I want in future</t>
        </is>
      </c>
      <c r="AL878"/>
      <c r="AM878"/>
      <c r="AN878"/>
      <c r="AO878"/>
      <c r="AP878" t="inlineStr">
        <is>
          <t>Once a year (25%)</t>
        </is>
      </c>
      <c r="AQ878"/>
      <c r="AR878"/>
      <c r="AS878" t="inlineStr">
        <is>
          <t>- Headcount: 1
- Hiring Job Details: 1 content creator
- Hiring Urgency: Hiring Now
- Number of outlets: Not available
- Have recruiter team: No, but I want in future
- Number of recruiter in company: Not available
- Have ATS system: Not available
- Have career website: Not available
- Current hiring budget: Not available
- Whole year budget: Not available
- Whole year number of vacancies: Not available
- Hiring frequency: Once a year (25%)
- External job portal: Not available</t>
        </is>
      </c>
      <c r="AT878">
        <v>75</v>
      </c>
      <c r="AU878" t="inlineStr">
        <is>
          <t>0.75</t>
        </is>
      </c>
      <c r="AV878" t="inlineStr">
        <is>
          <t>5</t>
        </is>
      </c>
      <c r="AW878" t="inlineStr">
        <is>
          <t>0</t>
        </is>
      </c>
      <c r="AX878" t="inlineStr">
        <is>
          <t>Not Qualified</t>
        </is>
      </c>
      <c r="AY878" s="4"/>
      <c r="AZ878"/>
      <c r="BA878"/>
      <c r="BB878"/>
      <c r="BC878"/>
      <c r="BD878" s="4"/>
      <c r="BE878"/>
      <c r="BF878"/>
      <c r="BG878" t="inlineStr">
        <is>
          <t>Reschedule</t>
        </is>
      </c>
      <c r="BH878" t="inlineStr">
        <is>
          <t>Reagen</t>
        </is>
      </c>
      <c r="BI878"/>
      <c r="BJ878" s="4">
        <v>46144.755902777775</v>
      </c>
      <c r="BK878" s="4">
        <v>46134.97443287037</v>
      </c>
      <c r="BL878" t="inlineStr">
        <is>
          <t>0.0</t>
        </is>
      </c>
      <c r="BM878" t="inlineStr">
        <is>
          <t>0.0</t>
        </is>
      </c>
      <c r="BN878"/>
      <c r="BO878" s="4"/>
      <c r="BP878">
        <v>168460</v>
      </c>
      <c r="BQ878"/>
      <c r="BR878"/>
      <c r="BS878"/>
      <c r="BT878"/>
      <c r="BU878"/>
      <c r="BV878"/>
      <c r="BW878"/>
      <c r="BX878"/>
      <c r="BY878"/>
      <c r="BZ878" s="4"/>
      <c r="CA878"/>
      <c r="CB878"/>
      <c r="CC878" s="4"/>
      <c r="CD878" t="inlineStr">
        <is>
          <t>5</t>
        </is>
      </c>
      <c r="CE878" t="inlineStr">
        <is>
          <t>0</t>
        </is>
      </c>
      <c r="CF878" t="inlineStr">
        <is>
          <t>Q2-W03</t>
        </is>
      </c>
      <c r="CG878"/>
      <c r="CH878"/>
      <c r="CI878"/>
      <c r="CJ878" t="inlineStr">
        <is>
          <t>No Paid</t>
        </is>
      </c>
      <c r="CK878" t="inlineStr">
        <is>
          <t>Not Eligible</t>
        </is>
      </c>
      <c r="CL878"/>
      <c r="CM878"/>
    </row>
    <row r="879" ht="25.5" customHeight="1">
      <c r="A879" t="inlineStr">
        <is>
          <t>4315220</t>
        </is>
      </c>
      <c r="B879" s="2"/>
      <c r="C879"/>
      <c r="D879" s="3">
        <v>46135.4415625</v>
      </c>
      <c r="E879" t="inlineStr">
        <is>
          <t>Q2-W03</t>
        </is>
      </c>
      <c r="F879" t="inlineStr">
        <is>
          <t>Evan</t>
        </is>
      </c>
      <c r="G879" t="inlineStr">
        <is>
          <t>Lead</t>
        </is>
      </c>
      <c r="H879" s="2" t="str">
        <f>=HYPERLINK("https://upbox.ajobthing.my/leads/4315220", "https://upbox.ajobthing.my/leads/4315220")</f>
        <v>https://upbox.ajobthing.my/leads/4315220</v>
      </c>
      <c r="I879" t="inlineStr">
        <is>
          <t>GO HOLIDAY 360 SDN BHD</t>
        </is>
      </c>
      <c r="J879" t="inlineStr">
        <is>
          <t>Dolphin</t>
        </is>
      </c>
      <c r="K879" t="inlineStr">
        <is>
          <t>Evan</t>
        </is>
      </c>
      <c r="L879" s="4"/>
      <c r="M879" s="4">
        <v>46135.4321875</v>
      </c>
      <c r="N879"/>
      <c r="O879">
        <v>3888</v>
      </c>
      <c r="P879" s="4"/>
      <c r="Q879" s="4"/>
      <c r="R879"/>
      <c r="S879"/>
      <c r="T879" s="4"/>
      <c r="U879" s="4"/>
      <c r="V879"/>
      <c r="W879"/>
      <c r="X879"/>
      <c r="Y879" t="inlineStr">
        <is>
          <t>Pending Appointment</t>
        </is>
      </c>
      <c r="Z879" t="inlineStr">
        <is>
          <t>Hiring Now</t>
        </is>
      </c>
      <c r="AA879">
        <v>1</v>
      </c>
      <c r="AB879" t="inlineStr">
        <is>
          <t>No Appointment Made</t>
        </is>
      </c>
      <c r="AC879"/>
      <c r="AD879" t="inlineStr">
        <is>
          <t>1 account, all base in KL</t>
        </is>
      </c>
      <c r="AE879"/>
      <c r="AF879">
        <v>1</v>
      </c>
      <c r="AG879" s="4"/>
      <c r="AH879" s="4"/>
      <c r="AI879">
        <v>1</v>
      </c>
      <c r="AJ879">
        <v>2</v>
      </c>
      <c r="AK879" t="inlineStr">
        <is>
          <t>No, I don't need at all</t>
        </is>
      </c>
      <c r="AL879">
        <v>0</v>
      </c>
      <c r="AM879" t="inlineStr">
        <is>
          <t>No, I don't need at all</t>
        </is>
      </c>
      <c r="AN879"/>
      <c r="AO879" t="inlineStr">
        <is>
          <t>No, I don't need at all</t>
        </is>
      </c>
      <c r="AP879" t="inlineStr">
        <is>
          <t>Once a year (25%)</t>
        </is>
      </c>
      <c r="AQ879">
        <v>1</v>
      </c>
      <c r="AR879" t="inlineStr">
        <is>
          <t>Jobstreet</t>
        </is>
      </c>
      <c r="AS879" t="inlineStr">
        <is>
          <t>- Headcount: 1
- Hiring Job Details: 1 account, all base in KL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AT879">
        <v>90</v>
      </c>
      <c r="AU879" t="inlineStr">
        <is>
          <t>0.90</t>
        </is>
      </c>
      <c r="AV879" t="inlineStr">
        <is>
          <t>15</t>
        </is>
      </c>
      <c r="AW879" t="inlineStr">
        <is>
          <t>0</t>
        </is>
      </c>
      <c r="AX879" t="inlineStr">
        <is>
          <t>Not Qualified</t>
        </is>
      </c>
      <c r="AY879" s="4"/>
      <c r="AZ879"/>
      <c r="BA879"/>
      <c r="BB879"/>
      <c r="BC879"/>
      <c r="BD879" s="4"/>
      <c r="BE879"/>
      <c r="BF879"/>
      <c r="BG879" t="inlineStr">
        <is>
          <t>Reschedule</t>
        </is>
      </c>
      <c r="BH879" t="inlineStr">
        <is>
          <t>Edward Hoo</t>
        </is>
      </c>
      <c r="BI879"/>
      <c r="BJ879" s="4">
        <v>46144.755902777775</v>
      </c>
      <c r="BK879" s="4">
        <v>46135.400555555556</v>
      </c>
      <c r="BL879" t="inlineStr">
        <is>
          <t>0.0</t>
        </is>
      </c>
      <c r="BM879" t="inlineStr">
        <is>
          <t>1800.0</t>
        </is>
      </c>
      <c r="BN879"/>
      <c r="BO879" s="4"/>
      <c r="BP879">
        <v>168457</v>
      </c>
      <c r="BQ879"/>
      <c r="BR879"/>
      <c r="BS879"/>
      <c r="BT879"/>
      <c r="BU879"/>
      <c r="BV879"/>
      <c r="BW879"/>
      <c r="BX879"/>
      <c r="BY879"/>
      <c r="BZ879" s="4"/>
      <c r="CA879"/>
      <c r="CB879"/>
      <c r="CC879" s="4"/>
      <c r="CD879" t="inlineStr">
        <is>
          <t>20</t>
        </is>
      </c>
      <c r="CE879" t="inlineStr">
        <is>
          <t>0</t>
        </is>
      </c>
      <c r="CF879" t="inlineStr">
        <is>
          <t>Q2-W03</t>
        </is>
      </c>
      <c r="CG879"/>
      <c r="CH879"/>
      <c r="CI879"/>
      <c r="CJ879" t="inlineStr">
        <is>
          <t>No Paid</t>
        </is>
      </c>
      <c r="CK879" t="inlineStr">
        <is>
          <t>Not Eligible</t>
        </is>
      </c>
      <c r="CL879"/>
      <c r="CM879"/>
    </row>
    <row r="880" ht="25.5" customHeight="1">
      <c r="A880" t="inlineStr">
        <is>
          <t>21450</t>
        </is>
      </c>
      <c r="B880" s="2"/>
      <c r="C880"/>
      <c r="D880" s="3">
        <v>46135.44513888889</v>
      </c>
      <c r="E880" t="inlineStr">
        <is>
          <t>Q2-W03</t>
        </is>
      </c>
      <c r="F880" t="inlineStr">
        <is>
          <t>Janice Yap</t>
        </is>
      </c>
      <c r="G880" t="inlineStr">
        <is>
          <t>Customer</t>
        </is>
      </c>
      <c r="H880" s="2" t="str">
        <f>=HYPERLINK("https://upbox.ajobthing.my/customer/21450", "https://upbox.ajobthing.my/customer/21450")</f>
        <v>https://upbox.ajobthing.my/customer/21450</v>
      </c>
      <c r="I880" t="inlineStr">
        <is>
          <t>KGW Logistics</t>
        </is>
      </c>
      <c r="J880" t="inlineStr">
        <is>
          <t>Dolphin</t>
        </is>
      </c>
      <c r="K880" t="inlineStr">
        <is>
          <t>Janice</t>
        </is>
      </c>
      <c r="L880" s="4"/>
      <c r="M880" s="4">
        <v>46135.43912037037</v>
      </c>
      <c r="N880"/>
      <c r="O880">
        <v>3888</v>
      </c>
      <c r="P880" s="4"/>
      <c r="Q880" s="4"/>
      <c r="R880"/>
      <c r="S880"/>
      <c r="T880" s="4"/>
      <c r="U880" s="4"/>
      <c r="V880"/>
      <c r="W880"/>
      <c r="X880"/>
      <c r="Y880" t="inlineStr">
        <is>
          <t>Pending Appointment</t>
        </is>
      </c>
      <c r="Z880" t="inlineStr">
        <is>
          <t>Hiring Now</t>
        </is>
      </c>
      <c r="AA880">
        <v>1</v>
      </c>
      <c r="AB880" t="inlineStr">
        <is>
          <t>No Appointment Made</t>
        </is>
      </c>
      <c r="AC880"/>
      <c r="AD880" t="inlineStr">
        <is>
          <t>1 customer services</t>
        </is>
      </c>
      <c r="AE880"/>
      <c r="AF880">
        <v>0</v>
      </c>
      <c r="AG880" s="4"/>
      <c r="AH880" s="4"/>
      <c r="AI880">
        <v>0</v>
      </c>
      <c r="AJ880"/>
      <c r="AK880" t="inlineStr">
        <is>
          <t>No, I don't need at all</t>
        </is>
      </c>
      <c r="AL880">
        <v>0</v>
      </c>
      <c r="AM880" t="inlineStr">
        <is>
          <t>No, I don't need at all</t>
        </is>
      </c>
      <c r="AN880"/>
      <c r="AO880" t="inlineStr">
        <is>
          <t>No, I don't need at all</t>
        </is>
      </c>
      <c r="AP880" t="inlineStr">
        <is>
          <t>Once a year (25%)</t>
        </is>
      </c>
      <c r="AQ880">
        <v>1</v>
      </c>
      <c r="AR880" t="inlineStr">
        <is>
          <t>Jobstreet</t>
        </is>
      </c>
      <c r="AS880" t="inlineStr">
        <is>
          <t>- Headcount: 1
- Hiring Job Details: 1 customer services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880">
        <v>105</v>
      </c>
      <c r="AU880" t="inlineStr">
        <is>
          <t>1.05</t>
        </is>
      </c>
      <c r="AV880" t="inlineStr">
        <is>
          <t>15</t>
        </is>
      </c>
      <c r="AW880" t="inlineStr">
        <is>
          <t>0</t>
        </is>
      </c>
      <c r="AX880" t="inlineStr">
        <is>
          <t>Not Qualified</t>
        </is>
      </c>
      <c r="AY880" s="4"/>
      <c r="AZ880"/>
      <c r="BA880"/>
      <c r="BB880"/>
      <c r="BC880" t="inlineStr">
        <is>
          <t>Don't want to proceed // PIC sent email to me // lost</t>
        </is>
      </c>
      <c r="BD880" s="4">
        <v>46140.671851851854</v>
      </c>
      <c r="BE880"/>
      <c r="BF880"/>
      <c r="BG880" t="inlineStr">
        <is>
          <t>Reschedule</t>
        </is>
      </c>
      <c r="BH880" t="inlineStr">
        <is>
          <t>Yee Hang</t>
        </is>
      </c>
      <c r="BI880"/>
      <c r="BJ880" s="4">
        <v>46144.7544212963</v>
      </c>
      <c r="BK880" s="4">
        <v>42478.85666666667</v>
      </c>
      <c r="BL880" t="inlineStr">
        <is>
          <t>0.0</t>
        </is>
      </c>
      <c r="BM880" t="inlineStr">
        <is>
          <t>4800.0</t>
        </is>
      </c>
      <c r="BN880" t="inlineStr">
        <is>
          <t>View Company Page</t>
        </is>
      </c>
      <c r="BO880" s="4">
        <v>46134.7625462963</v>
      </c>
      <c r="BP880">
        <v>168464</v>
      </c>
      <c r="BQ880"/>
      <c r="BR880"/>
      <c r="BS880"/>
      <c r="BT880"/>
      <c r="BU880"/>
      <c r="BV880">
        <v>2733340</v>
      </c>
      <c r="BW880" t="inlineStr">
        <is>
          <t>Follow Up : Lost - Free Portal</t>
        </is>
      </c>
      <c r="BX880"/>
      <c r="BY880"/>
      <c r="BZ880" s="4"/>
      <c r="CA880"/>
      <c r="CB880"/>
      <c r="CC880" s="4"/>
      <c r="CD880" t="inlineStr">
        <is>
          <t>20</t>
        </is>
      </c>
      <c r="CE880" t="inlineStr">
        <is>
          <t>0</t>
        </is>
      </c>
      <c r="CF880" t="inlineStr">
        <is>
          <t>Q2-W03</t>
        </is>
      </c>
      <c r="CG880"/>
      <c r="CH880"/>
      <c r="CI880"/>
      <c r="CJ880" t="inlineStr">
        <is>
          <t>No Paid</t>
        </is>
      </c>
      <c r="CK880" t="inlineStr">
        <is>
          <t>Not Eligible</t>
        </is>
      </c>
      <c r="CL880"/>
      <c r="CM880"/>
    </row>
    <row r="881" ht="25.5" customHeight="1">
      <c r="A881" t="inlineStr">
        <is>
          <t>203561</t>
        </is>
      </c>
      <c r="B881" s="2"/>
      <c r="C881"/>
      <c r="D881" s="3">
        <v>46135.44609953704</v>
      </c>
      <c r="E881" t="inlineStr">
        <is>
          <t>Q2-W03</t>
        </is>
      </c>
      <c r="F881" t="inlineStr">
        <is>
          <t>Yuli</t>
        </is>
      </c>
      <c r="G881" t="inlineStr">
        <is>
          <t>Customer</t>
        </is>
      </c>
      <c r="H881" s="2" t="str">
        <f>=HYPERLINK("https://upbox.ajobthing.my/customer/203561", "https://upbox.ajobthing.my/customer/203561")</f>
        <v>https://upbox.ajobthing.my/customer/203561</v>
      </c>
      <c r="I881" t="inlineStr">
        <is>
          <t>Robam Appliances International Trading (M) Sdn. Bhd.</t>
        </is>
      </c>
      <c r="J881" t="inlineStr">
        <is>
          <t>Dolphin</t>
        </is>
      </c>
      <c r="K881" t="inlineStr">
        <is>
          <t>YuLi</t>
        </is>
      </c>
      <c r="L881" s="4"/>
      <c r="M881" s="4">
        <v>46135.448333333334</v>
      </c>
      <c r="N881"/>
      <c r="O881">
        <v>5832</v>
      </c>
      <c r="P881" s="4"/>
      <c r="Q881" s="4"/>
      <c r="R881"/>
      <c r="S881"/>
      <c r="T881" s="4"/>
      <c r="U881" s="4"/>
      <c r="V881"/>
      <c r="W881"/>
      <c r="X881"/>
      <c r="Y881" t="inlineStr">
        <is>
          <t>Pending Appointment</t>
        </is>
      </c>
      <c r="Z881"/>
      <c r="AA881">
        <v>2</v>
      </c>
      <c r="AB881" t="inlineStr">
        <is>
          <t>No Appointment Made</t>
        </is>
      </c>
      <c r="AC881"/>
      <c r="AD881" t="inlineStr">
        <is>
          <t>Sales admin, accounts executive-mandarin speaker</t>
        </is>
      </c>
      <c r="AE881"/>
      <c r="AF881"/>
      <c r="AG881" s="4"/>
      <c r="AH881" s="4"/>
      <c r="AI881"/>
      <c r="AJ881"/>
      <c r="AK881"/>
      <c r="AL881">
        <v>1</v>
      </c>
      <c r="AM881"/>
      <c r="AN881"/>
      <c r="AO881"/>
      <c r="AP881"/>
      <c r="AQ881"/>
      <c r="AR881" t="inlineStr">
        <is>
          <t>Did not use any job portal</t>
        </is>
      </c>
      <c r="AS881" t="inlineStr">
        <is>
          <t>- Headcount: 2
- Hiring Job Details: Sales admin, accounts executive-mandarin speaker
- Number of outlets: Not provided
- Have recruiter team: Not provided
- Number of recruiter in company: 1
- Have ATS system: Not provided
- Have career website: Not provided
- Current hiring budget: Not provided
- Whole year budget: Not provided
- Whole year number of vacancies: Not provided
- Hiring frequency: Not provided
- External job portal: Did not use any job portal
- Hiring Urgency: Not provided</t>
        </is>
      </c>
      <c r="AT881">
        <v>65</v>
      </c>
      <c r="AU881" t="inlineStr">
        <is>
          <t>0.65</t>
        </is>
      </c>
      <c r="AV881" t="inlineStr">
        <is>
          <t>5</t>
        </is>
      </c>
      <c r="AW881" t="inlineStr">
        <is>
          <t>0</t>
        </is>
      </c>
      <c r="AX881" t="inlineStr">
        <is>
          <t>Not Qualified</t>
        </is>
      </c>
      <c r="AY881" s="4"/>
      <c r="AZ881"/>
      <c r="BA881"/>
      <c r="BB881"/>
      <c r="BC881" t="inlineStr">
        <is>
          <t>AS per Crystal still pending decisiion as Crystal mentioned the mgmt want to try different way</t>
        </is>
      </c>
      <c r="BD881" s="4">
        <v>46140.71179398148</v>
      </c>
      <c r="BE881"/>
      <c r="BF881"/>
      <c r="BG881" t="inlineStr">
        <is>
          <t>Reschedule</t>
        </is>
      </c>
      <c r="BH881" t="inlineStr">
        <is>
          <t>Fauziah Maharan</t>
        </is>
      </c>
      <c r="BI881"/>
      <c r="BJ881" s="4">
        <v>46144.75435185185</v>
      </c>
      <c r="BK881" s="4">
        <v>46135.44199074074</v>
      </c>
      <c r="BL881" t="inlineStr">
        <is>
          <t>0.0</t>
        </is>
      </c>
      <c r="BM881" t="inlineStr">
        <is>
          <t>0.0</t>
        </is>
      </c>
      <c r="BN881"/>
      <c r="BO881" s="4"/>
      <c r="BP881">
        <v>168473</v>
      </c>
      <c r="BQ881"/>
      <c r="BR881"/>
      <c r="BS881"/>
      <c r="BT881"/>
      <c r="BU881"/>
      <c r="BV881">
        <v>2733712</v>
      </c>
      <c r="BW881" t="inlineStr">
        <is>
          <t>Follow Up : Decision Pending</t>
        </is>
      </c>
      <c r="BX881"/>
      <c r="BY881"/>
      <c r="BZ881" s="4"/>
      <c r="CA881"/>
      <c r="CB881"/>
      <c r="CC881" s="4"/>
      <c r="CD881" t="inlineStr">
        <is>
          <t>5</t>
        </is>
      </c>
      <c r="CE881" t="inlineStr">
        <is>
          <t>0</t>
        </is>
      </c>
      <c r="CF881" t="inlineStr">
        <is>
          <t>Q2-W03</t>
        </is>
      </c>
      <c r="CG881"/>
      <c r="CH881"/>
      <c r="CI881"/>
      <c r="CJ881" t="inlineStr">
        <is>
          <t>No Paid</t>
        </is>
      </c>
      <c r="CK881" t="inlineStr">
        <is>
          <t>Not Eligible</t>
        </is>
      </c>
      <c r="CL881"/>
      <c r="CM881"/>
    </row>
    <row r="882" ht="25.5" customHeight="1">
      <c r="A882" t="inlineStr">
        <is>
          <t>203561</t>
        </is>
      </c>
      <c r="B882" s="2"/>
      <c r="C882"/>
      <c r="D882" s="3">
        <v>46135.44645833333</v>
      </c>
      <c r="E882" t="inlineStr">
        <is>
          <t>Q2-W03</t>
        </is>
      </c>
      <c r="F882" t="inlineStr">
        <is>
          <t>Yuli</t>
        </is>
      </c>
      <c r="G882" t="inlineStr">
        <is>
          <t>Customer</t>
        </is>
      </c>
      <c r="H882" s="2" t="str">
        <f>=HYPERLINK("https://upbox.ajobthing.my/customer/203561", "https://upbox.ajobthing.my/customer/203561")</f>
        <v>https://upbox.ajobthing.my/customer/203561</v>
      </c>
      <c r="I882" t="inlineStr">
        <is>
          <t>Robam Appliances International Trading (M) Sdn. Bhd.</t>
        </is>
      </c>
      <c r="J882" t="inlineStr">
        <is>
          <t>Dolphin</t>
        </is>
      </c>
      <c r="K882" t="inlineStr">
        <is>
          <t>YuLi</t>
        </is>
      </c>
      <c r="L882" s="4"/>
      <c r="M882" s="4">
        <v>46135.448333333334</v>
      </c>
      <c r="N882"/>
      <c r="O882">
        <v>5832</v>
      </c>
      <c r="P882" s="4"/>
      <c r="Q882" s="4"/>
      <c r="R882"/>
      <c r="S882"/>
      <c r="T882" s="4"/>
      <c r="U882" s="4"/>
      <c r="V882"/>
      <c r="W882"/>
      <c r="X882"/>
      <c r="Y882" t="inlineStr">
        <is>
          <t>Pending Appointment</t>
        </is>
      </c>
      <c r="Z882" t="inlineStr">
        <is>
          <t>Hiring Now</t>
        </is>
      </c>
      <c r="AA882">
        <v>2</v>
      </c>
      <c r="AB882" t="inlineStr">
        <is>
          <t>No Appointment Made</t>
        </is>
      </c>
      <c r="AC882"/>
      <c r="AD882" t="inlineStr">
        <is>
          <t>1 Account Executive, 1 Sales admin-Mandarin speaker needed</t>
        </is>
      </c>
      <c r="AE882"/>
      <c r="AF882"/>
      <c r="AG882" s="4"/>
      <c r="AH882" s="4"/>
      <c r="AI882"/>
      <c r="AJ882"/>
      <c r="AK882"/>
      <c r="AL882">
        <v>1</v>
      </c>
      <c r="AM882"/>
      <c r="AN882"/>
      <c r="AO882"/>
      <c r="AP882"/>
      <c r="AQ882"/>
      <c r="AR882" t="inlineStr">
        <is>
          <t>Did not use any job portal</t>
        </is>
      </c>
      <c r="AS882" t="inlineStr">
        <is>
          <t>- Headcount: 2
- Hiring Job Details: 1 Account Executive, 1 Sales admin-Mandarin speaker needed
- Hiring Urgency: Hiring Now
- Number of outlets: Not provided
- Have recruiter team: Not provided
- Number of recruiter in company: 1
- Have ATS system: Not provided
- Have career website: Not provided
- Current hiring budget: Not provided
- Whole year budget: Not provided
- Whole year number of vacancies: Not provided
- Hiring frequency: Not provided
- External job portal: Did not use any job portal</t>
        </is>
      </c>
      <c r="AT882">
        <v>75</v>
      </c>
      <c r="AU882" t="inlineStr">
        <is>
          <t>0.75</t>
        </is>
      </c>
      <c r="AV882" t="inlineStr">
        <is>
          <t>5</t>
        </is>
      </c>
      <c r="AW882" t="inlineStr">
        <is>
          <t>0</t>
        </is>
      </c>
      <c r="AX882" t="inlineStr">
        <is>
          <t>Not Qualified</t>
        </is>
      </c>
      <c r="AY882" s="4"/>
      <c r="AZ882"/>
      <c r="BA882"/>
      <c r="BB882"/>
      <c r="BC882" t="inlineStr">
        <is>
          <t>AS per Crystal still pending decisiion as Crystal mentioned the mgmt want to try different way</t>
        </is>
      </c>
      <c r="BD882" s="4">
        <v>46140.71179398148</v>
      </c>
      <c r="BE882"/>
      <c r="BF882"/>
      <c r="BG882" t="inlineStr">
        <is>
          <t>Reschedule</t>
        </is>
      </c>
      <c r="BH882" t="inlineStr">
        <is>
          <t>Fauziah Maharan</t>
        </is>
      </c>
      <c r="BI882"/>
      <c r="BJ882" s="4">
        <v>46144.75435185185</v>
      </c>
      <c r="BK882" s="4">
        <v>46135.44199074074</v>
      </c>
      <c r="BL882" t="inlineStr">
        <is>
          <t>0.0</t>
        </is>
      </c>
      <c r="BM882" t="inlineStr">
        <is>
          <t>0.0</t>
        </is>
      </c>
      <c r="BN882"/>
      <c r="BO882" s="4"/>
      <c r="BP882">
        <v>168473</v>
      </c>
      <c r="BQ882"/>
      <c r="BR882"/>
      <c r="BS882"/>
      <c r="BT882"/>
      <c r="BU882"/>
      <c r="BV882">
        <v>2733712</v>
      </c>
      <c r="BW882" t="inlineStr">
        <is>
          <t>Follow Up : Decision Pending</t>
        </is>
      </c>
      <c r="BX882"/>
      <c r="BY882"/>
      <c r="BZ882" s="4"/>
      <c r="CA882"/>
      <c r="CB882"/>
      <c r="CC882" s="4"/>
      <c r="CD882" t="inlineStr">
        <is>
          <t>5</t>
        </is>
      </c>
      <c r="CE882" t="inlineStr">
        <is>
          <t>0</t>
        </is>
      </c>
      <c r="CF882" t="inlineStr">
        <is>
          <t>Q2-W03</t>
        </is>
      </c>
      <c r="CG882"/>
      <c r="CH882"/>
      <c r="CI882"/>
      <c r="CJ882" t="inlineStr">
        <is>
          <t>No Paid</t>
        </is>
      </c>
      <c r="CK882" t="inlineStr">
        <is>
          <t>Not Eligible</t>
        </is>
      </c>
      <c r="CL882"/>
      <c r="CM882"/>
    </row>
    <row r="883" ht="25.5" customHeight="1">
      <c r="A883" t="inlineStr">
        <is>
          <t>49481</t>
        </is>
      </c>
      <c r="B883" s="2"/>
      <c r="C883"/>
      <c r="D883" s="3">
        <v>46135.44761574074</v>
      </c>
      <c r="E883" t="inlineStr">
        <is>
          <t>Q2-W03</t>
        </is>
      </c>
      <c r="F883" t="inlineStr">
        <is>
          <t>Keegan</t>
        </is>
      </c>
      <c r="G883" t="inlineStr">
        <is>
          <t>Customer</t>
        </is>
      </c>
      <c r="H883" s="2" t="str">
        <f>=HYPERLINK("https://upbox.ajobthing.my/customer/49481", "https://upbox.ajobthing.my/customer/49481")</f>
        <v>https://upbox.ajobthing.my/customer/49481</v>
      </c>
      <c r="I883" t="inlineStr">
        <is>
          <t>Ooree International Sdn Bhd</t>
        </is>
      </c>
      <c r="J883" t="inlineStr">
        <is>
          <t>Dolphin</t>
        </is>
      </c>
      <c r="K883" t="inlineStr">
        <is>
          <t>Keegan</t>
        </is>
      </c>
      <c r="L883" s="4"/>
      <c r="M883" s="4">
        <v>46135.44768518519</v>
      </c>
      <c r="N883"/>
      <c r="O883">
        <v>6048</v>
      </c>
      <c r="P883" s="4"/>
      <c r="Q883" s="4">
        <v>45695.60475694444</v>
      </c>
      <c r="R883"/>
      <c r="S883">
        <v>648</v>
      </c>
      <c r="T883" s="4">
        <v>45695.60475694444</v>
      </c>
      <c r="U883" s="4"/>
      <c r="V883"/>
      <c r="W883">
        <v>648</v>
      </c>
      <c r="X883"/>
      <c r="Y883" t="inlineStr">
        <is>
          <t>Pending Appointment</t>
        </is>
      </c>
      <c r="Z883" t="inlineStr">
        <is>
          <t>Hiring Now</t>
        </is>
      </c>
      <c r="AA883">
        <v>3</v>
      </c>
      <c r="AB883" t="inlineStr">
        <is>
          <t>No Appointment Made</t>
        </is>
      </c>
      <c r="AC883"/>
      <c r="AD883" t="inlineStr">
        <is>
          <t xml:space="preserve">1. Technician 
2. Sales 
3. Admin </t>
        </is>
      </c>
      <c r="AE883"/>
      <c r="AF883"/>
      <c r="AG883" s="4"/>
      <c r="AH883" s="4"/>
      <c r="AI883"/>
      <c r="AJ883">
        <v>1</v>
      </c>
      <c r="AK883" t="inlineStr">
        <is>
          <t>No, I don't need at all</t>
        </is>
      </c>
      <c r="AL883">
        <v>0</v>
      </c>
      <c r="AM883" t="inlineStr">
        <is>
          <t>No, I don't need at all</t>
        </is>
      </c>
      <c r="AN883"/>
      <c r="AO883" t="inlineStr">
        <is>
          <t>No, I don't need at all</t>
        </is>
      </c>
      <c r="AP883" t="inlineStr">
        <is>
          <t>Once per quarter (75%)</t>
        </is>
      </c>
      <c r="AQ883"/>
      <c r="AR883" t="inlineStr">
        <is>
          <t>Did not use any job portal</t>
        </is>
      </c>
      <c r="AS883" t="inlineStr">
        <is>
          <t>- Headcount: 3
- Hiring Job Details: 1. Technician 2. Sales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883">
        <v>65</v>
      </c>
      <c r="AU883" t="inlineStr">
        <is>
          <t>0.65</t>
        </is>
      </c>
      <c r="AV883" t="inlineStr">
        <is>
          <t>5</t>
        </is>
      </c>
      <c r="AW883" t="inlineStr">
        <is>
          <t>0</t>
        </is>
      </c>
      <c r="AX883" t="inlineStr">
        <is>
          <t>Not Qualified</t>
        </is>
      </c>
      <c r="AY883" s="4"/>
      <c r="AZ883"/>
      <c r="BA883"/>
      <c r="BB883"/>
      <c r="BC883" t="inlineStr">
        <is>
          <t>- Headcount: 3
- Hiring Job Details: 1. Technician 2. Sales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883" s="4">
        <v>46135.45835648148</v>
      </c>
      <c r="BE883" t="inlineStr">
        <is>
          <t>paid</t>
        </is>
      </c>
      <c r="BF883"/>
      <c r="BG883" t="inlineStr">
        <is>
          <t>Reschedule</t>
        </is>
      </c>
      <c r="BH883" t="inlineStr">
        <is>
          <t>Edward Hoo</t>
        </is>
      </c>
      <c r="BI883" t="inlineStr">
        <is>
          <t>Retail / Merchandise</t>
        </is>
      </c>
      <c r="BJ883" s="4">
        <v>46144.75604166667</v>
      </c>
      <c r="BK883" s="4">
        <v>43263.37975694444</v>
      </c>
      <c r="BL883" t="inlineStr">
        <is>
          <t>0.0</t>
        </is>
      </c>
      <c r="BM883" t="inlineStr">
        <is>
          <t>0.0</t>
        </is>
      </c>
      <c r="BN883" t="inlineStr">
        <is>
          <t>View Create Job Page V4</t>
        </is>
      </c>
      <c r="BO883" s="4">
        <v>46125.598912037036</v>
      </c>
      <c r="BP883">
        <v>168471</v>
      </c>
      <c r="BQ883">
        <v>76575</v>
      </c>
      <c r="BR883" t="inlineStr">
        <is>
          <t>Online</t>
        </is>
      </c>
      <c r="BS883"/>
      <c r="BT883">
        <v>76575</v>
      </c>
      <c r="BU883"/>
      <c r="BV883">
        <v>2722693</v>
      </c>
      <c r="BW883" t="inlineStr">
        <is>
          <t>Customer Inquiry</t>
        </is>
      </c>
      <c r="BX883"/>
      <c r="BY883"/>
      <c r="BZ883" s="4"/>
      <c r="CA883"/>
      <c r="CB883"/>
      <c r="CC883" s="4"/>
      <c r="CD883" t="inlineStr">
        <is>
          <t>5</t>
        </is>
      </c>
      <c r="CE883" t="inlineStr">
        <is>
          <t>0</t>
        </is>
      </c>
      <c r="CF883" t="inlineStr">
        <is>
          <t>Q2-W03</t>
        </is>
      </c>
      <c r="CG883"/>
      <c r="CH883"/>
      <c r="CI883"/>
      <c r="CJ883" t="inlineStr">
        <is>
          <t>Paid</t>
        </is>
      </c>
      <c r="CK883" t="inlineStr">
        <is>
          <t>Not Eligible</t>
        </is>
      </c>
      <c r="CL883"/>
      <c r="CM883"/>
    </row>
    <row r="884" ht="25.5" customHeight="1">
      <c r="A884" t="inlineStr">
        <is>
          <t>39749</t>
        </is>
      </c>
      <c r="B884" s="2"/>
      <c r="C884"/>
      <c r="D884" s="3">
        <v>46135.453356481485</v>
      </c>
      <c r="E884" t="inlineStr">
        <is>
          <t>Q2-W03</t>
        </is>
      </c>
      <c r="F884" t="inlineStr">
        <is>
          <t>Luqman</t>
        </is>
      </c>
      <c r="G884" t="inlineStr">
        <is>
          <t>Customer</t>
        </is>
      </c>
      <c r="H884" s="2" t="str">
        <f>=HYPERLINK("https://upbox.ajobthing.my/customer/39749", "https://upbox.ajobthing.my/customer/39749")</f>
        <v>https://upbox.ajobthing.my/customer/39749</v>
      </c>
      <c r="I884" t="inlineStr">
        <is>
          <t>Global PCK Solutions Sdn Bhd</t>
        </is>
      </c>
      <c r="J884" t="inlineStr">
        <is>
          <t>Dolphin</t>
        </is>
      </c>
      <c r="K884" t="inlineStr">
        <is>
          <t>Luqman</t>
        </is>
      </c>
      <c r="L884" s="4"/>
      <c r="M884" s="4">
        <v>46135.4534375</v>
      </c>
      <c r="N884"/>
      <c r="O884">
        <v>3888</v>
      </c>
      <c r="P884" s="4"/>
      <c r="Q884" s="4">
        <v>46141.70873842593</v>
      </c>
      <c r="R884"/>
      <c r="S884">
        <v>1296</v>
      </c>
      <c r="T884" s="4">
        <v>46141.70873842593</v>
      </c>
      <c r="U884" s="4"/>
      <c r="V884"/>
      <c r="W884">
        <v>1296</v>
      </c>
      <c r="X884"/>
      <c r="Y884" t="inlineStr">
        <is>
          <t>Pending Appointment</t>
        </is>
      </c>
      <c r="Z884" t="inlineStr">
        <is>
          <t>Hiring Later</t>
        </is>
      </c>
      <c r="AA884">
        <v>1</v>
      </c>
      <c r="AB884" t="inlineStr">
        <is>
          <t>No Appointment Made</t>
        </is>
      </c>
      <c r="AC884"/>
      <c r="AD884" t="inlineStr">
        <is>
          <t>1. Account Executive</t>
        </is>
      </c>
      <c r="AE884"/>
      <c r="AF884">
        <v>1200</v>
      </c>
      <c r="AG884" s="4"/>
      <c r="AH884" s="4"/>
      <c r="AI884">
        <v>1200</v>
      </c>
      <c r="AJ884"/>
      <c r="AK884" t="inlineStr">
        <is>
          <t>No, but I want in future</t>
        </is>
      </c>
      <c r="AL884">
        <v>2</v>
      </c>
      <c r="AM884" t="inlineStr">
        <is>
          <t>No, I don't need at all</t>
        </is>
      </c>
      <c r="AN884"/>
      <c r="AO884" t="inlineStr">
        <is>
          <t>No, but I want in future</t>
        </is>
      </c>
      <c r="AP884" t="inlineStr">
        <is>
          <t>Once a year (25%)</t>
        </is>
      </c>
      <c r="AQ884">
        <v>1</v>
      </c>
      <c r="AR884" t="inlineStr">
        <is>
          <t>Hiredly</t>
        </is>
      </c>
      <c r="AS884" t="inlineStr">
        <is>
          <t>- Headcount: 1
- Hiring Job Details: 1 Account Executive
- Hiring Urgency: Hiring Later
- Number of outlets: None
- Have recruiter team: No, but want in future
- Number of recruiter in company: 2
- Have ATS system: No, don't need at all
- Have career website: No, but want in future
- Current hiring budget: RM1,200
- Whole year budget: RM1,200.00
- Whole year number of vacancies: 1
- Hiring frequency: Once a year (25%)
- External job portal: Hiredly</t>
        </is>
      </c>
      <c r="AT884">
        <v>110</v>
      </c>
      <c r="AU884" t="inlineStr">
        <is>
          <t>1.10</t>
        </is>
      </c>
      <c r="AV884" t="inlineStr">
        <is>
          <t>15</t>
        </is>
      </c>
      <c r="AW884" t="inlineStr">
        <is>
          <t>0</t>
        </is>
      </c>
      <c r="AX884" t="inlineStr">
        <is>
          <t>Not Qualified</t>
        </is>
      </c>
      <c r="AY884" s="4"/>
      <c r="AZ884"/>
      <c r="BA884"/>
      <c r="BB884"/>
      <c r="BC884" t="inlineStr">
        <is>
          <t>Sharing Boolean Search Update</t>
        </is>
      </c>
      <c r="BD884" s="4">
        <v>46142.73780092593</v>
      </c>
      <c r="BE884" t="inlineStr">
        <is>
          <t>paid</t>
        </is>
      </c>
      <c r="BF884" t="inlineStr">
        <is>
          <t>Q2-W04</t>
        </is>
      </c>
      <c r="BG884" t="inlineStr">
        <is>
          <t>Reschedule</t>
        </is>
      </c>
      <c r="BH884" t="inlineStr">
        <is>
          <t>Edward Hoo</t>
        </is>
      </c>
      <c r="BI884" t="inlineStr">
        <is>
          <t>IT / Software</t>
        </is>
      </c>
      <c r="BJ884" s="4">
        <v>46144.75511574074</v>
      </c>
      <c r="BK884" s="4">
        <v>42934.67559027778</v>
      </c>
      <c r="BL884" t="inlineStr">
        <is>
          <t>1296.0</t>
        </is>
      </c>
      <c r="BM884" t="inlineStr">
        <is>
          <t>0.0</t>
        </is>
      </c>
      <c r="BN884" t="inlineStr">
        <is>
          <t>View Account User</t>
        </is>
      </c>
      <c r="BO884" s="4">
        <v>46135.45490740741</v>
      </c>
      <c r="BP884">
        <v>168480</v>
      </c>
      <c r="BQ884">
        <v>95127</v>
      </c>
      <c r="BR884" t="inlineStr">
        <is>
          <t>Online</t>
        </is>
      </c>
      <c r="BS884"/>
      <c r="BT884">
        <v>95127</v>
      </c>
      <c r="BU884"/>
      <c r="BV884">
        <v>2738447</v>
      </c>
      <c r="BW884" t="inlineStr">
        <is>
          <t>Service / Technical : Job Outcome Enquiry</t>
        </is>
      </c>
      <c r="BX884">
        <v>1</v>
      </c>
      <c r="BY884">
        <v>1</v>
      </c>
      <c r="BZ884" s="4"/>
      <c r="CA884"/>
      <c r="CB884"/>
      <c r="CC884" s="4"/>
      <c r="CD884" t="inlineStr">
        <is>
          <t>20</t>
        </is>
      </c>
      <c r="CE884" t="inlineStr">
        <is>
          <t>0</t>
        </is>
      </c>
      <c r="CF884" t="inlineStr">
        <is>
          <t>Q2-W03</t>
        </is>
      </c>
      <c r="CG884" t="inlineStr">
        <is>
          <t>Q2-W04</t>
        </is>
      </c>
      <c r="CH884" t="inlineStr">
        <is>
          <t>Q2-W04</t>
        </is>
      </c>
      <c r="CI884"/>
      <c r="CJ884" t="inlineStr">
        <is>
          <t>Paid</t>
        </is>
      </c>
      <c r="CK884" t="inlineStr">
        <is>
          <t>Not Eligible</t>
        </is>
      </c>
      <c r="CL884"/>
      <c r="CM884"/>
    </row>
    <row r="885" ht="25.5" customHeight="1">
      <c r="A885" t="inlineStr">
        <is>
          <t>203555</t>
        </is>
      </c>
      <c r="B885" s="2"/>
      <c r="C885"/>
      <c r="D885" s="3">
        <v>46135.46045138889</v>
      </c>
      <c r="E885" t="inlineStr">
        <is>
          <t>Q2-W03</t>
        </is>
      </c>
      <c r="F885" t="inlineStr">
        <is>
          <t>Angel  Low</t>
        </is>
      </c>
      <c r="G885" t="inlineStr">
        <is>
          <t>Customer</t>
        </is>
      </c>
      <c r="H885" s="2" t="str">
        <f>=HYPERLINK("https://upbox.ajobthing.my/customer/203555", "https://upbox.ajobthing.my/customer/203555")</f>
        <v>https://upbox.ajobthing.my/customer/203555</v>
      </c>
      <c r="I885" t="inlineStr">
        <is>
          <t>Usaha Watan Sdn Bhd</t>
        </is>
      </c>
      <c r="J885" t="inlineStr">
        <is>
          <t>Dolphin</t>
        </is>
      </c>
      <c r="K885" t="inlineStr">
        <is>
          <t>Angel Low</t>
        </is>
      </c>
      <c r="L885" s="4"/>
      <c r="M885" s="4">
        <v>46135.460856481484</v>
      </c>
      <c r="N885"/>
      <c r="O885">
        <v>5508</v>
      </c>
      <c r="P885" s="4"/>
      <c r="Q885" s="4"/>
      <c r="R885"/>
      <c r="S885"/>
      <c r="T885" s="4"/>
      <c r="U885" s="4"/>
      <c r="V885"/>
      <c r="W885"/>
      <c r="X885"/>
      <c r="Y885" t="inlineStr">
        <is>
          <t>Pending Appointment</t>
        </is>
      </c>
      <c r="Z885"/>
      <c r="AA885">
        <v>3</v>
      </c>
      <c r="AB885" t="inlineStr">
        <is>
          <t>No Appointment Made</t>
        </is>
      </c>
      <c r="AC885"/>
      <c r="AD885" t="inlineStr">
        <is>
          <t xml:space="preserve">2 admin , 1 customer service </t>
        </is>
      </c>
      <c r="AE885"/>
      <c r="AF885"/>
      <c r="AG885" s="4"/>
      <c r="AH885" s="4"/>
      <c r="AI885"/>
      <c r="AJ885"/>
      <c r="AK885"/>
      <c r="AL885"/>
      <c r="AM885"/>
      <c r="AN885"/>
      <c r="AO885"/>
      <c r="AP885"/>
      <c r="AQ885"/>
      <c r="AR885"/>
      <c r="AS885" t="inlineStr">
        <is>
          <t>- Headcount: 3
- Hiring Job Details: 2 admin, 1 customer service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885">
        <v>60</v>
      </c>
      <c r="AU885" t="inlineStr">
        <is>
          <t>0.60</t>
        </is>
      </c>
      <c r="AV885" t="inlineStr">
        <is>
          <t>5</t>
        </is>
      </c>
      <c r="AW885" t="inlineStr">
        <is>
          <t>0</t>
        </is>
      </c>
      <c r="AX885" t="inlineStr">
        <is>
          <t>Not Qualified</t>
        </is>
      </c>
      <c r="AY885" s="4"/>
      <c r="AZ885"/>
      <c r="BA885"/>
      <c r="BB885"/>
      <c r="BC885" t="inlineStr">
        <is>
          <t>- Headcount: 3
- Hiring Job Details: 2 admin, 1 customer service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BD885" s="4">
        <v>46135.500023148146</v>
      </c>
      <c r="BE885"/>
      <c r="BF885"/>
      <c r="BG885" t="inlineStr">
        <is>
          <t>Reschedule</t>
        </is>
      </c>
      <c r="BH885" t="inlineStr">
        <is>
          <t>Fauziah Maharan</t>
        </is>
      </c>
      <c r="BI885"/>
      <c r="BJ885" s="4">
        <v>46144.75435185185</v>
      </c>
      <c r="BK885" s="4">
        <v>46135.37163194444</v>
      </c>
      <c r="BL885" t="inlineStr">
        <is>
          <t>0.0</t>
        </is>
      </c>
      <c r="BM885" t="inlineStr">
        <is>
          <t>1200.0</t>
        </is>
      </c>
      <c r="BN885" t="inlineStr">
        <is>
          <t>View Create Job Page V4</t>
        </is>
      </c>
      <c r="BO885" s="4">
        <v>46135.37766203703</v>
      </c>
      <c r="BP885">
        <v>168483</v>
      </c>
      <c r="BQ885"/>
      <c r="BR885"/>
      <c r="BS885"/>
      <c r="BT885"/>
      <c r="BU885"/>
      <c r="BV885">
        <v>2722992</v>
      </c>
      <c r="BW885" t="inlineStr">
        <is>
          <t>Customer Inquiry</t>
        </is>
      </c>
      <c r="BX885"/>
      <c r="BY885"/>
      <c r="BZ885" s="4"/>
      <c r="CA885"/>
      <c r="CB885"/>
      <c r="CC885" s="4"/>
      <c r="CD885" t="inlineStr">
        <is>
          <t>5</t>
        </is>
      </c>
      <c r="CE885" t="inlineStr">
        <is>
          <t>0</t>
        </is>
      </c>
      <c r="CF885" t="inlineStr">
        <is>
          <t>Q2-W03</t>
        </is>
      </c>
      <c r="CG885"/>
      <c r="CH885"/>
      <c r="CI885"/>
      <c r="CJ885" t="inlineStr">
        <is>
          <t>No Paid</t>
        </is>
      </c>
      <c r="CK885" t="inlineStr">
        <is>
          <t>Not Eligible</t>
        </is>
      </c>
      <c r="CL885"/>
      <c r="CM885"/>
    </row>
    <row r="886" ht="25.5" customHeight="1">
      <c r="A886" t="inlineStr">
        <is>
          <t>25166</t>
        </is>
      </c>
      <c r="B886" s="2"/>
      <c r="C886"/>
      <c r="D886" s="3">
        <v>46135.460752314815</v>
      </c>
      <c r="E886" t="inlineStr">
        <is>
          <t>Q2-W03</t>
        </is>
      </c>
      <c r="F886" t="inlineStr">
        <is>
          <t>Fariz</t>
        </is>
      </c>
      <c r="G886" t="inlineStr">
        <is>
          <t>Customer</t>
        </is>
      </c>
      <c r="H886" s="2" t="str">
        <f>=HYPERLINK("https://upbox.ajobthing.my/customer/25166", "https://upbox.ajobthing.my/customer/25166")</f>
        <v>https://upbox.ajobthing.my/customer/25166</v>
      </c>
      <c r="I886" t="inlineStr">
        <is>
          <t>SLEN Group Sdn Bhd</t>
        </is>
      </c>
      <c r="J886" t="inlineStr">
        <is>
          <t>Dolphin</t>
        </is>
      </c>
      <c r="K886" t="inlineStr">
        <is>
          <t>Fariz</t>
        </is>
      </c>
      <c r="L886" s="4"/>
      <c r="M886" s="4">
        <v>46135.461122685185</v>
      </c>
      <c r="N886"/>
      <c r="O886">
        <v>3888</v>
      </c>
      <c r="P886" s="4"/>
      <c r="Q886" s="4">
        <v>45440.68790509259</v>
      </c>
      <c r="R886"/>
      <c r="S886">
        <v>2916</v>
      </c>
      <c r="T886" s="4">
        <v>45440.68790509259</v>
      </c>
      <c r="U886" s="4"/>
      <c r="V886"/>
      <c r="W886">
        <v>2916</v>
      </c>
      <c r="X886"/>
      <c r="Y886" t="inlineStr">
        <is>
          <t>Pending Appointment</t>
        </is>
      </c>
      <c r="Z886" t="inlineStr">
        <is>
          <t>Hiring Now</t>
        </is>
      </c>
      <c r="AA886">
        <v>2</v>
      </c>
      <c r="AB886" t="inlineStr">
        <is>
          <t>No Appointment Made</t>
        </is>
      </c>
      <c r="AC886"/>
      <c r="AD886" t="inlineStr">
        <is>
          <t>1 admin 1 account</t>
        </is>
      </c>
      <c r="AE886"/>
      <c r="AF886">
        <v>3600</v>
      </c>
      <c r="AG886" s="4"/>
      <c r="AH886" s="4"/>
      <c r="AI886">
        <v>3600</v>
      </c>
      <c r="AJ886"/>
      <c r="AK886" t="inlineStr">
        <is>
          <t>No, but I want in future</t>
        </is>
      </c>
      <c r="AL886">
        <v>1</v>
      </c>
      <c r="AM886" t="inlineStr">
        <is>
          <t>No, but I want in future</t>
        </is>
      </c>
      <c r="AN886"/>
      <c r="AO886" t="inlineStr">
        <is>
          <t>No, but I want in future</t>
        </is>
      </c>
      <c r="AP886" t="inlineStr">
        <is>
          <t>Twice a year (50%)</t>
        </is>
      </c>
      <c r="AQ886">
        <v>2</v>
      </c>
      <c r="AR886" t="inlineStr">
        <is>
          <t>Free Job Portal, Jobstreet</t>
        </is>
      </c>
      <c r="AS886" t="inlineStr">
        <is>
          <t>- Headcount: 2
- Hiring Job Details: 1 admin, 1 account
- Number of outlets: N/A
- Have recruiter team: No, but want in future
- Number of recruiter in company: 1
- Have ATS system: No, but want in future
- Have career website: No, but want in future
- Current hiring budget: RM3,600
- Whole year budget: RM3,600.00
- Whole year number of vacancies: 2
- Hiring frequency: Twice a year (50%)
- External job portal: Free Job Portal, Jobstreet
- Hiring Urgency: Hiring Now</t>
        </is>
      </c>
      <c r="AT886">
        <v>110</v>
      </c>
      <c r="AU886" t="inlineStr">
        <is>
          <t>1.10</t>
        </is>
      </c>
      <c r="AV886" t="inlineStr">
        <is>
          <t>15</t>
        </is>
      </c>
      <c r="AW886" t="inlineStr">
        <is>
          <t>0</t>
        </is>
      </c>
      <c r="AX886" t="inlineStr">
        <is>
          <t>Not Qualified</t>
        </is>
      </c>
      <c r="AY886" s="4"/>
      <c r="AZ886"/>
      <c r="BA886"/>
      <c r="BB886"/>
      <c r="BC886" t="inlineStr">
        <is>
          <t>customer said to expensive, already give discount RM288. give him timeline until 30th april. said will inform again</t>
        </is>
      </c>
      <c r="BD886" s="4">
        <v>46141.417546296296</v>
      </c>
      <c r="BE886" t="inlineStr">
        <is>
          <t>paid</t>
        </is>
      </c>
      <c r="BF886"/>
      <c r="BG886" t="inlineStr">
        <is>
          <t>Reschedule</t>
        </is>
      </c>
      <c r="BH886" t="inlineStr">
        <is>
          <t>Edward Hoo</t>
        </is>
      </c>
      <c r="BI886" t="inlineStr">
        <is>
          <t>General / Wholesale Trading</t>
        </is>
      </c>
      <c r="BJ886" s="4">
        <v>46144.75446759259</v>
      </c>
      <c r="BK886" s="4">
        <v>42544.44532407408</v>
      </c>
      <c r="BL886" t="inlineStr">
        <is>
          <t>0.0</t>
        </is>
      </c>
      <c r="BM886" t="inlineStr">
        <is>
          <t>0.0</t>
        </is>
      </c>
      <c r="BN886" t="inlineStr">
        <is>
          <t>View Jobmanager Page</t>
        </is>
      </c>
      <c r="BO886" s="4">
        <v>45812.5528125</v>
      </c>
      <c r="BP886">
        <v>168484</v>
      </c>
      <c r="BQ886">
        <v>69566</v>
      </c>
      <c r="BR886" t="inlineStr">
        <is>
          <t>Online</t>
        </is>
      </c>
      <c r="BS886"/>
      <c r="BT886">
        <v>69566</v>
      </c>
      <c r="BU886"/>
      <c r="BV886">
        <v>2734280</v>
      </c>
      <c r="BW886" t="inlineStr">
        <is>
          <t>Follow Up : Budget Concern</t>
        </is>
      </c>
      <c r="BX886"/>
      <c r="BY886"/>
      <c r="BZ886" s="4"/>
      <c r="CA886"/>
      <c r="CB886"/>
      <c r="CC886" s="4"/>
      <c r="CD886" t="inlineStr">
        <is>
          <t>20</t>
        </is>
      </c>
      <c r="CE886" t="inlineStr">
        <is>
          <t>0</t>
        </is>
      </c>
      <c r="CF886" t="inlineStr">
        <is>
          <t>Q2-W03</t>
        </is>
      </c>
      <c r="CG886"/>
      <c r="CH886"/>
      <c r="CI886"/>
      <c r="CJ886" t="inlineStr">
        <is>
          <t>Paid</t>
        </is>
      </c>
      <c r="CK886" t="inlineStr">
        <is>
          <t>Not Eligible</t>
        </is>
      </c>
      <c r="CL886"/>
      <c r="CM886"/>
    </row>
    <row r="887" ht="25.5" customHeight="1">
      <c r="A887" t="inlineStr">
        <is>
          <t>131330</t>
        </is>
      </c>
      <c r="B887" s="2"/>
      <c r="C887"/>
      <c r="D887" s="3">
        <v>46135.460914351854</v>
      </c>
      <c r="E887" t="inlineStr">
        <is>
          <t>Q2-W03</t>
        </is>
      </c>
      <c r="F887" t="inlineStr">
        <is>
          <t>Evan</t>
        </is>
      </c>
      <c r="G887" t="inlineStr">
        <is>
          <t>Customer</t>
        </is>
      </c>
      <c r="H887" s="2" t="str">
        <f>=HYPERLINK("https://upbox.ajobthing.my/customer/131330", "https://upbox.ajobthing.my/customer/131330")</f>
        <v>https://upbox.ajobthing.my/customer/131330</v>
      </c>
      <c r="I887" t="inlineStr">
        <is>
          <t>Keat Seng Motor Sdn Bhd</t>
        </is>
      </c>
      <c r="J887" t="inlineStr">
        <is>
          <t>Dolphin</t>
        </is>
      </c>
      <c r="K887" t="inlineStr">
        <is>
          <t>Evan</t>
        </is>
      </c>
      <c r="L887" s="4"/>
      <c r="M887" s="4">
        <v>46135.45952546296</v>
      </c>
      <c r="N887"/>
      <c r="O887">
        <v>4968</v>
      </c>
      <c r="P887" s="4"/>
      <c r="Q887" s="4">
        <v>44133.00001157408</v>
      </c>
      <c r="R887"/>
      <c r="S887">
        <v>795</v>
      </c>
      <c r="T887" s="4">
        <v>44133.00001157408</v>
      </c>
      <c r="U887" s="4"/>
      <c r="V887"/>
      <c r="W887">
        <v>795</v>
      </c>
      <c r="X887"/>
      <c r="Y887" t="inlineStr">
        <is>
          <t>Pending Appointment</t>
        </is>
      </c>
      <c r="Z887" t="inlineStr">
        <is>
          <t>Continuous Hiring</t>
        </is>
      </c>
      <c r="AA887">
        <v>1</v>
      </c>
      <c r="AB887" t="inlineStr">
        <is>
          <t>No Appointment Made</t>
        </is>
      </c>
      <c r="AC887"/>
      <c r="AD887" t="inlineStr">
        <is>
          <t>1 sales, all base in Kedah</t>
        </is>
      </c>
      <c r="AE887"/>
      <c r="AF887">
        <v>1</v>
      </c>
      <c r="AG887" s="4"/>
      <c r="AH887" s="4"/>
      <c r="AI887">
        <v>1</v>
      </c>
      <c r="AJ887">
        <v>1</v>
      </c>
      <c r="AK887" t="inlineStr">
        <is>
          <t>No, I don't need at all</t>
        </is>
      </c>
      <c r="AL887">
        <v>0</v>
      </c>
      <c r="AM887" t="inlineStr">
        <is>
          <t>No, I don't need at all</t>
        </is>
      </c>
      <c r="AN887"/>
      <c r="AO887" t="inlineStr">
        <is>
          <t>No, I don't need at all</t>
        </is>
      </c>
      <c r="AP887" t="inlineStr">
        <is>
          <t>Once a year (25%)</t>
        </is>
      </c>
      <c r="AQ887">
        <v>1</v>
      </c>
      <c r="AR887" t="inlineStr">
        <is>
          <t>Did not use any job portal</t>
        </is>
      </c>
      <c r="AS887" t="inlineStr">
        <is>
          <t>- Headcount: 1
- Hiring Job Details: 1 sales
- Hiring Urgency: Continuous Hiring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887">
        <v>105</v>
      </c>
      <c r="AU887" t="inlineStr">
        <is>
          <t>1.05</t>
        </is>
      </c>
      <c r="AV887" t="inlineStr">
        <is>
          <t>15</t>
        </is>
      </c>
      <c r="AW887" t="inlineStr">
        <is>
          <t>0</t>
        </is>
      </c>
      <c r="AX887" t="inlineStr">
        <is>
          <t>Not Qualified</t>
        </is>
      </c>
      <c r="AY887" s="4"/>
      <c r="AZ887"/>
      <c r="BA887"/>
      <c r="BB887"/>
      <c r="BC887" t="inlineStr">
        <is>
          <t>- Headcount: 1
- Hiring Job Details: 1 sales
- Hiring Urgency: Continuous Hiring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BD887" s="4">
        <v>46135.500023148146</v>
      </c>
      <c r="BE887" t="inlineStr">
        <is>
          <t>paid</t>
        </is>
      </c>
      <c r="BF887"/>
      <c r="BG887" t="inlineStr">
        <is>
          <t>Reschedule</t>
        </is>
      </c>
      <c r="BH887" t="inlineStr">
        <is>
          <t>Edward Hoo</t>
        </is>
      </c>
      <c r="BI887"/>
      <c r="BJ887" s="4">
        <v>46144.75047453704</v>
      </c>
      <c r="BK887" s="4">
        <v>44130.39506944444</v>
      </c>
      <c r="BL887" t="inlineStr">
        <is>
          <t>0.0</t>
        </is>
      </c>
      <c r="BM887" t="inlineStr">
        <is>
          <t>0.0</t>
        </is>
      </c>
      <c r="BN887" t="inlineStr">
        <is>
          <t>User Login</t>
        </is>
      </c>
      <c r="BO887" s="4">
        <v>45034.73043981481</v>
      </c>
      <c r="BP887">
        <v>168481</v>
      </c>
      <c r="BQ887">
        <v>27687</v>
      </c>
      <c r="BR887" t="inlineStr">
        <is>
          <t>Online</t>
        </is>
      </c>
      <c r="BS887"/>
      <c r="BT887">
        <v>27687</v>
      </c>
      <c r="BU887"/>
      <c r="BV887">
        <v>2722994</v>
      </c>
      <c r="BW887" t="inlineStr">
        <is>
          <t>Customer Inquiry</t>
        </is>
      </c>
      <c r="BX887"/>
      <c r="BY887"/>
      <c r="BZ887" s="4"/>
      <c r="CA887"/>
      <c r="CB887"/>
      <c r="CC887" s="4"/>
      <c r="CD887" t="inlineStr">
        <is>
          <t>20</t>
        </is>
      </c>
      <c r="CE887" t="inlineStr">
        <is>
          <t>0</t>
        </is>
      </c>
      <c r="CF887" t="inlineStr">
        <is>
          <t>Q2-W03</t>
        </is>
      </c>
      <c r="CG887"/>
      <c r="CH887"/>
      <c r="CI887"/>
      <c r="CJ887" t="inlineStr">
        <is>
          <t>Paid</t>
        </is>
      </c>
      <c r="CK887" t="inlineStr">
        <is>
          <t>Not Eligible</t>
        </is>
      </c>
      <c r="CL887"/>
      <c r="CM887"/>
    </row>
    <row r="888" ht="25.5" customHeight="1">
      <c r="A888" t="inlineStr">
        <is>
          <t>184697</t>
        </is>
      </c>
      <c r="B888" s="2"/>
      <c r="C888"/>
      <c r="D888" s="3">
        <v>46135.46449074074</v>
      </c>
      <c r="E888" t="inlineStr">
        <is>
          <t>Q2-W03</t>
        </is>
      </c>
      <c r="F888" t="inlineStr">
        <is>
          <t>Xin Hui</t>
        </is>
      </c>
      <c r="G888" t="inlineStr">
        <is>
          <t>Customer</t>
        </is>
      </c>
      <c r="H888" s="2" t="str">
        <f>=HYPERLINK("https://upbox.ajobthing.my/customer/184697", "https://upbox.ajobthing.my/customer/184697")</f>
        <v>https://upbox.ajobthing.my/customer/184697</v>
      </c>
      <c r="I888" t="inlineStr">
        <is>
          <t>Ong 99 Online Mall Sdn Bhd</t>
        </is>
      </c>
      <c r="J888" t="inlineStr">
        <is>
          <t>Dolphin</t>
        </is>
      </c>
      <c r="K888" t="inlineStr">
        <is>
          <t>Xin Hui</t>
        </is>
      </c>
      <c r="L888" s="4"/>
      <c r="M888" s="4">
        <v>46135.46585648148</v>
      </c>
      <c r="N888"/>
      <c r="O888">
        <v>3888</v>
      </c>
      <c r="P888" s="4"/>
      <c r="Q888" s="4">
        <v>45611.714467592596</v>
      </c>
      <c r="R888"/>
      <c r="S888">
        <v>648</v>
      </c>
      <c r="T888" s="4">
        <v>45611.714467592596</v>
      </c>
      <c r="U888" s="4"/>
      <c r="V888"/>
      <c r="W888">
        <v>648</v>
      </c>
      <c r="X888"/>
      <c r="Y888" t="inlineStr">
        <is>
          <t>Pending Appointment</t>
        </is>
      </c>
      <c r="Z888" t="inlineStr">
        <is>
          <t>Hiring Now</t>
        </is>
      </c>
      <c r="AA888">
        <v>2</v>
      </c>
      <c r="AB888" t="inlineStr">
        <is>
          <t>No Appointment Made</t>
        </is>
      </c>
      <c r="AC888"/>
      <c r="AD888" t="inlineStr">
        <is>
          <t xml:space="preserve">video editor / general clerk </t>
        </is>
      </c>
      <c r="AE888"/>
      <c r="AF888"/>
      <c r="AG888" s="4"/>
      <c r="AH888" s="4"/>
      <c r="AI888"/>
      <c r="AJ888"/>
      <c r="AK888" t="inlineStr">
        <is>
          <t>No, I don't need at all</t>
        </is>
      </c>
      <c r="AL888"/>
      <c r="AM888" t="inlineStr">
        <is>
          <t>No, I don't need at all</t>
        </is>
      </c>
      <c r="AN888"/>
      <c r="AO888" t="inlineStr">
        <is>
          <t>No, I don't need at all</t>
        </is>
      </c>
      <c r="AP888" t="inlineStr">
        <is>
          <t>Once a year (25%)</t>
        </is>
      </c>
      <c r="AQ888"/>
      <c r="AR888" t="inlineStr">
        <is>
          <t>Did not use any job portal</t>
        </is>
      </c>
      <c r="AS888" t="inlineStr">
        <is>
          <t>- Headcount: 2
- Hiring Job Details: video editor / general clerk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Did not use any job portal</t>
        </is>
      </c>
      <c r="AT888">
        <v>75</v>
      </c>
      <c r="AU888" t="inlineStr">
        <is>
          <t>0.75</t>
        </is>
      </c>
      <c r="AV888" t="inlineStr">
        <is>
          <t>5</t>
        </is>
      </c>
      <c r="AW888" t="inlineStr">
        <is>
          <t>0</t>
        </is>
      </c>
      <c r="AX888" t="inlineStr">
        <is>
          <t>Not Qualified</t>
        </is>
      </c>
      <c r="AY888" s="4"/>
      <c r="AZ888"/>
      <c r="BA888"/>
      <c r="BB888"/>
      <c r="BC888" t="inlineStr">
        <is>
          <t>boss prefer free portal</t>
        </is>
      </c>
      <c r="BD888" s="4">
        <v>46139.5775</v>
      </c>
      <c r="BE888" t="inlineStr">
        <is>
          <t>paid</t>
        </is>
      </c>
      <c r="BF888"/>
      <c r="BG888" t="inlineStr">
        <is>
          <t>Reschedule</t>
        </is>
      </c>
      <c r="BH888" t="inlineStr">
        <is>
          <t>Yee Hang</t>
        </is>
      </c>
      <c r="BI888" t="inlineStr">
        <is>
          <t>General / Wholesale Trading</t>
        </is>
      </c>
      <c r="BJ888" s="4">
        <v>46144.75201388889</v>
      </c>
      <c r="BK888" s="4">
        <v>45607.66392361111</v>
      </c>
      <c r="BL888" t="inlineStr">
        <is>
          <t>0.0</t>
        </is>
      </c>
      <c r="BM888" t="inlineStr">
        <is>
          <t>0.0</t>
        </is>
      </c>
      <c r="BN888" t="inlineStr">
        <is>
          <t>PA Email CTA Click</t>
        </is>
      </c>
      <c r="BO888" s="4">
        <v>45693.42909722222</v>
      </c>
      <c r="BP888">
        <v>168489</v>
      </c>
      <c r="BQ888">
        <v>74680</v>
      </c>
      <c r="BR888" t="inlineStr">
        <is>
          <t>Online</t>
        </is>
      </c>
      <c r="BS888"/>
      <c r="BT888">
        <v>74680</v>
      </c>
      <c r="BU888"/>
      <c r="BV888">
        <v>2729495</v>
      </c>
      <c r="BW888" t="inlineStr">
        <is>
          <t>Follow Up : Lost - Free Portal</t>
        </is>
      </c>
      <c r="BX888"/>
      <c r="BY888"/>
      <c r="BZ888" s="4"/>
      <c r="CA888"/>
      <c r="CB888"/>
      <c r="CC888" s="4"/>
      <c r="CD888" t="inlineStr">
        <is>
          <t>5</t>
        </is>
      </c>
      <c r="CE888" t="inlineStr">
        <is>
          <t>0</t>
        </is>
      </c>
      <c r="CF888" t="inlineStr">
        <is>
          <t>Q2-W03</t>
        </is>
      </c>
      <c r="CG888"/>
      <c r="CH888"/>
      <c r="CI888"/>
      <c r="CJ888" t="inlineStr">
        <is>
          <t>Paid</t>
        </is>
      </c>
      <c r="CK888" t="inlineStr">
        <is>
          <t>Not Eligible</t>
        </is>
      </c>
      <c r="CL888"/>
      <c r="CM888"/>
    </row>
    <row r="889" ht="25.5" customHeight="1">
      <c r="A889" t="inlineStr">
        <is>
          <t>175519</t>
        </is>
      </c>
      <c r="B889" s="2"/>
      <c r="C889"/>
      <c r="D889" s="3">
        <v>46135.46642361111</v>
      </c>
      <c r="E889" t="inlineStr">
        <is>
          <t>Q2-W03</t>
        </is>
      </c>
      <c r="F889" t="inlineStr">
        <is>
          <t>Evan</t>
        </is>
      </c>
      <c r="G889" t="inlineStr">
        <is>
          <t>Customer</t>
        </is>
      </c>
      <c r="H889" s="2" t="str">
        <f>=HYPERLINK("https://upbox.ajobthing.my/customer/175519", "https://upbox.ajobthing.my/customer/175519")</f>
        <v>https://upbox.ajobthing.my/customer/175519</v>
      </c>
      <c r="I889" t="inlineStr">
        <is>
          <t>Carcity Sales And Services Sdn Bhd</t>
        </is>
      </c>
      <c r="J889" t="inlineStr">
        <is>
          <t>Dolphin</t>
        </is>
      </c>
      <c r="K889" t="inlineStr">
        <is>
          <t>Evan</t>
        </is>
      </c>
      <c r="L889" s="4"/>
      <c r="M889" s="4">
        <v>46135.464791666665</v>
      </c>
      <c r="N889"/>
      <c r="O889">
        <v>8208</v>
      </c>
      <c r="P889" s="4"/>
      <c r="Q889" s="4">
        <v>45348.45798611111</v>
      </c>
      <c r="R889"/>
      <c r="S889">
        <v>2862</v>
      </c>
      <c r="T889" s="4">
        <v>45348.00001157408</v>
      </c>
      <c r="U889" s="4"/>
      <c r="V889"/>
      <c r="W889">
        <v>2862</v>
      </c>
      <c r="X889"/>
      <c r="Y889" t="inlineStr">
        <is>
          <t>Pending Appointment</t>
        </is>
      </c>
      <c r="Z889" t="inlineStr">
        <is>
          <t>Hiring Now</t>
        </is>
      </c>
      <c r="AA889">
        <v>1</v>
      </c>
      <c r="AB889" t="inlineStr">
        <is>
          <t>No Appointment Made</t>
        </is>
      </c>
      <c r="AC889"/>
      <c r="AD889" t="inlineStr">
        <is>
          <t>1 sales, all base in KL</t>
        </is>
      </c>
      <c r="AE889"/>
      <c r="AF889">
        <v>1</v>
      </c>
      <c r="AG889" s="4"/>
      <c r="AH889" s="4"/>
      <c r="AI889">
        <v>1</v>
      </c>
      <c r="AJ889">
        <v>1</v>
      </c>
      <c r="AK889" t="inlineStr">
        <is>
          <t>No, I don't need at all</t>
        </is>
      </c>
      <c r="AL889">
        <v>0</v>
      </c>
      <c r="AM889" t="inlineStr">
        <is>
          <t>No, I don't need at all</t>
        </is>
      </c>
      <c r="AN889"/>
      <c r="AO889" t="inlineStr">
        <is>
          <t>No, I don't need at all</t>
        </is>
      </c>
      <c r="AP889" t="inlineStr">
        <is>
          <t>Once a year (25%)</t>
        </is>
      </c>
      <c r="AQ889">
        <v>1</v>
      </c>
      <c r="AR889" t="inlineStr">
        <is>
          <t>Did not use any job portal</t>
        </is>
      </c>
      <c r="AS889" t="inlineStr">
        <is>
          <t>- Headcount: 1
- Hiring Job Details: 1 sales, all base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889">
        <v>115</v>
      </c>
      <c r="AU889" t="inlineStr">
        <is>
          <t>1.15</t>
        </is>
      </c>
      <c r="AV889" t="inlineStr">
        <is>
          <t>15</t>
        </is>
      </c>
      <c r="AW889" t="inlineStr">
        <is>
          <t>0</t>
        </is>
      </c>
      <c r="AX889" t="inlineStr">
        <is>
          <t>Not Qualified</t>
        </is>
      </c>
      <c r="AY889" s="4"/>
      <c r="AZ889"/>
      <c r="BA889"/>
      <c r="BB889"/>
      <c r="BC889" t="inlineStr">
        <is>
          <t>- Headcount: 1
- Hiring Job Details: 1 sales, all base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BD889" s="4">
        <v>46135.500023148146</v>
      </c>
      <c r="BE889" t="inlineStr">
        <is>
          <t>paid</t>
        </is>
      </c>
      <c r="BF889"/>
      <c r="BG889" t="inlineStr">
        <is>
          <t>Reschedule</t>
        </is>
      </c>
      <c r="BH889" t="inlineStr">
        <is>
          <t>Edward Hoo</t>
        </is>
      </c>
      <c r="BI889" t="inlineStr">
        <is>
          <t>Automobile / Automotive</t>
        </is>
      </c>
      <c r="BJ889" s="4">
        <v>46144.751608796294</v>
      </c>
      <c r="BK889" s="4">
        <v>45342.42873842592</v>
      </c>
      <c r="BL889" t="inlineStr">
        <is>
          <t>0.0</t>
        </is>
      </c>
      <c r="BM889" t="inlineStr">
        <is>
          <t>0.0</t>
        </is>
      </c>
      <c r="BN889" t="inlineStr">
        <is>
          <t>View Company Page</t>
        </is>
      </c>
      <c r="BO889" s="4">
        <v>46133.72949074074</v>
      </c>
      <c r="BP889">
        <v>168487</v>
      </c>
      <c r="BQ889">
        <v>86130</v>
      </c>
      <c r="BR889" t="inlineStr">
        <is>
          <t>Proforma</t>
        </is>
      </c>
      <c r="BS889" t="inlineStr">
        <is>
          <t>Yearly Standard Plan</t>
        </is>
      </c>
      <c r="BT889">
        <v>66290</v>
      </c>
      <c r="BU889"/>
      <c r="BV889">
        <v>2722997</v>
      </c>
      <c r="BW889" t="inlineStr">
        <is>
          <t>Customer Inquiry</t>
        </is>
      </c>
      <c r="BX889"/>
      <c r="BY889"/>
      <c r="BZ889" s="4"/>
      <c r="CA889"/>
      <c r="CB889"/>
      <c r="CC889" s="4"/>
      <c r="CD889" t="inlineStr">
        <is>
          <t>20</t>
        </is>
      </c>
      <c r="CE889" t="inlineStr">
        <is>
          <t>0</t>
        </is>
      </c>
      <c r="CF889" t="inlineStr">
        <is>
          <t>Q2-W03</t>
        </is>
      </c>
      <c r="CG889"/>
      <c r="CH889"/>
      <c r="CI889"/>
      <c r="CJ889" t="inlineStr">
        <is>
          <t>Paid</t>
        </is>
      </c>
      <c r="CK889" t="inlineStr">
        <is>
          <t>Not Eligible</t>
        </is>
      </c>
      <c r="CL889"/>
      <c r="CM889"/>
    </row>
    <row r="890" ht="25.5" customHeight="1">
      <c r="A890" t="inlineStr">
        <is>
          <t>35258</t>
        </is>
      </c>
      <c r="B890" s="2"/>
      <c r="C890"/>
      <c r="D890" s="3">
        <v>46135.494722222225</v>
      </c>
      <c r="E890" t="inlineStr">
        <is>
          <t>Q2-W03</t>
        </is>
      </c>
      <c r="F890" t="inlineStr">
        <is>
          <t>Yuli</t>
        </is>
      </c>
      <c r="G890" t="inlineStr">
        <is>
          <t>Customer</t>
        </is>
      </c>
      <c r="H890" s="2" t="str">
        <f>=HYPERLINK("https://upbox.ajobthing.my/customer/35258", "https://upbox.ajobthing.my/customer/35258")</f>
        <v>https://upbox.ajobthing.my/customer/35258</v>
      </c>
      <c r="I890" t="inlineStr">
        <is>
          <t>Chua Trading Company Sdn Berhad</t>
        </is>
      </c>
      <c r="J890" t="inlineStr">
        <is>
          <t>Dolphin</t>
        </is>
      </c>
      <c r="K890" t="inlineStr">
        <is>
          <t>YuLi</t>
        </is>
      </c>
      <c r="L890" s="4"/>
      <c r="M890" s="4">
        <v>46135.49949074074</v>
      </c>
      <c r="N890"/>
      <c r="O890">
        <v>3888</v>
      </c>
      <c r="P890" s="4"/>
      <c r="Q890" s="4">
        <v>46092.75130787037</v>
      </c>
      <c r="R890"/>
      <c r="S890">
        <v>0</v>
      </c>
      <c r="T890" s="4">
        <v>45975.73917824074</v>
      </c>
      <c r="U890" s="4"/>
      <c r="V890"/>
      <c r="W890">
        <v>1296</v>
      </c>
      <c r="X890"/>
      <c r="Y890" t="inlineStr">
        <is>
          <t>Pending Appointment</t>
        </is>
      </c>
      <c r="Z890" t="inlineStr">
        <is>
          <t>Hiring Now</t>
        </is>
      </c>
      <c r="AA890">
        <v>1</v>
      </c>
      <c r="AB890" t="inlineStr">
        <is>
          <t>No Appointment Made</t>
        </is>
      </c>
      <c r="AC890"/>
      <c r="AD890" t="inlineStr">
        <is>
          <t>HR assistant</t>
        </is>
      </c>
      <c r="AE890"/>
      <c r="AF890"/>
      <c r="AG890" s="4"/>
      <c r="AH890" s="4"/>
      <c r="AI890"/>
      <c r="AJ890"/>
      <c r="AK890"/>
      <c r="AL890"/>
      <c r="AM890"/>
      <c r="AN890"/>
      <c r="AO890"/>
      <c r="AP890"/>
      <c r="AQ890"/>
      <c r="AR890" t="inlineStr">
        <is>
          <t>Jobstreet</t>
        </is>
      </c>
      <c r="AS890" t="inlineStr">
        <is>
          <t>- Headcount: 1
- Hiring Job Details: HR assistant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Jobstreet</t>
        </is>
      </c>
      <c r="AT890">
        <v>65</v>
      </c>
      <c r="AU890" t="inlineStr">
        <is>
          <t>0.65</t>
        </is>
      </c>
      <c r="AV890" t="inlineStr">
        <is>
          <t>5</t>
        </is>
      </c>
      <c r="AW890" t="inlineStr">
        <is>
          <t>0</t>
        </is>
      </c>
      <c r="AX890" t="inlineStr">
        <is>
          <t>Not Qualified</t>
        </is>
      </c>
      <c r="AY890" s="4"/>
      <c r="AZ890"/>
      <c r="BA890"/>
      <c r="BB890"/>
      <c r="BC890" t="inlineStr">
        <is>
          <t>as per Poly pending decision still</t>
        </is>
      </c>
      <c r="BD890" s="4">
        <v>46140.49538194444</v>
      </c>
      <c r="BE890" t="inlineStr">
        <is>
          <t>paid</t>
        </is>
      </c>
      <c r="BF890"/>
      <c r="BG890" t="inlineStr">
        <is>
          <t>Reschedule</t>
        </is>
      </c>
      <c r="BH890" t="inlineStr">
        <is>
          <t>Fauziah Maharan</t>
        </is>
      </c>
      <c r="BI890" t="inlineStr">
        <is>
          <t>General / Wholesale Trading</t>
        </is>
      </c>
      <c r="BJ890" s="4">
        <v>46144.754594907405</v>
      </c>
      <c r="BK890" s="4">
        <v>42818.69835648148</v>
      </c>
      <c r="BL890" t="inlineStr">
        <is>
          <t>1296.0</t>
        </is>
      </c>
      <c r="BM890" t="inlineStr">
        <is>
          <t>600.0</t>
        </is>
      </c>
      <c r="BN890" t="inlineStr">
        <is>
          <t>PA Email CTA Click</t>
        </is>
      </c>
      <c r="BO890" s="4">
        <v>46057.50541666667</v>
      </c>
      <c r="BP890">
        <v>168514</v>
      </c>
      <c r="BQ890">
        <v>116923</v>
      </c>
      <c r="BR890" t="inlineStr">
        <is>
          <t>Proforma</t>
        </is>
      </c>
      <c r="BS890" t="inlineStr">
        <is>
          <t>Free Internship Job</t>
        </is>
      </c>
      <c r="BT890">
        <v>84188</v>
      </c>
      <c r="BU890"/>
      <c r="BV890">
        <v>2732272</v>
      </c>
      <c r="BW890" t="inlineStr">
        <is>
          <t>Follow Up : Decision Pending</t>
        </is>
      </c>
      <c r="BX890"/>
      <c r="BY890"/>
      <c r="BZ890" s="4"/>
      <c r="CA890"/>
      <c r="CB890"/>
      <c r="CC890" s="4"/>
      <c r="CD890" t="inlineStr">
        <is>
          <t>5</t>
        </is>
      </c>
      <c r="CE890" t="inlineStr">
        <is>
          <t>0</t>
        </is>
      </c>
      <c r="CF890" t="inlineStr">
        <is>
          <t>Q2-W03</t>
        </is>
      </c>
      <c r="CG890" t="inlineStr">
        <is>
          <t>Q1-W10</t>
        </is>
      </c>
      <c r="CH890"/>
      <c r="CI890"/>
      <c r="CJ890" t="inlineStr">
        <is>
          <t>Paid</t>
        </is>
      </c>
      <c r="CK890" t="inlineStr">
        <is>
          <t>Not Eligible</t>
        </is>
      </c>
      <c r="CL890"/>
      <c r="CM890"/>
    </row>
    <row r="891" ht="25.5" customHeight="1">
      <c r="A891" t="inlineStr">
        <is>
          <t>151835</t>
        </is>
      </c>
      <c r="B891" s="2"/>
      <c r="C891"/>
      <c r="D891" s="3">
        <v>46135.49820601852</v>
      </c>
      <c r="E891" t="inlineStr">
        <is>
          <t>Q2-W03</t>
        </is>
      </c>
      <c r="F891" t="inlineStr">
        <is>
          <t>Xin Quan</t>
        </is>
      </c>
      <c r="G891" t="inlineStr">
        <is>
          <t>Customer</t>
        </is>
      </c>
      <c r="H891" s="2" t="str">
        <f>=HYPERLINK("https://upbox.ajobthing.my/customer/151835", "https://upbox.ajobthing.my/customer/151835")</f>
        <v>https://upbox.ajobthing.my/customer/151835</v>
      </c>
      <c r="I891" t="inlineStr">
        <is>
          <t>Positano Risto Sdn Bhd</t>
        </is>
      </c>
      <c r="J891" t="inlineStr">
        <is>
          <t>Dolphin</t>
        </is>
      </c>
      <c r="K891" t="inlineStr">
        <is>
          <t>Xin Quan</t>
        </is>
      </c>
      <c r="L891" s="4"/>
      <c r="M891" s="4">
        <v>46135.49883101852</v>
      </c>
      <c r="N891"/>
      <c r="O891">
        <v>3888</v>
      </c>
      <c r="P891" s="4"/>
      <c r="Q891" s="4">
        <v>44698.49388888889</v>
      </c>
      <c r="R891"/>
      <c r="S891">
        <v>636</v>
      </c>
      <c r="T891" s="4">
        <v>44698.49388888889</v>
      </c>
      <c r="U891" s="4"/>
      <c r="V891"/>
      <c r="W891">
        <v>636</v>
      </c>
      <c r="X891"/>
      <c r="Y891" t="inlineStr">
        <is>
          <t>Pending Appointment</t>
        </is>
      </c>
      <c r="Z891" t="inlineStr">
        <is>
          <t>Hiring Now</t>
        </is>
      </c>
      <c r="AA891">
        <v>1</v>
      </c>
      <c r="AB891" t="inlineStr">
        <is>
          <t>No Appointment Made</t>
        </is>
      </c>
      <c r="AC891"/>
      <c r="AD891" t="inlineStr">
        <is>
          <t>1 Foodservice , Base in KL</t>
        </is>
      </c>
      <c r="AE891"/>
      <c r="AF891">
        <v>2000</v>
      </c>
      <c r="AG891" s="4"/>
      <c r="AH891" s="4"/>
      <c r="AI891">
        <v>24000</v>
      </c>
      <c r="AJ891">
        <v>1</v>
      </c>
      <c r="AK891" t="inlineStr">
        <is>
          <t>No, I don't need at all</t>
        </is>
      </c>
      <c r="AL891">
        <v>1</v>
      </c>
      <c r="AM891" t="inlineStr">
        <is>
          <t>No, I don't need at all</t>
        </is>
      </c>
      <c r="AN891"/>
      <c r="AO891" t="inlineStr">
        <is>
          <t>No, I don't need at all</t>
        </is>
      </c>
      <c r="AP891" t="inlineStr">
        <is>
          <t>Once a year (25%)</t>
        </is>
      </c>
      <c r="AQ891">
        <v>3</v>
      </c>
      <c r="AR891"/>
      <c r="AS891" t="inlineStr">
        <is>
          <t>- Headcount: 1
- Hiring Job Details: 1 Foodservice,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3
- Hiring frequency: Once a year (25%)
- External job portal: None</t>
        </is>
      </c>
      <c r="AT891">
        <v>105</v>
      </c>
      <c r="AU891" t="inlineStr">
        <is>
          <t>1.05</t>
        </is>
      </c>
      <c r="AV891" t="inlineStr">
        <is>
          <t>15</t>
        </is>
      </c>
      <c r="AW891" t="inlineStr">
        <is>
          <t>0</t>
        </is>
      </c>
      <c r="AX891" t="inlineStr">
        <is>
          <t>Not Qualified</t>
        </is>
      </c>
      <c r="AY891" s="4"/>
      <c r="AZ891"/>
      <c r="BA891"/>
      <c r="BB891"/>
      <c r="BC891" t="inlineStr">
        <is>
          <t>MIA</t>
        </is>
      </c>
      <c r="BD891" s="4">
        <v>46140.44230324074</v>
      </c>
      <c r="BE891" t="inlineStr">
        <is>
          <t>paid</t>
        </is>
      </c>
      <c r="BF891"/>
      <c r="BG891" t="inlineStr">
        <is>
          <t>Reschedule</t>
        </is>
      </c>
      <c r="BH891" t="inlineStr">
        <is>
          <t>Edward Hoo</t>
        </is>
      </c>
      <c r="BI891" t="inlineStr">
        <is>
          <t>Food / Beverage</t>
        </is>
      </c>
      <c r="BJ891" s="4">
        <v>46144.75087962963</v>
      </c>
      <c r="BK891" s="4">
        <v>44658.635046296295</v>
      </c>
      <c r="BL891" t="inlineStr">
        <is>
          <t>0.0</t>
        </is>
      </c>
      <c r="BM891" t="inlineStr">
        <is>
          <t>3000.0</t>
        </is>
      </c>
      <c r="BN891" t="inlineStr">
        <is>
          <t>View Shop</t>
        </is>
      </c>
      <c r="BO891" s="4">
        <v>44727.738900462966</v>
      </c>
      <c r="BP891">
        <v>168509</v>
      </c>
      <c r="BQ891">
        <v>44858</v>
      </c>
      <c r="BR891" t="inlineStr">
        <is>
          <t>Online</t>
        </is>
      </c>
      <c r="BS891"/>
      <c r="BT891">
        <v>44858</v>
      </c>
      <c r="BU891"/>
      <c r="BV891">
        <v>2731873</v>
      </c>
      <c r="BW891" t="inlineStr">
        <is>
          <t>Inquire for Hiring Needs : No Hiring</t>
        </is>
      </c>
      <c r="BX891"/>
      <c r="BY891"/>
      <c r="BZ891" s="4"/>
      <c r="CA891"/>
      <c r="CB891"/>
      <c r="CC891" s="4"/>
      <c r="CD891" t="inlineStr">
        <is>
          <t>20</t>
        </is>
      </c>
      <c r="CE891" t="inlineStr">
        <is>
          <t>0</t>
        </is>
      </c>
      <c r="CF891" t="inlineStr">
        <is>
          <t>Q2-W03</t>
        </is>
      </c>
      <c r="CG891"/>
      <c r="CH891"/>
      <c r="CI891"/>
      <c r="CJ891" t="inlineStr">
        <is>
          <t>Paid</t>
        </is>
      </c>
      <c r="CK891" t="inlineStr">
        <is>
          <t>Not Eligible</t>
        </is>
      </c>
      <c r="CL891"/>
      <c r="CM891"/>
    </row>
    <row r="892" ht="25.5" customHeight="1">
      <c r="A892" t="inlineStr">
        <is>
          <t>145292</t>
        </is>
      </c>
      <c r="B892" s="2"/>
      <c r="C892"/>
      <c r="D892" s="3">
        <v>46135.49966435185</v>
      </c>
      <c r="E892" t="inlineStr">
        <is>
          <t>Q2-W03</t>
        </is>
      </c>
      <c r="F892" t="inlineStr">
        <is>
          <t>Carmen</t>
        </is>
      </c>
      <c r="G892" t="inlineStr">
        <is>
          <t>Customer</t>
        </is>
      </c>
      <c r="H892" s="2" t="str">
        <f>=HYPERLINK("https://upbox.ajobthing.my/customer/145292", "https://upbox.ajobthing.my/customer/145292")</f>
        <v>https://upbox.ajobthing.my/customer/145292</v>
      </c>
      <c r="I892" t="inlineStr">
        <is>
          <t>FY Engineering (M) Sdn Bhd</t>
        </is>
      </c>
      <c r="J892" t="inlineStr">
        <is>
          <t>Dolphin</t>
        </is>
      </c>
      <c r="K892" t="inlineStr">
        <is>
          <t>Carmen</t>
        </is>
      </c>
      <c r="L892" s="4"/>
      <c r="M892" s="4">
        <v>46135.49974537037</v>
      </c>
      <c r="N892"/>
      <c r="O892">
        <v>3888</v>
      </c>
      <c r="P892" s="4"/>
      <c r="Q892" s="4"/>
      <c r="R892"/>
      <c r="S892"/>
      <c r="T892" s="4"/>
      <c r="U892" s="4"/>
      <c r="V892"/>
      <c r="W892"/>
      <c r="X892"/>
      <c r="Y892" t="inlineStr">
        <is>
          <t>Pending Appointment</t>
        </is>
      </c>
      <c r="Z892" t="inlineStr">
        <is>
          <t>Hiring Now</t>
        </is>
      </c>
      <c r="AA892">
        <v>2</v>
      </c>
      <c r="AB892" t="inlineStr">
        <is>
          <t>No Appointment Made</t>
        </is>
      </c>
      <c r="AC892"/>
      <c r="AD892" t="inlineStr">
        <is>
          <t>2 Welder</t>
        </is>
      </c>
      <c r="AE892"/>
      <c r="AF892">
        <v>0</v>
      </c>
      <c r="AG892" s="4"/>
      <c r="AH892" s="4"/>
      <c r="AI892"/>
      <c r="AJ892"/>
      <c r="AK892" t="inlineStr">
        <is>
          <t>No, I don't need at all</t>
        </is>
      </c>
      <c r="AL892"/>
      <c r="AM892"/>
      <c r="AN892"/>
      <c r="AO892"/>
      <c r="AP892" t="inlineStr">
        <is>
          <t>Once a year (25%)</t>
        </is>
      </c>
      <c r="AQ892"/>
      <c r="AR892"/>
      <c r="AS892" t="inlineStr">
        <is>
          <t>- Headcount: 2
- Hiring Job Details: 2 Welder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892">
        <v>90</v>
      </c>
      <c r="AU892" t="inlineStr">
        <is>
          <t>0.90</t>
        </is>
      </c>
      <c r="AV892" t="inlineStr">
        <is>
          <t>15</t>
        </is>
      </c>
      <c r="AW892" t="inlineStr">
        <is>
          <t>0</t>
        </is>
      </c>
      <c r="AX892" t="inlineStr">
        <is>
          <t>Not Qualified</t>
        </is>
      </c>
      <c r="AY892" s="4"/>
      <c r="AZ892"/>
      <c r="BA892"/>
      <c r="BB892"/>
      <c r="BC892" t="inlineStr">
        <is>
          <t>she said her manager rejected</t>
        </is>
      </c>
      <c r="BD892" s="4">
        <v>46135.58052083333</v>
      </c>
      <c r="BE892"/>
      <c r="BF892"/>
      <c r="BG892" t="inlineStr">
        <is>
          <t>Reschedule</t>
        </is>
      </c>
      <c r="BH892" t="inlineStr">
        <is>
          <t>Reagen</t>
        </is>
      </c>
      <c r="BI892" t="inlineStr">
        <is>
          <t>Engineering / Technical Consulting</t>
        </is>
      </c>
      <c r="BJ892" s="4">
        <v>46144.75074074074</v>
      </c>
      <c r="BK892" s="4">
        <v>44540.37712962963</v>
      </c>
      <c r="BL892" t="inlineStr">
        <is>
          <t>0.0</t>
        </is>
      </c>
      <c r="BM892" t="inlineStr">
        <is>
          <t>0.0</t>
        </is>
      </c>
      <c r="BN892" t="inlineStr">
        <is>
          <t>View Job Applicants Page</t>
        </is>
      </c>
      <c r="BO892" s="4">
        <v>44546.453831018516</v>
      </c>
      <c r="BP892">
        <v>168515</v>
      </c>
      <c r="BQ892"/>
      <c r="BR892"/>
      <c r="BS892"/>
      <c r="BT892"/>
      <c r="BU892"/>
      <c r="BV892">
        <v>2723310</v>
      </c>
      <c r="BW892" t="inlineStr">
        <is>
          <t>Follow Up : Budget Concern</t>
        </is>
      </c>
      <c r="BX892"/>
      <c r="BY892"/>
      <c r="BZ892" s="4"/>
      <c r="CA892"/>
      <c r="CB892"/>
      <c r="CC892" s="4"/>
      <c r="CD892" t="inlineStr">
        <is>
          <t>20</t>
        </is>
      </c>
      <c r="CE892" t="inlineStr">
        <is>
          <t>0</t>
        </is>
      </c>
      <c r="CF892" t="inlineStr">
        <is>
          <t>Q2-W03</t>
        </is>
      </c>
      <c r="CG892"/>
      <c r="CH892"/>
      <c r="CI892"/>
      <c r="CJ892" t="inlineStr">
        <is>
          <t>No Paid</t>
        </is>
      </c>
      <c r="CK892" t="inlineStr">
        <is>
          <t>Not Eligible</t>
        </is>
      </c>
      <c r="CL892"/>
      <c r="CM892"/>
    </row>
    <row r="893" ht="25.5" customHeight="1">
      <c r="A893" t="inlineStr">
        <is>
          <t>203554</t>
        </is>
      </c>
      <c r="B893" s="2"/>
      <c r="C893"/>
      <c r="D893" s="3">
        <v>46135.50027777778</v>
      </c>
      <c r="E893" t="inlineStr">
        <is>
          <t>Q2-W03</t>
        </is>
      </c>
      <c r="F893" t="inlineStr">
        <is>
          <t>Jess</t>
        </is>
      </c>
      <c r="G893" t="inlineStr">
        <is>
          <t>Customer</t>
        </is>
      </c>
      <c r="H893" s="2" t="str">
        <f>=HYPERLINK("https://upbox.ajobthing.my/customer/203554", "https://upbox.ajobthing.my/customer/203554")</f>
        <v>https://upbox.ajobthing.my/customer/203554</v>
      </c>
      <c r="I893" t="inlineStr">
        <is>
          <t>Adw Electronics Sdn Bhd</t>
        </is>
      </c>
      <c r="J893" t="inlineStr">
        <is>
          <t>Dolphin</t>
        </is>
      </c>
      <c r="K893" t="inlineStr">
        <is>
          <t>Jess Lim</t>
        </is>
      </c>
      <c r="L893" s="4"/>
      <c r="M893" s="4">
        <v>46139.74333333333</v>
      </c>
      <c r="N893"/>
      <c r="O893">
        <v>6048</v>
      </c>
      <c r="P893" s="4"/>
      <c r="Q893" s="4"/>
      <c r="R893"/>
      <c r="S893"/>
      <c r="T893" s="4"/>
      <c r="U893" s="4"/>
      <c r="V893"/>
      <c r="W893"/>
      <c r="X893"/>
      <c r="Y893" t="inlineStr">
        <is>
          <t>Pending Appointment</t>
        </is>
      </c>
      <c r="Z893" t="inlineStr">
        <is>
          <t>Hiring Now</t>
        </is>
      </c>
      <c r="AA893">
        <v>10</v>
      </c>
      <c r="AB893" t="inlineStr">
        <is>
          <t>No Appointment Made</t>
        </is>
      </c>
      <c r="AC893"/>
      <c r="AD893" t="inlineStr">
        <is>
          <t>qc warehouse 10</t>
        </is>
      </c>
      <c r="AE893"/>
      <c r="AF893">
        <v>1200</v>
      </c>
      <c r="AG893" s="4"/>
      <c r="AH893" s="4"/>
      <c r="AI893"/>
      <c r="AJ893">
        <v>1</v>
      </c>
      <c r="AK893" t="inlineStr">
        <is>
          <t>No, I don't need at all</t>
        </is>
      </c>
      <c r="AL893">
        <v>1</v>
      </c>
      <c r="AM893" t="inlineStr">
        <is>
          <t>No, I don't need at all</t>
        </is>
      </c>
      <c r="AN893"/>
      <c r="AO893" t="inlineStr">
        <is>
          <t>No, I don't need at all</t>
        </is>
      </c>
      <c r="AP893" t="inlineStr">
        <is>
          <t>Once a year (25%)</t>
        </is>
      </c>
      <c r="AQ893"/>
      <c r="AR893" t="inlineStr">
        <is>
          <t>Jobstreet</t>
        </is>
      </c>
      <c r="AS893" t="inlineStr">
        <is>
          <t>- Headcount: 10
- Hiring Job Details: qc warehouse 10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893">
        <v>95</v>
      </c>
      <c r="AU893" t="inlineStr">
        <is>
          <t>0.95</t>
        </is>
      </c>
      <c r="AV893" t="inlineStr">
        <is>
          <t>20</t>
        </is>
      </c>
      <c r="AW893" t="inlineStr">
        <is>
          <t>0</t>
        </is>
      </c>
      <c r="AX893" t="inlineStr">
        <is>
          <t>Not Qualified</t>
        </is>
      </c>
      <c r="AY893" s="4"/>
      <c r="AZ893"/>
      <c r="BA893"/>
      <c r="BB893"/>
      <c r="BC893" t="inlineStr">
        <is>
          <t>send cheaper package</t>
        </is>
      </c>
      <c r="BD893" s="4">
        <v>46139.743055555555</v>
      </c>
      <c r="BE893"/>
      <c r="BF893"/>
      <c r="BG893" t="inlineStr">
        <is>
          <t>Reschedule</t>
        </is>
      </c>
      <c r="BH893" t="inlineStr">
        <is>
          <t>Fauziah Maharan</t>
        </is>
      </c>
      <c r="BI893"/>
      <c r="BJ893" s="4">
        <v>46144.75435185185</v>
      </c>
      <c r="BK893" s="4">
        <v>46135.358923611115</v>
      </c>
      <c r="BL893" t="inlineStr">
        <is>
          <t>0.0</t>
        </is>
      </c>
      <c r="BM893" t="inlineStr">
        <is>
          <t>0.0</t>
        </is>
      </c>
      <c r="BN893" t="inlineStr">
        <is>
          <t>View Create Job Page V4</t>
        </is>
      </c>
      <c r="BO893" s="4">
        <v>46135.36680555555</v>
      </c>
      <c r="BP893">
        <v>169115</v>
      </c>
      <c r="BQ893"/>
      <c r="BR893"/>
      <c r="BS893"/>
      <c r="BT893"/>
      <c r="BU893"/>
      <c r="BV893">
        <v>2731517</v>
      </c>
      <c r="BW893" t="inlineStr">
        <is>
          <t>Inquire for Hiring Needs : Callback Request</t>
        </is>
      </c>
      <c r="BX893"/>
      <c r="BY893"/>
      <c r="BZ893" s="4"/>
      <c r="CA893"/>
      <c r="CB893"/>
      <c r="CC893" s="4"/>
      <c r="CD893" t="inlineStr">
        <is>
          <t>30</t>
        </is>
      </c>
      <c r="CE893" t="inlineStr">
        <is>
          <t>0</t>
        </is>
      </c>
      <c r="CF893" t="inlineStr">
        <is>
          <t>Q2-W04</t>
        </is>
      </c>
      <c r="CG893"/>
      <c r="CH893"/>
      <c r="CI893"/>
      <c r="CJ893" t="inlineStr">
        <is>
          <t>No Paid</t>
        </is>
      </c>
      <c r="CK893" t="inlineStr">
        <is>
          <t>Eligible</t>
        </is>
      </c>
      <c r="CL893"/>
      <c r="CM893"/>
    </row>
    <row r="894" ht="25.5" customHeight="1">
      <c r="A894" t="inlineStr">
        <is>
          <t>4308896</t>
        </is>
      </c>
      <c r="B894" s="2"/>
      <c r="C894"/>
      <c r="D894" s="3">
        <v>46135.50234953704</v>
      </c>
      <c r="E894" t="inlineStr">
        <is>
          <t>Q2-W03</t>
        </is>
      </c>
      <c r="F894" t="inlineStr">
        <is>
          <t>Josh</t>
        </is>
      </c>
      <c r="G894" t="inlineStr">
        <is>
          <t>Lead</t>
        </is>
      </c>
      <c r="H894" s="2" t="str">
        <f>=HYPERLINK("https://upbox.ajobthing.my/leads/4308896", "https://upbox.ajobthing.my/leads/4308896")</f>
        <v>https://upbox.ajobthing.my/leads/4308896</v>
      </c>
      <c r="I894" t="inlineStr">
        <is>
          <t>United BC Team Sdn Bhd</t>
        </is>
      </c>
      <c r="J894" t="inlineStr">
        <is>
          <t>Dolphin</t>
        </is>
      </c>
      <c r="K894" t="inlineStr">
        <is>
          <t>Josh</t>
        </is>
      </c>
      <c r="L894" s="4"/>
      <c r="M894" s="4">
        <v>46135.67091435185</v>
      </c>
      <c r="N894"/>
      <c r="O894">
        <v>6372</v>
      </c>
      <c r="P894" s="4"/>
      <c r="Q894" s="4"/>
      <c r="R894"/>
      <c r="S894"/>
      <c r="T894" s="4"/>
      <c r="U894" s="4"/>
      <c r="V894"/>
      <c r="W894"/>
      <c r="X894" t="inlineStr">
        <is>
          <t>Josh</t>
        </is>
      </c>
      <c r="Y894" t="inlineStr">
        <is>
          <t>Done Appointment</t>
        </is>
      </c>
      <c r="Z894" t="inlineStr">
        <is>
          <t>Hiring Now</t>
        </is>
      </c>
      <c r="AA894">
        <v>1</v>
      </c>
      <c r="AB894" t="inlineStr">
        <is>
          <t>Appointment Made</t>
        </is>
      </c>
      <c r="AC894" t="inlineStr">
        <is>
          <t>Mid-size (50-100 employees)</t>
        </is>
      </c>
      <c r="AD894" t="inlineStr">
        <is>
          <t xml:space="preserve">1 engineer </t>
        </is>
      </c>
      <c r="AE894" t="inlineStr">
        <is>
          <t>HR Manager / Talent Manager</t>
        </is>
      </c>
      <c r="AF894">
        <v>3000</v>
      </c>
      <c r="AG894" s="4">
        <v>46135.625</v>
      </c>
      <c r="AH894" s="4">
        <v>46135.666666666664</v>
      </c>
      <c r="AI894"/>
      <c r="AJ894"/>
      <c r="AK894"/>
      <c r="AL894"/>
      <c r="AM894"/>
      <c r="AN894"/>
      <c r="AO894"/>
      <c r="AP894"/>
      <c r="AQ894"/>
      <c r="AR894"/>
      <c r="AS894" t="inlineStr">
        <is>
          <t>- Headcount: 1
- Hiring Job Details: 1 engineer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Not provided
- External job portal: Not provided</t>
        </is>
      </c>
      <c r="AT894">
        <v>65</v>
      </c>
      <c r="AU894" t="inlineStr">
        <is>
          <t>0.65</t>
        </is>
      </c>
      <c r="AV894" t="inlineStr">
        <is>
          <t>35</t>
        </is>
      </c>
      <c r="AW894" t="inlineStr">
        <is>
          <t>0</t>
        </is>
      </c>
      <c r="AX894" t="inlineStr">
        <is>
          <t>Not Qualified</t>
        </is>
      </c>
      <c r="AY894" s="4">
        <v>46135.677407407406</v>
      </c>
      <c r="AZ894" t="inlineStr">
        <is>
          <t>Base Assistant</t>
        </is>
      </c>
      <c r="BA894"/>
      <c r="BB894"/>
      <c r="BC894"/>
      <c r="BD894" s="4"/>
      <c r="BE894"/>
      <c r="BF894"/>
      <c r="BG894" t="inlineStr">
        <is>
          <t>Reschedule</t>
        </is>
      </c>
      <c r="BH894" t="inlineStr">
        <is>
          <t>Fauziah Maharan</t>
        </is>
      </c>
      <c r="BI894"/>
      <c r="BJ894" s="4">
        <v>46144.75587962963</v>
      </c>
      <c r="BK894" s="4">
        <v>46133.47398148148</v>
      </c>
      <c r="BL894" t="inlineStr">
        <is>
          <t>0.0</t>
        </is>
      </c>
      <c r="BM894" t="inlineStr">
        <is>
          <t>4800.0</t>
        </is>
      </c>
      <c r="BN894"/>
      <c r="BO894" s="4"/>
      <c r="BP894">
        <v>168612</v>
      </c>
      <c r="BQ894"/>
      <c r="BR894"/>
      <c r="BS894"/>
      <c r="BT894"/>
      <c r="BU894"/>
      <c r="BV894"/>
      <c r="BW894"/>
      <c r="BX894"/>
      <c r="BY894"/>
      <c r="BZ894" s="4"/>
      <c r="CA894"/>
      <c r="CB894"/>
      <c r="CC894" s="4"/>
      <c r="CD894" t="inlineStr">
        <is>
          <t>50</t>
        </is>
      </c>
      <c r="CE894" t="inlineStr">
        <is>
          <t>0.5</t>
        </is>
      </c>
      <c r="CF894" t="inlineStr">
        <is>
          <t>Q2-W03</t>
        </is>
      </c>
      <c r="CG894"/>
      <c r="CH894"/>
      <c r="CI894" t="inlineStr">
        <is>
          <t>Q2-W03</t>
        </is>
      </c>
      <c r="CJ894" t="inlineStr">
        <is>
          <t>No Paid</t>
        </is>
      </c>
      <c r="CK894" t="inlineStr">
        <is>
          <t>Not Eligible</t>
        </is>
      </c>
      <c r="CL894"/>
      <c r="CM894" t="inlineStr">
        <is>
          <t>Q2-W03</t>
        </is>
      </c>
    </row>
    <row r="895" ht="25.5" customHeight="1">
      <c r="A895" t="inlineStr">
        <is>
          <t>4294263</t>
        </is>
      </c>
      <c r="B895" s="2"/>
      <c r="C895"/>
      <c r="D895" s="3">
        <v>46135.52921296296</v>
      </c>
      <c r="E895" t="inlineStr">
        <is>
          <t>Q2-W03</t>
        </is>
      </c>
      <c r="F895" t="inlineStr">
        <is>
          <t>Josh</t>
        </is>
      </c>
      <c r="G895" t="inlineStr">
        <is>
          <t>Lead</t>
        </is>
      </c>
      <c r="H895" s="2" t="str">
        <f>=HYPERLINK("https://upbox.ajobthing.my/leads/4294263", "https://upbox.ajobthing.my/leads/4294263")</f>
        <v>https://upbox.ajobthing.my/leads/4294263</v>
      </c>
      <c r="I895" t="inlineStr">
        <is>
          <t>Hee Plastic Industries Sdn Bhd</t>
        </is>
      </c>
      <c r="J895" t="inlineStr">
        <is>
          <t>Dolphin</t>
        </is>
      </c>
      <c r="K895" t="inlineStr">
        <is>
          <t>Josh</t>
        </is>
      </c>
      <c r="L895" s="4"/>
      <c r="M895" s="4">
        <v>46135.525416666664</v>
      </c>
      <c r="N895"/>
      <c r="O895">
        <v>3672</v>
      </c>
      <c r="P895" s="4"/>
      <c r="Q895" s="4"/>
      <c r="R895"/>
      <c r="S895"/>
      <c r="T895" s="4"/>
      <c r="U895" s="4"/>
      <c r="V895"/>
      <c r="W895"/>
      <c r="X895"/>
      <c r="Y895" t="inlineStr">
        <is>
          <t>Pending Appointment</t>
        </is>
      </c>
      <c r="Z895" t="inlineStr">
        <is>
          <t>Hiring Now</t>
        </is>
      </c>
      <c r="AA895">
        <v>1</v>
      </c>
      <c r="AB895" t="inlineStr">
        <is>
          <t>No Appointment Made</t>
        </is>
      </c>
      <c r="AC895"/>
      <c r="AD895" t="inlineStr">
        <is>
          <t xml:space="preserve">1 Purchasing </t>
        </is>
      </c>
      <c r="AE895"/>
      <c r="AF895">
        <v>3000</v>
      </c>
      <c r="AG895" s="4"/>
      <c r="AH895" s="4"/>
      <c r="AI895"/>
      <c r="AJ895"/>
      <c r="AK895" t="inlineStr">
        <is>
          <t>Yes, I have</t>
        </is>
      </c>
      <c r="AL895">
        <v>1</v>
      </c>
      <c r="AM895"/>
      <c r="AN895"/>
      <c r="AO895"/>
      <c r="AP895" t="inlineStr">
        <is>
          <t>Once a year (25%)</t>
        </is>
      </c>
      <c r="AQ895"/>
      <c r="AR895"/>
      <c r="AS895" t="inlineStr">
        <is>
          <t>- Headcount: 1
- Hiring Job Details: 1 Purchasing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is>
      </c>
      <c r="AT895">
        <v>95</v>
      </c>
      <c r="AU895" t="inlineStr">
        <is>
          <t>0.95</t>
        </is>
      </c>
      <c r="AV895" t="inlineStr">
        <is>
          <t>15</t>
        </is>
      </c>
      <c r="AW895" t="inlineStr">
        <is>
          <t>0</t>
        </is>
      </c>
      <c r="AX895" t="inlineStr">
        <is>
          <t>Not Qualified</t>
        </is>
      </c>
      <c r="AY895" s="4"/>
      <c r="AZ895"/>
      <c r="BA895"/>
      <c r="BB895"/>
      <c r="BC895"/>
      <c r="BD895" s="4"/>
      <c r="BE895"/>
      <c r="BF895"/>
      <c r="BG895" t="inlineStr">
        <is>
          <t>Reschedule</t>
        </is>
      </c>
      <c r="BH895" t="inlineStr">
        <is>
          <t>Fauziah Maharan</t>
        </is>
      </c>
      <c r="BI895"/>
      <c r="BJ895" s="4">
        <v>46144.75585648148</v>
      </c>
      <c r="BK895" s="4">
        <v>46129.53824074074</v>
      </c>
      <c r="BL895" t="inlineStr">
        <is>
          <t>0.0</t>
        </is>
      </c>
      <c r="BM895" t="inlineStr">
        <is>
          <t>0.0</t>
        </is>
      </c>
      <c r="BN895"/>
      <c r="BO895" s="4"/>
      <c r="BP895">
        <v>168527</v>
      </c>
      <c r="BQ895"/>
      <c r="BR895"/>
      <c r="BS895"/>
      <c r="BT895"/>
      <c r="BU895"/>
      <c r="BV895"/>
      <c r="BW895"/>
      <c r="BX895"/>
      <c r="BY895"/>
      <c r="BZ895" s="4"/>
      <c r="CA895"/>
      <c r="CB895"/>
      <c r="CC895" s="4"/>
      <c r="CD895" t="inlineStr">
        <is>
          <t>20</t>
        </is>
      </c>
      <c r="CE895" t="inlineStr">
        <is>
          <t>0</t>
        </is>
      </c>
      <c r="CF895" t="inlineStr">
        <is>
          <t>Q2-W03</t>
        </is>
      </c>
      <c r="CG895"/>
      <c r="CH895"/>
      <c r="CI895"/>
      <c r="CJ895" t="inlineStr">
        <is>
          <t>No Paid</t>
        </is>
      </c>
      <c r="CK895" t="inlineStr">
        <is>
          <t>Not Eligible</t>
        </is>
      </c>
      <c r="CL895"/>
      <c r="CM895"/>
    </row>
    <row r="896" ht="25.5" customHeight="1">
      <c r="A896" t="inlineStr">
        <is>
          <t>117068</t>
        </is>
      </c>
      <c r="B896" s="2"/>
      <c r="C896"/>
      <c r="D896" s="3">
        <v>46135.58211805556</v>
      </c>
      <c r="E896" t="inlineStr">
        <is>
          <t>Q2-W03</t>
        </is>
      </c>
      <c r="F896" t="inlineStr">
        <is>
          <t>Keegan</t>
        </is>
      </c>
      <c r="G896" t="inlineStr">
        <is>
          <t>Customer</t>
        </is>
      </c>
      <c r="H896" s="2" t="str">
        <f>=HYPERLINK("https://upbox.ajobthing.my/customer/117068", "https://upbox.ajobthing.my/customer/117068")</f>
        <v>https://upbox.ajobthing.my/customer/117068</v>
      </c>
      <c r="I896" t="inlineStr">
        <is>
          <t>Dynamics Distribution Sdn Bhd</t>
        </is>
      </c>
      <c r="J896" t="inlineStr">
        <is>
          <t>Dolphin</t>
        </is>
      </c>
      <c r="K896" t="inlineStr">
        <is>
          <t>Keegan</t>
        </is>
      </c>
      <c r="L896" s="4"/>
      <c r="M896" s="4">
        <v>46135.58293981481</v>
      </c>
      <c r="N896"/>
      <c r="O896">
        <v>6048</v>
      </c>
      <c r="P896" s="4"/>
      <c r="Q896" s="4">
        <v>45513.61574074074</v>
      </c>
      <c r="R896"/>
      <c r="S896">
        <v>1836</v>
      </c>
      <c r="T896" s="4">
        <v>45513.61574074074</v>
      </c>
      <c r="U896" s="4"/>
      <c r="V896"/>
      <c r="W896">
        <v>1836</v>
      </c>
      <c r="X896"/>
      <c r="Y896" t="inlineStr">
        <is>
          <t>Pending Appointment</t>
        </is>
      </c>
      <c r="Z896" t="inlineStr">
        <is>
          <t>Hiring Now</t>
        </is>
      </c>
      <c r="AA896">
        <v>1</v>
      </c>
      <c r="AB896" t="inlineStr">
        <is>
          <t>No Appointment Made</t>
        </is>
      </c>
      <c r="AC896"/>
      <c r="AD896" t="inlineStr">
        <is>
          <t xml:space="preserve">1. Driver </t>
        </is>
      </c>
      <c r="AE896"/>
      <c r="AF896"/>
      <c r="AG896" s="4"/>
      <c r="AH896" s="4"/>
      <c r="AI896"/>
      <c r="AJ896">
        <v>1</v>
      </c>
      <c r="AK896" t="inlineStr">
        <is>
          <t>No, I don't need at all</t>
        </is>
      </c>
      <c r="AL896">
        <v>0</v>
      </c>
      <c r="AM896" t="inlineStr">
        <is>
          <t>No, I don't need at all</t>
        </is>
      </c>
      <c r="AN896"/>
      <c r="AO896" t="inlineStr">
        <is>
          <t>No, I don't need at all</t>
        </is>
      </c>
      <c r="AP896" t="inlineStr">
        <is>
          <t>Once per quarter (75%)</t>
        </is>
      </c>
      <c r="AQ896"/>
      <c r="AR896" t="inlineStr">
        <is>
          <t>Did not use any job portal</t>
        </is>
      </c>
      <c r="AS896" t="inlineStr">
        <is>
          <t>- Headcount: 1
- Hiring Job Details: 1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896">
        <v>95</v>
      </c>
      <c r="AU896" t="inlineStr">
        <is>
          <t>0.95</t>
        </is>
      </c>
      <c r="AV896" t="inlineStr">
        <is>
          <t>5</t>
        </is>
      </c>
      <c r="AW896" t="inlineStr">
        <is>
          <t>0</t>
        </is>
      </c>
      <c r="AX896" t="inlineStr">
        <is>
          <t>Not Qualified</t>
        </is>
      </c>
      <c r="AY896" s="4"/>
      <c r="AZ896"/>
      <c r="BA896"/>
      <c r="BB896"/>
      <c r="BC896" t="inlineStr">
        <is>
          <t>1 position and quotation sent</t>
        </is>
      </c>
      <c r="BD896" s="4">
        <v>46135.585277777776</v>
      </c>
      <c r="BE896" t="inlineStr">
        <is>
          <t>paid</t>
        </is>
      </c>
      <c r="BF896"/>
      <c r="BG896" t="inlineStr">
        <is>
          <t>Reschedule</t>
        </is>
      </c>
      <c r="BH896" t="inlineStr">
        <is>
          <t>Edward Hoo</t>
        </is>
      </c>
      <c r="BI896" t="inlineStr">
        <is>
          <t>Telecommunication</t>
        </is>
      </c>
      <c r="BJ896" s="4">
        <v>46144.75016203704</v>
      </c>
      <c r="BK896" s="4">
        <v>43549.64092592592</v>
      </c>
      <c r="BL896" t="inlineStr">
        <is>
          <t>0.0</t>
        </is>
      </c>
      <c r="BM896" t="inlineStr">
        <is>
          <t>0.0</t>
        </is>
      </c>
      <c r="BN896" t="inlineStr">
        <is>
          <t>View Jobmanager Page</t>
        </is>
      </c>
      <c r="BO896" s="4">
        <v>45770.61555555555</v>
      </c>
      <c r="BP896">
        <v>168534</v>
      </c>
      <c r="BQ896">
        <v>71909</v>
      </c>
      <c r="BR896" t="inlineStr">
        <is>
          <t>Online</t>
        </is>
      </c>
      <c r="BS896"/>
      <c r="BT896">
        <v>71909</v>
      </c>
      <c r="BU896"/>
      <c r="BV896">
        <v>2723339</v>
      </c>
      <c r="BW896" t="inlineStr">
        <is>
          <t>Inquire for Hiring Needs : Quotation Sent 50%</t>
        </is>
      </c>
      <c r="BX896"/>
      <c r="BY896"/>
      <c r="BZ896" s="4"/>
      <c r="CA896"/>
      <c r="CB896"/>
      <c r="CC896" s="4"/>
      <c r="CD896" t="inlineStr">
        <is>
          <t>5</t>
        </is>
      </c>
      <c r="CE896" t="inlineStr">
        <is>
          <t>0</t>
        </is>
      </c>
      <c r="CF896" t="inlineStr">
        <is>
          <t>Q2-W03</t>
        </is>
      </c>
      <c r="CG896"/>
      <c r="CH896"/>
      <c r="CI896"/>
      <c r="CJ896" t="inlineStr">
        <is>
          <t>Paid</t>
        </is>
      </c>
      <c r="CK896" t="inlineStr">
        <is>
          <t>Not Eligible</t>
        </is>
      </c>
      <c r="CL896"/>
      <c r="CM896"/>
    </row>
    <row r="897" ht="25.5" customHeight="1">
      <c r="A897" t="inlineStr">
        <is>
          <t>198313</t>
        </is>
      </c>
      <c r="B897" s="2"/>
      <c r="C897"/>
      <c r="D897" s="3">
        <v>46135.587372685186</v>
      </c>
      <c r="E897" t="inlineStr">
        <is>
          <t>Q2-W03</t>
        </is>
      </c>
      <c r="F897" t="inlineStr">
        <is>
          <t>Jess</t>
        </is>
      </c>
      <c r="G897" t="inlineStr">
        <is>
          <t>Customer</t>
        </is>
      </c>
      <c r="H897" s="2" t="str">
        <f>=HYPERLINK("https://upbox.ajobthing.my/customer/198313", "https://upbox.ajobthing.my/customer/198313")</f>
        <v>https://upbox.ajobthing.my/customer/198313</v>
      </c>
      <c r="I897" t="inlineStr">
        <is>
          <t>Katch International Sdn Bhd</t>
        </is>
      </c>
      <c r="J897" t="inlineStr">
        <is>
          <t>Dolphin</t>
        </is>
      </c>
      <c r="K897" t="inlineStr">
        <is>
          <t>Jess Lim</t>
        </is>
      </c>
      <c r="L897" s="4"/>
      <c r="M897" s="4">
        <v>46135.59645833333</v>
      </c>
      <c r="N897"/>
      <c r="O897">
        <v>5832</v>
      </c>
      <c r="P897" s="4"/>
      <c r="Q897" s="4">
        <v>46066.75576388889</v>
      </c>
      <c r="R897"/>
      <c r="S897">
        <v>0</v>
      </c>
      <c r="T897" s="4">
        <v>45978.71826388889</v>
      </c>
      <c r="U897" s="4"/>
      <c r="V897"/>
      <c r="W897">
        <v>3888</v>
      </c>
      <c r="X897"/>
      <c r="Y897" t="inlineStr">
        <is>
          <t>Pending Appointment</t>
        </is>
      </c>
      <c r="Z897" t="inlineStr">
        <is>
          <t>Hiring Now</t>
        </is>
      </c>
      <c r="AA897">
        <v>1</v>
      </c>
      <c r="AB897" t="inlineStr">
        <is>
          <t>No Appointment Made</t>
        </is>
      </c>
      <c r="AC897"/>
      <c r="AD897" t="inlineStr">
        <is>
          <t>sales admin</t>
        </is>
      </c>
      <c r="AE897"/>
      <c r="AF897">
        <v>3600</v>
      </c>
      <c r="AG897" s="4"/>
      <c r="AH897" s="4"/>
      <c r="AI897"/>
      <c r="AJ897"/>
      <c r="AK897" t="inlineStr">
        <is>
          <t>No, I don't need at all</t>
        </is>
      </c>
      <c r="AL897">
        <v>1</v>
      </c>
      <c r="AM897" t="inlineStr">
        <is>
          <t>No, I don't need at all</t>
        </is>
      </c>
      <c r="AN897"/>
      <c r="AO897" t="inlineStr">
        <is>
          <t>No, I don't need at all</t>
        </is>
      </c>
      <c r="AP897" t="inlineStr">
        <is>
          <t>Once a year (25%)</t>
        </is>
      </c>
      <c r="AQ897"/>
      <c r="AR897" t="inlineStr">
        <is>
          <t>Jobstreet</t>
        </is>
      </c>
      <c r="AS897" t="inlineStr">
        <is>
          <t>- Headcount: 1
- Hiring Job Details: sales admin
- Hiring Urgency: Hiring Now
- Number of outlets: Not provided
- Have recruiter team: No, I don't need at all
- Number of recruiter in company: 1
- Have ATS system: No, I don't need at all
- Have career website: No, I don't need at all
- Current hiring budget: RM3,600.00
- Whole year budget: Not provided
- Whole year number of vacancies: Not provided
- Hiring frequency: Once a year (25%)
- External job portal: Jobstreet</t>
        </is>
      </c>
      <c r="AT897">
        <v>90</v>
      </c>
      <c r="AU897" t="inlineStr">
        <is>
          <t>0.90</t>
        </is>
      </c>
      <c r="AV897" t="inlineStr">
        <is>
          <t>15</t>
        </is>
      </c>
      <c r="AW897" t="inlineStr">
        <is>
          <t>0</t>
        </is>
      </c>
      <c r="AX897" t="inlineStr">
        <is>
          <t>Not Qualified</t>
        </is>
      </c>
      <c r="AY897" s="4"/>
      <c r="AZ897"/>
      <c r="BA897"/>
      <c r="BB897"/>
      <c r="BC897" t="inlineStr">
        <is>
          <t>remind to use cv search</t>
        </is>
      </c>
      <c r="BD897" s="4">
        <v>46139.66648148148</v>
      </c>
      <c r="BE897" t="inlineStr">
        <is>
          <t>paid</t>
        </is>
      </c>
      <c r="BF897"/>
      <c r="BG897" t="inlineStr">
        <is>
          <t>Reschedule</t>
        </is>
      </c>
      <c r="BH897" t="inlineStr">
        <is>
          <t>Fauziah Maharan</t>
        </is>
      </c>
      <c r="BI897" t="inlineStr">
        <is>
          <t>IT / Software</t>
        </is>
      </c>
      <c r="BJ897" s="4">
        <v>46144.753020833334</v>
      </c>
      <c r="BK897" s="4">
        <v>45977.59643518519</v>
      </c>
      <c r="BL897" t="inlineStr">
        <is>
          <t>3888.0</t>
        </is>
      </c>
      <c r="BM897" t="inlineStr">
        <is>
          <t>0.0</t>
        </is>
      </c>
      <c r="BN897" t="inlineStr">
        <is>
          <t>View Company Page</t>
        </is>
      </c>
      <c r="BO897" s="4">
        <v>46143.712164351855</v>
      </c>
      <c r="BP897">
        <v>168549</v>
      </c>
      <c r="BQ897">
        <v>115130</v>
      </c>
      <c r="BR897" t="inlineStr">
        <is>
          <t>Proforma</t>
        </is>
      </c>
      <c r="BS897" t="inlineStr">
        <is>
          <t>Free Internship Job</t>
        </is>
      </c>
      <c r="BT897">
        <v>84240</v>
      </c>
      <c r="BU897"/>
      <c r="BV897">
        <v>2730707</v>
      </c>
      <c r="BW897" t="inlineStr">
        <is>
          <t>Service / Technical : Job Outcome Enquiry</t>
        </is>
      </c>
      <c r="BX897">
        <v>6</v>
      </c>
      <c r="BY897">
        <v>0</v>
      </c>
      <c r="BZ897" s="4">
        <v>45994.6658912037</v>
      </c>
      <c r="CA897">
        <v>60</v>
      </c>
      <c r="CB897">
        <v>60</v>
      </c>
      <c r="CC897" s="4"/>
      <c r="CD897" t="inlineStr">
        <is>
          <t>20</t>
        </is>
      </c>
      <c r="CE897" t="inlineStr">
        <is>
          <t>0</t>
        </is>
      </c>
      <c r="CF897" t="inlineStr">
        <is>
          <t>Q2-W03</t>
        </is>
      </c>
      <c r="CG897" t="inlineStr">
        <is>
          <t>Q1-W07</t>
        </is>
      </c>
      <c r="CH897"/>
      <c r="CI897"/>
      <c r="CJ897" t="inlineStr">
        <is>
          <t>Paid</t>
        </is>
      </c>
      <c r="CK897" t="inlineStr">
        <is>
          <t>Not Eligible</t>
        </is>
      </c>
      <c r="CL897"/>
      <c r="CM897"/>
    </row>
    <row r="898" ht="25.5" customHeight="1">
      <c r="A898" t="inlineStr">
        <is>
          <t>161658</t>
        </is>
      </c>
      <c r="B898" s="2"/>
      <c r="C898"/>
      <c r="D898" s="3">
        <v>46135.618472222224</v>
      </c>
      <c r="E898" t="inlineStr">
        <is>
          <t>Q2-W03</t>
        </is>
      </c>
      <c r="F898" t="inlineStr">
        <is>
          <t>Ratha</t>
        </is>
      </c>
      <c r="G898" t="inlineStr">
        <is>
          <t>Customer</t>
        </is>
      </c>
      <c r="H898" s="2" t="str">
        <f>=HYPERLINK("https://upbox.ajobthing.my/customer/161658", "https://upbox.ajobthing.my/customer/161658")</f>
        <v>https://upbox.ajobthing.my/customer/161658</v>
      </c>
      <c r="I898" t="inlineStr">
        <is>
          <t>Wishtee Marketing Sdn Bhd</t>
        </is>
      </c>
      <c r="J898" t="inlineStr">
        <is>
          <t>Dolphin</t>
        </is>
      </c>
      <c r="K898" t="inlineStr">
        <is>
          <t>Ratha</t>
        </is>
      </c>
      <c r="L898" s="4"/>
      <c r="M898" s="4">
        <v>46135.62262731481</v>
      </c>
      <c r="N898"/>
      <c r="O898">
        <v>3672</v>
      </c>
      <c r="P898" s="4"/>
      <c r="Q898" s="4">
        <v>46136.42273148148</v>
      </c>
      <c r="R898"/>
      <c r="S898">
        <v>864</v>
      </c>
      <c r="T898" s="4">
        <v>46136.42273148148</v>
      </c>
      <c r="U898" s="4"/>
      <c r="V898"/>
      <c r="W898">
        <v>864</v>
      </c>
      <c r="X898"/>
      <c r="Y898" t="inlineStr">
        <is>
          <t>Pending Appointment</t>
        </is>
      </c>
      <c r="Z898" t="inlineStr">
        <is>
          <t>Hiring Now</t>
        </is>
      </c>
      <c r="AA898">
        <v>1</v>
      </c>
      <c r="AB898" t="inlineStr">
        <is>
          <t>No Appointment Made</t>
        </is>
      </c>
      <c r="AC898"/>
      <c r="AD898" t="inlineStr">
        <is>
          <t>Sales (indoor) 1
Location : Kepong</t>
        </is>
      </c>
      <c r="AE898"/>
      <c r="AF898"/>
      <c r="AG898" s="4"/>
      <c r="AH898" s="4"/>
      <c r="AI898">
        <v>0</v>
      </c>
      <c r="AJ898">
        <v>1</v>
      </c>
      <c r="AK898" t="inlineStr">
        <is>
          <t>Yes, I have</t>
        </is>
      </c>
      <c r="AL898">
        <v>2</v>
      </c>
      <c r="AM898" t="inlineStr">
        <is>
          <t>No, I don't need at all</t>
        </is>
      </c>
      <c r="AN898"/>
      <c r="AO898" t="inlineStr">
        <is>
          <t>No, I don't need at all</t>
        </is>
      </c>
      <c r="AP898" t="inlineStr">
        <is>
          <t>Twice a year (50%)</t>
        </is>
      </c>
      <c r="AQ898">
        <v>0</v>
      </c>
      <c r="AR898" t="inlineStr">
        <is>
          <t>Did not use any job portal</t>
        </is>
      </c>
      <c r="AS898" t="inlineStr">
        <is>
          <t>- Headcount: 1
- Hiring Job Details: 1 indoor Sales
- Hiring Urgency: Hiring Now
- Number of outlets: 1
- Have recruiter team: Yes
- Number of recruiter in company: 2
- Have ATS system: No, I don't need at all
- Have career website: No, I don't need at all
- Current hiring budget: RM
- Whole year budget: RM0.00
- Whole year number of vacancies: 0
- Hiring frequency: Twice a year (50%)
- External job portal: Did not use any job portal</t>
        </is>
      </c>
      <c r="AT898">
        <v>95</v>
      </c>
      <c r="AU898" t="inlineStr">
        <is>
          <t>0.95</t>
        </is>
      </c>
      <c r="AV898" t="inlineStr">
        <is>
          <t>5</t>
        </is>
      </c>
      <c r="AW898" t="inlineStr">
        <is>
          <t>0</t>
        </is>
      </c>
      <c r="AX898" t="inlineStr">
        <is>
          <t>Not Qualified</t>
        </is>
      </c>
      <c r="AY898" s="4"/>
      <c r="AZ898"/>
      <c r="BA898"/>
      <c r="BB898"/>
      <c r="BC898" t="inlineStr">
        <is>
          <t>guided to post the job</t>
        </is>
      </c>
      <c r="BD898" s="4">
        <v>46139.49302083333</v>
      </c>
      <c r="BE898" t="inlineStr">
        <is>
          <t>paid</t>
        </is>
      </c>
      <c r="BF898" t="inlineStr">
        <is>
          <t>Q2-W04</t>
        </is>
      </c>
      <c r="BG898" t="inlineStr">
        <is>
          <t>Reschedule</t>
        </is>
      </c>
      <c r="BH898" t="inlineStr">
        <is>
          <t>Fauziah Maharan</t>
        </is>
      </c>
      <c r="BI898" t="inlineStr">
        <is>
          <t>Printing / Publishing</t>
        </is>
      </c>
      <c r="BJ898" s="4">
        <v>46144.751122685186</v>
      </c>
      <c r="BK898" s="4">
        <v>44867.447071759256</v>
      </c>
      <c r="BL898" t="inlineStr">
        <is>
          <t>1512.0</t>
        </is>
      </c>
      <c r="BM898" t="inlineStr">
        <is>
          <t>0.0</t>
        </is>
      </c>
      <c r="BN898" t="inlineStr">
        <is>
          <t>View Company Page</t>
        </is>
      </c>
      <c r="BO898" s="4">
        <v>46142.66878472222</v>
      </c>
      <c r="BP898">
        <v>168578</v>
      </c>
      <c r="BQ898">
        <v>94704</v>
      </c>
      <c r="BR898" t="inlineStr">
        <is>
          <t>Online</t>
        </is>
      </c>
      <c r="BS898"/>
      <c r="BT898">
        <v>94704</v>
      </c>
      <c r="BU898"/>
      <c r="BV898">
        <v>2728730</v>
      </c>
      <c r="BW898" t="inlineStr">
        <is>
          <t>Service / Technical : Help To Post Job</t>
        </is>
      </c>
      <c r="BX898">
        <v>1</v>
      </c>
      <c r="BY898">
        <v>0</v>
      </c>
      <c r="BZ898" s="4">
        <v>46139.494722222225</v>
      </c>
      <c r="CA898">
        <v>10</v>
      </c>
      <c r="CB898">
        <v>10</v>
      </c>
      <c r="CC898" s="4"/>
      <c r="CD898" t="inlineStr">
        <is>
          <t>5</t>
        </is>
      </c>
      <c r="CE898" t="inlineStr">
        <is>
          <t>0</t>
        </is>
      </c>
      <c r="CF898" t="inlineStr">
        <is>
          <t>Q2-W03</t>
        </is>
      </c>
      <c r="CG898" t="inlineStr">
        <is>
          <t>Q2-W04</t>
        </is>
      </c>
      <c r="CH898" t="inlineStr">
        <is>
          <t>Q2-W04</t>
        </is>
      </c>
      <c r="CI898"/>
      <c r="CJ898" t="inlineStr">
        <is>
          <t>Paid</t>
        </is>
      </c>
      <c r="CK898" t="inlineStr">
        <is>
          <t>Not Eligible</t>
        </is>
      </c>
      <c r="CL898"/>
      <c r="CM898"/>
    </row>
    <row r="899" ht="25.5" customHeight="1">
      <c r="A899" t="inlineStr">
        <is>
          <t>175062</t>
        </is>
      </c>
      <c r="B899" s="2"/>
      <c r="C899"/>
      <c r="D899" s="3">
        <v>46135.62043981482</v>
      </c>
      <c r="E899" t="inlineStr">
        <is>
          <t>Q2-W03</t>
        </is>
      </c>
      <c r="F899" t="inlineStr">
        <is>
          <t>Jia Hui</t>
        </is>
      </c>
      <c r="G899" t="inlineStr">
        <is>
          <t>Customer</t>
        </is>
      </c>
      <c r="H899" s="2" t="str">
        <f>=HYPERLINK("https://upbox.ajobthing.my/customer/175062", "https://upbox.ajobthing.my/customer/175062")</f>
        <v>https://upbox.ajobthing.my/customer/175062</v>
      </c>
      <c r="I899" t="inlineStr">
        <is>
          <t>Tycore Sdn Bhd</t>
        </is>
      </c>
      <c r="J899" t="inlineStr">
        <is>
          <t>Dolphin</t>
        </is>
      </c>
      <c r="K899" t="inlineStr">
        <is>
          <t>Jia Hui</t>
        </is>
      </c>
      <c r="L899" s="4"/>
      <c r="M899" s="4">
        <v>46135.620671296296</v>
      </c>
      <c r="N899"/>
      <c r="O899">
        <v>3888</v>
      </c>
      <c r="P899" s="4"/>
      <c r="Q899" s="4">
        <v>46141.67259259259</v>
      </c>
      <c r="R899"/>
      <c r="S899">
        <v>1296</v>
      </c>
      <c r="T899" s="4">
        <v>46141.67259259259</v>
      </c>
      <c r="U899" s="4"/>
      <c r="V899"/>
      <c r="W899">
        <v>1296</v>
      </c>
      <c r="X899"/>
      <c r="Y899" t="inlineStr">
        <is>
          <t>Pending Appointment</t>
        </is>
      </c>
      <c r="Z899" t="inlineStr">
        <is>
          <t>Hiring Later</t>
        </is>
      </c>
      <c r="AA899">
        <v>1</v>
      </c>
      <c r="AB899" t="inlineStr">
        <is>
          <t>No Appointment Made</t>
        </is>
      </c>
      <c r="AC899"/>
      <c r="AD899" t="inlineStr">
        <is>
          <t>1 SEO</t>
        </is>
      </c>
      <c r="AE899"/>
      <c r="AF899">
        <v>500</v>
      </c>
      <c r="AG899" s="4"/>
      <c r="AH899" s="4"/>
      <c r="AI899"/>
      <c r="AJ899"/>
      <c r="AK899" t="inlineStr">
        <is>
          <t>No, but I want in future</t>
        </is>
      </c>
      <c r="AL899"/>
      <c r="AM899"/>
      <c r="AN899"/>
      <c r="AO899"/>
      <c r="AP899" t="inlineStr">
        <is>
          <t>Once a year (25%)</t>
        </is>
      </c>
      <c r="AQ899"/>
      <c r="AR899"/>
      <c r="AS899" t="inlineStr">
        <is>
          <t>- Headcount: 1
- Hiring Job Details: 1 SEO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Later</t>
        </is>
      </c>
      <c r="AT899">
        <v>75</v>
      </c>
      <c r="AU899" t="inlineStr">
        <is>
          <t>0.75</t>
        </is>
      </c>
      <c r="AV899" t="inlineStr">
        <is>
          <t>15</t>
        </is>
      </c>
      <c r="AW899" t="inlineStr">
        <is>
          <t>0</t>
        </is>
      </c>
      <c r="AX899" t="inlineStr">
        <is>
          <t>Not Qualified</t>
        </is>
      </c>
      <c r="AY899" s="4"/>
      <c r="AZ899"/>
      <c r="BA899"/>
      <c r="BB899"/>
      <c r="BC899" t="inlineStr">
        <is>
          <t>company has been verified, guide her on job posting</t>
        </is>
      </c>
      <c r="BD899" s="4">
        <v>46142.48730324074</v>
      </c>
      <c r="BE899" t="inlineStr">
        <is>
          <t>paid</t>
        </is>
      </c>
      <c r="BF899" t="inlineStr">
        <is>
          <t>Q2-W04</t>
        </is>
      </c>
      <c r="BG899" t="inlineStr">
        <is>
          <t>Reschedule</t>
        </is>
      </c>
      <c r="BH899" t="inlineStr">
        <is>
          <t>Reagen</t>
        </is>
      </c>
      <c r="BI899"/>
      <c r="BJ899" s="4">
        <v>46144.75158564815</v>
      </c>
      <c r="BK899" s="4">
        <v>45321.58945601852</v>
      </c>
      <c r="BL899" t="inlineStr">
        <is>
          <t>1296.0</t>
        </is>
      </c>
      <c r="BM899" t="inlineStr">
        <is>
          <t>0.0</t>
        </is>
      </c>
      <c r="BN899" t="inlineStr">
        <is>
          <t>View Company Page</t>
        </is>
      </c>
      <c r="BO899" s="4">
        <v>46143.65728009259</v>
      </c>
      <c r="BP899">
        <v>168575</v>
      </c>
      <c r="BQ899">
        <v>95116</v>
      </c>
      <c r="BR899" t="inlineStr">
        <is>
          <t>Online</t>
        </is>
      </c>
      <c r="BS899"/>
      <c r="BT899">
        <v>95116</v>
      </c>
      <c r="BU899"/>
      <c r="BV899">
        <v>2737212</v>
      </c>
      <c r="BW899" t="inlineStr">
        <is>
          <t>Service / Technical : Job Outcome Enquiry</t>
        </is>
      </c>
      <c r="BX899">
        <v>1</v>
      </c>
      <c r="BY899">
        <v>0</v>
      </c>
      <c r="BZ899" s="4">
        <v>46142.46266203704</v>
      </c>
      <c r="CA899">
        <v>10</v>
      </c>
      <c r="CB899">
        <v>10</v>
      </c>
      <c r="CC899" s="4"/>
      <c r="CD899" t="inlineStr">
        <is>
          <t>20</t>
        </is>
      </c>
      <c r="CE899" t="inlineStr">
        <is>
          <t>0</t>
        </is>
      </c>
      <c r="CF899" t="inlineStr">
        <is>
          <t>Q2-W03</t>
        </is>
      </c>
      <c r="CG899" t="inlineStr">
        <is>
          <t>Q2-W04</t>
        </is>
      </c>
      <c r="CH899" t="inlineStr">
        <is>
          <t>Q2-W04</t>
        </is>
      </c>
      <c r="CI899"/>
      <c r="CJ899" t="inlineStr">
        <is>
          <t>Paid</t>
        </is>
      </c>
      <c r="CK899" t="inlineStr">
        <is>
          <t>Not Eligible</t>
        </is>
      </c>
      <c r="CL899"/>
      <c r="CM899"/>
    </row>
    <row r="900" ht="25.5" customHeight="1">
      <c r="A900" t="inlineStr">
        <is>
          <t>32199</t>
        </is>
      </c>
      <c r="B900" s="2"/>
      <c r="C900"/>
      <c r="D900" s="3">
        <v>46135.62695601852</v>
      </c>
      <c r="E900" t="inlineStr">
        <is>
          <t>Q2-W03</t>
        </is>
      </c>
      <c r="F900" t="inlineStr">
        <is>
          <t>Jeff Lee</t>
        </is>
      </c>
      <c r="G900" t="inlineStr">
        <is>
          <t>Customer</t>
        </is>
      </c>
      <c r="H900" s="2" t="str">
        <f>=HYPERLINK("https://upbox.ajobthing.my/customer/32199", "https://upbox.ajobthing.my/customer/32199")</f>
        <v>https://upbox.ajobthing.my/customer/32199</v>
      </c>
      <c r="I900" t="inlineStr">
        <is>
          <t>SANY Construction Industry Development (M) Sdn Bhd</t>
        </is>
      </c>
      <c r="J900" t="inlineStr">
        <is>
          <t>Dolphin</t>
        </is>
      </c>
      <c r="K900" t="inlineStr">
        <is>
          <t>Jeff Lee</t>
        </is>
      </c>
      <c r="L900" s="4"/>
      <c r="M900" s="4">
        <v>46135.62401620371</v>
      </c>
      <c r="N900"/>
      <c r="O900">
        <v>3888</v>
      </c>
      <c r="P900" s="4"/>
      <c r="Q900" s="4"/>
      <c r="R900"/>
      <c r="S900"/>
      <c r="T900" s="4"/>
      <c r="U900" s="4"/>
      <c r="V900"/>
      <c r="W900"/>
      <c r="X900"/>
      <c r="Y900" t="inlineStr">
        <is>
          <t>Pending Appointment</t>
        </is>
      </c>
      <c r="Z900" t="inlineStr">
        <is>
          <t>Hiring Later</t>
        </is>
      </c>
      <c r="AA900">
        <v>2</v>
      </c>
      <c r="AB900" t="inlineStr">
        <is>
          <t>No Appointment Made</t>
        </is>
      </c>
      <c r="AC900"/>
      <c r="AD900" t="inlineStr">
        <is>
          <t>1 Sales person, 1 Construction Site worker</t>
        </is>
      </c>
      <c r="AE900"/>
      <c r="AF900">
        <v>0</v>
      </c>
      <c r="AG900" s="4"/>
      <c r="AH900" s="4"/>
      <c r="AI900">
        <v>0</v>
      </c>
      <c r="AJ900">
        <v>0</v>
      </c>
      <c r="AK900" t="inlineStr">
        <is>
          <t>No, I don't need at all</t>
        </is>
      </c>
      <c r="AL900">
        <v>0</v>
      </c>
      <c r="AM900" t="inlineStr">
        <is>
          <t>No, I don't need at all</t>
        </is>
      </c>
      <c r="AN900"/>
      <c r="AO900" t="inlineStr">
        <is>
          <t>No, I don't need at all</t>
        </is>
      </c>
      <c r="AP900" t="inlineStr">
        <is>
          <t>Once a year (25%)</t>
        </is>
      </c>
      <c r="AQ900">
        <v>2</v>
      </c>
      <c r="AR900" t="inlineStr">
        <is>
          <t>Jobstreet</t>
        </is>
      </c>
      <c r="AS900" t="inlineStr">
        <is>
          <t>- Headcount: 2
- Hiring Job Details: 1 Sales person, 1 Construction Site worker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is>
      </c>
      <c r="AT900">
        <v>95</v>
      </c>
      <c r="AU900" t="inlineStr">
        <is>
          <t>0.95</t>
        </is>
      </c>
      <c r="AV900" t="inlineStr">
        <is>
          <t>15</t>
        </is>
      </c>
      <c r="AW900" t="inlineStr">
        <is>
          <t>0</t>
        </is>
      </c>
      <c r="AX900" t="inlineStr">
        <is>
          <t>Not Qualified</t>
        </is>
      </c>
      <c r="AY900" s="4"/>
      <c r="AZ900"/>
      <c r="BA900"/>
      <c r="BB900"/>
      <c r="BC900" t="inlineStr">
        <is>
          <t>pending with management team</t>
        </is>
      </c>
      <c r="BD900" s="4">
        <v>46140.46530092593</v>
      </c>
      <c r="BE900"/>
      <c r="BF900"/>
      <c r="BG900" t="inlineStr">
        <is>
          <t>Reschedule</t>
        </is>
      </c>
      <c r="BH900" t="inlineStr">
        <is>
          <t>Yee Hang</t>
        </is>
      </c>
      <c r="BI900" t="inlineStr">
        <is>
          <t>Sales / Biz Development</t>
        </is>
      </c>
      <c r="BJ900" s="4">
        <v>46144.75454861111</v>
      </c>
      <c r="BK900" s="4">
        <v>42725.60346064815</v>
      </c>
      <c r="BL900" t="inlineStr">
        <is>
          <t>0.0</t>
        </is>
      </c>
      <c r="BM900" t="inlineStr">
        <is>
          <t>3600.0</t>
        </is>
      </c>
      <c r="BN900" t="inlineStr">
        <is>
          <t>View Company Page</t>
        </is>
      </c>
      <c r="BO900" s="4">
        <v>45866.503645833334</v>
      </c>
      <c r="BP900">
        <v>168582</v>
      </c>
      <c r="BQ900"/>
      <c r="BR900"/>
      <c r="BS900"/>
      <c r="BT900"/>
      <c r="BU900"/>
      <c r="BV900">
        <v>2732047</v>
      </c>
      <c r="BW900" t="inlineStr">
        <is>
          <t>Follow Up : Decision Pending</t>
        </is>
      </c>
      <c r="BX900"/>
      <c r="BY900"/>
      <c r="BZ900" s="4"/>
      <c r="CA900"/>
      <c r="CB900"/>
      <c r="CC900" s="4"/>
      <c r="CD900" t="inlineStr">
        <is>
          <t>20</t>
        </is>
      </c>
      <c r="CE900" t="inlineStr">
        <is>
          <t>0</t>
        </is>
      </c>
      <c r="CF900" t="inlineStr">
        <is>
          <t>Q2-W03</t>
        </is>
      </c>
      <c r="CG900"/>
      <c r="CH900"/>
      <c r="CI900"/>
      <c r="CJ900" t="inlineStr">
        <is>
          <t>No Paid</t>
        </is>
      </c>
      <c r="CK900" t="inlineStr">
        <is>
          <t>Not Eligible</t>
        </is>
      </c>
      <c r="CL900"/>
      <c r="CM900"/>
    </row>
    <row r="901" ht="25.5" customHeight="1">
      <c r="A901" t="inlineStr">
        <is>
          <t>203571</t>
        </is>
      </c>
      <c r="B901" s="2"/>
      <c r="C901"/>
      <c r="D901" s="3">
        <v>46135.62862268519</v>
      </c>
      <c r="E901" t="inlineStr">
        <is>
          <t>Q2-W03</t>
        </is>
      </c>
      <c r="F901" t="inlineStr">
        <is>
          <t>Janice Yap</t>
        </is>
      </c>
      <c r="G901" t="inlineStr">
        <is>
          <t>Customer</t>
        </is>
      </c>
      <c r="H901" s="2" t="str">
        <f>=HYPERLINK("https://upbox.ajobthing.my/customer/203571", "https://upbox.ajobthing.my/customer/203571")</f>
        <v>https://upbox.ajobthing.my/customer/203571</v>
      </c>
      <c r="I901" t="inlineStr">
        <is>
          <t>YFL (MALAYSIA) SDN BHD</t>
        </is>
      </c>
      <c r="J901" t="inlineStr">
        <is>
          <t>Dolphin</t>
        </is>
      </c>
      <c r="K901" t="inlineStr">
        <is>
          <t>Janice</t>
        </is>
      </c>
      <c r="L901" s="4"/>
      <c r="M901" s="4">
        <v>46135.16892361111</v>
      </c>
      <c r="N901"/>
      <c r="O901"/>
      <c r="P901" s="4"/>
      <c r="Q901" s="4">
        <v>46136.48872685185</v>
      </c>
      <c r="R901"/>
      <c r="S901">
        <v>3888</v>
      </c>
      <c r="T901" s="4"/>
      <c r="U901" s="4"/>
      <c r="V901"/>
      <c r="W901"/>
      <c r="X901"/>
      <c r="Y901" t="inlineStr">
        <is>
          <t>Pending Appointment</t>
        </is>
      </c>
      <c r="Z901" t="inlineStr">
        <is>
          <t>Hiring Now</t>
        </is>
      </c>
      <c r="AA901">
        <v>4</v>
      </c>
      <c r="AB901" t="inlineStr">
        <is>
          <t>No Appointment Made</t>
        </is>
      </c>
      <c r="AC901"/>
      <c r="AD901" t="inlineStr">
        <is>
          <t xml:space="preserve">operation admin // intern // account assist // manager </t>
        </is>
      </c>
      <c r="AE901"/>
      <c r="AF901">
        <v>0</v>
      </c>
      <c r="AG901" s="4"/>
      <c r="AH901" s="4"/>
      <c r="AI901">
        <v>0</v>
      </c>
      <c r="AJ901"/>
      <c r="AK901" t="inlineStr">
        <is>
          <t>No, I don't need at all</t>
        </is>
      </c>
      <c r="AL901">
        <v>0</v>
      </c>
      <c r="AM901" t="inlineStr">
        <is>
          <t>No, I don't need at all</t>
        </is>
      </c>
      <c r="AN901"/>
      <c r="AO901" t="inlineStr">
        <is>
          <t>No, I don't need at all</t>
        </is>
      </c>
      <c r="AP901" t="inlineStr">
        <is>
          <t>Once a year (25%)</t>
        </is>
      </c>
      <c r="AQ901">
        <v>4</v>
      </c>
      <c r="AR901" t="inlineStr">
        <is>
          <t>Jobstreet, Indeed (Paid)</t>
        </is>
      </c>
      <c r="AS901" t="inlineStr">
        <is>
          <t>- Headcount: 4
- Hiring Job Details: operation admin, intern, account assist, manager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4
- Hiring frequency: Once a year (25%)
- External job portal: Jobstreet, Indeed (Paid)</t>
        </is>
      </c>
      <c r="AT901">
        <v>90</v>
      </c>
      <c r="AU901" t="inlineStr">
        <is>
          <t>0.90</t>
        </is>
      </c>
      <c r="AV901" t="inlineStr">
        <is>
          <t>15</t>
        </is>
      </c>
      <c r="AW901" t="inlineStr">
        <is>
          <t>0</t>
        </is>
      </c>
      <c r="AX901" t="inlineStr">
        <is>
          <t>Not Qualified</t>
        </is>
      </c>
      <c r="AY901" s="4"/>
      <c r="AZ901"/>
      <c r="BA901"/>
      <c r="BB901"/>
      <c r="BC901" t="inlineStr">
        <is>
          <t>Help to amend the date in the form</t>
        </is>
      </c>
      <c r="BD901" s="4">
        <v>46142.6703125</v>
      </c>
      <c r="BE901" t="inlineStr">
        <is>
          <t>pending</t>
        </is>
      </c>
      <c r="BF901"/>
      <c r="BG901" t="inlineStr">
        <is>
          <t>Reschedule</t>
        </is>
      </c>
      <c r="BH901" t="inlineStr">
        <is>
          <t>Yee Hang</t>
        </is>
      </c>
      <c r="BI901" t="inlineStr">
        <is>
          <t>Other industries</t>
        </is>
      </c>
      <c r="BJ901" s="4">
        <v>46144.75435185185</v>
      </c>
      <c r="BK901" s="4">
        <v>46135.502233796295</v>
      </c>
      <c r="BL901" t="inlineStr">
        <is>
          <t>0.0</t>
        </is>
      </c>
      <c r="BM901" t="inlineStr">
        <is>
          <t>0.0</t>
        </is>
      </c>
      <c r="BN901" t="inlineStr">
        <is>
          <t>View Company Page</t>
        </is>
      </c>
      <c r="BO901" s="4">
        <v>46142.38798611111</v>
      </c>
      <c r="BP901">
        <v>168519</v>
      </c>
      <c r="BQ901">
        <v>7702</v>
      </c>
      <c r="BR901" t="inlineStr">
        <is>
          <t>Manual</t>
        </is>
      </c>
      <c r="BS901"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901"/>
      <c r="BU901"/>
      <c r="BV901">
        <v>2738097</v>
      </c>
      <c r="BW901" t="inlineStr">
        <is>
          <t>Follow Up : Payment Pending</t>
        </is>
      </c>
      <c r="BX901"/>
      <c r="BY901"/>
      <c r="BZ901" s="4"/>
      <c r="CA901"/>
      <c r="CB901"/>
      <c r="CC901" s="4"/>
      <c r="CD901" t="inlineStr">
        <is>
          <t>20</t>
        </is>
      </c>
      <c r="CE901" t="inlineStr">
        <is>
          <t>0</t>
        </is>
      </c>
      <c r="CF901" t="inlineStr">
        <is>
          <t>Q2-W03</t>
        </is>
      </c>
      <c r="CG901" t="inlineStr">
        <is>
          <t>Q2-W04</t>
        </is>
      </c>
      <c r="CH901"/>
      <c r="CI901"/>
      <c r="CJ901" t="inlineStr">
        <is>
          <t>No Paid</t>
        </is>
      </c>
      <c r="CK901" t="inlineStr">
        <is>
          <t>Not Eligible</t>
        </is>
      </c>
      <c r="CL901"/>
      <c r="CM901"/>
    </row>
    <row r="902" ht="25.5" customHeight="1">
      <c r="A902" t="inlineStr">
        <is>
          <t>177195</t>
        </is>
      </c>
      <c r="B902" s="2"/>
      <c r="C902"/>
      <c r="D902" s="3">
        <v>46135.634305555555</v>
      </c>
      <c r="E902" t="inlineStr">
        <is>
          <t>Q2-W03</t>
        </is>
      </c>
      <c r="F902" t="inlineStr">
        <is>
          <t>Ken Yi</t>
        </is>
      </c>
      <c r="G902" t="inlineStr">
        <is>
          <t>Customer</t>
        </is>
      </c>
      <c r="H902" s="2" t="str">
        <f>=HYPERLINK("https://upbox.ajobthing.my/customer/177195", "https://upbox.ajobthing.my/customer/177195")</f>
        <v>https://upbox.ajobthing.my/customer/177195</v>
      </c>
      <c r="I902" t="inlineStr">
        <is>
          <t>LK Lazy Kitchen Sdn Bhd</t>
        </is>
      </c>
      <c r="J902" t="inlineStr">
        <is>
          <t>Dolphin</t>
        </is>
      </c>
      <c r="K902" t="inlineStr">
        <is>
          <t>Kenyi</t>
        </is>
      </c>
      <c r="L902" s="4"/>
      <c r="M902" s="4">
        <v>46121.45811342593</v>
      </c>
      <c r="N902"/>
      <c r="O902">
        <v>10800</v>
      </c>
      <c r="P902" s="4"/>
      <c r="Q902" s="4">
        <v>46135.63296296296</v>
      </c>
      <c r="R902"/>
      <c r="S902">
        <v>3888</v>
      </c>
      <c r="T902" s="4">
        <v>45826.62259259259</v>
      </c>
      <c r="U902" s="4"/>
      <c r="V902"/>
      <c r="W902">
        <v>3672</v>
      </c>
      <c r="X902"/>
      <c r="Y902" t="inlineStr">
        <is>
          <t>Pending Appointment</t>
        </is>
      </c>
      <c r="Z902" t="inlineStr">
        <is>
          <t>Hiring Now</t>
        </is>
      </c>
      <c r="AA902">
        <v>3</v>
      </c>
      <c r="AB902" t="inlineStr">
        <is>
          <t>No Appointment Made</t>
        </is>
      </c>
      <c r="AC902"/>
      <c r="AD902" t="inlineStr">
        <is>
          <t>Service Crew, Restaurant Crew, Customer service mandarin</t>
        </is>
      </c>
      <c r="AE902"/>
      <c r="AF902">
        <v>0</v>
      </c>
      <c r="AG902" s="4"/>
      <c r="AH902" s="4"/>
      <c r="AI902">
        <v>0</v>
      </c>
      <c r="AJ902">
        <v>3</v>
      </c>
      <c r="AK902" t="inlineStr">
        <is>
          <t>Yes, I have</t>
        </is>
      </c>
      <c r="AL902">
        <v>2</v>
      </c>
      <c r="AM902" t="inlineStr">
        <is>
          <t>No, I don't need at all</t>
        </is>
      </c>
      <c r="AN902"/>
      <c r="AO902" t="inlineStr">
        <is>
          <t>No, I don't need at all</t>
        </is>
      </c>
      <c r="AP902" t="inlineStr">
        <is>
          <t>Every month (100%)</t>
        </is>
      </c>
      <c r="AQ902">
        <v>5</v>
      </c>
      <c r="AR902" t="inlineStr">
        <is>
          <t>Did not use any job portal</t>
        </is>
      </c>
      <c r="AS902" t="inlineStr">
        <is>
          <t>- Headcount: 3
- Hiring Job Details: Service Crew, Restaurant Crew, Customer service mandarin
- Hiring Urgency: Hiring Now
- Number of outlets: 3
- Have recruiter team: Yes
- Number of recruiter in company: 2
- Have ATS system: No, I don't need at all
- Have career website: No, I don't need at all
- Current hiring budget: RM0
- Whole year budget: RM0.00
- Whole year number of vacancies: 5
- Hiring frequency: Every month (100%)
- External job portal: Did not use any job portal</t>
        </is>
      </c>
      <c r="AT902">
        <v>90</v>
      </c>
      <c r="AU902" t="inlineStr">
        <is>
          <t>0.90</t>
        </is>
      </c>
      <c r="AV902" t="inlineStr">
        <is>
          <t>15</t>
        </is>
      </c>
      <c r="AW902" t="inlineStr">
        <is>
          <t>0</t>
        </is>
      </c>
      <c r="AX902" t="inlineStr">
        <is>
          <t>Not Qualified</t>
        </is>
      </c>
      <c r="AY902" s="4"/>
      <c r="AZ902"/>
      <c r="BA902"/>
      <c r="BB902"/>
      <c r="BC902" t="inlineStr">
        <is>
          <t>Perhaps i chase payment for quite tends, ask to pay it at the later date.</t>
        </is>
      </c>
      <c r="BD902" s="4">
        <v>46142.635046296295</v>
      </c>
      <c r="BE902" t="inlineStr">
        <is>
          <t>pending</t>
        </is>
      </c>
      <c r="BF902"/>
      <c r="BG902" t="inlineStr">
        <is>
          <t>Reschedule</t>
        </is>
      </c>
      <c r="BH902" t="inlineStr">
        <is>
          <t>Fauziah Maharan</t>
        </is>
      </c>
      <c r="BI902" t="inlineStr">
        <is>
          <t>Food / Beverage</t>
        </is>
      </c>
      <c r="BJ902" s="4">
        <v>46144.75167824074</v>
      </c>
      <c r="BK902" s="4">
        <v>45390.66189814815</v>
      </c>
      <c r="BL902" t="inlineStr">
        <is>
          <t>3672.0</t>
        </is>
      </c>
      <c r="BM902" t="inlineStr">
        <is>
          <t>0.0</t>
        </is>
      </c>
      <c r="BN902" t="inlineStr">
        <is>
          <t>User Visit(Logged In)</t>
        </is>
      </c>
      <c r="BO902" s="4">
        <v>46135.48403935185</v>
      </c>
      <c r="BP902">
        <v>166128</v>
      </c>
      <c r="BQ902">
        <v>7693</v>
      </c>
      <c r="BR902" t="inlineStr">
        <is>
          <t>Manual</t>
        </is>
      </c>
      <c r="BS902" t="inlineStr">
        <is>
          <t>AI Yearly Standard Plan
- AI Yearly Standard Plan of 3 AI Job Ads + 3 Free AI Job Ads with Booster (Total 6 Unit)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902">
        <v>80184</v>
      </c>
      <c r="BU902"/>
      <c r="BV902">
        <v>2737918</v>
      </c>
      <c r="BW902" t="inlineStr">
        <is>
          <t>Follow Up : Payment Pending</t>
        </is>
      </c>
      <c r="BX902">
        <v>1</v>
      </c>
      <c r="BY902">
        <v>-4</v>
      </c>
      <c r="BZ902" s="4">
        <v>46097.68258101852</v>
      </c>
      <c r="CA902">
        <v>145</v>
      </c>
      <c r="CB902">
        <v>112</v>
      </c>
      <c r="CC902" s="4">
        <v>46122.61832175926</v>
      </c>
      <c r="CD902" t="inlineStr">
        <is>
          <t>20</t>
        </is>
      </c>
      <c r="CE902" t="inlineStr">
        <is>
          <t>0</t>
        </is>
      </c>
      <c r="CF902" t="inlineStr">
        <is>
          <t>Q2-W01</t>
        </is>
      </c>
      <c r="CG902" t="inlineStr">
        <is>
          <t>Q2-W03</t>
        </is>
      </c>
      <c r="CH902"/>
      <c r="CI902"/>
      <c r="CJ902" t="inlineStr">
        <is>
          <t>Paid</t>
        </is>
      </c>
      <c r="CK902" t="inlineStr">
        <is>
          <t>Not Eligible</t>
        </is>
      </c>
      <c r="CL902"/>
      <c r="CM902"/>
    </row>
    <row r="903" ht="25.5" customHeight="1">
      <c r="A903" t="inlineStr">
        <is>
          <t>117737</t>
        </is>
      </c>
      <c r="B903" s="2"/>
      <c r="C903"/>
      <c r="D903" s="3">
        <v>46135.64538194444</v>
      </c>
      <c r="E903" t="inlineStr">
        <is>
          <t>Q2-W03</t>
        </is>
      </c>
      <c r="F903" t="inlineStr">
        <is>
          <t>Eugene</t>
        </is>
      </c>
      <c r="G903" t="inlineStr">
        <is>
          <t>Customer</t>
        </is>
      </c>
      <c r="H903" s="2" t="str">
        <f>=HYPERLINK("https://upbox.ajobthing.my/customer/117737", "https://upbox.ajobthing.my/customer/117737")</f>
        <v>https://upbox.ajobthing.my/customer/117737</v>
      </c>
      <c r="I903" t="inlineStr">
        <is>
          <t>Giftwenty Sdn Bhd</t>
        </is>
      </c>
      <c r="J903" t="inlineStr">
        <is>
          <t>Dolphin</t>
        </is>
      </c>
      <c r="K903" t="inlineStr">
        <is>
          <t>Eugene</t>
        </is>
      </c>
      <c r="L903" s="4"/>
      <c r="M903" s="4">
        <v>46135.64611111111</v>
      </c>
      <c r="N903"/>
      <c r="O903">
        <v>3888</v>
      </c>
      <c r="P903" s="4"/>
      <c r="Q903" s="4">
        <v>45541.446550925924</v>
      </c>
      <c r="R903"/>
      <c r="S903">
        <v>972</v>
      </c>
      <c r="T903" s="4">
        <v>45541.446550925924</v>
      </c>
      <c r="U903" s="4"/>
      <c r="V903"/>
      <c r="W903">
        <v>972</v>
      </c>
      <c r="X903"/>
      <c r="Y903" t="inlineStr">
        <is>
          <t>Pending Appointment</t>
        </is>
      </c>
      <c r="Z903" t="inlineStr">
        <is>
          <t>Hiring Now</t>
        </is>
      </c>
      <c r="AA903">
        <v>1</v>
      </c>
      <c r="AB903" t="inlineStr">
        <is>
          <t>No Appointment Made</t>
        </is>
      </c>
      <c r="AC903"/>
      <c r="AD903" t="inlineStr">
        <is>
          <t>1 ecommerce, based in shah alam</t>
        </is>
      </c>
      <c r="AE903"/>
      <c r="AF903">
        <v>1000</v>
      </c>
      <c r="AG903" s="4"/>
      <c r="AH903" s="4"/>
      <c r="AI903">
        <v>3000</v>
      </c>
      <c r="AJ903">
        <v>2</v>
      </c>
      <c r="AK903" t="inlineStr">
        <is>
          <t>No, I don't need at all</t>
        </is>
      </c>
      <c r="AL903">
        <v>1</v>
      </c>
      <c r="AM903" t="inlineStr">
        <is>
          <t>No, I don't need at all</t>
        </is>
      </c>
      <c r="AN903"/>
      <c r="AO903" t="inlineStr">
        <is>
          <t>No, I don't need at all</t>
        </is>
      </c>
      <c r="AP903" t="inlineStr">
        <is>
          <t>Once per quarter (75%)</t>
        </is>
      </c>
      <c r="AQ903">
        <v>3</v>
      </c>
      <c r="AR903" t="inlineStr">
        <is>
          <t>Free Job Portal</t>
        </is>
      </c>
      <c r="AS903" t="inlineStr">
        <is>
          <t>- Headcount: 1
- Hiring Job Details: 1 ecommerce, based in shah alam
- Hiring Urgency: Hiring Now
- Number of outlets: 2
- Have recruiter team: No, I don't need at all
- Number of recruiter in company: 1
- Have ATS system: No, I don't need at all
- Have career website: No, I don't need at all
- Current hiring budget: RM1,000
- Whole year budget: RM3,000.00
- Whole year number of vacancies: 3
- Hiring frequency: Once per quarter (75%)
- External job portal: Free Job Portal</t>
        </is>
      </c>
      <c r="AT903">
        <v>105</v>
      </c>
      <c r="AU903" t="inlineStr">
        <is>
          <t>1.05</t>
        </is>
      </c>
      <c r="AV903" t="inlineStr">
        <is>
          <t>15</t>
        </is>
      </c>
      <c r="AW903" t="inlineStr">
        <is>
          <t>0</t>
        </is>
      </c>
      <c r="AX903" t="inlineStr">
        <is>
          <t>Not Qualified</t>
        </is>
      </c>
      <c r="AY903" s="4"/>
      <c r="AZ903"/>
      <c r="BA903"/>
      <c r="BB903"/>
      <c r="BC903" t="inlineStr">
        <is>
          <t>pending boss to come back first // 11th May</t>
        </is>
      </c>
      <c r="BD903" s="4">
        <v>46139.71821759259</v>
      </c>
      <c r="BE903" t="inlineStr">
        <is>
          <t>paid</t>
        </is>
      </c>
      <c r="BF903"/>
      <c r="BG903" t="inlineStr">
        <is>
          <t>Reschedule</t>
        </is>
      </c>
      <c r="BH903" t="inlineStr">
        <is>
          <t>Edward Hoo</t>
        </is>
      </c>
      <c r="BI903" t="inlineStr">
        <is>
          <t>Retail / Merchandise</t>
        </is>
      </c>
      <c r="BJ903" s="4">
        <v>46144.75019675926</v>
      </c>
      <c r="BK903" s="4">
        <v>43571.695625</v>
      </c>
      <c r="BL903" t="inlineStr">
        <is>
          <t>0.0</t>
        </is>
      </c>
      <c r="BM903" t="inlineStr">
        <is>
          <t>0.0</t>
        </is>
      </c>
      <c r="BN903" t="inlineStr">
        <is>
          <t>View Company Page</t>
        </is>
      </c>
      <c r="BO903" s="4">
        <v>46135.67508101852</v>
      </c>
      <c r="BP903">
        <v>168595</v>
      </c>
      <c r="BQ903">
        <v>72797</v>
      </c>
      <c r="BR903" t="inlineStr">
        <is>
          <t>Online</t>
        </is>
      </c>
      <c r="BS903"/>
      <c r="BT903">
        <v>72797</v>
      </c>
      <c r="BU903"/>
      <c r="BV903">
        <v>2731410</v>
      </c>
      <c r="BW903" t="inlineStr">
        <is>
          <t>Follow Up : Decision Pending</t>
        </is>
      </c>
      <c r="BX903"/>
      <c r="BY903"/>
      <c r="BZ903" s="4"/>
      <c r="CA903"/>
      <c r="CB903"/>
      <c r="CC903" s="4"/>
      <c r="CD903" t="inlineStr">
        <is>
          <t>20</t>
        </is>
      </c>
      <c r="CE903" t="inlineStr">
        <is>
          <t>0</t>
        </is>
      </c>
      <c r="CF903" t="inlineStr">
        <is>
          <t>Q2-W03</t>
        </is>
      </c>
      <c r="CG903"/>
      <c r="CH903"/>
      <c r="CI903"/>
      <c r="CJ903" t="inlineStr">
        <is>
          <t>Paid</t>
        </is>
      </c>
      <c r="CK903" t="inlineStr">
        <is>
          <t>Not Eligible</t>
        </is>
      </c>
      <c r="CL903"/>
      <c r="CM903"/>
    </row>
    <row r="904" ht="25.5" customHeight="1">
      <c r="A904" t="inlineStr">
        <is>
          <t>198784</t>
        </is>
      </c>
      <c r="B904" s="2"/>
      <c r="C904"/>
      <c r="D904" s="3">
        <v>46135.64917824074</v>
      </c>
      <c r="E904" t="inlineStr">
        <is>
          <t>Q2-W03</t>
        </is>
      </c>
      <c r="F904" t="inlineStr">
        <is>
          <t>Jia Hui</t>
        </is>
      </c>
      <c r="G904" t="inlineStr">
        <is>
          <t>Customer</t>
        </is>
      </c>
      <c r="H904" s="2" t="str">
        <f>=HYPERLINK("https://upbox.ajobthing.my/customer/198784", "https://upbox.ajobthing.my/customer/198784")</f>
        <v>https://upbox.ajobthing.my/customer/198784</v>
      </c>
      <c r="I904" t="inlineStr">
        <is>
          <t>VAM Property Management (M) Sdn Bhd</t>
        </is>
      </c>
      <c r="J904" t="inlineStr">
        <is>
          <t>Dolphin</t>
        </is>
      </c>
      <c r="K904" t="inlineStr">
        <is>
          <t>Jia Hui</t>
        </is>
      </c>
      <c r="L904" s="4"/>
      <c r="M904" s="4">
        <v>46135.64934027778</v>
      </c>
      <c r="N904"/>
      <c r="O904">
        <v>6048</v>
      </c>
      <c r="P904" s="4"/>
      <c r="Q904" s="4"/>
      <c r="R904"/>
      <c r="S904"/>
      <c r="T904" s="4"/>
      <c r="U904" s="4"/>
      <c r="V904"/>
      <c r="W904"/>
      <c r="X904"/>
      <c r="Y904" t="inlineStr">
        <is>
          <t>Pending Appointment</t>
        </is>
      </c>
      <c r="Z904" t="inlineStr">
        <is>
          <t>Hiring Now</t>
        </is>
      </c>
      <c r="AA904">
        <v>5</v>
      </c>
      <c r="AB904" t="inlineStr">
        <is>
          <t>No Appointment Made</t>
        </is>
      </c>
      <c r="AC904"/>
      <c r="AD904" t="inlineStr">
        <is>
          <t>5 positions</t>
        </is>
      </c>
      <c r="AE904"/>
      <c r="AF904">
        <v>500</v>
      </c>
      <c r="AG904" s="4"/>
      <c r="AH904" s="4"/>
      <c r="AI904"/>
      <c r="AJ904"/>
      <c r="AK904" t="inlineStr">
        <is>
          <t>Yes, I have</t>
        </is>
      </c>
      <c r="AL904"/>
      <c r="AM904"/>
      <c r="AN904"/>
      <c r="AO904"/>
      <c r="AP904" t="inlineStr">
        <is>
          <t>Once a year (25%)</t>
        </is>
      </c>
      <c r="AQ904"/>
      <c r="AR904"/>
      <c r="AS904" t="inlineStr">
        <is>
          <t>- Headcount: 5
- Hiring Job Details: 5 positions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904">
        <v>45</v>
      </c>
      <c r="AU904" t="inlineStr">
        <is>
          <t>0.45</t>
        </is>
      </c>
      <c r="AV904" t="inlineStr">
        <is>
          <t>20</t>
        </is>
      </c>
      <c r="AW904" t="inlineStr">
        <is>
          <t>0</t>
        </is>
      </c>
      <c r="AX904" t="inlineStr">
        <is>
          <t>Not Qualified</t>
        </is>
      </c>
      <c r="AY904" s="4"/>
      <c r="AZ904"/>
      <c r="BA904"/>
      <c r="BB904"/>
      <c r="BC904" t="inlineStr">
        <is>
          <t>already fulfilled the position</t>
        </is>
      </c>
      <c r="BD904" s="4">
        <v>46141.46896990741</v>
      </c>
      <c r="BE904"/>
      <c r="BF904"/>
      <c r="BG904" t="inlineStr">
        <is>
          <t>Reschedule</t>
        </is>
      </c>
      <c r="BH904" t="inlineStr">
        <is>
          <t>Reagen</t>
        </is>
      </c>
      <c r="BI904"/>
      <c r="BJ904" s="4">
        <v>46144.75314814815</v>
      </c>
      <c r="BK904" s="4">
        <v>45989.43517361111</v>
      </c>
      <c r="BL904" t="inlineStr">
        <is>
          <t>0.0</t>
        </is>
      </c>
      <c r="BM904" t="inlineStr">
        <is>
          <t>1800.0</t>
        </is>
      </c>
      <c r="BN904"/>
      <c r="BO904" s="4"/>
      <c r="BP904">
        <v>168597</v>
      </c>
      <c r="BQ904"/>
      <c r="BR904"/>
      <c r="BS904"/>
      <c r="BT904"/>
      <c r="BU904"/>
      <c r="BV904">
        <v>2734677</v>
      </c>
      <c r="BW904" t="inlineStr">
        <is>
          <t>Follow Up : Lost - Paid Portal</t>
        </is>
      </c>
      <c r="BX904"/>
      <c r="BY904"/>
      <c r="BZ904" s="4"/>
      <c r="CA904"/>
      <c r="CB904"/>
      <c r="CC904" s="4"/>
      <c r="CD904" t="inlineStr">
        <is>
          <t>30</t>
        </is>
      </c>
      <c r="CE904" t="inlineStr">
        <is>
          <t>0</t>
        </is>
      </c>
      <c r="CF904" t="inlineStr">
        <is>
          <t>Q2-W03</t>
        </is>
      </c>
      <c r="CG904"/>
      <c r="CH904"/>
      <c r="CI904"/>
      <c r="CJ904" t="inlineStr">
        <is>
          <t>No Paid</t>
        </is>
      </c>
      <c r="CK904" t="inlineStr">
        <is>
          <t>Not Eligible</t>
        </is>
      </c>
      <c r="CL904"/>
      <c r="CM904"/>
    </row>
    <row r="905" ht="25.5" customHeight="1">
      <c r="A905" t="inlineStr">
        <is>
          <t>163760</t>
        </is>
      </c>
      <c r="B905" s="2"/>
      <c r="C905"/>
      <c r="D905" s="3">
        <v>46135.65136574074</v>
      </c>
      <c r="E905" t="inlineStr">
        <is>
          <t>Q2-W03</t>
        </is>
      </c>
      <c r="F905" t="inlineStr">
        <is>
          <t>Carmen</t>
        </is>
      </c>
      <c r="G905" t="inlineStr">
        <is>
          <t>Customer</t>
        </is>
      </c>
      <c r="H905" s="2" t="str">
        <f>=HYPERLINK("https://upbox.ajobthing.my/customer/163760", "https://upbox.ajobthing.my/customer/163760")</f>
        <v>https://upbox.ajobthing.my/customer/163760</v>
      </c>
      <c r="I905" t="inlineStr">
        <is>
          <t xml:space="preserve">AMM </t>
        </is>
      </c>
      <c r="J905" t="inlineStr">
        <is>
          <t>Dolphin</t>
        </is>
      </c>
      <c r="K905" t="inlineStr">
        <is>
          <t>Carmen</t>
        </is>
      </c>
      <c r="L905" s="4"/>
      <c r="M905" s="4">
        <v>46126.445856481485</v>
      </c>
      <c r="N905"/>
      <c r="O905">
        <v>3888</v>
      </c>
      <c r="P905" s="4"/>
      <c r="Q905" s="4">
        <v>46136.59265046296</v>
      </c>
      <c r="R905"/>
      <c r="S905">
        <v>3672</v>
      </c>
      <c r="T905" s="4">
        <v>46136.59265046296</v>
      </c>
      <c r="U905" s="4"/>
      <c r="V905"/>
      <c r="W905">
        <v>3672</v>
      </c>
      <c r="X905"/>
      <c r="Y905" t="inlineStr">
        <is>
          <t>Pending Appointment</t>
        </is>
      </c>
      <c r="Z905" t="inlineStr">
        <is>
          <t>Hiring Now</t>
        </is>
      </c>
      <c r="AA905">
        <v>3</v>
      </c>
      <c r="AB905" t="inlineStr">
        <is>
          <t>No Appointment Made</t>
        </is>
      </c>
      <c r="AC905"/>
      <c r="AD905" t="inlineStr">
        <is>
          <t xml:space="preserve">1 cosec assistant and 2 account assistant </t>
        </is>
      </c>
      <c r="AE905"/>
      <c r="AF905">
        <v>3000</v>
      </c>
      <c r="AG905" s="4"/>
      <c r="AH905" s="4"/>
      <c r="AI905"/>
      <c r="AJ905"/>
      <c r="AK905" t="inlineStr">
        <is>
          <t>No, I don't need at all</t>
        </is>
      </c>
      <c r="AL905"/>
      <c r="AM905"/>
      <c r="AN905"/>
      <c r="AO905"/>
      <c r="AP905" t="inlineStr">
        <is>
          <t>Twice a year (50%)</t>
        </is>
      </c>
      <c r="AQ905"/>
      <c r="AR905"/>
      <c r="AS905" t="inlineStr">
        <is>
          <t>- Headcount: 3.
- Hiring Job Details: 1 cosec assistant and 2 account assistant.
- Hiring Urgency: Hiring Now.
- Number of outlets: Not specified.
- Have recruiter team: No, I don't need at all.
- Number of recruiter in company: Not specified.
- Have ATS system: Not specified.
- Have career website: Not specified.
- Current hiring budget: RM3,000.00.
- Whole year budget: Not specified.
- Whole year number of vacancies: Not specified.
- Hiring frequency: Twice a year (50%).
- External job portal: Not specified.</t>
        </is>
      </c>
      <c r="AT905">
        <v>95</v>
      </c>
      <c r="AU905" t="inlineStr">
        <is>
          <t>0.95</t>
        </is>
      </c>
      <c r="AV905" t="inlineStr">
        <is>
          <t>15</t>
        </is>
      </c>
      <c r="AW905" t="inlineStr">
        <is>
          <t>0</t>
        </is>
      </c>
      <c r="AX905" t="inlineStr">
        <is>
          <t>Not Qualified</t>
        </is>
      </c>
      <c r="AY905" s="4"/>
      <c r="AZ905"/>
      <c r="BA905"/>
      <c r="BB905"/>
      <c r="BC905" t="inlineStr">
        <is>
          <t>post job</t>
        </is>
      </c>
      <c r="BD905" s="4">
        <v>46139.61195601852</v>
      </c>
      <c r="BE905" t="inlineStr">
        <is>
          <t>paid</t>
        </is>
      </c>
      <c r="BF905" t="inlineStr">
        <is>
          <t>Q2-W04</t>
        </is>
      </c>
      <c r="BG905" t="inlineStr">
        <is>
          <t>Reschedule</t>
        </is>
      </c>
      <c r="BH905" t="inlineStr">
        <is>
          <t>Reagen</t>
        </is>
      </c>
      <c r="BI905" t="inlineStr">
        <is>
          <t>Accounting / Tax Services</t>
        </is>
      </c>
      <c r="BJ905" s="4">
        <v>46144.7512037037</v>
      </c>
      <c r="BK905" s="4">
        <v>44943.51548611111</v>
      </c>
      <c r="BL905" t="inlineStr">
        <is>
          <t>3672.0</t>
        </is>
      </c>
      <c r="BM905" t="inlineStr">
        <is>
          <t>0.0</t>
        </is>
      </c>
      <c r="BN905" t="inlineStr">
        <is>
          <t>View Company Page</t>
        </is>
      </c>
      <c r="BO905" s="4">
        <v>46142.61945601852</v>
      </c>
      <c r="BP905">
        <v>166887</v>
      </c>
      <c r="BQ905">
        <v>7694</v>
      </c>
      <c r="BR905" t="inlineStr">
        <is>
          <t>Manual (Paid)</t>
        </is>
      </c>
      <c r="BS905"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Closing Special Discount RM200 only valid until 23th April 2026</t>
        </is>
      </c>
      <c r="BT905">
        <v>7694</v>
      </c>
      <c r="BU905"/>
      <c r="BV905">
        <v>2730010</v>
      </c>
      <c r="BW905" t="inlineStr">
        <is>
          <t>Service / Technical : Help To Post Job</t>
        </is>
      </c>
      <c r="BX905">
        <v>6</v>
      </c>
      <c r="BY905">
        <v>4</v>
      </c>
      <c r="BZ905" s="4">
        <v>46139.71681712963</v>
      </c>
      <c r="CA905">
        <v>60</v>
      </c>
      <c r="CB905">
        <v>60</v>
      </c>
      <c r="CC905" s="4"/>
      <c r="CD905" t="inlineStr">
        <is>
          <t>20</t>
        </is>
      </c>
      <c r="CE905" t="inlineStr">
        <is>
          <t>0</t>
        </is>
      </c>
      <c r="CF905" t="inlineStr">
        <is>
          <t>Q2-W02</t>
        </is>
      </c>
      <c r="CG905" t="inlineStr">
        <is>
          <t>Q2-W04</t>
        </is>
      </c>
      <c r="CH905" t="inlineStr">
        <is>
          <t>Q2-W04</t>
        </is>
      </c>
      <c r="CI905"/>
      <c r="CJ905" t="inlineStr">
        <is>
          <t>Paid</t>
        </is>
      </c>
      <c r="CK905" t="inlineStr">
        <is>
          <t>Not Eligible</t>
        </is>
      </c>
      <c r="CL905"/>
      <c r="CM905"/>
    </row>
    <row r="906" ht="25.5" customHeight="1">
      <c r="A906" t="inlineStr">
        <is>
          <t>187762</t>
        </is>
      </c>
      <c r="B906" s="2"/>
      <c r="C906"/>
      <c r="D906" s="3">
        <v>46135.651608796295</v>
      </c>
      <c r="E906" t="inlineStr">
        <is>
          <t>Q2-W03</t>
        </is>
      </c>
      <c r="F906" t="inlineStr">
        <is>
          <t>Chia Yee</t>
        </is>
      </c>
      <c r="G906" t="inlineStr">
        <is>
          <t>Customer</t>
        </is>
      </c>
      <c r="H906" s="2" t="str">
        <f>=HYPERLINK("https://upbox.ajobthing.my/customer/187762", "https://upbox.ajobthing.my/customer/187762")</f>
        <v>https://upbox.ajobthing.my/customer/187762</v>
      </c>
      <c r="I906" t="inlineStr">
        <is>
          <t>Lexington Sdn. Bhd.</t>
        </is>
      </c>
      <c r="J906" t="inlineStr">
        <is>
          <t>Dolphin</t>
        </is>
      </c>
      <c r="K906" t="inlineStr">
        <is>
          <t>Chia Yee</t>
        </is>
      </c>
      <c r="L906" s="4"/>
      <c r="M906" s="4">
        <v>46135.651770833334</v>
      </c>
      <c r="N906"/>
      <c r="O906">
        <v>3888</v>
      </c>
      <c r="P906" s="4"/>
      <c r="Q906" s="4">
        <v>45714.45854166667</v>
      </c>
      <c r="R906"/>
      <c r="S906">
        <v>2818.8</v>
      </c>
      <c r="T906" s="4">
        <v>45714.45854166667</v>
      </c>
      <c r="U906" s="4"/>
      <c r="V906"/>
      <c r="W906">
        <v>2818.8</v>
      </c>
      <c r="X906"/>
      <c r="Y906" t="inlineStr">
        <is>
          <t>Pending Appointment</t>
        </is>
      </c>
      <c r="Z906" t="inlineStr">
        <is>
          <t>Hiring Later</t>
        </is>
      </c>
      <c r="AA906">
        <v>1</v>
      </c>
      <c r="AB906" t="inlineStr">
        <is>
          <t>No Appointment Made</t>
        </is>
      </c>
      <c r="AC906"/>
      <c r="AD906" t="inlineStr">
        <is>
          <t>1 QS</t>
        </is>
      </c>
      <c r="AE906"/>
      <c r="AF906">
        <v>2000</v>
      </c>
      <c r="AG906" s="4"/>
      <c r="AH906" s="4"/>
      <c r="AI906">
        <v>2000</v>
      </c>
      <c r="AJ906">
        <v>1</v>
      </c>
      <c r="AK906" t="inlineStr">
        <is>
          <t>No, I don't need at all</t>
        </is>
      </c>
      <c r="AL906">
        <v>1</v>
      </c>
      <c r="AM906" t="inlineStr">
        <is>
          <t>No, I don't need at all</t>
        </is>
      </c>
      <c r="AN906"/>
      <c r="AO906" t="inlineStr">
        <is>
          <t>No, I don't need at all</t>
        </is>
      </c>
      <c r="AP906" t="inlineStr">
        <is>
          <t>Once a year (25%)</t>
        </is>
      </c>
      <c r="AQ906">
        <v>1</v>
      </c>
      <c r="AR906" t="inlineStr">
        <is>
          <t>Did not use any job portal</t>
        </is>
      </c>
      <c r="AS906" t="inlineStr">
        <is>
          <t>- Headcount: 1
- Hiring Job Details: 1 QS
- Hiring Urgency: Hiring Later
- Number of outlets: 1
- Have recruiter team: No, I don't need at all
- Number of recruiter in company: 1
- Have ATS system: No, I don't need at all
- Have career website: No, I don't need at all
- Current hiring budget: RM2,000.00
- Whole year budget: RM2,000.00
- Whole year number of vacancies: 1
- Hiring frequency: Once a year (25%)
- External job portal: Did not use any job portal</t>
        </is>
      </c>
      <c r="AT906">
        <v>115</v>
      </c>
      <c r="AU906" t="inlineStr">
        <is>
          <t>1.15</t>
        </is>
      </c>
      <c r="AV906" t="inlineStr">
        <is>
          <t>15</t>
        </is>
      </c>
      <c r="AW906" t="inlineStr">
        <is>
          <t>0</t>
        </is>
      </c>
      <c r="AX906" t="inlineStr">
        <is>
          <t>Not Qualified</t>
        </is>
      </c>
      <c r="AY906" s="4"/>
      <c r="AZ906"/>
      <c r="BA906"/>
      <c r="BB906"/>
      <c r="BC906" t="inlineStr">
        <is>
          <t>WA</t>
        </is>
      </c>
      <c r="BD906" s="4">
        <v>46139.497881944444</v>
      </c>
      <c r="BE906" t="inlineStr">
        <is>
          <t>paid</t>
        </is>
      </c>
      <c r="BF906"/>
      <c r="BG906" t="inlineStr">
        <is>
          <t>Reschedule</t>
        </is>
      </c>
      <c r="BH906" t="inlineStr">
        <is>
          <t>Reagen</t>
        </is>
      </c>
      <c r="BI906" t="inlineStr">
        <is>
          <t>Construction / Building</t>
        </is>
      </c>
      <c r="BJ906" s="4">
        <v>46144.75219907407</v>
      </c>
      <c r="BK906" s="4">
        <v>45705.600902777776</v>
      </c>
      <c r="BL906" t="inlineStr">
        <is>
          <t>0.0</t>
        </is>
      </c>
      <c r="BM906" t="inlineStr">
        <is>
          <t>0.0</t>
        </is>
      </c>
      <c r="BN906" t="inlineStr">
        <is>
          <t>User Visit(Logged In)</t>
        </is>
      </c>
      <c r="BO906" s="4">
        <v>46018.47516203704</v>
      </c>
      <c r="BP906">
        <v>168600</v>
      </c>
      <c r="BQ906">
        <v>77131</v>
      </c>
      <c r="BR906" t="inlineStr">
        <is>
          <t>Online</t>
        </is>
      </c>
      <c r="BS906"/>
      <c r="BT906">
        <v>77131</v>
      </c>
      <c r="BU906"/>
      <c r="BV906">
        <v>2728789</v>
      </c>
      <c r="BW906" t="inlineStr">
        <is>
          <t>No Answer : Voicemail - WA sent to customer</t>
        </is>
      </c>
      <c r="BX906"/>
      <c r="BY906"/>
      <c r="BZ906" s="4"/>
      <c r="CA906"/>
      <c r="CB906"/>
      <c r="CC906" s="4"/>
      <c r="CD906" t="inlineStr">
        <is>
          <t>20</t>
        </is>
      </c>
      <c r="CE906" t="inlineStr">
        <is>
          <t>0</t>
        </is>
      </c>
      <c r="CF906" t="inlineStr">
        <is>
          <t>Q2-W03</t>
        </is>
      </c>
      <c r="CG906"/>
      <c r="CH906"/>
      <c r="CI906"/>
      <c r="CJ906" t="inlineStr">
        <is>
          <t>Paid</t>
        </is>
      </c>
      <c r="CK906" t="inlineStr">
        <is>
          <t>Not Eligible</t>
        </is>
      </c>
      <c r="CL906"/>
      <c r="CM906"/>
    </row>
    <row r="907" ht="25.5" customHeight="1">
      <c r="A907" t="inlineStr">
        <is>
          <t>33934</t>
        </is>
      </c>
      <c r="B907" s="2"/>
      <c r="C907"/>
      <c r="D907" s="3">
        <v>46135.653136574074</v>
      </c>
      <c r="E907" t="inlineStr">
        <is>
          <t>Q2-W03</t>
        </is>
      </c>
      <c r="F907" t="inlineStr">
        <is>
          <t>Eugene</t>
        </is>
      </c>
      <c r="G907" t="inlineStr">
        <is>
          <t>Customer</t>
        </is>
      </c>
      <c r="H907" s="2" t="str">
        <f>=HYPERLINK("https://upbox.ajobthing.my/customer/33934", "https://upbox.ajobthing.my/customer/33934")</f>
        <v>https://upbox.ajobthing.my/customer/33934</v>
      </c>
      <c r="I907" t="inlineStr">
        <is>
          <t>Arca Corporation Sdn Bhd</t>
        </is>
      </c>
      <c r="J907" t="inlineStr">
        <is>
          <t>Dolphin</t>
        </is>
      </c>
      <c r="K907" t="inlineStr">
        <is>
          <t>Eugene</t>
        </is>
      </c>
      <c r="L907" s="4"/>
      <c r="M907" s="4">
        <v>46135.653229166666</v>
      </c>
      <c r="N907"/>
      <c r="O907">
        <v>1296</v>
      </c>
      <c r="P907" s="4"/>
      <c r="Q907" s="4"/>
      <c r="R907"/>
      <c r="S907"/>
      <c r="T907" s="4"/>
      <c r="U907" s="4"/>
      <c r="V907"/>
      <c r="W907"/>
      <c r="X907"/>
      <c r="Y907" t="inlineStr">
        <is>
          <t>Pending Appointment</t>
        </is>
      </c>
      <c r="Z907" t="inlineStr">
        <is>
          <t>Hiring Now</t>
        </is>
      </c>
      <c r="AA907">
        <v>2</v>
      </c>
      <c r="AB907" t="inlineStr">
        <is>
          <t>No Appointment Made</t>
        </is>
      </c>
      <c r="AC907"/>
      <c r="AD907" t="inlineStr">
        <is>
          <t>1 finance, 1 intern, based in KL</t>
        </is>
      </c>
      <c r="AE907"/>
      <c r="AF907">
        <v>1200</v>
      </c>
      <c r="AG907" s="4"/>
      <c r="AH907" s="4"/>
      <c r="AI907">
        <v>1200</v>
      </c>
      <c r="AJ907">
        <v>1</v>
      </c>
      <c r="AK907" t="inlineStr">
        <is>
          <t>No, I don't need at all</t>
        </is>
      </c>
      <c r="AL907">
        <v>1</v>
      </c>
      <c r="AM907" t="inlineStr">
        <is>
          <t>No, I don't need at all</t>
        </is>
      </c>
      <c r="AN907"/>
      <c r="AO907" t="inlineStr">
        <is>
          <t>No, I don't need at all</t>
        </is>
      </c>
      <c r="AP907" t="inlineStr">
        <is>
          <t>Twice a year (50%)</t>
        </is>
      </c>
      <c r="AQ907">
        <v>2</v>
      </c>
      <c r="AR907" t="inlineStr">
        <is>
          <t>Free Job Portal</t>
        </is>
      </c>
      <c r="AS907" t="inlineStr">
        <is>
          <t>- Headcount: 2
- Hiring Job Details: 1 finance, 1 intern, based in KL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2
- Hiring frequency: Twice a year (50%)
- External job portal: Free Job Portal</t>
        </is>
      </c>
      <c r="AT907">
        <v>115</v>
      </c>
      <c r="AU907" t="inlineStr">
        <is>
          <t>1.15</t>
        </is>
      </c>
      <c r="AV907" t="inlineStr">
        <is>
          <t>15</t>
        </is>
      </c>
      <c r="AW907" t="inlineStr">
        <is>
          <t>0</t>
        </is>
      </c>
      <c r="AX907" t="inlineStr">
        <is>
          <t>Not Qualified</t>
        </is>
      </c>
      <c r="AY907" s="4"/>
      <c r="AZ907"/>
      <c r="BA907"/>
      <c r="BB907"/>
      <c r="BC907" t="inlineStr">
        <is>
          <t>- Headcount: 2
- Hiring Job Details: 1 finance, 1 intern, based in KL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2
- Hiring frequency: Twice a year (50%)
- External job portal: Free Job Portal</t>
        </is>
      </c>
      <c r="BD907" s="4">
        <v>46135.66674768519</v>
      </c>
      <c r="BE907"/>
      <c r="BF907"/>
      <c r="BG907" t="inlineStr">
        <is>
          <t>Reschedule</t>
        </is>
      </c>
      <c r="BH907" t="inlineStr">
        <is>
          <t>Edward Hoo</t>
        </is>
      </c>
      <c r="BI907" t="inlineStr">
        <is>
          <t>Automobile / Automotive</t>
        </is>
      </c>
      <c r="BJ907" s="4">
        <v>46144.75457175926</v>
      </c>
      <c r="BK907" s="4">
        <v>42786.59788194444</v>
      </c>
      <c r="BL907" t="inlineStr">
        <is>
          <t>0.0</t>
        </is>
      </c>
      <c r="BM907" t="inlineStr">
        <is>
          <t>1200.0</t>
        </is>
      </c>
      <c r="BN907" t="inlineStr">
        <is>
          <t>View Shop</t>
        </is>
      </c>
      <c r="BO907" s="4">
        <v>43566.51868055556</v>
      </c>
      <c r="BP907">
        <v>168601</v>
      </c>
      <c r="BQ907"/>
      <c r="BR907"/>
      <c r="BS907"/>
      <c r="BT907"/>
      <c r="BU907"/>
      <c r="BV907">
        <v>2724577</v>
      </c>
      <c r="BW907" t="inlineStr">
        <is>
          <t>Customer Inquiry</t>
        </is>
      </c>
      <c r="BX907"/>
      <c r="BY907"/>
      <c r="BZ907" s="4"/>
      <c r="CA907"/>
      <c r="CB907"/>
      <c r="CC907" s="4"/>
      <c r="CD907" t="inlineStr">
        <is>
          <t>20</t>
        </is>
      </c>
      <c r="CE907" t="inlineStr">
        <is>
          <t>0</t>
        </is>
      </c>
      <c r="CF907" t="inlineStr">
        <is>
          <t>Q2-W03</t>
        </is>
      </c>
      <c r="CG907"/>
      <c r="CH907"/>
      <c r="CI907"/>
      <c r="CJ907" t="inlineStr">
        <is>
          <t>No Paid</t>
        </is>
      </c>
      <c r="CK907" t="inlineStr">
        <is>
          <t>Not Eligible</t>
        </is>
      </c>
      <c r="CL907"/>
      <c r="CM907"/>
    </row>
    <row r="908" ht="25.5" customHeight="1">
      <c r="A908" t="inlineStr">
        <is>
          <t>119996</t>
        </is>
      </c>
      <c r="B908" s="2"/>
      <c r="C908"/>
      <c r="D908" s="3">
        <v>46135.658634259256</v>
      </c>
      <c r="E908" t="inlineStr">
        <is>
          <t>Q2-W03</t>
        </is>
      </c>
      <c r="F908" t="inlineStr">
        <is>
          <t>Keegan</t>
        </is>
      </c>
      <c r="G908" t="inlineStr">
        <is>
          <t>Customer</t>
        </is>
      </c>
      <c r="H908" s="2" t="str">
        <f>=HYPERLINK("https://upbox.ajobthing.my/customer/119996", "https://upbox.ajobthing.my/customer/119996")</f>
        <v>https://upbox.ajobthing.my/customer/119996</v>
      </c>
      <c r="I908" t="inlineStr">
        <is>
          <t>Dunia Enterprise</t>
        </is>
      </c>
      <c r="J908" t="inlineStr">
        <is>
          <t>Dolphin</t>
        </is>
      </c>
      <c r="K908" t="inlineStr">
        <is>
          <t>Keegan</t>
        </is>
      </c>
      <c r="L908" s="4"/>
      <c r="M908" s="4">
        <v>46135.65903935185</v>
      </c>
      <c r="N908"/>
      <c r="O908">
        <v>3888</v>
      </c>
      <c r="P908" s="4"/>
      <c r="Q908" s="4">
        <v>45141.51267361111</v>
      </c>
      <c r="R908"/>
      <c r="S908">
        <v>636</v>
      </c>
      <c r="T908" s="4">
        <v>45141.51267361111</v>
      </c>
      <c r="U908" s="4"/>
      <c r="V908"/>
      <c r="W908">
        <v>636</v>
      </c>
      <c r="X908"/>
      <c r="Y908" t="inlineStr">
        <is>
          <t>Pending Appointment</t>
        </is>
      </c>
      <c r="Z908" t="inlineStr">
        <is>
          <t>Hiring Now</t>
        </is>
      </c>
      <c r="AA908">
        <v>1</v>
      </c>
      <c r="AB908" t="inlineStr">
        <is>
          <t>No Appointment Made</t>
        </is>
      </c>
      <c r="AC908"/>
      <c r="AD908" t="inlineStr">
        <is>
          <t xml:space="preserve">1. Sales </t>
        </is>
      </c>
      <c r="AE908"/>
      <c r="AF908"/>
      <c r="AG908" s="4"/>
      <c r="AH908" s="4"/>
      <c r="AI908"/>
      <c r="AJ908">
        <v>1</v>
      </c>
      <c r="AK908" t="inlineStr">
        <is>
          <t>No, I don't need at all</t>
        </is>
      </c>
      <c r="AL908">
        <v>0</v>
      </c>
      <c r="AM908" t="inlineStr">
        <is>
          <t>No, I don't need at all</t>
        </is>
      </c>
      <c r="AN908"/>
      <c r="AO908"/>
      <c r="AP908" t="inlineStr">
        <is>
          <t>Once per quarter (75%)</t>
        </is>
      </c>
      <c r="AQ908"/>
      <c r="AR908" t="inlineStr">
        <is>
          <t>Did not use any job portal</t>
        </is>
      </c>
      <c r="AS908" t="inlineStr">
        <is>
          <t>- Headcount: 1
- Hiring Job Details: 1 Sales
- Hiring Urgency: Hiring Now
- Number of outlets: 1
- Have recruiter team: No, I don't need at all
- Number of recruiter in company: 0
- Have ATS system: No, I don't need at all
- Have career website: Not specified
- Current hiring budget: Not specified
- Whole year budget: Not specified
- Whole year number of vacancies: Not specified
- Hiring frequency: Once per quarter (75%)
- External job portal: Did not use any job portal</t>
        </is>
      </c>
      <c r="AT908">
        <v>105</v>
      </c>
      <c r="AU908" t="inlineStr">
        <is>
          <t>1.05</t>
        </is>
      </c>
      <c r="AV908" t="inlineStr">
        <is>
          <t>5</t>
        </is>
      </c>
      <c r="AW908" t="inlineStr">
        <is>
          <t>0</t>
        </is>
      </c>
      <c r="AX908" t="inlineStr">
        <is>
          <t>Not Qualified</t>
        </is>
      </c>
      <c r="AY908" s="4"/>
      <c r="AZ908"/>
      <c r="BA908"/>
      <c r="BB908"/>
      <c r="BC908" t="inlineStr">
        <is>
          <t>- Headcount: 1
- Hiring Job Details: 1 Sales
- Hiring Urgency: Hiring Now
- Number of outlets: 1
- Have recruiter team: No, I don't need at all
- Number of recruiter in company: 0
- Have ATS system: No, I don't need at all
- Have career website: Not specified
- Current hiring budget: Not specified
- Whole year budget: Not specified
- Whole year number of vacancies: Not specified
- Hiring frequency: Once per quarter (75%)
- External job portal: Did not use any job portal</t>
        </is>
      </c>
      <c r="BD908" s="4">
        <v>46135.66674768519</v>
      </c>
      <c r="BE908" t="inlineStr">
        <is>
          <t>paid</t>
        </is>
      </c>
      <c r="BF908"/>
      <c r="BG908" t="inlineStr">
        <is>
          <t>Reschedule</t>
        </is>
      </c>
      <c r="BH908" t="inlineStr">
        <is>
          <t>Edward Hoo</t>
        </is>
      </c>
      <c r="BI908" t="inlineStr">
        <is>
          <t>Retail / Merchandise</t>
        </is>
      </c>
      <c r="BJ908" s="4">
        <v>46144.750231481485</v>
      </c>
      <c r="BK908" s="4">
        <v>43656.71828703704</v>
      </c>
      <c r="BL908" t="inlineStr">
        <is>
          <t>0.0</t>
        </is>
      </c>
      <c r="BM908" t="inlineStr">
        <is>
          <t>0.0</t>
        </is>
      </c>
      <c r="BN908" t="inlineStr">
        <is>
          <t>View Company Page</t>
        </is>
      </c>
      <c r="BO908" s="4">
        <v>45681.50679398148</v>
      </c>
      <c r="BP908">
        <v>168605</v>
      </c>
      <c r="BQ908">
        <v>61072</v>
      </c>
      <c r="BR908" t="inlineStr">
        <is>
          <t>Online</t>
        </is>
      </c>
      <c r="BS908"/>
      <c r="BT908">
        <v>61072</v>
      </c>
      <c r="BU908"/>
      <c r="BV908">
        <v>2724579</v>
      </c>
      <c r="BW908" t="inlineStr">
        <is>
          <t>Customer Inquiry</t>
        </is>
      </c>
      <c r="BX908"/>
      <c r="BY908"/>
      <c r="BZ908" s="4"/>
      <c r="CA908"/>
      <c r="CB908"/>
      <c r="CC908" s="4"/>
      <c r="CD908" t="inlineStr">
        <is>
          <t>5</t>
        </is>
      </c>
      <c r="CE908" t="inlineStr">
        <is>
          <t>0</t>
        </is>
      </c>
      <c r="CF908" t="inlineStr">
        <is>
          <t>Q2-W03</t>
        </is>
      </c>
      <c r="CG908"/>
      <c r="CH908"/>
      <c r="CI908"/>
      <c r="CJ908" t="inlineStr">
        <is>
          <t>Paid</t>
        </is>
      </c>
      <c r="CK908" t="inlineStr">
        <is>
          <t>Not Eligible</t>
        </is>
      </c>
      <c r="CL908"/>
      <c r="CM908"/>
    </row>
    <row r="909" ht="25.5" customHeight="1">
      <c r="A909" t="inlineStr">
        <is>
          <t>136855</t>
        </is>
      </c>
      <c r="B909" s="2"/>
      <c r="C909"/>
      <c r="D909" s="3">
        <v>46135.6628587963</v>
      </c>
      <c r="E909" t="inlineStr">
        <is>
          <t>Q2-W03</t>
        </is>
      </c>
      <c r="F909" t="inlineStr">
        <is>
          <t>Yuli</t>
        </is>
      </c>
      <c r="G909" t="inlineStr">
        <is>
          <t>Customer</t>
        </is>
      </c>
      <c r="H909" s="2" t="str">
        <f>=HYPERLINK("https://upbox.ajobthing.my/customer/136855", "https://upbox.ajobthing.my/customer/136855")</f>
        <v>https://upbox.ajobthing.my/customer/136855</v>
      </c>
      <c r="I909" t="inlineStr">
        <is>
          <t>CAB Cakaran Sdn Bhd</t>
        </is>
      </c>
      <c r="J909" t="inlineStr">
        <is>
          <t>Dolphin</t>
        </is>
      </c>
      <c r="K909" t="inlineStr">
        <is>
          <t>YuLi</t>
        </is>
      </c>
      <c r="L909" s="4"/>
      <c r="M909" s="4">
        <v>46129.62386574074</v>
      </c>
      <c r="N909"/>
      <c r="O909">
        <v>3888</v>
      </c>
      <c r="P909" s="4"/>
      <c r="Q909" s="4">
        <v>46142.649039351854</v>
      </c>
      <c r="R909"/>
      <c r="S909">
        <v>1296</v>
      </c>
      <c r="T909" s="4">
        <v>46142.649039351854</v>
      </c>
      <c r="U909" s="4"/>
      <c r="V909"/>
      <c r="W909">
        <v>1296</v>
      </c>
      <c r="X909" t="inlineStr">
        <is>
          <t>Yuli</t>
        </is>
      </c>
      <c r="Y909" t="inlineStr">
        <is>
          <t>Done Appointment</t>
        </is>
      </c>
      <c r="Z909" t="inlineStr">
        <is>
          <t>Hiring Now</t>
        </is>
      </c>
      <c r="AA909">
        <v>2</v>
      </c>
      <c r="AB909" t="inlineStr">
        <is>
          <t>Appointment Made</t>
        </is>
      </c>
      <c r="AC909" t="inlineStr">
        <is>
          <t>Enterprise (&gt;300 employees)</t>
        </is>
      </c>
      <c r="AD909" t="inlineStr">
        <is>
          <t>HR Executive, Internal Auditor</t>
        </is>
      </c>
      <c r="AE909" t="inlineStr">
        <is>
          <t>HR Manager / Talent Manager</t>
        </is>
      </c>
      <c r="AF909">
        <v>3888</v>
      </c>
      <c r="AG909" s="4">
        <v>46133.4375</v>
      </c>
      <c r="AH909" s="4">
        <v>46133.479166666664</v>
      </c>
      <c r="AI909"/>
      <c r="AJ909"/>
      <c r="AK909" t="inlineStr">
        <is>
          <t>Yes, I have</t>
        </is>
      </c>
      <c r="AL909">
        <v>1</v>
      </c>
      <c r="AM909" t="inlineStr">
        <is>
          <t>No, I don't need at all</t>
        </is>
      </c>
      <c r="AN909"/>
      <c r="AO909"/>
      <c r="AP909" t="inlineStr">
        <is>
          <t>Every month (100%)</t>
        </is>
      </c>
      <c r="AQ909"/>
      <c r="AR909" t="inlineStr">
        <is>
          <t>Jobstreet</t>
        </is>
      </c>
      <c r="AS909" t="inlineStr">
        <is>
          <t>- Headcount: 2
- Hiring Job Details: HR Executive, Internal Auditor
- Hiring Urgency: Hiring Now
- Number of outlets: Not provided
- Have recruiter team: Yes
- Number of recruiter in company: 1
- Have ATS system: No, I don't need at all
- Have career website: Not provided
- Current hiring budget: RM3,888.00
- Whole year budget: Not provided
- Whole year number of vacancies: Not provided
- Hiring frequency: Every month (100%)
- External job portal: Jobstreet</t>
        </is>
      </c>
      <c r="AT909">
        <v>75</v>
      </c>
      <c r="AU909" t="inlineStr">
        <is>
          <t>0.75</t>
        </is>
      </c>
      <c r="AV909" t="inlineStr">
        <is>
          <t>50</t>
        </is>
      </c>
      <c r="AW909" t="inlineStr">
        <is>
          <t>0.5</t>
        </is>
      </c>
      <c r="AX909" t="inlineStr">
        <is>
          <t>Not Qualified</t>
        </is>
      </c>
      <c r="AY909" s="4">
        <v>46135.665925925925</v>
      </c>
      <c r="AZ909" t="inlineStr">
        <is>
          <t>Reagen</t>
        </is>
      </c>
      <c r="BA909"/>
      <c r="BB909"/>
      <c r="BC909" t="inlineStr">
        <is>
          <t>customer make payment</t>
        </is>
      </c>
      <c r="BD909" s="4">
        <v>46142.64877314815</v>
      </c>
      <c r="BE909" t="inlineStr">
        <is>
          <t>paid</t>
        </is>
      </c>
      <c r="BF909" t="inlineStr">
        <is>
          <t>Q2-W04</t>
        </is>
      </c>
      <c r="BG909" t="inlineStr">
        <is>
          <t>Reschedule</t>
        </is>
      </c>
      <c r="BH909" t="inlineStr">
        <is>
          <t>Fauziah Maharan</t>
        </is>
      </c>
      <c r="BI909" t="inlineStr">
        <is>
          <t>Agriculture / Poultry / Fisheries</t>
        </is>
      </c>
      <c r="BJ909" s="4">
        <v>46144.75059027778</v>
      </c>
      <c r="BK909" s="4">
        <v>44295.47447916667</v>
      </c>
      <c r="BL909" t="inlineStr">
        <is>
          <t>1296.0</t>
        </is>
      </c>
      <c r="BM909" t="inlineStr">
        <is>
          <t>2400.0</t>
        </is>
      </c>
      <c r="BN909" t="inlineStr">
        <is>
          <t>View Company Page</t>
        </is>
      </c>
      <c r="BO909" s="4">
        <v>46140.37467592592</v>
      </c>
      <c r="BP909">
        <v>167635</v>
      </c>
      <c r="BQ909">
        <v>95210</v>
      </c>
      <c r="BR909" t="inlineStr">
        <is>
          <t>Online</t>
        </is>
      </c>
      <c r="BS909"/>
      <c r="BT909">
        <v>95210</v>
      </c>
      <c r="BU909"/>
      <c r="BV909">
        <v>2737988</v>
      </c>
      <c r="BW909" t="inlineStr">
        <is>
          <t>Follow Up : Win - Customer Paid</t>
        </is>
      </c>
      <c r="BX909">
        <v>1</v>
      </c>
      <c r="BY909">
        <v>1</v>
      </c>
      <c r="BZ909" s="4"/>
      <c r="CA909"/>
      <c r="CB909"/>
      <c r="CC909" s="4"/>
      <c r="CD909" t="inlineStr">
        <is>
          <t>70</t>
        </is>
      </c>
      <c r="CE909" t="inlineStr">
        <is>
          <t>0.8</t>
        </is>
      </c>
      <c r="CF909" t="inlineStr">
        <is>
          <t>Q2-W03</t>
        </is>
      </c>
      <c r="CG909" t="inlineStr">
        <is>
          <t>Q2-W04</t>
        </is>
      </c>
      <c r="CH909" t="inlineStr">
        <is>
          <t>Q2-W04</t>
        </is>
      </c>
      <c r="CI909" t="inlineStr">
        <is>
          <t>Q2-W03</t>
        </is>
      </c>
      <c r="CJ909" t="inlineStr">
        <is>
          <t>Paid</t>
        </is>
      </c>
      <c r="CK909" t="inlineStr">
        <is>
          <t>Not Eligible</t>
        </is>
      </c>
      <c r="CL909"/>
      <c r="CM909" t="inlineStr">
        <is>
          <t>Q2-W03</t>
        </is>
      </c>
    </row>
    <row r="910" ht="25.5" customHeight="1">
      <c r="A910" t="inlineStr">
        <is>
          <t>175774</t>
        </is>
      </c>
      <c r="B910" s="2"/>
      <c r="C910"/>
      <c r="D910" s="3">
        <v>46135.66670138889</v>
      </c>
      <c r="E910" t="inlineStr">
        <is>
          <t>Q2-W03</t>
        </is>
      </c>
      <c r="F910" t="inlineStr">
        <is>
          <t>Xin Quan</t>
        </is>
      </c>
      <c r="G910" t="inlineStr">
        <is>
          <t>Customer</t>
        </is>
      </c>
      <c r="H910" s="2" t="str">
        <f>=HYPERLINK("https://upbox.ajobthing.my/customer/175774", "https://upbox.ajobthing.my/customer/175774")</f>
        <v>https://upbox.ajobthing.my/customer/175774</v>
      </c>
      <c r="I910" t="inlineStr">
        <is>
          <t>Tensor City Sdn Bhd</t>
        </is>
      </c>
      <c r="J910" t="inlineStr">
        <is>
          <t>Dolphin</t>
        </is>
      </c>
      <c r="K910" t="inlineStr">
        <is>
          <t>Xin Quan</t>
        </is>
      </c>
      <c r="L910" s="4"/>
      <c r="M910" s="4">
        <v>46135.66626157407</v>
      </c>
      <c r="N910"/>
      <c r="O910">
        <v>3888</v>
      </c>
      <c r="P910" s="4"/>
      <c r="Q910" s="4">
        <v>46140.59012731481</v>
      </c>
      <c r="R910"/>
      <c r="S910">
        <v>1296</v>
      </c>
      <c r="T910" s="4">
        <v>46140.59012731481</v>
      </c>
      <c r="U910" s="4"/>
      <c r="V910"/>
      <c r="W910">
        <v>1296</v>
      </c>
      <c r="X910"/>
      <c r="Y910" t="inlineStr">
        <is>
          <t>Pending Appointment</t>
        </is>
      </c>
      <c r="Z910" t="inlineStr">
        <is>
          <t>Hiring Now</t>
        </is>
      </c>
      <c r="AA910">
        <v>1</v>
      </c>
      <c r="AB910" t="inlineStr">
        <is>
          <t>No Appointment Made</t>
        </is>
      </c>
      <c r="AC910"/>
      <c r="AD910" t="inlineStr">
        <is>
          <t>1 IT , Base in KL</t>
        </is>
      </c>
      <c r="AE910"/>
      <c r="AF910">
        <v>2000</v>
      </c>
      <c r="AG910" s="4"/>
      <c r="AH910" s="4"/>
      <c r="AI910">
        <v>24000</v>
      </c>
      <c r="AJ910">
        <v>1</v>
      </c>
      <c r="AK910" t="inlineStr">
        <is>
          <t>No, I don't need at all</t>
        </is>
      </c>
      <c r="AL910">
        <v>1</v>
      </c>
      <c r="AM910" t="inlineStr">
        <is>
          <t>No, I don't need at all</t>
        </is>
      </c>
      <c r="AN910"/>
      <c r="AO910" t="inlineStr">
        <is>
          <t>No, I don't need at all</t>
        </is>
      </c>
      <c r="AP910" t="inlineStr">
        <is>
          <t>Once a year (25%)</t>
        </is>
      </c>
      <c r="AQ910">
        <v>1</v>
      </c>
      <c r="AR910"/>
      <c r="AS910" t="inlineStr">
        <is>
          <t>- Headcount: 1
- Hiring Job Details: 1 IT,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910">
        <v>115</v>
      </c>
      <c r="AU910" t="inlineStr">
        <is>
          <t>1.15</t>
        </is>
      </c>
      <c r="AV910" t="inlineStr">
        <is>
          <t>15</t>
        </is>
      </c>
      <c r="AW910" t="inlineStr">
        <is>
          <t>0</t>
        </is>
      </c>
      <c r="AX910" t="inlineStr">
        <is>
          <t>Not Qualified</t>
        </is>
      </c>
      <c r="AY910" s="4"/>
      <c r="AZ910"/>
      <c r="BA910"/>
      <c r="BB910"/>
      <c r="BC910" t="inlineStr">
        <is>
          <t>JP</t>
        </is>
      </c>
      <c r="BD910" s="4">
        <v>46141.3981712963</v>
      </c>
      <c r="BE910" t="inlineStr">
        <is>
          <t>paid</t>
        </is>
      </c>
      <c r="BF910" t="inlineStr">
        <is>
          <t>Q2-W04</t>
        </is>
      </c>
      <c r="BG910" t="inlineStr">
        <is>
          <t>Reschedule</t>
        </is>
      </c>
      <c r="BH910" t="inlineStr">
        <is>
          <t>Edward Hoo</t>
        </is>
      </c>
      <c r="BI910" t="inlineStr">
        <is>
          <t>IT / Software</t>
        </is>
      </c>
      <c r="BJ910" s="4">
        <v>46144.751608796294</v>
      </c>
      <c r="BK910" s="4">
        <v>45348.61284722222</v>
      </c>
      <c r="BL910" t="inlineStr">
        <is>
          <t>1944.0</t>
        </is>
      </c>
      <c r="BM910" t="inlineStr">
        <is>
          <t>0.0</t>
        </is>
      </c>
      <c r="BN910" t="inlineStr">
        <is>
          <t>View Company Page</t>
        </is>
      </c>
      <c r="BO910" s="4">
        <v>46141.73571759259</v>
      </c>
      <c r="BP910">
        <v>168607</v>
      </c>
      <c r="BQ910">
        <v>7716</v>
      </c>
      <c r="BR910" t="inlineStr">
        <is>
          <t>Manual (Paid)</t>
        </is>
      </c>
      <c r="BS910" t="inlineStr">
        <is>
          <t>AI Ala Carte
- A la carte for 1 AI Job Ad
- 1 AI Job Ad will be published on Maukerja, Ricebowl and our partner platforms
- 1 AI Job Ad will be published for 45 days
- 1 Booster Plus (10 times bump up)
- 1 Premium Job Ad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is>
      </c>
      <c r="BT910">
        <v>7716</v>
      </c>
      <c r="BU910"/>
      <c r="BV910">
        <v>2734141</v>
      </c>
      <c r="BW910" t="inlineStr">
        <is>
          <t>Service / Technical : Help To Post Job</t>
        </is>
      </c>
      <c r="BX910">
        <v>1</v>
      </c>
      <c r="BY910">
        <v>0</v>
      </c>
      <c r="BZ910" s="4">
        <v>46141.400729166664</v>
      </c>
      <c r="CA910">
        <v>10</v>
      </c>
      <c r="CB910">
        <v>10</v>
      </c>
      <c r="CC910" s="4"/>
      <c r="CD910" t="inlineStr">
        <is>
          <t>20</t>
        </is>
      </c>
      <c r="CE910" t="inlineStr">
        <is>
          <t>0</t>
        </is>
      </c>
      <c r="CF910" t="inlineStr">
        <is>
          <t>Q2-W03</t>
        </is>
      </c>
      <c r="CG910" t="inlineStr">
        <is>
          <t>Q2-W04</t>
        </is>
      </c>
      <c r="CH910" t="inlineStr">
        <is>
          <t>Q2-W04</t>
        </is>
      </c>
      <c r="CI910"/>
      <c r="CJ910" t="inlineStr">
        <is>
          <t>Paid</t>
        </is>
      </c>
      <c r="CK910" t="inlineStr">
        <is>
          <t>Not Eligible</t>
        </is>
      </c>
      <c r="CL910"/>
      <c r="CM910"/>
    </row>
    <row r="911" ht="25.5" customHeight="1">
      <c r="A911" t="inlineStr">
        <is>
          <t>192608</t>
        </is>
      </c>
      <c r="B911" s="2"/>
      <c r="C911"/>
      <c r="D911" s="3">
        <v>46135.67300925926</v>
      </c>
      <c r="E911" t="inlineStr">
        <is>
          <t>Q2-W03</t>
        </is>
      </c>
      <c r="F911" t="inlineStr">
        <is>
          <t>Janice Yap</t>
        </is>
      </c>
      <c r="G911" t="inlineStr">
        <is>
          <t>Customer</t>
        </is>
      </c>
      <c r="H911" s="2" t="str">
        <f>=HYPERLINK("https://upbox.ajobthing.my/customer/192608", "https://upbox.ajobthing.my/customer/192608")</f>
        <v>https://upbox.ajobthing.my/customer/192608</v>
      </c>
      <c r="I911" t="inlineStr">
        <is>
          <t>Tenhills Sdn Bhd</t>
        </is>
      </c>
      <c r="J911" t="inlineStr">
        <is>
          <t>Dolphin</t>
        </is>
      </c>
      <c r="K911" t="inlineStr">
        <is>
          <t>Janice</t>
        </is>
      </c>
      <c r="L911" s="4"/>
      <c r="M911" s="4">
        <v>46135.6690625</v>
      </c>
      <c r="N911"/>
      <c r="O911">
        <v>3888</v>
      </c>
      <c r="P911" s="4"/>
      <c r="Q911" s="4">
        <v>45825.48085648148</v>
      </c>
      <c r="R911"/>
      <c r="S911">
        <v>648</v>
      </c>
      <c r="T911" s="4">
        <v>45825.48085648148</v>
      </c>
      <c r="U911" s="4"/>
      <c r="V911"/>
      <c r="W911">
        <v>648</v>
      </c>
      <c r="X911"/>
      <c r="Y911" t="inlineStr">
        <is>
          <t>Pending Appointment</t>
        </is>
      </c>
      <c r="Z911" t="inlineStr">
        <is>
          <t>Hiring Now</t>
        </is>
      </c>
      <c r="AA911">
        <v>1</v>
      </c>
      <c r="AB911" t="inlineStr">
        <is>
          <t>No Appointment Made</t>
        </is>
      </c>
      <c r="AC911"/>
      <c r="AD911" t="inlineStr">
        <is>
          <t>1 assistant manager</t>
        </is>
      </c>
      <c r="AE911"/>
      <c r="AF911">
        <v>0</v>
      </c>
      <c r="AG911" s="4"/>
      <c r="AH911" s="4"/>
      <c r="AI911">
        <v>0</v>
      </c>
      <c r="AJ911"/>
      <c r="AK911" t="inlineStr">
        <is>
          <t>No, I don't need at all</t>
        </is>
      </c>
      <c r="AL911">
        <v>0</v>
      </c>
      <c r="AM911" t="inlineStr">
        <is>
          <t>No, I don't need at all</t>
        </is>
      </c>
      <c r="AN911"/>
      <c r="AO911" t="inlineStr">
        <is>
          <t>No, I don't need at all</t>
        </is>
      </c>
      <c r="AP911" t="inlineStr">
        <is>
          <t>Once a year (25%)</t>
        </is>
      </c>
      <c r="AQ911">
        <v>1</v>
      </c>
      <c r="AR911" t="inlineStr">
        <is>
          <t>Jobstreet, Indeed (Paid), Free Job Portal</t>
        </is>
      </c>
      <c r="AS911" t="inlineStr">
        <is>
          <t>- Headcount: 1
- Hiring Job Details: 1 assistant manager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 Indeed (Paid), Free Job Portal</t>
        </is>
      </c>
      <c r="AT911">
        <v>105</v>
      </c>
      <c r="AU911" t="inlineStr">
        <is>
          <t>1.05</t>
        </is>
      </c>
      <c r="AV911" t="inlineStr">
        <is>
          <t>15</t>
        </is>
      </c>
      <c r="AW911" t="inlineStr">
        <is>
          <t>0</t>
        </is>
      </c>
      <c r="AX911" t="inlineStr">
        <is>
          <t>Not Qualified</t>
        </is>
      </c>
      <c r="AY911" s="4"/>
      <c r="AZ911"/>
      <c r="BA911"/>
      <c r="BB911"/>
      <c r="BC911" t="inlineStr">
        <is>
          <t>Bad experience with AJT // so far QN is okay but won't consider use AJT portal // use Job Street better // if needed will contact us</t>
        </is>
      </c>
      <c r="BD911" s="4">
        <v>46139.63348379629</v>
      </c>
      <c r="BE911" t="inlineStr">
        <is>
          <t>paid</t>
        </is>
      </c>
      <c r="BF911"/>
      <c r="BG911" t="inlineStr">
        <is>
          <t>Reschedule</t>
        </is>
      </c>
      <c r="BH911" t="inlineStr">
        <is>
          <t>Yee Hang</t>
        </is>
      </c>
      <c r="BI911" t="inlineStr">
        <is>
          <t>Food / Beverage</t>
        </is>
      </c>
      <c r="BJ911" s="4">
        <v>46144.75256944444</v>
      </c>
      <c r="BK911" s="4">
        <v>45824.422789351855</v>
      </c>
      <c r="BL911" t="inlineStr">
        <is>
          <t>648.0</t>
        </is>
      </c>
      <c r="BM911" t="inlineStr">
        <is>
          <t>0.0</t>
        </is>
      </c>
      <c r="BN911" t="inlineStr">
        <is>
          <t>PA Visit - Email</t>
        </is>
      </c>
      <c r="BO911" s="4">
        <v>45838.8434375</v>
      </c>
      <c r="BP911">
        <v>168608</v>
      </c>
      <c r="BQ911">
        <v>80143</v>
      </c>
      <c r="BR911" t="inlineStr">
        <is>
          <t>Online</t>
        </is>
      </c>
      <c r="BS911"/>
      <c r="BT911">
        <v>80143</v>
      </c>
      <c r="BU911"/>
      <c r="BV911">
        <v>2730185</v>
      </c>
      <c r="BW911" t="inlineStr">
        <is>
          <t>Follow Up : Lost - Paid Portal</t>
        </is>
      </c>
      <c r="BX911"/>
      <c r="BY911"/>
      <c r="BZ911" s="4"/>
      <c r="CA911"/>
      <c r="CB911"/>
      <c r="CC911" s="4"/>
      <c r="CD911" t="inlineStr">
        <is>
          <t>20</t>
        </is>
      </c>
      <c r="CE911" t="inlineStr">
        <is>
          <t>0</t>
        </is>
      </c>
      <c r="CF911" t="inlineStr">
        <is>
          <t>Q2-W03</t>
        </is>
      </c>
      <c r="CG911"/>
      <c r="CH911"/>
      <c r="CI911"/>
      <c r="CJ911" t="inlineStr">
        <is>
          <t>Paid</t>
        </is>
      </c>
      <c r="CK911" t="inlineStr">
        <is>
          <t>Not Eligible</t>
        </is>
      </c>
      <c r="CL911"/>
      <c r="CM911"/>
    </row>
    <row r="912" ht="25.5" customHeight="1">
      <c r="A912" t="inlineStr">
        <is>
          <t>197732</t>
        </is>
      </c>
      <c r="B912" s="2"/>
      <c r="C912"/>
      <c r="D912" s="3">
        <v>46135.67570601852</v>
      </c>
      <c r="E912" t="inlineStr">
        <is>
          <t>Q2-W03</t>
        </is>
      </c>
      <c r="F912" t="inlineStr">
        <is>
          <t>Jeff Lee</t>
        </is>
      </c>
      <c r="G912" t="inlineStr">
        <is>
          <t>Customer</t>
        </is>
      </c>
      <c r="H912" s="2" t="str">
        <f>=HYPERLINK("https://upbox.ajobthing.my/customer/197732", "https://upbox.ajobthing.my/customer/197732")</f>
        <v>https://upbox.ajobthing.my/customer/197732</v>
      </c>
      <c r="I912" t="inlineStr">
        <is>
          <t>Krischem Sdn Bhd</t>
        </is>
      </c>
      <c r="J912" t="inlineStr">
        <is>
          <t>Dolphin</t>
        </is>
      </c>
      <c r="K912" t="inlineStr">
        <is>
          <t>Jeff Lee</t>
        </is>
      </c>
      <c r="L912" s="4"/>
      <c r="M912" s="4">
        <v>46135.67322916666</v>
      </c>
      <c r="N912"/>
      <c r="O912">
        <v>3888</v>
      </c>
      <c r="P912" s="4"/>
      <c r="Q912" s="4"/>
      <c r="R912"/>
      <c r="S912"/>
      <c r="T912" s="4"/>
      <c r="U912" s="4"/>
      <c r="V912"/>
      <c r="W912"/>
      <c r="X912"/>
      <c r="Y912" t="inlineStr">
        <is>
          <t>Pending Appointment</t>
        </is>
      </c>
      <c r="Z912" t="inlineStr">
        <is>
          <t>Hiring Now</t>
        </is>
      </c>
      <c r="AA912">
        <v>1</v>
      </c>
      <c r="AB912" t="inlineStr">
        <is>
          <t>No Appointment Made</t>
        </is>
      </c>
      <c r="AC912"/>
      <c r="AD912" t="inlineStr">
        <is>
          <t>1 Salesperson</t>
        </is>
      </c>
      <c r="AE912"/>
      <c r="AF912">
        <v>0</v>
      </c>
      <c r="AG912" s="4"/>
      <c r="AH912" s="4"/>
      <c r="AI912">
        <v>0</v>
      </c>
      <c r="AJ912">
        <v>0</v>
      </c>
      <c r="AK912" t="inlineStr">
        <is>
          <t>No, I don't need at all</t>
        </is>
      </c>
      <c r="AL912">
        <v>0</v>
      </c>
      <c r="AM912" t="inlineStr">
        <is>
          <t>No, I don't need at all</t>
        </is>
      </c>
      <c r="AN912"/>
      <c r="AO912" t="inlineStr">
        <is>
          <t>No, I don't need at all</t>
        </is>
      </c>
      <c r="AP912" t="inlineStr">
        <is>
          <t>Once a year (25%)</t>
        </is>
      </c>
      <c r="AQ912">
        <v>1</v>
      </c>
      <c r="AR912" t="inlineStr">
        <is>
          <t>Jobstreet</t>
        </is>
      </c>
      <c r="AS912" t="inlineStr">
        <is>
          <t>- Headcount: 1
- Hiring Job Details: 1 Salesperson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912">
        <v>100</v>
      </c>
      <c r="AU912" t="inlineStr">
        <is>
          <t>1.00</t>
        </is>
      </c>
      <c r="AV912" t="inlineStr">
        <is>
          <t>15</t>
        </is>
      </c>
      <c r="AW912" t="inlineStr">
        <is>
          <t>0</t>
        </is>
      </c>
      <c r="AX912" t="inlineStr">
        <is>
          <t>Not Qualified</t>
        </is>
      </c>
      <c r="AY912" s="4"/>
      <c r="AZ912"/>
      <c r="BA912"/>
      <c r="BB912"/>
      <c r="BC912" t="inlineStr">
        <is>
          <t>proceed to hr dy</t>
        </is>
      </c>
      <c r="BD912" s="4">
        <v>46141.42564814815</v>
      </c>
      <c r="BE912"/>
      <c r="BF912"/>
      <c r="BG912" t="inlineStr">
        <is>
          <t>Reschedule</t>
        </is>
      </c>
      <c r="BH912" t="inlineStr">
        <is>
          <t>Yee Hang</t>
        </is>
      </c>
      <c r="BI912"/>
      <c r="BJ912" s="4">
        <v>46144.752905092595</v>
      </c>
      <c r="BK912" s="4">
        <v>45959.42738425926</v>
      </c>
      <c r="BL912" t="inlineStr">
        <is>
          <t>0.0</t>
        </is>
      </c>
      <c r="BM912" t="inlineStr">
        <is>
          <t>1800.0</t>
        </is>
      </c>
      <c r="BN912"/>
      <c r="BO912" s="4"/>
      <c r="BP912">
        <v>168613</v>
      </c>
      <c r="BQ912"/>
      <c r="BR912"/>
      <c r="BS912"/>
      <c r="BT912"/>
      <c r="BU912"/>
      <c r="BV912">
        <v>2734329</v>
      </c>
      <c r="BW912" t="inlineStr">
        <is>
          <t>Follow Up : Decision Pending</t>
        </is>
      </c>
      <c r="BX912"/>
      <c r="BY912"/>
      <c r="BZ912" s="4"/>
      <c r="CA912"/>
      <c r="CB912"/>
      <c r="CC912" s="4"/>
      <c r="CD912" t="inlineStr">
        <is>
          <t>20</t>
        </is>
      </c>
      <c r="CE912" t="inlineStr">
        <is>
          <t>0</t>
        </is>
      </c>
      <c r="CF912" t="inlineStr">
        <is>
          <t>Q2-W03</t>
        </is>
      </c>
      <c r="CG912"/>
      <c r="CH912"/>
      <c r="CI912"/>
      <c r="CJ912" t="inlineStr">
        <is>
          <t>No Paid</t>
        </is>
      </c>
      <c r="CK912" t="inlineStr">
        <is>
          <t>Not Eligible</t>
        </is>
      </c>
      <c r="CL912"/>
      <c r="CM912"/>
    </row>
    <row r="913" ht="25.5" customHeight="1">
      <c r="A913" t="inlineStr">
        <is>
          <t>203587</t>
        </is>
      </c>
      <c r="B913" s="2"/>
      <c r="C913"/>
      <c r="D913" s="3">
        <v>46135.676099537035</v>
      </c>
      <c r="E913" t="inlineStr">
        <is>
          <t>Q2-W03</t>
        </is>
      </c>
      <c r="F913" t="inlineStr">
        <is>
          <t>Jess</t>
        </is>
      </c>
      <c r="G913" t="inlineStr">
        <is>
          <t>Customer</t>
        </is>
      </c>
      <c r="H913" s="2" t="str">
        <f>=HYPERLINK("https://upbox.ajobthing.my/customer/203587", "https://upbox.ajobthing.my/customer/203587")</f>
        <v>https://upbox.ajobthing.my/customer/203587</v>
      </c>
      <c r="I913" t="inlineStr">
        <is>
          <t>Ban Seng Emas Sdnbhd</t>
        </is>
      </c>
      <c r="J913" t="inlineStr">
        <is>
          <t>Dolphin</t>
        </is>
      </c>
      <c r="K913" t="inlineStr">
        <is>
          <t>Jess Lim</t>
        </is>
      </c>
      <c r="L913" s="4"/>
      <c r="M913" s="4">
        <v>46135.67765046296</v>
      </c>
      <c r="N913"/>
      <c r="O913">
        <v>6048</v>
      </c>
      <c r="P913" s="4"/>
      <c r="Q913" s="4">
        <v>46141.74145833333</v>
      </c>
      <c r="R913"/>
      <c r="S913">
        <v>3888</v>
      </c>
      <c r="T913" s="4">
        <v>46141.74145833333</v>
      </c>
      <c r="U913" s="4"/>
      <c r="V913"/>
      <c r="W913">
        <v>3888</v>
      </c>
      <c r="X913"/>
      <c r="Y913" t="inlineStr">
        <is>
          <t>Pending Appointment</t>
        </is>
      </c>
      <c r="Z913" t="inlineStr">
        <is>
          <t>Hiring Now</t>
        </is>
      </c>
      <c r="AA913">
        <v>4</v>
      </c>
      <c r="AB913" t="inlineStr">
        <is>
          <t>No Appointment Made</t>
        </is>
      </c>
      <c r="AC913"/>
      <c r="AD913" t="inlineStr">
        <is>
          <t>account exec manager hr admin</t>
        </is>
      </c>
      <c r="AE913"/>
      <c r="AF913">
        <v>1000</v>
      </c>
      <c r="AG913" s="4"/>
      <c r="AH913" s="4"/>
      <c r="AI913"/>
      <c r="AJ913">
        <v>3</v>
      </c>
      <c r="AK913" t="inlineStr">
        <is>
          <t>No, I don't need at all</t>
        </is>
      </c>
      <c r="AL913">
        <v>1</v>
      </c>
      <c r="AM913" t="inlineStr">
        <is>
          <t>No, I don't need at all</t>
        </is>
      </c>
      <c r="AN913"/>
      <c r="AO913" t="inlineStr">
        <is>
          <t>No, I don't need at all</t>
        </is>
      </c>
      <c r="AP913" t="inlineStr">
        <is>
          <t>Once a year (25%)</t>
        </is>
      </c>
      <c r="AQ913"/>
      <c r="AR913" t="inlineStr">
        <is>
          <t>Jobstreet</t>
        </is>
      </c>
      <c r="AS913" t="inlineStr">
        <is>
          <t>- Headcount: 4
- Hiring Job Details: account exec, manager, hr, admin
- Hiring Urgency: Hiring Now
- Number of outlets: 3
- Have recruiter team: No, I don't need at all
- Number of recruiter in company: 1
- Have ATS system: No, I don't need at all
- Have career website: No, I don't need at all
- Current hiring budget: RM1,000.00
- Whole year budget: Not specified
- Whole year number of vacancies: Not specified
- Hiring frequency: Once a year (25%)
- External job portal: Jobstreet</t>
        </is>
      </c>
      <c r="AT913">
        <v>60</v>
      </c>
      <c r="AU913" t="inlineStr">
        <is>
          <t>0.60</t>
        </is>
      </c>
      <c r="AV913" t="inlineStr">
        <is>
          <t>15</t>
        </is>
      </c>
      <c r="AW913" t="inlineStr">
        <is>
          <t>0</t>
        </is>
      </c>
      <c r="AX913" t="inlineStr">
        <is>
          <t>Not Qualified</t>
        </is>
      </c>
      <c r="AY913" s="4"/>
      <c r="AZ913"/>
      <c r="BA913"/>
      <c r="BB913"/>
      <c r="BC913" t="inlineStr">
        <is>
          <t>remind customer to do checking</t>
        </is>
      </c>
      <c r="BD913" s="4">
        <v>46142.51269675926</v>
      </c>
      <c r="BE913" t="inlineStr">
        <is>
          <t>paid</t>
        </is>
      </c>
      <c r="BF913" t="inlineStr">
        <is>
          <t>Q2-W04</t>
        </is>
      </c>
      <c r="BG913" t="inlineStr">
        <is>
          <t>Reschedule</t>
        </is>
      </c>
      <c r="BH913" t="inlineStr">
        <is>
          <t>Fauziah Maharan</t>
        </is>
      </c>
      <c r="BI913" t="inlineStr">
        <is>
          <t>Gems / Jewellery</t>
        </is>
      </c>
      <c r="BJ913" s="4">
        <v>46144.75435185185</v>
      </c>
      <c r="BK913" s="4">
        <v>46135.628229166665</v>
      </c>
      <c r="BL913" t="inlineStr">
        <is>
          <t>3888.0</t>
        </is>
      </c>
      <c r="BM913" t="inlineStr">
        <is>
          <t>0.0</t>
        </is>
      </c>
      <c r="BN913" t="inlineStr">
        <is>
          <t>View Candidate Search Page</t>
        </is>
      </c>
      <c r="BO913" s="4">
        <v>46142.74108796296</v>
      </c>
      <c r="BP913">
        <v>168619</v>
      </c>
      <c r="BQ913">
        <v>95137</v>
      </c>
      <c r="BR913" t="inlineStr">
        <is>
          <t>Online</t>
        </is>
      </c>
      <c r="BS913"/>
      <c r="BT913">
        <v>95137</v>
      </c>
      <c r="BU913"/>
      <c r="BV913">
        <v>2737369</v>
      </c>
      <c r="BW913" t="inlineStr">
        <is>
          <t>Follow Up : Win - Customer Paid</t>
        </is>
      </c>
      <c r="BX913">
        <v>6</v>
      </c>
      <c r="BY913">
        <v>6</v>
      </c>
      <c r="BZ913" s="4"/>
      <c r="CA913">
        <v>60</v>
      </c>
      <c r="CB913">
        <v>60</v>
      </c>
      <c r="CC913" s="4"/>
      <c r="CD913" t="inlineStr">
        <is>
          <t>20</t>
        </is>
      </c>
      <c r="CE913" t="inlineStr">
        <is>
          <t>0</t>
        </is>
      </c>
      <c r="CF913" t="inlineStr">
        <is>
          <t>Q2-W03</t>
        </is>
      </c>
      <c r="CG913" t="inlineStr">
        <is>
          <t>Q2-W04</t>
        </is>
      </c>
      <c r="CH913" t="inlineStr">
        <is>
          <t>Q2-W04</t>
        </is>
      </c>
      <c r="CI913"/>
      <c r="CJ913" t="inlineStr">
        <is>
          <t>Paid</t>
        </is>
      </c>
      <c r="CK913" t="inlineStr">
        <is>
          <t>Not Eligible</t>
        </is>
      </c>
      <c r="CL913"/>
      <c r="CM913"/>
    </row>
    <row r="914" ht="25.5" customHeight="1">
      <c r="A914" t="inlineStr">
        <is>
          <t>119662</t>
        </is>
      </c>
      <c r="B914" s="2"/>
      <c r="C914"/>
      <c r="D914" s="3">
        <v>46135.681759259256</v>
      </c>
      <c r="E914" t="inlineStr">
        <is>
          <t>Q2-W03</t>
        </is>
      </c>
      <c r="F914" t="inlineStr">
        <is>
          <t>Keegan</t>
        </is>
      </c>
      <c r="G914" t="inlineStr">
        <is>
          <t>Customer</t>
        </is>
      </c>
      <c r="H914" s="2" t="str">
        <f>=HYPERLINK("https://upbox.ajobthing.my/customer/119662", "https://upbox.ajobthing.my/customer/119662")</f>
        <v>https://upbox.ajobthing.my/customer/119662</v>
      </c>
      <c r="I914" t="inlineStr">
        <is>
          <t>Humanix Sdn Bhd</t>
        </is>
      </c>
      <c r="J914" t="inlineStr">
        <is>
          <t>Dolphin</t>
        </is>
      </c>
      <c r="K914" t="inlineStr">
        <is>
          <t>Keegan</t>
        </is>
      </c>
      <c r="L914" s="4"/>
      <c r="M914" s="4">
        <v>46135.68204861111</v>
      </c>
      <c r="N914"/>
      <c r="O914">
        <v>6048</v>
      </c>
      <c r="P914" s="4"/>
      <c r="Q914" s="4">
        <v>45678.61628472222</v>
      </c>
      <c r="R914"/>
      <c r="S914">
        <v>648</v>
      </c>
      <c r="T914" s="4">
        <v>45678.61628472222</v>
      </c>
      <c r="U914" s="4"/>
      <c r="V914"/>
      <c r="W914">
        <v>648</v>
      </c>
      <c r="X914"/>
      <c r="Y914" t="inlineStr">
        <is>
          <t>Pending Appointment</t>
        </is>
      </c>
      <c r="Z914" t="inlineStr">
        <is>
          <t>Hiring Now</t>
        </is>
      </c>
      <c r="AA914">
        <v>2</v>
      </c>
      <c r="AB914" t="inlineStr">
        <is>
          <t>No Appointment Made</t>
        </is>
      </c>
      <c r="AC914"/>
      <c r="AD914" t="inlineStr">
        <is>
          <t xml:space="preserve">1. Recruiter 
2. Key Account Manager </t>
        </is>
      </c>
      <c r="AE914"/>
      <c r="AF914"/>
      <c r="AG914" s="4"/>
      <c r="AH914" s="4"/>
      <c r="AI914"/>
      <c r="AJ914">
        <v>1</v>
      </c>
      <c r="AK914" t="inlineStr">
        <is>
          <t>No, I don't need at all</t>
        </is>
      </c>
      <c r="AL914">
        <v>1</v>
      </c>
      <c r="AM914" t="inlineStr">
        <is>
          <t>No, I don't need at all</t>
        </is>
      </c>
      <c r="AN914"/>
      <c r="AO914" t="inlineStr">
        <is>
          <t>No, I don't need at all</t>
        </is>
      </c>
      <c r="AP914" t="inlineStr">
        <is>
          <t>Every month (100%)</t>
        </is>
      </c>
      <c r="AQ914"/>
      <c r="AR914" t="inlineStr">
        <is>
          <t>Jobstore, Indeed (Paid)</t>
        </is>
      </c>
      <c r="AS914" t="inlineStr">
        <is>
          <t>- Headcount: 2
- Hiring Job Details: 1. Recruiter 2. Key Account Manager
- Hiring Urgency: Hiring Now
- Number of outlets: 1
- Have recruiter team: No, I don't need at all
- Number of recruiter in company: 1
- Have ATS system: No, I don't need at all
- Have career website: No, I don't need at all
- Current hiring budget: Not specified
- Whole year budget: Not specified
- Whole year number of vacancies: Not specified
- Hiring frequency: Every month (100%)
- External job portal: Jobstore,Indeed (Paid)</t>
        </is>
      </c>
      <c r="AT914">
        <v>95</v>
      </c>
      <c r="AU914" t="inlineStr">
        <is>
          <t>0.95</t>
        </is>
      </c>
      <c r="AV914" t="inlineStr">
        <is>
          <t>5</t>
        </is>
      </c>
      <c r="AW914" t="inlineStr">
        <is>
          <t>0</t>
        </is>
      </c>
      <c r="AX914" t="inlineStr">
        <is>
          <t>Not Qualified</t>
        </is>
      </c>
      <c r="AY914" s="4"/>
      <c r="AZ914"/>
      <c r="BA914"/>
      <c r="BB914"/>
      <c r="BC914" t="inlineStr">
        <is>
          <t>- Headcount: 2
- Hiring Job Details: 1. Recruiter 2. Key Account Manager
- Hiring Urgency: Hiring Now
- Number of outlets: 1
- Have recruiter team: No, I don't need at all
- Number of recruiter in company: 1
- Have ATS system: No, I don't need at all
- Have career website: No, I don't need at all
- Current hiring budget: Not specified
- Whole year budget: Not specified
- Whole year number of vacancies: Not specified
- Hiring frequency: Every month (100%)
- External job portal: Jobstore,Indeed (Paid)</t>
        </is>
      </c>
      <c r="BD914" s="4">
        <v>46135.70837962963</v>
      </c>
      <c r="BE914" t="inlineStr">
        <is>
          <t>paid</t>
        </is>
      </c>
      <c r="BF914"/>
      <c r="BG914" t="inlineStr">
        <is>
          <t>Reschedule</t>
        </is>
      </c>
      <c r="BH914" t="inlineStr">
        <is>
          <t>Edward Hoo</t>
        </is>
      </c>
      <c r="BI914" t="inlineStr">
        <is>
          <t>HR Mgmt / Consulting</t>
        </is>
      </c>
      <c r="BJ914" s="4">
        <v>46144.750231481485</v>
      </c>
      <c r="BK914" s="4">
        <v>43644.820810185185</v>
      </c>
      <c r="BL914" t="inlineStr">
        <is>
          <t>0.0</t>
        </is>
      </c>
      <c r="BM914" t="inlineStr">
        <is>
          <t>0.0</t>
        </is>
      </c>
      <c r="BN914" t="inlineStr">
        <is>
          <t>PA Email CTA Click</t>
        </is>
      </c>
      <c r="BO914" s="4">
        <v>45731.47813657407</v>
      </c>
      <c r="BP914">
        <v>168624</v>
      </c>
      <c r="BQ914">
        <v>76271</v>
      </c>
      <c r="BR914" t="inlineStr">
        <is>
          <t>Online</t>
        </is>
      </c>
      <c r="BS914"/>
      <c r="BT914">
        <v>76271</v>
      </c>
      <c r="BU914"/>
      <c r="BV914">
        <v>2724919</v>
      </c>
      <c r="BW914" t="inlineStr">
        <is>
          <t>Customer Inquiry</t>
        </is>
      </c>
      <c r="BX914"/>
      <c r="BY914"/>
      <c r="BZ914" s="4"/>
      <c r="CA914"/>
      <c r="CB914"/>
      <c r="CC914" s="4"/>
      <c r="CD914" t="inlineStr">
        <is>
          <t>5</t>
        </is>
      </c>
      <c r="CE914" t="inlineStr">
        <is>
          <t>0</t>
        </is>
      </c>
      <c r="CF914" t="inlineStr">
        <is>
          <t>Q2-W03</t>
        </is>
      </c>
      <c r="CG914"/>
      <c r="CH914"/>
      <c r="CI914"/>
      <c r="CJ914" t="inlineStr">
        <is>
          <t>Paid</t>
        </is>
      </c>
      <c r="CK914" t="inlineStr">
        <is>
          <t>Not Eligible</t>
        </is>
      </c>
      <c r="CL914"/>
      <c r="CM914"/>
    </row>
    <row r="915" ht="25.5" customHeight="1">
      <c r="A915" t="inlineStr">
        <is>
          <t>4174045</t>
        </is>
      </c>
      <c r="B915" s="2"/>
      <c r="C915"/>
      <c r="D915" s="3">
        <v>46135.690150462964</v>
      </c>
      <c r="E915" t="inlineStr">
        <is>
          <t>Q2-W03</t>
        </is>
      </c>
      <c r="F915" t="inlineStr">
        <is>
          <t>Jess</t>
        </is>
      </c>
      <c r="G915" t="inlineStr">
        <is>
          <t>Lead</t>
        </is>
      </c>
      <c r="H915" s="2" t="str">
        <f>=HYPERLINK("https://upbox.ajobthing.my/leads/4174045", "https://upbox.ajobthing.my/leads/4174045")</f>
        <v>https://upbox.ajobthing.my/leads/4174045</v>
      </c>
      <c r="I915" t="inlineStr">
        <is>
          <t>Avalon Electronics Sdn Bhd</t>
        </is>
      </c>
      <c r="J915" t="inlineStr">
        <is>
          <t>Dolphin</t>
        </is>
      </c>
      <c r="K915" t="inlineStr">
        <is>
          <t>Jess Lim</t>
        </is>
      </c>
      <c r="L915" s="4"/>
      <c r="M915" s="4">
        <v>46135.69116898148</v>
      </c>
      <c r="N915"/>
      <c r="O915">
        <v>3888</v>
      </c>
      <c r="P915" s="4"/>
      <c r="Q915" s="4"/>
      <c r="R915"/>
      <c r="S915"/>
      <c r="T915" s="4"/>
      <c r="U915" s="4"/>
      <c r="V915"/>
      <c r="W915"/>
      <c r="X915"/>
      <c r="Y915" t="inlineStr">
        <is>
          <t>Pending Appointment</t>
        </is>
      </c>
      <c r="Z915" t="inlineStr">
        <is>
          <t>Hiring Now</t>
        </is>
      </c>
      <c r="AA915">
        <v>2</v>
      </c>
      <c r="AB915" t="inlineStr">
        <is>
          <t>No Appointment Made</t>
        </is>
      </c>
      <c r="AC915"/>
      <c r="AD915" t="inlineStr">
        <is>
          <t xml:space="preserve">supply chain manager order management </t>
        </is>
      </c>
      <c r="AE915"/>
      <c r="AF915">
        <v>3600</v>
      </c>
      <c r="AG915" s="4"/>
      <c r="AH915" s="4"/>
      <c r="AI915"/>
      <c r="AJ915">
        <v>1</v>
      </c>
      <c r="AK915" t="inlineStr">
        <is>
          <t>No, I don't need at all</t>
        </is>
      </c>
      <c r="AL915">
        <v>1</v>
      </c>
      <c r="AM915" t="inlineStr">
        <is>
          <t>No, I don't need at all</t>
        </is>
      </c>
      <c r="AN915"/>
      <c r="AO915" t="inlineStr">
        <is>
          <t>No, I don't need at all</t>
        </is>
      </c>
      <c r="AP915" t="inlineStr">
        <is>
          <t>Once a year (25%)</t>
        </is>
      </c>
      <c r="AQ915"/>
      <c r="AR915" t="inlineStr">
        <is>
          <t>Jobstreet</t>
        </is>
      </c>
      <c r="AS915" t="inlineStr">
        <is>
          <t>- Headcount: 2
- Hiring Job Details: supply chain manager, order management
- Hiring Urgency: Hiring Now
- Number of outlets: 1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is>
      </c>
      <c r="AT915">
        <v>95</v>
      </c>
      <c r="AU915" t="inlineStr">
        <is>
          <t>0.95</t>
        </is>
      </c>
      <c r="AV915" t="inlineStr">
        <is>
          <t>15</t>
        </is>
      </c>
      <c r="AW915" t="inlineStr">
        <is>
          <t>0</t>
        </is>
      </c>
      <c r="AX915" t="inlineStr">
        <is>
          <t>Not Qualified</t>
        </is>
      </c>
      <c r="AY915" s="4"/>
      <c r="AZ915"/>
      <c r="BA915"/>
      <c r="BB915"/>
      <c r="BC915"/>
      <c r="BD915" s="4"/>
      <c r="BE915"/>
      <c r="BF915"/>
      <c r="BG915" t="inlineStr">
        <is>
          <t>Reschedule</t>
        </is>
      </c>
      <c r="BH915" t="inlineStr">
        <is>
          <t>Fauziah Maharan</t>
        </is>
      </c>
      <c r="BI915"/>
      <c r="BJ915" s="4">
        <v>46144.755578703705</v>
      </c>
      <c r="BK915" s="4">
        <v>46099.62635416666</v>
      </c>
      <c r="BL915" t="inlineStr">
        <is>
          <t>0.0</t>
        </is>
      </c>
      <c r="BM915" t="inlineStr">
        <is>
          <t>3600.0</t>
        </is>
      </c>
      <c r="BN915"/>
      <c r="BO915" s="4"/>
      <c r="BP915">
        <v>168626</v>
      </c>
      <c r="BQ915"/>
      <c r="BR915"/>
      <c r="BS915"/>
      <c r="BT915"/>
      <c r="BU915"/>
      <c r="BV915"/>
      <c r="BW915"/>
      <c r="BX915"/>
      <c r="BY915"/>
      <c r="BZ915" s="4"/>
      <c r="CA915"/>
      <c r="CB915"/>
      <c r="CC915" s="4"/>
      <c r="CD915" t="inlineStr">
        <is>
          <t>20</t>
        </is>
      </c>
      <c r="CE915" t="inlineStr">
        <is>
          <t>0</t>
        </is>
      </c>
      <c r="CF915" t="inlineStr">
        <is>
          <t>Q2-W03</t>
        </is>
      </c>
      <c r="CG915"/>
      <c r="CH915"/>
      <c r="CI915"/>
      <c r="CJ915" t="inlineStr">
        <is>
          <t>No Paid</t>
        </is>
      </c>
      <c r="CK915" t="inlineStr">
        <is>
          <t>Not Eligible</t>
        </is>
      </c>
      <c r="CL915"/>
      <c r="CM915"/>
    </row>
    <row r="916" ht="25.5" customHeight="1">
      <c r="A916" t="inlineStr">
        <is>
          <t>119704</t>
        </is>
      </c>
      <c r="B916" s="2"/>
      <c r="C916"/>
      <c r="D916" s="3">
        <v>46135.69100694444</v>
      </c>
      <c r="E916" t="inlineStr">
        <is>
          <t>Q2-W03</t>
        </is>
      </c>
      <c r="F916" t="inlineStr">
        <is>
          <t>Chia Yee</t>
        </is>
      </c>
      <c r="G916" t="inlineStr">
        <is>
          <t>Customer</t>
        </is>
      </c>
      <c r="H916" s="2" t="str">
        <f>=HYPERLINK("https://upbox.ajobthing.my/customer/119704", "https://upbox.ajobthing.my/customer/119704")</f>
        <v>https://upbox.ajobthing.my/customer/119704</v>
      </c>
      <c r="I916" t="inlineStr">
        <is>
          <t>Aktif Mestika Sdn Bhd</t>
        </is>
      </c>
      <c r="J916" t="inlineStr">
        <is>
          <t>Dolphin</t>
        </is>
      </c>
      <c r="K916" t="inlineStr">
        <is>
          <t>Chia Yee</t>
        </is>
      </c>
      <c r="L916" s="4"/>
      <c r="M916" s="4">
        <v>46135.69152777778</v>
      </c>
      <c r="N916"/>
      <c r="O916">
        <v>1296</v>
      </c>
      <c r="P916" s="4"/>
      <c r="Q916" s="4"/>
      <c r="R916"/>
      <c r="S916"/>
      <c r="T916" s="4"/>
      <c r="U916" s="4"/>
      <c r="V916"/>
      <c r="W916"/>
      <c r="X916"/>
      <c r="Y916" t="inlineStr">
        <is>
          <t>Pending Appointment</t>
        </is>
      </c>
      <c r="Z916" t="inlineStr">
        <is>
          <t>Hiring Now</t>
        </is>
      </c>
      <c r="AA916">
        <v>1</v>
      </c>
      <c r="AB916" t="inlineStr">
        <is>
          <t>No Appointment Made</t>
        </is>
      </c>
      <c r="AC916"/>
      <c r="AD916" t="inlineStr">
        <is>
          <t>1 QS</t>
        </is>
      </c>
      <c r="AE916"/>
      <c r="AF916">
        <v>0</v>
      </c>
      <c r="AG916" s="4"/>
      <c r="AH916" s="4"/>
      <c r="AI916">
        <v>0</v>
      </c>
      <c r="AJ916">
        <v>1</v>
      </c>
      <c r="AK916" t="inlineStr">
        <is>
          <t>No, I don't need at all</t>
        </is>
      </c>
      <c r="AL916">
        <v>1</v>
      </c>
      <c r="AM916" t="inlineStr">
        <is>
          <t>No, I don't need at all</t>
        </is>
      </c>
      <c r="AN916"/>
      <c r="AO916" t="inlineStr">
        <is>
          <t>No, I don't need at all</t>
        </is>
      </c>
      <c r="AP916" t="inlineStr">
        <is>
          <t>Once a year (25%)</t>
        </is>
      </c>
      <c r="AQ916">
        <v>1</v>
      </c>
      <c r="AR916" t="inlineStr">
        <is>
          <t>Jobstreet, Indeed (Paid)</t>
        </is>
      </c>
      <c r="AS916" t="inlineStr">
        <is>
          <t>- Headcount: 1
- Hiring Job Details: 1 QS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Jobstreet,Indeed (Paid)</t>
        </is>
      </c>
      <c r="AT916">
        <v>110</v>
      </c>
      <c r="AU916" t="inlineStr">
        <is>
          <t>1.10</t>
        </is>
      </c>
      <c r="AV916" t="inlineStr">
        <is>
          <t>15</t>
        </is>
      </c>
      <c r="AW916" t="inlineStr">
        <is>
          <t>0</t>
        </is>
      </c>
      <c r="AX916" t="inlineStr">
        <is>
          <t>Not Qualified</t>
        </is>
      </c>
      <c r="AY916" s="4"/>
      <c r="AZ916"/>
      <c r="BA916"/>
      <c r="BB916"/>
      <c r="BC916" t="inlineStr">
        <is>
          <t>Called Amirul, manager said not first as pay</t>
        </is>
      </c>
      <c r="BD916" s="4">
        <v>46139.54273148148</v>
      </c>
      <c r="BE916"/>
      <c r="BF916"/>
      <c r="BG916" t="inlineStr">
        <is>
          <t>Reschedule</t>
        </is>
      </c>
      <c r="BH916" t="inlineStr">
        <is>
          <t>Reagen</t>
        </is>
      </c>
      <c r="BI916" t="inlineStr">
        <is>
          <t>Construction / Building</t>
        </is>
      </c>
      <c r="BJ916" s="4">
        <v>46144.750231481485</v>
      </c>
      <c r="BK916" s="4">
        <v>43647.632199074076</v>
      </c>
      <c r="BL916" t="inlineStr">
        <is>
          <t>0.0</t>
        </is>
      </c>
      <c r="BM916" t="inlineStr">
        <is>
          <t>0.0</t>
        </is>
      </c>
      <c r="BN916" t="inlineStr">
        <is>
          <t>View Create Job Page</t>
        </is>
      </c>
      <c r="BO916" s="4">
        <v>44832.42555555556</v>
      </c>
      <c r="BP916">
        <v>168628</v>
      </c>
      <c r="BQ916"/>
      <c r="BR916"/>
      <c r="BS916"/>
      <c r="BT916"/>
      <c r="BU916"/>
      <c r="BV916">
        <v>2729132</v>
      </c>
      <c r="BW916" t="inlineStr">
        <is>
          <t>Follow Up : Lost - Free Portal</t>
        </is>
      </c>
      <c r="BX916"/>
      <c r="BY916"/>
      <c r="BZ916" s="4"/>
      <c r="CA916"/>
      <c r="CB916"/>
      <c r="CC916" s="4"/>
      <c r="CD916" t="inlineStr">
        <is>
          <t>20</t>
        </is>
      </c>
      <c r="CE916" t="inlineStr">
        <is>
          <t>0</t>
        </is>
      </c>
      <c r="CF916" t="inlineStr">
        <is>
          <t>Q2-W03</t>
        </is>
      </c>
      <c r="CG916"/>
      <c r="CH916"/>
      <c r="CI916"/>
      <c r="CJ916" t="inlineStr">
        <is>
          <t>No Paid</t>
        </is>
      </c>
      <c r="CK916" t="inlineStr">
        <is>
          <t>Not Eligible</t>
        </is>
      </c>
      <c r="CL916"/>
      <c r="CM916"/>
    </row>
    <row r="917" ht="25.5" customHeight="1">
      <c r="A917" t="inlineStr">
        <is>
          <t>181015</t>
        </is>
      </c>
      <c r="B917" s="2"/>
      <c r="C917"/>
      <c r="D917" s="3">
        <v>46135.69107638889</v>
      </c>
      <c r="E917" t="inlineStr">
        <is>
          <t>Q2-W03</t>
        </is>
      </c>
      <c r="F917" t="inlineStr">
        <is>
          <t>Carmen</t>
        </is>
      </c>
      <c r="G917" t="inlineStr">
        <is>
          <t>Customer</t>
        </is>
      </c>
      <c r="H917" s="2" t="str">
        <f>=HYPERLINK("https://upbox.ajobthing.my/customer/181015", "https://upbox.ajobthing.my/customer/181015")</f>
        <v>https://upbox.ajobthing.my/customer/181015</v>
      </c>
      <c r="I917" t="inlineStr">
        <is>
          <t>Apex Dynamic Solutions Sdn. Bhd.</t>
        </is>
      </c>
      <c r="J917" t="inlineStr">
        <is>
          <t>Dolphin</t>
        </is>
      </c>
      <c r="K917" t="inlineStr">
        <is>
          <t>Carmen</t>
        </is>
      </c>
      <c r="L917" s="4"/>
      <c r="M917" s="4">
        <v>46126.659097222226</v>
      </c>
      <c r="N917"/>
      <c r="O917">
        <v>3672</v>
      </c>
      <c r="P917" s="4"/>
      <c r="Q917" s="4">
        <v>46142.56423611111</v>
      </c>
      <c r="R917"/>
      <c r="S917">
        <v>0</v>
      </c>
      <c r="T917" s="4">
        <v>46141.3959837963</v>
      </c>
      <c r="U917" s="4"/>
      <c r="V917"/>
      <c r="W917">
        <v>3672</v>
      </c>
      <c r="X917"/>
      <c r="Y917" t="inlineStr">
        <is>
          <t>Pending Appointment</t>
        </is>
      </c>
      <c r="Z917" t="inlineStr">
        <is>
          <t>Hiring Now</t>
        </is>
      </c>
      <c r="AA917">
        <v>2</v>
      </c>
      <c r="AB917" t="inlineStr">
        <is>
          <t>No Appointment Made</t>
        </is>
      </c>
      <c r="AC917"/>
      <c r="AD917" t="inlineStr">
        <is>
          <t>1 admin, 1 beauty consultant</t>
        </is>
      </c>
      <c r="AE917"/>
      <c r="AF917">
        <v>3000</v>
      </c>
      <c r="AG917" s="4"/>
      <c r="AH917" s="4"/>
      <c r="AI917"/>
      <c r="AJ917"/>
      <c r="AK917" t="inlineStr">
        <is>
          <t>No, I don't need at all</t>
        </is>
      </c>
      <c r="AL917"/>
      <c r="AM917"/>
      <c r="AN917"/>
      <c r="AO917"/>
      <c r="AP917" t="inlineStr">
        <is>
          <t>Once a year (25%)</t>
        </is>
      </c>
      <c r="AQ917"/>
      <c r="AR917"/>
      <c r="AS917" t="inlineStr">
        <is>
          <t>- Headcount: 2
- Hiring Job Details: 1 admin, 1 beauty consultant
- Hiring Urgency: Hiring Now
- Number of outlets: Not provided
- Have recruiter team: No, I don't need at all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917">
        <v>95</v>
      </c>
      <c r="AU917" t="inlineStr">
        <is>
          <t>0.95</t>
        </is>
      </c>
      <c r="AV917" t="inlineStr">
        <is>
          <t>15</t>
        </is>
      </c>
      <c r="AW917" t="inlineStr">
        <is>
          <t>0</t>
        </is>
      </c>
      <c r="AX917" t="inlineStr">
        <is>
          <t>Not Qualified</t>
        </is>
      </c>
      <c r="AY917" s="4"/>
      <c r="AZ917"/>
      <c r="BA917"/>
      <c r="BB917"/>
      <c r="BC917" t="inlineStr">
        <is>
          <t>she thought her job is wfh</t>
        </is>
      </c>
      <c r="BD917" s="4">
        <v>46142.69405092593</v>
      </c>
      <c r="BE917" t="inlineStr">
        <is>
          <t>paid</t>
        </is>
      </c>
      <c r="BF917" t="inlineStr">
        <is>
          <t>Q2-W04</t>
        </is>
      </c>
      <c r="BG917" t="inlineStr">
        <is>
          <t>Reschedule</t>
        </is>
      </c>
      <c r="BH917" t="inlineStr">
        <is>
          <t>Reagen</t>
        </is>
      </c>
      <c r="BI917" t="inlineStr">
        <is>
          <t>Transportation / Logistics</t>
        </is>
      </c>
      <c r="BJ917" s="4">
        <v>46144.751863425925</v>
      </c>
      <c r="BK917" s="4">
        <v>45502.56091435185</v>
      </c>
      <c r="BL917" t="inlineStr">
        <is>
          <t>3672.0</t>
        </is>
      </c>
      <c r="BM917" t="inlineStr">
        <is>
          <t>0.0</t>
        </is>
      </c>
      <c r="BN917" t="inlineStr">
        <is>
          <t>View Create Job Page V4</t>
        </is>
      </c>
      <c r="BO917" s="4">
        <v>46142.70518518519</v>
      </c>
      <c r="BP917">
        <v>167000</v>
      </c>
      <c r="BQ917">
        <v>124187</v>
      </c>
      <c r="BR917" t="inlineStr">
        <is>
          <t>Proforma</t>
        </is>
      </c>
      <c r="BS917" t="inlineStr">
        <is>
          <t>Free Internship Job</t>
        </is>
      </c>
      <c r="BT917">
        <v>95056</v>
      </c>
      <c r="BU917"/>
      <c r="BV917">
        <v>2738216</v>
      </c>
      <c r="BW917" t="inlineStr">
        <is>
          <t>Service / Technical : Job Outcome Enquiry</t>
        </is>
      </c>
      <c r="BX917">
        <v>7</v>
      </c>
      <c r="BY917">
        <v>6</v>
      </c>
      <c r="BZ917" s="4">
        <v>46142.57554398148</v>
      </c>
      <c r="CA917">
        <v>60</v>
      </c>
      <c r="CB917">
        <v>60</v>
      </c>
      <c r="CC917" s="4"/>
      <c r="CD917" t="inlineStr">
        <is>
          <t>20</t>
        </is>
      </c>
      <c r="CE917" t="inlineStr">
        <is>
          <t>0</t>
        </is>
      </c>
      <c r="CF917" t="inlineStr">
        <is>
          <t>Q2-W02</t>
        </is>
      </c>
      <c r="CG917" t="inlineStr">
        <is>
          <t>Q2-W04</t>
        </is>
      </c>
      <c r="CH917" t="inlineStr">
        <is>
          <t>Q2-W04</t>
        </is>
      </c>
      <c r="CI917"/>
      <c r="CJ917" t="inlineStr">
        <is>
          <t>Paid</t>
        </is>
      </c>
      <c r="CK917" t="inlineStr">
        <is>
          <t>Not Eligible</t>
        </is>
      </c>
      <c r="CL917"/>
      <c r="CM917"/>
    </row>
    <row r="918" ht="25.5" customHeight="1">
      <c r="A918" t="inlineStr">
        <is>
          <t>162804</t>
        </is>
      </c>
      <c r="B918" s="2"/>
      <c r="C918"/>
      <c r="D918" s="3">
        <v>46135.698587962965</v>
      </c>
      <c r="E918" t="inlineStr">
        <is>
          <t>Q2-W03</t>
        </is>
      </c>
      <c r="F918" t="inlineStr">
        <is>
          <t>Ratha</t>
        </is>
      </c>
      <c r="G918" t="inlineStr">
        <is>
          <t>Customer</t>
        </is>
      </c>
      <c r="H918" s="2" t="str">
        <f>=HYPERLINK("https://upbox.ajobthing.my/customer/162804", "https://upbox.ajobthing.my/customer/162804")</f>
        <v>https://upbox.ajobthing.my/customer/162804</v>
      </c>
      <c r="I918" t="inlineStr">
        <is>
          <t>Casa Moderno Sdn Bhd</t>
        </is>
      </c>
      <c r="J918" t="inlineStr">
        <is>
          <t>Dolphin</t>
        </is>
      </c>
      <c r="K918" t="inlineStr">
        <is>
          <t>Ratha</t>
        </is>
      </c>
      <c r="L918" s="4"/>
      <c r="M918" s="4">
        <v>46135.70125</v>
      </c>
      <c r="N918"/>
      <c r="O918">
        <v>3672</v>
      </c>
      <c r="P918" s="4"/>
      <c r="Q918" s="4">
        <v>46135.67251157408</v>
      </c>
      <c r="R918"/>
      <c r="S918">
        <v>864</v>
      </c>
      <c r="T918" s="4">
        <v>46135.67251157408</v>
      </c>
      <c r="U918" s="4"/>
      <c r="V918"/>
      <c r="W918">
        <v>864</v>
      </c>
      <c r="X918"/>
      <c r="Y918" t="inlineStr">
        <is>
          <t>Pending Appointment</t>
        </is>
      </c>
      <c r="Z918" t="inlineStr">
        <is>
          <t>Hiring Now</t>
        </is>
      </c>
      <c r="AA918">
        <v>1</v>
      </c>
      <c r="AB918" t="inlineStr">
        <is>
          <t>No Appointment Made</t>
        </is>
      </c>
      <c r="AC918"/>
      <c r="AD918" t="inlineStr">
        <is>
          <t>Sales
Puchong</t>
        </is>
      </c>
      <c r="AE918"/>
      <c r="AF918"/>
      <c r="AG918" s="4"/>
      <c r="AH918" s="4"/>
      <c r="AI918">
        <v>0</v>
      </c>
      <c r="AJ918">
        <v>1</v>
      </c>
      <c r="AK918" t="inlineStr">
        <is>
          <t>Yes, I have</t>
        </is>
      </c>
      <c r="AL918">
        <v>2</v>
      </c>
      <c r="AM918" t="inlineStr">
        <is>
          <t>No, I don't need at all</t>
        </is>
      </c>
      <c r="AN918"/>
      <c r="AO918" t="inlineStr">
        <is>
          <t>No, I don't need at all</t>
        </is>
      </c>
      <c r="AP918" t="inlineStr">
        <is>
          <t>Once per quarter (75%)</t>
        </is>
      </c>
      <c r="AQ918">
        <v>0</v>
      </c>
      <c r="AR918" t="inlineStr">
        <is>
          <t>Free Job Portal</t>
        </is>
      </c>
      <c r="AS918" t="inlineStr">
        <is>
          <t>- Headcount: 1
- Hiring Job Details: Sales\nPuchong
- Hiring Urgency: Hiring Now
- Number of outlets: 1
- Have recruiter team: Yes, I have
- Number of recruiter in company: 2
- Have ATS system: No, I don't need at all
- Have career website: No, I don't need at all
- Current hiring budget: 
- Whole year budget: RM0.00
- Whole year number of vacancies: 0
- Hiring frequency: Once per quarter (75%)
- External job portal: Free Job Portal</t>
        </is>
      </c>
      <c r="AT918">
        <v>95</v>
      </c>
      <c r="AU918" t="inlineStr">
        <is>
          <t>0.95</t>
        </is>
      </c>
      <c r="AV918" t="inlineStr">
        <is>
          <t>5</t>
        </is>
      </c>
      <c r="AW918" t="inlineStr">
        <is>
          <t>0</t>
        </is>
      </c>
      <c r="AX918" t="inlineStr">
        <is>
          <t>Not Qualified</t>
        </is>
      </c>
      <c r="AY918" s="4"/>
      <c r="AZ918"/>
      <c r="BA918"/>
      <c r="BB918"/>
      <c r="BC918" t="inlineStr">
        <is>
          <t>no answer</t>
        </is>
      </c>
      <c r="BD918" s="4">
        <v>46140.49568287037</v>
      </c>
      <c r="BE918" t="inlineStr">
        <is>
          <t>paid</t>
        </is>
      </c>
      <c r="BF918" t="inlineStr">
        <is>
          <t>Q2-W03</t>
        </is>
      </c>
      <c r="BG918" t="inlineStr">
        <is>
          <t>Reschedule</t>
        </is>
      </c>
      <c r="BH918" t="inlineStr">
        <is>
          <t>Fauziah Maharan</t>
        </is>
      </c>
      <c r="BI918" t="inlineStr">
        <is>
          <t>Retail / Merchandise</t>
        </is>
      </c>
      <c r="BJ918" s="4">
        <v>46144.751180555555</v>
      </c>
      <c r="BK918" s="4">
        <v>44905.88675925926</v>
      </c>
      <c r="BL918" t="inlineStr">
        <is>
          <t>2376.0</t>
        </is>
      </c>
      <c r="BM918" t="inlineStr">
        <is>
          <t>0.0</t>
        </is>
      </c>
      <c r="BN918" t="inlineStr">
        <is>
          <t>View Company Page</t>
        </is>
      </c>
      <c r="BO918" s="4">
        <v>46135.673263888886</v>
      </c>
      <c r="BP918">
        <v>168632</v>
      </c>
      <c r="BQ918">
        <v>94676</v>
      </c>
      <c r="BR918" t="inlineStr">
        <is>
          <t>Online</t>
        </is>
      </c>
      <c r="BS918"/>
      <c r="BT918">
        <v>94676</v>
      </c>
      <c r="BU918"/>
      <c r="BV918">
        <v>2732273</v>
      </c>
      <c r="BW918" t="inlineStr">
        <is>
          <t>No Answer : Voicemail - WA sent to customer</t>
        </is>
      </c>
      <c r="BX918">
        <v>1</v>
      </c>
      <c r="BY918">
        <v>0</v>
      </c>
      <c r="BZ918" s="4">
        <v>46135.67252314815</v>
      </c>
      <c r="CA918">
        <v>10</v>
      </c>
      <c r="CB918">
        <v>10</v>
      </c>
      <c r="CC918" s="4"/>
      <c r="CD918" t="inlineStr">
        <is>
          <t>5</t>
        </is>
      </c>
      <c r="CE918" t="inlineStr">
        <is>
          <t>0</t>
        </is>
      </c>
      <c r="CF918" t="inlineStr">
        <is>
          <t>Q2-W03</t>
        </is>
      </c>
      <c r="CG918" t="inlineStr">
        <is>
          <t>Q2-W03</t>
        </is>
      </c>
      <c r="CH918" t="inlineStr">
        <is>
          <t>Q2-W03</t>
        </is>
      </c>
      <c r="CI918"/>
      <c r="CJ918" t="inlineStr">
        <is>
          <t>Paid</t>
        </is>
      </c>
      <c r="CK918" t="inlineStr">
        <is>
          <t>Not Eligible</t>
        </is>
      </c>
      <c r="CL918"/>
      <c r="CM918"/>
    </row>
    <row r="919" ht="25.5" customHeight="1">
      <c r="A919" t="inlineStr">
        <is>
          <t>199397</t>
        </is>
      </c>
      <c r="B919" s="2"/>
      <c r="C919"/>
      <c r="D919" s="3">
        <v>46135.705092592594</v>
      </c>
      <c r="E919" t="inlineStr">
        <is>
          <t>Q2-W03</t>
        </is>
      </c>
      <c r="F919" t="inlineStr">
        <is>
          <t>Eugene</t>
        </is>
      </c>
      <c r="G919" t="inlineStr">
        <is>
          <t>Customer</t>
        </is>
      </c>
      <c r="H919" s="2" t="str">
        <f>=HYPERLINK("https://upbox.ajobthing.my/customer/199397", "https://upbox.ajobthing.my/customer/199397")</f>
        <v>https://upbox.ajobthing.my/customer/199397</v>
      </c>
      <c r="I919" t="inlineStr">
        <is>
          <t>Began Engineering Sdn Bhd</t>
        </is>
      </c>
      <c r="J919" t="inlineStr">
        <is>
          <t>Dolphin</t>
        </is>
      </c>
      <c r="K919" t="inlineStr">
        <is>
          <t>Eugene</t>
        </is>
      </c>
      <c r="L919" s="4"/>
      <c r="M919" s="4">
        <v>46135.705196759256</v>
      </c>
      <c r="N919"/>
      <c r="O919">
        <v>4968</v>
      </c>
      <c r="P919" s="4"/>
      <c r="Q919" s="4"/>
      <c r="R919"/>
      <c r="S919"/>
      <c r="T919" s="4"/>
      <c r="U919" s="4"/>
      <c r="V919"/>
      <c r="W919"/>
      <c r="X919"/>
      <c r="Y919" t="inlineStr">
        <is>
          <t>Pending Appointment</t>
        </is>
      </c>
      <c r="Z919" t="inlineStr">
        <is>
          <t>Hiring Now</t>
        </is>
      </c>
      <c r="AA919">
        <v>4</v>
      </c>
      <c r="AB919" t="inlineStr">
        <is>
          <t>No Appointment Made</t>
        </is>
      </c>
      <c r="AC919"/>
      <c r="AD919" t="inlineStr">
        <is>
          <t>4 technician, based in JB</t>
        </is>
      </c>
      <c r="AE919"/>
      <c r="AF919">
        <v>4000</v>
      </c>
      <c r="AG919" s="4"/>
      <c r="AH919" s="4"/>
      <c r="AI919">
        <v>4000</v>
      </c>
      <c r="AJ919">
        <v>1</v>
      </c>
      <c r="AK919" t="inlineStr">
        <is>
          <t>No, I don't need at all</t>
        </is>
      </c>
      <c r="AL919">
        <v>1</v>
      </c>
      <c r="AM919" t="inlineStr">
        <is>
          <t>No, I don't need at all</t>
        </is>
      </c>
      <c r="AN919"/>
      <c r="AO919" t="inlineStr">
        <is>
          <t>No, I don't need at all</t>
        </is>
      </c>
      <c r="AP919" t="inlineStr">
        <is>
          <t>Once per quarter (75%)</t>
        </is>
      </c>
      <c r="AQ919">
        <v>5</v>
      </c>
      <c r="AR919" t="inlineStr">
        <is>
          <t>Indeed (Paid)</t>
        </is>
      </c>
      <c r="AS919" t="inlineStr">
        <is>
          <t>- Headcount: 4
- Hiring Job Details: 4 technician, based in JB
- Hiring Urgency: Hiring Now
- Number of outlets: 1
- Have recruiter team: No, I don't need at all
- Number of recruiter in company: 1
- Have ATS system: No, I don't need at all
- Have career website: No, I don't need at all
- Current hiring budget: RM4,000
- Whole year budget: RM4,000.00
- Whole year number of vacancies: 5
- Hiring frequency: Once per quarter (75%)
- External job portal: Indeed (Paid)</t>
        </is>
      </c>
      <c r="AT919">
        <v>110</v>
      </c>
      <c r="AU919" t="inlineStr">
        <is>
          <t>1.10</t>
        </is>
      </c>
      <c r="AV919" t="inlineStr">
        <is>
          <t>15</t>
        </is>
      </c>
      <c r="AW919" t="inlineStr">
        <is>
          <t>0</t>
        </is>
      </c>
      <c r="AX919" t="inlineStr">
        <is>
          <t>Not Qualified</t>
        </is>
      </c>
      <c r="AY919" s="4"/>
      <c r="AZ919"/>
      <c r="BA919"/>
      <c r="BB919"/>
      <c r="BC919" t="inlineStr">
        <is>
          <t>- Headcount: 4
- Hiring Job Details: 4 technician, based in JB
- Hiring Urgency: Hiring Now
- Number of outlets: 1
- Have recruiter team: No, I don't need at all
- Number of recruiter in company: 1
- Have ATS system: No, I don't need at all
- Have career website: No, I don't need at all
- Current hiring budget: RM4,000
- Whole year budget: RM4,000.00
- Whole year number of vacancies: 5
- Hiring frequency: Once per quarter (75%)
- External job portal: Indeed (Paid)</t>
        </is>
      </c>
      <c r="BD919" s="4">
        <v>46135.70837962963</v>
      </c>
      <c r="BE919"/>
      <c r="BF919"/>
      <c r="BG919" t="inlineStr">
        <is>
          <t>Reschedule</t>
        </is>
      </c>
      <c r="BH919" t="inlineStr">
        <is>
          <t>Edward Hoo</t>
        </is>
      </c>
      <c r="BI919" t="inlineStr">
        <is>
          <t>Engineering / Technical Consulting</t>
        </is>
      </c>
      <c r="BJ919" s="4">
        <v>46144.75329861111</v>
      </c>
      <c r="BK919" s="4">
        <v>46006.54650462963</v>
      </c>
      <c r="BL919" t="inlineStr">
        <is>
          <t>0.0</t>
        </is>
      </c>
      <c r="BM919" t="inlineStr">
        <is>
          <t>2250.0</t>
        </is>
      </c>
      <c r="BN919" t="inlineStr">
        <is>
          <t>View Company Page</t>
        </is>
      </c>
      <c r="BO919" s="4">
        <v>46006.56391203704</v>
      </c>
      <c r="BP919">
        <v>168633</v>
      </c>
      <c r="BQ919"/>
      <c r="BR919"/>
      <c r="BS919"/>
      <c r="BT919"/>
      <c r="BU919"/>
      <c r="BV919">
        <v>2724928</v>
      </c>
      <c r="BW919" t="inlineStr">
        <is>
          <t>Customer Inquiry</t>
        </is>
      </c>
      <c r="BX919"/>
      <c r="BY919"/>
      <c r="BZ919" s="4"/>
      <c r="CA919"/>
      <c r="CB919"/>
      <c r="CC919" s="4"/>
      <c r="CD919" t="inlineStr">
        <is>
          <t>20</t>
        </is>
      </c>
      <c r="CE919" t="inlineStr">
        <is>
          <t>0</t>
        </is>
      </c>
      <c r="CF919" t="inlineStr">
        <is>
          <t>Q2-W03</t>
        </is>
      </c>
      <c r="CG919"/>
      <c r="CH919"/>
      <c r="CI919"/>
      <c r="CJ919" t="inlineStr">
        <is>
          <t>No Paid</t>
        </is>
      </c>
      <c r="CK919" t="inlineStr">
        <is>
          <t>Not Eligible</t>
        </is>
      </c>
      <c r="CL919"/>
      <c r="CM919"/>
    </row>
    <row r="920" ht="25.5" customHeight="1">
      <c r="A920" t="inlineStr">
        <is>
          <t>171278</t>
        </is>
      </c>
      <c r="B920" s="2"/>
      <c r="C920"/>
      <c r="D920" s="3">
        <v>46135.71079861111</v>
      </c>
      <c r="E920" t="inlineStr">
        <is>
          <t>Q2-W03</t>
        </is>
      </c>
      <c r="F920" t="inlineStr">
        <is>
          <t>Keegan</t>
        </is>
      </c>
      <c r="G920" t="inlineStr">
        <is>
          <t>Customer</t>
        </is>
      </c>
      <c r="H920" s="2" t="str">
        <f>=HYPERLINK("https://upbox.ajobthing.my/customer/171278", "https://upbox.ajobthing.my/customer/171278")</f>
        <v>https://upbox.ajobthing.my/customer/171278</v>
      </c>
      <c r="I920" t="inlineStr">
        <is>
          <t>Satake Multimix (M) Sdn Bhd</t>
        </is>
      </c>
      <c r="J920" t="inlineStr">
        <is>
          <t>Dolphin</t>
        </is>
      </c>
      <c r="K920" t="inlineStr">
        <is>
          <t>Keegan</t>
        </is>
      </c>
      <c r="L920" s="4"/>
      <c r="M920" s="4">
        <v>46135.710868055554</v>
      </c>
      <c r="N920"/>
      <c r="O920">
        <v>6048</v>
      </c>
      <c r="P920" s="4"/>
      <c r="Q920" s="4">
        <v>46086.663194444445</v>
      </c>
      <c r="R920"/>
      <c r="S920">
        <v>0</v>
      </c>
      <c r="T920" s="4">
        <v>45191.59258101852</v>
      </c>
      <c r="U920" s="4"/>
      <c r="V920"/>
      <c r="W920">
        <v>2332</v>
      </c>
      <c r="X920"/>
      <c r="Y920" t="inlineStr">
        <is>
          <t>Pending Appointment</t>
        </is>
      </c>
      <c r="Z920" t="inlineStr">
        <is>
          <t>Hiring Now</t>
        </is>
      </c>
      <c r="AA920">
        <v>3</v>
      </c>
      <c r="AB920" t="inlineStr">
        <is>
          <t>No Appointment Made</t>
        </is>
      </c>
      <c r="AC920"/>
      <c r="AD920" t="inlineStr">
        <is>
          <t xml:space="preserve">1. Admin 
2. Welding Technician 
3. Sales </t>
        </is>
      </c>
      <c r="AE920"/>
      <c r="AF920"/>
      <c r="AG920" s="4"/>
      <c r="AH920" s="4"/>
      <c r="AI920"/>
      <c r="AJ920">
        <v>1</v>
      </c>
      <c r="AK920" t="inlineStr">
        <is>
          <t>No, I don't need at all</t>
        </is>
      </c>
      <c r="AL920">
        <v>0</v>
      </c>
      <c r="AM920" t="inlineStr">
        <is>
          <t>No, I don't need at all</t>
        </is>
      </c>
      <c r="AN920"/>
      <c r="AO920" t="inlineStr">
        <is>
          <t>No, I don't need at all</t>
        </is>
      </c>
      <c r="AP920" t="inlineStr">
        <is>
          <t>Once per quarter (75%)</t>
        </is>
      </c>
      <c r="AQ920"/>
      <c r="AR920" t="inlineStr">
        <is>
          <t>Did not use any job portal</t>
        </is>
      </c>
      <c r="AS920" t="inlineStr">
        <is>
          <t>- Headcount: 3
- Hiring Job Details: 1. Admin 2. Welding Technician 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920">
        <v>75</v>
      </c>
      <c r="AU920" t="inlineStr">
        <is>
          <t>0.75</t>
        </is>
      </c>
      <c r="AV920" t="inlineStr">
        <is>
          <t>5</t>
        </is>
      </c>
      <c r="AW920" t="inlineStr">
        <is>
          <t>0</t>
        </is>
      </c>
      <c r="AX920" t="inlineStr">
        <is>
          <t>Not Qualified</t>
        </is>
      </c>
      <c r="AY920" s="4"/>
      <c r="AZ920"/>
      <c r="BA920"/>
      <c r="BB920"/>
      <c r="BC920" t="inlineStr">
        <is>
          <t>Lost due to hiring plan postponed</t>
        </is>
      </c>
      <c r="BD920" s="4">
        <v>46139.74197916667</v>
      </c>
      <c r="BE920" t="inlineStr">
        <is>
          <t>paid</t>
        </is>
      </c>
      <c r="BF920"/>
      <c r="BG920" t="inlineStr">
        <is>
          <t>Reschedule</t>
        </is>
      </c>
      <c r="BH920" t="inlineStr">
        <is>
          <t>Edward Hoo</t>
        </is>
      </c>
      <c r="BI920" t="inlineStr">
        <is>
          <t>Manufacturing / Production</t>
        </is>
      </c>
      <c r="BJ920" s="4">
        <v>46144.75142361111</v>
      </c>
      <c r="BK920" s="4">
        <v>45191.39942129629</v>
      </c>
      <c r="BL920" t="inlineStr">
        <is>
          <t>0.0</t>
        </is>
      </c>
      <c r="BM920" t="inlineStr">
        <is>
          <t>1200.0</t>
        </is>
      </c>
      <c r="BN920" t="inlineStr">
        <is>
          <t>View Create Job Page V4</t>
        </is>
      </c>
      <c r="BO920" s="4">
        <v>46086.67790509259</v>
      </c>
      <c r="BP920">
        <v>168640</v>
      </c>
      <c r="BQ920">
        <v>116088</v>
      </c>
      <c r="BR920" t="inlineStr">
        <is>
          <t>Proforma</t>
        </is>
      </c>
      <c r="BS920" t="inlineStr">
        <is>
          <t>Free Part-Time Job</t>
        </is>
      </c>
      <c r="BT920">
        <v>62359</v>
      </c>
      <c r="BU920"/>
      <c r="BV920">
        <v>2731514</v>
      </c>
      <c r="BW920" t="inlineStr">
        <is>
          <t>Follow Up : Lost - Free Portal</t>
        </is>
      </c>
      <c r="BX920"/>
      <c r="BY920"/>
      <c r="BZ920" s="4"/>
      <c r="CA920"/>
      <c r="CB920"/>
      <c r="CC920" s="4"/>
      <c r="CD920" t="inlineStr">
        <is>
          <t>5</t>
        </is>
      </c>
      <c r="CE920" t="inlineStr">
        <is>
          <t>0</t>
        </is>
      </c>
      <c r="CF920" t="inlineStr">
        <is>
          <t>Q2-W03</t>
        </is>
      </c>
      <c r="CG920" t="inlineStr">
        <is>
          <t>Q1-W09</t>
        </is>
      </c>
      <c r="CH920"/>
      <c r="CI920"/>
      <c r="CJ920" t="inlineStr">
        <is>
          <t>Paid</t>
        </is>
      </c>
      <c r="CK920" t="inlineStr">
        <is>
          <t>Not Eligible</t>
        </is>
      </c>
      <c r="CL920"/>
      <c r="CM920"/>
    </row>
    <row r="921" ht="25.5" customHeight="1">
      <c r="A921" t="inlineStr">
        <is>
          <t>202411</t>
        </is>
      </c>
      <c r="B921" s="2"/>
      <c r="C921"/>
      <c r="D921" s="3">
        <v>46135.71503472222</v>
      </c>
      <c r="E921" t="inlineStr">
        <is>
          <t>Q2-W03</t>
        </is>
      </c>
      <c r="F921" t="inlineStr">
        <is>
          <t>Carmen</t>
        </is>
      </c>
      <c r="G921" t="inlineStr">
        <is>
          <t>Customer</t>
        </is>
      </c>
      <c r="H921" s="2" t="str">
        <f>=HYPERLINK("https://upbox.ajobthing.my/customer/202411", "https://upbox.ajobthing.my/customer/202411")</f>
        <v>https://upbox.ajobthing.my/customer/202411</v>
      </c>
      <c r="I921" t="inlineStr">
        <is>
          <t>Marent (M) Sdn. Bhd.</t>
        </is>
      </c>
      <c r="J921" t="inlineStr">
        <is>
          <t>Dolphin</t>
        </is>
      </c>
      <c r="K921" t="inlineStr">
        <is>
          <t>Carmen</t>
        </is>
      </c>
      <c r="L921" s="4"/>
      <c r="M921" s="4">
        <v>46136.635150462964</v>
      </c>
      <c r="N921"/>
      <c r="O921">
        <v>864</v>
      </c>
      <c r="P921" s="4"/>
      <c r="Q921" s="4">
        <v>46141.4543287037</v>
      </c>
      <c r="R921"/>
      <c r="S921">
        <v>0</v>
      </c>
      <c r="T921" s="4">
        <v>46112.637650462966</v>
      </c>
      <c r="U921" s="4"/>
      <c r="V921"/>
      <c r="W921">
        <v>2592</v>
      </c>
      <c r="X921"/>
      <c r="Y921" t="inlineStr">
        <is>
          <t>Pending Appointment</t>
        </is>
      </c>
      <c r="Z921" t="inlineStr">
        <is>
          <t>Hiring Now</t>
        </is>
      </c>
      <c r="AA921">
        <v>3</v>
      </c>
      <c r="AB921" t="inlineStr">
        <is>
          <t>No Appointment Made</t>
        </is>
      </c>
      <c r="AC921"/>
      <c r="AD921" t="inlineStr">
        <is>
          <t>1account assistant 
1account executive
1社交媒体运营 
</t>
        </is>
      </c>
      <c r="AE921"/>
      <c r="AF921">
        <v>2000</v>
      </c>
      <c r="AG921" s="4"/>
      <c r="AH921" s="4"/>
      <c r="AI921"/>
      <c r="AJ921"/>
      <c r="AK921"/>
      <c r="AL921"/>
      <c r="AM921"/>
      <c r="AN921"/>
      <c r="AO921"/>
      <c r="AP921" t="inlineStr">
        <is>
          <t>Once per quarter (75%)</t>
        </is>
      </c>
      <c r="AQ921"/>
      <c r="AR921"/>
      <c r="AS921" t="inlineStr">
        <is>
          <t>- Headcount: 3
- Hiring Job Details: 1 account assistant, 1 account executive, 1 社交媒体运营
- Hiring Urgency: Hiring Now
- Number of outlets: Not provided
- Have recruiter team: Not provided
- Number of recruiter in company: Not provided
- Have ATS system: Not provided
- Have career website: Not provided
- Current hiring budget: RM2,000.00
- Whole year budget: Not provided
- Whole year number of vacancies: Not provided
- Hiring frequency: Once per quarter (75%)
- External job portal: Not provided</t>
        </is>
      </c>
      <c r="AT921">
        <v>75</v>
      </c>
      <c r="AU921" t="inlineStr">
        <is>
          <t>0.75</t>
        </is>
      </c>
      <c r="AV921" t="inlineStr">
        <is>
          <t>15</t>
        </is>
      </c>
      <c r="AW921" t="inlineStr">
        <is>
          <t>0</t>
        </is>
      </c>
      <c r="AX921" t="inlineStr">
        <is>
          <t>Not Qualified</t>
        </is>
      </c>
      <c r="AY921" s="4"/>
      <c r="AZ921"/>
      <c r="BA921"/>
      <c r="BB921"/>
      <c r="BC921" t="inlineStr">
        <is>
          <t>on hold</t>
        </is>
      </c>
      <c r="BD921" s="4">
        <v>46136.68913194445</v>
      </c>
      <c r="BE921" t="inlineStr">
        <is>
          <t>paid</t>
        </is>
      </c>
      <c r="BF921" t="inlineStr">
        <is>
          <t>Q1-W13</t>
        </is>
      </c>
      <c r="BG921" t="inlineStr">
        <is>
          <t>Reschedule</t>
        </is>
      </c>
      <c r="BH921" t="inlineStr">
        <is>
          <t>Reagen</t>
        </is>
      </c>
      <c r="BI921"/>
      <c r="BJ921" s="4">
        <v>46144.75402777778</v>
      </c>
      <c r="BK921" s="4">
        <v>46106.59841435185</v>
      </c>
      <c r="BL921" t="inlineStr">
        <is>
          <t>2592.0</t>
        </is>
      </c>
      <c r="BM921" t="inlineStr">
        <is>
          <t>0.0</t>
        </is>
      </c>
      <c r="BN921" t="inlineStr">
        <is>
          <t>PA Visit - Job Card</t>
        </is>
      </c>
      <c r="BO921" s="4">
        <v>46141.46991898148</v>
      </c>
      <c r="BP921">
        <v>168820</v>
      </c>
      <c r="BQ921">
        <v>124033</v>
      </c>
      <c r="BR921" t="inlineStr">
        <is>
          <t>Proforma</t>
        </is>
      </c>
      <c r="BS921" t="inlineStr">
        <is>
          <t>Free Freelance Job</t>
        </is>
      </c>
      <c r="BT921">
        <v>7542</v>
      </c>
      <c r="BU921"/>
      <c r="BV921">
        <v>2727085</v>
      </c>
      <c r="BW921" t="inlineStr">
        <is>
          <t>Follow Up : Budget Concern</t>
        </is>
      </c>
      <c r="BX921">
        <v>5</v>
      </c>
      <c r="BY921">
        <v>2</v>
      </c>
      <c r="BZ921" s="4">
        <v>46113.492476851854</v>
      </c>
      <c r="CA921">
        <v>53</v>
      </c>
      <c r="CB921">
        <v>22</v>
      </c>
      <c r="CC921" s="4">
        <v>46141.470509259256</v>
      </c>
      <c r="CD921" t="inlineStr">
        <is>
          <t>20</t>
        </is>
      </c>
      <c r="CE921" t="inlineStr">
        <is>
          <t>0</t>
        </is>
      </c>
      <c r="CF921" t="inlineStr">
        <is>
          <t>Q2-W04</t>
        </is>
      </c>
      <c r="CG921" t="inlineStr">
        <is>
          <t>Q2-W04</t>
        </is>
      </c>
      <c r="CH921" t="inlineStr">
        <is>
          <t>Q1-W13</t>
        </is>
      </c>
      <c r="CI921"/>
      <c r="CJ921" t="inlineStr">
        <is>
          <t>Paid</t>
        </is>
      </c>
      <c r="CK921" t="inlineStr">
        <is>
          <t>Not Eligible</t>
        </is>
      </c>
      <c r="CL921"/>
      <c r="CM921"/>
    </row>
    <row r="922" ht="25.5" customHeight="1">
      <c r="A922" t="inlineStr">
        <is>
          <t>18439</t>
        </is>
      </c>
      <c r="B922" s="2"/>
      <c r="C922"/>
      <c r="D922" s="3">
        <v>46135.71737268518</v>
      </c>
      <c r="E922" t="inlineStr">
        <is>
          <t>Q2-W03</t>
        </is>
      </c>
      <c r="F922" t="inlineStr">
        <is>
          <t>Chia Yee</t>
        </is>
      </c>
      <c r="G922" t="inlineStr">
        <is>
          <t>Customer</t>
        </is>
      </c>
      <c r="H922" s="2" t="str">
        <f>=HYPERLINK("https://upbox.ajobthing.my/customer/18439", "https://upbox.ajobthing.my/customer/18439")</f>
        <v>https://upbox.ajobthing.my/customer/18439</v>
      </c>
      <c r="I922" t="inlineStr">
        <is>
          <t>Jejari Artistik Sdn Bhd</t>
        </is>
      </c>
      <c r="J922" t="inlineStr">
        <is>
          <t>Dolphin</t>
        </is>
      </c>
      <c r="K922" t="inlineStr">
        <is>
          <t>Chia Yee</t>
        </is>
      </c>
      <c r="L922" s="4"/>
      <c r="M922" s="4">
        <v>46135.717453703706</v>
      </c>
      <c r="N922"/>
      <c r="O922">
        <v>1296</v>
      </c>
      <c r="P922" s="4"/>
      <c r="Q922" s="4">
        <v>43852.48076388889</v>
      </c>
      <c r="R922"/>
      <c r="S922">
        <v>901</v>
      </c>
      <c r="T922" s="4">
        <v>43852.48076388889</v>
      </c>
      <c r="U922" s="4"/>
      <c r="V922"/>
      <c r="W922">
        <v>901</v>
      </c>
      <c r="X922"/>
      <c r="Y922" t="inlineStr">
        <is>
          <t>Pending Appointment</t>
        </is>
      </c>
      <c r="Z922" t="inlineStr">
        <is>
          <t>Hiring Now</t>
        </is>
      </c>
      <c r="AA922">
        <v>3</v>
      </c>
      <c r="AB922" t="inlineStr">
        <is>
          <t>No Appointment Made</t>
        </is>
      </c>
      <c r="AC922"/>
      <c r="AD922" t="inlineStr">
        <is>
          <t>3 Spa therapist</t>
        </is>
      </c>
      <c r="AE922"/>
      <c r="AF922">
        <v>0</v>
      </c>
      <c r="AG922" s="4"/>
      <c r="AH922" s="4"/>
      <c r="AI922">
        <v>0</v>
      </c>
      <c r="AJ922">
        <v>1</v>
      </c>
      <c r="AK922" t="inlineStr">
        <is>
          <t>No, I don't need at all</t>
        </is>
      </c>
      <c r="AL922">
        <v>1</v>
      </c>
      <c r="AM922" t="inlineStr">
        <is>
          <t>No, I don't need at all</t>
        </is>
      </c>
      <c r="AN922"/>
      <c r="AO922" t="inlineStr">
        <is>
          <t>No, I don't need at all</t>
        </is>
      </c>
      <c r="AP922" t="inlineStr">
        <is>
          <t>Once a year (25%)</t>
        </is>
      </c>
      <c r="AQ922">
        <v>3</v>
      </c>
      <c r="AR922" t="inlineStr">
        <is>
          <t>Did not use any job portal</t>
        </is>
      </c>
      <c r="AS922" t="inlineStr">
        <is>
          <t>- Headcount: 3
- Hiring Job Details: 3 Spa therapist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is>
      </c>
      <c r="AT922">
        <v>115</v>
      </c>
      <c r="AU922" t="inlineStr">
        <is>
          <t>1.15</t>
        </is>
      </c>
      <c r="AV922" t="inlineStr">
        <is>
          <t>15</t>
        </is>
      </c>
      <c r="AW922" t="inlineStr">
        <is>
          <t>0</t>
        </is>
      </c>
      <c r="AX922" t="inlineStr">
        <is>
          <t>Not Qualified</t>
        </is>
      </c>
      <c r="AY922" s="4"/>
      <c r="AZ922"/>
      <c r="BA922"/>
      <c r="BB922"/>
      <c r="BC922" t="inlineStr">
        <is>
          <t>Replied: waiting approval. Inform promo</t>
        </is>
      </c>
      <c r="BD922" s="4">
        <v>46141.611875</v>
      </c>
      <c r="BE922" t="inlineStr">
        <is>
          <t>paid</t>
        </is>
      </c>
      <c r="BF922"/>
      <c r="BG922" t="inlineStr">
        <is>
          <t>Reschedule</t>
        </is>
      </c>
      <c r="BH922" t="inlineStr">
        <is>
          <t>Reagen</t>
        </is>
      </c>
      <c r="BI922" t="inlineStr">
        <is>
          <t>Beauty / Fitness</t>
        </is>
      </c>
      <c r="BJ922" s="4">
        <v>46144.75199074074</v>
      </c>
      <c r="BK922" s="4">
        <v>42478.856620370374</v>
      </c>
      <c r="BL922" t="inlineStr">
        <is>
          <t>0.0</t>
        </is>
      </c>
      <c r="BM922" t="inlineStr">
        <is>
          <t>3000.0</t>
        </is>
      </c>
      <c r="BN922" t="inlineStr">
        <is>
          <t>User Visit(Logged In)</t>
        </is>
      </c>
      <c r="BO922" s="4">
        <v>46119.53414351852</v>
      </c>
      <c r="BP922">
        <v>168652</v>
      </c>
      <c r="BQ922">
        <v>23013</v>
      </c>
      <c r="BR922" t="inlineStr">
        <is>
          <t>Online</t>
        </is>
      </c>
      <c r="BS922"/>
      <c r="BT922">
        <v>23013</v>
      </c>
      <c r="BU922"/>
      <c r="BV922">
        <v>2735376</v>
      </c>
      <c r="BW922" t="inlineStr">
        <is>
          <t>Follow Up : Decision Pending</t>
        </is>
      </c>
      <c r="BX922"/>
      <c r="BY922"/>
      <c r="BZ922" s="4"/>
      <c r="CA922"/>
      <c r="CB922"/>
      <c r="CC922" s="4"/>
      <c r="CD922" t="inlineStr">
        <is>
          <t>20</t>
        </is>
      </c>
      <c r="CE922" t="inlineStr">
        <is>
          <t>0</t>
        </is>
      </c>
      <c r="CF922" t="inlineStr">
        <is>
          <t>Q2-W03</t>
        </is>
      </c>
      <c r="CG922"/>
      <c r="CH922"/>
      <c r="CI922"/>
      <c r="CJ922" t="inlineStr">
        <is>
          <t>Paid</t>
        </is>
      </c>
      <c r="CK922" t="inlineStr">
        <is>
          <t>Not Eligible</t>
        </is>
      </c>
      <c r="CL922"/>
      <c r="CM922"/>
    </row>
    <row r="923" ht="25.5" customHeight="1">
      <c r="A923" t="inlineStr">
        <is>
          <t>37664</t>
        </is>
      </c>
      <c r="B923" s="2"/>
      <c r="C923"/>
      <c r="D923" s="3">
        <v>46135.73552083333</v>
      </c>
      <c r="E923" t="inlineStr">
        <is>
          <t>Q2-W03</t>
        </is>
      </c>
      <c r="F923" t="inlineStr">
        <is>
          <t>Alan KY</t>
        </is>
      </c>
      <c r="G923" t="inlineStr">
        <is>
          <t>Customer</t>
        </is>
      </c>
      <c r="H923" s="2" t="str">
        <f>=HYPERLINK("https://upbox.ajobthing.my/customer/37664", "https://upbox.ajobthing.my/customer/37664")</f>
        <v>https://upbox.ajobthing.my/customer/37664</v>
      </c>
      <c r="I923" t="inlineStr">
        <is>
          <t>SAT Industries Sdn Bhd</t>
        </is>
      </c>
      <c r="J923" t="inlineStr">
        <is>
          <t>Dolphin</t>
        </is>
      </c>
      <c r="K923" t="inlineStr">
        <is>
          <t>Alan KY</t>
        </is>
      </c>
      <c r="L923" s="4"/>
      <c r="M923" s="4">
        <v>46135.75016203704</v>
      </c>
      <c r="N923"/>
      <c r="O923">
        <v>6048</v>
      </c>
      <c r="P923" s="4"/>
      <c r="Q923" s="4">
        <v>45777.76295138889</v>
      </c>
      <c r="R923"/>
      <c r="S923">
        <v>2916</v>
      </c>
      <c r="T923" s="4">
        <v>45777.76295138889</v>
      </c>
      <c r="U923" s="4"/>
      <c r="V923"/>
      <c r="W923">
        <v>2916</v>
      </c>
      <c r="X923"/>
      <c r="Y923" t="inlineStr">
        <is>
          <t>Pending Appointment</t>
        </is>
      </c>
      <c r="Z923" t="inlineStr">
        <is>
          <t>Continuous Hiring</t>
        </is>
      </c>
      <c r="AA923">
        <v>3</v>
      </c>
      <c r="AB923" t="inlineStr">
        <is>
          <t>No Appointment Made</t>
        </is>
      </c>
      <c r="AC923"/>
      <c r="AD923" t="inlineStr">
        <is>
          <t xml:space="preserve">2 assistant sales engineer 
1 Marketing assistant 
Perak </t>
        </is>
      </c>
      <c r="AE923"/>
      <c r="AF923"/>
      <c r="AG923" s="4"/>
      <c r="AH923" s="4"/>
      <c r="AI923"/>
      <c r="AJ923">
        <v>1</v>
      </c>
      <c r="AK923" t="inlineStr">
        <is>
          <t>No, I don't need at all</t>
        </is>
      </c>
      <c r="AL923">
        <v>0</v>
      </c>
      <c r="AM923" t="inlineStr">
        <is>
          <t>No, I don't need at all</t>
        </is>
      </c>
      <c r="AN923"/>
      <c r="AO923" t="inlineStr">
        <is>
          <t>No, I don't need at all</t>
        </is>
      </c>
      <c r="AP923" t="inlineStr">
        <is>
          <t>Once per quarter (75%)</t>
        </is>
      </c>
      <c r="AQ923"/>
      <c r="AR923" t="inlineStr">
        <is>
          <t>Jobstreet</t>
        </is>
      </c>
      <c r="AS923" t="inlineStr">
        <is>
          <t>- Headcount: 3.
- Hiring Job Details: 2 assistant sales engineer, 1 Marketing assistant (Perak).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923">
        <v>95</v>
      </c>
      <c r="AU923" t="inlineStr">
        <is>
          <t>0.95</t>
        </is>
      </c>
      <c r="AV923" t="inlineStr">
        <is>
          <t>5</t>
        </is>
      </c>
      <c r="AW923" t="inlineStr">
        <is>
          <t>0</t>
        </is>
      </c>
      <c r="AX923" t="inlineStr">
        <is>
          <t>Not Qualified</t>
        </is>
      </c>
      <c r="AY923" s="4"/>
      <c r="AZ923"/>
      <c r="BA923"/>
      <c r="BB923"/>
      <c r="BC923" t="inlineStr">
        <is>
          <t>Boss not around, get back to me next month mid</t>
        </is>
      </c>
      <c r="BD923" s="4">
        <v>46141.63890046296</v>
      </c>
      <c r="BE923" t="inlineStr">
        <is>
          <t>paid</t>
        </is>
      </c>
      <c r="BF923"/>
      <c r="BG923" t="inlineStr">
        <is>
          <t>Reschedule</t>
        </is>
      </c>
      <c r="BH923" t="inlineStr">
        <is>
          <t>Reagen</t>
        </is>
      </c>
      <c r="BI923" t="inlineStr">
        <is>
          <t>Heavy Industrial / Machinery</t>
        </is>
      </c>
      <c r="BJ923" s="4">
        <v>46144.75480324074</v>
      </c>
      <c r="BK923" s="4">
        <v>42879.37603009259</v>
      </c>
      <c r="BL923" t="inlineStr">
        <is>
          <t>2916.0</t>
        </is>
      </c>
      <c r="BM923" t="inlineStr">
        <is>
          <t>0.0</t>
        </is>
      </c>
      <c r="BN923" t="inlineStr">
        <is>
          <t>User Visit(Logged In)</t>
        </is>
      </c>
      <c r="BO923" s="4">
        <v>46141.382048611114</v>
      </c>
      <c r="BP923">
        <v>168668</v>
      </c>
      <c r="BQ923">
        <v>78928</v>
      </c>
      <c r="BR923" t="inlineStr">
        <is>
          <t>Online</t>
        </is>
      </c>
      <c r="BS923"/>
      <c r="BT923">
        <v>78928</v>
      </c>
      <c r="BU923"/>
      <c r="BV923">
        <v>2735591</v>
      </c>
      <c r="BW923" t="inlineStr">
        <is>
          <t>Follow Up : Decision Pending</t>
        </is>
      </c>
      <c r="BX923"/>
      <c r="BY923"/>
      <c r="BZ923" s="4"/>
      <c r="CA923"/>
      <c r="CB923"/>
      <c r="CC923" s="4"/>
      <c r="CD923" t="inlineStr">
        <is>
          <t>5</t>
        </is>
      </c>
      <c r="CE923" t="inlineStr">
        <is>
          <t>0</t>
        </is>
      </c>
      <c r="CF923" t="inlineStr">
        <is>
          <t>Q2-W03</t>
        </is>
      </c>
      <c r="CG923"/>
      <c r="CH923"/>
      <c r="CI923"/>
      <c r="CJ923" t="inlineStr">
        <is>
          <t>Paid</t>
        </is>
      </c>
      <c r="CK923" t="inlineStr">
        <is>
          <t>Not Eligible</t>
        </is>
      </c>
      <c r="CL923"/>
      <c r="CM923"/>
    </row>
    <row r="924" ht="25.5" customHeight="1">
      <c r="A924" t="inlineStr">
        <is>
          <t>4315630</t>
        </is>
      </c>
      <c r="B924" s="2"/>
      <c r="C924"/>
      <c r="D924" s="3">
        <v>46135.73694444444</v>
      </c>
      <c r="E924" t="inlineStr">
        <is>
          <t>Q2-W03</t>
        </is>
      </c>
      <c r="F924" t="inlineStr">
        <is>
          <t>Jess</t>
        </is>
      </c>
      <c r="G924" t="inlineStr">
        <is>
          <t>Lead</t>
        </is>
      </c>
      <c r="H924" s="2" t="str">
        <f>=HYPERLINK("https://upbox.ajobthing.my/leads/4315630", "https://upbox.ajobthing.my/leads/4315630")</f>
        <v>https://upbox.ajobthing.my/leads/4315630</v>
      </c>
      <c r="I924" t="inlineStr">
        <is>
          <t>OSAKA INK (M) SDN BHD</t>
        </is>
      </c>
      <c r="J924" t="inlineStr">
        <is>
          <t>Dolphin</t>
        </is>
      </c>
      <c r="K924" t="inlineStr">
        <is>
          <t>Jess Lim</t>
        </is>
      </c>
      <c r="L924" s="4"/>
      <c r="M924" s="4">
        <v>46135.73751157407</v>
      </c>
      <c r="N924"/>
      <c r="O924">
        <v>3888</v>
      </c>
      <c r="P924" s="4"/>
      <c r="Q924" s="4"/>
      <c r="R924"/>
      <c r="S924"/>
      <c r="T924" s="4"/>
      <c r="U924" s="4"/>
      <c r="V924"/>
      <c r="W924"/>
      <c r="X924"/>
      <c r="Y924" t="inlineStr">
        <is>
          <t>Pending Appointment</t>
        </is>
      </c>
      <c r="Z924" t="inlineStr">
        <is>
          <t>Hiring Now</t>
        </is>
      </c>
      <c r="AA924">
        <v>1</v>
      </c>
      <c r="AB924" t="inlineStr">
        <is>
          <t>No Appointment Made</t>
        </is>
      </c>
      <c r="AC924"/>
      <c r="AD924" t="inlineStr">
        <is>
          <t xml:space="preserve">Ink Dispenser controller/ 1 </t>
        </is>
      </c>
      <c r="AE924"/>
      <c r="AF924">
        <v>1200</v>
      </c>
      <c r="AG924" s="4"/>
      <c r="AH924" s="4"/>
      <c r="AI924"/>
      <c r="AJ924">
        <v>1</v>
      </c>
      <c r="AK924" t="inlineStr">
        <is>
          <t>Yes, I have</t>
        </is>
      </c>
      <c r="AL924">
        <v>1</v>
      </c>
      <c r="AM924" t="inlineStr">
        <is>
          <t>No, I don't need at all</t>
        </is>
      </c>
      <c r="AN924"/>
      <c r="AO924" t="inlineStr">
        <is>
          <t>No, I don't need at all</t>
        </is>
      </c>
      <c r="AP924" t="inlineStr">
        <is>
          <t>Once a year (25%)</t>
        </is>
      </c>
      <c r="AQ924"/>
      <c r="AR924" t="inlineStr">
        <is>
          <t>Free Job Portal</t>
        </is>
      </c>
      <c r="AS924" t="inlineStr">
        <is>
          <t>- Headcount: 1
- Hiring Job Details: 1 Ink Dispenser controller
- Hiring Urgency: Hiring Now
- Number of outlets: 1
- Have recruiter team: Yes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Free Job Portal</t>
        </is>
      </c>
      <c r="AT924">
        <v>105</v>
      </c>
      <c r="AU924" t="inlineStr">
        <is>
          <t>1.05</t>
        </is>
      </c>
      <c r="AV924" t="inlineStr">
        <is>
          <t>15</t>
        </is>
      </c>
      <c r="AW924" t="inlineStr">
        <is>
          <t>0</t>
        </is>
      </c>
      <c r="AX924" t="inlineStr">
        <is>
          <t>Not Qualified</t>
        </is>
      </c>
      <c r="AY924" s="4"/>
      <c r="AZ924"/>
      <c r="BA924"/>
      <c r="BB924"/>
      <c r="BC924"/>
      <c r="BD924" s="4"/>
      <c r="BE924"/>
      <c r="BF924"/>
      <c r="BG924" t="inlineStr">
        <is>
          <t>Reschedule</t>
        </is>
      </c>
      <c r="BH924" t="inlineStr">
        <is>
          <t>Fauziah Maharan</t>
        </is>
      </c>
      <c r="BI924"/>
      <c r="BJ924" s="4">
        <v>46144.755902777775</v>
      </c>
      <c r="BK924" s="4">
        <v>46135.555763888886</v>
      </c>
      <c r="BL924" t="inlineStr">
        <is>
          <t>0.0</t>
        </is>
      </c>
      <c r="BM924" t="inlineStr">
        <is>
          <t>0.0</t>
        </is>
      </c>
      <c r="BN924"/>
      <c r="BO924" s="4"/>
      <c r="BP924">
        <v>168661</v>
      </c>
      <c r="BQ924"/>
      <c r="BR924"/>
      <c r="BS924"/>
      <c r="BT924"/>
      <c r="BU924"/>
      <c r="BV924"/>
      <c r="BW924"/>
      <c r="BX924"/>
      <c r="BY924"/>
      <c r="BZ924" s="4"/>
      <c r="CA924"/>
      <c r="CB924"/>
      <c r="CC924" s="4"/>
      <c r="CD924" t="inlineStr">
        <is>
          <t>20</t>
        </is>
      </c>
      <c r="CE924" t="inlineStr">
        <is>
          <t>0</t>
        </is>
      </c>
      <c r="CF924" t="inlineStr">
        <is>
          <t>Q2-W03</t>
        </is>
      </c>
      <c r="CG924"/>
      <c r="CH924"/>
      <c r="CI924"/>
      <c r="CJ924" t="inlineStr">
        <is>
          <t>No Paid</t>
        </is>
      </c>
      <c r="CK924" t="inlineStr">
        <is>
          <t>Not Eligible</t>
        </is>
      </c>
      <c r="CL924"/>
      <c r="CM924"/>
    </row>
    <row r="925" ht="25.5" customHeight="1">
      <c r="A925" t="inlineStr">
        <is>
          <t>188172</t>
        </is>
      </c>
      <c r="B925" s="2"/>
      <c r="C925"/>
      <c r="D925" s="3">
        <v>46135.739328703705</v>
      </c>
      <c r="E925" t="inlineStr">
        <is>
          <t>Q2-W03</t>
        </is>
      </c>
      <c r="F925" t="inlineStr">
        <is>
          <t>Fariz</t>
        </is>
      </c>
      <c r="G925" t="inlineStr">
        <is>
          <t>Customer</t>
        </is>
      </c>
      <c r="H925" s="2" t="str">
        <f>=HYPERLINK("https://upbox.ajobthing.my/customer/188172", "https://upbox.ajobthing.my/customer/188172")</f>
        <v>https://upbox.ajobthing.my/customer/188172</v>
      </c>
      <c r="I925" t="inlineStr">
        <is>
          <t>Fraser Agri Foods Sdn Bhd</t>
        </is>
      </c>
      <c r="J925" t="inlineStr">
        <is>
          <t>Dolphin</t>
        </is>
      </c>
      <c r="K925" t="inlineStr">
        <is>
          <t>Fariz</t>
        </is>
      </c>
      <c r="L925" s="4"/>
      <c r="M925" s="4">
        <v>46135.73947916667</v>
      </c>
      <c r="N925"/>
      <c r="O925">
        <v>3888</v>
      </c>
      <c r="P925" s="4"/>
      <c r="Q925" s="4">
        <v>45715.46465277778</v>
      </c>
      <c r="R925"/>
      <c r="S925">
        <v>864</v>
      </c>
      <c r="T925" s="4">
        <v>45715.46465277778</v>
      </c>
      <c r="U925" s="4"/>
      <c r="V925"/>
      <c r="W925">
        <v>864</v>
      </c>
      <c r="X925"/>
      <c r="Y925" t="inlineStr">
        <is>
          <t>Pending Appointment</t>
        </is>
      </c>
      <c r="Z925" t="inlineStr">
        <is>
          <t>Hiring Later</t>
        </is>
      </c>
      <c r="AA925">
        <v>2</v>
      </c>
      <c r="AB925" t="inlineStr">
        <is>
          <t>No Appointment Made</t>
        </is>
      </c>
      <c r="AC925"/>
      <c r="AD925" t="inlineStr">
        <is>
          <t>2 sales</t>
        </is>
      </c>
      <c r="AE925"/>
      <c r="AF925">
        <v>3600</v>
      </c>
      <c r="AG925" s="4"/>
      <c r="AH925" s="4"/>
      <c r="AI925">
        <v>4000</v>
      </c>
      <c r="AJ925"/>
      <c r="AK925" t="inlineStr">
        <is>
          <t>No, but I want in future</t>
        </is>
      </c>
      <c r="AL925">
        <v>1</v>
      </c>
      <c r="AM925" t="inlineStr">
        <is>
          <t>No, but I want in future</t>
        </is>
      </c>
      <c r="AN925"/>
      <c r="AO925" t="inlineStr">
        <is>
          <t>Yes, I have</t>
        </is>
      </c>
      <c r="AP925" t="inlineStr">
        <is>
          <t>Twice a year (50%)</t>
        </is>
      </c>
      <c r="AQ925">
        <v>4</v>
      </c>
      <c r="AR925" t="inlineStr">
        <is>
          <t>Did not use any job portal</t>
        </is>
      </c>
      <c r="AS925" t="inlineStr">
        <is>
          <t>- Headcount: 2
- Hiring Job Details: 2 sales
- Hiring Urgency: Hiring Later
- Number of outlets: 
- Have recruiter team: No, but I want in future
- Number of recruiter in company: 1
- Have ATS system: No, but I want in future
- Have career website: Yes
- Current hiring budget: RM3,600
- Whole year budget: RM4,000.00
- Whole year number of vacancies: 4
- Hiring frequency: Twice a year (50%)
- External job portal: Did not use any job portal</t>
        </is>
      </c>
      <c r="AT925">
        <v>85</v>
      </c>
      <c r="AU925" t="inlineStr">
        <is>
          <t>0.85</t>
        </is>
      </c>
      <c r="AV925" t="inlineStr">
        <is>
          <t>15</t>
        </is>
      </c>
      <c r="AW925" t="inlineStr">
        <is>
          <t>0</t>
        </is>
      </c>
      <c r="AX925" t="inlineStr">
        <is>
          <t>Not Qualified</t>
        </is>
      </c>
      <c r="AY925" s="4"/>
      <c r="AZ925"/>
      <c r="BA925"/>
      <c r="BB925"/>
      <c r="BC925" t="inlineStr">
        <is>
          <t>+60 11-3328 3788 - previously talk to graham using this number
FU - NA</t>
        </is>
      </c>
      <c r="BD925" s="4">
        <v>46142.759351851855</v>
      </c>
      <c r="BE925" t="inlineStr">
        <is>
          <t>paid</t>
        </is>
      </c>
      <c r="BF925"/>
      <c r="BG925" t="inlineStr">
        <is>
          <t>Reschedule</t>
        </is>
      </c>
      <c r="BH925" t="inlineStr">
        <is>
          <t>Edward Hoo</t>
        </is>
      </c>
      <c r="BI925" t="inlineStr">
        <is>
          <t>Agriculture / Poultry / Fisheries</t>
        </is>
      </c>
      <c r="BJ925" s="4">
        <v>46144.752222222225</v>
      </c>
      <c r="BK925" s="4">
        <v>45714.46288194445</v>
      </c>
      <c r="BL925" t="inlineStr">
        <is>
          <t>0.0</t>
        </is>
      </c>
      <c r="BM925" t="inlineStr">
        <is>
          <t>0.0</t>
        </is>
      </c>
      <c r="BN925" t="inlineStr">
        <is>
          <t>PA Email CTA Click</t>
        </is>
      </c>
      <c r="BO925" s="4">
        <v>45798.47510416667</v>
      </c>
      <c r="BP925">
        <v>168662</v>
      </c>
      <c r="BQ925">
        <v>5622</v>
      </c>
      <c r="BR925" t="inlineStr">
        <is>
          <t>Manual (Paid)</t>
        </is>
      </c>
      <c r="BS925" t="inlineStr">
        <is>
          <t>Ala Carte Single
- Ala Carte Single with Booster Plus
- 1 Job Ad will be published on Maukerja, Ricebowl, Facebook, Google and LinkedIn
- 1 Booster Plus (8 times bump up)
- 1 Job Ad will be published for 45 days
- Job will extend 10 days if applicant less than 20
- Package valid for 1 month</t>
        </is>
      </c>
      <c r="BT925">
        <v>5622</v>
      </c>
      <c r="BU925"/>
      <c r="BV925">
        <v>2738515</v>
      </c>
      <c r="BW925" t="inlineStr">
        <is>
          <t>No Answer : Voicemail - WA sent to customer</t>
        </is>
      </c>
      <c r="BX925"/>
      <c r="BY925"/>
      <c r="BZ925" s="4"/>
      <c r="CA925"/>
      <c r="CB925"/>
      <c r="CC925" s="4"/>
      <c r="CD925" t="inlineStr">
        <is>
          <t>20</t>
        </is>
      </c>
      <c r="CE925" t="inlineStr">
        <is>
          <t>0</t>
        </is>
      </c>
      <c r="CF925" t="inlineStr">
        <is>
          <t>Q2-W03</t>
        </is>
      </c>
      <c r="CG925"/>
      <c r="CH925"/>
      <c r="CI925"/>
      <c r="CJ925" t="inlineStr">
        <is>
          <t>Paid</t>
        </is>
      </c>
      <c r="CK925" t="inlineStr">
        <is>
          <t>Not Eligible</t>
        </is>
      </c>
      <c r="CL925"/>
      <c r="CM925"/>
    </row>
    <row r="926" ht="25.5" customHeight="1">
      <c r="A926" t="inlineStr">
        <is>
          <t>97448</t>
        </is>
      </c>
      <c r="B926" s="2"/>
      <c r="C926"/>
      <c r="D926" s="3">
        <v>46135.75292824074</v>
      </c>
      <c r="E926" t="inlineStr">
        <is>
          <t>Q2-W03</t>
        </is>
      </c>
      <c r="F926" t="inlineStr">
        <is>
          <t>Fariz</t>
        </is>
      </c>
      <c r="G926" t="inlineStr">
        <is>
          <t>Customer</t>
        </is>
      </c>
      <c r="H926" s="2" t="str">
        <f>=HYPERLINK("https://upbox.ajobthing.my/customer/97448", "https://upbox.ajobthing.my/customer/97448")</f>
        <v>https://upbox.ajobthing.my/customer/97448</v>
      </c>
      <c r="I926" t="inlineStr">
        <is>
          <t>Rhumajaya Sea Products Sdn Bhd</t>
        </is>
      </c>
      <c r="J926" t="inlineStr">
        <is>
          <t>Dolphin</t>
        </is>
      </c>
      <c r="K926" t="inlineStr">
        <is>
          <t>Fariz</t>
        </is>
      </c>
      <c r="L926" s="4"/>
      <c r="M926" s="4">
        <v>46135.75314814815</v>
      </c>
      <c r="N926"/>
      <c r="O926">
        <v>3888</v>
      </c>
      <c r="P926" s="4"/>
      <c r="Q926" s="4">
        <v>43426.057962962965</v>
      </c>
      <c r="R926"/>
      <c r="S926">
        <v>424</v>
      </c>
      <c r="T926" s="4">
        <v>43426.057962962965</v>
      </c>
      <c r="U926" s="4"/>
      <c r="V926"/>
      <c r="W926">
        <v>424</v>
      </c>
      <c r="X926"/>
      <c r="Y926" t="inlineStr">
        <is>
          <t>Pending Appointment</t>
        </is>
      </c>
      <c r="Z926" t="inlineStr">
        <is>
          <t>Hiring Later</t>
        </is>
      </c>
      <c r="AA926">
        <v>1</v>
      </c>
      <c r="AB926" t="inlineStr">
        <is>
          <t>No Appointment Made</t>
        </is>
      </c>
      <c r="AC926"/>
      <c r="AD926" t="inlineStr">
        <is>
          <t>1 admin</t>
        </is>
      </c>
      <c r="AE926"/>
      <c r="AF926">
        <v>3600</v>
      </c>
      <c r="AG926" s="4"/>
      <c r="AH926" s="4"/>
      <c r="AI926">
        <v>3000</v>
      </c>
      <c r="AJ926"/>
      <c r="AK926" t="inlineStr">
        <is>
          <t>No, but I want in future</t>
        </is>
      </c>
      <c r="AL926">
        <v>1</v>
      </c>
      <c r="AM926" t="inlineStr">
        <is>
          <t>No, I don't need at all</t>
        </is>
      </c>
      <c r="AN926"/>
      <c r="AO926" t="inlineStr">
        <is>
          <t>Yes, I have</t>
        </is>
      </c>
      <c r="AP926" t="inlineStr">
        <is>
          <t>Once a year (25%)</t>
        </is>
      </c>
      <c r="AQ926">
        <v>2</v>
      </c>
      <c r="AR926" t="inlineStr">
        <is>
          <t>Jobstreet, Free Job Portal, Indeed (Paid)</t>
        </is>
      </c>
      <c r="AS926" t="inlineStr">
        <is>
          <t>- Headcount: 1
- Hiring Job Details: 1 admin
- Hiring Urgency: Hiring Later
- Number of outlets: N/A
- Have recruiter team: No, but want in future
- Number of recruiter in company: 1
- Have ATS system: No, I don't need at all
- Have career website: Yes
- Current hiring budget: RM3,600
- Whole year budget: RM3,000.00
- Whole year number of vacancies: 2
- Hiring frequency: Once a year (25%)
- External job portal: Jobstreet, Free Job Portal, Indeed (Paid)</t>
        </is>
      </c>
      <c r="AT926">
        <v>95</v>
      </c>
      <c r="AU926" t="inlineStr">
        <is>
          <t>0.95</t>
        </is>
      </c>
      <c r="AV926" t="inlineStr">
        <is>
          <t>15</t>
        </is>
      </c>
      <c r="AW926" t="inlineStr">
        <is>
          <t>0</t>
        </is>
      </c>
      <c r="AX926" t="inlineStr">
        <is>
          <t>Not Qualified</t>
        </is>
      </c>
      <c r="AY926" s="4"/>
      <c r="AZ926"/>
      <c r="BA926"/>
      <c r="BB926"/>
      <c r="BC926" t="inlineStr">
        <is>
          <t>- Headcount: 1
- Hiring Job Details: 1 admin
- Hiring Urgency: Hiring Later
- Number of outlets: N/A
- Have recruiter team: No, but want in future
- Number of recruiter in company: 1
- Have ATS system: No, I don't need at all
- Have career website: Yes
- Current hiring budget: RM3,600
- Whole year budget: RM3,000.00
- Whole year number of vacancies: 2
- Hiring frequency: Once a year (25%)
- External job portal: Jobstreet, Free Job Portal, Indeed (Paid)</t>
        </is>
      </c>
      <c r="BD926" s="4">
        <v>46135.79173611111</v>
      </c>
      <c r="BE926" t="inlineStr">
        <is>
          <t>paid</t>
        </is>
      </c>
      <c r="BF926"/>
      <c r="BG926" t="inlineStr">
        <is>
          <t>Reschedule</t>
        </is>
      </c>
      <c r="BH926" t="inlineStr">
        <is>
          <t>Edward Hoo</t>
        </is>
      </c>
      <c r="BI926"/>
      <c r="BJ926" s="4">
        <v>46144.756157407406</v>
      </c>
      <c r="BK926" s="4">
        <v>43425.37986111111</v>
      </c>
      <c r="BL926" t="inlineStr">
        <is>
          <t>0.0</t>
        </is>
      </c>
      <c r="BM926" t="inlineStr">
        <is>
          <t>0.0</t>
        </is>
      </c>
      <c r="BN926" t="inlineStr">
        <is>
          <t>User Visit(Logged In)</t>
        </is>
      </c>
      <c r="BO926" s="4">
        <v>45818.40526620371</v>
      </c>
      <c r="BP926">
        <v>168674</v>
      </c>
      <c r="BQ926">
        <v>15133</v>
      </c>
      <c r="BR926" t="inlineStr">
        <is>
          <t>Online</t>
        </is>
      </c>
      <c r="BS926"/>
      <c r="BT926">
        <v>15133</v>
      </c>
      <c r="BU926"/>
      <c r="BV926">
        <v>2725277</v>
      </c>
      <c r="BW926" t="inlineStr">
        <is>
          <t>Customer Inquiry</t>
        </is>
      </c>
      <c r="BX926"/>
      <c r="BY926"/>
      <c r="BZ926" s="4"/>
      <c r="CA926"/>
      <c r="CB926"/>
      <c r="CC926" s="4"/>
      <c r="CD926" t="inlineStr">
        <is>
          <t>20</t>
        </is>
      </c>
      <c r="CE926" t="inlineStr">
        <is>
          <t>0</t>
        </is>
      </c>
      <c r="CF926" t="inlineStr">
        <is>
          <t>Q2-W03</t>
        </is>
      </c>
      <c r="CG926"/>
      <c r="CH926"/>
      <c r="CI926"/>
      <c r="CJ926" t="inlineStr">
        <is>
          <t>Paid</t>
        </is>
      </c>
      <c r="CK926" t="inlineStr">
        <is>
          <t>Not Eligible</t>
        </is>
      </c>
      <c r="CL926"/>
      <c r="CM926"/>
    </row>
    <row r="927" ht="25.5" customHeight="1">
      <c r="A927" t="inlineStr">
        <is>
          <t>191429</t>
        </is>
      </c>
      <c r="B927" s="2"/>
      <c r="C927"/>
      <c r="D927" s="3">
        <v>46135.76363425926</v>
      </c>
      <c r="E927" t="inlineStr">
        <is>
          <t>Q2-W03</t>
        </is>
      </c>
      <c r="F927" t="inlineStr">
        <is>
          <t>Angel  Low</t>
        </is>
      </c>
      <c r="G927" t="inlineStr">
        <is>
          <t>Customer</t>
        </is>
      </c>
      <c r="H927" s="2" t="str">
        <f>=HYPERLINK("https://upbox.ajobthing.my/customer/191429", "https://upbox.ajobthing.my/customer/191429")</f>
        <v>https://upbox.ajobthing.my/customer/191429</v>
      </c>
      <c r="I927" t="inlineStr">
        <is>
          <t>Creativious Sdn. Bhd.</t>
        </is>
      </c>
      <c r="J927" t="inlineStr">
        <is>
          <t>Dolphin</t>
        </is>
      </c>
      <c r="K927" t="inlineStr">
        <is>
          <t>Angel Low</t>
        </is>
      </c>
      <c r="L927" s="4"/>
      <c r="M927" s="4">
        <v>46135.764074074075</v>
      </c>
      <c r="N927"/>
      <c r="O927">
        <v>3672</v>
      </c>
      <c r="P927" s="4"/>
      <c r="Q927" s="4">
        <v>45824.72248842593</v>
      </c>
      <c r="R927"/>
      <c r="S927">
        <v>3238.92</v>
      </c>
      <c r="T927" s="4">
        <v>45824.72248842593</v>
      </c>
      <c r="U927" s="4"/>
      <c r="V927"/>
      <c r="W927">
        <v>3238.92</v>
      </c>
      <c r="X927"/>
      <c r="Y927" t="inlineStr">
        <is>
          <t>Pending Appointment</t>
        </is>
      </c>
      <c r="Z927"/>
      <c r="AA927">
        <v>1</v>
      </c>
      <c r="AB927" t="inlineStr">
        <is>
          <t>No Appointment Made</t>
        </is>
      </c>
      <c r="AC927"/>
      <c r="AD927" t="inlineStr">
        <is>
          <t xml:space="preserve">live host </t>
        </is>
      </c>
      <c r="AE927"/>
      <c r="AF927"/>
      <c r="AG927" s="4"/>
      <c r="AH927" s="4"/>
      <c r="AI927"/>
      <c r="AJ927"/>
      <c r="AK927"/>
      <c r="AL927"/>
      <c r="AM927"/>
      <c r="AN927"/>
      <c r="AO927"/>
      <c r="AP927"/>
      <c r="AQ927"/>
      <c r="AR927"/>
      <c r="AS927" t="inlineStr">
        <is>
          <t>- Headcount: 1
- Hiring Job Details: live host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is>
      </c>
      <c r="AT927">
        <v>60</v>
      </c>
      <c r="AU927" t="inlineStr">
        <is>
          <t>0.60</t>
        </is>
      </c>
      <c r="AV927" t="inlineStr">
        <is>
          <t>5</t>
        </is>
      </c>
      <c r="AW927" t="inlineStr">
        <is>
          <t>0</t>
        </is>
      </c>
      <c r="AX927" t="inlineStr">
        <is>
          <t>Not Qualified</t>
        </is>
      </c>
      <c r="AY927" s="4"/>
      <c r="AZ927"/>
      <c r="BA927"/>
      <c r="BB927"/>
      <c r="BC927" t="inlineStr">
        <is>
          <t>- Headcount: 1
- Hiring Job Details: live host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is>
      </c>
      <c r="BD927" s="4">
        <v>46135.79173611111</v>
      </c>
      <c r="BE927" t="inlineStr">
        <is>
          <t>paid</t>
        </is>
      </c>
      <c r="BF927"/>
      <c r="BG927" t="inlineStr">
        <is>
          <t>Reschedule</t>
        </is>
      </c>
      <c r="BH927" t="inlineStr">
        <is>
          <t>Fauziah Maharan</t>
        </is>
      </c>
      <c r="BI927" t="inlineStr">
        <is>
          <t>Entertainment / Media</t>
        </is>
      </c>
      <c r="BJ927" s="4">
        <v>46144.752430555556</v>
      </c>
      <c r="BK927" s="4">
        <v>45796.45793981481</v>
      </c>
      <c r="BL927" t="inlineStr">
        <is>
          <t>3239.0</t>
        </is>
      </c>
      <c r="BM927" t="inlineStr">
        <is>
          <t>0.0</t>
        </is>
      </c>
      <c r="BN927" t="inlineStr">
        <is>
          <t>View Company Page</t>
        </is>
      </c>
      <c r="BO927" s="4">
        <v>46140.655277777776</v>
      </c>
      <c r="BP927">
        <v>168680</v>
      </c>
      <c r="BQ927">
        <v>5926</v>
      </c>
      <c r="BR927" t="inlineStr">
        <is>
          <t>Manual (Paid)</t>
        </is>
      </c>
      <c r="BS927" t="inlineStr">
        <is>
          <t>Yearly Standard Plan
- Yearly Standard Plan of 3 Instant Job Ads + 3 Free Instant Job Ads with Booster
- 6 Instant Job Ads will be published on Maukerja, Ricebowl, and our partner platforms
- 6 Instant Job Ads will be published for 45 days
- 6 Booster Plus (8 times bump up)
- 60 People Search
- Free up to 60 AI Recommended Profiles
- Premium Company Page for 12 months
- Package valid for 12 months
*Special upgrade to AI - RM99</t>
        </is>
      </c>
      <c r="BT927">
        <v>5926</v>
      </c>
      <c r="BU927"/>
      <c r="BV927">
        <v>2725279</v>
      </c>
      <c r="BW927" t="inlineStr">
        <is>
          <t>Customer Inquiry</t>
        </is>
      </c>
      <c r="BX927">
        <v>6</v>
      </c>
      <c r="BY927">
        <v>0</v>
      </c>
      <c r="BZ927" s="4">
        <v>46112.53273148148</v>
      </c>
      <c r="CA927">
        <v>60</v>
      </c>
      <c r="CB927">
        <v>7</v>
      </c>
      <c r="CC927" s="4">
        <v>46134.52653935185</v>
      </c>
      <c r="CD927" t="inlineStr">
        <is>
          <t>5</t>
        </is>
      </c>
      <c r="CE927" t="inlineStr">
        <is>
          <t>0</t>
        </is>
      </c>
      <c r="CF927" t="inlineStr">
        <is>
          <t>Q2-W03</t>
        </is>
      </c>
      <c r="CG927"/>
      <c r="CH927"/>
      <c r="CI927"/>
      <c r="CJ927" t="inlineStr">
        <is>
          <t>Paid</t>
        </is>
      </c>
      <c r="CK927" t="inlineStr">
        <is>
          <t>Not Eligible</t>
        </is>
      </c>
      <c r="CL927"/>
      <c r="CM927"/>
    </row>
    <row r="928" ht="25.5" customHeight="1">
      <c r="A928" t="inlineStr">
        <is>
          <t>134456</t>
        </is>
      </c>
      <c r="B928" s="2"/>
      <c r="C928"/>
      <c r="D928" s="3">
        <v>46135.78465277778</v>
      </c>
      <c r="E928" t="inlineStr">
        <is>
          <t>Q2-W03</t>
        </is>
      </c>
      <c r="F928" t="inlineStr">
        <is>
          <t>Jess</t>
        </is>
      </c>
      <c r="G928" t="inlineStr">
        <is>
          <t>Customer</t>
        </is>
      </c>
      <c r="H928" s="2" t="str">
        <f>=HYPERLINK("https://upbox.ajobthing.my/customer/134456", "https://upbox.ajobthing.my/customer/134456")</f>
        <v>https://upbox.ajobthing.my/customer/134456</v>
      </c>
      <c r="I928" t="inlineStr">
        <is>
          <t>Famsy Sdn Bhd</t>
        </is>
      </c>
      <c r="J928" t="inlineStr">
        <is>
          <t>Dolphin</t>
        </is>
      </c>
      <c r="K928" t="inlineStr">
        <is>
          <t>Jess Lim</t>
        </is>
      </c>
      <c r="L928" s="4"/>
      <c r="M928" s="4">
        <v>46135.786527777775</v>
      </c>
      <c r="N928"/>
      <c r="O928">
        <v>3888</v>
      </c>
      <c r="P928" s="4"/>
      <c r="Q928" s="4"/>
      <c r="R928"/>
      <c r="S928"/>
      <c r="T928" s="4"/>
      <c r="U928" s="4"/>
      <c r="V928"/>
      <c r="W928"/>
      <c r="X928"/>
      <c r="Y928" t="inlineStr">
        <is>
          <t>Pending Appointment</t>
        </is>
      </c>
      <c r="Z928" t="inlineStr">
        <is>
          <t>Hiring Now</t>
        </is>
      </c>
      <c r="AA928">
        <v>1</v>
      </c>
      <c r="AB928" t="inlineStr">
        <is>
          <t>No Appointment Made</t>
        </is>
      </c>
      <c r="AC928"/>
      <c r="AD928" t="inlineStr">
        <is>
          <t>production specialist</t>
        </is>
      </c>
      <c r="AE928"/>
      <c r="AF928">
        <v>1000</v>
      </c>
      <c r="AG928" s="4"/>
      <c r="AH928" s="4"/>
      <c r="AI928"/>
      <c r="AJ928">
        <v>1</v>
      </c>
      <c r="AK928" t="inlineStr">
        <is>
          <t>Yes, I have</t>
        </is>
      </c>
      <c r="AL928">
        <v>1</v>
      </c>
      <c r="AM928" t="inlineStr">
        <is>
          <t>No, I don't need at all</t>
        </is>
      </c>
      <c r="AN928"/>
      <c r="AO928" t="inlineStr">
        <is>
          <t>No, I don't need at all</t>
        </is>
      </c>
      <c r="AP928" t="inlineStr">
        <is>
          <t>Once a year (25%)</t>
        </is>
      </c>
      <c r="AQ928"/>
      <c r="AR928" t="inlineStr">
        <is>
          <t>Jobstreet</t>
        </is>
      </c>
      <c r="AS928" t="inlineStr">
        <is>
          <t>- Headcount: 1
- Hiring Job Details: production specialist
- Hiring Urgency: Hiring Now
- Number of outlets: 1
- Have recruiter team: Yes
- Number of recruiter in company: 1
- Have ATS system: No, I don't need at all
- Have career website: No, I don't need at all
- Current hiring budget: RM1,000.00
- Whole year budget: Not available
- Whole year number of vacancies: Not available
- Hiring frequency: Once a year (25%)
- External job portal: Jobstreet</t>
        </is>
      </c>
      <c r="AT928">
        <v>110</v>
      </c>
      <c r="AU928" t="inlineStr">
        <is>
          <t>1.10</t>
        </is>
      </c>
      <c r="AV928" t="inlineStr">
        <is>
          <t>15</t>
        </is>
      </c>
      <c r="AW928" t="inlineStr">
        <is>
          <t>0</t>
        </is>
      </c>
      <c r="AX928" t="inlineStr">
        <is>
          <t>Not Qualified</t>
        </is>
      </c>
      <c r="AY928" s="4"/>
      <c r="AZ928"/>
      <c r="BA928"/>
      <c r="BB928"/>
      <c r="BC928" t="inlineStr">
        <is>
          <t>no pick up</t>
        </is>
      </c>
      <c r="BD928" s="4">
        <v>46139.63630787037</v>
      </c>
      <c r="BE928"/>
      <c r="BF928"/>
      <c r="BG928" t="inlineStr">
        <is>
          <t>Reschedule</t>
        </is>
      </c>
      <c r="BH928" t="inlineStr">
        <is>
          <t>Fauziah Maharan</t>
        </is>
      </c>
      <c r="BI928" t="inlineStr">
        <is>
          <t>Printing / Publishing</t>
        </is>
      </c>
      <c r="BJ928" s="4">
        <v>46144.75053240741</v>
      </c>
      <c r="BK928" s="4">
        <v>44245.501851851855</v>
      </c>
      <c r="BL928" t="inlineStr">
        <is>
          <t>0.0</t>
        </is>
      </c>
      <c r="BM928" t="inlineStr">
        <is>
          <t>3600.0</t>
        </is>
      </c>
      <c r="BN928" t="inlineStr">
        <is>
          <t>User Visit(Logged In)</t>
        </is>
      </c>
      <c r="BO928" s="4">
        <v>46139.66423611111</v>
      </c>
      <c r="BP928">
        <v>168684</v>
      </c>
      <c r="BQ928"/>
      <c r="BR928"/>
      <c r="BS928"/>
      <c r="BT928"/>
      <c r="BU928"/>
      <c r="BV928">
        <v>2730204</v>
      </c>
      <c r="BW928" t="inlineStr">
        <is>
          <t>No Answer : Voicemail - WA sent to customer</t>
        </is>
      </c>
      <c r="BX928"/>
      <c r="BY928"/>
      <c r="BZ928" s="4"/>
      <c r="CA928"/>
      <c r="CB928"/>
      <c r="CC928" s="4"/>
      <c r="CD928" t="inlineStr">
        <is>
          <t>20</t>
        </is>
      </c>
      <c r="CE928" t="inlineStr">
        <is>
          <t>0</t>
        </is>
      </c>
      <c r="CF928" t="inlineStr">
        <is>
          <t>Q2-W03</t>
        </is>
      </c>
      <c r="CG928"/>
      <c r="CH928"/>
      <c r="CI928"/>
      <c r="CJ928" t="inlineStr">
        <is>
          <t>No Paid</t>
        </is>
      </c>
      <c r="CK928" t="inlineStr">
        <is>
          <t>Not Eligible</t>
        </is>
      </c>
      <c r="CL928"/>
      <c r="CM928"/>
    </row>
    <row r="929" ht="25.5" customHeight="1">
      <c r="A929" t="inlineStr">
        <is>
          <t>4142896</t>
        </is>
      </c>
      <c r="B929" s="2"/>
      <c r="C929"/>
      <c r="D929" s="3">
        <v>46129.402349537035</v>
      </c>
      <c r="E929" t="inlineStr">
        <is>
          <t>Q2-W03</t>
        </is>
      </c>
      <c r="F929" t="inlineStr">
        <is>
          <t>Chia Yee</t>
        </is>
      </c>
      <c r="G929" t="inlineStr">
        <is>
          <t>Lead</t>
        </is>
      </c>
      <c r="H929" s="2" t="str">
        <f>=HYPERLINK("https://upbox.ajobthing.my/leads/4142896", "https://upbox.ajobthing.my/leads/4142896")</f>
        <v>https://upbox.ajobthing.my/leads/4142896</v>
      </c>
      <c r="I929" t="inlineStr">
        <is>
          <t>Nour Veterinary Services</t>
        </is>
      </c>
      <c r="J929" t="inlineStr">
        <is>
          <t>Small Fish</t>
        </is>
      </c>
      <c r="K929" t="inlineStr">
        <is>
          <t>Chia Yee</t>
        </is>
      </c>
      <c r="L929" s="4"/>
      <c r="M929" s="4">
        <v>46129.40282407407</v>
      </c>
      <c r="N929"/>
      <c r="O929">
        <v>4968</v>
      </c>
      <c r="P929" s="4"/>
      <c r="Q929" s="4"/>
      <c r="R929"/>
      <c r="S929"/>
      <c r="T929" s="4"/>
      <c r="U929" s="4"/>
      <c r="V929"/>
      <c r="W929"/>
      <c r="X929"/>
      <c r="Y929" t="inlineStr">
        <is>
          <t>Pending Appointment</t>
        </is>
      </c>
      <c r="Z929" t="inlineStr">
        <is>
          <t>Hiring Now</t>
        </is>
      </c>
      <c r="AA929">
        <v>6</v>
      </c>
      <c r="AB929" t="inlineStr">
        <is>
          <t>No Appointment Made</t>
        </is>
      </c>
      <c r="AC929"/>
      <c r="AD929" t="inlineStr">
        <is>
          <t>6 Vet assistant</t>
        </is>
      </c>
      <c r="AE929"/>
      <c r="AF929">
        <v>0</v>
      </c>
      <c r="AG929" s="4"/>
      <c r="AH929" s="4"/>
      <c r="AI929">
        <v>0</v>
      </c>
      <c r="AJ929">
        <v>2</v>
      </c>
      <c r="AK929" t="inlineStr">
        <is>
          <t>No, I don't need at all</t>
        </is>
      </c>
      <c r="AL929">
        <v>1</v>
      </c>
      <c r="AM929" t="inlineStr">
        <is>
          <t>No, I don't need at all</t>
        </is>
      </c>
      <c r="AN929"/>
      <c r="AO929" t="inlineStr">
        <is>
          <t>Yes, I have</t>
        </is>
      </c>
      <c r="AP929" t="inlineStr">
        <is>
          <t>Once a year (25%)</t>
        </is>
      </c>
      <c r="AQ929">
        <v>6</v>
      </c>
      <c r="AR929" t="inlineStr">
        <is>
          <t>Did not use any job portal</t>
        </is>
      </c>
      <c r="AS929" t="inlineStr">
        <is>
          <t>- Headcount: 6
- Hiring Job Details: 6 Vet assistant
- Hiring Urgency: Hiring Now
- Number of outlets: 2
- Have recruiter team: No, I don't need at all
- Number of recruiter in company: 1
- Have ATS system: No, I don't need at all
- Have career website: Yes, I have
- Current hiring budget: RM0
- Whole year budget: RM0.00
- Whole year number of vacancies: 6
- Hiring frequency: Once a year (25%)
- External job portal: Did not use any job portal</t>
        </is>
      </c>
      <c r="AT929">
        <v>120</v>
      </c>
      <c r="AU929" t="inlineStr">
        <is>
          <t>1.20</t>
        </is>
      </c>
      <c r="AV929" t="inlineStr">
        <is>
          <t>20</t>
        </is>
      </c>
      <c r="AW929" t="inlineStr">
        <is>
          <t>0</t>
        </is>
      </c>
      <c r="AX929" t="inlineStr">
        <is>
          <t>Not Qualified</t>
        </is>
      </c>
      <c r="AY929" s="4"/>
      <c r="AZ929"/>
      <c r="BA929"/>
      <c r="BB929"/>
      <c r="BC929"/>
      <c r="BD929" s="4"/>
      <c r="BE929"/>
      <c r="BF929"/>
      <c r="BG929" t="inlineStr">
        <is>
          <t>Reschedule</t>
        </is>
      </c>
      <c r="BH929" t="inlineStr">
        <is>
          <t>Reagen</t>
        </is>
      </c>
      <c r="BI929"/>
      <c r="BJ929" s="4">
        <v>46142.880844907406</v>
      </c>
      <c r="BK929" s="4">
        <v>46090.63491898148</v>
      </c>
      <c r="BL929" t="inlineStr">
        <is>
          <t>0.0</t>
        </is>
      </c>
      <c r="BM929" t="inlineStr">
        <is>
          <t>0.0</t>
        </is>
      </c>
      <c r="BN929"/>
      <c r="BO929" s="4"/>
      <c r="BP929">
        <v>167517</v>
      </c>
      <c r="BQ929"/>
      <c r="BR929"/>
      <c r="BS929"/>
      <c r="BT929"/>
      <c r="BU929"/>
      <c r="BV929"/>
      <c r="BW929"/>
      <c r="BX929"/>
      <c r="BY929"/>
      <c r="BZ929" s="4"/>
      <c r="CA929"/>
      <c r="CB929"/>
      <c r="CC929" s="4"/>
      <c r="CD929" t="inlineStr">
        <is>
          <t>30</t>
        </is>
      </c>
      <c r="CE929" t="inlineStr">
        <is>
          <t>0</t>
        </is>
      </c>
      <c r="CF929" t="inlineStr">
        <is>
          <t>Q2-W03</t>
        </is>
      </c>
      <c r="CG929"/>
      <c r="CH929"/>
      <c r="CI929"/>
      <c r="CJ929" t="inlineStr">
        <is>
          <t>No Paid</t>
        </is>
      </c>
      <c r="CK929" t="inlineStr">
        <is>
          <t>Not Eligible</t>
        </is>
      </c>
      <c r="CL929"/>
      <c r="CM929"/>
    </row>
    <row r="930" ht="25.5" customHeight="1">
      <c r="A930" t="inlineStr">
        <is>
          <t>4291059</t>
        </is>
      </c>
      <c r="B930" s="2"/>
      <c r="C930"/>
      <c r="D930" s="3">
        <v>46129.408842592595</v>
      </c>
      <c r="E930" t="inlineStr">
        <is>
          <t>Q2-W03</t>
        </is>
      </c>
      <c r="F930" t="inlineStr">
        <is>
          <t>Luqman</t>
        </is>
      </c>
      <c r="G930" t="inlineStr">
        <is>
          <t>Lead</t>
        </is>
      </c>
      <c r="H930" s="2" t="str">
        <f>=HYPERLINK("https://upbox.ajobthing.my/leads/4291059", "https://upbox.ajobthing.my/leads/4291059")</f>
        <v>https://upbox.ajobthing.my/leads/4291059</v>
      </c>
      <c r="I930" t="inlineStr">
        <is>
          <t>JES MANAGEMENT SERVICES</t>
        </is>
      </c>
      <c r="J930" t="inlineStr">
        <is>
          <t>Small Fish</t>
        </is>
      </c>
      <c r="K930" t="inlineStr">
        <is>
          <t>Luqman</t>
        </is>
      </c>
      <c r="L930" s="4"/>
      <c r="M930" s="4">
        <v>46129.40925925926</v>
      </c>
      <c r="N930"/>
      <c r="O930">
        <v>3888</v>
      </c>
      <c r="P930" s="4"/>
      <c r="Q930" s="4"/>
      <c r="R930"/>
      <c r="S930"/>
      <c r="T930" s="4"/>
      <c r="U930" s="4"/>
      <c r="V930"/>
      <c r="W930"/>
      <c r="X930"/>
      <c r="Y930" t="inlineStr">
        <is>
          <t>Pending Appointment</t>
        </is>
      </c>
      <c r="Z930" t="inlineStr">
        <is>
          <t>Hiring Now</t>
        </is>
      </c>
      <c r="AA930">
        <v>2</v>
      </c>
      <c r="AB930" t="inlineStr">
        <is>
          <t>No Appointment Made</t>
        </is>
      </c>
      <c r="AC930"/>
      <c r="AD930" t="inlineStr">
        <is>
          <t xml:space="preserve">1. Finance 2. Sales </t>
        </is>
      </c>
      <c r="AE930"/>
      <c r="AF930">
        <v>1200</v>
      </c>
      <c r="AG930" s="4"/>
      <c r="AH930" s="4"/>
      <c r="AI930">
        <v>1200</v>
      </c>
      <c r="AJ930"/>
      <c r="AK930" t="inlineStr">
        <is>
          <t>Yes, I have</t>
        </is>
      </c>
      <c r="AL930">
        <v>2</v>
      </c>
      <c r="AM930" t="inlineStr">
        <is>
          <t>No, I don't need at all</t>
        </is>
      </c>
      <c r="AN930"/>
      <c r="AO930" t="inlineStr">
        <is>
          <t>No, I don't need at all</t>
        </is>
      </c>
      <c r="AP930" t="inlineStr">
        <is>
          <t>Once a year (25%)</t>
        </is>
      </c>
      <c r="AQ930">
        <v>2</v>
      </c>
      <c r="AR930" t="inlineStr">
        <is>
          <t>Free Job Portal</t>
        </is>
      </c>
      <c r="AS930" t="inlineStr">
        <is>
          <t>- Headcount: 2
- Hiring Job Details: 1. Finance 2. Sales
- Hiring Urgency: Hiring Now
- Number of outlets: None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is>
      </c>
      <c r="AT930">
        <v>115</v>
      </c>
      <c r="AU930" t="inlineStr">
        <is>
          <t>1.15</t>
        </is>
      </c>
      <c r="AV930" t="inlineStr">
        <is>
          <t>15</t>
        </is>
      </c>
      <c r="AW930" t="inlineStr">
        <is>
          <t>0</t>
        </is>
      </c>
      <c r="AX930" t="inlineStr">
        <is>
          <t>Not Qualified</t>
        </is>
      </c>
      <c r="AY930" s="4"/>
      <c r="AZ930"/>
      <c r="BA930"/>
      <c r="BB930"/>
      <c r="BC930"/>
      <c r="BD930" s="4"/>
      <c r="BE930"/>
      <c r="BF930"/>
      <c r="BG930" t="inlineStr">
        <is>
          <t>Reschedule</t>
        </is>
      </c>
      <c r="BH930" t="inlineStr">
        <is>
          <t>Edward Hoo</t>
        </is>
      </c>
      <c r="BI930"/>
      <c r="BJ930" s="4">
        <v>46144.75585648148</v>
      </c>
      <c r="BK930" s="4">
        <v>46128.796377314815</v>
      </c>
      <c r="BL930" t="inlineStr">
        <is>
          <t>0.0</t>
        </is>
      </c>
      <c r="BM930" t="inlineStr">
        <is>
          <t>0.0</t>
        </is>
      </c>
      <c r="BN930"/>
      <c r="BO930" s="4"/>
      <c r="BP930">
        <v>167521</v>
      </c>
      <c r="BQ930"/>
      <c r="BR930"/>
      <c r="BS930"/>
      <c r="BT930"/>
      <c r="BU930"/>
      <c r="BV930"/>
      <c r="BW930"/>
      <c r="BX930"/>
      <c r="BY930"/>
      <c r="BZ930" s="4"/>
      <c r="CA930"/>
      <c r="CB930"/>
      <c r="CC930" s="4"/>
      <c r="CD930" t="inlineStr">
        <is>
          <t>20</t>
        </is>
      </c>
      <c r="CE930" t="inlineStr">
        <is>
          <t>0</t>
        </is>
      </c>
      <c r="CF930" t="inlineStr">
        <is>
          <t>Q2-W03</t>
        </is>
      </c>
      <c r="CG930"/>
      <c r="CH930"/>
      <c r="CI930"/>
      <c r="CJ930" t="inlineStr">
        <is>
          <t>No Paid</t>
        </is>
      </c>
      <c r="CK930" t="inlineStr">
        <is>
          <t>Not Eligible</t>
        </is>
      </c>
      <c r="CL930"/>
      <c r="CM930"/>
    </row>
    <row r="931" ht="25.5" customHeight="1">
      <c r="A931" t="inlineStr">
        <is>
          <t>4291060</t>
        </is>
      </c>
      <c r="B931" s="2"/>
      <c r="C931"/>
      <c r="D931" s="3">
        <v>46129.41234953704</v>
      </c>
      <c r="E931" t="inlineStr">
        <is>
          <t>Q2-W03</t>
        </is>
      </c>
      <c r="F931" t="inlineStr">
        <is>
          <t>Lucas</t>
        </is>
      </c>
      <c r="G931" t="inlineStr">
        <is>
          <t>Lead</t>
        </is>
      </c>
      <c r="H931" s="2" t="str">
        <f>=HYPERLINK("https://upbox.ajobthing.my/leads/4291060", "https://upbox.ajobthing.my/leads/4291060")</f>
        <v>https://upbox.ajobthing.my/leads/4291060</v>
      </c>
      <c r="I931" t="inlineStr">
        <is>
          <t>MY HEART CENTRE SDN BHD</t>
        </is>
      </c>
      <c r="J931" t="inlineStr">
        <is>
          <t>Small Fish</t>
        </is>
      </c>
      <c r="K931" t="inlineStr">
        <is>
          <t>Lucas</t>
        </is>
      </c>
      <c r="L931" s="4"/>
      <c r="M931" s="4">
        <v>46129.41106481481</v>
      </c>
      <c r="N931"/>
      <c r="O931">
        <v>3888</v>
      </c>
      <c r="P931" s="4"/>
      <c r="Q931" s="4"/>
      <c r="R931"/>
      <c r="S931"/>
      <c r="T931" s="4"/>
      <c r="U931" s="4"/>
      <c r="V931"/>
      <c r="W931"/>
      <c r="X931"/>
      <c r="Y931" t="inlineStr">
        <is>
          <t>Pending Appointment</t>
        </is>
      </c>
      <c r="Z931" t="inlineStr">
        <is>
          <t>Hiring Now</t>
        </is>
      </c>
      <c r="AA931">
        <v>1</v>
      </c>
      <c r="AB931" t="inlineStr">
        <is>
          <t>No Appointment Made</t>
        </is>
      </c>
      <c r="AC931"/>
      <c r="AD931" t="inlineStr">
        <is>
          <t>1 clinic assistance</t>
        </is>
      </c>
      <c r="AE931"/>
      <c r="AF931">
        <v>0</v>
      </c>
      <c r="AG931" s="4"/>
      <c r="AH931" s="4"/>
      <c r="AI931">
        <v>0</v>
      </c>
      <c r="AJ931"/>
      <c r="AK931" t="inlineStr">
        <is>
          <t>No, I don't need at all</t>
        </is>
      </c>
      <c r="AL931">
        <v>0</v>
      </c>
      <c r="AM931" t="inlineStr">
        <is>
          <t>No, I don't need at all</t>
        </is>
      </c>
      <c r="AN931"/>
      <c r="AO931" t="inlineStr">
        <is>
          <t>No, I don't need at all</t>
        </is>
      </c>
      <c r="AP931" t="inlineStr">
        <is>
          <t>Once a year (25%)</t>
        </is>
      </c>
      <c r="AQ931">
        <v>1</v>
      </c>
      <c r="AR931" t="inlineStr">
        <is>
          <t>Did not use any job portal</t>
        </is>
      </c>
      <c r="AS931" t="inlineStr">
        <is>
          <t>- Headcount: 1
- Hiring Job Details: 1 clinic assistance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931">
        <v>105</v>
      </c>
      <c r="AU931" t="inlineStr">
        <is>
          <t>1.05</t>
        </is>
      </c>
      <c r="AV931" t="inlineStr">
        <is>
          <t>15</t>
        </is>
      </c>
      <c r="AW931" t="inlineStr">
        <is>
          <t>0</t>
        </is>
      </c>
      <c r="AX931" t="inlineStr">
        <is>
          <t>Not Qualified</t>
        </is>
      </c>
      <c r="AY931" s="4"/>
      <c r="AZ931"/>
      <c r="BA931"/>
      <c r="BB931"/>
      <c r="BC931"/>
      <c r="BD931" s="4"/>
      <c r="BE931"/>
      <c r="BF931"/>
      <c r="BG931" t="inlineStr">
        <is>
          <t>Reschedule</t>
        </is>
      </c>
      <c r="BH931" t="inlineStr">
        <is>
          <t>Yee Hang</t>
        </is>
      </c>
      <c r="BI931"/>
      <c r="BJ931" s="4">
        <v>46144.75585648148</v>
      </c>
      <c r="BK931" s="4">
        <v>46128.796377314815</v>
      </c>
      <c r="BL931" t="inlineStr">
        <is>
          <t>0.0</t>
        </is>
      </c>
      <c r="BM931" t="inlineStr">
        <is>
          <t>0.0</t>
        </is>
      </c>
      <c r="BN931"/>
      <c r="BO931" s="4"/>
      <c r="BP931">
        <v>167522</v>
      </c>
      <c r="BQ931"/>
      <c r="BR931"/>
      <c r="BS931"/>
      <c r="BT931"/>
      <c r="BU931"/>
      <c r="BV931"/>
      <c r="BW931"/>
      <c r="BX931"/>
      <c r="BY931"/>
      <c r="BZ931" s="4"/>
      <c r="CA931"/>
      <c r="CB931"/>
      <c r="CC931" s="4"/>
      <c r="CD931" t="inlineStr">
        <is>
          <t>20</t>
        </is>
      </c>
      <c r="CE931" t="inlineStr">
        <is>
          <t>0</t>
        </is>
      </c>
      <c r="CF931" t="inlineStr">
        <is>
          <t>Q2-W03</t>
        </is>
      </c>
      <c r="CG931"/>
      <c r="CH931"/>
      <c r="CI931"/>
      <c r="CJ931" t="inlineStr">
        <is>
          <t>No Paid</t>
        </is>
      </c>
      <c r="CK931" t="inlineStr">
        <is>
          <t>Not Eligible</t>
        </is>
      </c>
      <c r="CL931"/>
      <c r="CM931"/>
    </row>
    <row r="932" ht="25.5" customHeight="1">
      <c r="A932" t="inlineStr">
        <is>
          <t>195839</t>
        </is>
      </c>
      <c r="B932" s="2"/>
      <c r="C932"/>
      <c r="D932" s="3">
        <v>46129.424849537034</v>
      </c>
      <c r="E932" t="inlineStr">
        <is>
          <t>Q2-W03</t>
        </is>
      </c>
      <c r="F932" t="inlineStr">
        <is>
          <t>Evan</t>
        </is>
      </c>
      <c r="G932" t="inlineStr">
        <is>
          <t>Customer</t>
        </is>
      </c>
      <c r="H932" s="2" t="str">
        <f>=HYPERLINK("https://upbox.ajobthing.my/customer/195839", "https://upbox.ajobthing.my/customer/195839")</f>
        <v>https://upbox.ajobthing.my/customer/195839</v>
      </c>
      <c r="I932" t="inlineStr">
        <is>
          <t>Little Glory</t>
        </is>
      </c>
      <c r="J932" t="inlineStr">
        <is>
          <t>Small Fish</t>
        </is>
      </c>
      <c r="K932" t="inlineStr">
        <is>
          <t>Evan</t>
        </is>
      </c>
      <c r="L932" s="4"/>
      <c r="M932" s="4">
        <v>46129.42350694445</v>
      </c>
      <c r="N932"/>
      <c r="O932">
        <v>5832</v>
      </c>
      <c r="P932" s="4"/>
      <c r="Q932" s="4"/>
      <c r="R932"/>
      <c r="S932"/>
      <c r="T932" s="4"/>
      <c r="U932" s="4"/>
      <c r="V932"/>
      <c r="W932"/>
      <c r="X932"/>
      <c r="Y932" t="inlineStr">
        <is>
          <t>Pending Appointment</t>
        </is>
      </c>
      <c r="Z932" t="inlineStr">
        <is>
          <t>Hiring Now</t>
        </is>
      </c>
      <c r="AA932">
        <v>3</v>
      </c>
      <c r="AB932" t="inlineStr">
        <is>
          <t>No Appointment Made</t>
        </is>
      </c>
      <c r="AC932"/>
      <c r="AD932" t="inlineStr">
        <is>
          <t>3 teacher, all base in KL</t>
        </is>
      </c>
      <c r="AE932"/>
      <c r="AF932">
        <v>1</v>
      </c>
      <c r="AG932" s="4"/>
      <c r="AH932" s="4"/>
      <c r="AI932">
        <v>1</v>
      </c>
      <c r="AJ932">
        <v>1</v>
      </c>
      <c r="AK932" t="inlineStr">
        <is>
          <t>No, I don't need at all</t>
        </is>
      </c>
      <c r="AL932">
        <v>1</v>
      </c>
      <c r="AM932" t="inlineStr">
        <is>
          <t>No, I don't need at all</t>
        </is>
      </c>
      <c r="AN932"/>
      <c r="AO932" t="inlineStr">
        <is>
          <t>No, I don't need at all</t>
        </is>
      </c>
      <c r="AP932" t="inlineStr">
        <is>
          <t>Once a year (25%)</t>
        </is>
      </c>
      <c r="AQ932">
        <v>3</v>
      </c>
      <c r="AR932" t="inlineStr">
        <is>
          <t>Did not use any job portal</t>
        </is>
      </c>
      <c r="AS932" t="inlineStr">
        <is>
          <t>- Headcount: 3
- Hiring Job Details: 3 teacher,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3
- Hiring frequency: Once a year (25%)
- External job portal: Did not use any job portal</t>
        </is>
      </c>
      <c r="AT932">
        <v>110</v>
      </c>
      <c r="AU932" t="inlineStr">
        <is>
          <t>1.10</t>
        </is>
      </c>
      <c r="AV932" t="inlineStr">
        <is>
          <t>15</t>
        </is>
      </c>
      <c r="AW932" t="inlineStr">
        <is>
          <t>0</t>
        </is>
      </c>
      <c r="AX932" t="inlineStr">
        <is>
          <t>Not Qualified</t>
        </is>
      </c>
      <c r="AY932" s="4"/>
      <c r="AZ932"/>
      <c r="BA932"/>
      <c r="BB932"/>
      <c r="BC932" t="inlineStr">
        <is>
          <t>pending</t>
        </is>
      </c>
      <c r="BD932" s="4">
        <v>46140.43256944444</v>
      </c>
      <c r="BE932"/>
      <c r="BF932"/>
      <c r="BG932" t="inlineStr">
        <is>
          <t>Reschedule</t>
        </is>
      </c>
      <c r="BH932" t="inlineStr">
        <is>
          <t>Edward Hoo</t>
        </is>
      </c>
      <c r="BI932" t="inlineStr">
        <is>
          <t>Education / Training</t>
        </is>
      </c>
      <c r="BJ932" s="4">
        <v>46144.75278935185</v>
      </c>
      <c r="BK932" s="4">
        <v>45908.428923611114</v>
      </c>
      <c r="BL932" t="inlineStr">
        <is>
          <t>0.0</t>
        </is>
      </c>
      <c r="BM932" t="inlineStr">
        <is>
          <t>0.0</t>
        </is>
      </c>
      <c r="BN932" t="inlineStr">
        <is>
          <t>View Company Page</t>
        </is>
      </c>
      <c r="BO932" s="4">
        <v>45908.67076388889</v>
      </c>
      <c r="BP932">
        <v>167527</v>
      </c>
      <c r="BQ932"/>
      <c r="BR932"/>
      <c r="BS932"/>
      <c r="BT932"/>
      <c r="BU932"/>
      <c r="BV932">
        <v>2731807</v>
      </c>
      <c r="BW932" t="inlineStr">
        <is>
          <t>Follow Up : Decision Pending</t>
        </is>
      </c>
      <c r="BX932"/>
      <c r="BY932"/>
      <c r="BZ932" s="4"/>
      <c r="CA932"/>
      <c r="CB932"/>
      <c r="CC932" s="4"/>
      <c r="CD932" t="inlineStr">
        <is>
          <t>20</t>
        </is>
      </c>
      <c r="CE932" t="inlineStr">
        <is>
          <t>0</t>
        </is>
      </c>
      <c r="CF932" t="inlineStr">
        <is>
          <t>Q2-W03</t>
        </is>
      </c>
      <c r="CG932"/>
      <c r="CH932"/>
      <c r="CI932"/>
      <c r="CJ932" t="inlineStr">
        <is>
          <t>No Paid</t>
        </is>
      </c>
      <c r="CK932" t="inlineStr">
        <is>
          <t>Not Eligible</t>
        </is>
      </c>
      <c r="CL932"/>
      <c r="CM932"/>
    </row>
    <row r="933" ht="25.5" customHeight="1">
      <c r="A933" t="inlineStr">
        <is>
          <t>4285561</t>
        </is>
      </c>
      <c r="B933" s="2"/>
      <c r="C933"/>
      <c r="D933" s="3">
        <v>46129.42560185185</v>
      </c>
      <c r="E933" t="inlineStr">
        <is>
          <t>Q2-W03</t>
        </is>
      </c>
      <c r="F933" t="inlineStr">
        <is>
          <t>Carmen</t>
        </is>
      </c>
      <c r="G933" t="inlineStr">
        <is>
          <t>Lead</t>
        </is>
      </c>
      <c r="H933" s="2" t="str">
        <f>=HYPERLINK("https://upbox.ajobthing.my/leads/4285561", "https://upbox.ajobthing.my/leads/4285561")</f>
        <v>https://upbox.ajobthing.my/leads/4285561</v>
      </c>
      <c r="I933" t="inlineStr">
        <is>
          <t>Gom Building Survey Sdn Bhd</t>
        </is>
      </c>
      <c r="J933" t="inlineStr">
        <is>
          <t>Small Fish</t>
        </is>
      </c>
      <c r="K933" t="inlineStr">
        <is>
          <t>Carmen</t>
        </is>
      </c>
      <c r="L933" s="4"/>
      <c r="M933" s="4">
        <v>46129.42582175926</v>
      </c>
      <c r="N933"/>
      <c r="O933">
        <v>3888</v>
      </c>
      <c r="P933" s="4"/>
      <c r="Q933" s="4"/>
      <c r="R933"/>
      <c r="S933"/>
      <c r="T933" s="4"/>
      <c r="U933" s="4"/>
      <c r="V933"/>
      <c r="W933"/>
      <c r="X933"/>
      <c r="Y933" t="inlineStr">
        <is>
          <t>Pending Appointment</t>
        </is>
      </c>
      <c r="Z933" t="inlineStr">
        <is>
          <t>Hiring Now</t>
        </is>
      </c>
      <c r="AA933">
        <v>2</v>
      </c>
      <c r="AB933" t="inlineStr">
        <is>
          <t>No Appointment Made</t>
        </is>
      </c>
      <c r="AC933"/>
      <c r="AD933" t="inlineStr">
        <is>
          <t>2 building survey</t>
        </is>
      </c>
      <c r="AE933"/>
      <c r="AF933">
        <v>0</v>
      </c>
      <c r="AG933" s="4"/>
      <c r="AH933" s="4"/>
      <c r="AI933"/>
      <c r="AJ933"/>
      <c r="AK933"/>
      <c r="AL933"/>
      <c r="AM933"/>
      <c r="AN933"/>
      <c r="AO933"/>
      <c r="AP933" t="inlineStr">
        <is>
          <t>Once a year (25%)</t>
        </is>
      </c>
      <c r="AQ933"/>
      <c r="AR933"/>
      <c r="AS933" t="inlineStr">
        <is>
          <t>- Headcount: 2
- Hiring Job Details: 2 building survey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933">
        <v>75</v>
      </c>
      <c r="AU933" t="inlineStr">
        <is>
          <t>0.75</t>
        </is>
      </c>
      <c r="AV933" t="inlineStr">
        <is>
          <t>15</t>
        </is>
      </c>
      <c r="AW933" t="inlineStr">
        <is>
          <t>0</t>
        </is>
      </c>
      <c r="AX933" t="inlineStr">
        <is>
          <t>Not Qualified</t>
        </is>
      </c>
      <c r="AY933" s="4"/>
      <c r="AZ933"/>
      <c r="BA933"/>
      <c r="BB933"/>
      <c r="BC933"/>
      <c r="BD933" s="4"/>
      <c r="BE933"/>
      <c r="BF933"/>
      <c r="BG933" t="inlineStr">
        <is>
          <t>Reschedule</t>
        </is>
      </c>
      <c r="BH933" t="inlineStr">
        <is>
          <t>Reagen</t>
        </is>
      </c>
      <c r="BI933"/>
      <c r="BJ933" s="4">
        <v>46144.755833333336</v>
      </c>
      <c r="BK933" s="4">
        <v>46127.61962962963</v>
      </c>
      <c r="BL933" t="inlineStr">
        <is>
          <t>0.0</t>
        </is>
      </c>
      <c r="BM933" t="inlineStr">
        <is>
          <t>0.0</t>
        </is>
      </c>
      <c r="BN933"/>
      <c r="BO933" s="4"/>
      <c r="BP933">
        <v>167528</v>
      </c>
      <c r="BQ933"/>
      <c r="BR933"/>
      <c r="BS933"/>
      <c r="BT933"/>
      <c r="BU933"/>
      <c r="BV933"/>
      <c r="BW933"/>
      <c r="BX933"/>
      <c r="BY933"/>
      <c r="BZ933" s="4"/>
      <c r="CA933"/>
      <c r="CB933"/>
      <c r="CC933" s="4"/>
      <c r="CD933" t="inlineStr">
        <is>
          <t>20</t>
        </is>
      </c>
      <c r="CE933" t="inlineStr">
        <is>
          <t>0</t>
        </is>
      </c>
      <c r="CF933" t="inlineStr">
        <is>
          <t>Q2-W03</t>
        </is>
      </c>
      <c r="CG933"/>
      <c r="CH933"/>
      <c r="CI933"/>
      <c r="CJ933" t="inlineStr">
        <is>
          <t>No Paid</t>
        </is>
      </c>
      <c r="CK933" t="inlineStr">
        <is>
          <t>Not Eligible</t>
        </is>
      </c>
      <c r="CL933"/>
      <c r="CM933"/>
    </row>
    <row r="934" ht="25.5" customHeight="1">
      <c r="A934" t="inlineStr">
        <is>
          <t>136885</t>
        </is>
      </c>
      <c r="B934" s="2"/>
      <c r="C934"/>
      <c r="D934" s="3">
        <v>46129.42760416667</v>
      </c>
      <c r="E934" t="inlineStr">
        <is>
          <t>Q2-W03</t>
        </is>
      </c>
      <c r="F934" t="inlineStr">
        <is>
          <t>Keegan</t>
        </is>
      </c>
      <c r="G934" t="inlineStr">
        <is>
          <t>Customer</t>
        </is>
      </c>
      <c r="H934" s="2" t="str">
        <f>=HYPERLINK("https://upbox.ajobthing.my/customer/136885", "https://upbox.ajobthing.my/customer/136885")</f>
        <v>https://upbox.ajobthing.my/customer/136885</v>
      </c>
      <c r="I934" t="inlineStr">
        <is>
          <t>Green Pest Control Services</t>
        </is>
      </c>
      <c r="J934" t="inlineStr">
        <is>
          <t>Small Fish</t>
        </is>
      </c>
      <c r="K934" t="inlineStr">
        <is>
          <t>Keegan</t>
        </is>
      </c>
      <c r="L934" s="4"/>
      <c r="M934" s="4">
        <v>46129.427719907406</v>
      </c>
      <c r="N934"/>
      <c r="O934">
        <v>6048</v>
      </c>
      <c r="P934" s="4"/>
      <c r="Q934" s="4"/>
      <c r="R934"/>
      <c r="S934"/>
      <c r="T934" s="4"/>
      <c r="U934" s="4"/>
      <c r="V934"/>
      <c r="W934"/>
      <c r="X934"/>
      <c r="Y934" t="inlineStr">
        <is>
          <t>Pending Appointment</t>
        </is>
      </c>
      <c r="Z934" t="inlineStr">
        <is>
          <t>Hiring Now</t>
        </is>
      </c>
      <c r="AA934">
        <v>3</v>
      </c>
      <c r="AB934" t="inlineStr">
        <is>
          <t>No Appointment Made</t>
        </is>
      </c>
      <c r="AC934"/>
      <c r="AD934" t="inlineStr">
        <is>
          <t>1. Driver 
2. Sales 
3. Admin 
</t>
        </is>
      </c>
      <c r="AE934"/>
      <c r="AF934"/>
      <c r="AG934" s="4"/>
      <c r="AH934" s="4"/>
      <c r="AI934"/>
      <c r="AJ934">
        <v>1</v>
      </c>
      <c r="AK934" t="inlineStr">
        <is>
          <t>No, I don't need at all</t>
        </is>
      </c>
      <c r="AL934">
        <v>0</v>
      </c>
      <c r="AM934" t="inlineStr">
        <is>
          <t>No, I don't need at all</t>
        </is>
      </c>
      <c r="AN934"/>
      <c r="AO934" t="inlineStr">
        <is>
          <t>No, I don't need at all</t>
        </is>
      </c>
      <c r="AP934" t="inlineStr">
        <is>
          <t>Once per quarter (75%)</t>
        </is>
      </c>
      <c r="AQ934"/>
      <c r="AR934" t="inlineStr">
        <is>
          <t>Did not use any job portal</t>
        </is>
      </c>
      <c r="AS934" t="inlineStr">
        <is>
          <t>- Headcount: 3
- Hiring Job Details: 1. Driver 2. Sales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934">
        <v>75</v>
      </c>
      <c r="AU934" t="inlineStr">
        <is>
          <t>0.75</t>
        </is>
      </c>
      <c r="AV934" t="inlineStr">
        <is>
          <t>5</t>
        </is>
      </c>
      <c r="AW934" t="inlineStr">
        <is>
          <t>0</t>
        </is>
      </c>
      <c r="AX934" t="inlineStr">
        <is>
          <t>Not Qualified</t>
        </is>
      </c>
      <c r="AY934" s="4"/>
      <c r="AZ934"/>
      <c r="BA934"/>
      <c r="BB934"/>
      <c r="BC934" t="inlineStr">
        <is>
          <t>Pending decision</t>
        </is>
      </c>
      <c r="BD934" s="4">
        <v>46133.61625</v>
      </c>
      <c r="BE934"/>
      <c r="BF934"/>
      <c r="BG934" t="inlineStr">
        <is>
          <t>Reschedule</t>
        </is>
      </c>
      <c r="BH934" t="inlineStr">
        <is>
          <t>Edward Hoo</t>
        </is>
      </c>
      <c r="BI934"/>
      <c r="BJ934" s="4">
        <v>46144.75059027778</v>
      </c>
      <c r="BK934" s="4">
        <v>44296.019467592596</v>
      </c>
      <c r="BL934" t="inlineStr">
        <is>
          <t>0.0</t>
        </is>
      </c>
      <c r="BM934" t="inlineStr">
        <is>
          <t>0.0</t>
        </is>
      </c>
      <c r="BN934" t="inlineStr">
        <is>
          <t>View Create Job Page</t>
        </is>
      </c>
      <c r="BO934" s="4">
        <v>44669.52954861111</v>
      </c>
      <c r="BP934">
        <v>167529</v>
      </c>
      <c r="BQ934"/>
      <c r="BR934"/>
      <c r="BS934"/>
      <c r="BT934"/>
      <c r="BU934"/>
      <c r="BV934">
        <v>2718350</v>
      </c>
      <c r="BW934" t="inlineStr">
        <is>
          <t>Follow Up : Decision Pending</t>
        </is>
      </c>
      <c r="BX934"/>
      <c r="BY934"/>
      <c r="BZ934" s="4"/>
      <c r="CA934"/>
      <c r="CB934"/>
      <c r="CC934" s="4"/>
      <c r="CD934" t="inlineStr">
        <is>
          <t>5</t>
        </is>
      </c>
      <c r="CE934" t="inlineStr">
        <is>
          <t>0</t>
        </is>
      </c>
      <c r="CF934" t="inlineStr">
        <is>
          <t>Q2-W03</t>
        </is>
      </c>
      <c r="CG934"/>
      <c r="CH934"/>
      <c r="CI934"/>
      <c r="CJ934" t="inlineStr">
        <is>
          <t>No Paid</t>
        </is>
      </c>
      <c r="CK934" t="inlineStr">
        <is>
          <t>Not Eligible</t>
        </is>
      </c>
      <c r="CL934"/>
      <c r="CM934"/>
    </row>
    <row r="935" ht="25.5" customHeight="1">
      <c r="A935" t="inlineStr">
        <is>
          <t>4291037</t>
        </is>
      </c>
      <c r="B935" s="2"/>
      <c r="C935"/>
      <c r="D935" s="3">
        <v>46129.428402777776</v>
      </c>
      <c r="E935" t="inlineStr">
        <is>
          <t>Q2-W03</t>
        </is>
      </c>
      <c r="F935" t="inlineStr">
        <is>
          <t>Eugene</t>
        </is>
      </c>
      <c r="G935" t="inlineStr">
        <is>
          <t>Lead</t>
        </is>
      </c>
      <c r="H935" s="2" t="str">
        <f>=HYPERLINK("https://upbox.ajobthing.my/leads/4291037", "https://upbox.ajobthing.my/leads/4291037")</f>
        <v>https://upbox.ajobthing.my/leads/4291037</v>
      </c>
      <c r="I935" t="inlineStr">
        <is>
          <t>Zen house sb</t>
        </is>
      </c>
      <c r="J935" t="inlineStr">
        <is>
          <t>Small Fish</t>
        </is>
      </c>
      <c r="K935" t="inlineStr">
        <is>
          <t>Eugene</t>
        </is>
      </c>
      <c r="L935" s="4"/>
      <c r="M935" s="4">
        <v>46129.42858796296</v>
      </c>
      <c r="N935"/>
      <c r="O935">
        <v>3888</v>
      </c>
      <c r="P935" s="4"/>
      <c r="Q935" s="4"/>
      <c r="R935"/>
      <c r="S935"/>
      <c r="T935" s="4"/>
      <c r="U935" s="4"/>
      <c r="V935"/>
      <c r="W935"/>
      <c r="X935"/>
      <c r="Y935" t="inlineStr">
        <is>
          <t>Pending Appointment</t>
        </is>
      </c>
      <c r="Z935" t="inlineStr">
        <is>
          <t>Hiring Later</t>
        </is>
      </c>
      <c r="AA935">
        <v>1</v>
      </c>
      <c r="AB935" t="inlineStr">
        <is>
          <t>No Appointment Made</t>
        </is>
      </c>
      <c r="AC935"/>
      <c r="AD935" t="inlineStr">
        <is>
          <t>1 positions, based in KL</t>
        </is>
      </c>
      <c r="AE935"/>
      <c r="AF935">
        <v>3000</v>
      </c>
      <c r="AG935" s="4"/>
      <c r="AH935" s="4"/>
      <c r="AI935">
        <v>3000</v>
      </c>
      <c r="AJ935">
        <v>1</v>
      </c>
      <c r="AK935" t="inlineStr">
        <is>
          <t>No, I don't need at all</t>
        </is>
      </c>
      <c r="AL935">
        <v>1</v>
      </c>
      <c r="AM935" t="inlineStr">
        <is>
          <t>No, I don't need at all</t>
        </is>
      </c>
      <c r="AN935"/>
      <c r="AO935" t="inlineStr">
        <is>
          <t>No, I don't need at all</t>
        </is>
      </c>
      <c r="AP935" t="inlineStr">
        <is>
          <t>Twice a year (50%)</t>
        </is>
      </c>
      <c r="AQ935">
        <v>1</v>
      </c>
      <c r="AR935" t="inlineStr">
        <is>
          <t>Did not use any job portal</t>
        </is>
      </c>
      <c r="AS935" t="inlineStr">
        <is>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Twice a year (50%)
- External job portal: Did not use any job portal</t>
        </is>
      </c>
      <c r="AT935">
        <v>105</v>
      </c>
      <c r="AU935" t="inlineStr">
        <is>
          <t>1.05</t>
        </is>
      </c>
      <c r="AV935" t="inlineStr">
        <is>
          <t>15</t>
        </is>
      </c>
      <c r="AW935" t="inlineStr">
        <is>
          <t>0</t>
        </is>
      </c>
      <c r="AX935" t="inlineStr">
        <is>
          <t>Not Qualified</t>
        </is>
      </c>
      <c r="AY935" s="4"/>
      <c r="AZ935"/>
      <c r="BA935"/>
      <c r="BB935"/>
      <c r="BC935"/>
      <c r="BD935" s="4"/>
      <c r="BE935"/>
      <c r="BF935"/>
      <c r="BG935" t="inlineStr">
        <is>
          <t>Reschedule</t>
        </is>
      </c>
      <c r="BH935" t="inlineStr">
        <is>
          <t>Edward Hoo</t>
        </is>
      </c>
      <c r="BI935"/>
      <c r="BJ935" s="4">
        <v>46144.75585648148</v>
      </c>
      <c r="BK935" s="4">
        <v>46128.79634259259</v>
      </c>
      <c r="BL935" t="inlineStr">
        <is>
          <t>0.0</t>
        </is>
      </c>
      <c r="BM935" t="inlineStr">
        <is>
          <t>0.0</t>
        </is>
      </c>
      <c r="BN935"/>
      <c r="BO935" s="4"/>
      <c r="BP935">
        <v>167531</v>
      </c>
      <c r="BQ935"/>
      <c r="BR935"/>
      <c r="BS935"/>
      <c r="BT935"/>
      <c r="BU935"/>
      <c r="BV935"/>
      <c r="BW935"/>
      <c r="BX935"/>
      <c r="BY935"/>
      <c r="BZ935" s="4"/>
      <c r="CA935"/>
      <c r="CB935"/>
      <c r="CC935" s="4"/>
      <c r="CD935" t="inlineStr">
        <is>
          <t>20</t>
        </is>
      </c>
      <c r="CE935" t="inlineStr">
        <is>
          <t>0</t>
        </is>
      </c>
      <c r="CF935" t="inlineStr">
        <is>
          <t>Q2-W03</t>
        </is>
      </c>
      <c r="CG935"/>
      <c r="CH935"/>
      <c r="CI935"/>
      <c r="CJ935" t="inlineStr">
        <is>
          <t>No Paid</t>
        </is>
      </c>
      <c r="CK935" t="inlineStr">
        <is>
          <t>Not Eligible</t>
        </is>
      </c>
      <c r="CL935"/>
      <c r="CM935"/>
    </row>
    <row r="936" ht="25.5" customHeight="1">
      <c r="A936" t="inlineStr">
        <is>
          <t>4291037</t>
        </is>
      </c>
      <c r="B936" s="2"/>
      <c r="C936"/>
      <c r="D936" s="3">
        <v>46129.44767361111</v>
      </c>
      <c r="E936" t="inlineStr">
        <is>
          <t>Q2-W03</t>
        </is>
      </c>
      <c r="F936" t="inlineStr">
        <is>
          <t>Eugene</t>
        </is>
      </c>
      <c r="G936" t="inlineStr">
        <is>
          <t>Lead</t>
        </is>
      </c>
      <c r="H936" s="2" t="str">
        <f>=HYPERLINK("https://upbox.ajobthing.my/leads/4291037", "https://upbox.ajobthing.my/leads/4291037")</f>
        <v>https://upbox.ajobthing.my/leads/4291037</v>
      </c>
      <c r="I936" t="inlineStr">
        <is>
          <t>Zen house sb</t>
        </is>
      </c>
      <c r="J936" t="inlineStr">
        <is>
          <t>Small Fish</t>
        </is>
      </c>
      <c r="K936" t="inlineStr">
        <is>
          <t>Eugene</t>
        </is>
      </c>
      <c r="L936" s="4"/>
      <c r="M936" s="4">
        <v>46129.42858796296</v>
      </c>
      <c r="N936"/>
      <c r="O936">
        <v>3888</v>
      </c>
      <c r="P936" s="4"/>
      <c r="Q936" s="4"/>
      <c r="R936"/>
      <c r="S936"/>
      <c r="T936" s="4"/>
      <c r="U936" s="4"/>
      <c r="V936"/>
      <c r="W936"/>
      <c r="X936"/>
      <c r="Y936" t="inlineStr">
        <is>
          <t>Pending Appointment</t>
        </is>
      </c>
      <c r="Z936" t="inlineStr">
        <is>
          <t>Hiring Later</t>
        </is>
      </c>
      <c r="AA936">
        <v>1</v>
      </c>
      <c r="AB936" t="inlineStr">
        <is>
          <t>No Appointment Made</t>
        </is>
      </c>
      <c r="AC936"/>
      <c r="AD936" t="inlineStr">
        <is>
          <t>1 position, based in KL</t>
        </is>
      </c>
      <c r="AE936"/>
      <c r="AF936">
        <v>3000</v>
      </c>
      <c r="AG936" s="4"/>
      <c r="AH936" s="4"/>
      <c r="AI936">
        <v>3000</v>
      </c>
      <c r="AJ936">
        <v>1</v>
      </c>
      <c r="AK936" t="inlineStr">
        <is>
          <t>No, I don't need at all</t>
        </is>
      </c>
      <c r="AL936">
        <v>1</v>
      </c>
      <c r="AM936" t="inlineStr">
        <is>
          <t>No, I don't need at all</t>
        </is>
      </c>
      <c r="AN936"/>
      <c r="AO936" t="inlineStr">
        <is>
          <t>No, I don't need at all</t>
        </is>
      </c>
      <c r="AP936" t="inlineStr">
        <is>
          <t>Once a year (25%)</t>
        </is>
      </c>
      <c r="AQ936">
        <v>1</v>
      </c>
      <c r="AR936" t="inlineStr">
        <is>
          <t>Free Job Portal</t>
        </is>
      </c>
      <c r="AS936" t="inlineStr">
        <is>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Free Job Portal</t>
        </is>
      </c>
      <c r="AT936">
        <v>105</v>
      </c>
      <c r="AU936" t="inlineStr">
        <is>
          <t>1.05</t>
        </is>
      </c>
      <c r="AV936" t="inlineStr">
        <is>
          <t>15</t>
        </is>
      </c>
      <c r="AW936" t="inlineStr">
        <is>
          <t>0</t>
        </is>
      </c>
      <c r="AX936" t="inlineStr">
        <is>
          <t>Not Qualified</t>
        </is>
      </c>
      <c r="AY936" s="4"/>
      <c r="AZ936"/>
      <c r="BA936"/>
      <c r="BB936"/>
      <c r="BC936"/>
      <c r="BD936" s="4"/>
      <c r="BE936"/>
      <c r="BF936"/>
      <c r="BG936" t="inlineStr">
        <is>
          <t>Reschedule</t>
        </is>
      </c>
      <c r="BH936" t="inlineStr">
        <is>
          <t>Edward Hoo</t>
        </is>
      </c>
      <c r="BI936"/>
      <c r="BJ936" s="4">
        <v>46144.75585648148</v>
      </c>
      <c r="BK936" s="4">
        <v>46128.79634259259</v>
      </c>
      <c r="BL936" t="inlineStr">
        <is>
          <t>0.0</t>
        </is>
      </c>
      <c r="BM936" t="inlineStr">
        <is>
          <t>0.0</t>
        </is>
      </c>
      <c r="BN936"/>
      <c r="BO936" s="4"/>
      <c r="BP936">
        <v>167531</v>
      </c>
      <c r="BQ936"/>
      <c r="BR936"/>
      <c r="BS936"/>
      <c r="BT936"/>
      <c r="BU936"/>
      <c r="BV936"/>
      <c r="BW936"/>
      <c r="BX936"/>
      <c r="BY936"/>
      <c r="BZ936" s="4"/>
      <c r="CA936"/>
      <c r="CB936"/>
      <c r="CC936" s="4"/>
      <c r="CD936" t="inlineStr">
        <is>
          <t>20</t>
        </is>
      </c>
      <c r="CE936" t="inlineStr">
        <is>
          <t>0</t>
        </is>
      </c>
      <c r="CF936" t="inlineStr">
        <is>
          <t>Q2-W03</t>
        </is>
      </c>
      <c r="CG936"/>
      <c r="CH936"/>
      <c r="CI936"/>
      <c r="CJ936" t="inlineStr">
        <is>
          <t>No Paid</t>
        </is>
      </c>
      <c r="CK936" t="inlineStr">
        <is>
          <t>Not Eligible</t>
        </is>
      </c>
      <c r="CL936"/>
      <c r="CM936"/>
    </row>
    <row r="937" ht="25.5" customHeight="1">
      <c r="A937" t="inlineStr">
        <is>
          <t>203326</t>
        </is>
      </c>
      <c r="B937" s="2"/>
      <c r="C937"/>
      <c r="D937" s="3">
        <v>46129.45043981481</v>
      </c>
      <c r="E937" t="inlineStr">
        <is>
          <t>Q2-W03</t>
        </is>
      </c>
      <c r="F937" t="inlineStr">
        <is>
          <t>Keegan</t>
        </is>
      </c>
      <c r="G937" t="inlineStr">
        <is>
          <t>Customer</t>
        </is>
      </c>
      <c r="H937" s="2" t="str">
        <f>=HYPERLINK("https://upbox.ajobthing.my/customer/203326", "https://upbox.ajobthing.my/customer/203326")</f>
        <v>https://upbox.ajobthing.my/customer/203326</v>
      </c>
      <c r="I937" t="inlineStr">
        <is>
          <t>Ong</t>
        </is>
      </c>
      <c r="J937" t="inlineStr">
        <is>
          <t>Small Fish</t>
        </is>
      </c>
      <c r="K937" t="inlineStr">
        <is>
          <t>Keegan</t>
        </is>
      </c>
      <c r="L937" s="4"/>
      <c r="M937" s="4">
        <v>46129.45050925926</v>
      </c>
      <c r="N937"/>
      <c r="O937">
        <v>3888</v>
      </c>
      <c r="P937" s="4"/>
      <c r="Q937" s="4">
        <v>46128.707141203704</v>
      </c>
      <c r="R937"/>
      <c r="S937">
        <v>0</v>
      </c>
      <c r="T937" s="4"/>
      <c r="U937" s="4"/>
      <c r="V937"/>
      <c r="W937"/>
      <c r="X937"/>
      <c r="Y937" t="inlineStr">
        <is>
          <t>Pending Appointment</t>
        </is>
      </c>
      <c r="Z937" t="inlineStr">
        <is>
          <t>Hiring Now</t>
        </is>
      </c>
      <c r="AA937">
        <v>1</v>
      </c>
      <c r="AB937" t="inlineStr">
        <is>
          <t>No Appointment Made</t>
        </is>
      </c>
      <c r="AC937"/>
      <c r="AD937" t="inlineStr">
        <is>
          <t xml:space="preserve">1. Customer Service </t>
        </is>
      </c>
      <c r="AE937"/>
      <c r="AF937"/>
      <c r="AG937" s="4"/>
      <c r="AH937" s="4"/>
      <c r="AI937"/>
      <c r="AJ937">
        <v>1</v>
      </c>
      <c r="AK937" t="inlineStr">
        <is>
          <t>No, I don't need at all</t>
        </is>
      </c>
      <c r="AL937">
        <v>0</v>
      </c>
      <c r="AM937" t="inlineStr">
        <is>
          <t>No, I don't need at all</t>
        </is>
      </c>
      <c r="AN937"/>
      <c r="AO937" t="inlineStr">
        <is>
          <t>No, I don't need at all</t>
        </is>
      </c>
      <c r="AP937" t="inlineStr">
        <is>
          <t>Once per quarter (75%)</t>
        </is>
      </c>
      <c r="AQ937"/>
      <c r="AR937" t="inlineStr">
        <is>
          <t>Did not use any job portal</t>
        </is>
      </c>
      <c r="AS937" t="inlineStr">
        <is>
          <t>- Headcount: 1
- Hiring Job Details: 1 Customer Service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937">
        <v>95</v>
      </c>
      <c r="AU937" t="inlineStr">
        <is>
          <t>0.95</t>
        </is>
      </c>
      <c r="AV937" t="inlineStr">
        <is>
          <t>5</t>
        </is>
      </c>
      <c r="AW937" t="inlineStr">
        <is>
          <t>0</t>
        </is>
      </c>
      <c r="AX937" t="inlineStr">
        <is>
          <t>Not Qualified</t>
        </is>
      </c>
      <c r="AY937" s="4"/>
      <c r="AZ937"/>
      <c r="BA937"/>
      <c r="BB937"/>
      <c r="BC937" t="inlineStr">
        <is>
          <t>Hiring plan on hold</t>
        </is>
      </c>
      <c r="BD937" s="4">
        <v>46133.642546296294</v>
      </c>
      <c r="BE937" t="inlineStr">
        <is>
          <t>paid</t>
        </is>
      </c>
      <c r="BF937"/>
      <c r="BG937" t="inlineStr">
        <is>
          <t>Reschedule</t>
        </is>
      </c>
      <c r="BH937" t="inlineStr">
        <is>
          <t>Edward Hoo</t>
        </is>
      </c>
      <c r="BI937"/>
      <c r="BJ937" s="4">
        <v>46144.754282407404</v>
      </c>
      <c r="BK937" s="4">
        <v>46128.70649305556</v>
      </c>
      <c r="BL937" t="inlineStr">
        <is>
          <t>0.0</t>
        </is>
      </c>
      <c r="BM937" t="inlineStr">
        <is>
          <t>0.0</t>
        </is>
      </c>
      <c r="BN937" t="inlineStr">
        <is>
          <t>View Company Page</t>
        </is>
      </c>
      <c r="BO937" s="4">
        <v>46128.77300925926</v>
      </c>
      <c r="BP937">
        <v>167540</v>
      </c>
      <c r="BQ937">
        <v>122783</v>
      </c>
      <c r="BR937" t="inlineStr">
        <is>
          <t>Proforma</t>
        </is>
      </c>
      <c r="BS937" t="inlineStr">
        <is>
          <t>Free Part-Time Job</t>
        </is>
      </c>
      <c r="BT937"/>
      <c r="BU937"/>
      <c r="BV937">
        <v>2718509</v>
      </c>
      <c r="BW937" t="inlineStr">
        <is>
          <t>Follow Up : Lost - Free Portal</t>
        </is>
      </c>
      <c r="BX937"/>
      <c r="BY937"/>
      <c r="BZ937" s="4"/>
      <c r="CA937"/>
      <c r="CB937"/>
      <c r="CC937" s="4"/>
      <c r="CD937" t="inlineStr">
        <is>
          <t>5</t>
        </is>
      </c>
      <c r="CE937" t="inlineStr">
        <is>
          <t>0</t>
        </is>
      </c>
      <c r="CF937" t="inlineStr">
        <is>
          <t>Q2-W03</t>
        </is>
      </c>
      <c r="CG937" t="inlineStr">
        <is>
          <t>Q2-W02</t>
        </is>
      </c>
      <c r="CH937"/>
      <c r="CI937"/>
      <c r="CJ937" t="inlineStr">
        <is>
          <t>No Paid</t>
        </is>
      </c>
      <c r="CK937" t="inlineStr">
        <is>
          <t>Not Eligible</t>
        </is>
      </c>
      <c r="CL937"/>
      <c r="CM937"/>
    </row>
    <row r="938" ht="25.5" customHeight="1">
      <c r="A938" t="inlineStr">
        <is>
          <t>203333</t>
        </is>
      </c>
      <c r="B938" s="2"/>
      <c r="C938"/>
      <c r="D938" s="3">
        <v>46129.45491898148</v>
      </c>
      <c r="E938" t="inlineStr">
        <is>
          <t>Q2-W03</t>
        </is>
      </c>
      <c r="F938" t="inlineStr">
        <is>
          <t>Chia Yee</t>
        </is>
      </c>
      <c r="G938" t="inlineStr">
        <is>
          <t>Customer</t>
        </is>
      </c>
      <c r="H938" s="2" t="str">
        <f>=HYPERLINK("https://upbox.ajobthing.my/customer/203333", "https://upbox.ajobthing.my/customer/203333")</f>
        <v>https://upbox.ajobthing.my/customer/203333</v>
      </c>
      <c r="I938" t="inlineStr">
        <is>
          <t>Freia Aesthetic Sdn Bhd</t>
        </is>
      </c>
      <c r="J938" t="inlineStr">
        <is>
          <t>Small Fish</t>
        </is>
      </c>
      <c r="K938" t="inlineStr">
        <is>
          <t>Chia Yee</t>
        </is>
      </c>
      <c r="L938" s="4"/>
      <c r="M938" s="4">
        <v>46129.45516203704</v>
      </c>
      <c r="N938"/>
      <c r="O938">
        <v>8208</v>
      </c>
      <c r="P938" s="4"/>
      <c r="Q938" s="4"/>
      <c r="R938"/>
      <c r="S938"/>
      <c r="T938" s="4"/>
      <c r="U938" s="4"/>
      <c r="V938"/>
      <c r="W938"/>
      <c r="X938"/>
      <c r="Y938" t="inlineStr">
        <is>
          <t>Pending Appointment</t>
        </is>
      </c>
      <c r="Z938" t="inlineStr">
        <is>
          <t>Hiring Now</t>
        </is>
      </c>
      <c r="AA938">
        <v>1</v>
      </c>
      <c r="AB938" t="inlineStr">
        <is>
          <t>No Appointment Made</t>
        </is>
      </c>
      <c r="AC938"/>
      <c r="AD938" t="inlineStr">
        <is>
          <t>Beautician</t>
        </is>
      </c>
      <c r="AE938"/>
      <c r="AF938">
        <v>0</v>
      </c>
      <c r="AG938" s="4"/>
      <c r="AH938" s="4"/>
      <c r="AI938">
        <v>0</v>
      </c>
      <c r="AJ938">
        <v>2</v>
      </c>
      <c r="AK938" t="inlineStr">
        <is>
          <t>No, I don't need at all</t>
        </is>
      </c>
      <c r="AL938">
        <v>1</v>
      </c>
      <c r="AM938" t="inlineStr">
        <is>
          <t>No, I don't need at all</t>
        </is>
      </c>
      <c r="AN938"/>
      <c r="AO938" t="inlineStr">
        <is>
          <t>Yes, I have</t>
        </is>
      </c>
      <c r="AP938" t="inlineStr">
        <is>
          <t>Once a year (25%)</t>
        </is>
      </c>
      <c r="AQ938">
        <v>3</v>
      </c>
      <c r="AR938" t="inlineStr">
        <is>
          <t>Did not use any job portal</t>
        </is>
      </c>
      <c r="AS938" t="inlineStr">
        <is>
          <t>- Headcount: 1
- Hiring Job Details: Beautician
- Hiring Urgency: Hiring Now
- Number of outlets: 2
- Have recruiter team: No, I don't need at all
- Number of recruiter in company: 1
- Have ATS system: No, I don't need at all
- Have career website: Yes, I have
- Current hiring budget: RM0
- Whole year budget: RM0.00
- Whole year number of vacancies: 3
- Hiring frequency: Once a year (25%)
- External job portal: Did not use any job portal</t>
        </is>
      </c>
      <c r="AT938">
        <v>110</v>
      </c>
      <c r="AU938" t="inlineStr">
        <is>
          <t>1.10</t>
        </is>
      </c>
      <c r="AV938" t="inlineStr">
        <is>
          <t>15</t>
        </is>
      </c>
      <c r="AW938" t="inlineStr">
        <is>
          <t>0</t>
        </is>
      </c>
      <c r="AX938" t="inlineStr">
        <is>
          <t>Not Qualified</t>
        </is>
      </c>
      <c r="AY938" s="4"/>
      <c r="AZ938"/>
      <c r="BA938"/>
      <c r="BB938"/>
      <c r="BC938" t="inlineStr">
        <is>
          <t>WA</t>
        </is>
      </c>
      <c r="BD938" s="4">
        <v>46136.596342592595</v>
      </c>
      <c r="BE938"/>
      <c r="BF938"/>
      <c r="BG938" t="inlineStr">
        <is>
          <t>Reschedule</t>
        </is>
      </c>
      <c r="BH938" t="inlineStr">
        <is>
          <t>Reagen</t>
        </is>
      </c>
      <c r="BI938"/>
      <c r="BJ938" s="4">
        <v>46144.754282407404</v>
      </c>
      <c r="BK938" s="4">
        <v>46128.87505787037</v>
      </c>
      <c r="BL938" t="inlineStr">
        <is>
          <t>0.0</t>
        </is>
      </c>
      <c r="BM938" t="inlineStr">
        <is>
          <t>750.0</t>
        </is>
      </c>
      <c r="BN938" t="inlineStr">
        <is>
          <t>View Company Page</t>
        </is>
      </c>
      <c r="BO938" s="4">
        <v>46129.66420138889</v>
      </c>
      <c r="BP938">
        <v>167546</v>
      </c>
      <c r="BQ938"/>
      <c r="BR938"/>
      <c r="BS938"/>
      <c r="BT938"/>
      <c r="BU938"/>
      <c r="BV938">
        <v>2726416</v>
      </c>
      <c r="BW938" t="inlineStr">
        <is>
          <t>No Answer : Voicemail - WA sent to customer</t>
        </is>
      </c>
      <c r="BX938"/>
      <c r="BY938"/>
      <c r="BZ938" s="4"/>
      <c r="CA938"/>
      <c r="CB938"/>
      <c r="CC938" s="4"/>
      <c r="CD938" t="inlineStr">
        <is>
          <t>20</t>
        </is>
      </c>
      <c r="CE938" t="inlineStr">
        <is>
          <t>0</t>
        </is>
      </c>
      <c r="CF938" t="inlineStr">
        <is>
          <t>Q2-W03</t>
        </is>
      </c>
      <c r="CG938"/>
      <c r="CH938"/>
      <c r="CI938"/>
      <c r="CJ938" t="inlineStr">
        <is>
          <t>No Paid</t>
        </is>
      </c>
      <c r="CK938" t="inlineStr">
        <is>
          <t>Not Eligible</t>
        </is>
      </c>
      <c r="CL938"/>
      <c r="CM938"/>
    </row>
    <row r="939" ht="25.5" customHeight="1">
      <c r="A939" t="inlineStr">
        <is>
          <t>25848</t>
        </is>
      </c>
      <c r="B939" s="2"/>
      <c r="C939"/>
      <c r="D939" s="3">
        <v>46129.45549768519</v>
      </c>
      <c r="E939" t="inlineStr">
        <is>
          <t>Q2-W03</t>
        </is>
      </c>
      <c r="F939" t="inlineStr">
        <is>
          <t>Xin Hui</t>
        </is>
      </c>
      <c r="G939" t="inlineStr">
        <is>
          <t>Customer</t>
        </is>
      </c>
      <c r="H939" s="2" t="str">
        <f>=HYPERLINK("https://upbox.ajobthing.my/customer/25848", "https://upbox.ajobthing.my/customer/25848")</f>
        <v>https://upbox.ajobthing.my/customer/25848</v>
      </c>
      <c r="I939" t="inlineStr">
        <is>
          <t>Advance Technical Solutions (M) Sdn Bhd</t>
        </is>
      </c>
      <c r="J939" t="inlineStr">
        <is>
          <t>Small Fish</t>
        </is>
      </c>
      <c r="K939" t="inlineStr">
        <is>
          <t>Xin Hui</t>
        </is>
      </c>
      <c r="L939" s="4"/>
      <c r="M939" s="4">
        <v>46129.45128472222</v>
      </c>
      <c r="N939"/>
      <c r="O939">
        <v>3888</v>
      </c>
      <c r="P939" s="4"/>
      <c r="Q939" s="4">
        <v>46132.35579861111</v>
      </c>
      <c r="R939"/>
      <c r="S939">
        <v>0</v>
      </c>
      <c r="T939" s="4"/>
      <c r="U939" s="4"/>
      <c r="V939"/>
      <c r="W939"/>
      <c r="X939"/>
      <c r="Y939" t="inlineStr">
        <is>
          <t>Pending Appointment</t>
        </is>
      </c>
      <c r="Z939" t="inlineStr">
        <is>
          <t>Hiring Later</t>
        </is>
      </c>
      <c r="AA939">
        <v>1</v>
      </c>
      <c r="AB939" t="inlineStr">
        <is>
          <t>No Appointment Made</t>
        </is>
      </c>
      <c r="AC939"/>
      <c r="AD939" t="inlineStr">
        <is>
          <t xml:space="preserve">beautician </t>
        </is>
      </c>
      <c r="AE939"/>
      <c r="AF939"/>
      <c r="AG939" s="4"/>
      <c r="AH939" s="4"/>
      <c r="AI939"/>
      <c r="AJ939"/>
      <c r="AK939" t="inlineStr">
        <is>
          <t>No, I don't need at all</t>
        </is>
      </c>
      <c r="AL939"/>
      <c r="AM939" t="inlineStr">
        <is>
          <t>No, I don't need at all</t>
        </is>
      </c>
      <c r="AN939"/>
      <c r="AO939" t="inlineStr">
        <is>
          <t>No, I don't need at all</t>
        </is>
      </c>
      <c r="AP939" t="inlineStr">
        <is>
          <t>Once a year (25%)</t>
        </is>
      </c>
      <c r="AQ939"/>
      <c r="AR939"/>
      <c r="AS939" t="inlineStr">
        <is>
          <t>- Headcount: 1
- Hiring Job Details: beautician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939">
        <v>75</v>
      </c>
      <c r="AU939" t="inlineStr">
        <is>
          <t>0.75</t>
        </is>
      </c>
      <c r="AV939" t="inlineStr">
        <is>
          <t>5</t>
        </is>
      </c>
      <c r="AW939" t="inlineStr">
        <is>
          <t>0</t>
        </is>
      </c>
      <c r="AX939" t="inlineStr">
        <is>
          <t>Not Qualified</t>
        </is>
      </c>
      <c r="AY939" s="4"/>
      <c r="AZ939"/>
      <c r="BA939"/>
      <c r="BB939"/>
      <c r="BC939" t="inlineStr">
        <is>
          <t>considering</t>
        </is>
      </c>
      <c r="BD939" s="4">
        <v>46134.638773148145</v>
      </c>
      <c r="BE939" t="inlineStr">
        <is>
          <t>paid</t>
        </is>
      </c>
      <c r="BF939"/>
      <c r="BG939" t="inlineStr">
        <is>
          <t>Reschedule</t>
        </is>
      </c>
      <c r="BH939" t="inlineStr">
        <is>
          <t>Yee Hang</t>
        </is>
      </c>
      <c r="BI939" t="inlineStr">
        <is>
          <t>General / Wholesale Trading</t>
        </is>
      </c>
      <c r="BJ939" s="4">
        <v>46144.75449074074</v>
      </c>
      <c r="BK939" s="4">
        <v>42564.971817129626</v>
      </c>
      <c r="BL939" t="inlineStr">
        <is>
          <t>0.0</t>
        </is>
      </c>
      <c r="BM939" t="inlineStr">
        <is>
          <t>0.0</t>
        </is>
      </c>
      <c r="BN939" t="inlineStr">
        <is>
          <t>User Visit(Logged In)</t>
        </is>
      </c>
      <c r="BO939" s="4">
        <v>46143.46986111111</v>
      </c>
      <c r="BP939">
        <v>167542</v>
      </c>
      <c r="BQ939">
        <v>123171</v>
      </c>
      <c r="BR939" t="inlineStr">
        <is>
          <t>Proforma</t>
        </is>
      </c>
      <c r="BS939" t="inlineStr">
        <is>
          <t>Free Part-Time Job</t>
        </is>
      </c>
      <c r="BT939"/>
      <c r="BU939"/>
      <c r="BV939">
        <v>2721061</v>
      </c>
      <c r="BW939" t="inlineStr">
        <is>
          <t>Follow Up : Decision Pending</t>
        </is>
      </c>
      <c r="BX939"/>
      <c r="BY939"/>
      <c r="BZ939" s="4"/>
      <c r="CA939"/>
      <c r="CB939"/>
      <c r="CC939" s="4"/>
      <c r="CD939" t="inlineStr">
        <is>
          <t>5</t>
        </is>
      </c>
      <c r="CE939" t="inlineStr">
        <is>
          <t>0</t>
        </is>
      </c>
      <c r="CF939" t="inlineStr">
        <is>
          <t>Q2-W03</t>
        </is>
      </c>
      <c r="CG939" t="inlineStr">
        <is>
          <t>Q2-W03</t>
        </is>
      </c>
      <c r="CH939"/>
      <c r="CI939"/>
      <c r="CJ939" t="inlineStr">
        <is>
          <t>No Paid</t>
        </is>
      </c>
      <c r="CK939" t="inlineStr">
        <is>
          <t>Not Eligible</t>
        </is>
      </c>
      <c r="CL939"/>
      <c r="CM939"/>
    </row>
    <row r="940" ht="25.5" customHeight="1">
      <c r="A940" t="inlineStr">
        <is>
          <t>190260</t>
        </is>
      </c>
      <c r="B940" s="2"/>
      <c r="C940"/>
      <c r="D940" s="3">
        <v>46129.45591435185</v>
      </c>
      <c r="E940" t="inlineStr">
        <is>
          <t>Q2-W03</t>
        </is>
      </c>
      <c r="F940" t="inlineStr">
        <is>
          <t>Fariz</t>
        </is>
      </c>
      <c r="G940" t="inlineStr">
        <is>
          <t>Customer</t>
        </is>
      </c>
      <c r="H940" s="2" t="str">
        <f>=HYPERLINK("https://upbox.ajobthing.my/customer/190260", "https://upbox.ajobthing.my/customer/190260")</f>
        <v>https://upbox.ajobthing.my/customer/190260</v>
      </c>
      <c r="I940" t="inlineStr">
        <is>
          <t>Sohum Wellness Sdn Bhd</t>
        </is>
      </c>
      <c r="J940" t="inlineStr">
        <is>
          <t>Small Fish</t>
        </is>
      </c>
      <c r="K940" t="inlineStr">
        <is>
          <t>Fariz</t>
        </is>
      </c>
      <c r="L940" s="4"/>
      <c r="M940" s="4">
        <v>46129.457395833335</v>
      </c>
      <c r="N940"/>
      <c r="O940">
        <v>3888</v>
      </c>
      <c r="P940" s="4"/>
      <c r="Q940" s="4"/>
      <c r="R940"/>
      <c r="S940"/>
      <c r="T940" s="4"/>
      <c r="U940" s="4"/>
      <c r="V940"/>
      <c r="W940"/>
      <c r="X940"/>
      <c r="Y940" t="inlineStr">
        <is>
          <t>Pending Appointment</t>
        </is>
      </c>
      <c r="Z940" t="inlineStr">
        <is>
          <t>Hiring Now</t>
        </is>
      </c>
      <c r="AA940">
        <v>3</v>
      </c>
      <c r="AB940" t="inlineStr">
        <is>
          <t>No Appointment Made</t>
        </is>
      </c>
      <c r="AC940"/>
      <c r="AD940" t="inlineStr">
        <is>
          <t>2 massage therapist 1 marketing officer</t>
        </is>
      </c>
      <c r="AE940"/>
      <c r="AF940">
        <v>3600</v>
      </c>
      <c r="AG940" s="4"/>
      <c r="AH940" s="4"/>
      <c r="AI940">
        <v>3600</v>
      </c>
      <c r="AJ940"/>
      <c r="AK940" t="inlineStr">
        <is>
          <t>Yes, I have</t>
        </is>
      </c>
      <c r="AL940">
        <v>1</v>
      </c>
      <c r="AM940" t="inlineStr">
        <is>
          <t>No, I don't need at all</t>
        </is>
      </c>
      <c r="AN940"/>
      <c r="AO940" t="inlineStr">
        <is>
          <t>No, but I want in future</t>
        </is>
      </c>
      <c r="AP940" t="inlineStr">
        <is>
          <t>Once a year (25%)</t>
        </is>
      </c>
      <c r="AQ940">
        <v>3</v>
      </c>
      <c r="AR940" t="inlineStr">
        <is>
          <t>Free Job Portal</t>
        </is>
      </c>
      <c r="AS940" t="inlineStr">
        <is>
          <t>- Headcount: 3
- Hiring Job Details: 2 massage therapist, 1 marketing officer
- Hiring Urgency: Hiring Now
- Number of outlets: N/A
- Have recruiter team: Yes
- Number of recruiter in company: 1
- Have ATS system: No, don't need at all
- Have career website: No, but want in future
- Current hiring budget: RM3,600
- Whole year budget: RM3,600.00
- Whole year number of vacancies: 3
- Hiring frequency: Once a year (25%)
- External job portal: Free Job Portal</t>
        </is>
      </c>
      <c r="AT940">
        <v>105</v>
      </c>
      <c r="AU940" t="inlineStr">
        <is>
          <t>1.05</t>
        </is>
      </c>
      <c r="AV940" t="inlineStr">
        <is>
          <t>15</t>
        </is>
      </c>
      <c r="AW940" t="inlineStr">
        <is>
          <t>0</t>
        </is>
      </c>
      <c r="AX940" t="inlineStr">
        <is>
          <t>Not Qualified</t>
        </is>
      </c>
      <c r="AY940" s="4"/>
      <c r="AZ940"/>
      <c r="BA940"/>
      <c r="BB940"/>
      <c r="BC940" t="inlineStr">
        <is>
          <t>they dont need for now as already hire staff. will use for future reference</t>
        </is>
      </c>
      <c r="BD940" s="4">
        <v>46134.65400462963</v>
      </c>
      <c r="BE940"/>
      <c r="BF940"/>
      <c r="BG940" t="inlineStr">
        <is>
          <t>Reschedule</t>
        </is>
      </c>
      <c r="BH940" t="inlineStr">
        <is>
          <t>Edward Hoo</t>
        </is>
      </c>
      <c r="BI940"/>
      <c r="BJ940" s="4">
        <v>46144.75234953704</v>
      </c>
      <c r="BK940" s="4">
        <v>45766.64457175926</v>
      </c>
      <c r="BL940" t="inlineStr">
        <is>
          <t>0.0</t>
        </is>
      </c>
      <c r="BM940" t="inlineStr">
        <is>
          <t>0.0</t>
        </is>
      </c>
      <c r="BN940" t="inlineStr">
        <is>
          <t>User Visit(Logged In)</t>
        </is>
      </c>
      <c r="BO940" s="4">
        <v>45766.64462962963</v>
      </c>
      <c r="BP940">
        <v>167549</v>
      </c>
      <c r="BQ940"/>
      <c r="BR940"/>
      <c r="BS940"/>
      <c r="BT940"/>
      <c r="BU940"/>
      <c r="BV940">
        <v>2721213</v>
      </c>
      <c r="BW940" t="inlineStr">
        <is>
          <t>Follow Up : Lost - Paid Portal</t>
        </is>
      </c>
      <c r="BX940"/>
      <c r="BY940"/>
      <c r="BZ940" s="4"/>
      <c r="CA940"/>
      <c r="CB940"/>
      <c r="CC940" s="4"/>
      <c r="CD940" t="inlineStr">
        <is>
          <t>20</t>
        </is>
      </c>
      <c r="CE940" t="inlineStr">
        <is>
          <t>0</t>
        </is>
      </c>
      <c r="CF940" t="inlineStr">
        <is>
          <t>Q2-W03</t>
        </is>
      </c>
      <c r="CG940"/>
      <c r="CH940"/>
      <c r="CI940"/>
      <c r="CJ940" t="inlineStr">
        <is>
          <t>No Paid</t>
        </is>
      </c>
      <c r="CK940" t="inlineStr">
        <is>
          <t>Not Eligible</t>
        </is>
      </c>
      <c r="CL940"/>
      <c r="CM940"/>
    </row>
    <row r="941" ht="25.5" customHeight="1">
      <c r="A941" t="inlineStr">
        <is>
          <t>25455</t>
        </is>
      </c>
      <c r="B941" s="2"/>
      <c r="C941"/>
      <c r="D941" s="3">
        <v>46129.45998842592</v>
      </c>
      <c r="E941" t="inlineStr">
        <is>
          <t>Q2-W03</t>
        </is>
      </c>
      <c r="F941" t="inlineStr">
        <is>
          <t>Lucas</t>
        </is>
      </c>
      <c r="G941" t="inlineStr">
        <is>
          <t>Customer</t>
        </is>
      </c>
      <c r="H941" s="2" t="str">
        <f>=HYPERLINK("https://upbox.ajobthing.my/customer/25455", "https://upbox.ajobthing.my/customer/25455")</f>
        <v>https://upbox.ajobthing.my/customer/25455</v>
      </c>
      <c r="I941" t="inlineStr">
        <is>
          <t>Zik Sin Electrical Solution</t>
        </is>
      </c>
      <c r="J941" t="inlineStr">
        <is>
          <t>Small Fish</t>
        </is>
      </c>
      <c r="K941" t="inlineStr">
        <is>
          <t>Lucas</t>
        </is>
      </c>
      <c r="L941" s="4"/>
      <c r="M941" s="4">
        <v>46129.45890046296</v>
      </c>
      <c r="N941"/>
      <c r="O941">
        <v>3888</v>
      </c>
      <c r="P941" s="4"/>
      <c r="Q941" s="4">
        <v>46120.62684027778</v>
      </c>
      <c r="R941"/>
      <c r="S941">
        <v>0</v>
      </c>
      <c r="T941" s="4"/>
      <c r="U941" s="4"/>
      <c r="V941"/>
      <c r="W941"/>
      <c r="X941"/>
      <c r="Y941" t="inlineStr">
        <is>
          <t>Pending Appointment</t>
        </is>
      </c>
      <c r="Z941" t="inlineStr">
        <is>
          <t>Hiring Now</t>
        </is>
      </c>
      <c r="AA941">
        <v>3</v>
      </c>
      <c r="AB941" t="inlineStr">
        <is>
          <t>No Appointment Made</t>
        </is>
      </c>
      <c r="AC941"/>
      <c r="AD941" t="inlineStr">
        <is>
          <t>1 site supervisor , 1 accountant  , 1 admin</t>
        </is>
      </c>
      <c r="AE941"/>
      <c r="AF941">
        <v>0</v>
      </c>
      <c r="AG941" s="4"/>
      <c r="AH941" s="4"/>
      <c r="AI941">
        <v>0</v>
      </c>
      <c r="AJ941"/>
      <c r="AK941" t="inlineStr">
        <is>
          <t>No, I don't need at all</t>
        </is>
      </c>
      <c r="AL941">
        <v>0</v>
      </c>
      <c r="AM941" t="inlineStr">
        <is>
          <t>No, I don't need at all</t>
        </is>
      </c>
      <c r="AN941"/>
      <c r="AO941" t="inlineStr">
        <is>
          <t>No, I don't need at all</t>
        </is>
      </c>
      <c r="AP941" t="inlineStr">
        <is>
          <t>Once a year (25%)</t>
        </is>
      </c>
      <c r="AQ941">
        <v>3</v>
      </c>
      <c r="AR941" t="inlineStr">
        <is>
          <t>Did not use any job portal</t>
        </is>
      </c>
      <c r="AS941" t="inlineStr">
        <is>
          <t>- Headcount: 3
- Hiring Job Details: 1 site supervisor, 1 accountant,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is>
      </c>
      <c r="AT941">
        <v>105</v>
      </c>
      <c r="AU941" t="inlineStr">
        <is>
          <t>1.05</t>
        </is>
      </c>
      <c r="AV941" t="inlineStr">
        <is>
          <t>15</t>
        </is>
      </c>
      <c r="AW941" t="inlineStr">
        <is>
          <t>0</t>
        </is>
      </c>
      <c r="AX941" t="inlineStr">
        <is>
          <t>Not Qualified</t>
        </is>
      </c>
      <c r="AY941" s="4"/>
      <c r="AZ941"/>
      <c r="BA941"/>
      <c r="BB941"/>
      <c r="BC941" t="inlineStr">
        <is>
          <t>budget only RM1000</t>
        </is>
      </c>
      <c r="BD941" s="4">
        <v>46142.65746527778</v>
      </c>
      <c r="BE941" t="inlineStr">
        <is>
          <t>paid</t>
        </is>
      </c>
      <c r="BF941"/>
      <c r="BG941" t="inlineStr">
        <is>
          <t>Reschedule</t>
        </is>
      </c>
      <c r="BH941" t="inlineStr">
        <is>
          <t>Yee Hang</t>
        </is>
      </c>
      <c r="BI941"/>
      <c r="BJ941" s="4">
        <v>46144.75446759259</v>
      </c>
      <c r="BK941" s="4">
        <v>42552.46431712963</v>
      </c>
      <c r="BL941" t="inlineStr">
        <is>
          <t>0.0</t>
        </is>
      </c>
      <c r="BM941" t="inlineStr">
        <is>
          <t>0.0</t>
        </is>
      </c>
      <c r="BN941" t="inlineStr">
        <is>
          <t>View Create Job Page</t>
        </is>
      </c>
      <c r="BO941" s="4">
        <v>45132.43796296296</v>
      </c>
      <c r="BP941">
        <v>167551</v>
      </c>
      <c r="BQ941">
        <v>120989</v>
      </c>
      <c r="BR941" t="inlineStr">
        <is>
          <t>Proforma</t>
        </is>
      </c>
      <c r="BS941" t="inlineStr">
        <is>
          <t>Free Internship Job</t>
        </is>
      </c>
      <c r="BT941"/>
      <c r="BU941"/>
      <c r="BV941">
        <v>2738019</v>
      </c>
      <c r="BW941" t="inlineStr">
        <is>
          <t>Follow Up : Budget Concern</t>
        </is>
      </c>
      <c r="BX941"/>
      <c r="BY941"/>
      <c r="BZ941" s="4"/>
      <c r="CA941"/>
      <c r="CB941"/>
      <c r="CC941" s="4"/>
      <c r="CD941" t="inlineStr">
        <is>
          <t>20</t>
        </is>
      </c>
      <c r="CE941" t="inlineStr">
        <is>
          <t>0</t>
        </is>
      </c>
      <c r="CF941" t="inlineStr">
        <is>
          <t>Q2-W03</t>
        </is>
      </c>
      <c r="CG941" t="inlineStr">
        <is>
          <t>Q2-W01</t>
        </is>
      </c>
      <c r="CH941"/>
      <c r="CI941"/>
      <c r="CJ941" t="inlineStr">
        <is>
          <t>No Paid</t>
        </is>
      </c>
      <c r="CK941" t="inlineStr">
        <is>
          <t>Not Eligible</t>
        </is>
      </c>
      <c r="CL941"/>
      <c r="CM941"/>
    </row>
    <row r="942" ht="25.5" customHeight="1">
      <c r="A942" t="inlineStr">
        <is>
          <t>194376</t>
        </is>
      </c>
      <c r="B942" s="2"/>
      <c r="C942"/>
      <c r="D942" s="3">
        <v>46129.47238425926</v>
      </c>
      <c r="E942" t="inlineStr">
        <is>
          <t>Q2-W03</t>
        </is>
      </c>
      <c r="F942" t="inlineStr">
        <is>
          <t>Xin Quan</t>
        </is>
      </c>
      <c r="G942" t="inlineStr">
        <is>
          <t>Customer</t>
        </is>
      </c>
      <c r="H942" s="2" t="str">
        <f>=HYPERLINK("https://upbox.ajobthing.my/customer/194376", "https://upbox.ajobthing.my/customer/194376")</f>
        <v>https://upbox.ajobthing.my/customer/194376</v>
      </c>
      <c r="I942" t="inlineStr">
        <is>
          <t>Remocon Sign Trading</t>
        </is>
      </c>
      <c r="J942" t="inlineStr">
        <is>
          <t>Small Fish</t>
        </is>
      </c>
      <c r="K942" t="inlineStr">
        <is>
          <t>Xin Quan</t>
        </is>
      </c>
      <c r="L942" s="4"/>
      <c r="M942" s="4">
        <v>46111.63166666667</v>
      </c>
      <c r="N942"/>
      <c r="O942">
        <v>864</v>
      </c>
      <c r="P942" s="4"/>
      <c r="Q942" s="4">
        <v>46129.472708333335</v>
      </c>
      <c r="R942"/>
      <c r="S942">
        <v>864</v>
      </c>
      <c r="T942" s="4"/>
      <c r="U942" s="4"/>
      <c r="V942"/>
      <c r="W942"/>
      <c r="X942"/>
      <c r="Y942" t="inlineStr">
        <is>
          <t>Pending Appointment</t>
        </is>
      </c>
      <c r="Z942" t="inlineStr">
        <is>
          <t>Hiring Now</t>
        </is>
      </c>
      <c r="AA942">
        <v>1</v>
      </c>
      <c r="AB942" t="inlineStr">
        <is>
          <t>No Appointment Made</t>
        </is>
      </c>
      <c r="AC942"/>
      <c r="AD942" t="inlineStr">
        <is>
          <t>1 Graphic Design , Base in KL</t>
        </is>
      </c>
      <c r="AE942"/>
      <c r="AF942">
        <v>2000</v>
      </c>
      <c r="AG942" s="4"/>
      <c r="AH942" s="4"/>
      <c r="AI942">
        <v>24000</v>
      </c>
      <c r="AJ942">
        <v>1</v>
      </c>
      <c r="AK942" t="inlineStr">
        <is>
          <t>No, I don't need at all</t>
        </is>
      </c>
      <c r="AL942">
        <v>1</v>
      </c>
      <c r="AM942" t="inlineStr">
        <is>
          <t>No, I don't need at all</t>
        </is>
      </c>
      <c r="AN942"/>
      <c r="AO942" t="inlineStr">
        <is>
          <t>No, I don't need at all</t>
        </is>
      </c>
      <c r="AP942" t="inlineStr">
        <is>
          <t>Once a year (25%)</t>
        </is>
      </c>
      <c r="AQ942">
        <v>1</v>
      </c>
      <c r="AR942"/>
      <c r="AS942" t="inlineStr">
        <is>
          <t>- Headcount: 1
- Hiring Job Details: 1 Graphic Design,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942">
        <v>115</v>
      </c>
      <c r="AU942" t="inlineStr">
        <is>
          <t>1.15</t>
        </is>
      </c>
      <c r="AV942" t="inlineStr">
        <is>
          <t>15</t>
        </is>
      </c>
      <c r="AW942" t="inlineStr">
        <is>
          <t>0</t>
        </is>
      </c>
      <c r="AX942" t="inlineStr">
        <is>
          <t>Not Qualified</t>
        </is>
      </c>
      <c r="AY942" s="4"/>
      <c r="AZ942"/>
      <c r="BA942"/>
      <c r="BB942"/>
      <c r="BC942" t="inlineStr">
        <is>
          <t>NA</t>
        </is>
      </c>
      <c r="BD942" s="4">
        <v>46140.43850694445</v>
      </c>
      <c r="BE942" t="inlineStr">
        <is>
          <t>pending</t>
        </is>
      </c>
      <c r="BF942"/>
      <c r="BG942" t="inlineStr">
        <is>
          <t>Reschedule</t>
        </is>
      </c>
      <c r="BH942" t="inlineStr">
        <is>
          <t>Edward Hoo</t>
        </is>
      </c>
      <c r="BI942"/>
      <c r="BJ942" s="4">
        <v>46144.75269675926</v>
      </c>
      <c r="BK942" s="4">
        <v>45867.87028935185</v>
      </c>
      <c r="BL942" t="inlineStr">
        <is>
          <t>0.0</t>
        </is>
      </c>
      <c r="BM942" t="inlineStr">
        <is>
          <t>0.0</t>
        </is>
      </c>
      <c r="BN942" t="inlineStr">
        <is>
          <t>View Jobmanager Page</t>
        </is>
      </c>
      <c r="BO942" s="4">
        <v>45867.90583333333</v>
      </c>
      <c r="BP942">
        <v>164271</v>
      </c>
      <c r="BQ942">
        <v>122919</v>
      </c>
      <c r="BR942" t="inlineStr">
        <is>
          <t>Proforma</t>
        </is>
      </c>
      <c r="BS942" t="inlineStr">
        <is>
          <t>AI Ala Carte (Jan 26)</t>
        </is>
      </c>
      <c r="BT942"/>
      <c r="BU942"/>
      <c r="BV942">
        <v>2731848</v>
      </c>
      <c r="BW942" t="inlineStr">
        <is>
          <t>No Answer : Voicemail - WA sent to customer</t>
        </is>
      </c>
      <c r="BX942"/>
      <c r="BY942"/>
      <c r="BZ942" s="4"/>
      <c r="CA942"/>
      <c r="CB942"/>
      <c r="CC942" s="4"/>
      <c r="CD942" t="inlineStr">
        <is>
          <t>20</t>
        </is>
      </c>
      <c r="CE942" t="inlineStr">
        <is>
          <t>0</t>
        </is>
      </c>
      <c r="CF942" t="inlineStr">
        <is>
          <t>Q1-W13</t>
        </is>
      </c>
      <c r="CG942" t="inlineStr">
        <is>
          <t>Q2-W03</t>
        </is>
      </c>
      <c r="CH942"/>
      <c r="CI942"/>
      <c r="CJ942" t="inlineStr">
        <is>
          <t>No Paid</t>
        </is>
      </c>
      <c r="CK942" t="inlineStr">
        <is>
          <t>Not Eligible</t>
        </is>
      </c>
      <c r="CL942"/>
      <c r="CM942"/>
    </row>
    <row r="943" ht="25.5" customHeight="1">
      <c r="A943" t="inlineStr">
        <is>
          <t>203311</t>
        </is>
      </c>
      <c r="B943" s="2"/>
      <c r="C943"/>
      <c r="D943" s="3">
        <v>46129.47688657408</v>
      </c>
      <c r="E943" t="inlineStr">
        <is>
          <t>Q2-W03</t>
        </is>
      </c>
      <c r="F943" t="inlineStr">
        <is>
          <t>Ken Yi</t>
        </is>
      </c>
      <c r="G943" t="inlineStr">
        <is>
          <t>Customer</t>
        </is>
      </c>
      <c r="H943" s="2" t="str">
        <f>=HYPERLINK("https://upbox.ajobthing.my/customer/203311", "https://upbox.ajobthing.my/customer/203311")</f>
        <v>https://upbox.ajobthing.my/customer/203311</v>
      </c>
      <c r="I943" t="inlineStr">
        <is>
          <t>Deep Blue Homes Pte Ltd</t>
        </is>
      </c>
      <c r="J943" t="inlineStr">
        <is>
          <t>Small Fish</t>
        </is>
      </c>
      <c r="K943" t="inlineStr">
        <is>
          <t>Kenyi</t>
        </is>
      </c>
      <c r="L943" s="4"/>
      <c r="M943" s="4">
        <v>46133.45936342593</v>
      </c>
      <c r="N943"/>
      <c r="O943">
        <v>3672</v>
      </c>
      <c r="P943" s="4"/>
      <c r="Q943" s="4">
        <v>46133.46539351852</v>
      </c>
      <c r="R943"/>
      <c r="S943">
        <v>3672</v>
      </c>
      <c r="T943" s="4"/>
      <c r="U943" s="4"/>
      <c r="V943"/>
      <c r="W943"/>
      <c r="X943"/>
      <c r="Y943" t="inlineStr">
        <is>
          <t>Pending Appointment</t>
        </is>
      </c>
      <c r="Z943" t="inlineStr">
        <is>
          <t>Hiring Now</t>
        </is>
      </c>
      <c r="AA943">
        <v>1</v>
      </c>
      <c r="AB943" t="inlineStr">
        <is>
          <t>No Appointment Made</t>
        </is>
      </c>
      <c r="AC943"/>
      <c r="AD943" t="inlineStr">
        <is>
          <t>Digital Marketing 1</t>
        </is>
      </c>
      <c r="AE943"/>
      <c r="AF943">
        <v>0</v>
      </c>
      <c r="AG943" s="4"/>
      <c r="AH943" s="4"/>
      <c r="AI943">
        <v>0</v>
      </c>
      <c r="AJ943">
        <v>0</v>
      </c>
      <c r="AK943" t="inlineStr">
        <is>
          <t>Yes, I have</t>
        </is>
      </c>
      <c r="AL943">
        <v>1</v>
      </c>
      <c r="AM943" t="inlineStr">
        <is>
          <t>No, I don't need at all</t>
        </is>
      </c>
      <c r="AN943"/>
      <c r="AO943" t="inlineStr">
        <is>
          <t>No, I don't need at all</t>
        </is>
      </c>
      <c r="AP943" t="inlineStr">
        <is>
          <t>Every month (100%)</t>
        </is>
      </c>
      <c r="AQ943">
        <v>1</v>
      </c>
      <c r="AR943" t="inlineStr">
        <is>
          <t>Jobstreet</t>
        </is>
      </c>
      <c r="AS943" t="inlineStr">
        <is>
          <t>- Headcount: 1
- Hiring Job Details: 1 Digital Marketing
- Hiring Urgency: Hiring Now
- Number of outlets: 0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Jobstreet</t>
        </is>
      </c>
      <c r="AT943">
        <v>110</v>
      </c>
      <c r="AU943" t="inlineStr">
        <is>
          <t>1.10</t>
        </is>
      </c>
      <c r="AV943" t="inlineStr">
        <is>
          <t>15</t>
        </is>
      </c>
      <c r="AW943" t="inlineStr">
        <is>
          <t>0</t>
        </is>
      </c>
      <c r="AX943" t="inlineStr">
        <is>
          <t>Not Qualified</t>
        </is>
      </c>
      <c r="AY943" s="4"/>
      <c r="AZ943"/>
      <c r="BA943"/>
      <c r="BB943"/>
      <c r="BC943" t="inlineStr">
        <is>
          <t>Follow up, potential suddenly rejection from client about the invoice</t>
        </is>
      </c>
      <c r="BD943" s="4">
        <v>46139.69443287037</v>
      </c>
      <c r="BE943" t="inlineStr">
        <is>
          <t>pending</t>
        </is>
      </c>
      <c r="BF943"/>
      <c r="BG943" t="inlineStr">
        <is>
          <t>Reschedule</t>
        </is>
      </c>
      <c r="BH943" t="inlineStr">
        <is>
          <t>Fauziah Maharan</t>
        </is>
      </c>
      <c r="BI943" t="inlineStr">
        <is>
          <t>Advertising / Marketing</t>
        </is>
      </c>
      <c r="BJ943" s="4">
        <v>46144.754282407404</v>
      </c>
      <c r="BK943" s="4">
        <v>46128.57078703704</v>
      </c>
      <c r="BL943" t="inlineStr">
        <is>
          <t>0.0</t>
        </is>
      </c>
      <c r="BM943" t="inlineStr">
        <is>
          <t>0.0</t>
        </is>
      </c>
      <c r="BN943" t="inlineStr">
        <is>
          <t>User Visit(Logged In)</t>
        </is>
      </c>
      <c r="BO943" s="4">
        <v>46129.43819444445</v>
      </c>
      <c r="BP943">
        <v>167974</v>
      </c>
      <c r="BQ943">
        <v>7666</v>
      </c>
      <c r="BR943" t="inlineStr">
        <is>
          <t>Manual</t>
        </is>
      </c>
      <c r="BS943"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943"/>
      <c r="BU943"/>
      <c r="BV943">
        <v>2731262</v>
      </c>
      <c r="BW943" t="inlineStr">
        <is>
          <t>Follow Up : Payment Pending</t>
        </is>
      </c>
      <c r="BX943"/>
      <c r="BY943"/>
      <c r="BZ943" s="4"/>
      <c r="CA943"/>
      <c r="CB943"/>
      <c r="CC943" s="4"/>
      <c r="CD943" t="inlineStr">
        <is>
          <t>20</t>
        </is>
      </c>
      <c r="CE943" t="inlineStr">
        <is>
          <t>0</t>
        </is>
      </c>
      <c r="CF943" t="inlineStr">
        <is>
          <t>Q2-W03</t>
        </is>
      </c>
      <c r="CG943" t="inlineStr">
        <is>
          <t>Q2-W03</t>
        </is>
      </c>
      <c r="CH943"/>
      <c r="CI943"/>
      <c r="CJ943" t="inlineStr">
        <is>
          <t>No Paid</t>
        </is>
      </c>
      <c r="CK943" t="inlineStr">
        <is>
          <t>Not Eligible</t>
        </is>
      </c>
      <c r="CL943"/>
      <c r="CM943"/>
    </row>
    <row r="944" ht="25.5" customHeight="1">
      <c r="A944" t="inlineStr">
        <is>
          <t>189894</t>
        </is>
      </c>
      <c r="B944" s="2"/>
      <c r="C944"/>
      <c r="D944" s="3">
        <v>46129.479050925926</v>
      </c>
      <c r="E944" t="inlineStr">
        <is>
          <t>Q2-W03</t>
        </is>
      </c>
      <c r="F944" t="inlineStr">
        <is>
          <t>Fariz</t>
        </is>
      </c>
      <c r="G944" t="inlineStr">
        <is>
          <t>Customer</t>
        </is>
      </c>
      <c r="H944" s="2" t="str">
        <f>=HYPERLINK("https://upbox.ajobthing.my/customer/189894", "https://upbox.ajobthing.my/customer/189894")</f>
        <v>https://upbox.ajobthing.my/customer/189894</v>
      </c>
      <c r="I944" t="inlineStr">
        <is>
          <t>Cemara Sound And Light</t>
        </is>
      </c>
      <c r="J944" t="inlineStr">
        <is>
          <t>Small Fish</t>
        </is>
      </c>
      <c r="K944" t="inlineStr">
        <is>
          <t>Fariz</t>
        </is>
      </c>
      <c r="L944" s="4"/>
      <c r="M944" s="4">
        <v>46129.4803125</v>
      </c>
      <c r="N944"/>
      <c r="O944">
        <v>1296</v>
      </c>
      <c r="P944" s="4"/>
      <c r="Q944" s="4"/>
      <c r="R944"/>
      <c r="S944"/>
      <c r="T944" s="4"/>
      <c r="U944" s="4"/>
      <c r="V944"/>
      <c r="W944"/>
      <c r="X944"/>
      <c r="Y944" t="inlineStr">
        <is>
          <t>Pending Appointment</t>
        </is>
      </c>
      <c r="Z944" t="inlineStr">
        <is>
          <t>Hiring Now</t>
        </is>
      </c>
      <c r="AA944">
        <v>1</v>
      </c>
      <c r="AB944" t="inlineStr">
        <is>
          <t>No Appointment Made</t>
        </is>
      </c>
      <c r="AC944"/>
      <c r="AD944" t="inlineStr">
        <is>
          <t>1 driver</t>
        </is>
      </c>
      <c r="AE944"/>
      <c r="AF944">
        <v>1200</v>
      </c>
      <c r="AG944" s="4"/>
      <c r="AH944" s="4"/>
      <c r="AI944">
        <v>1200</v>
      </c>
      <c r="AJ944"/>
      <c r="AK944" t="inlineStr">
        <is>
          <t>No, but I want in future</t>
        </is>
      </c>
      <c r="AL944">
        <v>1</v>
      </c>
      <c r="AM944" t="inlineStr">
        <is>
          <t>No, I don't need at all</t>
        </is>
      </c>
      <c r="AN944"/>
      <c r="AO944" t="inlineStr">
        <is>
          <t>No, I don't need at all</t>
        </is>
      </c>
      <c r="AP944" t="inlineStr">
        <is>
          <t>Once a year (25%)</t>
        </is>
      </c>
      <c r="AQ944">
        <v>1</v>
      </c>
      <c r="AR944" t="inlineStr">
        <is>
          <t>Free Job Portal</t>
        </is>
      </c>
      <c r="AS944" t="inlineStr">
        <is>
          <t>- Headcount: 1
- Hiring Job Details: 1 driver
- Hiring Urgency: Hiring Now
- Number of outlets: 
- Have recruiter team: No, but I want in future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944">
        <v>110</v>
      </c>
      <c r="AU944" t="inlineStr">
        <is>
          <t>1.10</t>
        </is>
      </c>
      <c r="AV944" t="inlineStr">
        <is>
          <t>15</t>
        </is>
      </c>
      <c r="AW944" t="inlineStr">
        <is>
          <t>0</t>
        </is>
      </c>
      <c r="AX944" t="inlineStr">
        <is>
          <t>Not Qualified</t>
        </is>
      </c>
      <c r="AY944" s="4"/>
      <c r="AZ944"/>
      <c r="BA944"/>
      <c r="BB944"/>
      <c r="BC944" t="inlineStr">
        <is>
          <t>na</t>
        </is>
      </c>
      <c r="BD944" s="4">
        <v>46141.78611111111</v>
      </c>
      <c r="BE944"/>
      <c r="BF944"/>
      <c r="BG944" t="inlineStr">
        <is>
          <t>Reschedule</t>
        </is>
      </c>
      <c r="BH944" t="inlineStr">
        <is>
          <t>Edward Hoo</t>
        </is>
      </c>
      <c r="BI944"/>
      <c r="BJ944" s="4">
        <v>46144.75232638889</v>
      </c>
      <c r="BK944" s="4">
        <v>45758.5712037037</v>
      </c>
      <c r="BL944" t="inlineStr">
        <is>
          <t>0.0</t>
        </is>
      </c>
      <c r="BM944" t="inlineStr">
        <is>
          <t>600.0</t>
        </is>
      </c>
      <c r="BN944" t="inlineStr">
        <is>
          <t>View Create Job Page</t>
        </is>
      </c>
      <c r="BO944" s="4">
        <v>45758.57487268518</v>
      </c>
      <c r="BP944">
        <v>167560</v>
      </c>
      <c r="BQ944"/>
      <c r="BR944"/>
      <c r="BS944"/>
      <c r="BT944"/>
      <c r="BU944"/>
      <c r="BV944">
        <v>2736396</v>
      </c>
      <c r="BW944" t="inlineStr">
        <is>
          <t>No Answer : Voicemail - WA sent to customer</t>
        </is>
      </c>
      <c r="BX944"/>
      <c r="BY944"/>
      <c r="BZ944" s="4"/>
      <c r="CA944"/>
      <c r="CB944"/>
      <c r="CC944" s="4"/>
      <c r="CD944" t="inlineStr">
        <is>
          <t>20</t>
        </is>
      </c>
      <c r="CE944" t="inlineStr">
        <is>
          <t>0</t>
        </is>
      </c>
      <c r="CF944" t="inlineStr">
        <is>
          <t>Q2-W03</t>
        </is>
      </c>
      <c r="CG944"/>
      <c r="CH944"/>
      <c r="CI944"/>
      <c r="CJ944" t="inlineStr">
        <is>
          <t>No Paid</t>
        </is>
      </c>
      <c r="CK944" t="inlineStr">
        <is>
          <t>Not Eligible</t>
        </is>
      </c>
      <c r="CL944"/>
      <c r="CM944"/>
    </row>
    <row r="945" ht="25.5" customHeight="1">
      <c r="A945" t="inlineStr">
        <is>
          <t>203269</t>
        </is>
      </c>
      <c r="B945" s="2"/>
      <c r="C945"/>
      <c r="D945" s="3">
        <v>46129.48611111111</v>
      </c>
      <c r="E945" t="inlineStr">
        <is>
          <t>Q2-W03</t>
        </is>
      </c>
      <c r="F945" t="inlineStr">
        <is>
          <t>Carmen</t>
        </is>
      </c>
      <c r="G945" t="inlineStr">
        <is>
          <t>Customer</t>
        </is>
      </c>
      <c r="H945" s="2" t="str">
        <f>=HYPERLINK("https://upbox.ajobthing.my/customer/203269", "https://upbox.ajobthing.my/customer/203269")</f>
        <v>https://upbox.ajobthing.my/customer/203269</v>
      </c>
      <c r="I945" t="inlineStr">
        <is>
          <t>Hib Group Sdn Bhd</t>
        </is>
      </c>
      <c r="J945" t="inlineStr">
        <is>
          <t>Small Fish</t>
        </is>
      </c>
      <c r="K945" t="inlineStr">
        <is>
          <t>Carmen</t>
        </is>
      </c>
      <c r="L945" s="4"/>
      <c r="M945" s="4">
        <v>46129.48769675926</v>
      </c>
      <c r="N945"/>
      <c r="O945">
        <v>3888</v>
      </c>
      <c r="P945" s="4"/>
      <c r="Q945" s="4"/>
      <c r="R945"/>
      <c r="S945"/>
      <c r="T945" s="4"/>
      <c r="U945" s="4"/>
      <c r="V945"/>
      <c r="W945"/>
      <c r="X945"/>
      <c r="Y945" t="inlineStr">
        <is>
          <t>Pending Appointment</t>
        </is>
      </c>
      <c r="Z945" t="inlineStr">
        <is>
          <t>Hiring Now</t>
        </is>
      </c>
      <c r="AA945">
        <v>2</v>
      </c>
      <c r="AB945" t="inlineStr">
        <is>
          <t>No Appointment Made</t>
        </is>
      </c>
      <c r="AC945"/>
      <c r="AD945" t="inlineStr">
        <is>
          <t>2 supervisor</t>
        </is>
      </c>
      <c r="AE945"/>
      <c r="AF945">
        <v>0</v>
      </c>
      <c r="AG945" s="4"/>
      <c r="AH945" s="4"/>
      <c r="AI945"/>
      <c r="AJ945"/>
      <c r="AK945"/>
      <c r="AL945"/>
      <c r="AM945"/>
      <c r="AN945"/>
      <c r="AO945"/>
      <c r="AP945"/>
      <c r="AQ945"/>
      <c r="AR945"/>
      <c r="AS945" t="inlineStr">
        <is>
          <t>- Headcount: 2
- Hiring Job Details: 2 supervisor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Not provided
- External job portal: Not provided</t>
        </is>
      </c>
      <c r="AT945">
        <v>70</v>
      </c>
      <c r="AU945" t="inlineStr">
        <is>
          <t>0.70</t>
        </is>
      </c>
      <c r="AV945" t="inlineStr">
        <is>
          <t>15</t>
        </is>
      </c>
      <c r="AW945" t="inlineStr">
        <is>
          <t>0</t>
        </is>
      </c>
      <c r="AX945" t="inlineStr">
        <is>
          <t>Not Qualified</t>
        </is>
      </c>
      <c r="AY945" s="4"/>
      <c r="AZ945"/>
      <c r="BA945"/>
      <c r="BB945"/>
      <c r="BC945" t="inlineStr">
        <is>
          <t>npu wa</t>
        </is>
      </c>
      <c r="BD945" s="4">
        <v>46134.66180555556</v>
      </c>
      <c r="BE945"/>
      <c r="BF945"/>
      <c r="BG945" t="inlineStr">
        <is>
          <t>Reschedule</t>
        </is>
      </c>
      <c r="BH945" t="inlineStr">
        <is>
          <t>Reagen</t>
        </is>
      </c>
      <c r="BI945" t="inlineStr">
        <is>
          <t>Engineering / Technical Consulting</t>
        </is>
      </c>
      <c r="BJ945" s="4">
        <v>46144.75425925926</v>
      </c>
      <c r="BK945" s="4">
        <v>46127.64299768519</v>
      </c>
      <c r="BL945" t="inlineStr">
        <is>
          <t>0.0</t>
        </is>
      </c>
      <c r="BM945" t="inlineStr">
        <is>
          <t>0.0</t>
        </is>
      </c>
      <c r="BN945" t="inlineStr">
        <is>
          <t>View Create Job Page V4</t>
        </is>
      </c>
      <c r="BO945" s="4">
        <v>46127.679606481484</v>
      </c>
      <c r="BP945">
        <v>167566</v>
      </c>
      <c r="BQ945"/>
      <c r="BR945"/>
      <c r="BS945"/>
      <c r="BT945"/>
      <c r="BU945"/>
      <c r="BV945">
        <v>2721277</v>
      </c>
      <c r="BW945" t="inlineStr">
        <is>
          <t>No Answer : Voicemail - WA sent to customer</t>
        </is>
      </c>
      <c r="BX945"/>
      <c r="BY945"/>
      <c r="BZ945" s="4"/>
      <c r="CA945"/>
      <c r="CB945"/>
      <c r="CC945" s="4"/>
      <c r="CD945" t="inlineStr">
        <is>
          <t>20</t>
        </is>
      </c>
      <c r="CE945" t="inlineStr">
        <is>
          <t>0</t>
        </is>
      </c>
      <c r="CF945" t="inlineStr">
        <is>
          <t>Q2-W03</t>
        </is>
      </c>
      <c r="CG945"/>
      <c r="CH945"/>
      <c r="CI945"/>
      <c r="CJ945" t="inlineStr">
        <is>
          <t>No Paid</t>
        </is>
      </c>
      <c r="CK945" t="inlineStr">
        <is>
          <t>Not Eligible</t>
        </is>
      </c>
      <c r="CL945"/>
      <c r="CM945"/>
    </row>
    <row r="946" ht="25.5" customHeight="1">
      <c r="A946" t="inlineStr">
        <is>
          <t>4293965</t>
        </is>
      </c>
      <c r="B946" s="2"/>
      <c r="C946"/>
      <c r="D946" s="3">
        <v>46129.495729166665</v>
      </c>
      <c r="E946" t="inlineStr">
        <is>
          <t>Q2-W03</t>
        </is>
      </c>
      <c r="F946" t="inlineStr">
        <is>
          <t>Luqman</t>
        </is>
      </c>
      <c r="G946" t="inlineStr">
        <is>
          <t>Lead</t>
        </is>
      </c>
      <c r="H946" s="2" t="str">
        <f>=HYPERLINK("https://upbox.ajobthing.my/leads/4293965", "https://upbox.ajobthing.my/leads/4293965")</f>
        <v>https://upbox.ajobthing.my/leads/4293965</v>
      </c>
      <c r="I946" t="inlineStr">
        <is>
          <t>GBJ Realty Sdn Bhd</t>
        </is>
      </c>
      <c r="J946" t="inlineStr">
        <is>
          <t>Small Fish</t>
        </is>
      </c>
      <c r="K946" t="inlineStr">
        <is>
          <t>Luqman</t>
        </is>
      </c>
      <c r="L946" s="4"/>
      <c r="M946" s="4">
        <v>46129.49592592593</v>
      </c>
      <c r="N946"/>
      <c r="O946">
        <v>1296</v>
      </c>
      <c r="P946" s="4"/>
      <c r="Q946" s="4"/>
      <c r="R946"/>
      <c r="S946"/>
      <c r="T946" s="4"/>
      <c r="U946" s="4"/>
      <c r="V946"/>
      <c r="W946"/>
      <c r="X946"/>
      <c r="Y946" t="inlineStr">
        <is>
          <t>Pending Appointment</t>
        </is>
      </c>
      <c r="Z946" t="inlineStr">
        <is>
          <t>Hiring Now</t>
        </is>
      </c>
      <c r="AA946">
        <v>1</v>
      </c>
      <c r="AB946" t="inlineStr">
        <is>
          <t>No Appointment Made</t>
        </is>
      </c>
      <c r="AC946"/>
      <c r="AD946" t="inlineStr">
        <is>
          <t xml:space="preserve">1. Sales </t>
        </is>
      </c>
      <c r="AE946"/>
      <c r="AF946">
        <v>800</v>
      </c>
      <c r="AG946" s="4"/>
      <c r="AH946" s="4"/>
      <c r="AI946">
        <v>800</v>
      </c>
      <c r="AJ946"/>
      <c r="AK946" t="inlineStr">
        <is>
          <t>Yes, I have</t>
        </is>
      </c>
      <c r="AL946">
        <v>1</v>
      </c>
      <c r="AM946" t="inlineStr">
        <is>
          <t>No, I don't need at all</t>
        </is>
      </c>
      <c r="AN946"/>
      <c r="AO946" t="inlineStr">
        <is>
          <t>Yes, I have</t>
        </is>
      </c>
      <c r="AP946" t="inlineStr">
        <is>
          <t>Once a year (25%)</t>
        </is>
      </c>
      <c r="AQ946">
        <v>1</v>
      </c>
      <c r="AR946" t="inlineStr">
        <is>
          <t>Free Job Portal</t>
        </is>
      </c>
      <c r="AS946" t="inlineStr">
        <is>
          <t>- Headcount: 1
- Hiring Job Details: 1 Sales
- Hiring Urgency: Hiring Now
- Number of outlets: 
- Have recruiter team: Yes
- Number of recruiter in company: 1
- Have ATS system: No, I don't need at all
- Have career website: Yes
- Current hiring budget: RM800
- Whole year budget: RM800.00
- Whole year number of vacancies: 1
- Hiring frequency: Once a year (25%)
- External job portal: Free Job Portal</t>
        </is>
      </c>
      <c r="AT946">
        <v>110</v>
      </c>
      <c r="AU946" t="inlineStr">
        <is>
          <t>1.10</t>
        </is>
      </c>
      <c r="AV946" t="inlineStr">
        <is>
          <t>15</t>
        </is>
      </c>
      <c r="AW946" t="inlineStr">
        <is>
          <t>0</t>
        </is>
      </c>
      <c r="AX946" t="inlineStr">
        <is>
          <t>Not Qualified</t>
        </is>
      </c>
      <c r="AY946" s="4"/>
      <c r="AZ946"/>
      <c r="BA946"/>
      <c r="BB946"/>
      <c r="BC946"/>
      <c r="BD946" s="4"/>
      <c r="BE946"/>
      <c r="BF946"/>
      <c r="BG946" t="inlineStr">
        <is>
          <t>Reschedule</t>
        </is>
      </c>
      <c r="BH946" t="inlineStr">
        <is>
          <t>Edward Hoo</t>
        </is>
      </c>
      <c r="BI946"/>
      <c r="BJ946" s="4">
        <v>46144.75585648148</v>
      </c>
      <c r="BK946" s="4">
        <v>46129.48701388889</v>
      </c>
      <c r="BL946" t="inlineStr">
        <is>
          <t>0.0</t>
        </is>
      </c>
      <c r="BM946" t="inlineStr">
        <is>
          <t>0.0</t>
        </is>
      </c>
      <c r="BN946"/>
      <c r="BO946" s="4"/>
      <c r="BP946">
        <v>167576</v>
      </c>
      <c r="BQ946"/>
      <c r="BR946"/>
      <c r="BS946"/>
      <c r="BT946"/>
      <c r="BU946"/>
      <c r="BV946"/>
      <c r="BW946"/>
      <c r="BX946"/>
      <c r="BY946"/>
      <c r="BZ946" s="4"/>
      <c r="CA946"/>
      <c r="CB946"/>
      <c r="CC946" s="4"/>
      <c r="CD946" t="inlineStr">
        <is>
          <t>20</t>
        </is>
      </c>
      <c r="CE946" t="inlineStr">
        <is>
          <t>0</t>
        </is>
      </c>
      <c r="CF946" t="inlineStr">
        <is>
          <t>Q2-W03</t>
        </is>
      </c>
      <c r="CG946"/>
      <c r="CH946"/>
      <c r="CI946"/>
      <c r="CJ946" t="inlineStr">
        <is>
          <t>No Paid</t>
        </is>
      </c>
      <c r="CK946" t="inlineStr">
        <is>
          <t>Not Eligible</t>
        </is>
      </c>
      <c r="CL946"/>
      <c r="CM946"/>
    </row>
    <row r="947" ht="25.5" customHeight="1">
      <c r="A947" t="inlineStr">
        <is>
          <t>201230</t>
        </is>
      </c>
      <c r="B947" s="2"/>
      <c r="C947"/>
      <c r="D947" s="3">
        <v>46129.52275462963</v>
      </c>
      <c r="E947" t="inlineStr">
        <is>
          <t>Q2-W03</t>
        </is>
      </c>
      <c r="F947" t="inlineStr">
        <is>
          <t>Chia Yee</t>
        </is>
      </c>
      <c r="G947" t="inlineStr">
        <is>
          <t>Customer</t>
        </is>
      </c>
      <c r="H947" s="2" t="str">
        <f>=HYPERLINK("https://upbox.ajobthing.my/customer/201230", "https://upbox.ajobthing.my/customer/201230")</f>
        <v>https://upbox.ajobthing.my/customer/201230</v>
      </c>
      <c r="I947" t="inlineStr">
        <is>
          <t xml:space="preserve">Puremysa Hygien Sdn Bhd </t>
        </is>
      </c>
      <c r="J947" t="inlineStr">
        <is>
          <t>Small Fish</t>
        </is>
      </c>
      <c r="K947" t="inlineStr">
        <is>
          <t>Chia Yee</t>
        </is>
      </c>
      <c r="L947" s="4"/>
      <c r="M947" s="4">
        <v>46129.523414351854</v>
      </c>
      <c r="N947"/>
      <c r="O947">
        <v>3888</v>
      </c>
      <c r="P947" s="4"/>
      <c r="Q947" s="4"/>
      <c r="R947"/>
      <c r="S947"/>
      <c r="T947" s="4"/>
      <c r="U947" s="4"/>
      <c r="V947"/>
      <c r="W947"/>
      <c r="X947"/>
      <c r="Y947" t="inlineStr">
        <is>
          <t>Pending Appointment</t>
        </is>
      </c>
      <c r="Z947" t="inlineStr">
        <is>
          <t>Hiring Now</t>
        </is>
      </c>
      <c r="AA947">
        <v>1</v>
      </c>
      <c r="AB947" t="inlineStr">
        <is>
          <t>No Appointment Made</t>
        </is>
      </c>
      <c r="AC947"/>
      <c r="AD947" t="inlineStr">
        <is>
          <t>1 Live host cum video Editor</t>
        </is>
      </c>
      <c r="AE947"/>
      <c r="AF947">
        <v>0</v>
      </c>
      <c r="AG947" s="4"/>
      <c r="AH947" s="4"/>
      <c r="AI947">
        <v>0</v>
      </c>
      <c r="AJ947">
        <v>1</v>
      </c>
      <c r="AK947" t="inlineStr">
        <is>
          <t>No, I don't need at all</t>
        </is>
      </c>
      <c r="AL947">
        <v>1</v>
      </c>
      <c r="AM947" t="inlineStr">
        <is>
          <t>No, I don't need at all</t>
        </is>
      </c>
      <c r="AN947"/>
      <c r="AO947" t="inlineStr">
        <is>
          <t>No, I don't need at all</t>
        </is>
      </c>
      <c r="AP947" t="inlineStr">
        <is>
          <t>Once a year (25%)</t>
        </is>
      </c>
      <c r="AQ947">
        <v>1</v>
      </c>
      <c r="AR947" t="inlineStr">
        <is>
          <t>Did not use any job portal</t>
        </is>
      </c>
      <c r="AS947" t="inlineStr">
        <is>
          <t>- Headcount: 1
- Hiring Job Details: 1 Live host cum video Editor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947">
        <v>110</v>
      </c>
      <c r="AU947" t="inlineStr">
        <is>
          <t>1.10</t>
        </is>
      </c>
      <c r="AV947" t="inlineStr">
        <is>
          <t>15</t>
        </is>
      </c>
      <c r="AW947" t="inlineStr">
        <is>
          <t>0</t>
        </is>
      </c>
      <c r="AX947" t="inlineStr">
        <is>
          <t>Not Qualified</t>
        </is>
      </c>
      <c r="AY947" s="4"/>
      <c r="AZ947"/>
      <c r="BA947"/>
      <c r="BB947"/>
      <c r="BC947" t="inlineStr">
        <is>
          <t>Called, said not free and if interested will call u</t>
        </is>
      </c>
      <c r="BD947" s="4">
        <v>46133.471041666664</v>
      </c>
      <c r="BE947"/>
      <c r="BF947"/>
      <c r="BG947" t="inlineStr">
        <is>
          <t>Reschedule</t>
        </is>
      </c>
      <c r="BH947" t="inlineStr">
        <is>
          <t>Reagen</t>
        </is>
      </c>
      <c r="BI947"/>
      <c r="BJ947" s="4">
        <v>46144.75375</v>
      </c>
      <c r="BK947" s="4">
        <v>46066.041296296295</v>
      </c>
      <c r="BL947" t="inlineStr">
        <is>
          <t>0.0</t>
        </is>
      </c>
      <c r="BM947" t="inlineStr">
        <is>
          <t>0.0</t>
        </is>
      </c>
      <c r="BN947" t="inlineStr">
        <is>
          <t>View Company Page</t>
        </is>
      </c>
      <c r="BO947" s="4">
        <v>46066.04798611111</v>
      </c>
      <c r="BP947">
        <v>167590</v>
      </c>
      <c r="BQ947"/>
      <c r="BR947"/>
      <c r="BS947"/>
      <c r="BT947"/>
      <c r="BU947"/>
      <c r="BV947">
        <v>2717388</v>
      </c>
      <c r="BW947" t="inlineStr">
        <is>
          <t>Follow Up : Budget Concern</t>
        </is>
      </c>
      <c r="BX947"/>
      <c r="BY947"/>
      <c r="BZ947" s="4"/>
      <c r="CA947"/>
      <c r="CB947"/>
      <c r="CC947" s="4"/>
      <c r="CD947" t="inlineStr">
        <is>
          <t>20</t>
        </is>
      </c>
      <c r="CE947" t="inlineStr">
        <is>
          <t>0</t>
        </is>
      </c>
      <c r="CF947" t="inlineStr">
        <is>
          <t>Q2-W03</t>
        </is>
      </c>
      <c r="CG947"/>
      <c r="CH947"/>
      <c r="CI947"/>
      <c r="CJ947" t="inlineStr">
        <is>
          <t>No Paid</t>
        </is>
      </c>
      <c r="CK947" t="inlineStr">
        <is>
          <t>Not Eligible</t>
        </is>
      </c>
      <c r="CL947"/>
      <c r="CM947"/>
    </row>
    <row r="948" ht="25.5" customHeight="1">
      <c r="A948" t="inlineStr">
        <is>
          <t>4293887</t>
        </is>
      </c>
      <c r="B948" s="2"/>
      <c r="C948"/>
      <c r="D948" s="3">
        <v>46129.55694444444</v>
      </c>
      <c r="E948" t="inlineStr">
        <is>
          <t>Q2-W03</t>
        </is>
      </c>
      <c r="F948" t="inlineStr">
        <is>
          <t>Ratha</t>
        </is>
      </c>
      <c r="G948" t="inlineStr">
        <is>
          <t>Lead</t>
        </is>
      </c>
      <c r="H948" s="2" t="str">
        <f>=HYPERLINK("https://upbox.ajobthing.my/leads/4293887", "https://upbox.ajobthing.my/leads/4293887")</f>
        <v>https://upbox.ajobthing.my/leads/4293887</v>
      </c>
      <c r="I948" t="inlineStr">
        <is>
          <t>Anson Funtelz</t>
        </is>
      </c>
      <c r="J948" t="inlineStr">
        <is>
          <t>Small Fish</t>
        </is>
      </c>
      <c r="K948" t="inlineStr">
        <is>
          <t>Ratha</t>
        </is>
      </c>
      <c r="L948" s="4"/>
      <c r="M948" s="4">
        <v>46129.55734953703</v>
      </c>
      <c r="N948"/>
      <c r="O948">
        <v>3888</v>
      </c>
      <c r="P948" s="4"/>
      <c r="Q948" s="4"/>
      <c r="R948"/>
      <c r="S948"/>
      <c r="T948" s="4"/>
      <c r="U948" s="4"/>
      <c r="V948"/>
      <c r="W948"/>
      <c r="X948"/>
      <c r="Y948" t="inlineStr">
        <is>
          <t>Pending Appointment</t>
        </is>
      </c>
      <c r="Z948" t="inlineStr">
        <is>
          <t>Hiring Now</t>
        </is>
      </c>
      <c r="AA948">
        <v>2</v>
      </c>
      <c r="AB948" t="inlineStr">
        <is>
          <t>No Appointment Made</t>
        </is>
      </c>
      <c r="AC948"/>
      <c r="AD948" t="inlineStr">
        <is>
          <t>Account assistant : 1 
receptionist :1
Location : JB</t>
        </is>
      </c>
      <c r="AE948"/>
      <c r="AF948"/>
      <c r="AG948" s="4"/>
      <c r="AH948" s="4"/>
      <c r="AI948">
        <v>0</v>
      </c>
      <c r="AJ948">
        <v>1</v>
      </c>
      <c r="AK948" t="inlineStr">
        <is>
          <t>Yes, I have</t>
        </is>
      </c>
      <c r="AL948">
        <v>2</v>
      </c>
      <c r="AM948" t="inlineStr">
        <is>
          <t>No, I don't need at all</t>
        </is>
      </c>
      <c r="AN948"/>
      <c r="AO948" t="inlineStr">
        <is>
          <t>No, I don't need at all</t>
        </is>
      </c>
      <c r="AP948" t="inlineStr">
        <is>
          <t>Twice a year (50%)</t>
        </is>
      </c>
      <c r="AQ948">
        <v>0</v>
      </c>
      <c r="AR948" t="inlineStr">
        <is>
          <t>Did not use any job portal</t>
        </is>
      </c>
      <c r="AS948" t="inlineStr">
        <is>
          <t>- Headcount: 2
- Hiring Job Details: 1 Account assistant, 1 receptionist (Location: JB)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t>
        </is>
      </c>
      <c r="AT948">
        <v>110</v>
      </c>
      <c r="AU948" t="inlineStr">
        <is>
          <t>1.10</t>
        </is>
      </c>
      <c r="AV948" t="inlineStr">
        <is>
          <t>5</t>
        </is>
      </c>
      <c r="AW948" t="inlineStr">
        <is>
          <t>0</t>
        </is>
      </c>
      <c r="AX948" t="inlineStr">
        <is>
          <t>Not Qualified</t>
        </is>
      </c>
      <c r="AY948" s="4"/>
      <c r="AZ948"/>
      <c r="BA948"/>
      <c r="BB948"/>
      <c r="BC948"/>
      <c r="BD948" s="4"/>
      <c r="BE948"/>
      <c r="BF948"/>
      <c r="BG948" t="inlineStr">
        <is>
          <t>Reschedule</t>
        </is>
      </c>
      <c r="BH948" t="inlineStr">
        <is>
          <t>Fauziah Maharan</t>
        </is>
      </c>
      <c r="BI948"/>
      <c r="BJ948" s="4">
        <v>46144.75585648148</v>
      </c>
      <c r="BK948" s="4">
        <v>46129.47704861111</v>
      </c>
      <c r="BL948" t="inlineStr">
        <is>
          <t>0.0</t>
        </is>
      </c>
      <c r="BM948" t="inlineStr">
        <is>
          <t>1650.0</t>
        </is>
      </c>
      <c r="BN948"/>
      <c r="BO948" s="4"/>
      <c r="BP948">
        <v>167594</v>
      </c>
      <c r="BQ948"/>
      <c r="BR948"/>
      <c r="BS948"/>
      <c r="BT948"/>
      <c r="BU948"/>
      <c r="BV948"/>
      <c r="BW948"/>
      <c r="BX948"/>
      <c r="BY948"/>
      <c r="BZ948" s="4"/>
      <c r="CA948"/>
      <c r="CB948"/>
      <c r="CC948" s="4"/>
      <c r="CD948" t="inlineStr">
        <is>
          <t>5</t>
        </is>
      </c>
      <c r="CE948" t="inlineStr">
        <is>
          <t>0</t>
        </is>
      </c>
      <c r="CF948" t="inlineStr">
        <is>
          <t>Q2-W03</t>
        </is>
      </c>
      <c r="CG948"/>
      <c r="CH948"/>
      <c r="CI948"/>
      <c r="CJ948" t="inlineStr">
        <is>
          <t>No Paid</t>
        </is>
      </c>
      <c r="CK948" t="inlineStr">
        <is>
          <t>Not Eligible</t>
        </is>
      </c>
      <c r="CL948"/>
      <c r="CM948"/>
    </row>
    <row r="949" ht="25.5" customHeight="1">
      <c r="A949" t="inlineStr">
        <is>
          <t>4293763</t>
        </is>
      </c>
      <c r="B949" s="2"/>
      <c r="C949"/>
      <c r="D949" s="3">
        <v>46129.56596064815</v>
      </c>
      <c r="E949" t="inlineStr">
        <is>
          <t>Q2-W03</t>
        </is>
      </c>
      <c r="F949" t="inlineStr">
        <is>
          <t>Dickson</t>
        </is>
      </c>
      <c r="G949" t="inlineStr">
        <is>
          <t>Lead</t>
        </is>
      </c>
      <c r="H949" s="2" t="str">
        <f>=HYPERLINK("https://upbox.ajobthing.my/leads/4293763", "https://upbox.ajobthing.my/leads/4293763")</f>
        <v>https://upbox.ajobthing.my/leads/4293763</v>
      </c>
      <c r="I949" t="inlineStr">
        <is>
          <t>Duta kimia (M) Sdn Bhd</t>
        </is>
      </c>
      <c r="J949" t="inlineStr">
        <is>
          <t>Small Fish</t>
        </is>
      </c>
      <c r="K949" t="inlineStr">
        <is>
          <t>Dickson</t>
        </is>
      </c>
      <c r="L949" s="4"/>
      <c r="M949" s="4">
        <v>46129.56652777778</v>
      </c>
      <c r="N949"/>
      <c r="O949">
        <v>1296</v>
      </c>
      <c r="P949" s="4"/>
      <c r="Q949" s="4"/>
      <c r="R949"/>
      <c r="S949"/>
      <c r="T949" s="4"/>
      <c r="U949" s="4"/>
      <c r="V949"/>
      <c r="W949"/>
      <c r="X949"/>
      <c r="Y949" t="inlineStr">
        <is>
          <t>Pending Appointment</t>
        </is>
      </c>
      <c r="Z949" t="inlineStr">
        <is>
          <t>Hiring Now</t>
        </is>
      </c>
      <c r="AA949">
        <v>1</v>
      </c>
      <c r="AB949" t="inlineStr">
        <is>
          <t>No Appointment Made</t>
        </is>
      </c>
      <c r="AC949"/>
      <c r="AD949" t="inlineStr">
        <is>
          <t>1 technical and marketing assistant</t>
        </is>
      </c>
      <c r="AE949"/>
      <c r="AF949"/>
      <c r="AG949" s="4"/>
      <c r="AH949" s="4"/>
      <c r="AI949"/>
      <c r="AJ949">
        <v>1</v>
      </c>
      <c r="AK949" t="inlineStr">
        <is>
          <t>No, I don't need at all</t>
        </is>
      </c>
      <c r="AL949"/>
      <c r="AM949" t="inlineStr">
        <is>
          <t>No, I don't need at all</t>
        </is>
      </c>
      <c r="AN949"/>
      <c r="AO949" t="inlineStr">
        <is>
          <t>No, I don't need at all</t>
        </is>
      </c>
      <c r="AP949" t="inlineStr">
        <is>
          <t>Once per quarter (75%)</t>
        </is>
      </c>
      <c r="AQ949"/>
      <c r="AR949"/>
      <c r="AS949" t="inlineStr">
        <is>
          <t>- Headcount: 1
- Hiring Job Details: 1 technical and marketing assistant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949">
        <v>90</v>
      </c>
      <c r="AU949" t="inlineStr">
        <is>
          <t>0.90</t>
        </is>
      </c>
      <c r="AV949" t="inlineStr">
        <is>
          <t>5</t>
        </is>
      </c>
      <c r="AW949" t="inlineStr">
        <is>
          <t>0</t>
        </is>
      </c>
      <c r="AX949" t="inlineStr">
        <is>
          <t>Not Qualified</t>
        </is>
      </c>
      <c r="AY949" s="4"/>
      <c r="AZ949"/>
      <c r="BA949"/>
      <c r="BB949"/>
      <c r="BC949"/>
      <c r="BD949" s="4"/>
      <c r="BE949"/>
      <c r="BF949"/>
      <c r="BG949" t="inlineStr">
        <is>
          <t>Reschedule</t>
        </is>
      </c>
      <c r="BH949" t="inlineStr">
        <is>
          <t>Edward Hoo</t>
        </is>
      </c>
      <c r="BI949"/>
      <c r="BJ949" s="4">
        <v>46144.75585648148</v>
      </c>
      <c r="BK949" s="4">
        <v>46129.46262731482</v>
      </c>
      <c r="BL949" t="inlineStr">
        <is>
          <t>0.0</t>
        </is>
      </c>
      <c r="BM949" t="inlineStr">
        <is>
          <t>0.0</t>
        </is>
      </c>
      <c r="BN949"/>
      <c r="BO949" s="4"/>
      <c r="BP949">
        <v>167597</v>
      </c>
      <c r="BQ949"/>
      <c r="BR949"/>
      <c r="BS949"/>
      <c r="BT949"/>
      <c r="BU949"/>
      <c r="BV949"/>
      <c r="BW949"/>
      <c r="BX949"/>
      <c r="BY949"/>
      <c r="BZ949" s="4"/>
      <c r="CA949"/>
      <c r="CB949"/>
      <c r="CC949" s="4"/>
      <c r="CD949" t="inlineStr">
        <is>
          <t>5</t>
        </is>
      </c>
      <c r="CE949" t="inlineStr">
        <is>
          <t>0</t>
        </is>
      </c>
      <c r="CF949" t="inlineStr">
        <is>
          <t>Q2-W03</t>
        </is>
      </c>
      <c r="CG949"/>
      <c r="CH949"/>
      <c r="CI949"/>
      <c r="CJ949" t="inlineStr">
        <is>
          <t>No Paid</t>
        </is>
      </c>
      <c r="CK949" t="inlineStr">
        <is>
          <t>Not Eligible</t>
        </is>
      </c>
      <c r="CL949"/>
      <c r="CM949"/>
    </row>
    <row r="950" ht="25.5" customHeight="1">
      <c r="A950" t="inlineStr">
        <is>
          <t>4293783</t>
        </is>
      </c>
      <c r="B950" s="2"/>
      <c r="C950"/>
      <c r="D950" s="3">
        <v>46129.57512731481</v>
      </c>
      <c r="E950" t="inlineStr">
        <is>
          <t>Q2-W03</t>
        </is>
      </c>
      <c r="F950" t="inlineStr">
        <is>
          <t>Evan</t>
        </is>
      </c>
      <c r="G950" t="inlineStr">
        <is>
          <t>Lead</t>
        </is>
      </c>
      <c r="H950" s="2" t="str">
        <f>=HYPERLINK("https://upbox.ajobthing.my/leads/4293783", "https://upbox.ajobthing.my/leads/4293783")</f>
        <v>https://upbox.ajobthing.my/leads/4293783</v>
      </c>
      <c r="I950" t="inlineStr">
        <is>
          <t>Micro-Zone Resources Sdn Bhd</t>
        </is>
      </c>
      <c r="J950" t="inlineStr">
        <is>
          <t>Small Fish</t>
        </is>
      </c>
      <c r="K950" t="inlineStr">
        <is>
          <t>Evan</t>
        </is>
      </c>
      <c r="L950" s="4"/>
      <c r="M950" s="4">
        <v>46129.57460648148</v>
      </c>
      <c r="N950"/>
      <c r="O950">
        <v>3888</v>
      </c>
      <c r="P950" s="4"/>
      <c r="Q950" s="4"/>
      <c r="R950"/>
      <c r="S950"/>
      <c r="T950" s="4"/>
      <c r="U950" s="4"/>
      <c r="V950"/>
      <c r="W950"/>
      <c r="X950"/>
      <c r="Y950" t="inlineStr">
        <is>
          <t>Pending Appointment</t>
        </is>
      </c>
      <c r="Z950" t="inlineStr">
        <is>
          <t>Hiring Now</t>
        </is>
      </c>
      <c r="AA950">
        <v>1</v>
      </c>
      <c r="AB950" t="inlineStr">
        <is>
          <t>No Appointment Made</t>
        </is>
      </c>
      <c r="AC950"/>
      <c r="AD950" t="inlineStr">
        <is>
          <t>1 admin, all base in KL</t>
        </is>
      </c>
      <c r="AE950"/>
      <c r="AF950">
        <v>1</v>
      </c>
      <c r="AG950" s="4"/>
      <c r="AH950" s="4"/>
      <c r="AI950">
        <v>1</v>
      </c>
      <c r="AJ950">
        <v>1</v>
      </c>
      <c r="AK950" t="inlineStr">
        <is>
          <t>No, I don't need at all</t>
        </is>
      </c>
      <c r="AL950">
        <v>0</v>
      </c>
      <c r="AM950" t="inlineStr">
        <is>
          <t>No, I don't need at all</t>
        </is>
      </c>
      <c r="AN950"/>
      <c r="AO950" t="inlineStr">
        <is>
          <t>No, I don't need at all</t>
        </is>
      </c>
      <c r="AP950" t="inlineStr">
        <is>
          <t>Once a year (25%)</t>
        </is>
      </c>
      <c r="AQ950">
        <v>1</v>
      </c>
      <c r="AR950" t="inlineStr">
        <is>
          <t>Did not use any job portal</t>
        </is>
      </c>
      <c r="AS950"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950">
        <v>115</v>
      </c>
      <c r="AU950" t="inlineStr">
        <is>
          <t>1.15</t>
        </is>
      </c>
      <c r="AV950" t="inlineStr">
        <is>
          <t>15</t>
        </is>
      </c>
      <c r="AW950" t="inlineStr">
        <is>
          <t>0</t>
        </is>
      </c>
      <c r="AX950" t="inlineStr">
        <is>
          <t>Not Qualified</t>
        </is>
      </c>
      <c r="AY950" s="4"/>
      <c r="AZ950"/>
      <c r="BA950"/>
      <c r="BB950"/>
      <c r="BC950"/>
      <c r="BD950" s="4"/>
      <c r="BE950"/>
      <c r="BF950"/>
      <c r="BG950" t="inlineStr">
        <is>
          <t>Reschedule</t>
        </is>
      </c>
      <c r="BH950" t="inlineStr">
        <is>
          <t>Edward Hoo</t>
        </is>
      </c>
      <c r="BI950"/>
      <c r="BJ950" s="4">
        <v>46144.75585648148</v>
      </c>
      <c r="BK950" s="4">
        <v>46129.46414351852</v>
      </c>
      <c r="BL950" t="inlineStr">
        <is>
          <t>0.0</t>
        </is>
      </c>
      <c r="BM950" t="inlineStr">
        <is>
          <t>0.0</t>
        </is>
      </c>
      <c r="BN950"/>
      <c r="BO950" s="4"/>
      <c r="BP950">
        <v>167599</v>
      </c>
      <c r="BQ950"/>
      <c r="BR950"/>
      <c r="BS950"/>
      <c r="BT950"/>
      <c r="BU950"/>
      <c r="BV950"/>
      <c r="BW950"/>
      <c r="BX950"/>
      <c r="BY950"/>
      <c r="BZ950" s="4"/>
      <c r="CA950"/>
      <c r="CB950"/>
      <c r="CC950" s="4"/>
      <c r="CD950" t="inlineStr">
        <is>
          <t>20</t>
        </is>
      </c>
      <c r="CE950" t="inlineStr">
        <is>
          <t>0</t>
        </is>
      </c>
      <c r="CF950" t="inlineStr">
        <is>
          <t>Q2-W03</t>
        </is>
      </c>
      <c r="CG950"/>
      <c r="CH950"/>
      <c r="CI950"/>
      <c r="CJ950" t="inlineStr">
        <is>
          <t>No Paid</t>
        </is>
      </c>
      <c r="CK950" t="inlineStr">
        <is>
          <t>Not Eligible</t>
        </is>
      </c>
      <c r="CL950"/>
      <c r="CM950"/>
    </row>
    <row r="951" ht="25.5" customHeight="1">
      <c r="A951" t="inlineStr">
        <is>
          <t>4294117</t>
        </is>
      </c>
      <c r="B951" s="2"/>
      <c r="C951"/>
      <c r="D951" s="3">
        <v>46129.576273148145</v>
      </c>
      <c r="E951" t="inlineStr">
        <is>
          <t>Q2-W03</t>
        </is>
      </c>
      <c r="F951" t="inlineStr">
        <is>
          <t>Carmen</t>
        </is>
      </c>
      <c r="G951" t="inlineStr">
        <is>
          <t>Lead</t>
        </is>
      </c>
      <c r="H951" s="2" t="str">
        <f>=HYPERLINK("https://upbox.ajobthing.my/leads/4294117", "https://upbox.ajobthing.my/leads/4294117")</f>
        <v>https://upbox.ajobthing.my/leads/4294117</v>
      </c>
      <c r="I951" t="inlineStr">
        <is>
          <t>CCK</t>
        </is>
      </c>
      <c r="J951" t="inlineStr">
        <is>
          <t>Small Fish</t>
        </is>
      </c>
      <c r="K951" t="inlineStr">
        <is>
          <t>Carmen</t>
        </is>
      </c>
      <c r="L951" s="4"/>
      <c r="M951" s="4">
        <v>46129.576527777775</v>
      </c>
      <c r="N951"/>
      <c r="O951">
        <v>3888</v>
      </c>
      <c r="P951" s="4"/>
      <c r="Q951" s="4"/>
      <c r="R951"/>
      <c r="S951"/>
      <c r="T951" s="4"/>
      <c r="U951" s="4"/>
      <c r="V951"/>
      <c r="W951"/>
      <c r="X951"/>
      <c r="Y951" t="inlineStr">
        <is>
          <t>Pending Appointment</t>
        </is>
      </c>
      <c r="Z951" t="inlineStr">
        <is>
          <t>Hiring Now</t>
        </is>
      </c>
      <c r="AA951">
        <v>2</v>
      </c>
      <c r="AB951" t="inlineStr">
        <is>
          <t>No Appointment Made</t>
        </is>
      </c>
      <c r="AC951"/>
      <c r="AD951" t="inlineStr">
        <is>
          <t>1 account exec ; 1 admin assistant</t>
        </is>
      </c>
      <c r="AE951"/>
      <c r="AF951">
        <v>0</v>
      </c>
      <c r="AG951" s="4"/>
      <c r="AH951" s="4"/>
      <c r="AI951"/>
      <c r="AJ951"/>
      <c r="AK951"/>
      <c r="AL951"/>
      <c r="AM951"/>
      <c r="AN951"/>
      <c r="AO951"/>
      <c r="AP951"/>
      <c r="AQ951"/>
      <c r="AR951"/>
      <c r="AS951" t="inlineStr">
        <is>
          <t>- Headcount: 2
- Hiring Job Details: 1 account exec ; 1 admin assistant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951">
        <v>75</v>
      </c>
      <c r="AU951" t="inlineStr">
        <is>
          <t>0.75</t>
        </is>
      </c>
      <c r="AV951" t="inlineStr">
        <is>
          <t>15</t>
        </is>
      </c>
      <c r="AW951" t="inlineStr">
        <is>
          <t>0</t>
        </is>
      </c>
      <c r="AX951" t="inlineStr">
        <is>
          <t>Not Qualified</t>
        </is>
      </c>
      <c r="AY951" s="4"/>
      <c r="AZ951"/>
      <c r="BA951"/>
      <c r="BB951"/>
      <c r="BC951"/>
      <c r="BD951" s="4"/>
      <c r="BE951"/>
      <c r="BF951"/>
      <c r="BG951" t="inlineStr">
        <is>
          <t>Reschedule</t>
        </is>
      </c>
      <c r="BH951" t="inlineStr">
        <is>
          <t>Reagen</t>
        </is>
      </c>
      <c r="BI951"/>
      <c r="BJ951" s="4">
        <v>46144.75585648148</v>
      </c>
      <c r="BK951" s="4">
        <v>46129.506261574075</v>
      </c>
      <c r="BL951" t="inlineStr">
        <is>
          <t>0.0</t>
        </is>
      </c>
      <c r="BM951" t="inlineStr">
        <is>
          <t>0.0</t>
        </is>
      </c>
      <c r="BN951"/>
      <c r="BO951" s="4"/>
      <c r="BP951">
        <v>167600</v>
      </c>
      <c r="BQ951"/>
      <c r="BR951"/>
      <c r="BS951"/>
      <c r="BT951"/>
      <c r="BU951"/>
      <c r="BV951"/>
      <c r="BW951"/>
      <c r="BX951"/>
      <c r="BY951"/>
      <c r="BZ951" s="4"/>
      <c r="CA951"/>
      <c r="CB951"/>
      <c r="CC951" s="4"/>
      <c r="CD951" t="inlineStr">
        <is>
          <t>20</t>
        </is>
      </c>
      <c r="CE951" t="inlineStr">
        <is>
          <t>0</t>
        </is>
      </c>
      <c r="CF951" t="inlineStr">
        <is>
          <t>Q2-W03</t>
        </is>
      </c>
      <c r="CG951"/>
      <c r="CH951"/>
      <c r="CI951"/>
      <c r="CJ951" t="inlineStr">
        <is>
          <t>No Paid</t>
        </is>
      </c>
      <c r="CK951" t="inlineStr">
        <is>
          <t>Not Eligible</t>
        </is>
      </c>
      <c r="CL951"/>
      <c r="CM951"/>
    </row>
    <row r="952" ht="25.5" customHeight="1">
      <c r="A952" t="inlineStr">
        <is>
          <t>203155</t>
        </is>
      </c>
      <c r="B952" s="2"/>
      <c r="C952"/>
      <c r="D952" s="3">
        <v>46129.58063657407</v>
      </c>
      <c r="E952" t="inlineStr">
        <is>
          <t>Q2-W03</t>
        </is>
      </c>
      <c r="F952" t="inlineStr">
        <is>
          <t>Clover</t>
        </is>
      </c>
      <c r="G952" t="inlineStr">
        <is>
          <t>Customer</t>
        </is>
      </c>
      <c r="H952" s="2" t="str">
        <f>=HYPERLINK("https://upbox.ajobthing.my/customer/203155", "https://upbox.ajobthing.my/customer/203155")</f>
        <v>https://upbox.ajobthing.my/customer/203155</v>
      </c>
      <c r="I952" t="inlineStr">
        <is>
          <t>HOWE HAIR &amp; SCALP STUDIO</t>
        </is>
      </c>
      <c r="J952" t="inlineStr">
        <is>
          <t>Small Fish</t>
        </is>
      </c>
      <c r="K952" t="inlineStr">
        <is>
          <t>Clover</t>
        </is>
      </c>
      <c r="L952" s="4"/>
      <c r="M952" s="4">
        <v>46129.58086805556</v>
      </c>
      <c r="N952"/>
      <c r="O952">
        <v>3888</v>
      </c>
      <c r="P952" s="4"/>
      <c r="Q952" s="4"/>
      <c r="R952"/>
      <c r="S952"/>
      <c r="T952" s="4"/>
      <c r="U952" s="4"/>
      <c r="V952"/>
      <c r="W952"/>
      <c r="X952"/>
      <c r="Y952" t="inlineStr">
        <is>
          <t>Pending Appointment</t>
        </is>
      </c>
      <c r="Z952" t="inlineStr">
        <is>
          <t>Hiring Now</t>
        </is>
      </c>
      <c r="AA952">
        <v>1</v>
      </c>
      <c r="AB952" t="inlineStr">
        <is>
          <t>No Appointment Made</t>
        </is>
      </c>
      <c r="AC952"/>
      <c r="AD952" t="inlineStr">
        <is>
          <t>Hire hair salon assistant x1 chi,  salaon Bangsar, suggest stand</t>
        </is>
      </c>
      <c r="AE952"/>
      <c r="AF952">
        <v>3000</v>
      </c>
      <c r="AG952" s="4"/>
      <c r="AH952" s="4"/>
      <c r="AI952">
        <v>3000</v>
      </c>
      <c r="AJ952">
        <v>1</v>
      </c>
      <c r="AK952" t="inlineStr">
        <is>
          <t>No, but I want in future</t>
        </is>
      </c>
      <c r="AL952">
        <v>1</v>
      </c>
      <c r="AM952" t="inlineStr">
        <is>
          <t>No, but I want in future</t>
        </is>
      </c>
      <c r="AN952"/>
      <c r="AO952" t="inlineStr">
        <is>
          <t>No, but I want in future</t>
        </is>
      </c>
      <c r="AP952" t="inlineStr">
        <is>
          <t>Twice a year (50%)</t>
        </is>
      </c>
      <c r="AQ952">
        <v>1</v>
      </c>
      <c r="AR952" t="inlineStr">
        <is>
          <t>Did not use any job portal</t>
        </is>
      </c>
      <c r="AS952" t="inlineStr">
        <is>
          <t>- Headcount: 1
- Hiring Job Details: 1 hair salon assistant (chi), salon Bangsar,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952">
        <v>115</v>
      </c>
      <c r="AU952" t="inlineStr">
        <is>
          <t>1.15</t>
        </is>
      </c>
      <c r="AV952" t="inlineStr">
        <is>
          <t>15</t>
        </is>
      </c>
      <c r="AW952" t="inlineStr">
        <is>
          <t>0</t>
        </is>
      </c>
      <c r="AX952" t="inlineStr">
        <is>
          <t>Not Qualified</t>
        </is>
      </c>
      <c r="AY952" s="4"/>
      <c r="AZ952"/>
      <c r="BA952"/>
      <c r="BB952"/>
      <c r="BC952" t="inlineStr">
        <is>
          <t>Too expensive, prefer other portal</t>
        </is>
      </c>
      <c r="BD952" s="4">
        <v>46134.67476851852</v>
      </c>
      <c r="BE952"/>
      <c r="BF952"/>
      <c r="BG952" t="inlineStr">
        <is>
          <t>Reschedule</t>
        </is>
      </c>
      <c r="BH952" t="inlineStr">
        <is>
          <t>Reagen</t>
        </is>
      </c>
      <c r="BI952"/>
      <c r="BJ952" s="4">
        <v>46144.75423611111</v>
      </c>
      <c r="BK952" s="4">
        <v>46125.496354166666</v>
      </c>
      <c r="BL952" t="inlineStr">
        <is>
          <t>0.0</t>
        </is>
      </c>
      <c r="BM952" t="inlineStr">
        <is>
          <t>150.0</t>
        </is>
      </c>
      <c r="BN952"/>
      <c r="BO952" s="4"/>
      <c r="BP952">
        <v>167601</v>
      </c>
      <c r="BQ952"/>
      <c r="BR952"/>
      <c r="BS952"/>
      <c r="BT952"/>
      <c r="BU952"/>
      <c r="BV952">
        <v>2721387</v>
      </c>
      <c r="BW952" t="inlineStr">
        <is>
          <t>Follow Up : Lost - Free Portal</t>
        </is>
      </c>
      <c r="BX952"/>
      <c r="BY952"/>
      <c r="BZ952" s="4"/>
      <c r="CA952"/>
      <c r="CB952"/>
      <c r="CC952" s="4"/>
      <c r="CD952" t="inlineStr">
        <is>
          <t>20</t>
        </is>
      </c>
      <c r="CE952" t="inlineStr">
        <is>
          <t>0</t>
        </is>
      </c>
      <c r="CF952" t="inlineStr">
        <is>
          <t>Q2-W03</t>
        </is>
      </c>
      <c r="CG952"/>
      <c r="CH952"/>
      <c r="CI952"/>
      <c r="CJ952" t="inlineStr">
        <is>
          <t>No Paid</t>
        </is>
      </c>
      <c r="CK952" t="inlineStr">
        <is>
          <t>Not Eligible</t>
        </is>
      </c>
      <c r="CL952"/>
      <c r="CM952"/>
    </row>
    <row r="953" ht="25.5" customHeight="1">
      <c r="A953" t="inlineStr">
        <is>
          <t>194157</t>
        </is>
      </c>
      <c r="B953" s="2"/>
      <c r="C953"/>
      <c r="D953" s="3">
        <v>46129.58280092593</v>
      </c>
      <c r="E953" t="inlineStr">
        <is>
          <t>Q2-W03</t>
        </is>
      </c>
      <c r="F953" t="inlineStr">
        <is>
          <t>Xin Hui</t>
        </is>
      </c>
      <c r="G953" t="inlineStr">
        <is>
          <t>Customer</t>
        </is>
      </c>
      <c r="H953" s="2" t="str">
        <f>=HYPERLINK("https://upbox.ajobthing.my/customer/194157", "https://upbox.ajobthing.my/customer/194157")</f>
        <v>https://upbox.ajobthing.my/customer/194157</v>
      </c>
      <c r="I953" t="inlineStr">
        <is>
          <t xml:space="preserve">Ice Dynasty </t>
        </is>
      </c>
      <c r="J953" t="inlineStr">
        <is>
          <t>Small Fish</t>
        </is>
      </c>
      <c r="K953" t="inlineStr">
        <is>
          <t>Xin Hui</t>
        </is>
      </c>
      <c r="L953" s="4"/>
      <c r="M953" s="4">
        <v>46129.58325231481</v>
      </c>
      <c r="N953"/>
      <c r="O953">
        <v>3888</v>
      </c>
      <c r="P953" s="4"/>
      <c r="Q953" s="4"/>
      <c r="R953"/>
      <c r="S953"/>
      <c r="T953" s="4"/>
      <c r="U953" s="4"/>
      <c r="V953"/>
      <c r="W953"/>
      <c r="X953"/>
      <c r="Y953" t="inlineStr">
        <is>
          <t>Pending Appointment</t>
        </is>
      </c>
      <c r="Z953" t="inlineStr">
        <is>
          <t>Hiring Now</t>
        </is>
      </c>
      <c r="AA953">
        <v>1</v>
      </c>
      <c r="AB953" t="inlineStr">
        <is>
          <t>No Appointment Made</t>
        </is>
      </c>
      <c r="AC953"/>
      <c r="AD953" t="inlineStr">
        <is>
          <t xml:space="preserve">cashier </t>
        </is>
      </c>
      <c r="AE953"/>
      <c r="AF953"/>
      <c r="AG953" s="4"/>
      <c r="AH953" s="4"/>
      <c r="AI953"/>
      <c r="AJ953"/>
      <c r="AK953" t="inlineStr">
        <is>
          <t>No, I don't need at all</t>
        </is>
      </c>
      <c r="AL953"/>
      <c r="AM953" t="inlineStr">
        <is>
          <t>No, I don't need at all</t>
        </is>
      </c>
      <c r="AN953"/>
      <c r="AO953" t="inlineStr">
        <is>
          <t>No, I don't need at all</t>
        </is>
      </c>
      <c r="AP953" t="inlineStr">
        <is>
          <t>Once a year (25%)</t>
        </is>
      </c>
      <c r="AQ953"/>
      <c r="AR953" t="inlineStr">
        <is>
          <t>Free Job Portal</t>
        </is>
      </c>
      <c r="AS953" t="inlineStr">
        <is>
          <t>- Headcount: 1
- Hiring Job Details: cashier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Free Job Portal</t>
        </is>
      </c>
      <c r="AT953">
        <v>75</v>
      </c>
      <c r="AU953" t="inlineStr">
        <is>
          <t>0.75</t>
        </is>
      </c>
      <c r="AV953" t="inlineStr">
        <is>
          <t>5</t>
        </is>
      </c>
      <c r="AW953" t="inlineStr">
        <is>
          <t>0</t>
        </is>
      </c>
      <c r="AX953" t="inlineStr">
        <is>
          <t>Not Qualified</t>
        </is>
      </c>
      <c r="AY953" s="4"/>
      <c r="AZ953"/>
      <c r="BA953"/>
      <c r="BB953"/>
      <c r="BC953" t="inlineStr">
        <is>
          <t>boss dont want</t>
        </is>
      </c>
      <c r="BD953" s="4">
        <v>46134.64947916667</v>
      </c>
      <c r="BE953"/>
      <c r="BF953"/>
      <c r="BG953" t="inlineStr">
        <is>
          <t>Reschedule</t>
        </is>
      </c>
      <c r="BH953" t="inlineStr">
        <is>
          <t>Yee Hang</t>
        </is>
      </c>
      <c r="BI953"/>
      <c r="BJ953" s="4">
        <v>46144.75267361111</v>
      </c>
      <c r="BK953" s="4">
        <v>45861.785995370374</v>
      </c>
      <c r="BL953" t="inlineStr">
        <is>
          <t>0.0</t>
        </is>
      </c>
      <c r="BM953" t="inlineStr">
        <is>
          <t>0.0</t>
        </is>
      </c>
      <c r="BN953" t="inlineStr">
        <is>
          <t>Instant Register</t>
        </is>
      </c>
      <c r="BO953" s="4">
        <v>45861.785995370374</v>
      </c>
      <c r="BP953">
        <v>167602</v>
      </c>
      <c r="BQ953"/>
      <c r="BR953"/>
      <c r="BS953"/>
      <c r="BT953"/>
      <c r="BU953"/>
      <c r="BV953">
        <v>2721158</v>
      </c>
      <c r="BW953" t="inlineStr">
        <is>
          <t>Follow Up : Lost - Free Portal</t>
        </is>
      </c>
      <c r="BX953"/>
      <c r="BY953"/>
      <c r="BZ953" s="4"/>
      <c r="CA953"/>
      <c r="CB953"/>
      <c r="CC953" s="4"/>
      <c r="CD953" t="inlineStr">
        <is>
          <t>5</t>
        </is>
      </c>
      <c r="CE953" t="inlineStr">
        <is>
          <t>0</t>
        </is>
      </c>
      <c r="CF953" t="inlineStr">
        <is>
          <t>Q2-W03</t>
        </is>
      </c>
      <c r="CG953"/>
      <c r="CH953"/>
      <c r="CI953"/>
      <c r="CJ953" t="inlineStr">
        <is>
          <t>No Paid</t>
        </is>
      </c>
      <c r="CK953" t="inlineStr">
        <is>
          <t>Not Eligible</t>
        </is>
      </c>
      <c r="CL953"/>
      <c r="CM953"/>
    </row>
    <row r="954" ht="25.5" customHeight="1">
      <c r="A954" t="inlineStr">
        <is>
          <t>149672</t>
        </is>
      </c>
      <c r="B954" s="2"/>
      <c r="C954"/>
      <c r="D954" s="3">
        <v>46129.59694444444</v>
      </c>
      <c r="E954" t="inlineStr">
        <is>
          <t>Q2-W03</t>
        </is>
      </c>
      <c r="F954" t="inlineStr">
        <is>
          <t>Lucas</t>
        </is>
      </c>
      <c r="G954" t="inlineStr">
        <is>
          <t>Customer</t>
        </is>
      </c>
      <c r="H954" s="2" t="str">
        <f>=HYPERLINK("https://upbox.ajobthing.my/customer/149672", "https://upbox.ajobthing.my/customer/149672")</f>
        <v>https://upbox.ajobthing.my/customer/149672</v>
      </c>
      <c r="I954" t="inlineStr">
        <is>
          <t>Elite Asia Services</t>
        </is>
      </c>
      <c r="J954" t="inlineStr">
        <is>
          <t>Small Fish</t>
        </is>
      </c>
      <c r="K954" t="inlineStr">
        <is>
          <t>Lucas</t>
        </is>
      </c>
      <c r="L954" s="4"/>
      <c r="M954" s="4">
        <v>46129.59525462963</v>
      </c>
      <c r="N954"/>
      <c r="O954">
        <v>3888</v>
      </c>
      <c r="P954" s="4"/>
      <c r="Q954" s="4"/>
      <c r="R954"/>
      <c r="S954"/>
      <c r="T954" s="4"/>
      <c r="U954" s="4"/>
      <c r="V954"/>
      <c r="W954"/>
      <c r="X954"/>
      <c r="Y954" t="inlineStr">
        <is>
          <t>Pending Appointment</t>
        </is>
      </c>
      <c r="Z954" t="inlineStr">
        <is>
          <t>Hiring Now</t>
        </is>
      </c>
      <c r="AA954">
        <v>1</v>
      </c>
      <c r="AB954" t="inlineStr">
        <is>
          <t>No Appointment Made</t>
        </is>
      </c>
      <c r="AC954"/>
      <c r="AD954" t="inlineStr">
        <is>
          <t xml:space="preserve">1 sale </t>
        </is>
      </c>
      <c r="AE954"/>
      <c r="AF954">
        <v>0</v>
      </c>
      <c r="AG954" s="4"/>
      <c r="AH954" s="4"/>
      <c r="AI954">
        <v>0</v>
      </c>
      <c r="AJ954"/>
      <c r="AK954" t="inlineStr">
        <is>
          <t>No, I don't need at all</t>
        </is>
      </c>
      <c r="AL954">
        <v>0</v>
      </c>
      <c r="AM954" t="inlineStr">
        <is>
          <t>No, I don't need at all</t>
        </is>
      </c>
      <c r="AN954"/>
      <c r="AO954" t="inlineStr">
        <is>
          <t>No, I don't need at all</t>
        </is>
      </c>
      <c r="AP954" t="inlineStr">
        <is>
          <t>Once a year (25%)</t>
        </is>
      </c>
      <c r="AQ954">
        <v>1</v>
      </c>
      <c r="AR954" t="inlineStr">
        <is>
          <t>Did not use any job portal</t>
        </is>
      </c>
      <c r="AS954" t="inlineStr">
        <is>
          <t>- Headcount: 1
- Hiring Job Details: 1 sale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
- Hiring Urgency: Hiring Now</t>
        </is>
      </c>
      <c r="AT954">
        <v>105</v>
      </c>
      <c r="AU954" t="inlineStr">
        <is>
          <t>1.05</t>
        </is>
      </c>
      <c r="AV954" t="inlineStr">
        <is>
          <t>15</t>
        </is>
      </c>
      <c r="AW954" t="inlineStr">
        <is>
          <t>0</t>
        </is>
      </c>
      <c r="AX954" t="inlineStr">
        <is>
          <t>Not Qualified</t>
        </is>
      </c>
      <c r="AY954" s="4"/>
      <c r="AZ954"/>
      <c r="BA954"/>
      <c r="BB954"/>
      <c r="BC954" t="inlineStr">
        <is>
          <t>FU1, nr</t>
        </is>
      </c>
      <c r="BD954" s="4">
        <v>46133.64662037037</v>
      </c>
      <c r="BE954"/>
      <c r="BF954"/>
      <c r="BG954" t="inlineStr">
        <is>
          <t>Reschedule</t>
        </is>
      </c>
      <c r="BH954" t="inlineStr">
        <is>
          <t>Yee Hang</t>
        </is>
      </c>
      <c r="BI954"/>
      <c r="BJ954" s="4">
        <v>46144.75082175926</v>
      </c>
      <c r="BK954" s="4">
        <v>44627.514398148145</v>
      </c>
      <c r="BL954" t="inlineStr">
        <is>
          <t>0.0</t>
        </is>
      </c>
      <c r="BM954" t="inlineStr">
        <is>
          <t>0.0</t>
        </is>
      </c>
      <c r="BN954" t="inlineStr">
        <is>
          <t>View PeopleSearch Page</t>
        </is>
      </c>
      <c r="BO954" s="4">
        <v>44627.524930555555</v>
      </c>
      <c r="BP954">
        <v>167611</v>
      </c>
      <c r="BQ954"/>
      <c r="BR954"/>
      <c r="BS954"/>
      <c r="BT954"/>
      <c r="BU954"/>
      <c r="BV954">
        <v>2718538</v>
      </c>
      <c r="BW954" t="inlineStr">
        <is>
          <t>No Answer : Voicemail - WA sent to customer</t>
        </is>
      </c>
      <c r="BX954"/>
      <c r="BY954"/>
      <c r="BZ954" s="4"/>
      <c r="CA954"/>
      <c r="CB954"/>
      <c r="CC954" s="4"/>
      <c r="CD954" t="inlineStr">
        <is>
          <t>20</t>
        </is>
      </c>
      <c r="CE954" t="inlineStr">
        <is>
          <t>0</t>
        </is>
      </c>
      <c r="CF954" t="inlineStr">
        <is>
          <t>Q2-W03</t>
        </is>
      </c>
      <c r="CG954"/>
      <c r="CH954"/>
      <c r="CI954"/>
      <c r="CJ954" t="inlineStr">
        <is>
          <t>No Paid</t>
        </is>
      </c>
      <c r="CK954" t="inlineStr">
        <is>
          <t>Not Eligible</t>
        </is>
      </c>
      <c r="CL954"/>
      <c r="CM954"/>
    </row>
    <row r="955" ht="25.5" customHeight="1">
      <c r="A955" t="inlineStr">
        <is>
          <t>4285965</t>
        </is>
      </c>
      <c r="B955" s="2"/>
      <c r="C955"/>
      <c r="D955" s="3">
        <v>46129.603368055556</v>
      </c>
      <c r="E955" t="inlineStr">
        <is>
          <t>Q2-W03</t>
        </is>
      </c>
      <c r="F955" t="inlineStr">
        <is>
          <t>Carmen</t>
        </is>
      </c>
      <c r="G955" t="inlineStr">
        <is>
          <t>Lead</t>
        </is>
      </c>
      <c r="H955" s="2" t="str">
        <f>=HYPERLINK("https://upbox.ajobthing.my/leads/4285965", "https://upbox.ajobthing.my/leads/4285965")</f>
        <v>https://upbox.ajobthing.my/leads/4285965</v>
      </c>
      <c r="I955" t="inlineStr">
        <is>
          <t>JVK LOGISTICS SDN BHD</t>
        </is>
      </c>
      <c r="J955" t="inlineStr">
        <is>
          <t>Small Fish</t>
        </is>
      </c>
      <c r="K955" t="inlineStr">
        <is>
          <t>Carmen</t>
        </is>
      </c>
      <c r="L955" s="4"/>
      <c r="M955" s="4">
        <v>46129.60498842593</v>
      </c>
      <c r="N955"/>
      <c r="O955">
        <v>3888</v>
      </c>
      <c r="P955" s="4"/>
      <c r="Q955" s="4"/>
      <c r="R955"/>
      <c r="S955"/>
      <c r="T955" s="4"/>
      <c r="U955" s="4"/>
      <c r="V955"/>
      <c r="W955"/>
      <c r="X955"/>
      <c r="Y955" t="inlineStr">
        <is>
          <t>Pending Appointment</t>
        </is>
      </c>
      <c r="Z955" t="inlineStr">
        <is>
          <t>Hiring Now</t>
        </is>
      </c>
      <c r="AA955">
        <v>4</v>
      </c>
      <c r="AB955" t="inlineStr">
        <is>
          <t>No Appointment Made</t>
        </is>
      </c>
      <c r="AC955"/>
      <c r="AD955" t="inlineStr">
        <is>
          <t xml:space="preserve">1 for country manager ; 3 for sales executive </t>
        </is>
      </c>
      <c r="AE955"/>
      <c r="AF955">
        <v>0</v>
      </c>
      <c r="AG955" s="4"/>
      <c r="AH955" s="4"/>
      <c r="AI955"/>
      <c r="AJ955"/>
      <c r="AK955"/>
      <c r="AL955"/>
      <c r="AM955"/>
      <c r="AN955"/>
      <c r="AO955"/>
      <c r="AP955" t="inlineStr">
        <is>
          <t>Once a year (25%)</t>
        </is>
      </c>
      <c r="AQ955"/>
      <c r="AR955"/>
      <c r="AS955" t="inlineStr">
        <is>
          <t>- Headcount: 4
- Hiring Job Details: 1 country manager, 3 sales executives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955">
        <v>75</v>
      </c>
      <c r="AU955" t="inlineStr">
        <is>
          <t>0.75</t>
        </is>
      </c>
      <c r="AV955" t="inlineStr">
        <is>
          <t>15</t>
        </is>
      </c>
      <c r="AW955" t="inlineStr">
        <is>
          <t>0</t>
        </is>
      </c>
      <c r="AX955" t="inlineStr">
        <is>
          <t>Not Qualified</t>
        </is>
      </c>
      <c r="AY955" s="4"/>
      <c r="AZ955"/>
      <c r="BA955"/>
      <c r="BB955"/>
      <c r="BC955"/>
      <c r="BD955" s="4"/>
      <c r="BE955"/>
      <c r="BF955"/>
      <c r="BG955" t="inlineStr">
        <is>
          <t>Reschedule</t>
        </is>
      </c>
      <c r="BH955" t="inlineStr">
        <is>
          <t>Reagen</t>
        </is>
      </c>
      <c r="BI955"/>
      <c r="BJ955" s="4">
        <v>46144.755833333336</v>
      </c>
      <c r="BK955" s="4">
        <v>46127.69137731481</v>
      </c>
      <c r="BL955" t="inlineStr">
        <is>
          <t>0.0</t>
        </is>
      </c>
      <c r="BM955" t="inlineStr">
        <is>
          <t>0.0</t>
        </is>
      </c>
      <c r="BN955"/>
      <c r="BO955" s="4"/>
      <c r="BP955">
        <v>167621</v>
      </c>
      <c r="BQ955"/>
      <c r="BR955"/>
      <c r="BS955"/>
      <c r="BT955"/>
      <c r="BU955"/>
      <c r="BV955"/>
      <c r="BW955"/>
      <c r="BX955"/>
      <c r="BY955"/>
      <c r="BZ955" s="4"/>
      <c r="CA955"/>
      <c r="CB955"/>
      <c r="CC955" s="4"/>
      <c r="CD955" t="inlineStr">
        <is>
          <t>20</t>
        </is>
      </c>
      <c r="CE955" t="inlineStr">
        <is>
          <t>0</t>
        </is>
      </c>
      <c r="CF955" t="inlineStr">
        <is>
          <t>Q2-W03</t>
        </is>
      </c>
      <c r="CG955"/>
      <c r="CH955"/>
      <c r="CI955"/>
      <c r="CJ955" t="inlineStr">
        <is>
          <t>No Paid</t>
        </is>
      </c>
      <c r="CK955" t="inlineStr">
        <is>
          <t>Not Eligible</t>
        </is>
      </c>
      <c r="CL955"/>
      <c r="CM955"/>
    </row>
    <row r="956" ht="25.5" customHeight="1">
      <c r="A956" t="inlineStr">
        <is>
          <t>4285700</t>
        </is>
      </c>
      <c r="B956" s="2"/>
      <c r="C956"/>
      <c r="D956" s="3">
        <v>46129.60548611111</v>
      </c>
      <c r="E956" t="inlineStr">
        <is>
          <t>Q2-W03</t>
        </is>
      </c>
      <c r="F956" t="inlineStr">
        <is>
          <t>Janice Yap</t>
        </is>
      </c>
      <c r="G956" t="inlineStr">
        <is>
          <t>Lead</t>
        </is>
      </c>
      <c r="H956" s="2" t="str">
        <f>=HYPERLINK("https://upbox.ajobthing.my/leads/4285700", "https://upbox.ajobthing.my/leads/4285700")</f>
        <v>https://upbox.ajobthing.my/leads/4285700</v>
      </c>
      <c r="I956" t="inlineStr">
        <is>
          <t>Pusat Perkembangan Minda Cerdas Gemilang</t>
        </is>
      </c>
      <c r="J956" t="inlineStr">
        <is>
          <t>Small Fish</t>
        </is>
      </c>
      <c r="K956" t="inlineStr">
        <is>
          <t>Janice</t>
        </is>
      </c>
      <c r="L956" s="4"/>
      <c r="M956" s="4">
        <v>46129.60314814815</v>
      </c>
      <c r="N956"/>
      <c r="O956">
        <v>3888</v>
      </c>
      <c r="P956" s="4"/>
      <c r="Q956" s="4"/>
      <c r="R956"/>
      <c r="S956"/>
      <c r="T956" s="4"/>
      <c r="U956" s="4"/>
      <c r="V956"/>
      <c r="W956"/>
      <c r="X956"/>
      <c r="Y956" t="inlineStr">
        <is>
          <t>Pending Appointment</t>
        </is>
      </c>
      <c r="Z956" t="inlineStr">
        <is>
          <t>Hiring Now</t>
        </is>
      </c>
      <c r="AA956">
        <v>2</v>
      </c>
      <c r="AB956" t="inlineStr">
        <is>
          <t>No Appointment Made</t>
        </is>
      </c>
      <c r="AC956"/>
      <c r="AD956" t="inlineStr">
        <is>
          <t>2 teachers</t>
        </is>
      </c>
      <c r="AE956"/>
      <c r="AF956">
        <v>0</v>
      </c>
      <c r="AG956" s="4"/>
      <c r="AH956" s="4"/>
      <c r="AI956">
        <v>0</v>
      </c>
      <c r="AJ956"/>
      <c r="AK956" t="inlineStr">
        <is>
          <t>No, I don't need at all</t>
        </is>
      </c>
      <c r="AL956">
        <v>0</v>
      </c>
      <c r="AM956" t="inlineStr">
        <is>
          <t>No, I don't need at all</t>
        </is>
      </c>
      <c r="AN956"/>
      <c r="AO956" t="inlineStr">
        <is>
          <t>No, I don't need at all</t>
        </is>
      </c>
      <c r="AP956" t="inlineStr">
        <is>
          <t>Once a year (25%)</t>
        </is>
      </c>
      <c r="AQ956">
        <v>2</v>
      </c>
      <c r="AR956" t="inlineStr">
        <is>
          <t>Jobstreet, Indeed (Paid)</t>
        </is>
      </c>
      <c r="AS956" t="inlineStr">
        <is>
          <t>- Headcount: 2
- Hiring Job Details: 2 teachers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Jobstreet,Indeed (Paid)</t>
        </is>
      </c>
      <c r="AT956">
        <v>105</v>
      </c>
      <c r="AU956" t="inlineStr">
        <is>
          <t>1.05</t>
        </is>
      </c>
      <c r="AV956" t="inlineStr">
        <is>
          <t>15</t>
        </is>
      </c>
      <c r="AW956" t="inlineStr">
        <is>
          <t>0</t>
        </is>
      </c>
      <c r="AX956" t="inlineStr">
        <is>
          <t>Not Qualified</t>
        </is>
      </c>
      <c r="AY956" s="4"/>
      <c r="AZ956"/>
      <c r="BA956"/>
      <c r="BB956"/>
      <c r="BC956"/>
      <c r="BD956" s="4"/>
      <c r="BE956"/>
      <c r="BF956"/>
      <c r="BG956" t="inlineStr">
        <is>
          <t>Reschedule</t>
        </is>
      </c>
      <c r="BH956" t="inlineStr">
        <is>
          <t>Yee Hang</t>
        </is>
      </c>
      <c r="BI956"/>
      <c r="BJ956" s="4">
        <v>46144.755833333336</v>
      </c>
      <c r="BK956" s="4">
        <v>46127.64623842593</v>
      </c>
      <c r="BL956" t="inlineStr">
        <is>
          <t>0.0</t>
        </is>
      </c>
      <c r="BM956" t="inlineStr">
        <is>
          <t>0.0</t>
        </is>
      </c>
      <c r="BN956"/>
      <c r="BO956" s="4"/>
      <c r="BP956">
        <v>167619</v>
      </c>
      <c r="BQ956"/>
      <c r="BR956"/>
      <c r="BS956"/>
      <c r="BT956"/>
      <c r="BU956"/>
      <c r="BV956"/>
      <c r="BW956"/>
      <c r="BX956"/>
      <c r="BY956"/>
      <c r="BZ956" s="4"/>
      <c r="CA956"/>
      <c r="CB956"/>
      <c r="CC956" s="4"/>
      <c r="CD956" t="inlineStr">
        <is>
          <t>20</t>
        </is>
      </c>
      <c r="CE956" t="inlineStr">
        <is>
          <t>0</t>
        </is>
      </c>
      <c r="CF956" t="inlineStr">
        <is>
          <t>Q2-W03</t>
        </is>
      </c>
      <c r="CG956"/>
      <c r="CH956"/>
      <c r="CI956"/>
      <c r="CJ956" t="inlineStr">
        <is>
          <t>No Paid</t>
        </is>
      </c>
      <c r="CK956" t="inlineStr">
        <is>
          <t>Not Eligible</t>
        </is>
      </c>
      <c r="CL956"/>
      <c r="CM956"/>
    </row>
    <row r="957" ht="25.5" customHeight="1">
      <c r="A957" t="inlineStr">
        <is>
          <t>188541</t>
        </is>
      </c>
      <c r="B957" s="2"/>
      <c r="C957"/>
      <c r="D957" s="3">
        <v>46129.61461805556</v>
      </c>
      <c r="E957" t="inlineStr">
        <is>
          <t>Q2-W03</t>
        </is>
      </c>
      <c r="F957" t="inlineStr">
        <is>
          <t>Luqman</t>
        </is>
      </c>
      <c r="G957" t="inlineStr">
        <is>
          <t>Customer</t>
        </is>
      </c>
      <c r="H957" s="2" t="str">
        <f>=HYPERLINK("https://upbox.ajobthing.my/customer/188541", "https://upbox.ajobthing.my/customer/188541")</f>
        <v>https://upbox.ajobthing.my/customer/188541</v>
      </c>
      <c r="I957" t="inlineStr">
        <is>
          <t>Le Creative Sdn. Bhd.</t>
        </is>
      </c>
      <c r="J957" t="inlineStr">
        <is>
          <t>Small Fish</t>
        </is>
      </c>
      <c r="K957" t="inlineStr">
        <is>
          <t>Luqman</t>
        </is>
      </c>
      <c r="L957" s="4"/>
      <c r="M957" s="4">
        <v>46129.61571759259</v>
      </c>
      <c r="N957"/>
      <c r="O957">
        <v>1296</v>
      </c>
      <c r="P957" s="4"/>
      <c r="Q957" s="4">
        <v>45742.4600462963</v>
      </c>
      <c r="R957"/>
      <c r="S957">
        <v>324</v>
      </c>
      <c r="T957" s="4">
        <v>45742.4600462963</v>
      </c>
      <c r="U957" s="4"/>
      <c r="V957"/>
      <c r="W957">
        <v>324</v>
      </c>
      <c r="X957"/>
      <c r="Y957" t="inlineStr">
        <is>
          <t>Pending Appointment</t>
        </is>
      </c>
      <c r="Z957" t="inlineStr">
        <is>
          <t>Hiring Later</t>
        </is>
      </c>
      <c r="AA957">
        <v>1</v>
      </c>
      <c r="AB957" t="inlineStr">
        <is>
          <t>No Appointment Made</t>
        </is>
      </c>
      <c r="AC957"/>
      <c r="AD957" t="inlineStr">
        <is>
          <t xml:space="preserve">1. Interior Design </t>
        </is>
      </c>
      <c r="AE957"/>
      <c r="AF957">
        <v>1200</v>
      </c>
      <c r="AG957" s="4"/>
      <c r="AH957" s="4"/>
      <c r="AI957">
        <v>1200</v>
      </c>
      <c r="AJ957"/>
      <c r="AK957" t="inlineStr">
        <is>
          <t>No, I don't need at all</t>
        </is>
      </c>
      <c r="AL957">
        <v>1</v>
      </c>
      <c r="AM957" t="inlineStr">
        <is>
          <t>No, I don't need at all</t>
        </is>
      </c>
      <c r="AN957"/>
      <c r="AO957" t="inlineStr">
        <is>
          <t>Yes, I have</t>
        </is>
      </c>
      <c r="AP957" t="inlineStr">
        <is>
          <t>Once a year (25%)</t>
        </is>
      </c>
      <c r="AQ957">
        <v>1</v>
      </c>
      <c r="AR957" t="inlineStr">
        <is>
          <t>Free Job Portal</t>
        </is>
      </c>
      <c r="AS957" t="inlineStr">
        <is>
          <t>- Headcount: 1
- Hiring Job Details: 1 Interior Design
- Hiring Urgency: Hiring Later
- Number of outlets: 
- Have recruiter team: No, I don't need at all
- Number of recruiter in company: 1
- Have ATS system: No, I don't need at all
- Have career website: Yes, I have
- Current hiring budget: RM1,200
- Whole year budget: RM1,200.00
- Whole year number of vacancies: 1
- Hiring frequency: Once a year (25%)
- External job portal: Free Job Portal</t>
        </is>
      </c>
      <c r="AT957">
        <v>115</v>
      </c>
      <c r="AU957" t="inlineStr">
        <is>
          <t>1.15</t>
        </is>
      </c>
      <c r="AV957" t="inlineStr">
        <is>
          <t>15</t>
        </is>
      </c>
      <c r="AW957" t="inlineStr">
        <is>
          <t>0</t>
        </is>
      </c>
      <c r="AX957" t="inlineStr">
        <is>
          <t>Not Qualified</t>
        </is>
      </c>
      <c r="AY957" s="4"/>
      <c r="AZ957"/>
      <c r="BA957"/>
      <c r="BB957"/>
      <c r="BC957" t="inlineStr">
        <is>
          <t>NA Dropped a text via Whatsapp</t>
        </is>
      </c>
      <c r="BD957" s="4">
        <v>46133.441041666665</v>
      </c>
      <c r="BE957" t="inlineStr">
        <is>
          <t>paid</t>
        </is>
      </c>
      <c r="BF957"/>
      <c r="BG957" t="inlineStr">
        <is>
          <t>Reschedule</t>
        </is>
      </c>
      <c r="BH957" t="inlineStr">
        <is>
          <t>Edward Hoo</t>
        </is>
      </c>
      <c r="BI957"/>
      <c r="BJ957" s="4">
        <v>46144.75224537037</v>
      </c>
      <c r="BK957" s="4">
        <v>45722.684375</v>
      </c>
      <c r="BL957" t="inlineStr">
        <is>
          <t>0.0</t>
        </is>
      </c>
      <c r="BM957" t="inlineStr">
        <is>
          <t>0.0</t>
        </is>
      </c>
      <c r="BN957" t="inlineStr">
        <is>
          <t>View Candidate Search Page</t>
        </is>
      </c>
      <c r="BO957" s="4">
        <v>45819.74699074074</v>
      </c>
      <c r="BP957">
        <v>167629</v>
      </c>
      <c r="BQ957">
        <v>77953</v>
      </c>
      <c r="BR957" t="inlineStr">
        <is>
          <t>Online</t>
        </is>
      </c>
      <c r="BS957"/>
      <c r="BT957">
        <v>77953</v>
      </c>
      <c r="BU957"/>
      <c r="BV957">
        <v>2717157</v>
      </c>
      <c r="BW957" t="inlineStr">
        <is>
          <t>No Answer : Voicemail - WA sent to customer</t>
        </is>
      </c>
      <c r="BX957"/>
      <c r="BY957"/>
      <c r="BZ957" s="4"/>
      <c r="CA957"/>
      <c r="CB957"/>
      <c r="CC957" s="4"/>
      <c r="CD957" t="inlineStr">
        <is>
          <t>20</t>
        </is>
      </c>
      <c r="CE957" t="inlineStr">
        <is>
          <t>0</t>
        </is>
      </c>
      <c r="CF957" t="inlineStr">
        <is>
          <t>Q2-W03</t>
        </is>
      </c>
      <c r="CG957"/>
      <c r="CH957"/>
      <c r="CI957"/>
      <c r="CJ957" t="inlineStr">
        <is>
          <t>Paid</t>
        </is>
      </c>
      <c r="CK957" t="inlineStr">
        <is>
          <t>Not Eligible</t>
        </is>
      </c>
      <c r="CL957"/>
      <c r="CM957"/>
    </row>
    <row r="958" ht="25.5" customHeight="1">
      <c r="A958" t="inlineStr">
        <is>
          <t>4293729</t>
        </is>
      </c>
      <c r="B958" s="2"/>
      <c r="C958"/>
      <c r="D958" s="3">
        <v>46129.61993055556</v>
      </c>
      <c r="E958" t="inlineStr">
        <is>
          <t>Q2-W03</t>
        </is>
      </c>
      <c r="F958" t="inlineStr">
        <is>
          <t>Angel  Low</t>
        </is>
      </c>
      <c r="G958" t="inlineStr">
        <is>
          <t>Lead</t>
        </is>
      </c>
      <c r="H958" s="2" t="str">
        <f>=HYPERLINK("https://upbox.ajobthing.my/leads/4293729", "https://upbox.ajobthing.my/leads/4293729")</f>
        <v>https://upbox.ajobthing.my/leads/4293729</v>
      </c>
      <c r="I958" t="inlineStr">
        <is>
          <t>DIC BISTRO SDN BHD</t>
        </is>
      </c>
      <c r="J958" t="inlineStr">
        <is>
          <t>Small Fish</t>
        </is>
      </c>
      <c r="K958" t="inlineStr">
        <is>
          <t>Angel Low</t>
        </is>
      </c>
      <c r="L958" s="4"/>
      <c r="M958" s="4">
        <v>46129.620671296296</v>
      </c>
      <c r="N958"/>
      <c r="O958">
        <v>3672</v>
      </c>
      <c r="P958" s="4"/>
      <c r="Q958" s="4"/>
      <c r="R958"/>
      <c r="S958"/>
      <c r="T958" s="4"/>
      <c r="U958" s="4"/>
      <c r="V958"/>
      <c r="W958"/>
      <c r="X958"/>
      <c r="Y958" t="inlineStr">
        <is>
          <t>Pending Appointment</t>
        </is>
      </c>
      <c r="Z958"/>
      <c r="AA958">
        <v>1</v>
      </c>
      <c r="AB958" t="inlineStr">
        <is>
          <t>No Appointment Made</t>
        </is>
      </c>
      <c r="AC958"/>
      <c r="AD958" t="inlineStr">
        <is>
          <t xml:space="preserve">1 cashier mandrin speaker </t>
        </is>
      </c>
      <c r="AE958"/>
      <c r="AF958"/>
      <c r="AG958" s="4"/>
      <c r="AH958" s="4"/>
      <c r="AI958"/>
      <c r="AJ958"/>
      <c r="AK958"/>
      <c r="AL958"/>
      <c r="AM958"/>
      <c r="AN958"/>
      <c r="AO958"/>
      <c r="AP958"/>
      <c r="AQ958"/>
      <c r="AR958"/>
      <c r="AS958" t="inlineStr">
        <is>
          <t>- Headcount: 1
- Hiring Job Details: 1 cashier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958">
        <v>65</v>
      </c>
      <c r="AU958" t="inlineStr">
        <is>
          <t>0.65</t>
        </is>
      </c>
      <c r="AV958" t="inlineStr">
        <is>
          <t>5</t>
        </is>
      </c>
      <c r="AW958" t="inlineStr">
        <is>
          <t>0</t>
        </is>
      </c>
      <c r="AX958" t="inlineStr">
        <is>
          <t>Not Qualified</t>
        </is>
      </c>
      <c r="AY958" s="4"/>
      <c r="AZ958"/>
      <c r="BA958"/>
      <c r="BB958"/>
      <c r="BC958"/>
      <c r="BD958" s="4"/>
      <c r="BE958"/>
      <c r="BF958"/>
      <c r="BG958" t="inlineStr">
        <is>
          <t>Reschedule</t>
        </is>
      </c>
      <c r="BH958" t="inlineStr">
        <is>
          <t>Fauziah Maharan</t>
        </is>
      </c>
      <c r="BI958"/>
      <c r="BJ958" s="4">
        <v>46144.75585648148</v>
      </c>
      <c r="BK958" s="4">
        <v>46129.458645833336</v>
      </c>
      <c r="BL958" t="inlineStr">
        <is>
          <t>0.0</t>
        </is>
      </c>
      <c r="BM958" t="inlineStr">
        <is>
          <t>0.0</t>
        </is>
      </c>
      <c r="BN958"/>
      <c r="BO958" s="4"/>
      <c r="BP958">
        <v>167633</v>
      </c>
      <c r="BQ958"/>
      <c r="BR958"/>
      <c r="BS958"/>
      <c r="BT958"/>
      <c r="BU958"/>
      <c r="BV958"/>
      <c r="BW958"/>
      <c r="BX958"/>
      <c r="BY958"/>
      <c r="BZ958" s="4"/>
      <c r="CA958"/>
      <c r="CB958"/>
      <c r="CC958" s="4"/>
      <c r="CD958" t="inlineStr">
        <is>
          <t>5</t>
        </is>
      </c>
      <c r="CE958" t="inlineStr">
        <is>
          <t>0</t>
        </is>
      </c>
      <c r="CF958" t="inlineStr">
        <is>
          <t>Q2-W03</t>
        </is>
      </c>
      <c r="CG958"/>
      <c r="CH958"/>
      <c r="CI958"/>
      <c r="CJ958" t="inlineStr">
        <is>
          <t>No Paid</t>
        </is>
      </c>
      <c r="CK958" t="inlineStr">
        <is>
          <t>Not Eligible</t>
        </is>
      </c>
      <c r="CL958"/>
      <c r="CM958"/>
    </row>
    <row r="959" ht="25.5" customHeight="1">
      <c r="A959" t="inlineStr">
        <is>
          <t>203351</t>
        </is>
      </c>
      <c r="B959" s="2"/>
      <c r="C959"/>
      <c r="D959" s="3">
        <v>46129.62274305556</v>
      </c>
      <c r="E959" t="inlineStr">
        <is>
          <t>Q2-W03</t>
        </is>
      </c>
      <c r="F959" t="inlineStr">
        <is>
          <t>Clover</t>
        </is>
      </c>
      <c r="G959" t="inlineStr">
        <is>
          <t>Customer</t>
        </is>
      </c>
      <c r="H959" s="2" t="str">
        <f>=HYPERLINK("https://upbox.ajobthing.my/customer/203351", "https://upbox.ajobthing.my/customer/203351")</f>
        <v>https://upbox.ajobthing.my/customer/203351</v>
      </c>
      <c r="I959" t="inlineStr">
        <is>
          <t>ONZ SDN BHD</t>
        </is>
      </c>
      <c r="J959" t="inlineStr">
        <is>
          <t>Small Fish</t>
        </is>
      </c>
      <c r="K959" t="inlineStr">
        <is>
          <t>Clover</t>
        </is>
      </c>
      <c r="L959" s="4"/>
      <c r="M959" s="4">
        <v>46129.622141203705</v>
      </c>
      <c r="N959"/>
      <c r="O959">
        <v>3888</v>
      </c>
      <c r="P959" s="4"/>
      <c r="Q959" s="4"/>
      <c r="R959"/>
      <c r="S959"/>
      <c r="T959" s="4"/>
      <c r="U959" s="4"/>
      <c r="V959"/>
      <c r="W959"/>
      <c r="X959"/>
      <c r="Y959" t="inlineStr">
        <is>
          <t>Pending Appointment</t>
        </is>
      </c>
      <c r="Z959" t="inlineStr">
        <is>
          <t>Hiring Now</t>
        </is>
      </c>
      <c r="AA959">
        <v>2</v>
      </c>
      <c r="AB959" t="inlineStr">
        <is>
          <t>No Appointment Made</t>
        </is>
      </c>
      <c r="AC959"/>
      <c r="AD959" t="inlineStr">
        <is>
          <t>hire content creator x1-2 malay/chi, pet shop online, cheres, need offce worker only, previous try xhs response not bad, suggest stand</t>
        </is>
      </c>
      <c r="AE959"/>
      <c r="AF959">
        <v>3000</v>
      </c>
      <c r="AG959" s="4"/>
      <c r="AH959" s="4"/>
      <c r="AI959">
        <v>3000</v>
      </c>
      <c r="AJ959">
        <v>1</v>
      </c>
      <c r="AK959" t="inlineStr">
        <is>
          <t>No, but I want in future</t>
        </is>
      </c>
      <c r="AL959">
        <v>1</v>
      </c>
      <c r="AM959" t="inlineStr">
        <is>
          <t>No, but I want in future</t>
        </is>
      </c>
      <c r="AN959"/>
      <c r="AO959" t="inlineStr">
        <is>
          <t>No, but I want in future</t>
        </is>
      </c>
      <c r="AP959" t="inlineStr">
        <is>
          <t>Twice a year (50%)</t>
        </is>
      </c>
      <c r="AQ959">
        <v>2</v>
      </c>
      <c r="AR959" t="inlineStr">
        <is>
          <t>Did not use any job portal</t>
        </is>
      </c>
      <c r="AS959" t="inlineStr">
        <is>
          <t>- Headcount: 2
- Hiring Job Details: hire 1-2 Malay/Chinese content creators for online pet shop Cheres; office workers only; XHS response previously not bad;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959">
        <v>105</v>
      </c>
      <c r="AU959" t="inlineStr">
        <is>
          <t>1.05</t>
        </is>
      </c>
      <c r="AV959" t="inlineStr">
        <is>
          <t>15</t>
        </is>
      </c>
      <c r="AW959" t="inlineStr">
        <is>
          <t>0</t>
        </is>
      </c>
      <c r="AX959" t="inlineStr">
        <is>
          <t>Not Qualified</t>
        </is>
      </c>
      <c r="AY959" s="4"/>
      <c r="AZ959"/>
      <c r="BA959"/>
      <c r="BB959"/>
      <c r="BC959" t="inlineStr">
        <is>
          <t>Not yet go through</t>
        </is>
      </c>
      <c r="BD959" s="4">
        <v>46134.68002314815</v>
      </c>
      <c r="BE959"/>
      <c r="BF959"/>
      <c r="BG959" t="inlineStr">
        <is>
          <t>Reschedule</t>
        </is>
      </c>
      <c r="BH959" t="inlineStr">
        <is>
          <t>Reagen</t>
        </is>
      </c>
      <c r="BI959"/>
      <c r="BJ959" s="4">
        <v>46144.754282407404</v>
      </c>
      <c r="BK959" s="4">
        <v>46129.61271990741</v>
      </c>
      <c r="BL959" t="inlineStr">
        <is>
          <t>0.0</t>
        </is>
      </c>
      <c r="BM959" t="inlineStr">
        <is>
          <t>0.0</t>
        </is>
      </c>
      <c r="BN959"/>
      <c r="BO959" s="4"/>
      <c r="BP959">
        <v>167634</v>
      </c>
      <c r="BQ959"/>
      <c r="BR959"/>
      <c r="BS959"/>
      <c r="BT959"/>
      <c r="BU959"/>
      <c r="BV959">
        <v>2721425</v>
      </c>
      <c r="BW959" t="inlineStr">
        <is>
          <t>Follow Up : Decision Pending</t>
        </is>
      </c>
      <c r="BX959"/>
      <c r="BY959"/>
      <c r="BZ959" s="4"/>
      <c r="CA959"/>
      <c r="CB959"/>
      <c r="CC959" s="4"/>
      <c r="CD959" t="inlineStr">
        <is>
          <t>20</t>
        </is>
      </c>
      <c r="CE959" t="inlineStr">
        <is>
          <t>0</t>
        </is>
      </c>
      <c r="CF959" t="inlineStr">
        <is>
          <t>Q2-W03</t>
        </is>
      </c>
      <c r="CG959"/>
      <c r="CH959"/>
      <c r="CI959"/>
      <c r="CJ959" t="inlineStr">
        <is>
          <t>No Paid</t>
        </is>
      </c>
      <c r="CK959" t="inlineStr">
        <is>
          <t>Not Eligible</t>
        </is>
      </c>
      <c r="CL959"/>
      <c r="CM959"/>
    </row>
    <row r="960" ht="25.5" customHeight="1">
      <c r="A960" t="inlineStr">
        <is>
          <t>4294743</t>
        </is>
      </c>
      <c r="B960" s="2"/>
      <c r="C960"/>
      <c r="D960" s="3">
        <v>46129.632048611114</v>
      </c>
      <c r="E960" t="inlineStr">
        <is>
          <t>Q2-W03</t>
        </is>
      </c>
      <c r="F960" t="inlineStr">
        <is>
          <t>Chia Yee</t>
        </is>
      </c>
      <c r="G960" t="inlineStr">
        <is>
          <t>Lead</t>
        </is>
      </c>
      <c r="H960" s="2" t="str">
        <f>=HYPERLINK("https://upbox.ajobthing.my/leads/4294743", "https://upbox.ajobthing.my/leads/4294743")</f>
        <v>https://upbox.ajobthing.my/leads/4294743</v>
      </c>
      <c r="I960" t="inlineStr">
        <is>
          <t>LIAN CHOON TRADING &amp; LOGISTICS SDN BHD</t>
        </is>
      </c>
      <c r="J960" t="inlineStr">
        <is>
          <t>Small Fish</t>
        </is>
      </c>
      <c r="K960" t="inlineStr">
        <is>
          <t>Chia Yee</t>
        </is>
      </c>
      <c r="L960" s="4"/>
      <c r="M960" s="4">
        <v>46129.6325462963</v>
      </c>
      <c r="N960"/>
      <c r="O960">
        <v>6048</v>
      </c>
      <c r="P960" s="4"/>
      <c r="Q960" s="4"/>
      <c r="R960"/>
      <c r="S960"/>
      <c r="T960" s="4"/>
      <c r="U960" s="4"/>
      <c r="V960"/>
      <c r="W960"/>
      <c r="X960"/>
      <c r="Y960" t="inlineStr">
        <is>
          <t>Pending Appointment</t>
        </is>
      </c>
      <c r="Z960" t="inlineStr">
        <is>
          <t>Hiring Now</t>
        </is>
      </c>
      <c r="AA960">
        <v>2</v>
      </c>
      <c r="AB960" t="inlineStr">
        <is>
          <t>No Appointment Made</t>
        </is>
      </c>
      <c r="AC960"/>
      <c r="AD960" t="inlineStr">
        <is>
          <t>1 Account assistant, 1 Sales coordinator assistant</t>
        </is>
      </c>
      <c r="AE960"/>
      <c r="AF960">
        <v>0</v>
      </c>
      <c r="AG960" s="4"/>
      <c r="AH960" s="4"/>
      <c r="AI960">
        <v>0</v>
      </c>
      <c r="AJ960">
        <v>1</v>
      </c>
      <c r="AK960" t="inlineStr">
        <is>
          <t>No, I don't need at all</t>
        </is>
      </c>
      <c r="AL960">
        <v>1</v>
      </c>
      <c r="AM960" t="inlineStr">
        <is>
          <t>No, I don't need at all</t>
        </is>
      </c>
      <c r="AN960"/>
      <c r="AO960" t="inlineStr">
        <is>
          <t>No, I don't need at all</t>
        </is>
      </c>
      <c r="AP960" t="inlineStr">
        <is>
          <t>Once a year (25%)</t>
        </is>
      </c>
      <c r="AQ960">
        <v>2</v>
      </c>
      <c r="AR960" t="inlineStr">
        <is>
          <t>Did not use any job portal</t>
        </is>
      </c>
      <c r="AS960" t="inlineStr">
        <is>
          <t>- Headcount: 2
- Hiring Job Details: 1 Account assistant, 1 Sales coordinator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960">
        <v>110</v>
      </c>
      <c r="AU960" t="inlineStr">
        <is>
          <t>1.10</t>
        </is>
      </c>
      <c r="AV960" t="inlineStr">
        <is>
          <t>15</t>
        </is>
      </c>
      <c r="AW960" t="inlineStr">
        <is>
          <t>0</t>
        </is>
      </c>
      <c r="AX960" t="inlineStr">
        <is>
          <t>Not Qualified</t>
        </is>
      </c>
      <c r="AY960" s="4"/>
      <c r="AZ960"/>
      <c r="BA960"/>
      <c r="BB960"/>
      <c r="BC960"/>
      <c r="BD960" s="4"/>
      <c r="BE960"/>
      <c r="BF960"/>
      <c r="BG960" t="inlineStr">
        <is>
          <t>Reschedule</t>
        </is>
      </c>
      <c r="BH960" t="inlineStr">
        <is>
          <t>Reagen</t>
        </is>
      </c>
      <c r="BI960"/>
      <c r="BJ960" s="4">
        <v>46144.75585648148</v>
      </c>
      <c r="BK960" s="4">
        <v>46129.63013888889</v>
      </c>
      <c r="BL960" t="inlineStr">
        <is>
          <t>0.0</t>
        </is>
      </c>
      <c r="BM960" t="inlineStr">
        <is>
          <t>0.0</t>
        </is>
      </c>
      <c r="BN960"/>
      <c r="BO960" s="4"/>
      <c r="BP960">
        <v>167640</v>
      </c>
      <c r="BQ960"/>
      <c r="BR960"/>
      <c r="BS960"/>
      <c r="BT960"/>
      <c r="BU960"/>
      <c r="BV960"/>
      <c r="BW960"/>
      <c r="BX960"/>
      <c r="BY960"/>
      <c r="BZ960" s="4"/>
      <c r="CA960"/>
      <c r="CB960"/>
      <c r="CC960" s="4"/>
      <c r="CD960" t="inlineStr">
        <is>
          <t>20</t>
        </is>
      </c>
      <c r="CE960" t="inlineStr">
        <is>
          <t>0</t>
        </is>
      </c>
      <c r="CF960" t="inlineStr">
        <is>
          <t>Q2-W03</t>
        </is>
      </c>
      <c r="CG960"/>
      <c r="CH960"/>
      <c r="CI960"/>
      <c r="CJ960" t="inlineStr">
        <is>
          <t>No Paid</t>
        </is>
      </c>
      <c r="CK960" t="inlineStr">
        <is>
          <t>Not Eligible</t>
        </is>
      </c>
      <c r="CL960"/>
      <c r="CM960"/>
    </row>
    <row r="961" ht="25.5" customHeight="1">
      <c r="A961" t="inlineStr">
        <is>
          <t>188400</t>
        </is>
      </c>
      <c r="B961" s="2"/>
      <c r="C961"/>
      <c r="D961" s="3">
        <v>46129.633888888886</v>
      </c>
      <c r="E961" t="inlineStr">
        <is>
          <t>Q2-W03</t>
        </is>
      </c>
      <c r="F961" t="inlineStr">
        <is>
          <t>Luqman</t>
        </is>
      </c>
      <c r="G961" t="inlineStr">
        <is>
          <t>Customer</t>
        </is>
      </c>
      <c r="H961" s="2" t="str">
        <f>=HYPERLINK("https://upbox.ajobthing.my/customer/188400", "https://upbox.ajobthing.my/customer/188400")</f>
        <v>https://upbox.ajobthing.my/customer/188400</v>
      </c>
      <c r="I961" t="inlineStr">
        <is>
          <t>KC Kwong Chuan Hardware Sdn Bhd</t>
        </is>
      </c>
      <c r="J961" t="inlineStr">
        <is>
          <t>Small Fish</t>
        </is>
      </c>
      <c r="K961" t="inlineStr">
        <is>
          <t>Luqman</t>
        </is>
      </c>
      <c r="L961" s="4"/>
      <c r="M961" s="4">
        <v>46129.63413194445</v>
      </c>
      <c r="N961"/>
      <c r="O961">
        <v>1296</v>
      </c>
      <c r="P961" s="4"/>
      <c r="Q961" s="4">
        <v>45722.61418981481</v>
      </c>
      <c r="R961"/>
      <c r="S961">
        <v>972</v>
      </c>
      <c r="T961" s="4">
        <v>45722.61418981481</v>
      </c>
      <c r="U961" s="4"/>
      <c r="V961"/>
      <c r="W961">
        <v>972</v>
      </c>
      <c r="X961"/>
      <c r="Y961" t="inlineStr">
        <is>
          <t>Pending Appointment</t>
        </is>
      </c>
      <c r="Z961" t="inlineStr">
        <is>
          <t>Hiring Later</t>
        </is>
      </c>
      <c r="AA961">
        <v>1</v>
      </c>
      <c r="AB961" t="inlineStr">
        <is>
          <t>No Appointment Made</t>
        </is>
      </c>
      <c r="AC961"/>
      <c r="AD961" t="inlineStr">
        <is>
          <t xml:space="preserve">1. Accountant </t>
        </is>
      </c>
      <c r="AE961"/>
      <c r="AF961">
        <v>1200</v>
      </c>
      <c r="AG961" s="4"/>
      <c r="AH961" s="4"/>
      <c r="AI961">
        <v>1200</v>
      </c>
      <c r="AJ961"/>
      <c r="AK961" t="inlineStr">
        <is>
          <t>No, I don't need at all</t>
        </is>
      </c>
      <c r="AL961">
        <v>1</v>
      </c>
      <c r="AM961" t="inlineStr">
        <is>
          <t>No, I don't need at all</t>
        </is>
      </c>
      <c r="AN961"/>
      <c r="AO961" t="inlineStr">
        <is>
          <t>No, I don't need at all</t>
        </is>
      </c>
      <c r="AP961" t="inlineStr">
        <is>
          <t>Once a year (25%)</t>
        </is>
      </c>
      <c r="AQ961">
        <v>1</v>
      </c>
      <c r="AR961" t="inlineStr">
        <is>
          <t>Free Job Portal</t>
        </is>
      </c>
      <c r="AS961" t="inlineStr">
        <is>
          <t>- Headcount: 1
- Hiring Job Details: 1 Accountant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961">
        <v>110</v>
      </c>
      <c r="AU961" t="inlineStr">
        <is>
          <t>1.10</t>
        </is>
      </c>
      <c r="AV961" t="inlineStr">
        <is>
          <t>15</t>
        </is>
      </c>
      <c r="AW961" t="inlineStr">
        <is>
          <t>0</t>
        </is>
      </c>
      <c r="AX961" t="inlineStr">
        <is>
          <t>Not Qualified</t>
        </is>
      </c>
      <c r="AY961" s="4"/>
      <c r="AZ961"/>
      <c r="BA961"/>
      <c r="BB961"/>
      <c r="BC961" t="inlineStr">
        <is>
          <t>Business utilize free portal</t>
        </is>
      </c>
      <c r="BD961" s="4">
        <v>46133.71403935185</v>
      </c>
      <c r="BE961" t="inlineStr">
        <is>
          <t>paid</t>
        </is>
      </c>
      <c r="BF961"/>
      <c r="BG961" t="inlineStr">
        <is>
          <t>Reschedule</t>
        </is>
      </c>
      <c r="BH961" t="inlineStr">
        <is>
          <t>Edward Hoo</t>
        </is>
      </c>
      <c r="BI961" t="inlineStr">
        <is>
          <t>General / Wholesale Trading</t>
        </is>
      </c>
      <c r="BJ961" s="4">
        <v>46144.75224537037</v>
      </c>
      <c r="BK961" s="4">
        <v>45720.44613425926</v>
      </c>
      <c r="BL961" t="inlineStr">
        <is>
          <t>0.0</t>
        </is>
      </c>
      <c r="BM961" t="inlineStr">
        <is>
          <t>0.0</t>
        </is>
      </c>
      <c r="BN961" t="inlineStr">
        <is>
          <t>View Jobmanager Page</t>
        </is>
      </c>
      <c r="BO961" s="4">
        <v>45775.807222222225</v>
      </c>
      <c r="BP961">
        <v>167642</v>
      </c>
      <c r="BQ961">
        <v>5641</v>
      </c>
      <c r="BR961" t="inlineStr">
        <is>
          <t>Manual (Paid)</t>
        </is>
      </c>
      <c r="BS961" t="inlineStr">
        <is>
          <t>- Ala Carte Single with Booster Plus
- 1 Job Ad will be published on Maukerja, Ricebowl, Epicareer, Facebook, Google and LinkedIn
- 1 Booster Plus (8 times bump up)
- 1 Job Ad will be published for 45 days
- Package valid for 1 month</t>
        </is>
      </c>
      <c r="BT961">
        <v>5641</v>
      </c>
      <c r="BU961"/>
      <c r="BV961">
        <v>2718997</v>
      </c>
      <c r="BW961" t="inlineStr">
        <is>
          <t>Follow Up : Lost - Free Portal</t>
        </is>
      </c>
      <c r="BX961"/>
      <c r="BY961"/>
      <c r="BZ961" s="4"/>
      <c r="CA961"/>
      <c r="CB961"/>
      <c r="CC961" s="4"/>
      <c r="CD961" t="inlineStr">
        <is>
          <t>20</t>
        </is>
      </c>
      <c r="CE961" t="inlineStr">
        <is>
          <t>0</t>
        </is>
      </c>
      <c r="CF961" t="inlineStr">
        <is>
          <t>Q2-W03</t>
        </is>
      </c>
      <c r="CG961"/>
      <c r="CH961"/>
      <c r="CI961"/>
      <c r="CJ961" t="inlineStr">
        <is>
          <t>Paid</t>
        </is>
      </c>
      <c r="CK961" t="inlineStr">
        <is>
          <t>Not Eligible</t>
        </is>
      </c>
      <c r="CL961"/>
      <c r="CM961"/>
    </row>
    <row r="962" ht="25.5" customHeight="1">
      <c r="A962" t="inlineStr">
        <is>
          <t>4294716</t>
        </is>
      </c>
      <c r="B962" s="2"/>
      <c r="C962"/>
      <c r="D962" s="3">
        <v>46129.639074074075</v>
      </c>
      <c r="E962" t="inlineStr">
        <is>
          <t>Q2-W03</t>
        </is>
      </c>
      <c r="F962" t="inlineStr">
        <is>
          <t>Derek Lim</t>
        </is>
      </c>
      <c r="G962" t="inlineStr">
        <is>
          <t>Lead</t>
        </is>
      </c>
      <c r="H962" s="2" t="str">
        <f>=HYPERLINK("https://upbox.ajobthing.my/leads/4294716", "https://upbox.ajobthing.my/leads/4294716")</f>
        <v>https://upbox.ajobthing.my/leads/4294716</v>
      </c>
      <c r="I962" t="inlineStr">
        <is>
          <t>WM</t>
        </is>
      </c>
      <c r="J962" t="inlineStr">
        <is>
          <t>Small Fish</t>
        </is>
      </c>
      <c r="K962" t="inlineStr">
        <is>
          <t>Derek Lim</t>
        </is>
      </c>
      <c r="L962" s="4"/>
      <c r="M962" s="4">
        <v>46129.63935185185</v>
      </c>
      <c r="N962"/>
      <c r="O962">
        <v>6048</v>
      </c>
      <c r="P962" s="4"/>
      <c r="Q962" s="4"/>
      <c r="R962"/>
      <c r="S962"/>
      <c r="T962" s="4"/>
      <c r="U962" s="4"/>
      <c r="V962"/>
      <c r="W962"/>
      <c r="X962"/>
      <c r="Y962" t="inlineStr">
        <is>
          <t>Pending Appointment</t>
        </is>
      </c>
      <c r="Z962" t="inlineStr">
        <is>
          <t>Hiring Now</t>
        </is>
      </c>
      <c r="AA962">
        <v>3</v>
      </c>
      <c r="AB962" t="inlineStr">
        <is>
          <t>No Appointment Made</t>
        </is>
      </c>
      <c r="AC962"/>
      <c r="AD962" t="inlineStr">
        <is>
          <t>Senior executive - 1, Business development - 1, assistant manager - 1</t>
        </is>
      </c>
      <c r="AE962"/>
      <c r="AF962">
        <v>1000</v>
      </c>
      <c r="AG962" s="4"/>
      <c r="AH962" s="4"/>
      <c r="AI962">
        <v>1500</v>
      </c>
      <c r="AJ962">
        <v>2</v>
      </c>
      <c r="AK962" t="inlineStr">
        <is>
          <t>No, but I want in future</t>
        </is>
      </c>
      <c r="AL962">
        <v>0</v>
      </c>
      <c r="AM962" t="inlineStr">
        <is>
          <t>No, I don't need at all</t>
        </is>
      </c>
      <c r="AN962"/>
      <c r="AO962" t="inlineStr">
        <is>
          <t>No, but I want in future</t>
        </is>
      </c>
      <c r="AP962" t="inlineStr">
        <is>
          <t>Once a year (25%)</t>
        </is>
      </c>
      <c r="AQ962">
        <v>2</v>
      </c>
      <c r="AR962" t="inlineStr">
        <is>
          <t>Linkedin (Paid)</t>
        </is>
      </c>
      <c r="AS962" t="inlineStr">
        <is>
          <t>- Headcount: 3
- Hiring Job Details: Senior executive - 1, Business development - 1, assistant manager - 1
- Hiring Urgency: Hiring Now
- Number of outlets: 2
- Have recruiter team: No, but want in future
- Number of recruiter in company: 0
- Have ATS system: No, don't need at all
- Have career website: No, but want in future
- Current hiring budget: RM1,000
- Whole year budget: RM1,500.00
- Whole year number of vacancies: 2
- Hiring frequency: Once a year (25%)
- External job portal: Linkedin (Paid)</t>
        </is>
      </c>
      <c r="AT962">
        <v>115</v>
      </c>
      <c r="AU962" t="inlineStr">
        <is>
          <t>1.15</t>
        </is>
      </c>
      <c r="AV962" t="inlineStr">
        <is>
          <t>15</t>
        </is>
      </c>
      <c r="AW962" t="inlineStr">
        <is>
          <t>0</t>
        </is>
      </c>
      <c r="AX962" t="inlineStr">
        <is>
          <t>Not Qualified</t>
        </is>
      </c>
      <c r="AY962" s="4"/>
      <c r="AZ962"/>
      <c r="BA962"/>
      <c r="BB962"/>
      <c r="BC962"/>
      <c r="BD962" s="4"/>
      <c r="BE962"/>
      <c r="BF962"/>
      <c r="BG962" t="inlineStr">
        <is>
          <t>Reschedule</t>
        </is>
      </c>
      <c r="BH962" t="inlineStr">
        <is>
          <t>Edward Hoo</t>
        </is>
      </c>
      <c r="BI962"/>
      <c r="BJ962" s="4">
        <v>46144.75585648148</v>
      </c>
      <c r="BK962" s="4">
        <v>46129.625972222224</v>
      </c>
      <c r="BL962" t="inlineStr">
        <is>
          <t>0.0</t>
        </is>
      </c>
      <c r="BM962" t="inlineStr">
        <is>
          <t>0.0</t>
        </is>
      </c>
      <c r="BN962"/>
      <c r="BO962" s="4"/>
      <c r="BP962">
        <v>167643</v>
      </c>
      <c r="BQ962"/>
      <c r="BR962"/>
      <c r="BS962"/>
      <c r="BT962"/>
      <c r="BU962"/>
      <c r="BV962"/>
      <c r="BW962"/>
      <c r="BX962"/>
      <c r="BY962"/>
      <c r="BZ962" s="4"/>
      <c r="CA962"/>
      <c r="CB962"/>
      <c r="CC962" s="4"/>
      <c r="CD962" t="inlineStr">
        <is>
          <t>20</t>
        </is>
      </c>
      <c r="CE962" t="inlineStr">
        <is>
          <t>0</t>
        </is>
      </c>
      <c r="CF962" t="inlineStr">
        <is>
          <t>Q2-W03</t>
        </is>
      </c>
      <c r="CG962"/>
      <c r="CH962"/>
      <c r="CI962"/>
      <c r="CJ962" t="inlineStr">
        <is>
          <t>No Paid</t>
        </is>
      </c>
      <c r="CK962" t="inlineStr">
        <is>
          <t>Not Eligible</t>
        </is>
      </c>
      <c r="CL962"/>
      <c r="CM962"/>
    </row>
    <row r="963" ht="25.5" customHeight="1">
      <c r="A963" t="inlineStr">
        <is>
          <t>203357</t>
        </is>
      </c>
      <c r="B963" s="2"/>
      <c r="C963"/>
      <c r="D963" s="3">
        <v>46129.64487268519</v>
      </c>
      <c r="E963" t="inlineStr">
        <is>
          <t>Q2-W03</t>
        </is>
      </c>
      <c r="F963" t="inlineStr">
        <is>
          <t>Keegan</t>
        </is>
      </c>
      <c r="G963" t="inlineStr">
        <is>
          <t>Customer</t>
        </is>
      </c>
      <c r="H963" s="2" t="str">
        <f>=HYPERLINK("https://upbox.ajobthing.my/customer/203357", "https://upbox.ajobthing.my/customer/203357")</f>
        <v>https://upbox.ajobthing.my/customer/203357</v>
      </c>
      <c r="I963" t="inlineStr">
        <is>
          <t>Frais fhungi SDN.BHD</t>
        </is>
      </c>
      <c r="J963" t="inlineStr">
        <is>
          <t>Small Fish</t>
        </is>
      </c>
      <c r="K963" t="inlineStr">
        <is>
          <t>Keegan</t>
        </is>
      </c>
      <c r="L963" s="4"/>
      <c r="M963" s="4">
        <v>46129.64494212963</v>
      </c>
      <c r="N963"/>
      <c r="O963">
        <v>6048</v>
      </c>
      <c r="P963" s="4"/>
      <c r="Q963" s="4"/>
      <c r="R963"/>
      <c r="S963"/>
      <c r="T963" s="4"/>
      <c r="U963" s="4"/>
      <c r="V963"/>
      <c r="W963"/>
      <c r="X963"/>
      <c r="Y963" t="inlineStr">
        <is>
          <t>Pending Appointment</t>
        </is>
      </c>
      <c r="Z963" t="inlineStr">
        <is>
          <t>Hiring Now</t>
        </is>
      </c>
      <c r="AA963">
        <v>3</v>
      </c>
      <c r="AB963" t="inlineStr">
        <is>
          <t>No Appointment Made</t>
        </is>
      </c>
      <c r="AC963"/>
      <c r="AD963" t="inlineStr">
        <is>
          <t xml:space="preserve">1. Admin 
2. Sales 
3. Marketing </t>
        </is>
      </c>
      <c r="AE963"/>
      <c r="AF963"/>
      <c r="AG963" s="4"/>
      <c r="AH963" s="4"/>
      <c r="AI963"/>
      <c r="AJ963">
        <v>1</v>
      </c>
      <c r="AK963" t="inlineStr">
        <is>
          <t>No, I don't need at all</t>
        </is>
      </c>
      <c r="AL963">
        <v>0</v>
      </c>
      <c r="AM963" t="inlineStr">
        <is>
          <t>No, I don't need at all</t>
        </is>
      </c>
      <c r="AN963"/>
      <c r="AO963" t="inlineStr">
        <is>
          <t>No, I don't need at all</t>
        </is>
      </c>
      <c r="AP963" t="inlineStr">
        <is>
          <t>Once per quarter (75%)</t>
        </is>
      </c>
      <c r="AQ963"/>
      <c r="AR963" t="inlineStr">
        <is>
          <t>Did not use any job portal</t>
        </is>
      </c>
      <c r="AS963" t="inlineStr">
        <is>
          <t>- Headcount: 3
- Hiring Job Details: 1. Admin\n2. Sales\n3.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963">
        <v>75</v>
      </c>
      <c r="AU963" t="inlineStr">
        <is>
          <t>0.75</t>
        </is>
      </c>
      <c r="AV963" t="inlineStr">
        <is>
          <t>5</t>
        </is>
      </c>
      <c r="AW963" t="inlineStr">
        <is>
          <t>0</t>
        </is>
      </c>
      <c r="AX963" t="inlineStr">
        <is>
          <t>Not Qualified</t>
        </is>
      </c>
      <c r="AY963" s="4"/>
      <c r="AZ963"/>
      <c r="BA963"/>
      <c r="BB963"/>
      <c r="BC963" t="inlineStr">
        <is>
          <t>f/up on decision</t>
        </is>
      </c>
      <c r="BD963" s="4">
        <v>46135.62878472222</v>
      </c>
      <c r="BE963"/>
      <c r="BF963"/>
      <c r="BG963" t="inlineStr">
        <is>
          <t>Reschedule</t>
        </is>
      </c>
      <c r="BH963" t="inlineStr">
        <is>
          <t>Edward Hoo</t>
        </is>
      </c>
      <c r="BI963"/>
      <c r="BJ963" s="4">
        <v>46144.754282407404</v>
      </c>
      <c r="BK963" s="4">
        <v>46129.6428125</v>
      </c>
      <c r="BL963" t="inlineStr">
        <is>
          <t>0.0</t>
        </is>
      </c>
      <c r="BM963" t="inlineStr">
        <is>
          <t>0.0</t>
        </is>
      </c>
      <c r="BN963"/>
      <c r="BO963" s="4"/>
      <c r="BP963">
        <v>167649</v>
      </c>
      <c r="BQ963"/>
      <c r="BR963"/>
      <c r="BS963"/>
      <c r="BT963"/>
      <c r="BU963"/>
      <c r="BV963">
        <v>2723840</v>
      </c>
      <c r="BW963" t="inlineStr">
        <is>
          <t>Follow Up : Decision Pending</t>
        </is>
      </c>
      <c r="BX963"/>
      <c r="BY963"/>
      <c r="BZ963" s="4"/>
      <c r="CA963"/>
      <c r="CB963"/>
      <c r="CC963" s="4"/>
      <c r="CD963" t="inlineStr">
        <is>
          <t>5</t>
        </is>
      </c>
      <c r="CE963" t="inlineStr">
        <is>
          <t>0</t>
        </is>
      </c>
      <c r="CF963" t="inlineStr">
        <is>
          <t>Q2-W03</t>
        </is>
      </c>
      <c r="CG963"/>
      <c r="CH963"/>
      <c r="CI963"/>
      <c r="CJ963" t="inlineStr">
        <is>
          <t>No Paid</t>
        </is>
      </c>
      <c r="CK963" t="inlineStr">
        <is>
          <t>Not Eligible</t>
        </is>
      </c>
      <c r="CL963"/>
      <c r="CM963"/>
    </row>
    <row r="964" ht="25.5" customHeight="1">
      <c r="A964" t="inlineStr">
        <is>
          <t>203328</t>
        </is>
      </c>
      <c r="B964" s="2"/>
      <c r="C964"/>
      <c r="D964" s="3">
        <v>46129.64702546296</v>
      </c>
      <c r="E964" t="inlineStr">
        <is>
          <t>Q2-W03</t>
        </is>
      </c>
      <c r="F964" t="inlineStr">
        <is>
          <t>Janice Yap</t>
        </is>
      </c>
      <c r="G964" t="inlineStr">
        <is>
          <t>Customer</t>
        </is>
      </c>
      <c r="H964" s="2" t="str">
        <f>=HYPERLINK("https://upbox.ajobthing.my/customer/203328", "https://upbox.ajobthing.my/customer/203328")</f>
        <v>https://upbox.ajobthing.my/customer/203328</v>
      </c>
      <c r="I964" t="inlineStr">
        <is>
          <t>Ho Leong Tractors Sdn Bhd</t>
        </is>
      </c>
      <c r="J964" t="inlineStr">
        <is>
          <t>Small Fish</t>
        </is>
      </c>
      <c r="K964" t="inlineStr">
        <is>
          <t>Janice</t>
        </is>
      </c>
      <c r="L964" s="4"/>
      <c r="M964" s="4">
        <v>46129.64451388889</v>
      </c>
      <c r="N964"/>
      <c r="O964">
        <v>3888</v>
      </c>
      <c r="P964" s="4"/>
      <c r="Q964" s="4"/>
      <c r="R964"/>
      <c r="S964"/>
      <c r="T964" s="4"/>
      <c r="U964" s="4"/>
      <c r="V964"/>
      <c r="W964"/>
      <c r="X964"/>
      <c r="Y964" t="inlineStr">
        <is>
          <t>Pending Appointment</t>
        </is>
      </c>
      <c r="Z964" t="inlineStr">
        <is>
          <t>Hiring Now</t>
        </is>
      </c>
      <c r="AA964">
        <v>1</v>
      </c>
      <c r="AB964" t="inlineStr">
        <is>
          <t>No Appointment Made</t>
        </is>
      </c>
      <c r="AC964"/>
      <c r="AD964" t="inlineStr">
        <is>
          <t>1 store keeper</t>
        </is>
      </c>
      <c r="AE964"/>
      <c r="AF964">
        <v>0</v>
      </c>
      <c r="AG964" s="4"/>
      <c r="AH964" s="4"/>
      <c r="AI964">
        <v>0</v>
      </c>
      <c r="AJ964"/>
      <c r="AK964" t="inlineStr">
        <is>
          <t>No, I don't need at all</t>
        </is>
      </c>
      <c r="AL964">
        <v>0</v>
      </c>
      <c r="AM964" t="inlineStr">
        <is>
          <t>No, I don't need at all</t>
        </is>
      </c>
      <c r="AN964"/>
      <c r="AO964" t="inlineStr">
        <is>
          <t>No, I don't need at all</t>
        </is>
      </c>
      <c r="AP964" t="inlineStr">
        <is>
          <t>Once a year (25%)</t>
        </is>
      </c>
      <c r="AQ964">
        <v>1</v>
      </c>
      <c r="AR964" t="inlineStr">
        <is>
          <t>Free Job Portal</t>
        </is>
      </c>
      <c r="AS964" t="inlineStr">
        <is>
          <t>- Headcount: 1
- Hiring Job Details: 1 store keeper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964">
        <v>110</v>
      </c>
      <c r="AU964" t="inlineStr">
        <is>
          <t>1.10</t>
        </is>
      </c>
      <c r="AV964" t="inlineStr">
        <is>
          <t>15</t>
        </is>
      </c>
      <c r="AW964" t="inlineStr">
        <is>
          <t>0</t>
        </is>
      </c>
      <c r="AX964" t="inlineStr">
        <is>
          <t>Not Qualified</t>
        </is>
      </c>
      <c r="AY964" s="4"/>
      <c r="AZ964"/>
      <c r="BA964"/>
      <c r="BB964"/>
      <c r="BC964" t="inlineStr">
        <is>
          <t>Direct hang up call after heard  calling from AJT</t>
        </is>
      </c>
      <c r="BD964" s="4">
        <v>46133.587326388886</v>
      </c>
      <c r="BE964"/>
      <c r="BF964"/>
      <c r="BG964" t="inlineStr">
        <is>
          <t>Reschedule</t>
        </is>
      </c>
      <c r="BH964" t="inlineStr">
        <is>
          <t>Yee Hang</t>
        </is>
      </c>
      <c r="BI964"/>
      <c r="BJ964" s="4">
        <v>46144.754282407404</v>
      </c>
      <c r="BK964" s="4">
        <v>46128.72741898148</v>
      </c>
      <c r="BL964" t="inlineStr">
        <is>
          <t>0.0</t>
        </is>
      </c>
      <c r="BM964" t="inlineStr">
        <is>
          <t>0.0</t>
        </is>
      </c>
      <c r="BN964" t="inlineStr">
        <is>
          <t>User Visit(Logged In)</t>
        </is>
      </c>
      <c r="BO964" s="4">
        <v>46128.7274537037</v>
      </c>
      <c r="BP964">
        <v>167648</v>
      </c>
      <c r="BQ964"/>
      <c r="BR964"/>
      <c r="BS964"/>
      <c r="BT964"/>
      <c r="BU964"/>
      <c r="BV964">
        <v>2718178</v>
      </c>
      <c r="BW964" t="inlineStr">
        <is>
          <t>Follow Up : Lost - Free Portal</t>
        </is>
      </c>
      <c r="BX964"/>
      <c r="BY964"/>
      <c r="BZ964" s="4"/>
      <c r="CA964"/>
      <c r="CB964"/>
      <c r="CC964" s="4"/>
      <c r="CD964" t="inlineStr">
        <is>
          <t>20</t>
        </is>
      </c>
      <c r="CE964" t="inlineStr">
        <is>
          <t>0</t>
        </is>
      </c>
      <c r="CF964" t="inlineStr">
        <is>
          <t>Q2-W03</t>
        </is>
      </c>
      <c r="CG964"/>
      <c r="CH964"/>
      <c r="CI964"/>
      <c r="CJ964" t="inlineStr">
        <is>
          <t>No Paid</t>
        </is>
      </c>
      <c r="CK964" t="inlineStr">
        <is>
          <t>Not Eligible</t>
        </is>
      </c>
      <c r="CL964"/>
      <c r="CM964"/>
    </row>
    <row r="965" ht="25.5" customHeight="1">
      <c r="A965" t="inlineStr">
        <is>
          <t>186809</t>
        </is>
      </c>
      <c r="B965" s="2"/>
      <c r="C965"/>
      <c r="D965" s="3">
        <v>46129.64730324074</v>
      </c>
      <c r="E965" t="inlineStr">
        <is>
          <t>Q2-W03</t>
        </is>
      </c>
      <c r="F965" t="inlineStr">
        <is>
          <t>Fariz</t>
        </is>
      </c>
      <c r="G965" t="inlineStr">
        <is>
          <t>Customer</t>
        </is>
      </c>
      <c r="H965" s="2" t="str">
        <f>=HYPERLINK("https://upbox.ajobthing.my/customer/186809", "https://upbox.ajobthing.my/customer/186809")</f>
        <v>https://upbox.ajobthing.my/customer/186809</v>
      </c>
      <c r="I965" t="inlineStr">
        <is>
          <t>Mjl Consultant</t>
        </is>
      </c>
      <c r="J965" t="inlineStr">
        <is>
          <t>Small Fish</t>
        </is>
      </c>
      <c r="K965" t="inlineStr">
        <is>
          <t>Fariz</t>
        </is>
      </c>
      <c r="L965" s="4"/>
      <c r="M965" s="4">
        <v>46129.648310185185</v>
      </c>
      <c r="N965"/>
      <c r="O965">
        <v>3888</v>
      </c>
      <c r="P965" s="4"/>
      <c r="Q965" s="4"/>
      <c r="R965"/>
      <c r="S965"/>
      <c r="T965" s="4"/>
      <c r="U965" s="4"/>
      <c r="V965"/>
      <c r="W965"/>
      <c r="X965"/>
      <c r="Y965" t="inlineStr">
        <is>
          <t>Pending Appointment</t>
        </is>
      </c>
      <c r="Z965" t="inlineStr">
        <is>
          <t>Hiring Now</t>
        </is>
      </c>
      <c r="AA965">
        <v>5</v>
      </c>
      <c r="AB965" t="inlineStr">
        <is>
          <t>No Appointment Made</t>
        </is>
      </c>
      <c r="AC965"/>
      <c r="AD965" t="inlineStr">
        <is>
          <t>5 telemarketer</t>
        </is>
      </c>
      <c r="AE965"/>
      <c r="AF965">
        <v>3600</v>
      </c>
      <c r="AG965" s="4"/>
      <c r="AH965" s="4"/>
      <c r="AI965">
        <v>3600</v>
      </c>
      <c r="AJ965"/>
      <c r="AK965" t="inlineStr">
        <is>
          <t>No, but I want in future</t>
        </is>
      </c>
      <c r="AL965">
        <v>1</v>
      </c>
      <c r="AM965" t="inlineStr">
        <is>
          <t>No, I don't need at all</t>
        </is>
      </c>
      <c r="AN965"/>
      <c r="AO965" t="inlineStr">
        <is>
          <t>No, but I want in future</t>
        </is>
      </c>
      <c r="AP965" t="inlineStr">
        <is>
          <t>Twice a year (50%)</t>
        </is>
      </c>
      <c r="AQ965">
        <v>10</v>
      </c>
      <c r="AR965" t="inlineStr">
        <is>
          <t>Free Job Portal, Indeed (Paid), Jobstreet</t>
        </is>
      </c>
      <c r="AS965" t="inlineStr">
        <is>
          <t>- Headcount: 5
- Hiring Job Details: 5 telemarketer
- Hiring Urgency: Hiring Now
- Number of outlets: N/A
- Have recruiter team: No, but want in future
- Number of recruiter in company: 1
- Have ATS system: No, I don't need at all
- Have career website: No, but want in future
- Current hiring budget: RM3,600
- Whole year budget: RM3,600.00
- Whole year number of vacancies: 10
- Hiring frequency: Twice a year (50%)
- External job portal: Free Job Portal,Indeed (Paid),Jobstreet</t>
        </is>
      </c>
      <c r="AT965">
        <v>105</v>
      </c>
      <c r="AU965" t="inlineStr">
        <is>
          <t>1.05</t>
        </is>
      </c>
      <c r="AV965" t="inlineStr">
        <is>
          <t>20</t>
        </is>
      </c>
      <c r="AW965" t="inlineStr">
        <is>
          <t>0</t>
        </is>
      </c>
      <c r="AX965" t="inlineStr">
        <is>
          <t>Not Qualified</t>
        </is>
      </c>
      <c r="AY965" s="4"/>
      <c r="AZ965"/>
      <c r="BA965"/>
      <c r="BB965"/>
      <c r="BC965" t="inlineStr">
        <is>
          <t>Follow up - na</t>
        </is>
      </c>
      <c r="BD965" s="4">
        <v>46134.46975694445</v>
      </c>
      <c r="BE965"/>
      <c r="BF965"/>
      <c r="BG965" t="inlineStr">
        <is>
          <t>Reschedule</t>
        </is>
      </c>
      <c r="BH965" t="inlineStr">
        <is>
          <t>Edward Hoo</t>
        </is>
      </c>
      <c r="BI965"/>
      <c r="BJ965" s="4">
        <v>46144.752118055556</v>
      </c>
      <c r="BK965" s="4">
        <v>45672.62243055556</v>
      </c>
      <c r="BL965" t="inlineStr">
        <is>
          <t>0.0</t>
        </is>
      </c>
      <c r="BM965" t="inlineStr">
        <is>
          <t>600.0</t>
        </is>
      </c>
      <c r="BN965" t="inlineStr">
        <is>
          <t>Instant Register</t>
        </is>
      </c>
      <c r="BO965" s="4">
        <v>45672.62243055556</v>
      </c>
      <c r="BP965">
        <v>167651</v>
      </c>
      <c r="BQ965"/>
      <c r="BR965"/>
      <c r="BS965"/>
      <c r="BT965"/>
      <c r="BU965"/>
      <c r="BV965">
        <v>2719954</v>
      </c>
      <c r="BW965" t="inlineStr">
        <is>
          <t>No Answer : Voicemail - WA sent to customer</t>
        </is>
      </c>
      <c r="BX965"/>
      <c r="BY965"/>
      <c r="BZ965" s="4"/>
      <c r="CA965"/>
      <c r="CB965"/>
      <c r="CC965" s="4"/>
      <c r="CD965" t="inlineStr">
        <is>
          <t>30</t>
        </is>
      </c>
      <c r="CE965" t="inlineStr">
        <is>
          <t>0</t>
        </is>
      </c>
      <c r="CF965" t="inlineStr">
        <is>
          <t>Q2-W03</t>
        </is>
      </c>
      <c r="CG965"/>
      <c r="CH965"/>
      <c r="CI965"/>
      <c r="CJ965" t="inlineStr">
        <is>
          <t>No Paid</t>
        </is>
      </c>
      <c r="CK965" t="inlineStr">
        <is>
          <t>Not Eligible</t>
        </is>
      </c>
      <c r="CL965"/>
      <c r="CM965"/>
    </row>
    <row r="966" ht="25.5" customHeight="1">
      <c r="A966" t="inlineStr">
        <is>
          <t>202904</t>
        </is>
      </c>
      <c r="B966" s="2"/>
      <c r="C966"/>
      <c r="D966" s="3">
        <v>46129.655636574076</v>
      </c>
      <c r="E966" t="inlineStr">
        <is>
          <t>Q2-W03</t>
        </is>
      </c>
      <c r="F966" t="inlineStr">
        <is>
          <t>Ken Yi</t>
        </is>
      </c>
      <c r="G966" t="inlineStr">
        <is>
          <t>Customer</t>
        </is>
      </c>
      <c r="H966" s="2" t="str">
        <f>=HYPERLINK("https://upbox.ajobthing.my/customer/202904", "https://upbox.ajobthing.my/customer/202904")</f>
        <v>https://upbox.ajobthing.my/customer/202904</v>
      </c>
      <c r="I966" t="inlineStr">
        <is>
          <t>Yks Chartered Accountants</t>
        </is>
      </c>
      <c r="J966" t="inlineStr">
        <is>
          <t>Small Fish</t>
        </is>
      </c>
      <c r="K966" t="inlineStr">
        <is>
          <t>Kenyi</t>
        </is>
      </c>
      <c r="L966" s="4"/>
      <c r="M966" s="4">
        <v>46129.65309027778</v>
      </c>
      <c r="N966"/>
      <c r="O966">
        <v>3672</v>
      </c>
      <c r="P966" s="4"/>
      <c r="Q966" s="4"/>
      <c r="R966"/>
      <c r="S966"/>
      <c r="T966" s="4"/>
      <c r="U966" s="4"/>
      <c r="V966"/>
      <c r="W966"/>
      <c r="X966"/>
      <c r="Y966" t="inlineStr">
        <is>
          <t>Pending Appointment</t>
        </is>
      </c>
      <c r="Z966" t="inlineStr">
        <is>
          <t>Hiring Now</t>
        </is>
      </c>
      <c r="AA966">
        <v>0</v>
      </c>
      <c r="AB966" t="inlineStr">
        <is>
          <t>No Appointment Made</t>
        </is>
      </c>
      <c r="AC966"/>
      <c r="AD966" t="inlineStr">
        <is>
          <t>Counter Proposal Discount</t>
        </is>
      </c>
      <c r="AE966"/>
      <c r="AF966">
        <v>0</v>
      </c>
      <c r="AG966" s="4"/>
      <c r="AH966" s="4"/>
      <c r="AI966">
        <v>0</v>
      </c>
      <c r="AJ966">
        <v>3</v>
      </c>
      <c r="AK966" t="inlineStr">
        <is>
          <t>Yes, I have</t>
        </is>
      </c>
      <c r="AL966">
        <v>1</v>
      </c>
      <c r="AM966" t="inlineStr">
        <is>
          <t>No, I don't need at all</t>
        </is>
      </c>
      <c r="AN966"/>
      <c r="AO966" t="inlineStr">
        <is>
          <t>No, I don't need at all</t>
        </is>
      </c>
      <c r="AP966" t="inlineStr">
        <is>
          <t>Every month (100%)</t>
        </is>
      </c>
      <c r="AQ966">
        <v>3</v>
      </c>
      <c r="AR966" t="inlineStr">
        <is>
          <t>Free Job Portal</t>
        </is>
      </c>
      <c r="AS966" t="inlineStr">
        <is>
          <t>- Headcount: 0
- Hiring Job Details: Counter Proposal Discount
- Hiring Urgency: Hiring Now
- Number of outlets: 3
- Have recruiter team: Yes
- Number of recruiter in company: 1
- Have ATS system: No, I don't need at all
- Have career website: No, I don't need at all
- Current hiring budget: RM0
- Whole year budget: RM0.00
- Whole year number of vacancies: 3
- Hiring frequency: Every month (100%)
- External job portal: Free Job Portal</t>
        </is>
      </c>
      <c r="AT966">
        <v>85</v>
      </c>
      <c r="AU966" t="inlineStr">
        <is>
          <t>0.85</t>
        </is>
      </c>
      <c r="AV966" t="inlineStr">
        <is>
          <t>15</t>
        </is>
      </c>
      <c r="AW966" t="inlineStr">
        <is>
          <t>0</t>
        </is>
      </c>
      <c r="AX966" t="inlineStr">
        <is>
          <t>Not Qualified</t>
        </is>
      </c>
      <c r="AY966" s="4"/>
      <c r="AZ966"/>
      <c r="BA966"/>
      <c r="BB966"/>
      <c r="BC966" t="inlineStr">
        <is>
          <t>- Headcount: 0
- Hiring Job Details: Counter Proposal Discount
- Hiring Urgency: Hiring Now
- Number of outlets: 3
- Have recruiter team: Yes
- Number of recruiter in company: 1
- Have ATS system: No, I don't need at all
- Have career website: No, I don't need at all
- Current hiring budget: RM0
- Whole year budget: RM0.00
- Whole year number of vacancies: 3
- Hiring frequency: Every month (100%)
- External job portal: Free Job Portal</t>
        </is>
      </c>
      <c r="BD966" s="4">
        <v>46129.666817129626</v>
      </c>
      <c r="BE966"/>
      <c r="BF966"/>
      <c r="BG966" t="inlineStr">
        <is>
          <t>Reschedule</t>
        </is>
      </c>
      <c r="BH966" t="inlineStr">
        <is>
          <t>Fauziah Maharan</t>
        </is>
      </c>
      <c r="BI966"/>
      <c r="BJ966" s="4">
        <v>46144.75414351852</v>
      </c>
      <c r="BK966" s="4">
        <v>46119.0568287037</v>
      </c>
      <c r="BL966" t="inlineStr">
        <is>
          <t>0.0</t>
        </is>
      </c>
      <c r="BM966" t="inlineStr">
        <is>
          <t>0.0</t>
        </is>
      </c>
      <c r="BN966" t="inlineStr">
        <is>
          <t>View Company Page</t>
        </is>
      </c>
      <c r="BO966" s="4">
        <v>46119.05746527778</v>
      </c>
      <c r="BP966">
        <v>167655</v>
      </c>
      <c r="BQ966"/>
      <c r="BR966"/>
      <c r="BS966"/>
      <c r="BT966"/>
      <c r="BU966"/>
      <c r="BV966">
        <v>2712652</v>
      </c>
      <c r="BW966" t="inlineStr">
        <is>
          <t>Customer Inquiry</t>
        </is>
      </c>
      <c r="BX966"/>
      <c r="BY966"/>
      <c r="BZ966" s="4"/>
      <c r="CA966"/>
      <c r="CB966"/>
      <c r="CC966" s="4"/>
      <c r="CD966" t="inlineStr">
        <is>
          <t>20</t>
        </is>
      </c>
      <c r="CE966" t="inlineStr">
        <is>
          <t>0</t>
        </is>
      </c>
      <c r="CF966" t="inlineStr">
        <is>
          <t>Q2-W03</t>
        </is>
      </c>
      <c r="CG966"/>
      <c r="CH966"/>
      <c r="CI966"/>
      <c r="CJ966" t="inlineStr">
        <is>
          <t>No Paid</t>
        </is>
      </c>
      <c r="CK966" t="inlineStr">
        <is>
          <t>Not Eligible</t>
        </is>
      </c>
      <c r="CL966"/>
      <c r="CM966"/>
    </row>
    <row r="967" ht="25.5" customHeight="1">
      <c r="A967" t="inlineStr">
        <is>
          <t>4294714</t>
        </is>
      </c>
      <c r="B967" s="2"/>
      <c r="C967"/>
      <c r="D967" s="3">
        <v>46129.65666666667</v>
      </c>
      <c r="E967" t="inlineStr">
        <is>
          <t>Q2-W03</t>
        </is>
      </c>
      <c r="F967" t="inlineStr">
        <is>
          <t>Evan</t>
        </is>
      </c>
      <c r="G967" t="inlineStr">
        <is>
          <t>Lead</t>
        </is>
      </c>
      <c r="H967" s="2" t="str">
        <f>=HYPERLINK("https://upbox.ajobthing.my/leads/4294714", "https://upbox.ajobthing.my/leads/4294714")</f>
        <v>https://upbox.ajobthing.my/leads/4294714</v>
      </c>
      <c r="I967" t="inlineStr">
        <is>
          <t>Citra Nusantara Sdn Bhd</t>
        </is>
      </c>
      <c r="J967" t="inlineStr">
        <is>
          <t>Small Fish</t>
        </is>
      </c>
      <c r="K967" t="inlineStr">
        <is>
          <t>Evan</t>
        </is>
      </c>
      <c r="L967" s="4"/>
      <c r="M967" s="4">
        <v>46129.654386574075</v>
      </c>
      <c r="N967"/>
      <c r="O967">
        <v>3888</v>
      </c>
      <c r="P967" s="4"/>
      <c r="Q967" s="4"/>
      <c r="R967"/>
      <c r="S967"/>
      <c r="T967" s="4"/>
      <c r="U967" s="4"/>
      <c r="V967"/>
      <c r="W967"/>
      <c r="X967"/>
      <c r="Y967" t="inlineStr">
        <is>
          <t>Pending Appointment</t>
        </is>
      </c>
      <c r="Z967" t="inlineStr">
        <is>
          <t>Hiring Now</t>
        </is>
      </c>
      <c r="AA967">
        <v>1</v>
      </c>
      <c r="AB967" t="inlineStr">
        <is>
          <t>No Appointment Made</t>
        </is>
      </c>
      <c r="AC967"/>
      <c r="AD967" t="inlineStr">
        <is>
          <t>1 admin, all base in KL</t>
        </is>
      </c>
      <c r="AE967"/>
      <c r="AF967">
        <v>1</v>
      </c>
      <c r="AG967" s="4"/>
      <c r="AH967" s="4"/>
      <c r="AI967">
        <v>0</v>
      </c>
      <c r="AJ967">
        <v>1</v>
      </c>
      <c r="AK967" t="inlineStr">
        <is>
          <t>No, I don't need at all</t>
        </is>
      </c>
      <c r="AL967">
        <v>0</v>
      </c>
      <c r="AM967" t="inlineStr">
        <is>
          <t>No, I don't need at all</t>
        </is>
      </c>
      <c r="AN967"/>
      <c r="AO967" t="inlineStr">
        <is>
          <t>No, I don't need at all</t>
        </is>
      </c>
      <c r="AP967" t="inlineStr">
        <is>
          <t>Once a year (25%)</t>
        </is>
      </c>
      <c r="AQ967">
        <v>1</v>
      </c>
      <c r="AR967" t="inlineStr">
        <is>
          <t>Jobstreet, Free Job Portal</t>
        </is>
      </c>
      <c r="AS967"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RM0.00
- Whole year number of vacancies: 1
- Hiring frequency: Once a year (25%)
- External job portal: Jobstreet,Free Job Portal</t>
        </is>
      </c>
      <c r="AT967">
        <v>115</v>
      </c>
      <c r="AU967" t="inlineStr">
        <is>
          <t>1.15</t>
        </is>
      </c>
      <c r="AV967" t="inlineStr">
        <is>
          <t>15</t>
        </is>
      </c>
      <c r="AW967" t="inlineStr">
        <is>
          <t>0</t>
        </is>
      </c>
      <c r="AX967" t="inlineStr">
        <is>
          <t>Not Qualified</t>
        </is>
      </c>
      <c r="AY967" s="4"/>
      <c r="AZ967"/>
      <c r="BA967"/>
      <c r="BB967"/>
      <c r="BC967"/>
      <c r="BD967" s="4"/>
      <c r="BE967"/>
      <c r="BF967"/>
      <c r="BG967" t="inlineStr">
        <is>
          <t>Reschedule</t>
        </is>
      </c>
      <c r="BH967" t="inlineStr">
        <is>
          <t>Edward Hoo</t>
        </is>
      </c>
      <c r="BI967"/>
      <c r="BJ967" s="4">
        <v>46144.75585648148</v>
      </c>
      <c r="BK967" s="4">
        <v>46129.625972222224</v>
      </c>
      <c r="BL967" t="inlineStr">
        <is>
          <t>0.0</t>
        </is>
      </c>
      <c r="BM967" t="inlineStr">
        <is>
          <t>600.0</t>
        </is>
      </c>
      <c r="BN967"/>
      <c r="BO967" s="4"/>
      <c r="BP967">
        <v>167658</v>
      </c>
      <c r="BQ967"/>
      <c r="BR967"/>
      <c r="BS967"/>
      <c r="BT967"/>
      <c r="BU967"/>
      <c r="BV967"/>
      <c r="BW967"/>
      <c r="BX967"/>
      <c r="BY967"/>
      <c r="BZ967" s="4"/>
      <c r="CA967"/>
      <c r="CB967"/>
      <c r="CC967" s="4"/>
      <c r="CD967" t="inlineStr">
        <is>
          <t>20</t>
        </is>
      </c>
      <c r="CE967" t="inlineStr">
        <is>
          <t>0</t>
        </is>
      </c>
      <c r="CF967" t="inlineStr">
        <is>
          <t>Q2-W03</t>
        </is>
      </c>
      <c r="CG967"/>
      <c r="CH967"/>
      <c r="CI967"/>
      <c r="CJ967" t="inlineStr">
        <is>
          <t>No Paid</t>
        </is>
      </c>
      <c r="CK967" t="inlineStr">
        <is>
          <t>Not Eligible</t>
        </is>
      </c>
      <c r="CL967"/>
      <c r="CM967"/>
    </row>
    <row r="968" ht="25.5" customHeight="1">
      <c r="A968" t="inlineStr">
        <is>
          <t>14460</t>
        </is>
      </c>
      <c r="B968" s="2"/>
      <c r="C968"/>
      <c r="D968" s="3">
        <v>46129.66030092593</v>
      </c>
      <c r="E968" t="inlineStr">
        <is>
          <t>Q2-W03</t>
        </is>
      </c>
      <c r="F968" t="inlineStr">
        <is>
          <t>Eugene</t>
        </is>
      </c>
      <c r="G968" t="inlineStr">
        <is>
          <t>Customer</t>
        </is>
      </c>
      <c r="H968" s="2" t="str">
        <f>=HYPERLINK("https://upbox.ajobthing.my/customer/14460", "https://upbox.ajobthing.my/customer/14460")</f>
        <v>https://upbox.ajobthing.my/customer/14460</v>
      </c>
      <c r="I968" t="inlineStr">
        <is>
          <t>Galvapole Industries Sdn Bhd</t>
        </is>
      </c>
      <c r="J968" t="inlineStr">
        <is>
          <t>Small Fish</t>
        </is>
      </c>
      <c r="K968" t="inlineStr">
        <is>
          <t>Eugene</t>
        </is>
      </c>
      <c r="L968" s="4"/>
      <c r="M968" s="4">
        <v>46129.66091435185</v>
      </c>
      <c r="N968"/>
      <c r="O968">
        <v>3888</v>
      </c>
      <c r="P968" s="4"/>
      <c r="Q968" s="4"/>
      <c r="R968"/>
      <c r="S968"/>
      <c r="T968" s="4"/>
      <c r="U968" s="4"/>
      <c r="V968"/>
      <c r="W968"/>
      <c r="X968"/>
      <c r="Y968" t="inlineStr">
        <is>
          <t>Pending Appointment</t>
        </is>
      </c>
      <c r="Z968" t="inlineStr">
        <is>
          <t>Hiring Later</t>
        </is>
      </c>
      <c r="AA968">
        <v>2</v>
      </c>
      <c r="AB968" t="inlineStr">
        <is>
          <t>No Appointment Made</t>
        </is>
      </c>
      <c r="AC968"/>
      <c r="AD968" t="inlineStr">
        <is>
          <t>2 positions, based in KL</t>
        </is>
      </c>
      <c r="AE968"/>
      <c r="AF968">
        <v>3000</v>
      </c>
      <c r="AG968" s="4"/>
      <c r="AH968" s="4"/>
      <c r="AI968">
        <v>3000</v>
      </c>
      <c r="AJ968">
        <v>1</v>
      </c>
      <c r="AK968" t="inlineStr">
        <is>
          <t>No, I don't need at all</t>
        </is>
      </c>
      <c r="AL968"/>
      <c r="AM968" t="inlineStr">
        <is>
          <t>No, I don't need at all</t>
        </is>
      </c>
      <c r="AN968"/>
      <c r="AO968" t="inlineStr">
        <is>
          <t>No, I don't need at all</t>
        </is>
      </c>
      <c r="AP968" t="inlineStr">
        <is>
          <t>Once a year (25%)</t>
        </is>
      </c>
      <c r="AQ968">
        <v>1</v>
      </c>
      <c r="AR968" t="inlineStr">
        <is>
          <t>Free Job Portal</t>
        </is>
      </c>
      <c r="AS968" t="inlineStr">
        <is>
          <t>- Headcount: 2
- Hiring Job Details: 2 positions, based in KL
- Hiring Urgency: Hiring Later
- Number of outlets: 1
- Have recruiter team: No, I don't need at all
- Number of recruiter in company: 
- Have ATS system: No, I don't need at all
- Have career website: No, I don't need at all
- Current hiring budget: RM3,000
- Whole year budget: RM3,000.00
- Whole year number of vacancies: 1
- Hiring frequency: Once a year (25%)
- External job portal: Free Job Portal</t>
        </is>
      </c>
      <c r="AT968">
        <v>75</v>
      </c>
      <c r="AU968" t="inlineStr">
        <is>
          <t>0.75</t>
        </is>
      </c>
      <c r="AV968" t="inlineStr">
        <is>
          <t>15</t>
        </is>
      </c>
      <c r="AW968" t="inlineStr">
        <is>
          <t>0</t>
        </is>
      </c>
      <c r="AX968" t="inlineStr">
        <is>
          <t>Not Qualified</t>
        </is>
      </c>
      <c r="AY968" s="4"/>
      <c r="AZ968"/>
      <c r="BA968"/>
      <c r="BB968"/>
      <c r="BC968" t="inlineStr">
        <is>
          <t>not so soon, share proposals first</t>
        </is>
      </c>
      <c r="BD968" s="4">
        <v>46129.66174768518</v>
      </c>
      <c r="BE968"/>
      <c r="BF968"/>
      <c r="BG968" t="inlineStr">
        <is>
          <t>Reschedule</t>
        </is>
      </c>
      <c r="BH968" t="inlineStr">
        <is>
          <t>Edward Hoo</t>
        </is>
      </c>
      <c r="BI968"/>
      <c r="BJ968" s="4">
        <v>46144.75074074074</v>
      </c>
      <c r="BK968" s="4">
        <v>42478.8565625</v>
      </c>
      <c r="BL968" t="inlineStr">
        <is>
          <t>0.0</t>
        </is>
      </c>
      <c r="BM968" t="inlineStr">
        <is>
          <t>600.0</t>
        </is>
      </c>
      <c r="BN968"/>
      <c r="BO968" s="4"/>
      <c r="BP968">
        <v>167660</v>
      </c>
      <c r="BQ968"/>
      <c r="BR968"/>
      <c r="BS968"/>
      <c r="BT968"/>
      <c r="BU968"/>
      <c r="BV968">
        <v>2712608</v>
      </c>
      <c r="BW968" t="inlineStr">
        <is>
          <t>Inquire for Hiring Needs : Quotation Sent 50%</t>
        </is>
      </c>
      <c r="BX968"/>
      <c r="BY968"/>
      <c r="BZ968" s="4"/>
      <c r="CA968"/>
      <c r="CB968"/>
      <c r="CC968" s="4"/>
      <c r="CD968" t="inlineStr">
        <is>
          <t>20</t>
        </is>
      </c>
      <c r="CE968" t="inlineStr">
        <is>
          <t>0</t>
        </is>
      </c>
      <c r="CF968" t="inlineStr">
        <is>
          <t>Q2-W03</t>
        </is>
      </c>
      <c r="CG968"/>
      <c r="CH968"/>
      <c r="CI968"/>
      <c r="CJ968" t="inlineStr">
        <is>
          <t>No Paid</t>
        </is>
      </c>
      <c r="CK968" t="inlineStr">
        <is>
          <t>Not Eligible</t>
        </is>
      </c>
      <c r="CL968"/>
      <c r="CM968"/>
    </row>
    <row r="969" ht="25.5" customHeight="1">
      <c r="A969" t="inlineStr">
        <is>
          <t>203359</t>
        </is>
      </c>
      <c r="B969" s="2"/>
      <c r="C969"/>
      <c r="D969" s="3">
        <v>46129.662835648145</v>
      </c>
      <c r="E969" t="inlineStr">
        <is>
          <t>Q2-W03</t>
        </is>
      </c>
      <c r="F969" t="inlineStr">
        <is>
          <t>Keegan</t>
        </is>
      </c>
      <c r="G969" t="inlineStr">
        <is>
          <t>Customer</t>
        </is>
      </c>
      <c r="H969" s="2" t="str">
        <f>=HYPERLINK("https://upbox.ajobthing.my/customer/203359", "https://upbox.ajobthing.my/customer/203359")</f>
        <v>https://upbox.ajobthing.my/customer/203359</v>
      </c>
      <c r="I969" t="inlineStr">
        <is>
          <t>Renal Associates Sdn Bhd</t>
        </is>
      </c>
      <c r="J969" t="inlineStr">
        <is>
          <t>Small Fish</t>
        </is>
      </c>
      <c r="K969" t="inlineStr">
        <is>
          <t>Keegan</t>
        </is>
      </c>
      <c r="L969" s="4"/>
      <c r="M969" s="4">
        <v>46129.66292824074</v>
      </c>
      <c r="N969"/>
      <c r="O969">
        <v>6048</v>
      </c>
      <c r="P969" s="4"/>
      <c r="Q969" s="4"/>
      <c r="R969"/>
      <c r="S969"/>
      <c r="T969" s="4"/>
      <c r="U969" s="4"/>
      <c r="V969"/>
      <c r="W969"/>
      <c r="X969"/>
      <c r="Y969" t="inlineStr">
        <is>
          <t>Pending Appointment</t>
        </is>
      </c>
      <c r="Z969" t="inlineStr">
        <is>
          <t>Hiring Now</t>
        </is>
      </c>
      <c r="AA969">
        <v>3</v>
      </c>
      <c r="AB969" t="inlineStr">
        <is>
          <t>No Appointment Made</t>
        </is>
      </c>
      <c r="AC969"/>
      <c r="AD969" t="inlineStr">
        <is>
          <t xml:space="preserve">1. Admin 
2. Manager 
3. Recruiter </t>
        </is>
      </c>
      <c r="AE969"/>
      <c r="AF969"/>
      <c r="AG969" s="4"/>
      <c r="AH969" s="4"/>
      <c r="AI969"/>
      <c r="AJ969">
        <v>1</v>
      </c>
      <c r="AK969" t="inlineStr">
        <is>
          <t>No, I don't need at all</t>
        </is>
      </c>
      <c r="AL969">
        <v>0</v>
      </c>
      <c r="AM969" t="inlineStr">
        <is>
          <t>No, I don't need at all</t>
        </is>
      </c>
      <c r="AN969"/>
      <c r="AO969" t="inlineStr">
        <is>
          <t>No, I don't need at all</t>
        </is>
      </c>
      <c r="AP969" t="inlineStr">
        <is>
          <t>Once per quarter (75%)</t>
        </is>
      </c>
      <c r="AQ969"/>
      <c r="AR969" t="inlineStr">
        <is>
          <t>Did not use any job portal</t>
        </is>
      </c>
      <c r="AS969" t="inlineStr">
        <is>
          <t>- Headcount: 3
- Hiring Job Details: 1. Admin 2. Manager 3.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969">
        <v>65</v>
      </c>
      <c r="AU969" t="inlineStr">
        <is>
          <t>0.65</t>
        </is>
      </c>
      <c r="AV969" t="inlineStr">
        <is>
          <t>5</t>
        </is>
      </c>
      <c r="AW969" t="inlineStr">
        <is>
          <t>0</t>
        </is>
      </c>
      <c r="AX969" t="inlineStr">
        <is>
          <t>Not Qualified</t>
        </is>
      </c>
      <c r="AY969" s="4"/>
      <c r="AZ969"/>
      <c r="BA969"/>
      <c r="BB969"/>
      <c r="BC969" t="inlineStr">
        <is>
          <t>Hiring plan postponed</t>
        </is>
      </c>
      <c r="BD969" s="4">
        <v>46133.644780092596</v>
      </c>
      <c r="BE969"/>
      <c r="BF969"/>
      <c r="BG969" t="inlineStr">
        <is>
          <t>Reschedule</t>
        </is>
      </c>
      <c r="BH969" t="inlineStr">
        <is>
          <t>Edward Hoo</t>
        </is>
      </c>
      <c r="BI969"/>
      <c r="BJ969" s="4">
        <v>46144.754282407404</v>
      </c>
      <c r="BK969" s="4">
        <v>46129.661516203705</v>
      </c>
      <c r="BL969" t="inlineStr">
        <is>
          <t>0.0</t>
        </is>
      </c>
      <c r="BM969" t="inlineStr">
        <is>
          <t>0.0</t>
        </is>
      </c>
      <c r="BN969"/>
      <c r="BO969" s="4"/>
      <c r="BP969">
        <v>167662</v>
      </c>
      <c r="BQ969"/>
      <c r="BR969"/>
      <c r="BS969"/>
      <c r="BT969"/>
      <c r="BU969"/>
      <c r="BV969">
        <v>2718529</v>
      </c>
      <c r="BW969" t="inlineStr">
        <is>
          <t>Follow Up : Lost - Free Portal</t>
        </is>
      </c>
      <c r="BX969"/>
      <c r="BY969"/>
      <c r="BZ969" s="4"/>
      <c r="CA969"/>
      <c r="CB969"/>
      <c r="CC969" s="4"/>
      <c r="CD969" t="inlineStr">
        <is>
          <t>5</t>
        </is>
      </c>
      <c r="CE969" t="inlineStr">
        <is>
          <t>0</t>
        </is>
      </c>
      <c r="CF969" t="inlineStr">
        <is>
          <t>Q2-W03</t>
        </is>
      </c>
      <c r="CG969"/>
      <c r="CH969"/>
      <c r="CI969"/>
      <c r="CJ969" t="inlineStr">
        <is>
          <t>No Paid</t>
        </is>
      </c>
      <c r="CK969" t="inlineStr">
        <is>
          <t>Not Eligible</t>
        </is>
      </c>
      <c r="CL969"/>
      <c r="CM969"/>
    </row>
    <row r="970" ht="25.5" customHeight="1">
      <c r="A970" t="inlineStr">
        <is>
          <t>6812</t>
        </is>
      </c>
      <c r="B970" s="2"/>
      <c r="C970"/>
      <c r="D970" s="3">
        <v>46129.664814814816</v>
      </c>
      <c r="E970" t="inlineStr">
        <is>
          <t>Q2-W03</t>
        </is>
      </c>
      <c r="F970" t="inlineStr">
        <is>
          <t>Clover</t>
        </is>
      </c>
      <c r="G970" t="inlineStr">
        <is>
          <t>Customer</t>
        </is>
      </c>
      <c r="H970" s="2" t="str">
        <f>=HYPERLINK("https://upbox.ajobthing.my/customer/6812", "https://upbox.ajobthing.my/customer/6812")</f>
        <v>https://upbox.ajobthing.my/customer/6812</v>
      </c>
      <c r="I970" t="inlineStr">
        <is>
          <t>BMC Vending Sdn Bhd</t>
        </is>
      </c>
      <c r="J970" t="inlineStr">
        <is>
          <t>Small Fish</t>
        </is>
      </c>
      <c r="K970" t="inlineStr">
        <is>
          <t>Clover</t>
        </is>
      </c>
      <c r="L970" s="4"/>
      <c r="M970" s="4">
        <v>46129.66431712963</v>
      </c>
      <c r="N970"/>
      <c r="O970">
        <v>3888</v>
      </c>
      <c r="P970" s="4"/>
      <c r="Q970" s="4">
        <v>46128.83521990741</v>
      </c>
      <c r="R970"/>
      <c r="S970">
        <v>0</v>
      </c>
      <c r="T970" s="4">
        <v>44529.50662037037</v>
      </c>
      <c r="U970" s="4"/>
      <c r="V970"/>
      <c r="W970">
        <v>424</v>
      </c>
      <c r="X970"/>
      <c r="Y970" t="inlineStr">
        <is>
          <t>Pending Appointment</t>
        </is>
      </c>
      <c r="Z970" t="inlineStr">
        <is>
          <t>Hiring Later</t>
        </is>
      </c>
      <c r="AA970">
        <v>2</v>
      </c>
      <c r="AB970" t="inlineStr">
        <is>
          <t>No Appointment Made</t>
        </is>
      </c>
      <c r="AC970"/>
      <c r="AD970" t="inlineStr">
        <is>
          <t>Ms Elaine PIC, maybe future hiring sales exec x1-2, vending machine, KL, suggest stand</t>
        </is>
      </c>
      <c r="AE970"/>
      <c r="AF970">
        <v>3000</v>
      </c>
      <c r="AG970" s="4"/>
      <c r="AH970" s="4"/>
      <c r="AI970">
        <v>3000</v>
      </c>
      <c r="AJ970">
        <v>1</v>
      </c>
      <c r="AK970" t="inlineStr">
        <is>
          <t>No, but I want in future</t>
        </is>
      </c>
      <c r="AL970">
        <v>1</v>
      </c>
      <c r="AM970" t="inlineStr">
        <is>
          <t>No, but I want in future</t>
        </is>
      </c>
      <c r="AN970"/>
      <c r="AO970" t="inlineStr">
        <is>
          <t>No, but I want in future</t>
        </is>
      </c>
      <c r="AP970" t="inlineStr">
        <is>
          <t>Twice a year (50%)</t>
        </is>
      </c>
      <c r="AQ970">
        <v>2</v>
      </c>
      <c r="AR970" t="inlineStr">
        <is>
          <t>Did not use any job portal</t>
        </is>
      </c>
      <c r="AS970" t="inlineStr">
        <is>
          <t>- Headcount: 2
- Hiring Job Details: Ms Elaine PIC, maybe future hiring sales exec x1-2, vending machine, KL,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970">
        <v>95</v>
      </c>
      <c r="AU970" t="inlineStr">
        <is>
          <t>0.95</t>
        </is>
      </c>
      <c r="AV970" t="inlineStr">
        <is>
          <t>15</t>
        </is>
      </c>
      <c r="AW970" t="inlineStr">
        <is>
          <t>0</t>
        </is>
      </c>
      <c r="AX970" t="inlineStr">
        <is>
          <t>Not Qualified</t>
        </is>
      </c>
      <c r="AY970" s="4"/>
      <c r="AZ970"/>
      <c r="BA970"/>
      <c r="BB970"/>
      <c r="BC970" t="inlineStr">
        <is>
          <t>- Headcount: 2
- Hiring Job Details: Ms Elaine PIC, maybe future hiring sales exec x1-2, vending machine, KL,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BD970" s="4">
        <v>46129.666817129626</v>
      </c>
      <c r="BE970" t="inlineStr">
        <is>
          <t>paid</t>
        </is>
      </c>
      <c r="BF970"/>
      <c r="BG970" t="inlineStr">
        <is>
          <t>Reschedule</t>
        </is>
      </c>
      <c r="BH970" t="inlineStr">
        <is>
          <t>Reagen</t>
        </is>
      </c>
      <c r="BI970" t="inlineStr">
        <is>
          <t>Consumer Products / FMCG</t>
        </is>
      </c>
      <c r="BJ970" s="4">
        <v>46144.75612268518</v>
      </c>
      <c r="BK970" s="4">
        <v>42438.5402662037</v>
      </c>
      <c r="BL970" t="inlineStr">
        <is>
          <t>0.0</t>
        </is>
      </c>
      <c r="BM970" t="inlineStr">
        <is>
          <t>0.0</t>
        </is>
      </c>
      <c r="BN970" t="inlineStr">
        <is>
          <t>View Jobmanager Page</t>
        </is>
      </c>
      <c r="BO970" s="4">
        <v>44617.80167824074</v>
      </c>
      <c r="BP970">
        <v>167664</v>
      </c>
      <c r="BQ970">
        <v>122823</v>
      </c>
      <c r="BR970" t="inlineStr">
        <is>
          <t>Proforma</t>
        </is>
      </c>
      <c r="BS970" t="inlineStr">
        <is>
          <t>Free Internship Job</t>
        </is>
      </c>
      <c r="BT970">
        <v>38119</v>
      </c>
      <c r="BU970"/>
      <c r="BV970">
        <v>2712656</v>
      </c>
      <c r="BW970" t="inlineStr">
        <is>
          <t>Customer Inquiry</t>
        </is>
      </c>
      <c r="BX970"/>
      <c r="BY970"/>
      <c r="BZ970" s="4"/>
      <c r="CA970"/>
      <c r="CB970"/>
      <c r="CC970" s="4"/>
      <c r="CD970" t="inlineStr">
        <is>
          <t>20</t>
        </is>
      </c>
      <c r="CE970" t="inlineStr">
        <is>
          <t>0</t>
        </is>
      </c>
      <c r="CF970" t="inlineStr">
        <is>
          <t>Q2-W03</t>
        </is>
      </c>
      <c r="CG970" t="inlineStr">
        <is>
          <t>Q2-W02</t>
        </is>
      </c>
      <c r="CH970"/>
      <c r="CI970"/>
      <c r="CJ970" t="inlineStr">
        <is>
          <t>Paid</t>
        </is>
      </c>
      <c r="CK970" t="inlineStr">
        <is>
          <t>Not Eligible</t>
        </is>
      </c>
      <c r="CL970"/>
      <c r="CM970"/>
    </row>
    <row r="971" ht="25.5" customHeight="1">
      <c r="A971" t="inlineStr">
        <is>
          <t>189523</t>
        </is>
      </c>
      <c r="B971" s="2"/>
      <c r="C971"/>
      <c r="D971" s="3">
        <v>46129.67212962963</v>
      </c>
      <c r="E971" t="inlineStr">
        <is>
          <t>Q2-W03</t>
        </is>
      </c>
      <c r="F971" t="inlineStr">
        <is>
          <t>Eugene</t>
        </is>
      </c>
      <c r="G971" t="inlineStr">
        <is>
          <t>Customer</t>
        </is>
      </c>
      <c r="H971" s="2" t="str">
        <f>=HYPERLINK("https://upbox.ajobthing.my/customer/189523", "https://upbox.ajobthing.my/customer/189523")</f>
        <v>https://upbox.ajobthing.my/customer/189523</v>
      </c>
      <c r="I971" t="inlineStr">
        <is>
          <t>Mechapro Engineering Sdn. Bhd.</t>
        </is>
      </c>
      <c r="J971" t="inlineStr">
        <is>
          <t>Small Fish</t>
        </is>
      </c>
      <c r="K971" t="inlineStr">
        <is>
          <t>Eugene</t>
        </is>
      </c>
      <c r="L971" s="4"/>
      <c r="M971" s="4">
        <v>46129.67222222222</v>
      </c>
      <c r="N971"/>
      <c r="O971">
        <v>3888</v>
      </c>
      <c r="P971" s="4"/>
      <c r="Q971" s="4"/>
      <c r="R971"/>
      <c r="S971"/>
      <c r="T971" s="4"/>
      <c r="U971" s="4"/>
      <c r="V971"/>
      <c r="W971"/>
      <c r="X971"/>
      <c r="Y971" t="inlineStr">
        <is>
          <t>Pending Appointment</t>
        </is>
      </c>
      <c r="Z971" t="inlineStr">
        <is>
          <t>Hiring Later</t>
        </is>
      </c>
      <c r="AA971">
        <v>1</v>
      </c>
      <c r="AB971" t="inlineStr">
        <is>
          <t>No Appointment Made</t>
        </is>
      </c>
      <c r="AC971"/>
      <c r="AD971" t="inlineStr">
        <is>
          <t>1 positions, based in KL</t>
        </is>
      </c>
      <c r="AE971"/>
      <c r="AF971">
        <v>3000</v>
      </c>
      <c r="AG971" s="4"/>
      <c r="AH971" s="4"/>
      <c r="AI971">
        <v>3000</v>
      </c>
      <c r="AJ971">
        <v>1</v>
      </c>
      <c r="AK971" t="inlineStr">
        <is>
          <t>No, I don't need at all</t>
        </is>
      </c>
      <c r="AL971"/>
      <c r="AM971" t="inlineStr">
        <is>
          <t>No, I don't need at all</t>
        </is>
      </c>
      <c r="AN971"/>
      <c r="AO971" t="inlineStr">
        <is>
          <t>No, I don't need at all</t>
        </is>
      </c>
      <c r="AP971" t="inlineStr">
        <is>
          <t>Once a year (25%)</t>
        </is>
      </c>
      <c r="AQ971">
        <v>1</v>
      </c>
      <c r="AR971" t="inlineStr">
        <is>
          <t>Did not use any job portal</t>
        </is>
      </c>
      <c r="AS971" t="inlineStr">
        <is>
          <t>- Headcount: 1
- Hiring Job Details: 1 position, based in KL
- Hiring Urgency: Hiring Later
- Number of outlets: 1
- Have recruiter team: No, I don't need at all
- Number of recruiter in company: 
- Have ATS system: No, I don't need at all
- Have career website: No, I don't need at all
- Current hiring budget: RM3,000
- Whole year budget: RM3,000.00
- Whole year number of vacancies: 1
- Hiring frequency: Once a year (25%)
- External job portal: Did not use any job portal</t>
        </is>
      </c>
      <c r="AT971">
        <v>95</v>
      </c>
      <c r="AU971" t="inlineStr">
        <is>
          <t>0.95</t>
        </is>
      </c>
      <c r="AV971" t="inlineStr">
        <is>
          <t>15</t>
        </is>
      </c>
      <c r="AW971" t="inlineStr">
        <is>
          <t>0</t>
        </is>
      </c>
      <c r="AX971" t="inlineStr">
        <is>
          <t>Not Qualified</t>
        </is>
      </c>
      <c r="AY971" s="4"/>
      <c r="AZ971"/>
      <c r="BA971"/>
      <c r="BB971"/>
      <c r="BC971" t="inlineStr">
        <is>
          <t>- Headcount: 1
- Hiring Job Details: 1 position, based in KL
- Hiring Urgency: Hiring Later
- Number of outlets: 1
- Have recruiter team: No, I don't need at all
- Number of recruiter in company: 
- Have ATS system: No, I don't need at all
- Have career website: No, I don't need at all
- Current hiring budget: RM3,000
- Whole year budget: RM3,000.00
- Whole year number of vacancies: 1
- Hiring frequency: Once a year (25%)
- External job portal: Did not use any job portal</t>
        </is>
      </c>
      <c r="BD971" s="4">
        <v>46129.70837962963</v>
      </c>
      <c r="BE971"/>
      <c r="BF971"/>
      <c r="BG971" t="inlineStr">
        <is>
          <t>Reschedule</t>
        </is>
      </c>
      <c r="BH971" t="inlineStr">
        <is>
          <t>Edward Hoo</t>
        </is>
      </c>
      <c r="BI971"/>
      <c r="BJ971" s="4">
        <v>46144.75230324074</v>
      </c>
      <c r="BK971" s="4">
        <v>45751.347407407404</v>
      </c>
      <c r="BL971" t="inlineStr">
        <is>
          <t>0.0</t>
        </is>
      </c>
      <c r="BM971" t="inlineStr">
        <is>
          <t>0.0</t>
        </is>
      </c>
      <c r="BN971" t="inlineStr">
        <is>
          <t>Jobmanager Page : delete</t>
        </is>
      </c>
      <c r="BO971" s="4">
        <v>45751.41012731481</v>
      </c>
      <c r="BP971">
        <v>167666</v>
      </c>
      <c r="BQ971"/>
      <c r="BR971"/>
      <c r="BS971"/>
      <c r="BT971"/>
      <c r="BU971"/>
      <c r="BV971">
        <v>2713307</v>
      </c>
      <c r="BW971" t="inlineStr">
        <is>
          <t>Customer Inquiry</t>
        </is>
      </c>
      <c r="BX971"/>
      <c r="BY971"/>
      <c r="BZ971" s="4"/>
      <c r="CA971"/>
      <c r="CB971"/>
      <c r="CC971" s="4"/>
      <c r="CD971" t="inlineStr">
        <is>
          <t>20</t>
        </is>
      </c>
      <c r="CE971" t="inlineStr">
        <is>
          <t>0</t>
        </is>
      </c>
      <c r="CF971" t="inlineStr">
        <is>
          <t>Q2-W03</t>
        </is>
      </c>
      <c r="CG971"/>
      <c r="CH971"/>
      <c r="CI971"/>
      <c r="CJ971" t="inlineStr">
        <is>
          <t>No Paid</t>
        </is>
      </c>
      <c r="CK971" t="inlineStr">
        <is>
          <t>Not Eligible</t>
        </is>
      </c>
      <c r="CL971"/>
      <c r="CM971"/>
    </row>
    <row r="972" ht="25.5" customHeight="1">
      <c r="A972" t="inlineStr">
        <is>
          <t>187928</t>
        </is>
      </c>
      <c r="B972" s="2"/>
      <c r="C972"/>
      <c r="D972" s="3">
        <v>46129.686064814814</v>
      </c>
      <c r="E972" t="inlineStr">
        <is>
          <t>Q2-W03</t>
        </is>
      </c>
      <c r="F972" t="inlineStr">
        <is>
          <t>Luqman</t>
        </is>
      </c>
      <c r="G972" t="inlineStr">
        <is>
          <t>Customer</t>
        </is>
      </c>
      <c r="H972" s="2" t="str">
        <f>=HYPERLINK("https://upbox.ajobthing.my/customer/187928", "https://upbox.ajobthing.my/customer/187928")</f>
        <v>https://upbox.ajobthing.my/customer/187928</v>
      </c>
      <c r="I972" t="inlineStr">
        <is>
          <t>Business Intelligence Solution</t>
        </is>
      </c>
      <c r="J972" t="inlineStr">
        <is>
          <t>Small Fish</t>
        </is>
      </c>
      <c r="K972" t="inlineStr">
        <is>
          <t>Luqman</t>
        </is>
      </c>
      <c r="L972" s="4"/>
      <c r="M972" s="4">
        <v>46129.686203703706</v>
      </c>
      <c r="N972"/>
      <c r="O972">
        <v>1296</v>
      </c>
      <c r="P972" s="4"/>
      <c r="Q972" s="4">
        <v>45891.51677083333</v>
      </c>
      <c r="R972"/>
      <c r="S972">
        <v>864</v>
      </c>
      <c r="T972" s="4">
        <v>45891.51677083333</v>
      </c>
      <c r="U972" s="4"/>
      <c r="V972"/>
      <c r="W972">
        <v>864</v>
      </c>
      <c r="X972"/>
      <c r="Y972" t="inlineStr">
        <is>
          <t>Pending Appointment</t>
        </is>
      </c>
      <c r="Z972" t="inlineStr">
        <is>
          <t>Hiring Later</t>
        </is>
      </c>
      <c r="AA972">
        <v>1</v>
      </c>
      <c r="AB972" t="inlineStr">
        <is>
          <t>No Appointment Made</t>
        </is>
      </c>
      <c r="AC972"/>
      <c r="AD972" t="inlineStr">
        <is>
          <t xml:space="preserve">1. IT Support </t>
        </is>
      </c>
      <c r="AE972"/>
      <c r="AF972">
        <v>1000</v>
      </c>
      <c r="AG972" s="4"/>
      <c r="AH972" s="4"/>
      <c r="AI972">
        <v>1000</v>
      </c>
      <c r="AJ972"/>
      <c r="AK972" t="inlineStr">
        <is>
          <t>No, I don't need at all</t>
        </is>
      </c>
      <c r="AL972">
        <v>1</v>
      </c>
      <c r="AM972" t="inlineStr">
        <is>
          <t>No, I don't need at all</t>
        </is>
      </c>
      <c r="AN972"/>
      <c r="AO972" t="inlineStr">
        <is>
          <t>Yes, I have</t>
        </is>
      </c>
      <c r="AP972" t="inlineStr">
        <is>
          <t>Twice a year (50%)</t>
        </is>
      </c>
      <c r="AQ972">
        <v>1</v>
      </c>
      <c r="AR972"/>
      <c r="AS972" t="inlineStr">
        <is>
          <t>- Headcount: 1
- Hiring Job Details: 1 IT Support
- Hiring Urgency: Hiring Later
- Number of outlets: None
- Have recruiter team: No, I don't need at all
- Number of recruiter in company: 1
- Have ATS system: No, I don't need at all
- Have career website: Yes
- Current hiring budget: RM1,000
- Whole year budget: RM1,000.00
- Whole year number of vacancies: 1
- Hiring frequency: Twice a year (50%)
- External job portal: None</t>
        </is>
      </c>
      <c r="AT972">
        <v>105</v>
      </c>
      <c r="AU972" t="inlineStr">
        <is>
          <t>1.05</t>
        </is>
      </c>
      <c r="AV972" t="inlineStr">
        <is>
          <t>15</t>
        </is>
      </c>
      <c r="AW972" t="inlineStr">
        <is>
          <t>0</t>
        </is>
      </c>
      <c r="AX972" t="inlineStr">
        <is>
          <t>Not Qualified</t>
        </is>
      </c>
      <c r="AY972" s="4"/>
      <c r="AZ972"/>
      <c r="BA972"/>
      <c r="BB972"/>
      <c r="BC972" t="inlineStr">
        <is>
          <t>Business most likely to utilize free job posting</t>
        </is>
      </c>
      <c r="BD972" s="4">
        <v>46135.66751157407</v>
      </c>
      <c r="BE972" t="inlineStr">
        <is>
          <t>paid</t>
        </is>
      </c>
      <c r="BF972"/>
      <c r="BG972" t="inlineStr">
        <is>
          <t>Reschedule</t>
        </is>
      </c>
      <c r="BH972" t="inlineStr">
        <is>
          <t>Edward Hoo</t>
        </is>
      </c>
      <c r="BI972" t="inlineStr">
        <is>
          <t>IT / Software</t>
        </is>
      </c>
      <c r="BJ972" s="4">
        <v>46144.75219907407</v>
      </c>
      <c r="BK972" s="4">
        <v>45708.40798611111</v>
      </c>
      <c r="BL972" t="inlineStr">
        <is>
          <t>864.0</t>
        </is>
      </c>
      <c r="BM972" t="inlineStr">
        <is>
          <t>0.0</t>
        </is>
      </c>
      <c r="BN972" t="inlineStr">
        <is>
          <t>View Jobmanager Page</t>
        </is>
      </c>
      <c r="BO972" s="4">
        <v>45973.48112268518</v>
      </c>
      <c r="BP972">
        <v>167675</v>
      </c>
      <c r="BQ972">
        <v>81769</v>
      </c>
      <c r="BR972" t="inlineStr">
        <is>
          <t>Online</t>
        </is>
      </c>
      <c r="BS972"/>
      <c r="BT972">
        <v>81769</v>
      </c>
      <c r="BU972"/>
      <c r="BV972">
        <v>2724590</v>
      </c>
      <c r="BW972" t="inlineStr">
        <is>
          <t>Follow Up : Lost - Free Portal</t>
        </is>
      </c>
      <c r="BX972"/>
      <c r="BY972"/>
      <c r="BZ972" s="4"/>
      <c r="CA972"/>
      <c r="CB972"/>
      <c r="CC972" s="4"/>
      <c r="CD972" t="inlineStr">
        <is>
          <t>20</t>
        </is>
      </c>
      <c r="CE972" t="inlineStr">
        <is>
          <t>0</t>
        </is>
      </c>
      <c r="CF972" t="inlineStr">
        <is>
          <t>Q2-W03</t>
        </is>
      </c>
      <c r="CG972"/>
      <c r="CH972"/>
      <c r="CI972"/>
      <c r="CJ972" t="inlineStr">
        <is>
          <t>Paid</t>
        </is>
      </c>
      <c r="CK972" t="inlineStr">
        <is>
          <t>Not Eligible</t>
        </is>
      </c>
      <c r="CL972"/>
      <c r="CM972"/>
    </row>
    <row r="973" ht="25.5" customHeight="1">
      <c r="A973" t="inlineStr">
        <is>
          <t>4294770</t>
        </is>
      </c>
      <c r="B973" s="2"/>
      <c r="C973"/>
      <c r="D973" s="3">
        <v>46129.69525462963</v>
      </c>
      <c r="E973" t="inlineStr">
        <is>
          <t>Q2-W03</t>
        </is>
      </c>
      <c r="F973" t="inlineStr">
        <is>
          <t>Dickson</t>
        </is>
      </c>
      <c r="G973" t="inlineStr">
        <is>
          <t>Lead</t>
        </is>
      </c>
      <c r="H973" s="2" t="str">
        <f>=HYPERLINK("https://upbox.ajobthing.my/leads/4294770", "https://upbox.ajobthing.my/leads/4294770")</f>
        <v>https://upbox.ajobthing.my/leads/4294770</v>
      </c>
      <c r="I973" t="inlineStr">
        <is>
          <t>Signature Kitchen</t>
        </is>
      </c>
      <c r="J973" t="inlineStr">
        <is>
          <t>Small Fish</t>
        </is>
      </c>
      <c r="K973" t="inlineStr">
        <is>
          <t>Dickson</t>
        </is>
      </c>
      <c r="L973" s="4"/>
      <c r="M973" s="4">
        <v>46129.69556712963</v>
      </c>
      <c r="N973"/>
      <c r="O973">
        <v>1296</v>
      </c>
      <c r="P973" s="4"/>
      <c r="Q973" s="4"/>
      <c r="R973"/>
      <c r="S973"/>
      <c r="T973" s="4"/>
      <c r="U973" s="4"/>
      <c r="V973"/>
      <c r="W973"/>
      <c r="X973"/>
      <c r="Y973" t="inlineStr">
        <is>
          <t>Pending Appointment</t>
        </is>
      </c>
      <c r="Z973" t="inlineStr">
        <is>
          <t>Hiring Now</t>
        </is>
      </c>
      <c r="AA973">
        <v>1</v>
      </c>
      <c r="AB973" t="inlineStr">
        <is>
          <t>No Appointment Made</t>
        </is>
      </c>
      <c r="AC973"/>
      <c r="AD973" t="inlineStr">
        <is>
          <t>1 interior designer</t>
        </is>
      </c>
      <c r="AE973"/>
      <c r="AF973"/>
      <c r="AG973" s="4"/>
      <c r="AH973" s="4"/>
      <c r="AI973"/>
      <c r="AJ973">
        <v>1</v>
      </c>
      <c r="AK973" t="inlineStr">
        <is>
          <t>No, I don't need at all</t>
        </is>
      </c>
      <c r="AL973"/>
      <c r="AM973" t="inlineStr">
        <is>
          <t>No, I don't need at all</t>
        </is>
      </c>
      <c r="AN973"/>
      <c r="AO973" t="inlineStr">
        <is>
          <t>No, I don't need at all</t>
        </is>
      </c>
      <c r="AP973" t="inlineStr">
        <is>
          <t>Once per quarter (75%)</t>
        </is>
      </c>
      <c r="AQ973"/>
      <c r="AR973" t="inlineStr">
        <is>
          <t>Did not use any job portal</t>
        </is>
      </c>
      <c r="AS973" t="inlineStr">
        <is>
          <t>- Headcount: 1
- Hiring Job Details: 1 interior designer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Did not use any job portal</t>
        </is>
      </c>
      <c r="AT973">
        <v>95</v>
      </c>
      <c r="AU973" t="inlineStr">
        <is>
          <t>0.95</t>
        </is>
      </c>
      <c r="AV973" t="inlineStr">
        <is>
          <t>5</t>
        </is>
      </c>
      <c r="AW973" t="inlineStr">
        <is>
          <t>0</t>
        </is>
      </c>
      <c r="AX973" t="inlineStr">
        <is>
          <t>Not Qualified</t>
        </is>
      </c>
      <c r="AY973" s="4"/>
      <c r="AZ973"/>
      <c r="BA973"/>
      <c r="BB973"/>
      <c r="BC973"/>
      <c r="BD973" s="4"/>
      <c r="BE973"/>
      <c r="BF973"/>
      <c r="BG973" t="inlineStr">
        <is>
          <t>Reschedule</t>
        </is>
      </c>
      <c r="BH973" t="inlineStr">
        <is>
          <t>Edward Hoo</t>
        </is>
      </c>
      <c r="BI973"/>
      <c r="BJ973" s="4">
        <v>46144.75585648148</v>
      </c>
      <c r="BK973" s="4">
        <v>46129.63615740741</v>
      </c>
      <c r="BL973" t="inlineStr">
        <is>
          <t>0.0</t>
        </is>
      </c>
      <c r="BM973" t="inlineStr">
        <is>
          <t>0.0</t>
        </is>
      </c>
      <c r="BN973"/>
      <c r="BO973" s="4"/>
      <c r="BP973">
        <v>167679</v>
      </c>
      <c r="BQ973"/>
      <c r="BR973"/>
      <c r="BS973"/>
      <c r="BT973"/>
      <c r="BU973"/>
      <c r="BV973"/>
      <c r="BW973"/>
      <c r="BX973"/>
      <c r="BY973"/>
      <c r="BZ973" s="4"/>
      <c r="CA973"/>
      <c r="CB973"/>
      <c r="CC973" s="4"/>
      <c r="CD973" t="inlineStr">
        <is>
          <t>5</t>
        </is>
      </c>
      <c r="CE973" t="inlineStr">
        <is>
          <t>0</t>
        </is>
      </c>
      <c r="CF973" t="inlineStr">
        <is>
          <t>Q2-W03</t>
        </is>
      </c>
      <c r="CG973"/>
      <c r="CH973"/>
      <c r="CI973"/>
      <c r="CJ973" t="inlineStr">
        <is>
          <t>No Paid</t>
        </is>
      </c>
      <c r="CK973" t="inlineStr">
        <is>
          <t>Not Eligible</t>
        </is>
      </c>
      <c r="CL973"/>
      <c r="CM973"/>
    </row>
    <row r="974" ht="25.5" customHeight="1">
      <c r="A974" t="inlineStr">
        <is>
          <t>182800</t>
        </is>
      </c>
      <c r="B974" s="2"/>
      <c r="C974"/>
      <c r="D974" s="3">
        <v>46129.70086805556</v>
      </c>
      <c r="E974" t="inlineStr">
        <is>
          <t>Q2-W03</t>
        </is>
      </c>
      <c r="F974" t="inlineStr">
        <is>
          <t>Luqman</t>
        </is>
      </c>
      <c r="G974" t="inlineStr">
        <is>
          <t>Customer</t>
        </is>
      </c>
      <c r="H974" s="2" t="str">
        <f>=HYPERLINK("https://upbox.ajobthing.my/customer/182800", "https://upbox.ajobthing.my/customer/182800")</f>
        <v>https://upbox.ajobthing.my/customer/182800</v>
      </c>
      <c r="I974" t="inlineStr">
        <is>
          <t>Suan Sdn Bhd</t>
        </is>
      </c>
      <c r="J974" t="inlineStr">
        <is>
          <t>Small Fish</t>
        </is>
      </c>
      <c r="K974" t="inlineStr">
        <is>
          <t>Luqman</t>
        </is>
      </c>
      <c r="L974" s="4"/>
      <c r="M974" s="4">
        <v>46129.70096064815</v>
      </c>
      <c r="N974"/>
      <c r="O974">
        <v>1296</v>
      </c>
      <c r="P974" s="4"/>
      <c r="Q974" s="4">
        <v>45553.378657407404</v>
      </c>
      <c r="R974"/>
      <c r="S974">
        <v>972</v>
      </c>
      <c r="T974" s="4">
        <v>45553.378657407404</v>
      </c>
      <c r="U974" s="4"/>
      <c r="V974"/>
      <c r="W974">
        <v>972</v>
      </c>
      <c r="X974"/>
      <c r="Y974" t="inlineStr">
        <is>
          <t>Pending Appointment</t>
        </is>
      </c>
      <c r="Z974" t="inlineStr">
        <is>
          <t>Hiring Later</t>
        </is>
      </c>
      <c r="AA974">
        <v>2</v>
      </c>
      <c r="AB974" t="inlineStr">
        <is>
          <t>No Appointment Made</t>
        </is>
      </c>
      <c r="AC974"/>
      <c r="AD974" t="inlineStr">
        <is>
          <t xml:space="preserve">1.Barista 2. Pastry Chef </t>
        </is>
      </c>
      <c r="AE974"/>
      <c r="AF974">
        <v>1200</v>
      </c>
      <c r="AG974" s="4"/>
      <c r="AH974" s="4"/>
      <c r="AI974">
        <v>1200</v>
      </c>
      <c r="AJ974"/>
      <c r="AK974" t="inlineStr">
        <is>
          <t>No, I don't need at all</t>
        </is>
      </c>
      <c r="AL974">
        <v>1</v>
      </c>
      <c r="AM974" t="inlineStr">
        <is>
          <t>No, I don't need at all</t>
        </is>
      </c>
      <c r="AN974"/>
      <c r="AO974" t="inlineStr">
        <is>
          <t>No, I don't need at all</t>
        </is>
      </c>
      <c r="AP974" t="inlineStr">
        <is>
          <t>Twice a year (50%)</t>
        </is>
      </c>
      <c r="AQ974">
        <v>1</v>
      </c>
      <c r="AR974" t="inlineStr">
        <is>
          <t>Free Job Portal</t>
        </is>
      </c>
      <c r="AS974" t="inlineStr">
        <is>
          <t>- Headcount: 2
- Hiring Job Details: 1.Barista 2. Pastry Chef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Twice a year (50%)
- External job portal: Free Job Portal</t>
        </is>
      </c>
      <c r="AT974">
        <v>65</v>
      </c>
      <c r="AU974" t="inlineStr">
        <is>
          <t>0.65</t>
        </is>
      </c>
      <c r="AV974" t="inlineStr">
        <is>
          <t>15</t>
        </is>
      </c>
      <c r="AW974" t="inlineStr">
        <is>
          <t>0</t>
        </is>
      </c>
      <c r="AX974" t="inlineStr">
        <is>
          <t>Not Qualified</t>
        </is>
      </c>
      <c r="AY974" s="4"/>
      <c r="AZ974"/>
      <c r="BA974"/>
      <c r="BB974"/>
      <c r="BC974" t="inlineStr">
        <is>
          <t>- Headcount: 2
- Hiring Job Details: 1.Barista 2. Pastry Chef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Twice a year (50%)
- External job portal: Free Job Portal</t>
        </is>
      </c>
      <c r="BD974" s="4">
        <v>46129.708391203705</v>
      </c>
      <c r="BE974" t="inlineStr">
        <is>
          <t>paid</t>
        </is>
      </c>
      <c r="BF974"/>
      <c r="BG974" t="inlineStr">
        <is>
          <t>Reschedule</t>
        </is>
      </c>
      <c r="BH974" t="inlineStr">
        <is>
          <t>Edward Hoo</t>
        </is>
      </c>
      <c r="BI974" t="inlineStr">
        <is>
          <t>Food / Beverage</t>
        </is>
      </c>
      <c r="BJ974" s="4">
        <v>46144.75194444445</v>
      </c>
      <c r="BK974" s="4">
        <v>45552.6562962963</v>
      </c>
      <c r="BL974" t="inlineStr">
        <is>
          <t>0.0</t>
        </is>
      </c>
      <c r="BM974" t="inlineStr">
        <is>
          <t>0.0</t>
        </is>
      </c>
      <c r="BN974" t="inlineStr">
        <is>
          <t>PA Visit - Job Card</t>
        </is>
      </c>
      <c r="BO974" s="4">
        <v>45603.522939814815</v>
      </c>
      <c r="BP974">
        <v>167682</v>
      </c>
      <c r="BQ974">
        <v>73059</v>
      </c>
      <c r="BR974" t="inlineStr">
        <is>
          <t>Online</t>
        </is>
      </c>
      <c r="BS974"/>
      <c r="BT974">
        <v>73059</v>
      </c>
      <c r="BU974"/>
      <c r="BV974">
        <v>2713320</v>
      </c>
      <c r="BW974" t="inlineStr">
        <is>
          <t>Customer Inquiry</t>
        </is>
      </c>
      <c r="BX974"/>
      <c r="BY974"/>
      <c r="BZ974" s="4"/>
      <c r="CA974"/>
      <c r="CB974"/>
      <c r="CC974" s="4"/>
      <c r="CD974" t="inlineStr">
        <is>
          <t>20</t>
        </is>
      </c>
      <c r="CE974" t="inlineStr">
        <is>
          <t>0</t>
        </is>
      </c>
      <c r="CF974" t="inlineStr">
        <is>
          <t>Q2-W03</t>
        </is>
      </c>
      <c r="CG974"/>
      <c r="CH974"/>
      <c r="CI974"/>
      <c r="CJ974" t="inlineStr">
        <is>
          <t>Paid</t>
        </is>
      </c>
      <c r="CK974" t="inlineStr">
        <is>
          <t>Not Eligible</t>
        </is>
      </c>
      <c r="CL974"/>
      <c r="CM974"/>
    </row>
    <row r="975" ht="25.5" customHeight="1">
      <c r="A975" t="inlineStr">
        <is>
          <t>203369</t>
        </is>
      </c>
      <c r="B975" s="2"/>
      <c r="C975"/>
      <c r="D975" s="3">
        <v>46129.70149305555</v>
      </c>
      <c r="E975" t="inlineStr">
        <is>
          <t>Q2-W03</t>
        </is>
      </c>
      <c r="F975" t="inlineStr">
        <is>
          <t>Xin Quan</t>
        </is>
      </c>
      <c r="G975" t="inlineStr">
        <is>
          <t>Customer</t>
        </is>
      </c>
      <c r="H975" s="2" t="str">
        <f>=HYPERLINK("https://upbox.ajobthing.my/customer/203369", "https://upbox.ajobthing.my/customer/203369")</f>
        <v>https://upbox.ajobthing.my/customer/203369</v>
      </c>
      <c r="I975" t="inlineStr">
        <is>
          <t>MS CAHAYA TRADING</t>
        </is>
      </c>
      <c r="J975" t="inlineStr">
        <is>
          <t>Small Fish</t>
        </is>
      </c>
      <c r="K975" t="inlineStr">
        <is>
          <t>Xin Quan</t>
        </is>
      </c>
      <c r="L975" s="4"/>
      <c r="M975" s="4">
        <v>46129.70162037037</v>
      </c>
      <c r="N975"/>
      <c r="O975">
        <v>3888</v>
      </c>
      <c r="P975" s="4"/>
      <c r="Q975" s="4"/>
      <c r="R975"/>
      <c r="S975"/>
      <c r="T975" s="4"/>
      <c r="U975" s="4"/>
      <c r="V975"/>
      <c r="W975"/>
      <c r="X975"/>
      <c r="Y975" t="inlineStr">
        <is>
          <t>Pending Appointment</t>
        </is>
      </c>
      <c r="Z975" t="inlineStr">
        <is>
          <t>Hiring Now</t>
        </is>
      </c>
      <c r="AA975">
        <v>2</v>
      </c>
      <c r="AB975" t="inlineStr">
        <is>
          <t>No Appointment Made</t>
        </is>
      </c>
      <c r="AC975"/>
      <c r="AD975" t="inlineStr">
        <is>
          <t>2 Sales assistance , Base in KL</t>
        </is>
      </c>
      <c r="AE975"/>
      <c r="AF975">
        <v>4000</v>
      </c>
      <c r="AG975" s="4"/>
      <c r="AH975" s="4"/>
      <c r="AI975">
        <v>48000</v>
      </c>
      <c r="AJ975">
        <v>1</v>
      </c>
      <c r="AK975" t="inlineStr">
        <is>
          <t>No, I don't need at all</t>
        </is>
      </c>
      <c r="AL975">
        <v>1</v>
      </c>
      <c r="AM975" t="inlineStr">
        <is>
          <t>No, I don't need at all</t>
        </is>
      </c>
      <c r="AN975"/>
      <c r="AO975" t="inlineStr">
        <is>
          <t>No, I don't need at all</t>
        </is>
      </c>
      <c r="AP975" t="inlineStr">
        <is>
          <t>Once a year (25%)</t>
        </is>
      </c>
      <c r="AQ975">
        <v>2</v>
      </c>
      <c r="AR975"/>
      <c r="AS975" t="inlineStr">
        <is>
          <t>- Headcount: 2
- Hiring Job Details: 2 Sales assistance,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is>
      </c>
      <c r="AT975">
        <v>110</v>
      </c>
      <c r="AU975" t="inlineStr">
        <is>
          <t>1.10</t>
        </is>
      </c>
      <c r="AV975" t="inlineStr">
        <is>
          <t>15</t>
        </is>
      </c>
      <c r="AW975" t="inlineStr">
        <is>
          <t>0</t>
        </is>
      </c>
      <c r="AX975" t="inlineStr">
        <is>
          <t>Not Qualified</t>
        </is>
      </c>
      <c r="AY975" s="4"/>
      <c r="AZ975"/>
      <c r="BA975"/>
      <c r="BB975"/>
      <c r="BC975" t="inlineStr">
        <is>
          <t>NA</t>
        </is>
      </c>
      <c r="BD975" s="4">
        <v>46142.60946759259</v>
      </c>
      <c r="BE975"/>
      <c r="BF975"/>
      <c r="BG975" t="inlineStr">
        <is>
          <t>Reschedule</t>
        </is>
      </c>
      <c r="BH975" t="inlineStr">
        <is>
          <t>Edward Hoo</t>
        </is>
      </c>
      <c r="BI975"/>
      <c r="BJ975" s="4">
        <v>46144.754282407404</v>
      </c>
      <c r="BK975" s="4">
        <v>46129.69967592593</v>
      </c>
      <c r="BL975" t="inlineStr">
        <is>
          <t>0.0</t>
        </is>
      </c>
      <c r="BM975" t="inlineStr">
        <is>
          <t>0.0</t>
        </is>
      </c>
      <c r="BN975"/>
      <c r="BO975" s="4"/>
      <c r="BP975">
        <v>167683</v>
      </c>
      <c r="BQ975"/>
      <c r="BR975"/>
      <c r="BS975"/>
      <c r="BT975"/>
      <c r="BU975"/>
      <c r="BV975">
        <v>2737742</v>
      </c>
      <c r="BW975" t="inlineStr">
        <is>
          <t>No Answer : Voicemail - WA sent to customer</t>
        </is>
      </c>
      <c r="BX975"/>
      <c r="BY975"/>
      <c r="BZ975" s="4"/>
      <c r="CA975"/>
      <c r="CB975"/>
      <c r="CC975" s="4"/>
      <c r="CD975" t="inlineStr">
        <is>
          <t>20</t>
        </is>
      </c>
      <c r="CE975" t="inlineStr">
        <is>
          <t>0</t>
        </is>
      </c>
      <c r="CF975" t="inlineStr">
        <is>
          <t>Q2-W03</t>
        </is>
      </c>
      <c r="CG975"/>
      <c r="CH975"/>
      <c r="CI975"/>
      <c r="CJ975" t="inlineStr">
        <is>
          <t>No Paid</t>
        </is>
      </c>
      <c r="CK975" t="inlineStr">
        <is>
          <t>Not Eligible</t>
        </is>
      </c>
      <c r="CL975"/>
      <c r="CM975"/>
    </row>
    <row r="976" ht="25.5" customHeight="1">
      <c r="A976" t="inlineStr">
        <is>
          <t>203234</t>
        </is>
      </c>
      <c r="B976" s="2"/>
      <c r="C976"/>
      <c r="D976" s="3">
        <v>46129.70450231482</v>
      </c>
      <c r="E976" t="inlineStr">
        <is>
          <t>Q2-W03</t>
        </is>
      </c>
      <c r="F976" t="inlineStr">
        <is>
          <t>Angel  Low</t>
        </is>
      </c>
      <c r="G976" t="inlineStr">
        <is>
          <t>Customer</t>
        </is>
      </c>
      <c r="H976" s="2" t="str">
        <f>=HYPERLINK("https://upbox.ajobthing.my/customer/203234", "https://upbox.ajobthing.my/customer/203234")</f>
        <v>https://upbox.ajobthing.my/customer/203234</v>
      </c>
      <c r="I976" t="inlineStr">
        <is>
          <t>Bayu Cafe Sdn. Bhd.</t>
        </is>
      </c>
      <c r="J976" t="inlineStr">
        <is>
          <t>Small Fish</t>
        </is>
      </c>
      <c r="K976" t="inlineStr">
        <is>
          <t>Angel Low</t>
        </is>
      </c>
      <c r="L976" s="4"/>
      <c r="M976" s="4">
        <v>46129.70476851852</v>
      </c>
      <c r="N976"/>
      <c r="O976">
        <v>3672</v>
      </c>
      <c r="P976" s="4"/>
      <c r="Q976" s="4"/>
      <c r="R976"/>
      <c r="S976"/>
      <c r="T976" s="4"/>
      <c r="U976" s="4"/>
      <c r="V976"/>
      <c r="W976"/>
      <c r="X976"/>
      <c r="Y976" t="inlineStr">
        <is>
          <t>Pending Appointment</t>
        </is>
      </c>
      <c r="Z976"/>
      <c r="AA976">
        <v>1</v>
      </c>
      <c r="AB976" t="inlineStr">
        <is>
          <t>No Appointment Made</t>
        </is>
      </c>
      <c r="AC976"/>
      <c r="AD976" t="inlineStr">
        <is>
          <t xml:space="preserve">1 restaurant assistant </t>
        </is>
      </c>
      <c r="AE976"/>
      <c r="AF976"/>
      <c r="AG976" s="4"/>
      <c r="AH976" s="4"/>
      <c r="AI976"/>
      <c r="AJ976"/>
      <c r="AK976"/>
      <c r="AL976"/>
      <c r="AM976"/>
      <c r="AN976"/>
      <c r="AO976"/>
      <c r="AP976"/>
      <c r="AQ976"/>
      <c r="AR976"/>
      <c r="AS976" t="inlineStr">
        <is>
          <t>- Headcount: 1
- Hiring Job Details: 1 restaurant assistant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976">
        <v>60</v>
      </c>
      <c r="AU976" t="inlineStr">
        <is>
          <t>0.60</t>
        </is>
      </c>
      <c r="AV976" t="inlineStr">
        <is>
          <t>5</t>
        </is>
      </c>
      <c r="AW976" t="inlineStr">
        <is>
          <t>0</t>
        </is>
      </c>
      <c r="AX976" t="inlineStr">
        <is>
          <t>Not Qualified</t>
        </is>
      </c>
      <c r="AY976" s="4"/>
      <c r="AZ976"/>
      <c r="BA976"/>
      <c r="BB976"/>
      <c r="BC976" t="inlineStr">
        <is>
          <t>- Headcount: 1
- Hiring Job Details: 1 restaurant assistant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BD976" s="4">
        <v>46129.708391203705</v>
      </c>
      <c r="BE976"/>
      <c r="BF976"/>
      <c r="BG976" t="inlineStr">
        <is>
          <t>Reschedule</t>
        </is>
      </c>
      <c r="BH976" t="inlineStr">
        <is>
          <t>Fauziah Maharan</t>
        </is>
      </c>
      <c r="BI976"/>
      <c r="BJ976" s="4">
        <v>46144.75425925926</v>
      </c>
      <c r="BK976" s="4">
        <v>46126.77123842593</v>
      </c>
      <c r="BL976" t="inlineStr">
        <is>
          <t>0.0</t>
        </is>
      </c>
      <c r="BM976" t="inlineStr">
        <is>
          <t>0.0</t>
        </is>
      </c>
      <c r="BN976" t="inlineStr">
        <is>
          <t>View Company Page</t>
        </is>
      </c>
      <c r="BO976" s="4">
        <v>46129.69086805556</v>
      </c>
      <c r="BP976">
        <v>167686</v>
      </c>
      <c r="BQ976"/>
      <c r="BR976"/>
      <c r="BS976"/>
      <c r="BT976"/>
      <c r="BU976"/>
      <c r="BV976">
        <v>2713322</v>
      </c>
      <c r="BW976" t="inlineStr">
        <is>
          <t>Customer Inquiry</t>
        </is>
      </c>
      <c r="BX976"/>
      <c r="BY976"/>
      <c r="BZ976" s="4"/>
      <c r="CA976"/>
      <c r="CB976"/>
      <c r="CC976" s="4"/>
      <c r="CD976" t="inlineStr">
        <is>
          <t>5</t>
        </is>
      </c>
      <c r="CE976" t="inlineStr">
        <is>
          <t>0</t>
        </is>
      </c>
      <c r="CF976" t="inlineStr">
        <is>
          <t>Q2-W03</t>
        </is>
      </c>
      <c r="CG976"/>
      <c r="CH976"/>
      <c r="CI976"/>
      <c r="CJ976" t="inlineStr">
        <is>
          <t>No Paid</t>
        </is>
      </c>
      <c r="CK976" t="inlineStr">
        <is>
          <t>Not Eligible</t>
        </is>
      </c>
      <c r="CL976"/>
      <c r="CM976"/>
    </row>
    <row r="977" ht="25.5" customHeight="1">
      <c r="A977" t="inlineStr">
        <is>
          <t>183564</t>
        </is>
      </c>
      <c r="B977" s="2"/>
      <c r="C977"/>
      <c r="D977" s="3">
        <v>46129.70545138889</v>
      </c>
      <c r="E977" t="inlineStr">
        <is>
          <t>Q2-W03</t>
        </is>
      </c>
      <c r="F977" t="inlineStr">
        <is>
          <t>Clover</t>
        </is>
      </c>
      <c r="G977" t="inlineStr">
        <is>
          <t>Customer</t>
        </is>
      </c>
      <c r="H977" s="2" t="str">
        <f>=HYPERLINK("https://upbox.ajobthing.my/customer/183564", "https://upbox.ajobthing.my/customer/183564")</f>
        <v>https://upbox.ajobthing.my/customer/183564</v>
      </c>
      <c r="I977" t="inlineStr">
        <is>
          <t>CAS Malaysia Plt</t>
        </is>
      </c>
      <c r="J977" t="inlineStr">
        <is>
          <t>Small Fish</t>
        </is>
      </c>
      <c r="K977" t="inlineStr">
        <is>
          <t>Clover</t>
        </is>
      </c>
      <c r="L977" s="4"/>
      <c r="M977" s="4">
        <v>46129.70579861111</v>
      </c>
      <c r="N977"/>
      <c r="O977">
        <v>6048</v>
      </c>
      <c r="P977" s="4"/>
      <c r="Q977" s="4"/>
      <c r="R977"/>
      <c r="S977"/>
      <c r="T977" s="4"/>
      <c r="U977" s="4"/>
      <c r="V977"/>
      <c r="W977"/>
      <c r="X977"/>
      <c r="Y977" t="inlineStr">
        <is>
          <t>Pending Appointment</t>
        </is>
      </c>
      <c r="Z977" t="inlineStr">
        <is>
          <t>Hiring Later</t>
        </is>
      </c>
      <c r="AA977">
        <v>2</v>
      </c>
      <c r="AB977" t="inlineStr">
        <is>
          <t>No Appointment Made</t>
        </is>
      </c>
      <c r="AC977"/>
      <c r="AD977" t="inlineStr">
        <is>
          <t>account exec x1, tax exec x1, all races, financial company puchong,</t>
        </is>
      </c>
      <c r="AE977"/>
      <c r="AF977">
        <v>5000</v>
      </c>
      <c r="AG977" s="4"/>
      <c r="AH977" s="4"/>
      <c r="AI977">
        <v>5000</v>
      </c>
      <c r="AJ977">
        <v>1</v>
      </c>
      <c r="AK977" t="inlineStr">
        <is>
          <t>No, but I want in future</t>
        </is>
      </c>
      <c r="AL977">
        <v>1</v>
      </c>
      <c r="AM977" t="inlineStr">
        <is>
          <t>No, but I want in future</t>
        </is>
      </c>
      <c r="AN977"/>
      <c r="AO977" t="inlineStr">
        <is>
          <t>No, but I want in future</t>
        </is>
      </c>
      <c r="AP977" t="inlineStr">
        <is>
          <t>Twice a year (50%)</t>
        </is>
      </c>
      <c r="AQ977">
        <v>2</v>
      </c>
      <c r="AR977" t="inlineStr">
        <is>
          <t>Indeed (Paid)</t>
        </is>
      </c>
      <c r="AS977" t="inlineStr">
        <is>
          <t>- Headcount: 2
- Hiring Job Details: account exec x1, tax exec x1, all races, financial company puchong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Indeed (Paid)</t>
        </is>
      </c>
      <c r="AT977">
        <v>115</v>
      </c>
      <c r="AU977" t="inlineStr">
        <is>
          <t>1.15</t>
        </is>
      </c>
      <c r="AV977" t="inlineStr">
        <is>
          <t>15</t>
        </is>
      </c>
      <c r="AW977" t="inlineStr">
        <is>
          <t>0</t>
        </is>
      </c>
      <c r="AX977" t="inlineStr">
        <is>
          <t>Not Qualified</t>
        </is>
      </c>
      <c r="AY977" s="4"/>
      <c r="AZ977"/>
      <c r="BA977"/>
      <c r="BB977"/>
      <c r="BC977" t="inlineStr">
        <is>
          <t>- Headcount: 2
- Hiring Job Details: account exec x1, tax exec x1, all races, financial company puchong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Indeed (Paid)</t>
        </is>
      </c>
      <c r="BD977" s="4">
        <v>46129.708391203705</v>
      </c>
      <c r="BE977"/>
      <c r="BF977"/>
      <c r="BG977" t="inlineStr">
        <is>
          <t>Reschedule</t>
        </is>
      </c>
      <c r="BH977" t="inlineStr">
        <is>
          <t>Reagen</t>
        </is>
      </c>
      <c r="BI977" t="inlineStr">
        <is>
          <t>Accounting / Tax Services</t>
        </is>
      </c>
      <c r="BJ977" s="4">
        <v>46144.751967592594</v>
      </c>
      <c r="BK977" s="4">
        <v>45573.65886574074</v>
      </c>
      <c r="BL977" t="inlineStr">
        <is>
          <t>0.0</t>
        </is>
      </c>
      <c r="BM977" t="inlineStr">
        <is>
          <t>600.0</t>
        </is>
      </c>
      <c r="BN977" t="inlineStr">
        <is>
          <t>View Company Page</t>
        </is>
      </c>
      <c r="BO977" s="4">
        <v>45573.674525462964</v>
      </c>
      <c r="BP977">
        <v>167687</v>
      </c>
      <c r="BQ977"/>
      <c r="BR977"/>
      <c r="BS977"/>
      <c r="BT977"/>
      <c r="BU977"/>
      <c r="BV977">
        <v>2713323</v>
      </c>
      <c r="BW977" t="inlineStr">
        <is>
          <t>Customer Inquiry</t>
        </is>
      </c>
      <c r="BX977"/>
      <c r="BY977"/>
      <c r="BZ977" s="4"/>
      <c r="CA977"/>
      <c r="CB977"/>
      <c r="CC977" s="4"/>
      <c r="CD977" t="inlineStr">
        <is>
          <t>20</t>
        </is>
      </c>
      <c r="CE977" t="inlineStr">
        <is>
          <t>0</t>
        </is>
      </c>
      <c r="CF977" t="inlineStr">
        <is>
          <t>Q2-W03</t>
        </is>
      </c>
      <c r="CG977"/>
      <c r="CH977"/>
      <c r="CI977"/>
      <c r="CJ977" t="inlineStr">
        <is>
          <t>No Paid</t>
        </is>
      </c>
      <c r="CK977" t="inlineStr">
        <is>
          <t>Not Eligible</t>
        </is>
      </c>
      <c r="CL977"/>
      <c r="CM977"/>
    </row>
    <row r="978" ht="25.5" customHeight="1">
      <c r="A978" t="inlineStr">
        <is>
          <t>176149</t>
        </is>
      </c>
      <c r="B978" s="2"/>
      <c r="C978"/>
      <c r="D978" s="3">
        <v>46129.705613425926</v>
      </c>
      <c r="E978" t="inlineStr">
        <is>
          <t>Q2-W03</t>
        </is>
      </c>
      <c r="F978" t="inlineStr">
        <is>
          <t>Jeff Lee</t>
        </is>
      </c>
      <c r="G978" t="inlineStr">
        <is>
          <t>Customer</t>
        </is>
      </c>
      <c r="H978" s="2" t="str">
        <f>=HYPERLINK("https://upbox.ajobthing.my/customer/176149", "https://upbox.ajobthing.my/customer/176149")</f>
        <v>https://upbox.ajobthing.my/customer/176149</v>
      </c>
      <c r="I978" t="inlineStr">
        <is>
          <t>Fuwave Design Sdn Bhd</t>
        </is>
      </c>
      <c r="J978" t="inlineStr">
        <is>
          <t>Small Fish</t>
        </is>
      </c>
      <c r="K978" t="inlineStr">
        <is>
          <t>Jeff Lee</t>
        </is>
      </c>
      <c r="L978" s="4"/>
      <c r="M978" s="4">
        <v>46129.700150462966</v>
      </c>
      <c r="N978"/>
      <c r="O978">
        <v>6048</v>
      </c>
      <c r="P978" s="4"/>
      <c r="Q978" s="4">
        <v>45401.45952546296</v>
      </c>
      <c r="R978"/>
      <c r="S978">
        <v>0</v>
      </c>
      <c r="T978" s="4">
        <v>45362.00001157408</v>
      </c>
      <c r="U978" s="4"/>
      <c r="V978"/>
      <c r="W978">
        <v>648</v>
      </c>
      <c r="X978"/>
      <c r="Y978" t="inlineStr">
        <is>
          <t>Pending Appointment</t>
        </is>
      </c>
      <c r="Z978" t="inlineStr">
        <is>
          <t>Hiring Now</t>
        </is>
      </c>
      <c r="AA978">
        <v>3</v>
      </c>
      <c r="AB978" t="inlineStr">
        <is>
          <t>No Appointment Made</t>
        </is>
      </c>
      <c r="AC978"/>
      <c r="AD978" t="inlineStr">
        <is>
          <t>1 inhouse marketing 2 salesman</t>
        </is>
      </c>
      <c r="AE978"/>
      <c r="AF978">
        <v>0</v>
      </c>
      <c r="AG978" s="4"/>
      <c r="AH978" s="4"/>
      <c r="AI978">
        <v>0</v>
      </c>
      <c r="AJ978">
        <v>0</v>
      </c>
      <c r="AK978" t="inlineStr">
        <is>
          <t>No, I don't need at all</t>
        </is>
      </c>
      <c r="AL978">
        <v>0</v>
      </c>
      <c r="AM978" t="inlineStr">
        <is>
          <t>No, I don't need at all</t>
        </is>
      </c>
      <c r="AN978"/>
      <c r="AO978" t="inlineStr">
        <is>
          <t>No, I don't need at all</t>
        </is>
      </c>
      <c r="AP978" t="inlineStr">
        <is>
          <t>Once a year (25%)</t>
        </is>
      </c>
      <c r="AQ978">
        <v>3</v>
      </c>
      <c r="AR978" t="inlineStr">
        <is>
          <t>Free Job Portal</t>
        </is>
      </c>
      <c r="AS978" t="inlineStr">
        <is>
          <t>- Headcount: 3
- Hiring Job Details: 1 inhouse marketing, 2 salesman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is>
      </c>
      <c r="AT978">
        <v>95</v>
      </c>
      <c r="AU978" t="inlineStr">
        <is>
          <t>0.95</t>
        </is>
      </c>
      <c r="AV978" t="inlineStr">
        <is>
          <t>15</t>
        </is>
      </c>
      <c r="AW978" t="inlineStr">
        <is>
          <t>0</t>
        </is>
      </c>
      <c r="AX978" t="inlineStr">
        <is>
          <t>Not Qualified</t>
        </is>
      </c>
      <c r="AY978" s="4"/>
      <c r="AZ978"/>
      <c r="BA978"/>
      <c r="BB978"/>
      <c r="BC978" t="inlineStr">
        <is>
          <t>ady hired</t>
        </is>
      </c>
      <c r="BD978" s="4">
        <v>46133.61015046296</v>
      </c>
      <c r="BE978" t="inlineStr">
        <is>
          <t>paid</t>
        </is>
      </c>
      <c r="BF978"/>
      <c r="BG978" t="inlineStr">
        <is>
          <t>Reschedule</t>
        </is>
      </c>
      <c r="BH978" t="inlineStr">
        <is>
          <t>Yee Hang</t>
        </is>
      </c>
      <c r="BI978" t="inlineStr">
        <is>
          <t>Advertising / Marketing</t>
        </is>
      </c>
      <c r="BJ978" s="4">
        <v>46144.75163194445</v>
      </c>
      <c r="BK978" s="4">
        <v>45358.48094907407</v>
      </c>
      <c r="BL978" t="inlineStr">
        <is>
          <t>0.0</t>
        </is>
      </c>
      <c r="BM978" t="inlineStr">
        <is>
          <t>0.0</t>
        </is>
      </c>
      <c r="BN978" t="inlineStr">
        <is>
          <t>View Company Page</t>
        </is>
      </c>
      <c r="BO978" s="4">
        <v>45465.938680555555</v>
      </c>
      <c r="BP978">
        <v>167681</v>
      </c>
      <c r="BQ978">
        <v>88768</v>
      </c>
      <c r="BR978" t="inlineStr">
        <is>
          <t>Proforma</t>
        </is>
      </c>
      <c r="BS978" t="inlineStr">
        <is>
          <t>SLG 10</t>
        </is>
      </c>
      <c r="BT978">
        <v>66814</v>
      </c>
      <c r="BU978"/>
      <c r="BV978">
        <v>2718299</v>
      </c>
      <c r="BW978" t="inlineStr">
        <is>
          <t>Follow Up : Budget Concern</t>
        </is>
      </c>
      <c r="BX978"/>
      <c r="BY978"/>
      <c r="BZ978" s="4"/>
      <c r="CA978"/>
      <c r="CB978"/>
      <c r="CC978" s="4"/>
      <c r="CD978" t="inlineStr">
        <is>
          <t>20</t>
        </is>
      </c>
      <c r="CE978" t="inlineStr">
        <is>
          <t>0</t>
        </is>
      </c>
      <c r="CF978" t="inlineStr">
        <is>
          <t>Q2-W03</t>
        </is>
      </c>
      <c r="CG978"/>
      <c r="CH978"/>
      <c r="CI978"/>
      <c r="CJ978" t="inlineStr">
        <is>
          <t>Paid</t>
        </is>
      </c>
      <c r="CK978" t="inlineStr">
        <is>
          <t>Not Eligible</t>
        </is>
      </c>
      <c r="CL978"/>
      <c r="CM978"/>
    </row>
    <row r="979" ht="25.5" customHeight="1">
      <c r="A979" t="inlineStr">
        <is>
          <t>41293</t>
        </is>
      </c>
      <c r="B979" s="2"/>
      <c r="C979"/>
      <c r="D979" s="3">
        <v>46129.710497685184</v>
      </c>
      <c r="E979" t="inlineStr">
        <is>
          <t>Q2-W03</t>
        </is>
      </c>
      <c r="F979" t="inlineStr">
        <is>
          <t>Dickson</t>
        </is>
      </c>
      <c r="G979" t="inlineStr">
        <is>
          <t>Customer</t>
        </is>
      </c>
      <c r="H979" s="2" t="str">
        <f>=HYPERLINK("https://upbox.ajobthing.my/customer/41293", "https://upbox.ajobthing.my/customer/41293")</f>
        <v>https://upbox.ajobthing.my/customer/41293</v>
      </c>
      <c r="I979" t="inlineStr">
        <is>
          <t>Nesh Marketing Sdn Bhd</t>
        </is>
      </c>
      <c r="J979" t="inlineStr">
        <is>
          <t>Small Fish</t>
        </is>
      </c>
      <c r="K979" t="inlineStr">
        <is>
          <t>Dickson</t>
        </is>
      </c>
      <c r="L979" s="4"/>
      <c r="M979" s="4">
        <v>46129.71071759259</v>
      </c>
      <c r="N979"/>
      <c r="O979">
        <v>6048</v>
      </c>
      <c r="P979" s="4"/>
      <c r="Q979" s="4">
        <v>44487.518796296295</v>
      </c>
      <c r="R979"/>
      <c r="S979">
        <v>954</v>
      </c>
      <c r="T979" s="4">
        <v>44487.518796296295</v>
      </c>
      <c r="U979" s="4"/>
      <c r="V979"/>
      <c r="W979">
        <v>954</v>
      </c>
      <c r="X979"/>
      <c r="Y979" t="inlineStr">
        <is>
          <t>Pending Appointment</t>
        </is>
      </c>
      <c r="Z979" t="inlineStr">
        <is>
          <t>Hiring Now</t>
        </is>
      </c>
      <c r="AA979">
        <v>1</v>
      </c>
      <c r="AB979" t="inlineStr">
        <is>
          <t>No Appointment Made</t>
        </is>
      </c>
      <c r="AC979"/>
      <c r="AD979" t="inlineStr">
        <is>
          <t>1 customer service executive</t>
        </is>
      </c>
      <c r="AE979"/>
      <c r="AF979"/>
      <c r="AG979" s="4"/>
      <c r="AH979" s="4"/>
      <c r="AI979"/>
      <c r="AJ979">
        <v>1</v>
      </c>
      <c r="AK979" t="inlineStr">
        <is>
          <t>No, I don't need at all</t>
        </is>
      </c>
      <c r="AL979"/>
      <c r="AM979" t="inlineStr">
        <is>
          <t>No, I don't need at all</t>
        </is>
      </c>
      <c r="AN979"/>
      <c r="AO979" t="inlineStr">
        <is>
          <t>No, I don't need at all</t>
        </is>
      </c>
      <c r="AP979" t="inlineStr">
        <is>
          <t>Once per quarter (75%)</t>
        </is>
      </c>
      <c r="AQ979"/>
      <c r="AR979"/>
      <c r="AS979" t="inlineStr">
        <is>
          <t>- Headcount: 1
- Hiring Job Details: 1 customer service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979">
        <v>95</v>
      </c>
      <c r="AU979" t="inlineStr">
        <is>
          <t>0.95</t>
        </is>
      </c>
      <c r="AV979" t="inlineStr">
        <is>
          <t>5</t>
        </is>
      </c>
      <c r="AW979" t="inlineStr">
        <is>
          <t>0</t>
        </is>
      </c>
      <c r="AX979" t="inlineStr">
        <is>
          <t>Not Qualified</t>
        </is>
      </c>
      <c r="AY979" s="4"/>
      <c r="AZ979"/>
      <c r="BA979"/>
      <c r="BB979"/>
      <c r="BC979" t="inlineStr">
        <is>
          <t>- Headcount: 1
- Hiring Job Details: 1 customer service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BD979" s="4">
        <v>46129.7500462963</v>
      </c>
      <c r="BE979" t="inlineStr">
        <is>
          <t>paid</t>
        </is>
      </c>
      <c r="BF979"/>
      <c r="BG979" t="inlineStr">
        <is>
          <t>Reschedule</t>
        </is>
      </c>
      <c r="BH979" t="inlineStr">
        <is>
          <t>Edward Hoo</t>
        </is>
      </c>
      <c r="BI979" t="inlineStr">
        <is>
          <t>Retail / Merchandise</t>
        </is>
      </c>
      <c r="BJ979" s="4">
        <v>46144.75543981481</v>
      </c>
      <c r="BK979" s="4">
        <v>42977.42196759259</v>
      </c>
      <c r="BL979" t="inlineStr">
        <is>
          <t>0.0</t>
        </is>
      </c>
      <c r="BM979" t="inlineStr">
        <is>
          <t>600.0</t>
        </is>
      </c>
      <c r="BN979" t="inlineStr">
        <is>
          <t>View Jobmanager Page</t>
        </is>
      </c>
      <c r="BO979" s="4">
        <v>45464.42886574074</v>
      </c>
      <c r="BP979">
        <v>167692</v>
      </c>
      <c r="BQ979">
        <v>36532</v>
      </c>
      <c r="BR979" t="inlineStr">
        <is>
          <t>Online</t>
        </is>
      </c>
      <c r="BS979"/>
      <c r="BT979">
        <v>36532</v>
      </c>
      <c r="BU979"/>
      <c r="BV979">
        <v>2713874</v>
      </c>
      <c r="BW979" t="inlineStr">
        <is>
          <t>Customer Inquiry</t>
        </is>
      </c>
      <c r="BX979"/>
      <c r="BY979"/>
      <c r="BZ979" s="4"/>
      <c r="CA979"/>
      <c r="CB979"/>
      <c r="CC979" s="4"/>
      <c r="CD979" t="inlineStr">
        <is>
          <t>5</t>
        </is>
      </c>
      <c r="CE979" t="inlineStr">
        <is>
          <t>0</t>
        </is>
      </c>
      <c r="CF979" t="inlineStr">
        <is>
          <t>Q2-W03</t>
        </is>
      </c>
      <c r="CG979"/>
      <c r="CH979"/>
      <c r="CI979"/>
      <c r="CJ979" t="inlineStr">
        <is>
          <t>Paid</t>
        </is>
      </c>
      <c r="CK979" t="inlineStr">
        <is>
          <t>Not Eligible</t>
        </is>
      </c>
      <c r="CL979"/>
      <c r="CM979"/>
    </row>
    <row r="980" ht="25.5" customHeight="1">
      <c r="A980" t="inlineStr">
        <is>
          <t>155784</t>
        </is>
      </c>
      <c r="B980" s="2"/>
      <c r="C980"/>
      <c r="D980" s="3">
        <v>46129.71204861111</v>
      </c>
      <c r="E980" t="inlineStr">
        <is>
          <t>Q2-W03</t>
        </is>
      </c>
      <c r="F980" t="inlineStr">
        <is>
          <t>Fariz</t>
        </is>
      </c>
      <c r="G980" t="inlineStr">
        <is>
          <t>Customer</t>
        </is>
      </c>
      <c r="H980" s="2" t="str">
        <f>=HYPERLINK("https://upbox.ajobthing.my/customer/155784", "https://upbox.ajobthing.my/customer/155784")</f>
        <v>https://upbox.ajobthing.my/customer/155784</v>
      </c>
      <c r="I980" t="inlineStr">
        <is>
          <t>IR Technology &amp; Services Sdn Bhd</t>
        </is>
      </c>
      <c r="J980" t="inlineStr">
        <is>
          <t>Small Fish</t>
        </is>
      </c>
      <c r="K980" t="inlineStr">
        <is>
          <t>Fariz</t>
        </is>
      </c>
      <c r="L980" s="4"/>
      <c r="M980" s="4">
        <v>46129.71225694445</v>
      </c>
      <c r="N980"/>
      <c r="O980">
        <v>3888</v>
      </c>
      <c r="P980" s="4"/>
      <c r="Q980" s="4">
        <v>45258.41180555556</v>
      </c>
      <c r="R980"/>
      <c r="S980">
        <v>636</v>
      </c>
      <c r="T980" s="4">
        <v>45258.41180555556</v>
      </c>
      <c r="U980" s="4"/>
      <c r="V980"/>
      <c r="W980">
        <v>636</v>
      </c>
      <c r="X980"/>
      <c r="Y980" t="inlineStr">
        <is>
          <t>Pending Appointment</t>
        </is>
      </c>
      <c r="Z980" t="inlineStr">
        <is>
          <t>Hiring Later</t>
        </is>
      </c>
      <c r="AA980">
        <v>1</v>
      </c>
      <c r="AB980" t="inlineStr">
        <is>
          <t>No Appointment Made</t>
        </is>
      </c>
      <c r="AC980"/>
      <c r="AD980" t="inlineStr">
        <is>
          <t>1 computer technician</t>
        </is>
      </c>
      <c r="AE980"/>
      <c r="AF980">
        <v>3600</v>
      </c>
      <c r="AG980" s="4"/>
      <c r="AH980" s="4"/>
      <c r="AI980">
        <v>3600</v>
      </c>
      <c r="AJ980"/>
      <c r="AK980" t="inlineStr">
        <is>
          <t>No, I don't need at all</t>
        </is>
      </c>
      <c r="AL980">
        <v>2</v>
      </c>
      <c r="AM980" t="inlineStr">
        <is>
          <t>No, I don't need at all</t>
        </is>
      </c>
      <c r="AN980"/>
      <c r="AO980" t="inlineStr">
        <is>
          <t>No, but I want in future</t>
        </is>
      </c>
      <c r="AP980" t="inlineStr">
        <is>
          <t>Once a year (25%)</t>
        </is>
      </c>
      <c r="AQ980">
        <v>2</v>
      </c>
      <c r="AR980" t="inlineStr">
        <is>
          <t>Jobstreet, Free Job Portal</t>
        </is>
      </c>
      <c r="AS980" t="inlineStr">
        <is>
          <t>- Headcount: 1
- Hiring Job Details: 1 computer technician
- Hiring Urgency: Hiring Later
- Number of outlets: Not provided
- Have recruiter team: No, I don't need at all
- Number of recruiter in company: 2
- Have ATS system: No, I don't need at all
- Have career website: No, but I want in future
- Current hiring budget: RM3,600
- Whole year budget: RM3,600.00
- Whole year number of vacancies: 2
- Hiring frequency: Once a year (25%)
- External job portal: Jobstreet, Free Job Portal</t>
        </is>
      </c>
      <c r="AT980">
        <v>95</v>
      </c>
      <c r="AU980" t="inlineStr">
        <is>
          <t>0.95</t>
        </is>
      </c>
      <c r="AV980" t="inlineStr">
        <is>
          <t>15</t>
        </is>
      </c>
      <c r="AW980" t="inlineStr">
        <is>
          <t>0</t>
        </is>
      </c>
      <c r="AX980" t="inlineStr">
        <is>
          <t>Not Qualified</t>
        </is>
      </c>
      <c r="AY980" s="4"/>
      <c r="AZ980"/>
      <c r="BA980"/>
      <c r="BB980"/>
      <c r="BC980" t="inlineStr">
        <is>
          <t>said that still havent send to his bos. already give discont RM288 valid until 30th april 26.</t>
        </is>
      </c>
      <c r="BD980" s="4">
        <v>46141.42240740741</v>
      </c>
      <c r="BE980" t="inlineStr">
        <is>
          <t>paid</t>
        </is>
      </c>
      <c r="BF980"/>
      <c r="BG980" t="inlineStr">
        <is>
          <t>Reschedule</t>
        </is>
      </c>
      <c r="BH980" t="inlineStr">
        <is>
          <t>Edward Hoo</t>
        </is>
      </c>
      <c r="BI980" t="inlineStr">
        <is>
          <t>IT / Hardware</t>
        </is>
      </c>
      <c r="BJ980" s="4">
        <v>46144.75096064815</v>
      </c>
      <c r="BK980" s="4">
        <v>44728.74728009259</v>
      </c>
      <c r="BL980" t="inlineStr">
        <is>
          <t>0.0</t>
        </is>
      </c>
      <c r="BM980" t="inlineStr">
        <is>
          <t>0.0</t>
        </is>
      </c>
      <c r="BN980" t="inlineStr">
        <is>
          <t>View Jobmanager Page</t>
        </is>
      </c>
      <c r="BO980" s="4">
        <v>45296.7262962963</v>
      </c>
      <c r="BP980">
        <v>167694</v>
      </c>
      <c r="BQ980">
        <v>64123</v>
      </c>
      <c r="BR980" t="inlineStr">
        <is>
          <t>Online</t>
        </is>
      </c>
      <c r="BS980"/>
      <c r="BT980">
        <v>64123</v>
      </c>
      <c r="BU980"/>
      <c r="BV980">
        <v>2734306</v>
      </c>
      <c r="BW980" t="inlineStr">
        <is>
          <t>Follow Up : Decision Pending</t>
        </is>
      </c>
      <c r="BX980"/>
      <c r="BY980"/>
      <c r="BZ980" s="4"/>
      <c r="CA980"/>
      <c r="CB980"/>
      <c r="CC980" s="4"/>
      <c r="CD980" t="inlineStr">
        <is>
          <t>20</t>
        </is>
      </c>
      <c r="CE980" t="inlineStr">
        <is>
          <t>0</t>
        </is>
      </c>
      <c r="CF980" t="inlineStr">
        <is>
          <t>Q2-W03</t>
        </is>
      </c>
      <c r="CG980"/>
      <c r="CH980"/>
      <c r="CI980"/>
      <c r="CJ980" t="inlineStr">
        <is>
          <t>Paid</t>
        </is>
      </c>
      <c r="CK980" t="inlineStr">
        <is>
          <t>Not Eligible</t>
        </is>
      </c>
      <c r="CL980"/>
      <c r="CM980"/>
    </row>
    <row r="981" ht="25.5" customHeight="1">
      <c r="A981" t="inlineStr">
        <is>
          <t>175931</t>
        </is>
      </c>
      <c r="B981" s="2"/>
      <c r="C981"/>
      <c r="D981" s="3">
        <v>46129.71542824074</v>
      </c>
      <c r="E981" t="inlineStr">
        <is>
          <t>Q2-W03</t>
        </is>
      </c>
      <c r="F981" t="inlineStr">
        <is>
          <t>Jeff Lee</t>
        </is>
      </c>
      <c r="G981" t="inlineStr">
        <is>
          <t>Customer</t>
        </is>
      </c>
      <c r="H981" s="2" t="str">
        <f>=HYPERLINK("https://upbox.ajobthing.my/customer/175931", "https://upbox.ajobthing.my/customer/175931")</f>
        <v>https://upbox.ajobthing.my/customer/175931</v>
      </c>
      <c r="I981" t="inlineStr">
        <is>
          <t>Kopiholic (Flavourful Kitchen Sdn Bhd)</t>
        </is>
      </c>
      <c r="J981" t="inlineStr">
        <is>
          <t>Small Fish</t>
        </is>
      </c>
      <c r="K981" t="inlineStr">
        <is>
          <t>Jeff Lee</t>
        </is>
      </c>
      <c r="L981" s="4"/>
      <c r="M981" s="4">
        <v>46129.71386574074</v>
      </c>
      <c r="N981"/>
      <c r="O981">
        <v>3888</v>
      </c>
      <c r="P981" s="4"/>
      <c r="Q981" s="4">
        <v>45351.75837962963</v>
      </c>
      <c r="R981"/>
      <c r="S981">
        <v>636</v>
      </c>
      <c r="T981" s="4">
        <v>45351.75837962963</v>
      </c>
      <c r="U981" s="4"/>
      <c r="V981"/>
      <c r="W981">
        <v>636</v>
      </c>
      <c r="X981"/>
      <c r="Y981" t="inlineStr">
        <is>
          <t>Pending Appointment</t>
        </is>
      </c>
      <c r="Z981" t="inlineStr">
        <is>
          <t>Hiring Now</t>
        </is>
      </c>
      <c r="AA981">
        <v>2</v>
      </c>
      <c r="AB981" t="inlineStr">
        <is>
          <t>No Appointment Made</t>
        </is>
      </c>
      <c r="AC981"/>
      <c r="AD981" t="inlineStr">
        <is>
          <t>1 management trainee 1 admin staff</t>
        </is>
      </c>
      <c r="AE981"/>
      <c r="AF981">
        <v>0</v>
      </c>
      <c r="AG981" s="4"/>
      <c r="AH981" s="4"/>
      <c r="AI981">
        <v>0</v>
      </c>
      <c r="AJ981">
        <v>0</v>
      </c>
      <c r="AK981" t="inlineStr">
        <is>
          <t>No, I don't need at all</t>
        </is>
      </c>
      <c r="AL981">
        <v>0</v>
      </c>
      <c r="AM981" t="inlineStr">
        <is>
          <t>No, I don't need at all</t>
        </is>
      </c>
      <c r="AN981"/>
      <c r="AO981" t="inlineStr">
        <is>
          <t>No, I don't need at all</t>
        </is>
      </c>
      <c r="AP981" t="inlineStr">
        <is>
          <t>Once a year (25%)</t>
        </is>
      </c>
      <c r="AQ981">
        <v>2</v>
      </c>
      <c r="AR981" t="inlineStr">
        <is>
          <t>Free Job Portal</t>
        </is>
      </c>
      <c r="AS981" t="inlineStr">
        <is>
          <t>- Headcount: 2
- Hiring Job Details: 1 management trainee, 1 admin staff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981">
        <v>95</v>
      </c>
      <c r="AU981" t="inlineStr">
        <is>
          <t>0.95</t>
        </is>
      </c>
      <c r="AV981" t="inlineStr">
        <is>
          <t>15</t>
        </is>
      </c>
      <c r="AW981" t="inlineStr">
        <is>
          <t>0</t>
        </is>
      </c>
      <c r="AX981" t="inlineStr">
        <is>
          <t>Not Qualified</t>
        </is>
      </c>
      <c r="AY981" s="4"/>
      <c r="AZ981"/>
      <c r="BA981"/>
      <c r="BB981"/>
      <c r="BC981" t="inlineStr">
        <is>
          <t>dont want</t>
        </is>
      </c>
      <c r="BD981" s="4">
        <v>46136.39877314815</v>
      </c>
      <c r="BE981" t="inlineStr">
        <is>
          <t>paid</t>
        </is>
      </c>
      <c r="BF981"/>
      <c r="BG981" t="inlineStr">
        <is>
          <t>Reschedule</t>
        </is>
      </c>
      <c r="BH981" t="inlineStr">
        <is>
          <t>Yee Hang</t>
        </is>
      </c>
      <c r="BI981" t="inlineStr">
        <is>
          <t>Food / Beverage</t>
        </is>
      </c>
      <c r="BJ981" s="4">
        <v>46144.75163194445</v>
      </c>
      <c r="BK981" s="4">
        <v>45351.62280092593</v>
      </c>
      <c r="BL981" t="inlineStr">
        <is>
          <t>0.0</t>
        </is>
      </c>
      <c r="BM981" t="inlineStr">
        <is>
          <t>0.0</t>
        </is>
      </c>
      <c r="BN981" t="inlineStr">
        <is>
          <t>View Jobmanager Page</t>
        </is>
      </c>
      <c r="BO981" s="4">
        <v>45461.770949074074</v>
      </c>
      <c r="BP981">
        <v>167699</v>
      </c>
      <c r="BQ981">
        <v>66459</v>
      </c>
      <c r="BR981" t="inlineStr">
        <is>
          <t>Online</t>
        </is>
      </c>
      <c r="BS981"/>
      <c r="BT981">
        <v>66459</v>
      </c>
      <c r="BU981"/>
      <c r="BV981">
        <v>2725329</v>
      </c>
      <c r="BW981" t="inlineStr">
        <is>
          <t>Follow Up : Budget Concern</t>
        </is>
      </c>
      <c r="BX981"/>
      <c r="BY981"/>
      <c r="BZ981" s="4"/>
      <c r="CA981"/>
      <c r="CB981"/>
      <c r="CC981" s="4"/>
      <c r="CD981" t="inlineStr">
        <is>
          <t>20</t>
        </is>
      </c>
      <c r="CE981" t="inlineStr">
        <is>
          <t>0</t>
        </is>
      </c>
      <c r="CF981" t="inlineStr">
        <is>
          <t>Q2-W03</t>
        </is>
      </c>
      <c r="CG981"/>
      <c r="CH981"/>
      <c r="CI981"/>
      <c r="CJ981" t="inlineStr">
        <is>
          <t>Paid</t>
        </is>
      </c>
      <c r="CK981" t="inlineStr">
        <is>
          <t>Not Eligible</t>
        </is>
      </c>
      <c r="CL981"/>
      <c r="CM981"/>
    </row>
    <row r="982" ht="25.5" customHeight="1">
      <c r="A982" t="inlineStr">
        <is>
          <t>52777</t>
        </is>
      </c>
      <c r="B982" s="2"/>
      <c r="C982"/>
      <c r="D982" s="3">
        <v>46129.71606481481</v>
      </c>
      <c r="E982" t="inlineStr">
        <is>
          <t>Q2-W03</t>
        </is>
      </c>
      <c r="F982" t="inlineStr">
        <is>
          <t>Derek Lim</t>
        </is>
      </c>
      <c r="G982" t="inlineStr">
        <is>
          <t>Customer</t>
        </is>
      </c>
      <c r="H982" s="2" t="str">
        <f>=HYPERLINK("https://upbox.ajobthing.my/customer/52777", "https://upbox.ajobthing.my/customer/52777")</f>
        <v>https://upbox.ajobthing.my/customer/52777</v>
      </c>
      <c r="I982" t="inlineStr">
        <is>
          <t>CSS IT Solution Sdn Bhd</t>
        </is>
      </c>
      <c r="J982" t="inlineStr">
        <is>
          <t>Small Fish</t>
        </is>
      </c>
      <c r="K982" t="inlineStr">
        <is>
          <t>Derek Lim</t>
        </is>
      </c>
      <c r="L982" s="4"/>
      <c r="M982" s="4">
        <v>46129.716215277775</v>
      </c>
      <c r="N982"/>
      <c r="O982">
        <v>6048</v>
      </c>
      <c r="P982" s="4"/>
      <c r="Q982" s="4">
        <v>44018.693761574075</v>
      </c>
      <c r="R982"/>
      <c r="S982">
        <v>392.2</v>
      </c>
      <c r="T982" s="4">
        <v>44018.693761574075</v>
      </c>
      <c r="U982" s="4"/>
      <c r="V982"/>
      <c r="W982">
        <v>392.2</v>
      </c>
      <c r="X982"/>
      <c r="Y982" t="inlineStr">
        <is>
          <t>Pending Appointment</t>
        </is>
      </c>
      <c r="Z982" t="inlineStr">
        <is>
          <t>Hiring Now</t>
        </is>
      </c>
      <c r="AA982">
        <v>2</v>
      </c>
      <c r="AB982" t="inlineStr">
        <is>
          <t>No Appointment Made</t>
        </is>
      </c>
      <c r="AC982"/>
      <c r="AD982" t="inlineStr">
        <is>
          <t>Admin cum account - 2, klang</t>
        </is>
      </c>
      <c r="AE982"/>
      <c r="AF982">
        <v>0</v>
      </c>
      <c r="AG982" s="4"/>
      <c r="AH982" s="4"/>
      <c r="AI982">
        <v>0</v>
      </c>
      <c r="AJ982">
        <v>1</v>
      </c>
      <c r="AK982" t="inlineStr">
        <is>
          <t>No, I don't need at all</t>
        </is>
      </c>
      <c r="AL982">
        <v>0</v>
      </c>
      <c r="AM982" t="inlineStr">
        <is>
          <t>No, I don't need at all</t>
        </is>
      </c>
      <c r="AN982"/>
      <c r="AO982" t="inlineStr">
        <is>
          <t>No, I don't need at all</t>
        </is>
      </c>
      <c r="AP982" t="inlineStr">
        <is>
          <t>Once a year (25%)</t>
        </is>
      </c>
      <c r="AQ982">
        <v>2</v>
      </c>
      <c r="AR982" t="inlineStr">
        <is>
          <t>Did not use any job portal</t>
        </is>
      </c>
      <c r="AS982" t="inlineStr">
        <is>
          <t>- Headcount: 2
- Hiring Job Details: Admin cum account - 2, klang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982">
        <v>115</v>
      </c>
      <c r="AU982" t="inlineStr">
        <is>
          <t>1.15</t>
        </is>
      </c>
      <c r="AV982" t="inlineStr">
        <is>
          <t>15</t>
        </is>
      </c>
      <c r="AW982" t="inlineStr">
        <is>
          <t>0</t>
        </is>
      </c>
      <c r="AX982" t="inlineStr">
        <is>
          <t>Not Qualified</t>
        </is>
      </c>
      <c r="AY982" s="4"/>
      <c r="AZ982"/>
      <c r="BA982"/>
      <c r="BB982"/>
      <c r="BC982" t="inlineStr">
        <is>
          <t>SHE SAID FOUND THE CANDIDATES ALREADY</t>
        </is>
      </c>
      <c r="BD982" s="4">
        <v>46134.64618055556</v>
      </c>
      <c r="BE982" t="inlineStr">
        <is>
          <t>paid</t>
        </is>
      </c>
      <c r="BF982"/>
      <c r="BG982" t="inlineStr">
        <is>
          <t>Reschedule</t>
        </is>
      </c>
      <c r="BH982" t="inlineStr">
        <is>
          <t>Edward Hoo</t>
        </is>
      </c>
      <c r="BI982" t="inlineStr">
        <is>
          <t>IT / Hardware</t>
        </is>
      </c>
      <c r="BJ982" s="4">
        <v>46144.756064814814</v>
      </c>
      <c r="BK982" s="4">
        <v>43325.43767361111</v>
      </c>
      <c r="BL982" t="inlineStr">
        <is>
          <t>0.0</t>
        </is>
      </c>
      <c r="BM982" t="inlineStr">
        <is>
          <t>0.0</t>
        </is>
      </c>
      <c r="BN982" t="inlineStr">
        <is>
          <t>View Jobmanager Page</t>
        </is>
      </c>
      <c r="BO982" s="4">
        <v>44167.50108796296</v>
      </c>
      <c r="BP982">
        <v>167700</v>
      </c>
      <c r="BQ982">
        <v>25183</v>
      </c>
      <c r="BR982" t="inlineStr">
        <is>
          <t>Online</t>
        </is>
      </c>
      <c r="BS982"/>
      <c r="BT982">
        <v>25183</v>
      </c>
      <c r="BU982"/>
      <c r="BV982">
        <v>2721134</v>
      </c>
      <c r="BW982" t="inlineStr">
        <is>
          <t>Follow Up : Lost - Free Portal</t>
        </is>
      </c>
      <c r="BX982"/>
      <c r="BY982"/>
      <c r="BZ982" s="4"/>
      <c r="CA982"/>
      <c r="CB982"/>
      <c r="CC982" s="4"/>
      <c r="CD982" t="inlineStr">
        <is>
          <t>20</t>
        </is>
      </c>
      <c r="CE982" t="inlineStr">
        <is>
          <t>0</t>
        </is>
      </c>
      <c r="CF982" t="inlineStr">
        <is>
          <t>Q2-W03</t>
        </is>
      </c>
      <c r="CG982"/>
      <c r="CH982"/>
      <c r="CI982"/>
      <c r="CJ982" t="inlineStr">
        <is>
          <t>Paid</t>
        </is>
      </c>
      <c r="CK982" t="inlineStr">
        <is>
          <t>Not Eligible</t>
        </is>
      </c>
      <c r="CL982"/>
      <c r="CM982"/>
    </row>
    <row r="983" ht="25.5" customHeight="1">
      <c r="A983" t="inlineStr">
        <is>
          <t>203370</t>
        </is>
      </c>
      <c r="B983" s="2"/>
      <c r="C983"/>
      <c r="D983" s="3">
        <v>46129.72195601852</v>
      </c>
      <c r="E983" t="inlineStr">
        <is>
          <t>Q2-W03</t>
        </is>
      </c>
      <c r="F983" t="inlineStr">
        <is>
          <t>Eugene</t>
        </is>
      </c>
      <c r="G983" t="inlineStr">
        <is>
          <t>Customer</t>
        </is>
      </c>
      <c r="H983" s="2" t="str">
        <f>=HYPERLINK("https://upbox.ajobthing.my/customer/203370", "https://upbox.ajobthing.my/customer/203370")</f>
        <v>https://upbox.ajobthing.my/customer/203370</v>
      </c>
      <c r="I983" t="inlineStr">
        <is>
          <t>Homeworks Ideas Sdn Bhd</t>
        </is>
      </c>
      <c r="J983" t="inlineStr">
        <is>
          <t>Small Fish</t>
        </is>
      </c>
      <c r="K983" t="inlineStr">
        <is>
          <t>Eugene</t>
        </is>
      </c>
      <c r="L983" s="4"/>
      <c r="M983" s="4">
        <v>46129.376296296294</v>
      </c>
      <c r="N983"/>
      <c r="O983">
        <v>3888</v>
      </c>
      <c r="P983" s="4"/>
      <c r="Q983" s="4">
        <v>46129.71041666667</v>
      </c>
      <c r="R983"/>
      <c r="S983">
        <v>3888</v>
      </c>
      <c r="T983" s="4"/>
      <c r="U983" s="4"/>
      <c r="V983"/>
      <c r="W983"/>
      <c r="X983"/>
      <c r="Y983" t="inlineStr">
        <is>
          <t>Pending Appointment</t>
        </is>
      </c>
      <c r="Z983" t="inlineStr">
        <is>
          <t>Hiring Now</t>
        </is>
      </c>
      <c r="AA983">
        <v>2</v>
      </c>
      <c r="AB983" t="inlineStr">
        <is>
          <t>No Appointment Made</t>
        </is>
      </c>
      <c r="AC983"/>
      <c r="AD983" t="inlineStr">
        <is>
          <t>2 position, based in KL</t>
        </is>
      </c>
      <c r="AE983"/>
      <c r="AF983">
        <v>3000</v>
      </c>
      <c r="AG983" s="4"/>
      <c r="AH983" s="4"/>
      <c r="AI983">
        <v>3000</v>
      </c>
      <c r="AJ983">
        <v>1</v>
      </c>
      <c r="AK983" t="inlineStr">
        <is>
          <t>No, I don't need at all</t>
        </is>
      </c>
      <c r="AL983">
        <v>1</v>
      </c>
      <c r="AM983" t="inlineStr">
        <is>
          <t>No, I don't need at all</t>
        </is>
      </c>
      <c r="AN983"/>
      <c r="AO983" t="inlineStr">
        <is>
          <t>No, I don't need at all</t>
        </is>
      </c>
      <c r="AP983" t="inlineStr">
        <is>
          <t>Twice a year (50%)</t>
        </is>
      </c>
      <c r="AQ983">
        <v>3</v>
      </c>
      <c r="AR983" t="inlineStr">
        <is>
          <t>Free Job Portal</t>
        </is>
      </c>
      <c r="AS983"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983">
        <v>75</v>
      </c>
      <c r="AU983" t="inlineStr">
        <is>
          <t>0.75</t>
        </is>
      </c>
      <c r="AV983" t="inlineStr">
        <is>
          <t>15</t>
        </is>
      </c>
      <c r="AW983" t="inlineStr">
        <is>
          <t>0</t>
        </is>
      </c>
      <c r="AX983" t="inlineStr">
        <is>
          <t>Not Qualified</t>
        </is>
      </c>
      <c r="AY983" s="4"/>
      <c r="AZ983"/>
      <c r="BA983"/>
      <c r="BB983"/>
      <c r="BC983" t="inlineStr">
        <is>
          <t>proceed in another acc</t>
        </is>
      </c>
      <c r="BD983" s="4">
        <v>46133.445856481485</v>
      </c>
      <c r="BE983" t="inlineStr">
        <is>
          <t>pending</t>
        </is>
      </c>
      <c r="BF983"/>
      <c r="BG983" t="inlineStr">
        <is>
          <t>Reschedule</t>
        </is>
      </c>
      <c r="BH983" t="inlineStr">
        <is>
          <t>Edward Hoo</t>
        </is>
      </c>
      <c r="BI983"/>
      <c r="BJ983" s="4">
        <v>46144.754282407404</v>
      </c>
      <c r="BK983" s="4">
        <v>46129.70961805555</v>
      </c>
      <c r="BL983" t="inlineStr">
        <is>
          <t>0.0</t>
        </is>
      </c>
      <c r="BM983" t="inlineStr">
        <is>
          <t>600.0</t>
        </is>
      </c>
      <c r="BN983"/>
      <c r="BO983" s="4"/>
      <c r="BP983">
        <v>167689</v>
      </c>
      <c r="BQ983">
        <v>123021</v>
      </c>
      <c r="BR983" t="inlineStr">
        <is>
          <t>Proforma</t>
        </is>
      </c>
      <c r="BS983" t="inlineStr">
        <is>
          <t>AI Yearly Standard Plan (Jan 26)</t>
        </is>
      </c>
      <c r="BT983"/>
      <c r="BU983"/>
      <c r="BV983">
        <v>2717193</v>
      </c>
      <c r="BW983" t="inlineStr">
        <is>
          <t>Follow Up : Lost - Free Portal</t>
        </is>
      </c>
      <c r="BX983"/>
      <c r="BY983"/>
      <c r="BZ983" s="4"/>
      <c r="CA983"/>
      <c r="CB983"/>
      <c r="CC983" s="4"/>
      <c r="CD983" t="inlineStr">
        <is>
          <t>20</t>
        </is>
      </c>
      <c r="CE983" t="inlineStr">
        <is>
          <t>0</t>
        </is>
      </c>
      <c r="CF983" t="inlineStr">
        <is>
          <t>Q2-W03</t>
        </is>
      </c>
      <c r="CG983" t="inlineStr">
        <is>
          <t>Q2-W03</t>
        </is>
      </c>
      <c r="CH983"/>
      <c r="CI983"/>
      <c r="CJ983" t="inlineStr">
        <is>
          <t>No Paid</t>
        </is>
      </c>
      <c r="CK983" t="inlineStr">
        <is>
          <t>Not Eligible</t>
        </is>
      </c>
      <c r="CL983"/>
      <c r="CM983"/>
    </row>
    <row r="984" ht="25.5" customHeight="1">
      <c r="A984" t="inlineStr">
        <is>
          <t>72136</t>
        </is>
      </c>
      <c r="B984" s="2"/>
      <c r="C984"/>
      <c r="D984" s="3">
        <v>46129.723032407404</v>
      </c>
      <c r="E984" t="inlineStr">
        <is>
          <t>Q2-W03</t>
        </is>
      </c>
      <c r="F984" t="inlineStr">
        <is>
          <t>Janice Yap</t>
        </is>
      </c>
      <c r="G984" t="inlineStr">
        <is>
          <t>Customer</t>
        </is>
      </c>
      <c r="H984" s="2" t="str">
        <f>=HYPERLINK("https://upbox.ajobthing.my/customer/72136", "https://upbox.ajobthing.my/customer/72136")</f>
        <v>https://upbox.ajobthing.my/customer/72136</v>
      </c>
      <c r="I984" t="inlineStr">
        <is>
          <t>Autotech Support Sdn Bhd</t>
        </is>
      </c>
      <c r="J984" t="inlineStr">
        <is>
          <t>Small Fish</t>
        </is>
      </c>
      <c r="K984" t="inlineStr">
        <is>
          <t>Janice</t>
        </is>
      </c>
      <c r="L984" s="4"/>
      <c r="M984" s="4">
        <v>46129.720509259256</v>
      </c>
      <c r="N984"/>
      <c r="O984">
        <v>3888</v>
      </c>
      <c r="P984" s="4"/>
      <c r="Q984" s="4">
        <v>45252.45469907407</v>
      </c>
      <c r="R984"/>
      <c r="S984">
        <v>636</v>
      </c>
      <c r="T984" s="4">
        <v>45252.45469907407</v>
      </c>
      <c r="U984" s="4"/>
      <c r="V984"/>
      <c r="W984">
        <v>636</v>
      </c>
      <c r="X984"/>
      <c r="Y984" t="inlineStr">
        <is>
          <t>Pending Appointment</t>
        </is>
      </c>
      <c r="Z984" t="inlineStr">
        <is>
          <t>Hiring Now</t>
        </is>
      </c>
      <c r="AA984">
        <v>1</v>
      </c>
      <c r="AB984" t="inlineStr">
        <is>
          <t>No Appointment Made</t>
        </is>
      </c>
      <c r="AC984"/>
      <c r="AD984" t="inlineStr">
        <is>
          <t>IT</t>
        </is>
      </c>
      <c r="AE984"/>
      <c r="AF984">
        <v>0</v>
      </c>
      <c r="AG984" s="4"/>
      <c r="AH984" s="4"/>
      <c r="AI984">
        <v>0</v>
      </c>
      <c r="AJ984"/>
      <c r="AK984" t="inlineStr">
        <is>
          <t>No, I don't need at all</t>
        </is>
      </c>
      <c r="AL984">
        <v>0</v>
      </c>
      <c r="AM984" t="inlineStr">
        <is>
          <t>No, I don't need at all</t>
        </is>
      </c>
      <c r="AN984"/>
      <c r="AO984" t="inlineStr">
        <is>
          <t>No, I don't need at all</t>
        </is>
      </c>
      <c r="AP984" t="inlineStr">
        <is>
          <t>Once a year (25%)</t>
        </is>
      </c>
      <c r="AQ984">
        <v>1</v>
      </c>
      <c r="AR984" t="inlineStr">
        <is>
          <t>Jobstreet</t>
        </is>
      </c>
      <c r="AS984" t="inlineStr">
        <is>
          <t>- Headcount: 1
- Hiring Job Details: IT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984">
        <v>105</v>
      </c>
      <c r="AU984" t="inlineStr">
        <is>
          <t>1.05</t>
        </is>
      </c>
      <c r="AV984" t="inlineStr">
        <is>
          <t>15</t>
        </is>
      </c>
      <c r="AW984" t="inlineStr">
        <is>
          <t>0</t>
        </is>
      </c>
      <c r="AX984" t="inlineStr">
        <is>
          <t>Not Qualified</t>
        </is>
      </c>
      <c r="AY984" s="4"/>
      <c r="AZ984"/>
      <c r="BA984"/>
      <c r="BB984"/>
      <c r="BC984" t="inlineStr">
        <is>
          <t>No need to post now // if needed will contact // using JS</t>
        </is>
      </c>
      <c r="BD984" s="4">
        <v>46141.625069444446</v>
      </c>
      <c r="BE984" t="inlineStr">
        <is>
          <t>paid</t>
        </is>
      </c>
      <c r="BF984"/>
      <c r="BG984" t="inlineStr">
        <is>
          <t>Reschedule</t>
        </is>
      </c>
      <c r="BH984" t="inlineStr">
        <is>
          <t>Yee Hang</t>
        </is>
      </c>
      <c r="BI984" t="inlineStr">
        <is>
          <t>IT / Hardware</t>
        </is>
      </c>
      <c r="BJ984" s="4">
        <v>46144.75612268518</v>
      </c>
      <c r="BK984" s="4">
        <v>43395.47287037037</v>
      </c>
      <c r="BL984" t="inlineStr">
        <is>
          <t>0.0</t>
        </is>
      </c>
      <c r="BM984" t="inlineStr">
        <is>
          <t>600.0</t>
        </is>
      </c>
      <c r="BN984" t="inlineStr">
        <is>
          <t>View Company Page</t>
        </is>
      </c>
      <c r="BO984" s="4">
        <v>46090.90490740741</v>
      </c>
      <c r="BP984">
        <v>167703</v>
      </c>
      <c r="BQ984">
        <v>63977</v>
      </c>
      <c r="BR984" t="inlineStr">
        <is>
          <t>Online</t>
        </is>
      </c>
      <c r="BS984"/>
      <c r="BT984">
        <v>63977</v>
      </c>
      <c r="BU984"/>
      <c r="BV984">
        <v>2735501</v>
      </c>
      <c r="BW984" t="inlineStr">
        <is>
          <t>Follow Up : Lost - Paid Portal</t>
        </is>
      </c>
      <c r="BX984"/>
      <c r="BY984"/>
      <c r="BZ984" s="4"/>
      <c r="CA984"/>
      <c r="CB984"/>
      <c r="CC984" s="4"/>
      <c r="CD984" t="inlineStr">
        <is>
          <t>20</t>
        </is>
      </c>
      <c r="CE984" t="inlineStr">
        <is>
          <t>0</t>
        </is>
      </c>
      <c r="CF984" t="inlineStr">
        <is>
          <t>Q2-W03</t>
        </is>
      </c>
      <c r="CG984"/>
      <c r="CH984"/>
      <c r="CI984"/>
      <c r="CJ984" t="inlineStr">
        <is>
          <t>Paid</t>
        </is>
      </c>
      <c r="CK984" t="inlineStr">
        <is>
          <t>Not Eligible</t>
        </is>
      </c>
      <c r="CL984"/>
      <c r="CM984"/>
    </row>
    <row r="985" ht="25.5" customHeight="1">
      <c r="A985" t="inlineStr">
        <is>
          <t>203371</t>
        </is>
      </c>
      <c r="B985" s="2"/>
      <c r="C985"/>
      <c r="D985" s="3">
        <v>46129.725949074076</v>
      </c>
      <c r="E985" t="inlineStr">
        <is>
          <t>Q2-W03</t>
        </is>
      </c>
      <c r="F985" t="inlineStr">
        <is>
          <t>Lucas</t>
        </is>
      </c>
      <c r="G985" t="inlineStr">
        <is>
          <t>Customer</t>
        </is>
      </c>
      <c r="H985" s="2" t="str">
        <f>=HYPERLINK("https://upbox.ajobthing.my/customer/203371", "https://upbox.ajobthing.my/customer/203371")</f>
        <v>https://upbox.ajobthing.my/customer/203371</v>
      </c>
      <c r="I985" t="inlineStr">
        <is>
          <t>Mood and Wonders Sdn Bhd</t>
        </is>
      </c>
      <c r="J985" t="inlineStr">
        <is>
          <t>Small Fish</t>
        </is>
      </c>
      <c r="K985" t="inlineStr">
        <is>
          <t>Lucas</t>
        </is>
      </c>
      <c r="L985" s="4"/>
      <c r="M985" s="4">
        <v>46129.72484953704</v>
      </c>
      <c r="N985"/>
      <c r="O985">
        <v>3888</v>
      </c>
      <c r="P985" s="4"/>
      <c r="Q985" s="4"/>
      <c r="R985"/>
      <c r="S985"/>
      <c r="T985" s="4"/>
      <c r="U985" s="4"/>
      <c r="V985"/>
      <c r="W985"/>
      <c r="X985"/>
      <c r="Y985" t="inlineStr">
        <is>
          <t>Pending Appointment</t>
        </is>
      </c>
      <c r="Z985" t="inlineStr">
        <is>
          <t>Hiring Now</t>
        </is>
      </c>
      <c r="AA985">
        <v>1</v>
      </c>
      <c r="AB985" t="inlineStr">
        <is>
          <t>No Appointment Made</t>
        </is>
      </c>
      <c r="AC985"/>
      <c r="AD985" t="inlineStr">
        <is>
          <t xml:space="preserve">1 designer </t>
        </is>
      </c>
      <c r="AE985"/>
      <c r="AF985">
        <v>0</v>
      </c>
      <c r="AG985" s="4"/>
      <c r="AH985" s="4"/>
      <c r="AI985">
        <v>0</v>
      </c>
      <c r="AJ985"/>
      <c r="AK985" t="inlineStr">
        <is>
          <t>No, I don't need at all</t>
        </is>
      </c>
      <c r="AL985">
        <v>0</v>
      </c>
      <c r="AM985" t="inlineStr">
        <is>
          <t>No, I don't need at all</t>
        </is>
      </c>
      <c r="AN985"/>
      <c r="AO985" t="inlineStr">
        <is>
          <t>No, I don't need at all</t>
        </is>
      </c>
      <c r="AP985" t="inlineStr">
        <is>
          <t>Once a year (25%)</t>
        </is>
      </c>
      <c r="AQ985">
        <v>1</v>
      </c>
      <c r="AR985" t="inlineStr">
        <is>
          <t>Did not use any job portal</t>
        </is>
      </c>
      <c r="AS985" t="inlineStr">
        <is>
          <t>- Headcount: 1
- Hiring Job Details: 1 designer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985">
        <v>110</v>
      </c>
      <c r="AU985" t="inlineStr">
        <is>
          <t>1.10</t>
        </is>
      </c>
      <c r="AV985" t="inlineStr">
        <is>
          <t>15</t>
        </is>
      </c>
      <c r="AW985" t="inlineStr">
        <is>
          <t>0</t>
        </is>
      </c>
      <c r="AX985" t="inlineStr">
        <is>
          <t>Not Qualified</t>
        </is>
      </c>
      <c r="AY985" s="4"/>
      <c r="AZ985"/>
      <c r="BA985"/>
      <c r="BB985"/>
      <c r="BC985" t="inlineStr">
        <is>
          <t>no promo code so reject , expensive</t>
        </is>
      </c>
      <c r="BD985" s="4">
        <v>46134.61861111111</v>
      </c>
      <c r="BE985"/>
      <c r="BF985"/>
      <c r="BG985" t="inlineStr">
        <is>
          <t>Reschedule</t>
        </is>
      </c>
      <c r="BH985" t="inlineStr">
        <is>
          <t>Yee Hang</t>
        </is>
      </c>
      <c r="BI985"/>
      <c r="BJ985" s="4">
        <v>46144.754282407404</v>
      </c>
      <c r="BK985" s="4">
        <v>46129.71780092592</v>
      </c>
      <c r="BL985" t="inlineStr">
        <is>
          <t>0.0</t>
        </is>
      </c>
      <c r="BM985" t="inlineStr">
        <is>
          <t>0.0</t>
        </is>
      </c>
      <c r="BN985" t="inlineStr">
        <is>
          <t>User Visit(Logged In)</t>
        </is>
      </c>
      <c r="BO985" s="4">
        <v>46129.72415509259</v>
      </c>
      <c r="BP985">
        <v>167706</v>
      </c>
      <c r="BQ985"/>
      <c r="BR985"/>
      <c r="BS985"/>
      <c r="BT985"/>
      <c r="BU985"/>
      <c r="BV985">
        <v>2720896</v>
      </c>
      <c r="BW985" t="inlineStr">
        <is>
          <t>Follow Up : Budget Concern</t>
        </is>
      </c>
      <c r="BX985"/>
      <c r="BY985"/>
      <c r="BZ985" s="4"/>
      <c r="CA985"/>
      <c r="CB985"/>
      <c r="CC985" s="4"/>
      <c r="CD985" t="inlineStr">
        <is>
          <t>20</t>
        </is>
      </c>
      <c r="CE985" t="inlineStr">
        <is>
          <t>0</t>
        </is>
      </c>
      <c r="CF985" t="inlineStr">
        <is>
          <t>Q2-W03</t>
        </is>
      </c>
      <c r="CG985"/>
      <c r="CH985"/>
      <c r="CI985"/>
      <c r="CJ985" t="inlineStr">
        <is>
          <t>No Paid</t>
        </is>
      </c>
      <c r="CK985" t="inlineStr">
        <is>
          <t>Not Eligible</t>
        </is>
      </c>
      <c r="CL985"/>
      <c r="CM985"/>
    </row>
    <row r="986" ht="25.5" customHeight="1">
      <c r="A986" t="inlineStr">
        <is>
          <t>175798</t>
        </is>
      </c>
      <c r="B986" s="2"/>
      <c r="C986"/>
      <c r="D986" s="3">
        <v>46129.730578703704</v>
      </c>
      <c r="E986" t="inlineStr">
        <is>
          <t>Q2-W03</t>
        </is>
      </c>
      <c r="F986" t="inlineStr">
        <is>
          <t>Jeff Lee</t>
        </is>
      </c>
      <c r="G986" t="inlineStr">
        <is>
          <t>Customer</t>
        </is>
      </c>
      <c r="H986" s="2" t="str">
        <f>=HYPERLINK("https://upbox.ajobthing.my/customer/175798", "https://upbox.ajobthing.my/customer/175798")</f>
        <v>https://upbox.ajobthing.my/customer/175798</v>
      </c>
      <c r="I986" t="inlineStr">
        <is>
          <t xml:space="preserve"> Euro Msport Sdn Bhd</t>
        </is>
      </c>
      <c r="J986" t="inlineStr">
        <is>
          <t>Small Fish</t>
        </is>
      </c>
      <c r="K986" t="inlineStr">
        <is>
          <t>Jeff Lee</t>
        </is>
      </c>
      <c r="L986" s="4"/>
      <c r="M986" s="4">
        <v>46129.726585648146</v>
      </c>
      <c r="N986"/>
      <c r="O986">
        <v>1296</v>
      </c>
      <c r="P986" s="4"/>
      <c r="Q986" s="4">
        <v>45350.61697916667</v>
      </c>
      <c r="R986"/>
      <c r="S986">
        <v>954</v>
      </c>
      <c r="T986" s="4">
        <v>45350.61697916667</v>
      </c>
      <c r="U986" s="4"/>
      <c r="V986"/>
      <c r="W986">
        <v>954</v>
      </c>
      <c r="X986"/>
      <c r="Y986" t="inlineStr">
        <is>
          <t>Pending Appointment</t>
        </is>
      </c>
      <c r="Z986" t="inlineStr">
        <is>
          <t>Hiring Now</t>
        </is>
      </c>
      <c r="AA986">
        <v>1</v>
      </c>
      <c r="AB986" t="inlineStr">
        <is>
          <t>No Appointment Made</t>
        </is>
      </c>
      <c r="AC986"/>
      <c r="AD986" t="inlineStr">
        <is>
          <t>1 Admin</t>
        </is>
      </c>
      <c r="AE986"/>
      <c r="AF986">
        <v>0</v>
      </c>
      <c r="AG986" s="4"/>
      <c r="AH986" s="4"/>
      <c r="AI986">
        <v>0</v>
      </c>
      <c r="AJ986">
        <v>0</v>
      </c>
      <c r="AK986" t="inlineStr">
        <is>
          <t>No, I don't need at all</t>
        </is>
      </c>
      <c r="AL986">
        <v>0</v>
      </c>
      <c r="AM986" t="inlineStr">
        <is>
          <t>No, I don't need at all</t>
        </is>
      </c>
      <c r="AN986"/>
      <c r="AO986" t="inlineStr">
        <is>
          <t>No, I don't need at all</t>
        </is>
      </c>
      <c r="AP986" t="inlineStr">
        <is>
          <t>Once a year (25%)</t>
        </is>
      </c>
      <c r="AQ986">
        <v>1</v>
      </c>
      <c r="AR986" t="inlineStr">
        <is>
          <t>Did not use any job portal</t>
        </is>
      </c>
      <c r="AS986" t="inlineStr">
        <is>
          <t>- Headcount: 1
- Hiring Job Details: 1 Admin
- Number of outlets: 0
- Have recruiter team: No, I don't need at all
- Number of recruiter in company: 0
- Have ATS system: No, I don't need at all
- Have career website: No, I don't need at all
- Current hiring budget: RM0
- Hiring frequency: Once a year (25%)
- Whole year budget: RM0.00
- Whole year number of vacancies: 1
- External job portal: Did not use any job portal
- Hiring Urgency: Hiring Now</t>
        </is>
      </c>
      <c r="AT986">
        <v>110</v>
      </c>
      <c r="AU986" t="inlineStr">
        <is>
          <t>1.10</t>
        </is>
      </c>
      <c r="AV986" t="inlineStr">
        <is>
          <t>15</t>
        </is>
      </c>
      <c r="AW986" t="inlineStr">
        <is>
          <t>0</t>
        </is>
      </c>
      <c r="AX986" t="inlineStr">
        <is>
          <t>Not Qualified</t>
        </is>
      </c>
      <c r="AY986" s="4"/>
      <c r="AZ986"/>
      <c r="BA986"/>
      <c r="BB986"/>
      <c r="BC986" t="inlineStr">
        <is>
          <t>no hiring atm</t>
        </is>
      </c>
      <c r="BD986" s="4">
        <v>46135.654953703706</v>
      </c>
      <c r="BE986" t="inlineStr">
        <is>
          <t>paid</t>
        </is>
      </c>
      <c r="BF986"/>
      <c r="BG986" t="inlineStr">
        <is>
          <t>Reschedule</t>
        </is>
      </c>
      <c r="BH986" t="inlineStr">
        <is>
          <t>Yee Hang</t>
        </is>
      </c>
      <c r="BI986" t="inlineStr">
        <is>
          <t>Automobile / Automotive</t>
        </is>
      </c>
      <c r="BJ986" s="4">
        <v>46144.751608796294</v>
      </c>
      <c r="BK986" s="4">
        <v>45349.36431712963</v>
      </c>
      <c r="BL986" t="inlineStr">
        <is>
          <t>0.0</t>
        </is>
      </c>
      <c r="BM986" t="inlineStr">
        <is>
          <t>0.0</t>
        </is>
      </c>
      <c r="BN986" t="inlineStr">
        <is>
          <t>View Jobmanager Page</t>
        </is>
      </c>
      <c r="BO986" s="4">
        <v>45372.33928240741</v>
      </c>
      <c r="BP986">
        <v>167709</v>
      </c>
      <c r="BQ986">
        <v>66341</v>
      </c>
      <c r="BR986" t="inlineStr">
        <is>
          <t>Online</t>
        </is>
      </c>
      <c r="BS986"/>
      <c r="BT986">
        <v>66341</v>
      </c>
      <c r="BU986"/>
      <c r="BV986">
        <v>2724486</v>
      </c>
      <c r="BW986" t="inlineStr">
        <is>
          <t>Follow Up : Budget Concern</t>
        </is>
      </c>
      <c r="BX986"/>
      <c r="BY986"/>
      <c r="BZ986" s="4"/>
      <c r="CA986"/>
      <c r="CB986"/>
      <c r="CC986" s="4"/>
      <c r="CD986" t="inlineStr">
        <is>
          <t>20</t>
        </is>
      </c>
      <c r="CE986" t="inlineStr">
        <is>
          <t>0</t>
        </is>
      </c>
      <c r="CF986" t="inlineStr">
        <is>
          <t>Q2-W03</t>
        </is>
      </c>
      <c r="CG986"/>
      <c r="CH986"/>
      <c r="CI986"/>
      <c r="CJ986" t="inlineStr">
        <is>
          <t>Paid</t>
        </is>
      </c>
      <c r="CK986" t="inlineStr">
        <is>
          <t>Not Eligible</t>
        </is>
      </c>
      <c r="CL986"/>
      <c r="CM986"/>
    </row>
    <row r="987" ht="25.5" customHeight="1">
      <c r="A987" t="inlineStr">
        <is>
          <t>171605</t>
        </is>
      </c>
      <c r="B987" s="2"/>
      <c r="C987"/>
      <c r="D987" s="3">
        <v>46129.7319212963</v>
      </c>
      <c r="E987" t="inlineStr">
        <is>
          <t>Q2-W03</t>
        </is>
      </c>
      <c r="F987" t="inlineStr">
        <is>
          <t>Ken Yi</t>
        </is>
      </c>
      <c r="G987" t="inlineStr">
        <is>
          <t>Customer</t>
        </is>
      </c>
      <c r="H987" s="2" t="str">
        <f>=HYPERLINK("https://upbox.ajobthing.my/customer/171605", "https://upbox.ajobthing.my/customer/171605")</f>
        <v>https://upbox.ajobthing.my/customer/171605</v>
      </c>
      <c r="I987" t="inlineStr">
        <is>
          <t>Vimiiya International Marketing</t>
        </is>
      </c>
      <c r="J987" t="inlineStr">
        <is>
          <t>Small Fish</t>
        </is>
      </c>
      <c r="K987" t="inlineStr">
        <is>
          <t>Kenyi</t>
        </is>
      </c>
      <c r="L987" s="4"/>
      <c r="M987" s="4">
        <v>46129.73315972222</v>
      </c>
      <c r="N987"/>
      <c r="O987">
        <v>3672</v>
      </c>
      <c r="P987" s="4"/>
      <c r="Q987" s="4">
        <v>46125.501284722224</v>
      </c>
      <c r="R987"/>
      <c r="S987">
        <v>0</v>
      </c>
      <c r="T987" s="4"/>
      <c r="U987" s="4"/>
      <c r="V987"/>
      <c r="W987"/>
      <c r="X987"/>
      <c r="Y987" t="inlineStr">
        <is>
          <t>Pending Appointment</t>
        </is>
      </c>
      <c r="Z987" t="inlineStr">
        <is>
          <t>Hiring Now</t>
        </is>
      </c>
      <c r="AA987">
        <v>1</v>
      </c>
      <c r="AB987" t="inlineStr">
        <is>
          <t>No Appointment Made</t>
        </is>
      </c>
      <c r="AC987"/>
      <c r="AD987" t="inlineStr">
        <is>
          <t>Admin Mandarin Speaker 1</t>
        </is>
      </c>
      <c r="AE987"/>
      <c r="AF987">
        <v>0</v>
      </c>
      <c r="AG987" s="4"/>
      <c r="AH987" s="4"/>
      <c r="AI987">
        <v>0</v>
      </c>
      <c r="AJ987">
        <v>1</v>
      </c>
      <c r="AK987" t="inlineStr">
        <is>
          <t>Yes, I have</t>
        </is>
      </c>
      <c r="AL987">
        <v>1</v>
      </c>
      <c r="AM987" t="inlineStr">
        <is>
          <t>No, I don't need at all</t>
        </is>
      </c>
      <c r="AN987"/>
      <c r="AO987" t="inlineStr">
        <is>
          <t>No, I don't need at all</t>
        </is>
      </c>
      <c r="AP987" t="inlineStr">
        <is>
          <t>Every month (100%)</t>
        </is>
      </c>
      <c r="AQ987">
        <v>1</v>
      </c>
      <c r="AR987" t="inlineStr">
        <is>
          <t>Did not use any job portal</t>
        </is>
      </c>
      <c r="AS987" t="inlineStr">
        <is>
          <t>- Headcount: 1
- Hiring Job Details: 1 Admin Mandarin Speaker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987">
        <v>115</v>
      </c>
      <c r="AU987" t="inlineStr">
        <is>
          <t>1.15</t>
        </is>
      </c>
      <c r="AV987" t="inlineStr">
        <is>
          <t>15</t>
        </is>
      </c>
      <c r="AW987" t="inlineStr">
        <is>
          <t>0</t>
        </is>
      </c>
      <c r="AX987" t="inlineStr">
        <is>
          <t>Not Qualified</t>
        </is>
      </c>
      <c r="AY987" s="4"/>
      <c r="AZ987"/>
      <c r="BA987"/>
      <c r="BB987"/>
      <c r="BC987" t="inlineStr">
        <is>
          <t>- Headcount: 1
- Hiring Job Details: 1 Admin Mandarin Speaker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BD987" s="4">
        <v>46129.7500462963</v>
      </c>
      <c r="BE987" t="inlineStr">
        <is>
          <t>paid</t>
        </is>
      </c>
      <c r="BF987"/>
      <c r="BG987" t="inlineStr">
        <is>
          <t>Reschedule</t>
        </is>
      </c>
      <c r="BH987" t="inlineStr">
        <is>
          <t>Fauziah Maharan</t>
        </is>
      </c>
      <c r="BI987"/>
      <c r="BJ987" s="4">
        <v>46144.75144675926</v>
      </c>
      <c r="BK987" s="4">
        <v>45202.58652777778</v>
      </c>
      <c r="BL987" t="inlineStr">
        <is>
          <t>0.0</t>
        </is>
      </c>
      <c r="BM987" t="inlineStr">
        <is>
          <t>0.0</t>
        </is>
      </c>
      <c r="BN987" t="inlineStr">
        <is>
          <t>View Company Page</t>
        </is>
      </c>
      <c r="BO987" s="4">
        <v>45307.48844907407</v>
      </c>
      <c r="BP987">
        <v>167714</v>
      </c>
      <c r="BQ987">
        <v>121976</v>
      </c>
      <c r="BR987" t="inlineStr">
        <is>
          <t>Proforma</t>
        </is>
      </c>
      <c r="BS987" t="inlineStr">
        <is>
          <t>Free Internship Job</t>
        </is>
      </c>
      <c r="BT987"/>
      <c r="BU987"/>
      <c r="BV987">
        <v>2713893</v>
      </c>
      <c r="BW987" t="inlineStr">
        <is>
          <t>Customer Inquiry</t>
        </is>
      </c>
      <c r="BX987"/>
      <c r="BY987"/>
      <c r="BZ987" s="4"/>
      <c r="CA987"/>
      <c r="CB987"/>
      <c r="CC987" s="4"/>
      <c r="CD987" t="inlineStr">
        <is>
          <t>20</t>
        </is>
      </c>
      <c r="CE987" t="inlineStr">
        <is>
          <t>0</t>
        </is>
      </c>
      <c r="CF987" t="inlineStr">
        <is>
          <t>Q2-W03</t>
        </is>
      </c>
      <c r="CG987" t="inlineStr">
        <is>
          <t>Q2-W02</t>
        </is>
      </c>
      <c r="CH987"/>
      <c r="CI987"/>
      <c r="CJ987" t="inlineStr">
        <is>
          <t>No Paid</t>
        </is>
      </c>
      <c r="CK987" t="inlineStr">
        <is>
          <t>Not Eligible</t>
        </is>
      </c>
      <c r="CL987"/>
      <c r="CM987"/>
    </row>
    <row r="988" ht="25.5" customHeight="1">
      <c r="A988" t="inlineStr">
        <is>
          <t>203372</t>
        </is>
      </c>
      <c r="B988" s="2"/>
      <c r="C988"/>
      <c r="D988" s="3">
        <v>46129.734872685185</v>
      </c>
      <c r="E988" t="inlineStr">
        <is>
          <t>Q2-W03</t>
        </is>
      </c>
      <c r="F988" t="inlineStr">
        <is>
          <t>Lucas</t>
        </is>
      </c>
      <c r="G988" t="inlineStr">
        <is>
          <t>Customer</t>
        </is>
      </c>
      <c r="H988" s="2" t="str">
        <f>=HYPERLINK("https://upbox.ajobthing.my/customer/203372", "https://upbox.ajobthing.my/customer/203372")</f>
        <v>https://upbox.ajobthing.my/customer/203372</v>
      </c>
      <c r="I988" t="inlineStr">
        <is>
          <t>Foong Tat Motors</t>
        </is>
      </c>
      <c r="J988" t="inlineStr">
        <is>
          <t>Small Fish</t>
        </is>
      </c>
      <c r="K988" t="inlineStr">
        <is>
          <t>Lucas</t>
        </is>
      </c>
      <c r="L988" s="4"/>
      <c r="M988" s="4">
        <v>46129.732303240744</v>
      </c>
      <c r="N988"/>
      <c r="O988">
        <v>3888</v>
      </c>
      <c r="P988" s="4"/>
      <c r="Q988" s="4"/>
      <c r="R988"/>
      <c r="S988"/>
      <c r="T988" s="4"/>
      <c r="U988" s="4"/>
      <c r="V988"/>
      <c r="W988"/>
      <c r="X988"/>
      <c r="Y988" t="inlineStr">
        <is>
          <t>Pending Appointment</t>
        </is>
      </c>
      <c r="Z988" t="inlineStr">
        <is>
          <t>Hiring Now</t>
        </is>
      </c>
      <c r="AA988">
        <v>1</v>
      </c>
      <c r="AB988" t="inlineStr">
        <is>
          <t>No Appointment Made</t>
        </is>
      </c>
      <c r="AC988"/>
      <c r="AD988" t="inlineStr">
        <is>
          <t>1 admin</t>
        </is>
      </c>
      <c r="AE988"/>
      <c r="AF988">
        <v>0</v>
      </c>
      <c r="AG988" s="4"/>
      <c r="AH988" s="4"/>
      <c r="AI988">
        <v>0</v>
      </c>
      <c r="AJ988">
        <v>0</v>
      </c>
      <c r="AK988" t="inlineStr">
        <is>
          <t>No, I don't need at all</t>
        </is>
      </c>
      <c r="AL988">
        <v>0</v>
      </c>
      <c r="AM988" t="inlineStr">
        <is>
          <t>No, I don't need at all</t>
        </is>
      </c>
      <c r="AN988"/>
      <c r="AO988" t="inlineStr">
        <is>
          <t>No, I don't need at all</t>
        </is>
      </c>
      <c r="AP988" t="inlineStr">
        <is>
          <t>Once a year (25%)</t>
        </is>
      </c>
      <c r="AQ988">
        <v>1</v>
      </c>
      <c r="AR988" t="inlineStr">
        <is>
          <t>Did not use any job portal</t>
        </is>
      </c>
      <c r="AS988"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988">
        <v>110</v>
      </c>
      <c r="AU988" t="inlineStr">
        <is>
          <t>1.10</t>
        </is>
      </c>
      <c r="AV988" t="inlineStr">
        <is>
          <t>15</t>
        </is>
      </c>
      <c r="AW988" t="inlineStr">
        <is>
          <t>0</t>
        </is>
      </c>
      <c r="AX988" t="inlineStr">
        <is>
          <t>Not Qualified</t>
        </is>
      </c>
      <c r="AY988" s="4"/>
      <c r="AZ988"/>
      <c r="BA988"/>
      <c r="BB988"/>
      <c r="BC988" t="inlineStr">
        <is>
          <t>nr, FU2</t>
        </is>
      </c>
      <c r="BD988" s="4">
        <v>46139.60150462963</v>
      </c>
      <c r="BE988"/>
      <c r="BF988"/>
      <c r="BG988" t="inlineStr">
        <is>
          <t>Reschedule</t>
        </is>
      </c>
      <c r="BH988" t="inlineStr">
        <is>
          <t>Yee Hang</t>
        </is>
      </c>
      <c r="BI988"/>
      <c r="BJ988" s="4">
        <v>46144.754282407404</v>
      </c>
      <c r="BK988" s="4">
        <v>46129.72385416667</v>
      </c>
      <c r="BL988" t="inlineStr">
        <is>
          <t>0.0</t>
        </is>
      </c>
      <c r="BM988" t="inlineStr">
        <is>
          <t>0.0</t>
        </is>
      </c>
      <c r="BN988" t="inlineStr">
        <is>
          <t>View Company Page</t>
        </is>
      </c>
      <c r="BO988" s="4">
        <v>46129.75226851852</v>
      </c>
      <c r="BP988">
        <v>167713</v>
      </c>
      <c r="BQ988"/>
      <c r="BR988"/>
      <c r="BS988"/>
      <c r="BT988"/>
      <c r="BU988"/>
      <c r="BV988">
        <v>2729790</v>
      </c>
      <c r="BW988" t="inlineStr">
        <is>
          <t>No Answer : Voicemail - WA sent to customer</t>
        </is>
      </c>
      <c r="BX988"/>
      <c r="BY988"/>
      <c r="BZ988" s="4"/>
      <c r="CA988"/>
      <c r="CB988"/>
      <c r="CC988" s="4"/>
      <c r="CD988" t="inlineStr">
        <is>
          <t>20</t>
        </is>
      </c>
      <c r="CE988" t="inlineStr">
        <is>
          <t>0</t>
        </is>
      </c>
      <c r="CF988" t="inlineStr">
        <is>
          <t>Q2-W03</t>
        </is>
      </c>
      <c r="CG988"/>
      <c r="CH988"/>
      <c r="CI988"/>
      <c r="CJ988" t="inlineStr">
        <is>
          <t>No Paid</t>
        </is>
      </c>
      <c r="CK988" t="inlineStr">
        <is>
          <t>Not Eligible</t>
        </is>
      </c>
      <c r="CL988"/>
      <c r="CM988"/>
    </row>
    <row r="989" ht="25.5" customHeight="1">
      <c r="A989" t="inlineStr">
        <is>
          <t>174419</t>
        </is>
      </c>
      <c r="B989" s="2"/>
      <c r="C989"/>
      <c r="D989" s="3">
        <v>46129.737222222226</v>
      </c>
      <c r="E989" t="inlineStr">
        <is>
          <t>Q2-W03</t>
        </is>
      </c>
      <c r="F989" t="inlineStr">
        <is>
          <t>Xin Hui</t>
        </is>
      </c>
      <c r="G989" t="inlineStr">
        <is>
          <t>Customer</t>
        </is>
      </c>
      <c r="H989" s="2" t="str">
        <f>=HYPERLINK("https://upbox.ajobthing.my/customer/174419", "https://upbox.ajobthing.my/customer/174419")</f>
        <v>https://upbox.ajobthing.my/customer/174419</v>
      </c>
      <c r="I989" t="inlineStr">
        <is>
          <t>Good Llama Trading</t>
        </is>
      </c>
      <c r="J989" t="inlineStr">
        <is>
          <t>Small Fish</t>
        </is>
      </c>
      <c r="K989" t="inlineStr">
        <is>
          <t>Xin Hui</t>
        </is>
      </c>
      <c r="L989" s="4"/>
      <c r="M989" s="4">
        <v>46129.7375</v>
      </c>
      <c r="N989"/>
      <c r="O989">
        <v>3888</v>
      </c>
      <c r="P989" s="4"/>
      <c r="Q989" s="4">
        <v>45371.74364583333</v>
      </c>
      <c r="R989"/>
      <c r="S989">
        <v>648</v>
      </c>
      <c r="T989" s="4">
        <v>45371.74364583333</v>
      </c>
      <c r="U989" s="4"/>
      <c r="V989"/>
      <c r="W989">
        <v>648</v>
      </c>
      <c r="X989"/>
      <c r="Y989" t="inlineStr">
        <is>
          <t>Pending Appointment</t>
        </is>
      </c>
      <c r="Z989" t="inlineStr">
        <is>
          <t>Hiring Now</t>
        </is>
      </c>
      <c r="AA989">
        <v>1</v>
      </c>
      <c r="AB989" t="inlineStr">
        <is>
          <t>No Appointment Made</t>
        </is>
      </c>
      <c r="AC989"/>
      <c r="AD989" t="inlineStr">
        <is>
          <t>admin</t>
        </is>
      </c>
      <c r="AE989"/>
      <c r="AF989"/>
      <c r="AG989" s="4"/>
      <c r="AH989" s="4"/>
      <c r="AI989"/>
      <c r="AJ989"/>
      <c r="AK989" t="inlineStr">
        <is>
          <t>No, I don't need at all</t>
        </is>
      </c>
      <c r="AL989"/>
      <c r="AM989" t="inlineStr">
        <is>
          <t>No, I don't need at all</t>
        </is>
      </c>
      <c r="AN989"/>
      <c r="AO989" t="inlineStr">
        <is>
          <t>No, I don't need at all</t>
        </is>
      </c>
      <c r="AP989" t="inlineStr">
        <is>
          <t>Once a year (25%)</t>
        </is>
      </c>
      <c r="AQ989"/>
      <c r="AR989" t="inlineStr">
        <is>
          <t>Jobstreet</t>
        </is>
      </c>
      <c r="AS989" t="inlineStr">
        <is>
          <t>- Headcount: 1
- Hiring Job Details: admin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is>
      </c>
      <c r="AT989">
        <v>75</v>
      </c>
      <c r="AU989" t="inlineStr">
        <is>
          <t>0.75</t>
        </is>
      </c>
      <c r="AV989" t="inlineStr">
        <is>
          <t>5</t>
        </is>
      </c>
      <c r="AW989" t="inlineStr">
        <is>
          <t>0</t>
        </is>
      </c>
      <c r="AX989" t="inlineStr">
        <is>
          <t>Not Qualified</t>
        </is>
      </c>
      <c r="AY989" s="4"/>
      <c r="AZ989"/>
      <c r="BA989"/>
      <c r="BB989"/>
      <c r="BC989" t="inlineStr">
        <is>
          <t>- Headcount: 1
- Hiring Job Details: admin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is>
      </c>
      <c r="BD989" s="4">
        <v>46129.75005787037</v>
      </c>
      <c r="BE989" t="inlineStr">
        <is>
          <t>paid</t>
        </is>
      </c>
      <c r="BF989"/>
      <c r="BG989" t="inlineStr">
        <is>
          <t>Reschedule</t>
        </is>
      </c>
      <c r="BH989" t="inlineStr">
        <is>
          <t>Yee Hang</t>
        </is>
      </c>
      <c r="BI989" t="inlineStr">
        <is>
          <t>General / Wholesale Trading</t>
        </is>
      </c>
      <c r="BJ989" s="4">
        <v>46144.751550925925</v>
      </c>
      <c r="BK989" s="4">
        <v>45300.58877314815</v>
      </c>
      <c r="BL989" t="inlineStr">
        <is>
          <t>0.0</t>
        </is>
      </c>
      <c r="BM989" t="inlineStr">
        <is>
          <t>0.0</t>
        </is>
      </c>
      <c r="BN989" t="inlineStr">
        <is>
          <t>View Jobmanager Page</t>
        </is>
      </c>
      <c r="BO989" s="4">
        <v>45446.87210648148</v>
      </c>
      <c r="BP989">
        <v>167718</v>
      </c>
      <c r="BQ989">
        <v>67048</v>
      </c>
      <c r="BR989" t="inlineStr">
        <is>
          <t>Online</t>
        </is>
      </c>
      <c r="BS989"/>
      <c r="BT989">
        <v>67048</v>
      </c>
      <c r="BU989"/>
      <c r="BV989">
        <v>2713897</v>
      </c>
      <c r="BW989" t="inlineStr">
        <is>
          <t>Customer Inquiry</t>
        </is>
      </c>
      <c r="BX989"/>
      <c r="BY989"/>
      <c r="BZ989" s="4"/>
      <c r="CA989"/>
      <c r="CB989"/>
      <c r="CC989" s="4"/>
      <c r="CD989" t="inlineStr">
        <is>
          <t>5</t>
        </is>
      </c>
      <c r="CE989" t="inlineStr">
        <is>
          <t>0</t>
        </is>
      </c>
      <c r="CF989" t="inlineStr">
        <is>
          <t>Q2-W03</t>
        </is>
      </c>
      <c r="CG989"/>
      <c r="CH989"/>
      <c r="CI989"/>
      <c r="CJ989" t="inlineStr">
        <is>
          <t>Paid</t>
        </is>
      </c>
      <c r="CK989" t="inlineStr">
        <is>
          <t>Not Eligible</t>
        </is>
      </c>
      <c r="CL989"/>
      <c r="CM989"/>
    </row>
    <row r="990" ht="25.5" customHeight="1">
      <c r="A990" t="inlineStr">
        <is>
          <t>192191</t>
        </is>
      </c>
      <c r="B990" s="2"/>
      <c r="C990"/>
      <c r="D990" s="3">
        <v>46129.741956018515</v>
      </c>
      <c r="E990" t="inlineStr">
        <is>
          <t>Q2-W03</t>
        </is>
      </c>
      <c r="F990" t="inlineStr">
        <is>
          <t>Derek Lim</t>
        </is>
      </c>
      <c r="G990" t="inlineStr">
        <is>
          <t>Customer</t>
        </is>
      </c>
      <c r="H990" s="2" t="str">
        <f>=HYPERLINK("https://upbox.ajobthing.my/customer/192191", "https://upbox.ajobthing.my/customer/192191")</f>
        <v>https://upbox.ajobthing.my/customer/192191</v>
      </c>
      <c r="I990" t="inlineStr">
        <is>
          <t xml:space="preserve">Henry Tee </t>
        </is>
      </c>
      <c r="J990" t="inlineStr">
        <is>
          <t>Small Fish</t>
        </is>
      </c>
      <c r="K990" t="inlineStr">
        <is>
          <t>Derek Lim</t>
        </is>
      </c>
      <c r="L990" s="4"/>
      <c r="M990" s="4">
        <v>46129.742060185185</v>
      </c>
      <c r="N990"/>
      <c r="O990">
        <v>6048</v>
      </c>
      <c r="P990" s="4"/>
      <c r="Q990" s="4"/>
      <c r="R990"/>
      <c r="S990"/>
      <c r="T990" s="4"/>
      <c r="U990" s="4"/>
      <c r="V990"/>
      <c r="W990"/>
      <c r="X990"/>
      <c r="Y990" t="inlineStr">
        <is>
          <t>Pending Appointment</t>
        </is>
      </c>
      <c r="Z990" t="inlineStr">
        <is>
          <t>Hiring Now</t>
        </is>
      </c>
      <c r="AA990">
        <v>2</v>
      </c>
      <c r="AB990" t="inlineStr">
        <is>
          <t>No Appointment Made</t>
        </is>
      </c>
      <c r="AC990"/>
      <c r="AD990" t="inlineStr">
        <is>
          <t>audit - 1, finance executive - 1</t>
        </is>
      </c>
      <c r="AE990"/>
      <c r="AF990">
        <v>0</v>
      </c>
      <c r="AG990" s="4"/>
      <c r="AH990" s="4"/>
      <c r="AI990">
        <v>0</v>
      </c>
      <c r="AJ990">
        <v>1</v>
      </c>
      <c r="AK990" t="inlineStr">
        <is>
          <t>No, I don't need at all</t>
        </is>
      </c>
      <c r="AL990">
        <v>0</v>
      </c>
      <c r="AM990" t="inlineStr">
        <is>
          <t>No, I don't need at all</t>
        </is>
      </c>
      <c r="AN990"/>
      <c r="AO990" t="inlineStr">
        <is>
          <t>No, I don't need at all</t>
        </is>
      </c>
      <c r="AP990" t="inlineStr">
        <is>
          <t>Once a year (25%)</t>
        </is>
      </c>
      <c r="AQ990">
        <v>2</v>
      </c>
      <c r="AR990" t="inlineStr">
        <is>
          <t>Free Job Portal</t>
        </is>
      </c>
      <c r="AS990" t="inlineStr">
        <is>
          <t>- Headcount: 2
- Hiring Job Details: 1 audit, 1 finance executive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AT990">
        <v>110</v>
      </c>
      <c r="AU990" t="inlineStr">
        <is>
          <t>1.10</t>
        </is>
      </c>
      <c r="AV990" t="inlineStr">
        <is>
          <t>15</t>
        </is>
      </c>
      <c r="AW990" t="inlineStr">
        <is>
          <t>0</t>
        </is>
      </c>
      <c r="AX990" t="inlineStr">
        <is>
          <t>Not Qualified</t>
        </is>
      </c>
      <c r="AY990" s="4"/>
      <c r="AZ990"/>
      <c r="BA990"/>
      <c r="BB990"/>
      <c r="BC990" t="inlineStr">
        <is>
          <t>NO ANSWER</t>
        </is>
      </c>
      <c r="BD990" s="4">
        <v>46134.63118055555</v>
      </c>
      <c r="BE990"/>
      <c r="BF990"/>
      <c r="BG990" t="inlineStr">
        <is>
          <t>Reschedule</t>
        </is>
      </c>
      <c r="BH990" t="inlineStr">
        <is>
          <t>Edward Hoo</t>
        </is>
      </c>
      <c r="BI990"/>
      <c r="BJ990" s="4">
        <v>46144.752546296295</v>
      </c>
      <c r="BK990" s="4">
        <v>45812.761770833335</v>
      </c>
      <c r="BL990" t="inlineStr">
        <is>
          <t>0.0</t>
        </is>
      </c>
      <c r="BM990" t="inlineStr">
        <is>
          <t>0.0</t>
        </is>
      </c>
      <c r="BN990" t="inlineStr">
        <is>
          <t>View Create Job Page</t>
        </is>
      </c>
      <c r="BO990" s="4">
        <v>45812.792916666665</v>
      </c>
      <c r="BP990">
        <v>167720</v>
      </c>
      <c r="BQ990"/>
      <c r="BR990"/>
      <c r="BS990"/>
      <c r="BT990"/>
      <c r="BU990"/>
      <c r="BV990">
        <v>2721009</v>
      </c>
      <c r="BW990" t="inlineStr">
        <is>
          <t>No Answer : Voicemail - WA sent to customer</t>
        </is>
      </c>
      <c r="BX990"/>
      <c r="BY990"/>
      <c r="BZ990" s="4"/>
      <c r="CA990"/>
      <c r="CB990"/>
      <c r="CC990" s="4"/>
      <c r="CD990" t="inlineStr">
        <is>
          <t>20</t>
        </is>
      </c>
      <c r="CE990" t="inlineStr">
        <is>
          <t>0</t>
        </is>
      </c>
      <c r="CF990" t="inlineStr">
        <is>
          <t>Q2-W03</t>
        </is>
      </c>
      <c r="CG990"/>
      <c r="CH990"/>
      <c r="CI990"/>
      <c r="CJ990" t="inlineStr">
        <is>
          <t>No Paid</t>
        </is>
      </c>
      <c r="CK990" t="inlineStr">
        <is>
          <t>Not Eligible</t>
        </is>
      </c>
      <c r="CL990"/>
      <c r="CM990"/>
    </row>
    <row r="991" ht="25.5" customHeight="1">
      <c r="A991" t="inlineStr">
        <is>
          <t>203067</t>
        </is>
      </c>
      <c r="B991" s="2"/>
      <c r="C991"/>
      <c r="D991" s="3">
        <v>46129.742743055554</v>
      </c>
      <c r="E991" t="inlineStr">
        <is>
          <t>Q2-W03</t>
        </is>
      </c>
      <c r="F991" t="inlineStr">
        <is>
          <t>Chia Yee</t>
        </is>
      </c>
      <c r="G991" t="inlineStr">
        <is>
          <t>Customer</t>
        </is>
      </c>
      <c r="H991" s="2" t="str">
        <f>=HYPERLINK("https://upbox.ajobthing.my/customer/203067", "https://upbox.ajobthing.my/customer/203067")</f>
        <v>https://upbox.ajobthing.my/customer/203067</v>
      </c>
      <c r="I991" t="inlineStr">
        <is>
          <t>Pusat Tuisyen Terlajak Ilmu</t>
        </is>
      </c>
      <c r="J991" t="inlineStr">
        <is>
          <t>Small Fish</t>
        </is>
      </c>
      <c r="K991" t="inlineStr">
        <is>
          <t>Chia Yee</t>
        </is>
      </c>
      <c r="L991" s="4"/>
      <c r="M991" s="4">
        <v>46129.742939814816</v>
      </c>
      <c r="N991"/>
      <c r="O991">
        <v>1296</v>
      </c>
      <c r="P991" s="4"/>
      <c r="Q991" s="4"/>
      <c r="R991"/>
      <c r="S991"/>
      <c r="T991" s="4"/>
      <c r="U991" s="4"/>
      <c r="V991"/>
      <c r="W991"/>
      <c r="X991"/>
      <c r="Y991" t="inlineStr">
        <is>
          <t>Pending Appointment</t>
        </is>
      </c>
      <c r="Z991" t="inlineStr">
        <is>
          <t>Hiring Now</t>
        </is>
      </c>
      <c r="AA991">
        <v>1</v>
      </c>
      <c r="AB991" t="inlineStr">
        <is>
          <t>No Appointment Made</t>
        </is>
      </c>
      <c r="AC991"/>
      <c r="AD991" t="inlineStr">
        <is>
          <t>1 Admin clerk</t>
        </is>
      </c>
      <c r="AE991"/>
      <c r="AF991">
        <v>0</v>
      </c>
      <c r="AG991" s="4"/>
      <c r="AH991" s="4"/>
      <c r="AI991">
        <v>0</v>
      </c>
      <c r="AJ991">
        <v>1</v>
      </c>
      <c r="AK991" t="inlineStr">
        <is>
          <t>No, I don't need at all</t>
        </is>
      </c>
      <c r="AL991">
        <v>1</v>
      </c>
      <c r="AM991" t="inlineStr">
        <is>
          <t>No, I don't need at all</t>
        </is>
      </c>
      <c r="AN991"/>
      <c r="AO991" t="inlineStr">
        <is>
          <t>No, I don't need at all</t>
        </is>
      </c>
      <c r="AP991" t="inlineStr">
        <is>
          <t>Once a year (25%)</t>
        </is>
      </c>
      <c r="AQ991">
        <v>1</v>
      </c>
      <c r="AR991" t="inlineStr">
        <is>
          <t>Jobstreet</t>
        </is>
      </c>
      <c r="AS991" t="inlineStr">
        <is>
          <t>- Headcount: 1
- Hiring Job Details: 1 Admin clerk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Jobstreet</t>
        </is>
      </c>
      <c r="AT991">
        <v>110</v>
      </c>
      <c r="AU991" t="inlineStr">
        <is>
          <t>1.10</t>
        </is>
      </c>
      <c r="AV991" t="inlineStr">
        <is>
          <t>15</t>
        </is>
      </c>
      <c r="AW991" t="inlineStr">
        <is>
          <t>0</t>
        </is>
      </c>
      <c r="AX991" t="inlineStr">
        <is>
          <t>Not Qualified</t>
        </is>
      </c>
      <c r="AY991" s="4"/>
      <c r="AZ991"/>
      <c r="BA991"/>
      <c r="BB991"/>
      <c r="BC991" t="inlineStr">
        <is>
          <t>Called, no ans. WA</t>
        </is>
      </c>
      <c r="BD991" s="4">
        <v>46140.52511574074</v>
      </c>
      <c r="BE991"/>
      <c r="BF991"/>
      <c r="BG991" t="inlineStr">
        <is>
          <t>Reschedule</t>
        </is>
      </c>
      <c r="BH991" t="inlineStr">
        <is>
          <t>Reagen</t>
        </is>
      </c>
      <c r="BI991"/>
      <c r="BJ991" s="4">
        <v>46144.754212962966</v>
      </c>
      <c r="BK991" s="4">
        <v>46121.85736111111</v>
      </c>
      <c r="BL991" t="inlineStr">
        <is>
          <t>0.0</t>
        </is>
      </c>
      <c r="BM991" t="inlineStr">
        <is>
          <t>0.0</t>
        </is>
      </c>
      <c r="BN991" t="inlineStr">
        <is>
          <t>View Create Job Page V4</t>
        </is>
      </c>
      <c r="BO991" s="4">
        <v>46121.909733796296</v>
      </c>
      <c r="BP991">
        <v>167722</v>
      </c>
      <c r="BQ991"/>
      <c r="BR991"/>
      <c r="BS991"/>
      <c r="BT991"/>
      <c r="BU991"/>
      <c r="BV991">
        <v>2732471</v>
      </c>
      <c r="BW991" t="inlineStr">
        <is>
          <t>No Answer : 3 Days No Response</t>
        </is>
      </c>
      <c r="BX991"/>
      <c r="BY991"/>
      <c r="BZ991" s="4"/>
      <c r="CA991"/>
      <c r="CB991"/>
      <c r="CC991" s="4"/>
      <c r="CD991" t="inlineStr">
        <is>
          <t>20</t>
        </is>
      </c>
      <c r="CE991" t="inlineStr">
        <is>
          <t>0</t>
        </is>
      </c>
      <c r="CF991" t="inlineStr">
        <is>
          <t>Q2-W03</t>
        </is>
      </c>
      <c r="CG991"/>
      <c r="CH991"/>
      <c r="CI991"/>
      <c r="CJ991" t="inlineStr">
        <is>
          <t>No Paid</t>
        </is>
      </c>
      <c r="CK991" t="inlineStr">
        <is>
          <t>Not Eligible</t>
        </is>
      </c>
      <c r="CL991"/>
      <c r="CM991"/>
    </row>
    <row r="992" ht="25.5" customHeight="1">
      <c r="A992" t="inlineStr">
        <is>
          <t>150834</t>
        </is>
      </c>
      <c r="B992" s="2"/>
      <c r="C992"/>
      <c r="D992" s="3">
        <v>46129.74453703704</v>
      </c>
      <c r="E992" t="inlineStr">
        <is>
          <t>Q2-W03</t>
        </is>
      </c>
      <c r="F992" t="inlineStr">
        <is>
          <t>Dickson</t>
        </is>
      </c>
      <c r="G992" t="inlineStr">
        <is>
          <t>Customer</t>
        </is>
      </c>
      <c r="H992" s="2" t="str">
        <f>=HYPERLINK("https://upbox.ajobthing.my/customer/150834", "https://upbox.ajobthing.my/customer/150834")</f>
        <v>https://upbox.ajobthing.my/customer/150834</v>
      </c>
      <c r="I992" t="inlineStr">
        <is>
          <t>Millenace</t>
        </is>
      </c>
      <c r="J992" t="inlineStr">
        <is>
          <t>Small Fish</t>
        </is>
      </c>
      <c r="K992" t="inlineStr">
        <is>
          <t>Dickson</t>
        </is>
      </c>
      <c r="L992" s="4"/>
      <c r="M992" s="4">
        <v>46129.745104166665</v>
      </c>
      <c r="N992"/>
      <c r="O992">
        <v>3888</v>
      </c>
      <c r="P992" s="4"/>
      <c r="Q992" s="4">
        <v>44652.694502314815</v>
      </c>
      <c r="R992"/>
      <c r="S992">
        <v>636</v>
      </c>
      <c r="T992" s="4">
        <v>44652.694502314815</v>
      </c>
      <c r="U992" s="4"/>
      <c r="V992"/>
      <c r="W992">
        <v>636</v>
      </c>
      <c r="X992"/>
      <c r="Y992" t="inlineStr">
        <is>
          <t>Pending Appointment</t>
        </is>
      </c>
      <c r="Z992" t="inlineStr">
        <is>
          <t>Hiring Now</t>
        </is>
      </c>
      <c r="AA992">
        <v>1</v>
      </c>
      <c r="AB992" t="inlineStr">
        <is>
          <t>No Appointment Made</t>
        </is>
      </c>
      <c r="AC992"/>
      <c r="AD992" t="inlineStr">
        <is>
          <t>1 interior designer</t>
        </is>
      </c>
      <c r="AE992"/>
      <c r="AF992"/>
      <c r="AG992" s="4"/>
      <c r="AH992" s="4"/>
      <c r="AI992"/>
      <c r="AJ992">
        <v>1</v>
      </c>
      <c r="AK992" t="inlineStr">
        <is>
          <t>No, I don't need at all</t>
        </is>
      </c>
      <c r="AL992"/>
      <c r="AM992" t="inlineStr">
        <is>
          <t>No, I don't need at all</t>
        </is>
      </c>
      <c r="AN992"/>
      <c r="AO992" t="inlineStr">
        <is>
          <t>No, I don't need at all</t>
        </is>
      </c>
      <c r="AP992" t="inlineStr">
        <is>
          <t>Once per quarter (75%)</t>
        </is>
      </c>
      <c r="AQ992"/>
      <c r="AR992"/>
      <c r="AS992" t="inlineStr">
        <is>
          <t>- Headcount: 1
- Hiring Job Details: 1 interior designer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992">
        <v>95</v>
      </c>
      <c r="AU992" t="inlineStr">
        <is>
          <t>0.95</t>
        </is>
      </c>
      <c r="AV992" t="inlineStr">
        <is>
          <t>5</t>
        </is>
      </c>
      <c r="AW992" t="inlineStr">
        <is>
          <t>0</t>
        </is>
      </c>
      <c r="AX992" t="inlineStr">
        <is>
          <t>Not Qualified</t>
        </is>
      </c>
      <c r="AY992" s="4"/>
      <c r="AZ992"/>
      <c r="BA992"/>
      <c r="BB992"/>
      <c r="BC992" t="inlineStr">
        <is>
          <t>refuse call</t>
        </is>
      </c>
      <c r="BD992" s="4">
        <v>46133.48752314815</v>
      </c>
      <c r="BE992" t="inlineStr">
        <is>
          <t>paid</t>
        </is>
      </c>
      <c r="BF992"/>
      <c r="BG992" t="inlineStr">
        <is>
          <t>Reschedule</t>
        </is>
      </c>
      <c r="BH992" t="inlineStr">
        <is>
          <t>Edward Hoo</t>
        </is>
      </c>
      <c r="BI992" t="inlineStr">
        <is>
          <t>Architecture / Interior Design</t>
        </is>
      </c>
      <c r="BJ992" s="4">
        <v>46144.75084490741</v>
      </c>
      <c r="BK992" s="4">
        <v>44642.84547453704</v>
      </c>
      <c r="BL992" t="inlineStr">
        <is>
          <t>0.0</t>
        </is>
      </c>
      <c r="BM992" t="inlineStr">
        <is>
          <t>600.0</t>
        </is>
      </c>
      <c r="BN992" t="inlineStr">
        <is>
          <t>View Create Job Page</t>
        </is>
      </c>
      <c r="BO992" s="4">
        <v>44964.66002314815</v>
      </c>
      <c r="BP992">
        <v>167723</v>
      </c>
      <c r="BQ992">
        <v>42962</v>
      </c>
      <c r="BR992" t="inlineStr">
        <is>
          <t>Online</t>
        </is>
      </c>
      <c r="BS992"/>
      <c r="BT992">
        <v>42962</v>
      </c>
      <c r="BU992"/>
      <c r="BV992">
        <v>2717484</v>
      </c>
      <c r="BW992" t="inlineStr">
        <is>
          <t>Follow Up : Lost - Free Portal</t>
        </is>
      </c>
      <c r="BX992"/>
      <c r="BY992"/>
      <c r="BZ992" s="4"/>
      <c r="CA992"/>
      <c r="CB992"/>
      <c r="CC992" s="4"/>
      <c r="CD992" t="inlineStr">
        <is>
          <t>5</t>
        </is>
      </c>
      <c r="CE992" t="inlineStr">
        <is>
          <t>0</t>
        </is>
      </c>
      <c r="CF992" t="inlineStr">
        <is>
          <t>Q2-W03</t>
        </is>
      </c>
      <c r="CG992"/>
      <c r="CH992"/>
      <c r="CI992"/>
      <c r="CJ992" t="inlineStr">
        <is>
          <t>Paid</t>
        </is>
      </c>
      <c r="CK992" t="inlineStr">
        <is>
          <t>Not Eligible</t>
        </is>
      </c>
      <c r="CL992"/>
      <c r="CM992"/>
    </row>
    <row r="993" ht="25.5" customHeight="1">
      <c r="A993" t="inlineStr">
        <is>
          <t>186055</t>
        </is>
      </c>
      <c r="B993" s="2"/>
      <c r="C993"/>
      <c r="D993" s="3">
        <v>46129.747465277775</v>
      </c>
      <c r="E993" t="inlineStr">
        <is>
          <t>Q2-W03</t>
        </is>
      </c>
      <c r="F993" t="inlineStr">
        <is>
          <t>Derek Lim</t>
        </is>
      </c>
      <c r="G993" t="inlineStr">
        <is>
          <t>Customer</t>
        </is>
      </c>
      <c r="H993" s="2" t="str">
        <f>=HYPERLINK("https://upbox.ajobthing.my/customer/186055", "https://upbox.ajobthing.my/customer/186055")</f>
        <v>https://upbox.ajobthing.my/customer/186055</v>
      </c>
      <c r="I993" t="inlineStr">
        <is>
          <t>Duaa Travel Service</t>
        </is>
      </c>
      <c r="J993" t="inlineStr">
        <is>
          <t>Small Fish</t>
        </is>
      </c>
      <c r="K993" t="inlineStr">
        <is>
          <t>Derek Lim</t>
        </is>
      </c>
      <c r="L993" s="4"/>
      <c r="M993" s="4">
        <v>46129.7481712963</v>
      </c>
      <c r="N993"/>
      <c r="O993">
        <v>6048</v>
      </c>
      <c r="P993" s="4"/>
      <c r="Q993" s="4"/>
      <c r="R993"/>
      <c r="S993"/>
      <c r="T993" s="4"/>
      <c r="U993" s="4"/>
      <c r="V993"/>
      <c r="W993"/>
      <c r="X993"/>
      <c r="Y993" t="inlineStr">
        <is>
          <t>Pending Appointment</t>
        </is>
      </c>
      <c r="Z993" t="inlineStr">
        <is>
          <t>Hiring Later</t>
        </is>
      </c>
      <c r="AA993">
        <v>2</v>
      </c>
      <c r="AB993" t="inlineStr">
        <is>
          <t>No Appointment Made</t>
        </is>
      </c>
      <c r="AC993"/>
      <c r="AD993" t="inlineStr">
        <is>
          <t>driver - 1, admin - 1</t>
        </is>
      </c>
      <c r="AE993"/>
      <c r="AF993">
        <v>0</v>
      </c>
      <c r="AG993" s="4"/>
      <c r="AH993" s="4"/>
      <c r="AI993">
        <v>0</v>
      </c>
      <c r="AJ993">
        <v>1</v>
      </c>
      <c r="AK993" t="inlineStr">
        <is>
          <t>No, I don't need at all</t>
        </is>
      </c>
      <c r="AL993">
        <v>0</v>
      </c>
      <c r="AM993" t="inlineStr">
        <is>
          <t>No, I don't need at all</t>
        </is>
      </c>
      <c r="AN993"/>
      <c r="AO993" t="inlineStr">
        <is>
          <t>No, I don't need at all</t>
        </is>
      </c>
      <c r="AP993" t="inlineStr">
        <is>
          <t>Once a year (25%)</t>
        </is>
      </c>
      <c r="AQ993">
        <v>0</v>
      </c>
      <c r="AR993" t="inlineStr">
        <is>
          <t>Free Job Portal</t>
        </is>
      </c>
      <c r="AS993" t="inlineStr">
        <is>
          <t>- Headcount: 2
- Hiring Job Details: 1 driver, 1 admin
- Hiring Urgency: Hiring Later
- Number of outlets: 1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Free Job Portal</t>
        </is>
      </c>
      <c r="AT993">
        <v>105</v>
      </c>
      <c r="AU993" t="inlineStr">
        <is>
          <t>1.05</t>
        </is>
      </c>
      <c r="AV993" t="inlineStr">
        <is>
          <t>15</t>
        </is>
      </c>
      <c r="AW993" t="inlineStr">
        <is>
          <t>0</t>
        </is>
      </c>
      <c r="AX993" t="inlineStr">
        <is>
          <t>Not Qualified</t>
        </is>
      </c>
      <c r="AY993" s="4"/>
      <c r="AZ993"/>
      <c r="BA993"/>
      <c r="BB993"/>
      <c r="BC993" t="inlineStr">
        <is>
          <t>NO ANSWER</t>
        </is>
      </c>
      <c r="BD993" s="4">
        <v>46134.63050925926</v>
      </c>
      <c r="BE993"/>
      <c r="BF993"/>
      <c r="BG993" t="inlineStr">
        <is>
          <t>Reschedule</t>
        </is>
      </c>
      <c r="BH993" t="inlineStr">
        <is>
          <t>Edward Hoo</t>
        </is>
      </c>
      <c r="BI993" t="inlineStr">
        <is>
          <t>Travel / Tourism</t>
        </is>
      </c>
      <c r="BJ993" s="4">
        <v>46144.75209490741</v>
      </c>
      <c r="BK993" s="4">
        <v>45648.50020833333</v>
      </c>
      <c r="BL993" t="inlineStr">
        <is>
          <t>0.0</t>
        </is>
      </c>
      <c r="BM993" t="inlineStr">
        <is>
          <t>0.0</t>
        </is>
      </c>
      <c r="BN993" t="inlineStr">
        <is>
          <t>View Company Page</t>
        </is>
      </c>
      <c r="BO993" s="4">
        <v>45648.65099537037</v>
      </c>
      <c r="BP993">
        <v>167726</v>
      </c>
      <c r="BQ993"/>
      <c r="BR993"/>
      <c r="BS993"/>
      <c r="BT993"/>
      <c r="BU993"/>
      <c r="BV993">
        <v>2721003</v>
      </c>
      <c r="BW993" t="inlineStr">
        <is>
          <t>No Answer : Voicemail - WA sent to customer</t>
        </is>
      </c>
      <c r="BX993"/>
      <c r="BY993"/>
      <c r="BZ993" s="4"/>
      <c r="CA993"/>
      <c r="CB993"/>
      <c r="CC993" s="4"/>
      <c r="CD993" t="inlineStr">
        <is>
          <t>20</t>
        </is>
      </c>
      <c r="CE993" t="inlineStr">
        <is>
          <t>0</t>
        </is>
      </c>
      <c r="CF993" t="inlineStr">
        <is>
          <t>Q2-W03</t>
        </is>
      </c>
      <c r="CG993"/>
      <c r="CH993"/>
      <c r="CI993"/>
      <c r="CJ993" t="inlineStr">
        <is>
          <t>No Paid</t>
        </is>
      </c>
      <c r="CK993" t="inlineStr">
        <is>
          <t>Not Eligible</t>
        </is>
      </c>
      <c r="CL993"/>
      <c r="CM993"/>
    </row>
    <row r="994" ht="25.5" customHeight="1">
      <c r="A994" t="inlineStr">
        <is>
          <t>182754</t>
        </is>
      </c>
      <c r="B994" s="2"/>
      <c r="C994"/>
      <c r="D994" s="3">
        <v>46129.766539351855</v>
      </c>
      <c r="E994" t="inlineStr">
        <is>
          <t>Q2-W03</t>
        </is>
      </c>
      <c r="F994" t="inlineStr">
        <is>
          <t>Chia Yee</t>
        </is>
      </c>
      <c r="G994" t="inlineStr">
        <is>
          <t>Customer</t>
        </is>
      </c>
      <c r="H994" s="2" t="str">
        <f>=HYPERLINK("https://upbox.ajobthing.my/customer/182754", "https://upbox.ajobthing.my/customer/182754")</f>
        <v>https://upbox.ajobthing.my/customer/182754</v>
      </c>
      <c r="I994" t="inlineStr">
        <is>
          <t>Pickleball Factory Sdn Bhd</t>
        </is>
      </c>
      <c r="J994" t="inlineStr">
        <is>
          <t>Small Fish</t>
        </is>
      </c>
      <c r="K994" t="inlineStr">
        <is>
          <t>Chia Yee</t>
        </is>
      </c>
      <c r="L994" s="4"/>
      <c r="M994" s="4">
        <v>46129.71045138889</v>
      </c>
      <c r="N994"/>
      <c r="O994">
        <v>4968</v>
      </c>
      <c r="P994" s="4"/>
      <c r="Q994" s="4"/>
      <c r="R994"/>
      <c r="S994"/>
      <c r="T994" s="4"/>
      <c r="U994" s="4"/>
      <c r="V994"/>
      <c r="W994"/>
      <c r="X994"/>
      <c r="Y994" t="inlineStr">
        <is>
          <t>Pending Appointment</t>
        </is>
      </c>
      <c r="Z994" t="inlineStr">
        <is>
          <t>Hiring Later</t>
        </is>
      </c>
      <c r="AA994">
        <v>1</v>
      </c>
      <c r="AB994" t="inlineStr">
        <is>
          <t>No Appointment Made</t>
        </is>
      </c>
      <c r="AC994"/>
      <c r="AD994" t="inlineStr">
        <is>
          <t>part time event crew</t>
        </is>
      </c>
      <c r="AE994"/>
      <c r="AF994">
        <v>0</v>
      </c>
      <c r="AG994" s="4"/>
      <c r="AH994" s="4"/>
      <c r="AI994">
        <v>0</v>
      </c>
      <c r="AJ994">
        <v>1</v>
      </c>
      <c r="AK994" t="inlineStr">
        <is>
          <t>No, I don't need at all</t>
        </is>
      </c>
      <c r="AL994">
        <v>1</v>
      </c>
      <c r="AM994" t="inlineStr">
        <is>
          <t>No, I don't need at all</t>
        </is>
      </c>
      <c r="AN994"/>
      <c r="AO994" t="inlineStr">
        <is>
          <t>Yes, I have</t>
        </is>
      </c>
      <c r="AP994" t="inlineStr">
        <is>
          <t>Once a year (25%)</t>
        </is>
      </c>
      <c r="AQ994">
        <v>2</v>
      </c>
      <c r="AR994" t="inlineStr">
        <is>
          <t>Did not use any job portal</t>
        </is>
      </c>
      <c r="AS994" t="inlineStr">
        <is>
          <t>- Headcount: 1
- Hiring Job Details: part time event crew
- Hiring Urgency: Hiring Later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is>
      </c>
      <c r="AT994">
        <v>95</v>
      </c>
      <c r="AU994" t="inlineStr">
        <is>
          <t>0.95</t>
        </is>
      </c>
      <c r="AV994" t="inlineStr">
        <is>
          <t>15</t>
        </is>
      </c>
      <c r="AW994" t="inlineStr">
        <is>
          <t>0</t>
        </is>
      </c>
      <c r="AX994" t="inlineStr">
        <is>
          <t>Not Qualified</t>
        </is>
      </c>
      <c r="AY994" s="4"/>
      <c r="AZ994"/>
      <c r="BA994"/>
      <c r="BB994"/>
      <c r="BC994" t="inlineStr">
        <is>
          <t>- Headcount: 1
- Hiring Job Details: part time event crew
- Hiring Urgency: Hiring Later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is>
      </c>
      <c r="BD994" s="4">
        <v>46129.7918287037</v>
      </c>
      <c r="BE994"/>
      <c r="BF994"/>
      <c r="BG994" t="inlineStr">
        <is>
          <t>Reschedule</t>
        </is>
      </c>
      <c r="BH994" t="inlineStr">
        <is>
          <t>Reagen</t>
        </is>
      </c>
      <c r="BI994"/>
      <c r="BJ994" s="4">
        <v>46144.75194444445</v>
      </c>
      <c r="BK994" s="4">
        <v>45550.68283564815</v>
      </c>
      <c r="BL994" t="inlineStr">
        <is>
          <t>0.0</t>
        </is>
      </c>
      <c r="BM994" t="inlineStr">
        <is>
          <t>0.0</t>
        </is>
      </c>
      <c r="BN994" t="inlineStr">
        <is>
          <t>View Company Page</t>
        </is>
      </c>
      <c r="BO994" s="4">
        <v>45550.709016203706</v>
      </c>
      <c r="BP994">
        <v>167691</v>
      </c>
      <c r="BQ994"/>
      <c r="BR994"/>
      <c r="BS994"/>
      <c r="BT994"/>
      <c r="BU994"/>
      <c r="BV994">
        <v>2714046</v>
      </c>
      <c r="BW994" t="inlineStr">
        <is>
          <t>Customer Inquiry</t>
        </is>
      </c>
      <c r="BX994"/>
      <c r="BY994"/>
      <c r="BZ994" s="4"/>
      <c r="CA994"/>
      <c r="CB994"/>
      <c r="CC994" s="4"/>
      <c r="CD994" t="inlineStr">
        <is>
          <t>20</t>
        </is>
      </c>
      <c r="CE994" t="inlineStr">
        <is>
          <t>0</t>
        </is>
      </c>
      <c r="CF994" t="inlineStr">
        <is>
          <t>Q2-W03</t>
        </is>
      </c>
      <c r="CG994"/>
      <c r="CH994"/>
      <c r="CI994"/>
      <c r="CJ994" t="inlineStr">
        <is>
          <t>No Paid</t>
        </is>
      </c>
      <c r="CK994" t="inlineStr">
        <is>
          <t>Not Eligible</t>
        </is>
      </c>
      <c r="CL994"/>
      <c r="CM994"/>
    </row>
    <row r="995" ht="25.5" customHeight="1">
      <c r="A995" t="inlineStr">
        <is>
          <t>130636</t>
        </is>
      </c>
      <c r="B995" s="2"/>
      <c r="C995"/>
      <c r="D995" s="3">
        <v>46129.77137731481</v>
      </c>
      <c r="E995" t="inlineStr">
        <is>
          <t>Q2-W03</t>
        </is>
      </c>
      <c r="F995" t="inlineStr">
        <is>
          <t>Fariz</t>
        </is>
      </c>
      <c r="G995" t="inlineStr">
        <is>
          <t>Customer</t>
        </is>
      </c>
      <c r="H995" s="2" t="str">
        <f>=HYPERLINK("https://upbox.ajobthing.my/customer/130636", "https://upbox.ajobthing.my/customer/130636")</f>
        <v>https://upbox.ajobthing.my/customer/130636</v>
      </c>
      <c r="I995" t="inlineStr">
        <is>
          <t>Klinik Dr Hasanah</t>
        </is>
      </c>
      <c r="J995" t="inlineStr">
        <is>
          <t>Small Fish</t>
        </is>
      </c>
      <c r="K995" t="inlineStr">
        <is>
          <t>Fariz</t>
        </is>
      </c>
      <c r="L995" s="4"/>
      <c r="M995" s="4">
        <v>46129.771631944444</v>
      </c>
      <c r="N995"/>
      <c r="O995">
        <v>1296</v>
      </c>
      <c r="P995" s="4"/>
      <c r="Q995" s="4">
        <v>44123.69868055556</v>
      </c>
      <c r="R995"/>
      <c r="S995">
        <v>795</v>
      </c>
      <c r="T995" s="4">
        <v>44123.69868055556</v>
      </c>
      <c r="U995" s="4"/>
      <c r="V995"/>
      <c r="W995">
        <v>795</v>
      </c>
      <c r="X995"/>
      <c r="Y995" t="inlineStr">
        <is>
          <t>Pending Appointment</t>
        </is>
      </c>
      <c r="Z995" t="inlineStr">
        <is>
          <t>Hiring Now</t>
        </is>
      </c>
      <c r="AA995">
        <v>1</v>
      </c>
      <c r="AB995" t="inlineStr">
        <is>
          <t>No Appointment Made</t>
        </is>
      </c>
      <c r="AC995"/>
      <c r="AD995" t="inlineStr">
        <is>
          <t>1 clinic assistant</t>
        </is>
      </c>
      <c r="AE995"/>
      <c r="AF995">
        <v>1200</v>
      </c>
      <c r="AG995" s="4"/>
      <c r="AH995" s="4"/>
      <c r="AI995">
        <v>1200</v>
      </c>
      <c r="AJ995"/>
      <c r="AK995" t="inlineStr">
        <is>
          <t>No, but I want in future</t>
        </is>
      </c>
      <c r="AL995">
        <v>1</v>
      </c>
      <c r="AM995" t="inlineStr">
        <is>
          <t>No, I don't need at all</t>
        </is>
      </c>
      <c r="AN995"/>
      <c r="AO995" t="inlineStr">
        <is>
          <t>No, but I want in future</t>
        </is>
      </c>
      <c r="AP995" t="inlineStr">
        <is>
          <t>Once a year (25%)</t>
        </is>
      </c>
      <c r="AQ995">
        <v>2</v>
      </c>
      <c r="AR995" t="inlineStr">
        <is>
          <t>Free Job Portal</t>
        </is>
      </c>
      <c r="AS995" t="inlineStr">
        <is>
          <t>- Headcount: 1
- Hiring Job Details: 1 clinic assistant
- Hiring Urgency: Hiring Now
- Number of outlets: 
- Have recruiter team: No, but want in future
- Number of recruiter in company: 1
- Have ATS system: No, don't need at all
- Have career website: No, but want in future
- Current hiring budget: RM1,200
- Whole year budget: RM1,200.00
- Whole year number of vacancies: 2
- Hiring frequency: Once a year (25%)
- External job portal: Free Job Portal</t>
        </is>
      </c>
      <c r="AT995">
        <v>105</v>
      </c>
      <c r="AU995" t="inlineStr">
        <is>
          <t>1.05</t>
        </is>
      </c>
      <c r="AV995" t="inlineStr">
        <is>
          <t>15</t>
        </is>
      </c>
      <c r="AW995" t="inlineStr">
        <is>
          <t>0</t>
        </is>
      </c>
      <c r="AX995" t="inlineStr">
        <is>
          <t>Not Qualified</t>
        </is>
      </c>
      <c r="AY995" s="4"/>
      <c r="AZ995"/>
      <c r="BA995"/>
      <c r="BB995"/>
      <c r="BC995" t="inlineStr">
        <is>
          <t>Followup - NA</t>
        </is>
      </c>
      <c r="BD995" s="4">
        <v>46142.62237268518</v>
      </c>
      <c r="BE995" t="inlineStr">
        <is>
          <t>paid</t>
        </is>
      </c>
      <c r="BF995"/>
      <c r="BG995" t="inlineStr">
        <is>
          <t>Reschedule</t>
        </is>
      </c>
      <c r="BH995" t="inlineStr">
        <is>
          <t>Edward Hoo</t>
        </is>
      </c>
      <c r="BI995" t="inlineStr">
        <is>
          <t>Healthcare / Medical</t>
        </is>
      </c>
      <c r="BJ995" s="4">
        <v>46144.750451388885</v>
      </c>
      <c r="BK995" s="4">
        <v>44109.39670138889</v>
      </c>
      <c r="BL995" t="inlineStr">
        <is>
          <t>0.0</t>
        </is>
      </c>
      <c r="BM995" t="inlineStr">
        <is>
          <t>0.0</t>
        </is>
      </c>
      <c r="BN995" t="inlineStr">
        <is>
          <t>User Visit(Logged In)</t>
        </is>
      </c>
      <c r="BO995" s="4">
        <v>45390.641064814816</v>
      </c>
      <c r="BP995">
        <v>167729</v>
      </c>
      <c r="BQ995">
        <v>27562</v>
      </c>
      <c r="BR995" t="inlineStr">
        <is>
          <t>Online</t>
        </is>
      </c>
      <c r="BS995"/>
      <c r="BT995">
        <v>27562</v>
      </c>
      <c r="BU995"/>
      <c r="BV995">
        <v>2737826</v>
      </c>
      <c r="BW995" t="inlineStr">
        <is>
          <t>No Answer : Voicemail - Email sent to customer</t>
        </is>
      </c>
      <c r="BX995"/>
      <c r="BY995"/>
      <c r="BZ995" s="4"/>
      <c r="CA995"/>
      <c r="CB995"/>
      <c r="CC995" s="4"/>
      <c r="CD995" t="inlineStr">
        <is>
          <t>20</t>
        </is>
      </c>
      <c r="CE995" t="inlineStr">
        <is>
          <t>0</t>
        </is>
      </c>
      <c r="CF995" t="inlineStr">
        <is>
          <t>Q2-W03</t>
        </is>
      </c>
      <c r="CG995"/>
      <c r="CH995"/>
      <c r="CI995"/>
      <c r="CJ995" t="inlineStr">
        <is>
          <t>Paid</t>
        </is>
      </c>
      <c r="CK995" t="inlineStr">
        <is>
          <t>Not Eligible</t>
        </is>
      </c>
      <c r="CL995"/>
      <c r="CM995"/>
    </row>
    <row r="996" ht="25.5" customHeight="1">
      <c r="A996" t="inlineStr">
        <is>
          <t>203408</t>
        </is>
      </c>
      <c r="B996" s="2"/>
      <c r="C996"/>
      <c r="D996" s="3">
        <v>46132.388877314814</v>
      </c>
      <c r="E996" t="inlineStr">
        <is>
          <t>Q2-W03</t>
        </is>
      </c>
      <c r="F996" t="inlineStr">
        <is>
          <t>Carmen</t>
        </is>
      </c>
      <c r="G996" t="inlineStr">
        <is>
          <t>Customer</t>
        </is>
      </c>
      <c r="H996" s="2" t="str">
        <f>=HYPERLINK("https://upbox.ajobthing.my/customer/203408", "https://upbox.ajobthing.my/customer/203408")</f>
        <v>https://upbox.ajobthing.my/customer/203408</v>
      </c>
      <c r="I996" t="inlineStr">
        <is>
          <t>Sutera Karlmedik Sdn Bhd</t>
        </is>
      </c>
      <c r="J996" t="inlineStr">
        <is>
          <t>Small Fish</t>
        </is>
      </c>
      <c r="K996" t="inlineStr">
        <is>
          <t>Carmen</t>
        </is>
      </c>
      <c r="L996" s="4"/>
      <c r="M996" s="4">
        <v>46132.389016203706</v>
      </c>
      <c r="N996"/>
      <c r="O996">
        <v>3888</v>
      </c>
      <c r="P996" s="4"/>
      <c r="Q996" s="4"/>
      <c r="R996"/>
      <c r="S996"/>
      <c r="T996" s="4"/>
      <c r="U996" s="4"/>
      <c r="V996"/>
      <c r="W996"/>
      <c r="X996"/>
      <c r="Y996" t="inlineStr">
        <is>
          <t>Pending Appointment</t>
        </is>
      </c>
      <c r="Z996" t="inlineStr">
        <is>
          <t>Hiring Now</t>
        </is>
      </c>
      <c r="AA996">
        <v>1</v>
      </c>
      <c r="AB996" t="inlineStr">
        <is>
          <t>No Appointment Made</t>
        </is>
      </c>
      <c r="AC996"/>
      <c r="AD996" t="inlineStr">
        <is>
          <t>1 admin assistant</t>
        </is>
      </c>
      <c r="AE996"/>
      <c r="AF996">
        <v>1000</v>
      </c>
      <c r="AG996" s="4"/>
      <c r="AH996" s="4"/>
      <c r="AI996"/>
      <c r="AJ996"/>
      <c r="AK996"/>
      <c r="AL996"/>
      <c r="AM996"/>
      <c r="AN996"/>
      <c r="AO996"/>
      <c r="AP996" t="inlineStr">
        <is>
          <t>Once a year (25%)</t>
        </is>
      </c>
      <c r="AQ996"/>
      <c r="AR996"/>
      <c r="AS996" t="inlineStr">
        <is>
          <t>- Headcount: 1
- Hiring Job Details: 1 admin assistant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996">
        <v>65</v>
      </c>
      <c r="AU996" t="inlineStr">
        <is>
          <t>0.65</t>
        </is>
      </c>
      <c r="AV996" t="inlineStr">
        <is>
          <t>15</t>
        </is>
      </c>
      <c r="AW996" t="inlineStr">
        <is>
          <t>0</t>
        </is>
      </c>
      <c r="AX996" t="inlineStr">
        <is>
          <t>Not Qualified</t>
        </is>
      </c>
      <c r="AY996" s="4"/>
      <c r="AZ996"/>
      <c r="BA996"/>
      <c r="BB996"/>
      <c r="BC996" t="inlineStr">
        <is>
          <t>npu</t>
        </is>
      </c>
      <c r="BD996" s="4">
        <v>46139.72109953704</v>
      </c>
      <c r="BE996"/>
      <c r="BF996"/>
      <c r="BG996" t="inlineStr">
        <is>
          <t>Reschedule</t>
        </is>
      </c>
      <c r="BH996" t="inlineStr">
        <is>
          <t>Reagen</t>
        </is>
      </c>
      <c r="BI996"/>
      <c r="BJ996" s="4">
        <v>46144.75430555556</v>
      </c>
      <c r="BK996" s="4">
        <v>46132.38631944444</v>
      </c>
      <c r="BL996" t="inlineStr">
        <is>
          <t>0.0</t>
        </is>
      </c>
      <c r="BM996" t="inlineStr">
        <is>
          <t>0.0</t>
        </is>
      </c>
      <c r="BN996"/>
      <c r="BO996" s="4"/>
      <c r="BP996">
        <v>167734</v>
      </c>
      <c r="BQ996"/>
      <c r="BR996"/>
      <c r="BS996"/>
      <c r="BT996"/>
      <c r="BU996"/>
      <c r="BV996">
        <v>2731423</v>
      </c>
      <c r="BW996" t="inlineStr">
        <is>
          <t>No Answer : Voicemail - WA sent to customer</t>
        </is>
      </c>
      <c r="BX996"/>
      <c r="BY996"/>
      <c r="BZ996" s="4"/>
      <c r="CA996"/>
      <c r="CB996"/>
      <c r="CC996" s="4"/>
      <c r="CD996" t="inlineStr">
        <is>
          <t>20</t>
        </is>
      </c>
      <c r="CE996" t="inlineStr">
        <is>
          <t>0</t>
        </is>
      </c>
      <c r="CF996" t="inlineStr">
        <is>
          <t>Q2-W03</t>
        </is>
      </c>
      <c r="CG996"/>
      <c r="CH996"/>
      <c r="CI996"/>
      <c r="CJ996" t="inlineStr">
        <is>
          <t>No Paid</t>
        </is>
      </c>
      <c r="CK996" t="inlineStr">
        <is>
          <t>Not Eligible</t>
        </is>
      </c>
      <c r="CL996"/>
      <c r="CM996"/>
    </row>
    <row r="997" ht="25.5" customHeight="1">
      <c r="A997" t="inlineStr">
        <is>
          <t>203400</t>
        </is>
      </c>
      <c r="B997" s="2"/>
      <c r="C997"/>
      <c r="D997" s="3">
        <v>46132.39939814815</v>
      </c>
      <c r="E997" t="inlineStr">
        <is>
          <t>Q2-W03</t>
        </is>
      </c>
      <c r="F997" t="inlineStr">
        <is>
          <t>Chia Yee</t>
        </is>
      </c>
      <c r="G997" t="inlineStr">
        <is>
          <t>Customer</t>
        </is>
      </c>
      <c r="H997" s="2" t="str">
        <f>=HYPERLINK("https://upbox.ajobthing.my/customer/203400", "https://upbox.ajobthing.my/customer/203400")</f>
        <v>https://upbox.ajobthing.my/customer/203400</v>
      </c>
      <c r="I997" t="inlineStr">
        <is>
          <t>Amwil Deslen Management &amp; Supplies Plt</t>
        </is>
      </c>
      <c r="J997" t="inlineStr">
        <is>
          <t>Small Fish</t>
        </is>
      </c>
      <c r="K997" t="inlineStr">
        <is>
          <t>Chia Yee</t>
        </is>
      </c>
      <c r="L997" s="4"/>
      <c r="M997" s="4">
        <v>46132.39953703704</v>
      </c>
      <c r="N997"/>
      <c r="O997">
        <v>1296</v>
      </c>
      <c r="P997" s="4"/>
      <c r="Q997" s="4"/>
      <c r="R997"/>
      <c r="S997"/>
      <c r="T997" s="4"/>
      <c r="U997" s="4"/>
      <c r="V997"/>
      <c r="W997"/>
      <c r="X997"/>
      <c r="Y997" t="inlineStr">
        <is>
          <t>Pending Appointment</t>
        </is>
      </c>
      <c r="Z997" t="inlineStr">
        <is>
          <t>Hiring Now</t>
        </is>
      </c>
      <c r="AA997">
        <v>1</v>
      </c>
      <c r="AB997" t="inlineStr">
        <is>
          <t>No Appointment Made</t>
        </is>
      </c>
      <c r="AC997"/>
      <c r="AD997" t="inlineStr">
        <is>
          <t>1 Admin</t>
        </is>
      </c>
      <c r="AE997"/>
      <c r="AF997">
        <v>0</v>
      </c>
      <c r="AG997" s="4"/>
      <c r="AH997" s="4"/>
      <c r="AI997">
        <v>0</v>
      </c>
      <c r="AJ997">
        <v>1</v>
      </c>
      <c r="AK997" t="inlineStr">
        <is>
          <t>No, I don't need at all</t>
        </is>
      </c>
      <c r="AL997">
        <v>1</v>
      </c>
      <c r="AM997" t="inlineStr">
        <is>
          <t>No, I don't need at all</t>
        </is>
      </c>
      <c r="AN997"/>
      <c r="AO997" t="inlineStr">
        <is>
          <t>No, I don't need at all</t>
        </is>
      </c>
      <c r="AP997" t="inlineStr">
        <is>
          <t>Once a year (25%)</t>
        </is>
      </c>
      <c r="AQ997">
        <v>1</v>
      </c>
      <c r="AR997" t="inlineStr">
        <is>
          <t>Did not use any job portal</t>
        </is>
      </c>
      <c r="AS997" t="inlineStr">
        <is>
          <t>- Headcount: 1
- Hiring Job Details: 1 Admin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997">
        <v>115</v>
      </c>
      <c r="AU997" t="inlineStr">
        <is>
          <t>1.15</t>
        </is>
      </c>
      <c r="AV997" t="inlineStr">
        <is>
          <t>15</t>
        </is>
      </c>
      <c r="AW997" t="inlineStr">
        <is>
          <t>0</t>
        </is>
      </c>
      <c r="AX997" t="inlineStr">
        <is>
          <t>Not Qualified</t>
        </is>
      </c>
      <c r="AY997" s="4"/>
      <c r="AZ997"/>
      <c r="BA997"/>
      <c r="BB997"/>
      <c r="BC997" t="inlineStr">
        <is>
          <t>Called, engaged. WA</t>
        </is>
      </c>
      <c r="BD997" s="4">
        <v>46136.54991898148</v>
      </c>
      <c r="BE997"/>
      <c r="BF997"/>
      <c r="BG997" t="inlineStr">
        <is>
          <t>Reschedule</t>
        </is>
      </c>
      <c r="BH997" t="inlineStr">
        <is>
          <t>Reagen</t>
        </is>
      </c>
      <c r="BI997"/>
      <c r="BJ997" s="4">
        <v>46144.75430555556</v>
      </c>
      <c r="BK997" s="4">
        <v>46131.68258101852</v>
      </c>
      <c r="BL997" t="inlineStr">
        <is>
          <t>0.0</t>
        </is>
      </c>
      <c r="BM997" t="inlineStr">
        <is>
          <t>0.0</t>
        </is>
      </c>
      <c r="BN997" t="inlineStr">
        <is>
          <t>View Create Job Page V4</t>
        </is>
      </c>
      <c r="BO997" s="4">
        <v>46131.712002314816</v>
      </c>
      <c r="BP997">
        <v>167745</v>
      </c>
      <c r="BQ997"/>
      <c r="BR997"/>
      <c r="BS997"/>
      <c r="BT997"/>
      <c r="BU997"/>
      <c r="BV997">
        <v>2726235</v>
      </c>
      <c r="BW997" t="inlineStr">
        <is>
          <t>No Answer : Voicemail - WA sent to customer</t>
        </is>
      </c>
      <c r="BX997"/>
      <c r="BY997"/>
      <c r="BZ997" s="4"/>
      <c r="CA997"/>
      <c r="CB997"/>
      <c r="CC997" s="4"/>
      <c r="CD997" t="inlineStr">
        <is>
          <t>20</t>
        </is>
      </c>
      <c r="CE997" t="inlineStr">
        <is>
          <t>0</t>
        </is>
      </c>
      <c r="CF997" t="inlineStr">
        <is>
          <t>Q2-W03</t>
        </is>
      </c>
      <c r="CG997"/>
      <c r="CH997"/>
      <c r="CI997"/>
      <c r="CJ997" t="inlineStr">
        <is>
          <t>No Paid</t>
        </is>
      </c>
      <c r="CK997" t="inlineStr">
        <is>
          <t>Not Eligible</t>
        </is>
      </c>
      <c r="CL997"/>
      <c r="CM997"/>
    </row>
    <row r="998" ht="25.5" customHeight="1">
      <c r="A998" t="inlineStr">
        <is>
          <t>178516</t>
        </is>
      </c>
      <c r="B998" s="2"/>
      <c r="C998"/>
      <c r="D998" s="3">
        <v>46132.41332175926</v>
      </c>
      <c r="E998" t="inlineStr">
        <is>
          <t>Q2-W03</t>
        </is>
      </c>
      <c r="F998" t="inlineStr">
        <is>
          <t>Derek Lim</t>
        </is>
      </c>
      <c r="G998" t="inlineStr">
        <is>
          <t>Customer</t>
        </is>
      </c>
      <c r="H998" s="2" t="str">
        <f>=HYPERLINK("https://upbox.ajobthing.my/customer/178516", "https://upbox.ajobthing.my/customer/178516")</f>
        <v>https://upbox.ajobthing.my/customer/178516</v>
      </c>
      <c r="I998" t="inlineStr">
        <is>
          <t>AMARANTHUS LINE SDN BHD</t>
        </is>
      </c>
      <c r="J998" t="inlineStr">
        <is>
          <t>Small Fish</t>
        </is>
      </c>
      <c r="K998" t="inlineStr">
        <is>
          <t>Derek Lim</t>
        </is>
      </c>
      <c r="L998" s="4"/>
      <c r="M998" s="4">
        <v>46132.41349537037</v>
      </c>
      <c r="N998"/>
      <c r="O998">
        <v>6048</v>
      </c>
      <c r="P998" s="4"/>
      <c r="Q998" s="4"/>
      <c r="R998"/>
      <c r="S998"/>
      <c r="T998" s="4"/>
      <c r="U998" s="4"/>
      <c r="V998"/>
      <c r="W998"/>
      <c r="X998"/>
      <c r="Y998" t="inlineStr">
        <is>
          <t>Pending Appointment</t>
        </is>
      </c>
      <c r="Z998" t="inlineStr">
        <is>
          <t>Hiring Now</t>
        </is>
      </c>
      <c r="AA998">
        <v>1</v>
      </c>
      <c r="AB998" t="inlineStr">
        <is>
          <t>No Appointment Made</t>
        </is>
      </c>
      <c r="AC998"/>
      <c r="AD998" t="inlineStr">
        <is>
          <t>Civil engineer - 1</t>
        </is>
      </c>
      <c r="AE998"/>
      <c r="AF998">
        <v>0</v>
      </c>
      <c r="AG998" s="4"/>
      <c r="AH998" s="4"/>
      <c r="AI998">
        <v>0</v>
      </c>
      <c r="AJ998">
        <v>1</v>
      </c>
      <c r="AK998" t="inlineStr">
        <is>
          <t>No, I don't need at all</t>
        </is>
      </c>
      <c r="AL998">
        <v>0</v>
      </c>
      <c r="AM998" t="inlineStr">
        <is>
          <t>No, I don't need at all</t>
        </is>
      </c>
      <c r="AN998"/>
      <c r="AO998" t="inlineStr">
        <is>
          <t>No, I don't need at all</t>
        </is>
      </c>
      <c r="AP998" t="inlineStr">
        <is>
          <t>Once a year (25%)</t>
        </is>
      </c>
      <c r="AQ998">
        <v>2</v>
      </c>
      <c r="AR998" t="inlineStr">
        <is>
          <t>Free Job Portal, Indeed (Paid)</t>
        </is>
      </c>
      <c r="AS998" t="inlineStr">
        <is>
          <t>- Headcount: 1
- Hiring Job Details: 1 civil engineer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 Indeed (Paid)</t>
        </is>
      </c>
      <c r="AT998">
        <v>100</v>
      </c>
      <c r="AU998" t="inlineStr">
        <is>
          <t>1.00</t>
        </is>
      </c>
      <c r="AV998" t="inlineStr">
        <is>
          <t>15</t>
        </is>
      </c>
      <c r="AW998" t="inlineStr">
        <is>
          <t>0</t>
        </is>
      </c>
      <c r="AX998" t="inlineStr">
        <is>
          <t>Not Qualified</t>
        </is>
      </c>
      <c r="AY998" s="4"/>
      <c r="AZ998"/>
      <c r="BA998"/>
      <c r="BB998"/>
      <c r="BC998" t="inlineStr">
        <is>
          <t>HE SAY DONT WANT TO PROCEED</t>
        </is>
      </c>
      <c r="BD998" s="4">
        <v>46134.63244212963</v>
      </c>
      <c r="BE998"/>
      <c r="BF998"/>
      <c r="BG998" t="inlineStr">
        <is>
          <t>Reschedule</t>
        </is>
      </c>
      <c r="BH998" t="inlineStr">
        <is>
          <t>Edward Hoo</t>
        </is>
      </c>
      <c r="BI998"/>
      <c r="BJ998" s="4">
        <v>46144.75173611111</v>
      </c>
      <c r="BK998" s="4">
        <v>45429.39565972222</v>
      </c>
      <c r="BL998" t="inlineStr">
        <is>
          <t>0.0</t>
        </is>
      </c>
      <c r="BM998" t="inlineStr">
        <is>
          <t>0.0</t>
        </is>
      </c>
      <c r="BN998" t="inlineStr">
        <is>
          <t>View Account User</t>
        </is>
      </c>
      <c r="BO998" s="4">
        <v>45600.71858796296</v>
      </c>
      <c r="BP998">
        <v>167748</v>
      </c>
      <c r="BQ998"/>
      <c r="BR998"/>
      <c r="BS998"/>
      <c r="BT998"/>
      <c r="BU998"/>
      <c r="BV998">
        <v>2721021</v>
      </c>
      <c r="BW998" t="inlineStr">
        <is>
          <t>Follow Up : Budget Concern</t>
        </is>
      </c>
      <c r="BX998"/>
      <c r="BY998"/>
      <c r="BZ998" s="4"/>
      <c r="CA998"/>
      <c r="CB998"/>
      <c r="CC998" s="4"/>
      <c r="CD998" t="inlineStr">
        <is>
          <t>20</t>
        </is>
      </c>
      <c r="CE998" t="inlineStr">
        <is>
          <t>0</t>
        </is>
      </c>
      <c r="CF998" t="inlineStr">
        <is>
          <t>Q2-W03</t>
        </is>
      </c>
      <c r="CG998"/>
      <c r="CH998"/>
      <c r="CI998"/>
      <c r="CJ998" t="inlineStr">
        <is>
          <t>No Paid</t>
        </is>
      </c>
      <c r="CK998" t="inlineStr">
        <is>
          <t>Not Eligible</t>
        </is>
      </c>
      <c r="CL998"/>
      <c r="CM998"/>
    </row>
    <row r="999" ht="25.5" customHeight="1">
      <c r="A999" t="inlineStr">
        <is>
          <t>4295206</t>
        </is>
      </c>
      <c r="B999" s="2"/>
      <c r="C999"/>
      <c r="D999" s="3">
        <v>46132.41354166667</v>
      </c>
      <c r="E999" t="inlineStr">
        <is>
          <t>Q2-W03</t>
        </is>
      </c>
      <c r="F999" t="inlineStr">
        <is>
          <t>Janice Yap</t>
        </is>
      </c>
      <c r="G999" t="inlineStr">
        <is>
          <t>Lead</t>
        </is>
      </c>
      <c r="H999" s="2" t="str">
        <f>=HYPERLINK("https://upbox.ajobthing.my/leads/4295206", "https://upbox.ajobthing.my/leads/4295206")</f>
        <v>https://upbox.ajobthing.my/leads/4295206</v>
      </c>
      <c r="I999" t="inlineStr">
        <is>
          <t>Best Retail Sdn Bhd</t>
        </is>
      </c>
      <c r="J999" t="inlineStr">
        <is>
          <t>Small Fish</t>
        </is>
      </c>
      <c r="K999" t="inlineStr">
        <is>
          <t>Janice</t>
        </is>
      </c>
      <c r="L999" s="4"/>
      <c r="M999" s="4">
        <v>46136.46625</v>
      </c>
      <c r="N999"/>
      <c r="O999">
        <v>1296</v>
      </c>
      <c r="P999" s="4"/>
      <c r="Q999" s="4"/>
      <c r="R999"/>
      <c r="S999"/>
      <c r="T999" s="4"/>
      <c r="U999" s="4"/>
      <c r="V999"/>
      <c r="W999"/>
      <c r="X999"/>
      <c r="Y999" t="inlineStr">
        <is>
          <t>Pending Appointment</t>
        </is>
      </c>
      <c r="Z999" t="inlineStr">
        <is>
          <t>Hiring Now</t>
        </is>
      </c>
      <c r="AA999">
        <v>2</v>
      </c>
      <c r="AB999" t="inlineStr">
        <is>
          <t>No Appointment Made</t>
        </is>
      </c>
      <c r="AC999"/>
      <c r="AD999" t="inlineStr">
        <is>
          <t>2 store assistant</t>
        </is>
      </c>
      <c r="AE999"/>
      <c r="AF999">
        <v>0</v>
      </c>
      <c r="AG999" s="4"/>
      <c r="AH999" s="4"/>
      <c r="AI999">
        <v>0</v>
      </c>
      <c r="AJ999"/>
      <c r="AK999" t="inlineStr">
        <is>
          <t>No, I don't need at all</t>
        </is>
      </c>
      <c r="AL999">
        <v>0</v>
      </c>
      <c r="AM999" t="inlineStr">
        <is>
          <t>No, I don't need at all</t>
        </is>
      </c>
      <c r="AN999"/>
      <c r="AO999" t="inlineStr">
        <is>
          <t>No, I don't need at all</t>
        </is>
      </c>
      <c r="AP999" t="inlineStr">
        <is>
          <t>Once a year (25%)</t>
        </is>
      </c>
      <c r="AQ999">
        <v>2</v>
      </c>
      <c r="AR999" t="inlineStr">
        <is>
          <t>Did not use any job portal</t>
        </is>
      </c>
      <c r="AS999" t="inlineStr">
        <is>
          <t>- Headcount: 2
- Hiring Job Details: 2 store assistant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999">
        <v>100</v>
      </c>
      <c r="AU999" t="inlineStr">
        <is>
          <t>1.00</t>
        </is>
      </c>
      <c r="AV999" t="inlineStr">
        <is>
          <t>15</t>
        </is>
      </c>
      <c r="AW999" t="inlineStr">
        <is>
          <t>0</t>
        </is>
      </c>
      <c r="AX999" t="inlineStr">
        <is>
          <t>Not Qualified</t>
        </is>
      </c>
      <c r="AY999" s="4"/>
      <c r="AZ999"/>
      <c r="BA999"/>
      <c r="BB999"/>
      <c r="BC999"/>
      <c r="BD999" s="4"/>
      <c r="BE999"/>
      <c r="BF999"/>
      <c r="BG999" t="inlineStr">
        <is>
          <t>Reschedule</t>
        </is>
      </c>
      <c r="BH999" t="inlineStr">
        <is>
          <t>Yee Hang</t>
        </is>
      </c>
      <c r="BI999"/>
      <c r="BJ999" s="4">
        <v>46144.75585648148</v>
      </c>
      <c r="BK999" s="4">
        <v>46129.72094907407</v>
      </c>
      <c r="BL999" t="inlineStr">
        <is>
          <t>0.0</t>
        </is>
      </c>
      <c r="BM999" t="inlineStr">
        <is>
          <t>0.0</t>
        </is>
      </c>
      <c r="BN999"/>
      <c r="BO999" s="4"/>
      <c r="BP999">
        <v>168745</v>
      </c>
      <c r="BQ999"/>
      <c r="BR999"/>
      <c r="BS999"/>
      <c r="BT999"/>
      <c r="BU999"/>
      <c r="BV999"/>
      <c r="BW999"/>
      <c r="BX999"/>
      <c r="BY999"/>
      <c r="BZ999" s="4"/>
      <c r="CA999"/>
      <c r="CB999"/>
      <c r="CC999" s="4"/>
      <c r="CD999" t="inlineStr">
        <is>
          <t>20</t>
        </is>
      </c>
      <c r="CE999" t="inlineStr">
        <is>
          <t>0</t>
        </is>
      </c>
      <c r="CF999" t="inlineStr">
        <is>
          <t>Q2-W04</t>
        </is>
      </c>
      <c r="CG999"/>
      <c r="CH999"/>
      <c r="CI999"/>
      <c r="CJ999" t="inlineStr">
        <is>
          <t>No Paid</t>
        </is>
      </c>
      <c r="CK999" t="inlineStr">
        <is>
          <t>Not Eligible</t>
        </is>
      </c>
      <c r="CL999"/>
      <c r="CM999"/>
    </row>
    <row r="1000" ht="25.5" customHeight="1">
      <c r="A1000" t="inlineStr">
        <is>
          <t>203409</t>
        </is>
      </c>
      <c r="B1000" s="2"/>
      <c r="C1000"/>
      <c r="D1000" s="3">
        <v>46132.41746527778</v>
      </c>
      <c r="E1000" t="inlineStr">
        <is>
          <t>Q2-W03</t>
        </is>
      </c>
      <c r="F1000" t="inlineStr">
        <is>
          <t>Carmen</t>
        </is>
      </c>
      <c r="G1000" t="inlineStr">
        <is>
          <t>Customer</t>
        </is>
      </c>
      <c r="H1000" s="2" t="str">
        <f>=HYPERLINK("https://upbox.ajobthing.my/customer/203409", "https://upbox.ajobthing.my/customer/203409")</f>
        <v>https://upbox.ajobthing.my/customer/203409</v>
      </c>
      <c r="I1000" t="inlineStr">
        <is>
          <t>Super Enhance Sdn Bhd</t>
        </is>
      </c>
      <c r="J1000" t="inlineStr">
        <is>
          <t>Small Fish</t>
        </is>
      </c>
      <c r="K1000" t="inlineStr">
        <is>
          <t>Carmen</t>
        </is>
      </c>
      <c r="L1000" s="4"/>
      <c r="M1000" s="4">
        <v>46132.41763888889</v>
      </c>
      <c r="N1000"/>
      <c r="O1000">
        <v>3888</v>
      </c>
      <c r="P1000" s="4"/>
      <c r="Q1000" s="4"/>
      <c r="R1000"/>
      <c r="S1000"/>
      <c r="T1000" s="4"/>
      <c r="U1000" s="4"/>
      <c r="V1000"/>
      <c r="W1000"/>
      <c r="X1000"/>
      <c r="Y1000" t="inlineStr">
        <is>
          <t>Pending Appointment</t>
        </is>
      </c>
      <c r="Z1000" t="inlineStr">
        <is>
          <t>Hiring Now</t>
        </is>
      </c>
      <c r="AA1000">
        <v>3</v>
      </c>
      <c r="AB1000" t="inlineStr">
        <is>
          <t>No Appointment Made</t>
        </is>
      </c>
      <c r="AC1000"/>
      <c r="AD1000" t="inlineStr">
        <is>
          <t>1 admin, 1 qs, 1 store keeper</t>
        </is>
      </c>
      <c r="AE1000"/>
      <c r="AF1000">
        <v>0</v>
      </c>
      <c r="AG1000" s="4"/>
      <c r="AH1000" s="4"/>
      <c r="AI1000"/>
      <c r="AJ1000"/>
      <c r="AK1000"/>
      <c r="AL1000"/>
      <c r="AM1000"/>
      <c r="AN1000"/>
      <c r="AO1000"/>
      <c r="AP1000"/>
      <c r="AQ1000"/>
      <c r="AR1000"/>
      <c r="AS1000" t="inlineStr">
        <is>
          <t>- Headcount: 3.
- Hiring Job Details: 1 admin, 1 qs, 1 store keeper.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1000">
        <v>85</v>
      </c>
      <c r="AU1000" t="inlineStr">
        <is>
          <t>0.85</t>
        </is>
      </c>
      <c r="AV1000" t="inlineStr">
        <is>
          <t>15</t>
        </is>
      </c>
      <c r="AW1000" t="inlineStr">
        <is>
          <t>0</t>
        </is>
      </c>
      <c r="AX1000" t="inlineStr">
        <is>
          <t>Not Qualified</t>
        </is>
      </c>
      <c r="AY1000" s="4"/>
      <c r="AZ1000"/>
      <c r="BA1000"/>
      <c r="BB1000"/>
      <c r="BC1000" t="inlineStr">
        <is>
          <t>his wife thought it is free one, he also dk so dont really how to help him</t>
        </is>
      </c>
      <c r="BD1000" s="4">
        <v>46135.738344907404</v>
      </c>
      <c r="BE1000"/>
      <c r="BF1000"/>
      <c r="BG1000" t="inlineStr">
        <is>
          <t>Reschedule</t>
        </is>
      </c>
      <c r="BH1000" t="inlineStr">
        <is>
          <t>Reagen</t>
        </is>
      </c>
      <c r="BI1000"/>
      <c r="BJ1000" s="4">
        <v>46144.75430555556</v>
      </c>
      <c r="BK1000" s="4">
        <v>46132.40623842592</v>
      </c>
      <c r="BL1000" t="inlineStr">
        <is>
          <t>0.0</t>
        </is>
      </c>
      <c r="BM1000" t="inlineStr">
        <is>
          <t>0.0</t>
        </is>
      </c>
      <c r="BN1000" t="inlineStr">
        <is>
          <t>View Company Page</t>
        </is>
      </c>
      <c r="BO1000" s="4">
        <v>46132.406331018516</v>
      </c>
      <c r="BP1000">
        <v>167753</v>
      </c>
      <c r="BQ1000"/>
      <c r="BR1000"/>
      <c r="BS1000"/>
      <c r="BT1000"/>
      <c r="BU1000"/>
      <c r="BV1000">
        <v>2725109</v>
      </c>
      <c r="BW1000" t="inlineStr">
        <is>
          <t>Follow Up : Budget Concern</t>
        </is>
      </c>
      <c r="BX1000"/>
      <c r="BY1000"/>
      <c r="BZ1000" s="4"/>
      <c r="CA1000"/>
      <c r="CB1000"/>
      <c r="CC1000" s="4"/>
      <c r="CD1000" t="inlineStr">
        <is>
          <t>20</t>
        </is>
      </c>
      <c r="CE1000" t="inlineStr">
        <is>
          <t>0</t>
        </is>
      </c>
      <c r="CF1000" t="inlineStr">
        <is>
          <t>Q2-W03</t>
        </is>
      </c>
      <c r="CG1000"/>
      <c r="CH1000"/>
      <c r="CI1000"/>
      <c r="CJ1000" t="inlineStr">
        <is>
          <t>No Paid</t>
        </is>
      </c>
      <c r="CK1000" t="inlineStr">
        <is>
          <t>Not Eligible</t>
        </is>
      </c>
      <c r="CL1000"/>
      <c r="CM1000"/>
    </row>
    <row r="1001" ht="25.5" customHeight="1">
      <c r="A1001" t="inlineStr">
        <is>
          <t>203402</t>
        </is>
      </c>
      <c r="B1001" s="2"/>
      <c r="C1001"/>
      <c r="D1001" s="3">
        <v>46132.42476851852</v>
      </c>
      <c r="E1001" t="inlineStr">
        <is>
          <t>Q2-W03</t>
        </is>
      </c>
      <c r="F1001" t="inlineStr">
        <is>
          <t>Angel  Low</t>
        </is>
      </c>
      <c r="G1001" t="inlineStr">
        <is>
          <t>Customer</t>
        </is>
      </c>
      <c r="H1001" s="2" t="str">
        <f>=HYPERLINK("https://upbox.ajobthing.my/customer/203402", "https://upbox.ajobthing.my/customer/203402")</f>
        <v>https://upbox.ajobthing.my/customer/203402</v>
      </c>
      <c r="I1001" t="inlineStr">
        <is>
          <t>Dusit International</t>
        </is>
      </c>
      <c r="J1001" t="inlineStr">
        <is>
          <t>Small Fish</t>
        </is>
      </c>
      <c r="K1001" t="inlineStr">
        <is>
          <t>Angel Low</t>
        </is>
      </c>
      <c r="L1001" s="4"/>
      <c r="M1001" s="4">
        <v>46132.42503472222</v>
      </c>
      <c r="N1001"/>
      <c r="O1001">
        <v>3672</v>
      </c>
      <c r="P1001" s="4"/>
      <c r="Q1001" s="4">
        <v>46131.77832175926</v>
      </c>
      <c r="R1001"/>
      <c r="S1001">
        <v>864</v>
      </c>
      <c r="T1001" s="4">
        <v>46131.77832175926</v>
      </c>
      <c r="U1001" s="4"/>
      <c r="V1001"/>
      <c r="W1001">
        <v>864</v>
      </c>
      <c r="X1001"/>
      <c r="Y1001" t="inlineStr">
        <is>
          <t>Pending Appointment</t>
        </is>
      </c>
      <c r="Z1001"/>
      <c r="AA1001">
        <v>1</v>
      </c>
      <c r="AB1001" t="inlineStr">
        <is>
          <t>No Appointment Made</t>
        </is>
      </c>
      <c r="AC1001"/>
      <c r="AD1001" t="inlineStr">
        <is>
          <t xml:space="preserve">driver </t>
        </is>
      </c>
      <c r="AE1001"/>
      <c r="AF1001"/>
      <c r="AG1001" s="4"/>
      <c r="AH1001" s="4"/>
      <c r="AI1001"/>
      <c r="AJ1001"/>
      <c r="AK1001"/>
      <c r="AL1001"/>
      <c r="AM1001"/>
      <c r="AN1001"/>
      <c r="AO1001"/>
      <c r="AP1001"/>
      <c r="AQ1001"/>
      <c r="AR1001"/>
      <c r="AS1001" t="inlineStr">
        <is>
          <t>- Headcount: 1
- Hiring Job Details: driver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001">
        <v>60</v>
      </c>
      <c r="AU1001" t="inlineStr">
        <is>
          <t>0.60</t>
        </is>
      </c>
      <c r="AV1001" t="inlineStr">
        <is>
          <t>5</t>
        </is>
      </c>
      <c r="AW1001" t="inlineStr">
        <is>
          <t>0</t>
        </is>
      </c>
      <c r="AX1001" t="inlineStr">
        <is>
          <t>Not Qualified</t>
        </is>
      </c>
      <c r="AY1001" s="4"/>
      <c r="AZ1001"/>
      <c r="BA1001"/>
      <c r="BB1001"/>
      <c r="BC1001" t="inlineStr">
        <is>
          <t>assists</t>
        </is>
      </c>
      <c r="BD1001" s="4">
        <v>46134.62130787037</v>
      </c>
      <c r="BE1001" t="inlineStr">
        <is>
          <t>paid</t>
        </is>
      </c>
      <c r="BF1001" t="inlineStr">
        <is>
          <t>Q2-W03</t>
        </is>
      </c>
      <c r="BG1001" t="inlineStr">
        <is>
          <t>Reschedule</t>
        </is>
      </c>
      <c r="BH1001" t="inlineStr">
        <is>
          <t>Fauziah Maharan</t>
        </is>
      </c>
      <c r="BI1001"/>
      <c r="BJ1001" s="4">
        <v>46144.75430555556</v>
      </c>
      <c r="BK1001" s="4">
        <v>46131.73800925926</v>
      </c>
      <c r="BL1001" t="inlineStr">
        <is>
          <t>864.0</t>
        </is>
      </c>
      <c r="BM1001" t="inlineStr">
        <is>
          <t>0.0</t>
        </is>
      </c>
      <c r="BN1001" t="inlineStr">
        <is>
          <t>View Candidate Search Page</t>
        </is>
      </c>
      <c r="BO1001" s="4">
        <v>46141.50722222222</v>
      </c>
      <c r="BP1001">
        <v>167758</v>
      </c>
      <c r="BQ1001">
        <v>94254</v>
      </c>
      <c r="BR1001" t="inlineStr">
        <is>
          <t>Online</t>
        </is>
      </c>
      <c r="BS1001"/>
      <c r="BT1001">
        <v>94254</v>
      </c>
      <c r="BU1001"/>
      <c r="BV1001">
        <v>2720916</v>
      </c>
      <c r="BW1001" t="inlineStr">
        <is>
          <t>Service / Technical : Job Outcome Enquiry</t>
        </is>
      </c>
      <c r="BX1001">
        <v>1</v>
      </c>
      <c r="BY1001">
        <v>0</v>
      </c>
      <c r="BZ1001" s="4">
        <v>46131.778333333335</v>
      </c>
      <c r="CA1001">
        <v>10</v>
      </c>
      <c r="CB1001">
        <v>0</v>
      </c>
      <c r="CC1001" s="4">
        <v>46135.50819444445</v>
      </c>
      <c r="CD1001" t="inlineStr">
        <is>
          <t>5</t>
        </is>
      </c>
      <c r="CE1001" t="inlineStr">
        <is>
          <t>0</t>
        </is>
      </c>
      <c r="CF1001" t="inlineStr">
        <is>
          <t>Q2-W03</t>
        </is>
      </c>
      <c r="CG1001" t="inlineStr">
        <is>
          <t>Q2-W03</t>
        </is>
      </c>
      <c r="CH1001" t="inlineStr">
        <is>
          <t>Q2-W03</t>
        </is>
      </c>
      <c r="CI1001"/>
      <c r="CJ1001" t="inlineStr">
        <is>
          <t>Paid</t>
        </is>
      </c>
      <c r="CK1001" t="inlineStr">
        <is>
          <t>Not Eligible</t>
        </is>
      </c>
      <c r="CL1001"/>
      <c r="CM1001"/>
    </row>
    <row r="1002" ht="25.5" customHeight="1">
      <c r="A1002" t="inlineStr">
        <is>
          <t>193747</t>
        </is>
      </c>
      <c r="B1002" s="2"/>
      <c r="C1002"/>
      <c r="D1002" s="3">
        <v>46132.43173611111</v>
      </c>
      <c r="E1002" t="inlineStr">
        <is>
          <t>Q2-W03</t>
        </is>
      </c>
      <c r="F1002" t="inlineStr">
        <is>
          <t>Chia Yee</t>
        </is>
      </c>
      <c r="G1002" t="inlineStr">
        <is>
          <t>Customer</t>
        </is>
      </c>
      <c r="H1002" s="2" t="str">
        <f>=HYPERLINK("https://upbox.ajobthing.my/customer/193747", "https://upbox.ajobthing.my/customer/193747")</f>
        <v>https://upbox.ajobthing.my/customer/193747</v>
      </c>
      <c r="I1002" t="inlineStr">
        <is>
          <t>Yucats Marketing Sdn Bhd</t>
        </is>
      </c>
      <c r="J1002" t="inlineStr">
        <is>
          <t>Small Fish</t>
        </is>
      </c>
      <c r="K1002" t="inlineStr">
        <is>
          <t>Chia Yee</t>
        </is>
      </c>
      <c r="L1002" s="4"/>
      <c r="M1002" s="4">
        <v>46140.37165509259</v>
      </c>
      <c r="N1002"/>
      <c r="O1002">
        <v>864</v>
      </c>
      <c r="P1002" s="4"/>
      <c r="Q1002" s="4">
        <v>45869.60107638889</v>
      </c>
      <c r="R1002"/>
      <c r="S1002">
        <v>648</v>
      </c>
      <c r="T1002" s="4">
        <v>45869.60107638889</v>
      </c>
      <c r="U1002" s="4"/>
      <c r="V1002"/>
      <c r="W1002">
        <v>648</v>
      </c>
      <c r="X1002"/>
      <c r="Y1002" t="inlineStr">
        <is>
          <t>Pending Appointment</t>
        </is>
      </c>
      <c r="Z1002" t="inlineStr">
        <is>
          <t>Hiring Now</t>
        </is>
      </c>
      <c r="AA1002">
        <v>2</v>
      </c>
      <c r="AB1002" t="inlineStr">
        <is>
          <t>No Appointment Made</t>
        </is>
      </c>
      <c r="AC1002"/>
      <c r="AD1002" t="inlineStr">
        <is>
          <t>2 Sales Advisor..</t>
        </is>
      </c>
      <c r="AE1002"/>
      <c r="AF1002">
        <v>0</v>
      </c>
      <c r="AG1002" s="4"/>
      <c r="AH1002" s="4"/>
      <c r="AI1002">
        <v>0</v>
      </c>
      <c r="AJ1002">
        <v>1</v>
      </c>
      <c r="AK1002" t="inlineStr">
        <is>
          <t>No, I don't need at all</t>
        </is>
      </c>
      <c r="AL1002">
        <v>1</v>
      </c>
      <c r="AM1002" t="inlineStr">
        <is>
          <t>No, I don't need at all</t>
        </is>
      </c>
      <c r="AN1002"/>
      <c r="AO1002" t="inlineStr">
        <is>
          <t>Yes, I have</t>
        </is>
      </c>
      <c r="AP1002" t="inlineStr">
        <is>
          <t>Once a year (25%)</t>
        </is>
      </c>
      <c r="AQ1002">
        <v>2</v>
      </c>
      <c r="AR1002" t="inlineStr">
        <is>
          <t>Did not use any job portal</t>
        </is>
      </c>
      <c r="AS1002" t="inlineStr">
        <is>
          <t>- Headcount: 2
- Hiring Job Details: 2 Sales Advisor
- Hiring Urgency: Hiring Now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is>
      </c>
      <c r="AT1002">
        <v>95</v>
      </c>
      <c r="AU1002" t="inlineStr">
        <is>
          <t>0.95</t>
        </is>
      </c>
      <c r="AV1002" t="inlineStr">
        <is>
          <t>15</t>
        </is>
      </c>
      <c r="AW1002" t="inlineStr">
        <is>
          <t>0</t>
        </is>
      </c>
      <c r="AX1002" t="inlineStr">
        <is>
          <t>Not Qualified</t>
        </is>
      </c>
      <c r="AY1002" s="4"/>
      <c r="AZ1002"/>
      <c r="BA1002"/>
      <c r="BB1002"/>
      <c r="BC1002" t="inlineStr">
        <is>
          <t>Ask any lower package. Share</t>
        </is>
      </c>
      <c r="BD1002" s="4">
        <v>46140.50954861111</v>
      </c>
      <c r="BE1002" t="inlineStr">
        <is>
          <t>paid</t>
        </is>
      </c>
      <c r="BF1002"/>
      <c r="BG1002" t="inlineStr">
        <is>
          <t>Reschedule</t>
        </is>
      </c>
      <c r="BH1002" t="inlineStr">
        <is>
          <t>Reagen</t>
        </is>
      </c>
      <c r="BI1002" t="inlineStr">
        <is>
          <t>Retail / Merchandise</t>
        </is>
      </c>
      <c r="BJ1002" s="4">
        <v>46144.75263888889</v>
      </c>
      <c r="BK1002" s="4">
        <v>45852.71827546296</v>
      </c>
      <c r="BL1002" t="inlineStr">
        <is>
          <t>648.0</t>
        </is>
      </c>
      <c r="BM1002" t="inlineStr">
        <is>
          <t>0.0</t>
        </is>
      </c>
      <c r="BN1002" t="inlineStr">
        <is>
          <t>People Search Page : Unlock Candidate</t>
        </is>
      </c>
      <c r="BO1002" s="4">
        <v>45893.71538194444</v>
      </c>
      <c r="BP1002">
        <v>169129</v>
      </c>
      <c r="BQ1002">
        <v>81198</v>
      </c>
      <c r="BR1002" t="inlineStr">
        <is>
          <t>Online</t>
        </is>
      </c>
      <c r="BS1002"/>
      <c r="BT1002">
        <v>81198</v>
      </c>
      <c r="BU1002"/>
      <c r="BV1002">
        <v>2732402</v>
      </c>
      <c r="BW1002" t="inlineStr">
        <is>
          <t>Follow Up : Quotation Sent 50%</t>
        </is>
      </c>
      <c r="BX1002"/>
      <c r="BY1002"/>
      <c r="BZ1002" s="4"/>
      <c r="CA1002"/>
      <c r="CB1002"/>
      <c r="CC1002" s="4"/>
      <c r="CD1002" t="inlineStr">
        <is>
          <t>20</t>
        </is>
      </c>
      <c r="CE1002" t="inlineStr">
        <is>
          <t>0</t>
        </is>
      </c>
      <c r="CF1002" t="inlineStr">
        <is>
          <t>Q2-W04</t>
        </is>
      </c>
      <c r="CG1002"/>
      <c r="CH1002"/>
      <c r="CI1002"/>
      <c r="CJ1002" t="inlineStr">
        <is>
          <t>Paid</t>
        </is>
      </c>
      <c r="CK1002" t="inlineStr">
        <is>
          <t>Not Eligible</t>
        </is>
      </c>
      <c r="CL1002"/>
      <c r="CM1002"/>
    </row>
    <row r="1003" ht="25.5" customHeight="1">
      <c r="A1003" t="inlineStr">
        <is>
          <t>189627</t>
        </is>
      </c>
      <c r="B1003" s="2"/>
      <c r="C1003"/>
      <c r="D1003" s="3">
        <v>46132.43209490741</v>
      </c>
      <c r="E1003" t="inlineStr">
        <is>
          <t>Q2-W03</t>
        </is>
      </c>
      <c r="F1003" t="inlineStr">
        <is>
          <t>Eugene</t>
        </is>
      </c>
      <c r="G1003" t="inlineStr">
        <is>
          <t>Customer</t>
        </is>
      </c>
      <c r="H1003" s="2" t="str">
        <f>=HYPERLINK("https://upbox.ajobthing.my/customer/189627", "https://upbox.ajobthing.my/customer/189627")</f>
        <v>https://upbox.ajobthing.my/customer/189627</v>
      </c>
      <c r="I1003" t="inlineStr">
        <is>
          <t>Palohpack Industries (m) Sdn Bhd</t>
        </is>
      </c>
      <c r="J1003" t="inlineStr">
        <is>
          <t>Small Fish</t>
        </is>
      </c>
      <c r="K1003" t="inlineStr">
        <is>
          <t>Eugene</t>
        </is>
      </c>
      <c r="L1003" s="4"/>
      <c r="M1003" s="4">
        <v>46136.45099537037</v>
      </c>
      <c r="N1003"/>
      <c r="O1003">
        <v>3672</v>
      </c>
      <c r="P1003" s="4"/>
      <c r="Q1003" s="4"/>
      <c r="R1003"/>
      <c r="S1003"/>
      <c r="T1003" s="4"/>
      <c r="U1003" s="4"/>
      <c r="V1003"/>
      <c r="W1003"/>
      <c r="X1003"/>
      <c r="Y1003" t="inlineStr">
        <is>
          <t>Pending Appointment</t>
        </is>
      </c>
      <c r="Z1003" t="inlineStr">
        <is>
          <t>Hiring Now</t>
        </is>
      </c>
      <c r="AA1003">
        <v>2</v>
      </c>
      <c r="AB1003" t="inlineStr">
        <is>
          <t>No Appointment Made</t>
        </is>
      </c>
      <c r="AC1003"/>
      <c r="AD1003" t="inlineStr">
        <is>
          <t>1 senior admin, 1 admin, based in Ipoh</t>
        </is>
      </c>
      <c r="AE1003"/>
      <c r="AF1003">
        <v>3000</v>
      </c>
      <c r="AG1003" s="4"/>
      <c r="AH1003" s="4"/>
      <c r="AI1003">
        <v>3000</v>
      </c>
      <c r="AJ1003">
        <v>1</v>
      </c>
      <c r="AK1003" t="inlineStr">
        <is>
          <t>No, I don't need at all</t>
        </is>
      </c>
      <c r="AL1003">
        <v>1</v>
      </c>
      <c r="AM1003" t="inlineStr">
        <is>
          <t>No, I don't need at all</t>
        </is>
      </c>
      <c r="AN1003"/>
      <c r="AO1003" t="inlineStr">
        <is>
          <t>No, I don't need at all</t>
        </is>
      </c>
      <c r="AP1003" t="inlineStr">
        <is>
          <t>Once per quarter (75%)</t>
        </is>
      </c>
      <c r="AQ1003">
        <v>4</v>
      </c>
      <c r="AR1003" t="inlineStr">
        <is>
          <t>Free Job Portal</t>
        </is>
      </c>
      <c r="AS1003" t="inlineStr">
        <is>
          <t>- Headcount: 2
- Hiring Job Details: 1 senior admin, 1 admin, based in Ipoh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Once per quarter (75%)
- External job portal: Free Job Portal</t>
        </is>
      </c>
      <c r="AT1003">
        <v>120</v>
      </c>
      <c r="AU1003" t="inlineStr">
        <is>
          <t>1.20</t>
        </is>
      </c>
      <c r="AV1003" t="inlineStr">
        <is>
          <t>15</t>
        </is>
      </c>
      <c r="AW1003" t="inlineStr">
        <is>
          <t>0</t>
        </is>
      </c>
      <c r="AX1003" t="inlineStr">
        <is>
          <t>Not Qualified</t>
        </is>
      </c>
      <c r="AY1003" s="4"/>
      <c r="AZ1003"/>
      <c r="BA1003"/>
      <c r="BB1003"/>
      <c r="BC1003" t="inlineStr">
        <is>
          <t>- Headcount: 2
- Hiring Job Details: 1 senior admin, 1 admin, based in Ipoh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Once per quarter (75%)
- External job portal: Free Job Portal</t>
        </is>
      </c>
      <c r="BD1003" s="4">
        <v>46132.45835648148</v>
      </c>
      <c r="BE1003"/>
      <c r="BF1003"/>
      <c r="BG1003" t="inlineStr">
        <is>
          <t>Reschedule</t>
        </is>
      </c>
      <c r="BH1003" t="inlineStr">
        <is>
          <t>Edward Hoo</t>
        </is>
      </c>
      <c r="BI1003"/>
      <c r="BJ1003" s="4">
        <v>46144.75232638889</v>
      </c>
      <c r="BK1003" s="4">
        <v>45754.75121527778</v>
      </c>
      <c r="BL1003" t="inlineStr">
        <is>
          <t>0.0</t>
        </is>
      </c>
      <c r="BM1003" t="inlineStr">
        <is>
          <t>0.0</t>
        </is>
      </c>
      <c r="BN1003" t="inlineStr">
        <is>
          <t>View Create Job Page</t>
        </is>
      </c>
      <c r="BO1003" s="4">
        <v>45754.7525</v>
      </c>
      <c r="BP1003">
        <v>168731</v>
      </c>
      <c r="BQ1003"/>
      <c r="BR1003"/>
      <c r="BS1003"/>
      <c r="BT1003"/>
      <c r="BU1003"/>
      <c r="BV1003">
        <v>2715021</v>
      </c>
      <c r="BW1003" t="inlineStr">
        <is>
          <t>Customer Inquiry</t>
        </is>
      </c>
      <c r="BX1003"/>
      <c r="BY1003"/>
      <c r="BZ1003" s="4"/>
      <c r="CA1003"/>
      <c r="CB1003"/>
      <c r="CC1003" s="4"/>
      <c r="CD1003" t="inlineStr">
        <is>
          <t>20</t>
        </is>
      </c>
      <c r="CE1003" t="inlineStr">
        <is>
          <t>0</t>
        </is>
      </c>
      <c r="CF1003" t="inlineStr">
        <is>
          <t>Q2-W04</t>
        </is>
      </c>
      <c r="CG1003"/>
      <c r="CH1003"/>
      <c r="CI1003"/>
      <c r="CJ1003" t="inlineStr">
        <is>
          <t>No Paid</t>
        </is>
      </c>
      <c r="CK1003" t="inlineStr">
        <is>
          <t>Not Eligible</t>
        </is>
      </c>
      <c r="CL1003"/>
      <c r="CM1003"/>
    </row>
    <row r="1004" ht="25.5" customHeight="1">
      <c r="A1004" t="inlineStr">
        <is>
          <t>4143196</t>
        </is>
      </c>
      <c r="B1004" s="2"/>
      <c r="C1004"/>
      <c r="D1004" s="3">
        <v>46132.436689814815</v>
      </c>
      <c r="E1004" t="inlineStr">
        <is>
          <t>Q2-W03</t>
        </is>
      </c>
      <c r="F1004" t="inlineStr">
        <is>
          <t>Jia Hui</t>
        </is>
      </c>
      <c r="G1004" t="inlineStr">
        <is>
          <t>Lead</t>
        </is>
      </c>
      <c r="H1004" s="2" t="str">
        <f>=HYPERLINK("https://upbox.ajobthing.my/leads/4143196", "https://upbox.ajobthing.my/leads/4143196")</f>
        <v>https://upbox.ajobthing.my/leads/4143196</v>
      </c>
      <c r="I1004" t="inlineStr">
        <is>
          <t>DD FRESH MEAT RETAIL SHOPS SDN BHD</t>
        </is>
      </c>
      <c r="J1004" t="inlineStr">
        <is>
          <t>Small Fish</t>
        </is>
      </c>
      <c r="K1004" t="inlineStr">
        <is>
          <t>Jia Hui</t>
        </is>
      </c>
      <c r="L1004" s="4"/>
      <c r="M1004" s="4">
        <v>46132.43189814815</v>
      </c>
      <c r="N1004"/>
      <c r="O1004">
        <v>3888</v>
      </c>
      <c r="P1004" s="4"/>
      <c r="Q1004" s="4"/>
      <c r="R1004"/>
      <c r="S1004"/>
      <c r="T1004" s="4"/>
      <c r="U1004" s="4"/>
      <c r="V1004"/>
      <c r="W1004"/>
      <c r="X1004"/>
      <c r="Y1004" t="inlineStr">
        <is>
          <t>Pending Appointment</t>
        </is>
      </c>
      <c r="Z1004" t="inlineStr">
        <is>
          <t>Hiring Now</t>
        </is>
      </c>
      <c r="AA1004">
        <v>7.5</v>
      </c>
      <c r="AB1004" t="inlineStr">
        <is>
          <t>No Appointment Made</t>
        </is>
      </c>
      <c r="AC1004"/>
      <c r="AD1004" t="inlineStr">
        <is>
          <t xml:space="preserve">7-8 retail assistant </t>
        </is>
      </c>
      <c r="AE1004"/>
      <c r="AF1004">
        <v>500</v>
      </c>
      <c r="AG1004" s="4"/>
      <c r="AH1004" s="4"/>
      <c r="AI1004"/>
      <c r="AJ1004"/>
      <c r="AK1004" t="inlineStr">
        <is>
          <t>Yes, I have</t>
        </is>
      </c>
      <c r="AL1004"/>
      <c r="AM1004"/>
      <c r="AN1004"/>
      <c r="AO1004"/>
      <c r="AP1004" t="inlineStr">
        <is>
          <t>Once a year (25%)</t>
        </is>
      </c>
      <c r="AQ1004"/>
      <c r="AR1004"/>
      <c r="AS1004" t="inlineStr">
        <is>
          <t>- Headcount: 8
- Hiring Job Details: 7-8 retail assistant
- Hiring Urgency: Hiring Now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is>
      </c>
      <c r="AT1004">
        <v>75</v>
      </c>
      <c r="AU1004" t="inlineStr">
        <is>
          <t>0.75</t>
        </is>
      </c>
      <c r="AV1004" t="inlineStr">
        <is>
          <t>20</t>
        </is>
      </c>
      <c r="AW1004" t="inlineStr">
        <is>
          <t>0</t>
        </is>
      </c>
      <c r="AX1004" t="inlineStr">
        <is>
          <t>Not Qualified</t>
        </is>
      </c>
      <c r="AY1004" s="4"/>
      <c r="AZ1004"/>
      <c r="BA1004"/>
      <c r="BB1004"/>
      <c r="BC1004"/>
      <c r="BD1004" s="4"/>
      <c r="BE1004"/>
      <c r="BF1004"/>
      <c r="BG1004" t="inlineStr">
        <is>
          <t>Reschedule</t>
        </is>
      </c>
      <c r="BH1004" t="inlineStr">
        <is>
          <t>Reagen</t>
        </is>
      </c>
      <c r="BI1004"/>
      <c r="BJ1004" s="4">
        <v>46144.75548611111</v>
      </c>
      <c r="BK1004" s="4">
        <v>46090.69054398148</v>
      </c>
      <c r="BL1004" t="inlineStr">
        <is>
          <t>0.0</t>
        </is>
      </c>
      <c r="BM1004" t="inlineStr">
        <is>
          <t>0.0</t>
        </is>
      </c>
      <c r="BN1004"/>
      <c r="BO1004" s="4"/>
      <c r="BP1004">
        <v>167762</v>
      </c>
      <c r="BQ1004"/>
      <c r="BR1004"/>
      <c r="BS1004"/>
      <c r="BT1004"/>
      <c r="BU1004"/>
      <c r="BV1004"/>
      <c r="BW1004"/>
      <c r="BX1004"/>
      <c r="BY1004"/>
      <c r="BZ1004" s="4"/>
      <c r="CA1004"/>
      <c r="CB1004"/>
      <c r="CC1004" s="4"/>
      <c r="CD1004" t="inlineStr">
        <is>
          <t>30</t>
        </is>
      </c>
      <c r="CE1004" t="inlineStr">
        <is>
          <t>0</t>
        </is>
      </c>
      <c r="CF1004" t="inlineStr">
        <is>
          <t>Q2-W03</t>
        </is>
      </c>
      <c r="CG1004"/>
      <c r="CH1004"/>
      <c r="CI1004"/>
      <c r="CJ1004" t="inlineStr">
        <is>
          <t>No Paid</t>
        </is>
      </c>
      <c r="CK1004" t="inlineStr">
        <is>
          <t>Not Eligible</t>
        </is>
      </c>
      <c r="CL1004"/>
      <c r="CM1004"/>
    </row>
    <row r="1005" ht="25.5" customHeight="1">
      <c r="A1005" t="inlineStr">
        <is>
          <t>198823</t>
        </is>
      </c>
      <c r="B1005" s="2"/>
      <c r="C1005"/>
      <c r="D1005" s="3">
        <v>46132.4425</v>
      </c>
      <c r="E1005" t="inlineStr">
        <is>
          <t>Q2-W03</t>
        </is>
      </c>
      <c r="F1005" t="inlineStr">
        <is>
          <t>Clover</t>
        </is>
      </c>
      <c r="G1005" t="inlineStr">
        <is>
          <t>Customer</t>
        </is>
      </c>
      <c r="H1005" s="2" t="str">
        <f>=HYPERLINK("https://upbox.ajobthing.my/customer/198823", "https://upbox.ajobthing.my/customer/198823")</f>
        <v>https://upbox.ajobthing.my/customer/198823</v>
      </c>
      <c r="I1005" t="inlineStr">
        <is>
          <t>Women Of Will</t>
        </is>
      </c>
      <c r="J1005" t="inlineStr">
        <is>
          <t>Small Fish</t>
        </is>
      </c>
      <c r="K1005" t="inlineStr">
        <is>
          <t>Clover</t>
        </is>
      </c>
      <c r="L1005" s="4"/>
      <c r="M1005" s="4">
        <v>46132.441782407404</v>
      </c>
      <c r="N1005"/>
      <c r="O1005">
        <v>3888</v>
      </c>
      <c r="P1005" s="4"/>
      <c r="Q1005" s="4">
        <v>46097.41916666667</v>
      </c>
      <c r="R1005"/>
      <c r="S1005">
        <v>0</v>
      </c>
      <c r="T1005" s="4"/>
      <c r="U1005" s="4"/>
      <c r="V1005"/>
      <c r="W1005"/>
      <c r="X1005"/>
      <c r="Y1005" t="inlineStr">
        <is>
          <t>Pending Appointment</t>
        </is>
      </c>
      <c r="Z1005" t="inlineStr">
        <is>
          <t>Hiring Later</t>
        </is>
      </c>
      <c r="AA1005">
        <v>1</v>
      </c>
      <c r="AB1005" t="inlineStr">
        <is>
          <t>No Appointment Made</t>
        </is>
      </c>
      <c r="AC1005"/>
      <c r="AD1005" t="inlineStr">
        <is>
          <t xml:space="preserve"> partnership business development x1, all races,   NGO, KL,  email to both - nursyazana@womenofwill.org.my &amp; hr@womenofwill.org.my </t>
        </is>
      </c>
      <c r="AE1005"/>
      <c r="AF1005">
        <v>3000</v>
      </c>
      <c r="AG1005" s="4"/>
      <c r="AH1005" s="4"/>
      <c r="AI1005">
        <v>3000</v>
      </c>
      <c r="AJ1005">
        <v>1</v>
      </c>
      <c r="AK1005" t="inlineStr">
        <is>
          <t>No, but I want in future</t>
        </is>
      </c>
      <c r="AL1005">
        <v>1</v>
      </c>
      <c r="AM1005" t="inlineStr">
        <is>
          <t>No, but I want in future</t>
        </is>
      </c>
      <c r="AN1005"/>
      <c r="AO1005" t="inlineStr">
        <is>
          <t>No, but I want in future</t>
        </is>
      </c>
      <c r="AP1005" t="inlineStr">
        <is>
          <t>Twice a year (50%)</t>
        </is>
      </c>
      <c r="AQ1005">
        <v>2</v>
      </c>
      <c r="AR1005" t="inlineStr">
        <is>
          <t>Did not use any job portal</t>
        </is>
      </c>
      <c r="AS1005" t="inlineStr">
        <is>
          <t>- Headcount: 1
- Hiring Job Details: 1 partnership business development, all races, NGO, KL, email to nursyazana@womenofwill.org.my &amp; hr@womenofwill.org.my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1005">
        <v>115</v>
      </c>
      <c r="AU1005" t="inlineStr">
        <is>
          <t>1.15</t>
        </is>
      </c>
      <c r="AV1005" t="inlineStr">
        <is>
          <t>15</t>
        </is>
      </c>
      <c r="AW1005" t="inlineStr">
        <is>
          <t>0</t>
        </is>
      </c>
      <c r="AX1005" t="inlineStr">
        <is>
          <t>Not Qualified</t>
        </is>
      </c>
      <c r="AY1005" s="4"/>
      <c r="AZ1005"/>
      <c r="BA1005"/>
      <c r="BB1005"/>
      <c r="BC1005" t="inlineStr">
        <is>
          <t>Still considering</t>
        </is>
      </c>
      <c r="BD1005" s="4">
        <v>46139.44157407407</v>
      </c>
      <c r="BE1005" t="inlineStr">
        <is>
          <t>paid</t>
        </is>
      </c>
      <c r="BF1005"/>
      <c r="BG1005" t="inlineStr">
        <is>
          <t>Reschedule</t>
        </is>
      </c>
      <c r="BH1005" t="inlineStr">
        <is>
          <t>Reagen</t>
        </is>
      </c>
      <c r="BI1005" t="inlineStr">
        <is>
          <t>Other industries</t>
        </is>
      </c>
      <c r="BJ1005" s="4">
        <v>46144.753171296295</v>
      </c>
      <c r="BK1005" s="4">
        <v>45989.74350694445</v>
      </c>
      <c r="BL1005" t="inlineStr">
        <is>
          <t>0.0</t>
        </is>
      </c>
      <c r="BM1005" t="inlineStr">
        <is>
          <t>0.0</t>
        </is>
      </c>
      <c r="BN1005" t="inlineStr">
        <is>
          <t>View Company Page</t>
        </is>
      </c>
      <c r="BO1005" s="4">
        <v>45989.76645833333</v>
      </c>
      <c r="BP1005">
        <v>167773</v>
      </c>
      <c r="BQ1005">
        <v>117280</v>
      </c>
      <c r="BR1005" t="inlineStr">
        <is>
          <t>Proforma</t>
        </is>
      </c>
      <c r="BS1005" t="inlineStr">
        <is>
          <t>Free Internship Job</t>
        </is>
      </c>
      <c r="BT1005"/>
      <c r="BU1005"/>
      <c r="BV1005">
        <v>2728407</v>
      </c>
      <c r="BW1005" t="inlineStr">
        <is>
          <t>Follow Up : Decision Pending</t>
        </is>
      </c>
      <c r="BX1005"/>
      <c r="BY1005"/>
      <c r="BZ1005" s="4"/>
      <c r="CA1005"/>
      <c r="CB1005"/>
      <c r="CC1005" s="4"/>
      <c r="CD1005" t="inlineStr">
        <is>
          <t>20</t>
        </is>
      </c>
      <c r="CE1005" t="inlineStr">
        <is>
          <t>0</t>
        </is>
      </c>
      <c r="CF1005" t="inlineStr">
        <is>
          <t>Q2-W03</t>
        </is>
      </c>
      <c r="CG1005" t="inlineStr">
        <is>
          <t>Q1-W11</t>
        </is>
      </c>
      <c r="CH1005"/>
      <c r="CI1005"/>
      <c r="CJ1005" t="inlineStr">
        <is>
          <t>No Paid</t>
        </is>
      </c>
      <c r="CK1005" t="inlineStr">
        <is>
          <t>Not Eligible</t>
        </is>
      </c>
      <c r="CL1005"/>
      <c r="CM1005"/>
    </row>
    <row r="1006" ht="25.5" customHeight="1">
      <c r="A1006" t="inlineStr">
        <is>
          <t>119832</t>
        </is>
      </c>
      <c r="B1006" s="2"/>
      <c r="C1006"/>
      <c r="D1006" s="3">
        <v>46132.44328703704</v>
      </c>
      <c r="E1006" t="inlineStr">
        <is>
          <t>Q2-W03</t>
        </is>
      </c>
      <c r="F1006" t="inlineStr">
        <is>
          <t>Josh</t>
        </is>
      </c>
      <c r="G1006" t="inlineStr">
        <is>
          <t>Customer</t>
        </is>
      </c>
      <c r="H1006" s="2" t="str">
        <f>=HYPERLINK("https://upbox.ajobthing.my/customer/119832", "https://upbox.ajobthing.my/customer/119832")</f>
        <v>https://upbox.ajobthing.my/customer/119832</v>
      </c>
      <c r="I1006" t="inlineStr">
        <is>
          <t>VT Nation Trading Sdn Bhd</t>
        </is>
      </c>
      <c r="J1006" t="inlineStr">
        <is>
          <t>Small Fish</t>
        </is>
      </c>
      <c r="K1006" t="inlineStr">
        <is>
          <t>Josh</t>
        </is>
      </c>
      <c r="L1006" s="4"/>
      <c r="M1006" s="4">
        <v>46132.44349537037</v>
      </c>
      <c r="N1006"/>
      <c r="O1006">
        <v>6048</v>
      </c>
      <c r="P1006" s="4"/>
      <c r="Q1006" s="4">
        <v>44420.405543981484</v>
      </c>
      <c r="R1006"/>
      <c r="S1006">
        <v>424</v>
      </c>
      <c r="T1006" s="4">
        <v>44420.405543981484</v>
      </c>
      <c r="U1006" s="4"/>
      <c r="V1006"/>
      <c r="W1006">
        <v>424</v>
      </c>
      <c r="X1006"/>
      <c r="Y1006" t="inlineStr">
        <is>
          <t>Pending Appointment</t>
        </is>
      </c>
      <c r="Z1006" t="inlineStr">
        <is>
          <t>Hiring Later</t>
        </is>
      </c>
      <c r="AA1006">
        <v>1</v>
      </c>
      <c r="AB1006" t="inlineStr">
        <is>
          <t>No Appointment Made</t>
        </is>
      </c>
      <c r="AC1006"/>
      <c r="AD1006" t="inlineStr">
        <is>
          <t xml:space="preserve">1 admin </t>
        </is>
      </c>
      <c r="AE1006"/>
      <c r="AF1006">
        <v>3000</v>
      </c>
      <c r="AG1006" s="4"/>
      <c r="AH1006" s="4"/>
      <c r="AI1006"/>
      <c r="AJ1006"/>
      <c r="AK1006" t="inlineStr">
        <is>
          <t>Yes, I have</t>
        </is>
      </c>
      <c r="AL1006"/>
      <c r="AM1006"/>
      <c r="AN1006"/>
      <c r="AO1006"/>
      <c r="AP1006" t="inlineStr">
        <is>
          <t>Once a year (25%)</t>
        </is>
      </c>
      <c r="AQ1006"/>
      <c r="AR1006"/>
      <c r="AS1006" t="inlineStr">
        <is>
          <t>- Headcount: 1
- Hiring Job Details: 1 admin
- Hiring Urgency: Hiring Later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1006">
        <v>75</v>
      </c>
      <c r="AU1006" t="inlineStr">
        <is>
          <t>0.75</t>
        </is>
      </c>
      <c r="AV1006" t="inlineStr">
        <is>
          <t>15</t>
        </is>
      </c>
      <c r="AW1006" t="inlineStr">
        <is>
          <t>0</t>
        </is>
      </c>
      <c r="AX1006" t="inlineStr">
        <is>
          <t>Not Qualified</t>
        </is>
      </c>
      <c r="AY1006" s="4"/>
      <c r="AZ1006"/>
      <c r="BA1006"/>
      <c r="BB1006"/>
      <c r="BC1006" t="inlineStr">
        <is>
          <t>- Headcount: 1
- Hiring Job Details: 1 admin
- Hiring Urgency: Hiring Later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BD1006" s="4">
        <v>46132.45835648148</v>
      </c>
      <c r="BE1006" t="inlineStr">
        <is>
          <t>paid</t>
        </is>
      </c>
      <c r="BF1006"/>
      <c r="BG1006" t="inlineStr">
        <is>
          <t>Reschedule</t>
        </is>
      </c>
      <c r="BH1006" t="inlineStr">
        <is>
          <t>Fauziah Maharan</t>
        </is>
      </c>
      <c r="BI1006" t="inlineStr">
        <is>
          <t>Transportation / Logistics</t>
        </is>
      </c>
      <c r="BJ1006" s="4">
        <v>46144.750231481485</v>
      </c>
      <c r="BK1006" s="4">
        <v>43650.63230324074</v>
      </c>
      <c r="BL1006" t="inlineStr">
        <is>
          <t>0.0</t>
        </is>
      </c>
      <c r="BM1006" t="inlineStr">
        <is>
          <t>0.0</t>
        </is>
      </c>
      <c r="BN1006" t="inlineStr">
        <is>
          <t>View Payment History</t>
        </is>
      </c>
      <c r="BO1006" s="4">
        <v>44559.74244212963</v>
      </c>
      <c r="BP1006">
        <v>167774</v>
      </c>
      <c r="BQ1006">
        <v>34626</v>
      </c>
      <c r="BR1006" t="inlineStr">
        <is>
          <t>Online</t>
        </is>
      </c>
      <c r="BS1006"/>
      <c r="BT1006">
        <v>34626</v>
      </c>
      <c r="BU1006"/>
      <c r="BV1006">
        <v>2715026</v>
      </c>
      <c r="BW1006" t="inlineStr">
        <is>
          <t>Customer Inquiry</t>
        </is>
      </c>
      <c r="BX1006"/>
      <c r="BY1006"/>
      <c r="BZ1006" s="4"/>
      <c r="CA1006"/>
      <c r="CB1006"/>
      <c r="CC1006" s="4"/>
      <c r="CD1006" t="inlineStr">
        <is>
          <t>20</t>
        </is>
      </c>
      <c r="CE1006" t="inlineStr">
        <is>
          <t>0</t>
        </is>
      </c>
      <c r="CF1006" t="inlineStr">
        <is>
          <t>Q2-W03</t>
        </is>
      </c>
      <c r="CG1006"/>
      <c r="CH1006"/>
      <c r="CI1006"/>
      <c r="CJ1006" t="inlineStr">
        <is>
          <t>Paid</t>
        </is>
      </c>
      <c r="CK1006" t="inlineStr">
        <is>
          <t>Not Eligible</t>
        </is>
      </c>
      <c r="CL1006"/>
      <c r="CM1006"/>
    </row>
    <row r="1007" ht="25.5" customHeight="1">
      <c r="A1007" t="inlineStr">
        <is>
          <t>4304527</t>
        </is>
      </c>
      <c r="B1007" s="2"/>
      <c r="C1007"/>
      <c r="D1007" s="3">
        <v>46132.44388888889</v>
      </c>
      <c r="E1007" t="inlineStr">
        <is>
          <t>Q2-W03</t>
        </is>
      </c>
      <c r="F1007" t="inlineStr">
        <is>
          <t>Jia Hui</t>
        </is>
      </c>
      <c r="G1007" t="inlineStr">
        <is>
          <t>Lead</t>
        </is>
      </c>
      <c r="H1007" s="2" t="str">
        <f>=HYPERLINK("https://upbox.ajobthing.my/leads/4304527", "https://upbox.ajobthing.my/leads/4304527")</f>
        <v>https://upbox.ajobthing.my/leads/4304527</v>
      </c>
      <c r="I1007" t="inlineStr">
        <is>
          <t>Lily</t>
        </is>
      </c>
      <c r="J1007" t="inlineStr">
        <is>
          <t>Small Fish</t>
        </is>
      </c>
      <c r="K1007" t="inlineStr">
        <is>
          <t>Jia Hui</t>
        </is>
      </c>
      <c r="L1007" s="4"/>
      <c r="M1007" s="4">
        <v>46132.444247685184</v>
      </c>
      <c r="N1007"/>
      <c r="O1007">
        <v>3888</v>
      </c>
      <c r="P1007" s="4"/>
      <c r="Q1007" s="4"/>
      <c r="R1007"/>
      <c r="S1007"/>
      <c r="T1007" s="4"/>
      <c r="U1007" s="4"/>
      <c r="V1007"/>
      <c r="W1007"/>
      <c r="X1007"/>
      <c r="Y1007" t="inlineStr">
        <is>
          <t>Pending Appointment</t>
        </is>
      </c>
      <c r="Z1007" t="inlineStr">
        <is>
          <t>Hiring Now</t>
        </is>
      </c>
      <c r="AA1007">
        <v>2</v>
      </c>
      <c r="AB1007" t="inlineStr">
        <is>
          <t>No Appointment Made</t>
        </is>
      </c>
      <c r="AC1007"/>
      <c r="AD1007" t="inlineStr">
        <is>
          <t>1 beautician, 1 admin</t>
        </is>
      </c>
      <c r="AE1007"/>
      <c r="AF1007">
        <v>500</v>
      </c>
      <c r="AG1007" s="4"/>
      <c r="AH1007" s="4"/>
      <c r="AI1007"/>
      <c r="AJ1007"/>
      <c r="AK1007" t="inlineStr">
        <is>
          <t>Yes, I have</t>
        </is>
      </c>
      <c r="AL1007"/>
      <c r="AM1007"/>
      <c r="AN1007"/>
      <c r="AO1007"/>
      <c r="AP1007" t="inlineStr">
        <is>
          <t>Once a year (25%)</t>
        </is>
      </c>
      <c r="AQ1007"/>
      <c r="AR1007"/>
      <c r="AS1007" t="inlineStr">
        <is>
          <t>- Headcount: 2
- Hiring Job Details: 1 beautician, 1 admin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007">
        <v>95</v>
      </c>
      <c r="AU1007" t="inlineStr">
        <is>
          <t>0.95</t>
        </is>
      </c>
      <c r="AV1007" t="inlineStr">
        <is>
          <t>15</t>
        </is>
      </c>
      <c r="AW1007" t="inlineStr">
        <is>
          <t>0</t>
        </is>
      </c>
      <c r="AX1007" t="inlineStr">
        <is>
          <t>Not Qualified</t>
        </is>
      </c>
      <c r="AY1007" s="4"/>
      <c r="AZ1007"/>
      <c r="BA1007"/>
      <c r="BB1007"/>
      <c r="BC1007"/>
      <c r="BD1007" s="4"/>
      <c r="BE1007"/>
      <c r="BF1007"/>
      <c r="BG1007" t="inlineStr">
        <is>
          <t>Reschedule</t>
        </is>
      </c>
      <c r="BH1007" t="inlineStr">
        <is>
          <t>Reagen</t>
        </is>
      </c>
      <c r="BI1007"/>
      <c r="BJ1007" s="4">
        <v>46144.75585648148</v>
      </c>
      <c r="BK1007" s="4">
        <v>46132.43921296296</v>
      </c>
      <c r="BL1007" t="inlineStr">
        <is>
          <t>0.0</t>
        </is>
      </c>
      <c r="BM1007" t="inlineStr">
        <is>
          <t>0.0</t>
        </is>
      </c>
      <c r="BN1007"/>
      <c r="BO1007" s="4"/>
      <c r="BP1007">
        <v>167775</v>
      </c>
      <c r="BQ1007"/>
      <c r="BR1007"/>
      <c r="BS1007"/>
      <c r="BT1007"/>
      <c r="BU1007"/>
      <c r="BV1007"/>
      <c r="BW1007"/>
      <c r="BX1007"/>
      <c r="BY1007"/>
      <c r="BZ1007" s="4"/>
      <c r="CA1007"/>
      <c r="CB1007"/>
      <c r="CC1007" s="4"/>
      <c r="CD1007" t="inlineStr">
        <is>
          <t>20</t>
        </is>
      </c>
      <c r="CE1007" t="inlineStr">
        <is>
          <t>0</t>
        </is>
      </c>
      <c r="CF1007" t="inlineStr">
        <is>
          <t>Q2-W03</t>
        </is>
      </c>
      <c r="CG1007"/>
      <c r="CH1007"/>
      <c r="CI1007"/>
      <c r="CJ1007" t="inlineStr">
        <is>
          <t>No Paid</t>
        </is>
      </c>
      <c r="CK1007" t="inlineStr">
        <is>
          <t>Not Eligible</t>
        </is>
      </c>
      <c r="CL1007"/>
      <c r="CM1007"/>
    </row>
    <row r="1008" ht="25.5" customHeight="1">
      <c r="A1008" t="inlineStr">
        <is>
          <t>176426</t>
        </is>
      </c>
      <c r="B1008" s="2"/>
      <c r="C1008"/>
      <c r="D1008" s="3">
        <v>46132.44458333333</v>
      </c>
      <c r="E1008" t="inlineStr">
        <is>
          <t>Q2-W03</t>
        </is>
      </c>
      <c r="F1008" t="inlineStr">
        <is>
          <t>Luqman</t>
        </is>
      </c>
      <c r="G1008" t="inlineStr">
        <is>
          <t>Customer</t>
        </is>
      </c>
      <c r="H1008" s="2" t="str">
        <f>=HYPERLINK("https://upbox.ajobthing.my/customer/176426", "https://upbox.ajobthing.my/customer/176426")</f>
        <v>https://upbox.ajobthing.my/customer/176426</v>
      </c>
      <c r="I1008" t="inlineStr">
        <is>
          <t>Pertiwi Oligo Sdn Bhd</t>
        </is>
      </c>
      <c r="J1008" t="inlineStr">
        <is>
          <t>Small Fish</t>
        </is>
      </c>
      <c r="K1008" t="inlineStr">
        <is>
          <t>Luqman</t>
        </is>
      </c>
      <c r="L1008" s="4"/>
      <c r="M1008" s="4">
        <v>46132.444814814815</v>
      </c>
      <c r="N1008"/>
      <c r="O1008">
        <v>3888</v>
      </c>
      <c r="P1008" s="4"/>
      <c r="Q1008" s="4"/>
      <c r="R1008"/>
      <c r="S1008"/>
      <c r="T1008" s="4"/>
      <c r="U1008" s="4"/>
      <c r="V1008"/>
      <c r="W1008"/>
      <c r="X1008"/>
      <c r="Y1008" t="inlineStr">
        <is>
          <t>Pending Appointment</t>
        </is>
      </c>
      <c r="Z1008" t="inlineStr">
        <is>
          <t>Hiring Now</t>
        </is>
      </c>
      <c r="AA1008">
        <v>3</v>
      </c>
      <c r="AB1008" t="inlineStr">
        <is>
          <t>No Appointment Made</t>
        </is>
      </c>
      <c r="AC1008"/>
      <c r="AD1008" t="inlineStr">
        <is>
          <t xml:space="preserve">1. Admin Assistant 2. HR Executive 3. Operation Executive </t>
        </is>
      </c>
      <c r="AE1008"/>
      <c r="AF1008">
        <v>3600</v>
      </c>
      <c r="AG1008" s="4"/>
      <c r="AH1008" s="4"/>
      <c r="AI1008">
        <v>3600</v>
      </c>
      <c r="AJ1008"/>
      <c r="AK1008" t="inlineStr">
        <is>
          <t>No, I don't need at all</t>
        </is>
      </c>
      <c r="AL1008">
        <v>2</v>
      </c>
      <c r="AM1008" t="inlineStr">
        <is>
          <t>No, I don't need at all</t>
        </is>
      </c>
      <c r="AN1008"/>
      <c r="AO1008" t="inlineStr">
        <is>
          <t>No, I don't need at all</t>
        </is>
      </c>
      <c r="AP1008" t="inlineStr">
        <is>
          <t>Once a year (25%)</t>
        </is>
      </c>
      <c r="AQ1008">
        <v>4</v>
      </c>
      <c r="AR1008" t="inlineStr">
        <is>
          <t>Free Job Portal</t>
        </is>
      </c>
      <c r="AS1008" t="inlineStr">
        <is>
          <t>- Headcount: 3
- Hiring Job Details: 1. Admin Assistant 2. HR Executive 3. Operation Executive
- Hiring Urgency: Hiring Now
- Number of outlets: N/A
- Have recruiter team: No, I don't need at all
- Number of recruiter in company: 2
- Have ATS system: No, I don't need at all
- Have career website: No, I don't need at all
- Current hiring budget: RM3,600
- Whole year budget: RM3,600.00
- Whole year number of vacancies: 4
- Hiring frequency: Once a year (25%)
- External job portal: Free Job Portal</t>
        </is>
      </c>
      <c r="AT1008">
        <v>95</v>
      </c>
      <c r="AU1008" t="inlineStr">
        <is>
          <t>0.95</t>
        </is>
      </c>
      <c r="AV1008" t="inlineStr">
        <is>
          <t>15</t>
        </is>
      </c>
      <c r="AW1008" t="inlineStr">
        <is>
          <t>0</t>
        </is>
      </c>
      <c r="AX1008" t="inlineStr">
        <is>
          <t>Not Qualified</t>
        </is>
      </c>
      <c r="AY1008" s="4"/>
      <c r="AZ1008"/>
      <c r="BA1008"/>
      <c r="BB1008"/>
      <c r="BC1008" t="inlineStr">
        <is>
          <t>Flash sale hook</t>
        </is>
      </c>
      <c r="BD1008" s="4">
        <v>46140.435694444444</v>
      </c>
      <c r="BE1008"/>
      <c r="BF1008"/>
      <c r="BG1008" t="inlineStr">
        <is>
          <t>Reschedule</t>
        </is>
      </c>
      <c r="BH1008" t="inlineStr">
        <is>
          <t>Edward Hoo</t>
        </is>
      </c>
      <c r="BI1008" t="inlineStr">
        <is>
          <t>HR Mgmt / Consulting</t>
        </is>
      </c>
      <c r="BJ1008" s="4">
        <v>46144.751655092594</v>
      </c>
      <c r="BK1008" s="4">
        <v>45366.43770833333</v>
      </c>
      <c r="BL1008" t="inlineStr">
        <is>
          <t>0.0</t>
        </is>
      </c>
      <c r="BM1008" t="inlineStr">
        <is>
          <t>0.0</t>
        </is>
      </c>
      <c r="BN1008" t="inlineStr">
        <is>
          <t>User Visit(Logged In)</t>
        </is>
      </c>
      <c r="BO1008" s="4">
        <v>45367.556539351855</v>
      </c>
      <c r="BP1008">
        <v>167776</v>
      </c>
      <c r="BQ1008"/>
      <c r="BR1008"/>
      <c r="BS1008"/>
      <c r="BT1008"/>
      <c r="BU1008"/>
      <c r="BV1008">
        <v>2731821</v>
      </c>
      <c r="BW1008" t="inlineStr">
        <is>
          <t>Follow Up : Decision Pending</t>
        </is>
      </c>
      <c r="BX1008"/>
      <c r="BY1008"/>
      <c r="BZ1008" s="4"/>
      <c r="CA1008"/>
      <c r="CB1008"/>
      <c r="CC1008" s="4"/>
      <c r="CD1008" t="inlineStr">
        <is>
          <t>20</t>
        </is>
      </c>
      <c r="CE1008" t="inlineStr">
        <is>
          <t>0</t>
        </is>
      </c>
      <c r="CF1008" t="inlineStr">
        <is>
          <t>Q2-W03</t>
        </is>
      </c>
      <c r="CG1008"/>
      <c r="CH1008"/>
      <c r="CI1008"/>
      <c r="CJ1008" t="inlineStr">
        <is>
          <t>No Paid</t>
        </is>
      </c>
      <c r="CK1008" t="inlineStr">
        <is>
          <t>Not Eligible</t>
        </is>
      </c>
      <c r="CL1008"/>
      <c r="CM1008"/>
    </row>
    <row r="1009" ht="25.5" customHeight="1">
      <c r="A1009" t="inlineStr">
        <is>
          <t>203409</t>
        </is>
      </c>
      <c r="B1009" s="2"/>
      <c r="C1009"/>
      <c r="D1009" s="3">
        <v>46132.446435185186</v>
      </c>
      <c r="E1009" t="inlineStr">
        <is>
          <t>Q2-W03</t>
        </is>
      </c>
      <c r="F1009" t="inlineStr">
        <is>
          <t>Carmen</t>
        </is>
      </c>
      <c r="G1009" t="inlineStr">
        <is>
          <t>Customer</t>
        </is>
      </c>
      <c r="H1009" s="2" t="str">
        <f>=HYPERLINK("https://upbox.ajobthing.my/customer/203409", "https://upbox.ajobthing.my/customer/203409")</f>
        <v>https://upbox.ajobthing.my/customer/203409</v>
      </c>
      <c r="I1009" t="inlineStr">
        <is>
          <t>Super Enhance Sdn Bhd</t>
        </is>
      </c>
      <c r="J1009" t="inlineStr">
        <is>
          <t>Small Fish</t>
        </is>
      </c>
      <c r="K1009" t="inlineStr">
        <is>
          <t>Carmen</t>
        </is>
      </c>
      <c r="L1009" s="4"/>
      <c r="M1009" s="4">
        <v>46132.41763888889</v>
      </c>
      <c r="N1009"/>
      <c r="O1009">
        <v>3888</v>
      </c>
      <c r="P1009" s="4"/>
      <c r="Q1009" s="4"/>
      <c r="R1009"/>
      <c r="S1009"/>
      <c r="T1009" s="4"/>
      <c r="U1009" s="4"/>
      <c r="V1009"/>
      <c r="W1009"/>
      <c r="X1009"/>
      <c r="Y1009" t="inlineStr">
        <is>
          <t>Pending Appointment</t>
        </is>
      </c>
      <c r="Z1009" t="inlineStr">
        <is>
          <t>Hiring Now</t>
        </is>
      </c>
      <c r="AA1009">
        <v>3</v>
      </c>
      <c r="AB1009" t="inlineStr">
        <is>
          <t>No Appointment Made</t>
        </is>
      </c>
      <c r="AC1009"/>
      <c r="AD1009" t="inlineStr">
        <is>
          <t>1 admin, 1 qs, 1 store keeper</t>
        </is>
      </c>
      <c r="AE1009"/>
      <c r="AF1009">
        <v>0</v>
      </c>
      <c r="AG1009" s="4"/>
      <c r="AH1009" s="4"/>
      <c r="AI1009"/>
      <c r="AJ1009"/>
      <c r="AK1009"/>
      <c r="AL1009"/>
      <c r="AM1009"/>
      <c r="AN1009"/>
      <c r="AO1009"/>
      <c r="AP1009" t="inlineStr">
        <is>
          <t>Once a year (25%)</t>
        </is>
      </c>
      <c r="AQ1009"/>
      <c r="AR1009"/>
      <c r="AS1009" t="inlineStr">
        <is>
          <t>- Headcount: 3
- Hiring Job Details: 1 admin, 1 qs, 1 store keeper
- Hiring Urgency: Hiring Now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Once a year (25%)
- External job portal: Not specified</t>
        </is>
      </c>
      <c r="AT1009">
        <v>75</v>
      </c>
      <c r="AU1009" t="inlineStr">
        <is>
          <t>0.75</t>
        </is>
      </c>
      <c r="AV1009" t="inlineStr">
        <is>
          <t>15</t>
        </is>
      </c>
      <c r="AW1009" t="inlineStr">
        <is>
          <t>0</t>
        </is>
      </c>
      <c r="AX1009" t="inlineStr">
        <is>
          <t>Not Qualified</t>
        </is>
      </c>
      <c r="AY1009" s="4"/>
      <c r="AZ1009"/>
      <c r="BA1009"/>
      <c r="BB1009"/>
      <c r="BC1009" t="inlineStr">
        <is>
          <t>his wife thought it is free one, he also dk so dont really how to help him</t>
        </is>
      </c>
      <c r="BD1009" s="4">
        <v>46135.738344907404</v>
      </c>
      <c r="BE1009"/>
      <c r="BF1009"/>
      <c r="BG1009" t="inlineStr">
        <is>
          <t>Reschedule</t>
        </is>
      </c>
      <c r="BH1009" t="inlineStr">
        <is>
          <t>Reagen</t>
        </is>
      </c>
      <c r="BI1009"/>
      <c r="BJ1009" s="4">
        <v>46144.75430555556</v>
      </c>
      <c r="BK1009" s="4">
        <v>46132.40623842592</v>
      </c>
      <c r="BL1009" t="inlineStr">
        <is>
          <t>0.0</t>
        </is>
      </c>
      <c r="BM1009" t="inlineStr">
        <is>
          <t>0.0</t>
        </is>
      </c>
      <c r="BN1009" t="inlineStr">
        <is>
          <t>View Company Page</t>
        </is>
      </c>
      <c r="BO1009" s="4">
        <v>46132.406331018516</v>
      </c>
      <c r="BP1009">
        <v>167753</v>
      </c>
      <c r="BQ1009"/>
      <c r="BR1009"/>
      <c r="BS1009"/>
      <c r="BT1009"/>
      <c r="BU1009"/>
      <c r="BV1009">
        <v>2725109</v>
      </c>
      <c r="BW1009" t="inlineStr">
        <is>
          <t>Follow Up : Budget Concern</t>
        </is>
      </c>
      <c r="BX1009"/>
      <c r="BY1009"/>
      <c r="BZ1009" s="4"/>
      <c r="CA1009"/>
      <c r="CB1009"/>
      <c r="CC1009" s="4"/>
      <c r="CD1009" t="inlineStr">
        <is>
          <t>20</t>
        </is>
      </c>
      <c r="CE1009" t="inlineStr">
        <is>
          <t>0</t>
        </is>
      </c>
      <c r="CF1009" t="inlineStr">
        <is>
          <t>Q2-W03</t>
        </is>
      </c>
      <c r="CG1009"/>
      <c r="CH1009"/>
      <c r="CI1009"/>
      <c r="CJ1009" t="inlineStr">
        <is>
          <t>No Paid</t>
        </is>
      </c>
      <c r="CK1009" t="inlineStr">
        <is>
          <t>Not Eligible</t>
        </is>
      </c>
      <c r="CL1009"/>
      <c r="CM1009"/>
    </row>
    <row r="1010" ht="25.5" customHeight="1">
      <c r="A1010" t="inlineStr">
        <is>
          <t>4304257</t>
        </is>
      </c>
      <c r="B1010" s="2"/>
      <c r="C1010"/>
      <c r="D1010" s="3">
        <v>46132.44730324074</v>
      </c>
      <c r="E1010" t="inlineStr">
        <is>
          <t>Q2-W03</t>
        </is>
      </c>
      <c r="F1010" t="inlineStr">
        <is>
          <t>Derek Lim</t>
        </is>
      </c>
      <c r="G1010" t="inlineStr">
        <is>
          <t>Lead</t>
        </is>
      </c>
      <c r="H1010" s="2" t="str">
        <f>=HYPERLINK("https://upbox.ajobthing.my/leads/4304257", "https://upbox.ajobthing.my/leads/4304257")</f>
        <v>https://upbox.ajobthing.my/leads/4304257</v>
      </c>
      <c r="I1010" t="inlineStr">
        <is>
          <t>Fluidra Malaysia Sdn Bhd</t>
        </is>
      </c>
      <c r="J1010" t="inlineStr">
        <is>
          <t>Small Fish</t>
        </is>
      </c>
      <c r="K1010" t="inlineStr">
        <is>
          <t>Derek Lim</t>
        </is>
      </c>
      <c r="L1010" s="4"/>
      <c r="M1010" s="4">
        <v>46132.44762731482</v>
      </c>
      <c r="N1010"/>
      <c r="O1010">
        <v>6048</v>
      </c>
      <c r="P1010" s="4"/>
      <c r="Q1010" s="4"/>
      <c r="R1010"/>
      <c r="S1010"/>
      <c r="T1010" s="4"/>
      <c r="U1010" s="4"/>
      <c r="V1010"/>
      <c r="W1010"/>
      <c r="X1010"/>
      <c r="Y1010" t="inlineStr">
        <is>
          <t>Pending Appointment</t>
        </is>
      </c>
      <c r="Z1010" t="inlineStr">
        <is>
          <t>Hiring Now</t>
        </is>
      </c>
      <c r="AA1010">
        <v>1</v>
      </c>
      <c r="AB1010" t="inlineStr">
        <is>
          <t>No Appointment Made</t>
        </is>
      </c>
      <c r="AC1010"/>
      <c r="AD1010" t="inlineStr">
        <is>
          <t>storekeeper - 1</t>
        </is>
      </c>
      <c r="AE1010"/>
      <c r="AF1010">
        <v>600</v>
      </c>
      <c r="AG1010" s="4"/>
      <c r="AH1010" s="4"/>
      <c r="AI1010">
        <v>800</v>
      </c>
      <c r="AJ1010">
        <v>1</v>
      </c>
      <c r="AK1010" t="inlineStr">
        <is>
          <t>No, I don't need at all</t>
        </is>
      </c>
      <c r="AL1010">
        <v>0</v>
      </c>
      <c r="AM1010" t="inlineStr">
        <is>
          <t>No, I don't need at all</t>
        </is>
      </c>
      <c r="AN1010"/>
      <c r="AO1010" t="inlineStr">
        <is>
          <t>No, I don't need at all</t>
        </is>
      </c>
      <c r="AP1010" t="inlineStr">
        <is>
          <t>Once a year (25%)</t>
        </is>
      </c>
      <c r="AQ1010">
        <v>1</v>
      </c>
      <c r="AR1010" t="inlineStr">
        <is>
          <t>Jobstreet</t>
        </is>
      </c>
      <c r="AS1010" t="inlineStr">
        <is>
          <t>- Headcount: 1
- Hiring Job Details: 1 storekeeper
- Hiring Urgency: Hiring Now
- Number of outlets: 1
- Have recruiter team: No, I don't need at all
- Number of recruiter in company: 0
- Have ATS system: No, I don't need at all
- Have career website: No, I don't need at all
- Current hiring budget: RM600
- Whole year budget: RM800.00
- Whole year number of vacancies: 1
- Hiring frequency: Once a year (25%)
- External job portal: Jobstreet</t>
        </is>
      </c>
      <c r="AT1010">
        <v>115</v>
      </c>
      <c r="AU1010" t="inlineStr">
        <is>
          <t>1.15</t>
        </is>
      </c>
      <c r="AV1010" t="inlineStr">
        <is>
          <t>15</t>
        </is>
      </c>
      <c r="AW1010" t="inlineStr">
        <is>
          <t>0</t>
        </is>
      </c>
      <c r="AX1010" t="inlineStr">
        <is>
          <t>Not Qualified</t>
        </is>
      </c>
      <c r="AY1010" s="4"/>
      <c r="AZ1010"/>
      <c r="BA1010"/>
      <c r="BB1010"/>
      <c r="BC1010"/>
      <c r="BD1010" s="4"/>
      <c r="BE1010"/>
      <c r="BF1010"/>
      <c r="BG1010" t="inlineStr">
        <is>
          <t>Reschedule</t>
        </is>
      </c>
      <c r="BH1010" t="inlineStr">
        <is>
          <t>Edward Hoo</t>
        </is>
      </c>
      <c r="BI1010"/>
      <c r="BJ1010" s="4">
        <v>46144.75585648148</v>
      </c>
      <c r="BK1010" s="4">
        <v>46132.39633101852</v>
      </c>
      <c r="BL1010" t="inlineStr">
        <is>
          <t>0.0</t>
        </is>
      </c>
      <c r="BM1010" t="inlineStr">
        <is>
          <t>0.0</t>
        </is>
      </c>
      <c r="BN1010"/>
      <c r="BO1010" s="4"/>
      <c r="BP1010">
        <v>167778</v>
      </c>
      <c r="BQ1010"/>
      <c r="BR1010"/>
      <c r="BS1010"/>
      <c r="BT1010"/>
      <c r="BU1010"/>
      <c r="BV1010"/>
      <c r="BW1010"/>
      <c r="BX1010"/>
      <c r="BY1010"/>
      <c r="BZ1010" s="4"/>
      <c r="CA1010"/>
      <c r="CB1010"/>
      <c r="CC1010" s="4"/>
      <c r="CD1010" t="inlineStr">
        <is>
          <t>20</t>
        </is>
      </c>
      <c r="CE1010" t="inlineStr">
        <is>
          <t>0</t>
        </is>
      </c>
      <c r="CF1010" t="inlineStr">
        <is>
          <t>Q2-W03</t>
        </is>
      </c>
      <c r="CG1010"/>
      <c r="CH1010"/>
      <c r="CI1010"/>
      <c r="CJ1010" t="inlineStr">
        <is>
          <t>No Paid</t>
        </is>
      </c>
      <c r="CK1010" t="inlineStr">
        <is>
          <t>Not Eligible</t>
        </is>
      </c>
      <c r="CL1010"/>
      <c r="CM1010"/>
    </row>
    <row r="1011" ht="25.5" customHeight="1">
      <c r="A1011" t="inlineStr">
        <is>
          <t>161691</t>
        </is>
      </c>
      <c r="B1011" s="2"/>
      <c r="C1011"/>
      <c r="D1011" s="3">
        <v>46132.44924768519</v>
      </c>
      <c r="E1011" t="inlineStr">
        <is>
          <t>Q2-W03</t>
        </is>
      </c>
      <c r="F1011" t="inlineStr">
        <is>
          <t>Josh</t>
        </is>
      </c>
      <c r="G1011" t="inlineStr">
        <is>
          <t>Customer</t>
        </is>
      </c>
      <c r="H1011" s="2" t="str">
        <f>=HYPERLINK("https://upbox.ajobthing.my/customer/161691", "https://upbox.ajobthing.my/customer/161691")</f>
        <v>https://upbox.ajobthing.my/customer/161691</v>
      </c>
      <c r="I1011" t="inlineStr">
        <is>
          <t>Bervin Management Sdn Bhd</t>
        </is>
      </c>
      <c r="J1011" t="inlineStr">
        <is>
          <t>Small Fish</t>
        </is>
      </c>
      <c r="K1011" t="inlineStr">
        <is>
          <t>Josh</t>
        </is>
      </c>
      <c r="L1011" s="4"/>
      <c r="M1011" s="4">
        <v>46132.449525462966</v>
      </c>
      <c r="N1011"/>
      <c r="O1011">
        <v>3672</v>
      </c>
      <c r="P1011" s="4"/>
      <c r="Q1011" s="4">
        <v>44867.80253472222</v>
      </c>
      <c r="R1011"/>
      <c r="S1011">
        <v>742</v>
      </c>
      <c r="T1011" s="4">
        <v>44867.80253472222</v>
      </c>
      <c r="U1011" s="4"/>
      <c r="V1011"/>
      <c r="W1011">
        <v>742</v>
      </c>
      <c r="X1011"/>
      <c r="Y1011" t="inlineStr">
        <is>
          <t>Pending Appointment</t>
        </is>
      </c>
      <c r="Z1011" t="inlineStr">
        <is>
          <t>Hiring Now</t>
        </is>
      </c>
      <c r="AA1011">
        <v>2</v>
      </c>
      <c r="AB1011" t="inlineStr">
        <is>
          <t>No Appointment Made</t>
        </is>
      </c>
      <c r="AC1011"/>
      <c r="AD1011" t="inlineStr">
        <is>
          <t xml:space="preserve">2 sales </t>
        </is>
      </c>
      <c r="AE1011"/>
      <c r="AF1011">
        <v>3000</v>
      </c>
      <c r="AG1011" s="4"/>
      <c r="AH1011" s="4"/>
      <c r="AI1011"/>
      <c r="AJ1011"/>
      <c r="AK1011" t="inlineStr">
        <is>
          <t>Yes, I have</t>
        </is>
      </c>
      <c r="AL1011">
        <v>1</v>
      </c>
      <c r="AM1011"/>
      <c r="AN1011"/>
      <c r="AO1011"/>
      <c r="AP1011" t="inlineStr">
        <is>
          <t>Once a year (25%)</t>
        </is>
      </c>
      <c r="AQ1011"/>
      <c r="AR1011"/>
      <c r="AS1011" t="inlineStr">
        <is>
          <t>- Headcount: 2
- Hiring Job Details: 2 sales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
- Hiring Urgency: Hiring Now</t>
        </is>
      </c>
      <c r="AT1011">
        <v>90</v>
      </c>
      <c r="AU1011" t="inlineStr">
        <is>
          <t>0.90</t>
        </is>
      </c>
      <c r="AV1011" t="inlineStr">
        <is>
          <t>15</t>
        </is>
      </c>
      <c r="AW1011" t="inlineStr">
        <is>
          <t>0</t>
        </is>
      </c>
      <c r="AX1011" t="inlineStr">
        <is>
          <t>Not Qualified</t>
        </is>
      </c>
      <c r="AY1011" s="4"/>
      <c r="AZ1011"/>
      <c r="BA1011"/>
      <c r="BB1011"/>
      <c r="BC1011" t="inlineStr">
        <is>
          <t>no interested</t>
        </is>
      </c>
      <c r="BD1011" s="4">
        <v>46136.6472337963</v>
      </c>
      <c r="BE1011" t="inlineStr">
        <is>
          <t>paid</t>
        </is>
      </c>
      <c r="BF1011"/>
      <c r="BG1011" t="inlineStr">
        <is>
          <t>Reschedule</t>
        </is>
      </c>
      <c r="BH1011" t="inlineStr">
        <is>
          <t>Fauziah Maharan</t>
        </is>
      </c>
      <c r="BI1011" t="inlineStr">
        <is>
          <t>Sales / Biz Development</t>
        </is>
      </c>
      <c r="BJ1011" s="4">
        <v>46144.751122685186</v>
      </c>
      <c r="BK1011" s="4">
        <v>44867.73619212963</v>
      </c>
      <c r="BL1011" t="inlineStr">
        <is>
          <t>0.0</t>
        </is>
      </c>
      <c r="BM1011" t="inlineStr">
        <is>
          <t>0.0</t>
        </is>
      </c>
      <c r="BN1011" t="inlineStr">
        <is>
          <t>View Jobmanager Page</t>
        </is>
      </c>
      <c r="BO1011" s="4">
        <v>44901.68405092593</v>
      </c>
      <c r="BP1011">
        <v>167781</v>
      </c>
      <c r="BQ1011">
        <v>52178</v>
      </c>
      <c r="BR1011" t="inlineStr">
        <is>
          <t>Online</t>
        </is>
      </c>
      <c r="BS1011"/>
      <c r="BT1011">
        <v>52178</v>
      </c>
      <c r="BU1011"/>
      <c r="BV1011">
        <v>2726784</v>
      </c>
      <c r="BW1011" t="inlineStr">
        <is>
          <t>No Answer : Voicemail - WA sent to customer</t>
        </is>
      </c>
      <c r="BX1011"/>
      <c r="BY1011"/>
      <c r="BZ1011" s="4"/>
      <c r="CA1011"/>
      <c r="CB1011"/>
      <c r="CC1011" s="4"/>
      <c r="CD1011" t="inlineStr">
        <is>
          <t>20</t>
        </is>
      </c>
      <c r="CE1011" t="inlineStr">
        <is>
          <t>0</t>
        </is>
      </c>
      <c r="CF1011" t="inlineStr">
        <is>
          <t>Q2-W03</t>
        </is>
      </c>
      <c r="CG1011"/>
      <c r="CH1011"/>
      <c r="CI1011"/>
      <c r="CJ1011" t="inlineStr">
        <is>
          <t>Paid</t>
        </is>
      </c>
      <c r="CK1011" t="inlineStr">
        <is>
          <t>Not Eligible</t>
        </is>
      </c>
      <c r="CL1011"/>
      <c r="CM1011"/>
    </row>
    <row r="1012" ht="25.5" customHeight="1">
      <c r="A1012" t="inlineStr">
        <is>
          <t>191176</t>
        </is>
      </c>
      <c r="B1012" s="2"/>
      <c r="C1012"/>
      <c r="D1012" s="3">
        <v>46132.45600694444</v>
      </c>
      <c r="E1012" t="inlineStr">
        <is>
          <t>Q2-W03</t>
        </is>
      </c>
      <c r="F1012" t="inlineStr">
        <is>
          <t>Fariz</t>
        </is>
      </c>
      <c r="G1012" t="inlineStr">
        <is>
          <t>Customer</t>
        </is>
      </c>
      <c r="H1012" s="2" t="str">
        <f>=HYPERLINK("https://upbox.ajobthing.my/customer/191176", "https://upbox.ajobthing.my/customer/191176")</f>
        <v>https://upbox.ajobthing.my/customer/191176</v>
      </c>
      <c r="I1012" t="inlineStr">
        <is>
          <t>Pmbk Az-zahab Sdn Bhd</t>
        </is>
      </c>
      <c r="J1012" t="inlineStr">
        <is>
          <t>Small Fish</t>
        </is>
      </c>
      <c r="K1012" t="inlineStr">
        <is>
          <t>Fariz</t>
        </is>
      </c>
      <c r="L1012" s="4"/>
      <c r="M1012" s="4">
        <v>46132.457662037035</v>
      </c>
      <c r="N1012"/>
      <c r="O1012">
        <v>3888</v>
      </c>
      <c r="P1012" s="4"/>
      <c r="Q1012" s="4"/>
      <c r="R1012"/>
      <c r="S1012"/>
      <c r="T1012" s="4"/>
      <c r="U1012" s="4"/>
      <c r="V1012"/>
      <c r="W1012"/>
      <c r="X1012"/>
      <c r="Y1012" t="inlineStr">
        <is>
          <t>Pending Appointment</t>
        </is>
      </c>
      <c r="Z1012" t="inlineStr">
        <is>
          <t>Hiring Later</t>
        </is>
      </c>
      <c r="AA1012">
        <v>1</v>
      </c>
      <c r="AB1012" t="inlineStr">
        <is>
          <t>No Appointment Made</t>
        </is>
      </c>
      <c r="AC1012"/>
      <c r="AD1012" t="inlineStr">
        <is>
          <t>1 admin</t>
        </is>
      </c>
      <c r="AE1012"/>
      <c r="AF1012">
        <v>3600</v>
      </c>
      <c r="AG1012" s="4"/>
      <c r="AH1012" s="4"/>
      <c r="AI1012">
        <v>4000</v>
      </c>
      <c r="AJ1012"/>
      <c r="AK1012" t="inlineStr">
        <is>
          <t>No, I don't need at all</t>
        </is>
      </c>
      <c r="AL1012">
        <v>1</v>
      </c>
      <c r="AM1012" t="inlineStr">
        <is>
          <t>No, I don't need at all</t>
        </is>
      </c>
      <c r="AN1012"/>
      <c r="AO1012" t="inlineStr">
        <is>
          <t>No, but I want in future</t>
        </is>
      </c>
      <c r="AP1012" t="inlineStr">
        <is>
          <t>Once a year (25%)</t>
        </is>
      </c>
      <c r="AQ1012">
        <v>1</v>
      </c>
      <c r="AR1012" t="inlineStr">
        <is>
          <t>Free Job Portal</t>
        </is>
      </c>
      <c r="AS1012" t="inlineStr">
        <is>
          <t>- Headcount: 1
- Hiring Job Details: 1 admin
- Hiring Urgency: Hiring Later
- Number of outlets: 
- Have recruiter team: No, I don't need at all
- Number of recruiter in company: 1
- Have ATS system: No, I don't need at all
- Have career website: No, but I want in future
- Current hiring budget: RM3,600
- Whole year budget: RM4,000.00
- Whole year number of vacancies: 1
- Hiring frequency: Once a year (25%)
- External job portal: Free Job Portal</t>
        </is>
      </c>
      <c r="AT1012">
        <v>110</v>
      </c>
      <c r="AU1012" t="inlineStr">
        <is>
          <t>1.10</t>
        </is>
      </c>
      <c r="AV1012" t="inlineStr">
        <is>
          <t>15</t>
        </is>
      </c>
      <c r="AW1012" t="inlineStr">
        <is>
          <t>0</t>
        </is>
      </c>
      <c r="AX1012" t="inlineStr">
        <is>
          <t>Not Qualified</t>
        </is>
      </c>
      <c r="AY1012" s="4"/>
      <c r="AZ1012"/>
      <c r="BA1012"/>
      <c r="BB1012"/>
      <c r="BC1012" t="inlineStr">
        <is>
          <t>na</t>
        </is>
      </c>
      <c r="BD1012" s="4">
        <v>46139.436689814815</v>
      </c>
      <c r="BE1012"/>
      <c r="BF1012"/>
      <c r="BG1012" t="inlineStr">
        <is>
          <t>Reschedule</t>
        </is>
      </c>
      <c r="BH1012" t="inlineStr">
        <is>
          <t>Edward Hoo</t>
        </is>
      </c>
      <c r="BI1012" t="inlineStr">
        <is>
          <t>Mining</t>
        </is>
      </c>
      <c r="BJ1012" s="4">
        <v>46144.75239583333</v>
      </c>
      <c r="BK1012" s="4">
        <v>45790.59983796296</v>
      </c>
      <c r="BL1012" t="inlineStr">
        <is>
          <t>0.0</t>
        </is>
      </c>
      <c r="BM1012" t="inlineStr">
        <is>
          <t>0.0</t>
        </is>
      </c>
      <c r="BN1012" t="inlineStr">
        <is>
          <t>View Account User</t>
        </is>
      </c>
      <c r="BO1012" s="4">
        <v>45790.62511574074</v>
      </c>
      <c r="BP1012">
        <v>167783</v>
      </c>
      <c r="BQ1012"/>
      <c r="BR1012"/>
      <c r="BS1012"/>
      <c r="BT1012"/>
      <c r="BU1012"/>
      <c r="BV1012">
        <v>2728378</v>
      </c>
      <c r="BW1012" t="inlineStr">
        <is>
          <t>No Answer : Voicemail - WA sent to customer</t>
        </is>
      </c>
      <c r="BX1012"/>
      <c r="BY1012"/>
      <c r="BZ1012" s="4"/>
      <c r="CA1012"/>
      <c r="CB1012"/>
      <c r="CC1012" s="4"/>
      <c r="CD1012" t="inlineStr">
        <is>
          <t>20</t>
        </is>
      </c>
      <c r="CE1012" t="inlineStr">
        <is>
          <t>0</t>
        </is>
      </c>
      <c r="CF1012" t="inlineStr">
        <is>
          <t>Q2-W03</t>
        </is>
      </c>
      <c r="CG1012"/>
      <c r="CH1012"/>
      <c r="CI1012"/>
      <c r="CJ1012" t="inlineStr">
        <is>
          <t>No Paid</t>
        </is>
      </c>
      <c r="CK1012" t="inlineStr">
        <is>
          <t>Not Eligible</t>
        </is>
      </c>
      <c r="CL1012"/>
      <c r="CM1012"/>
    </row>
    <row r="1013" ht="25.5" customHeight="1">
      <c r="A1013" t="inlineStr">
        <is>
          <t>156816</t>
        </is>
      </c>
      <c r="B1013" s="2"/>
      <c r="C1013"/>
      <c r="D1013" s="3">
        <v>46132.45805555556</v>
      </c>
      <c r="E1013" t="inlineStr">
        <is>
          <t>Q2-W03</t>
        </is>
      </c>
      <c r="F1013" t="inlineStr">
        <is>
          <t>Josh</t>
        </is>
      </c>
      <c r="G1013" t="inlineStr">
        <is>
          <t>Customer</t>
        </is>
      </c>
      <c r="H1013" s="2" t="str">
        <f>=HYPERLINK("https://upbox.ajobthing.my/customer/156816", "https://upbox.ajobthing.my/customer/156816")</f>
        <v>https://upbox.ajobthing.my/customer/156816</v>
      </c>
      <c r="I1013" t="inlineStr">
        <is>
          <t>Reliance Pacific Tanks Sdn Bhd</t>
        </is>
      </c>
      <c r="J1013" t="inlineStr">
        <is>
          <t>Small Fish</t>
        </is>
      </c>
      <c r="K1013" t="inlineStr">
        <is>
          <t>Josh</t>
        </is>
      </c>
      <c r="L1013" s="4"/>
      <c r="M1013" s="4">
        <v>46132.45846064815</v>
      </c>
      <c r="N1013"/>
      <c r="O1013">
        <v>6048</v>
      </c>
      <c r="P1013" s="4"/>
      <c r="Q1013" s="4">
        <v>45194.70202546296</v>
      </c>
      <c r="R1013"/>
      <c r="S1013">
        <v>636</v>
      </c>
      <c r="T1013" s="4">
        <v>45194.70202546296</v>
      </c>
      <c r="U1013" s="4"/>
      <c r="V1013"/>
      <c r="W1013">
        <v>636</v>
      </c>
      <c r="X1013"/>
      <c r="Y1013" t="inlineStr">
        <is>
          <t>Pending Appointment</t>
        </is>
      </c>
      <c r="Z1013" t="inlineStr">
        <is>
          <t>Hiring Later</t>
        </is>
      </c>
      <c r="AA1013">
        <v>1</v>
      </c>
      <c r="AB1013" t="inlineStr">
        <is>
          <t>No Appointment Made</t>
        </is>
      </c>
      <c r="AC1013"/>
      <c r="AD1013" t="inlineStr">
        <is>
          <t xml:space="preserve">1 admin </t>
        </is>
      </c>
      <c r="AE1013"/>
      <c r="AF1013">
        <v>3000</v>
      </c>
      <c r="AG1013" s="4"/>
      <c r="AH1013" s="4"/>
      <c r="AI1013"/>
      <c r="AJ1013"/>
      <c r="AK1013" t="inlineStr">
        <is>
          <t>Yes, I have</t>
        </is>
      </c>
      <c r="AL1013">
        <v>1</v>
      </c>
      <c r="AM1013"/>
      <c r="AN1013"/>
      <c r="AO1013"/>
      <c r="AP1013" t="inlineStr">
        <is>
          <t>Once a year (25%)</t>
        </is>
      </c>
      <c r="AQ1013"/>
      <c r="AR1013"/>
      <c r="AS1013" t="inlineStr">
        <is>
          <t>- Headcount: 1
- Hiring Job Details: 1 admin
- Hiring Urgency: Hiring Later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is>
      </c>
      <c r="AT1013">
        <v>75</v>
      </c>
      <c r="AU1013" t="inlineStr">
        <is>
          <t>0.75</t>
        </is>
      </c>
      <c r="AV1013" t="inlineStr">
        <is>
          <t>15</t>
        </is>
      </c>
      <c r="AW1013" t="inlineStr">
        <is>
          <t>0</t>
        </is>
      </c>
      <c r="AX1013" t="inlineStr">
        <is>
          <t>Not Qualified</t>
        </is>
      </c>
      <c r="AY1013" s="4"/>
      <c r="AZ1013"/>
      <c r="BA1013"/>
      <c r="BB1013"/>
      <c r="BC1013" t="inlineStr">
        <is>
          <t>admin still havent fulfill, may share current offer</t>
        </is>
      </c>
      <c r="BD1013" s="4">
        <v>46132.45914351852</v>
      </c>
      <c r="BE1013" t="inlineStr">
        <is>
          <t>paid</t>
        </is>
      </c>
      <c r="BF1013"/>
      <c r="BG1013" t="inlineStr">
        <is>
          <t>Reschedule</t>
        </is>
      </c>
      <c r="BH1013" t="inlineStr">
        <is>
          <t>Fauziah Maharan</t>
        </is>
      </c>
      <c r="BI1013" t="inlineStr">
        <is>
          <t>Manufacturing / Production</t>
        </is>
      </c>
      <c r="BJ1013" s="4">
        <v>46144.75099537037</v>
      </c>
      <c r="BK1013" s="4">
        <v>44749.62048611111</v>
      </c>
      <c r="BL1013" t="inlineStr">
        <is>
          <t>0.0</t>
        </is>
      </c>
      <c r="BM1013" t="inlineStr">
        <is>
          <t>0.0</t>
        </is>
      </c>
      <c r="BN1013" t="inlineStr">
        <is>
          <t>View Jobmanager Page</t>
        </is>
      </c>
      <c r="BO1013" s="4">
        <v>45267.40568287037</v>
      </c>
      <c r="BP1013">
        <v>167784</v>
      </c>
      <c r="BQ1013">
        <v>62424</v>
      </c>
      <c r="BR1013" t="inlineStr">
        <is>
          <t>Online</t>
        </is>
      </c>
      <c r="BS1013"/>
      <c r="BT1013">
        <v>62424</v>
      </c>
      <c r="BU1013"/>
      <c r="BV1013">
        <v>2715051</v>
      </c>
      <c r="BW1013" t="inlineStr">
        <is>
          <t>Inquire for Hiring Needs : Quotation Sent 50%</t>
        </is>
      </c>
      <c r="BX1013"/>
      <c r="BY1013"/>
      <c r="BZ1013" s="4"/>
      <c r="CA1013"/>
      <c r="CB1013"/>
      <c r="CC1013" s="4"/>
      <c r="CD1013" t="inlineStr">
        <is>
          <t>20</t>
        </is>
      </c>
      <c r="CE1013" t="inlineStr">
        <is>
          <t>0</t>
        </is>
      </c>
      <c r="CF1013" t="inlineStr">
        <is>
          <t>Q2-W03</t>
        </is>
      </c>
      <c r="CG1013"/>
      <c r="CH1013"/>
      <c r="CI1013"/>
      <c r="CJ1013" t="inlineStr">
        <is>
          <t>Paid</t>
        </is>
      </c>
      <c r="CK1013" t="inlineStr">
        <is>
          <t>Not Eligible</t>
        </is>
      </c>
      <c r="CL1013"/>
      <c r="CM1013"/>
    </row>
    <row r="1014" ht="25.5" customHeight="1">
      <c r="A1014" t="inlineStr">
        <is>
          <t>170747</t>
        </is>
      </c>
      <c r="B1014" s="2"/>
      <c r="C1014"/>
      <c r="D1014" s="3">
        <v>46132.46570601852</v>
      </c>
      <c r="E1014" t="inlineStr">
        <is>
          <t>Q2-W03</t>
        </is>
      </c>
      <c r="F1014" t="inlineStr">
        <is>
          <t>Luqman</t>
        </is>
      </c>
      <c r="G1014" t="inlineStr">
        <is>
          <t>Customer</t>
        </is>
      </c>
      <c r="H1014" s="2" t="str">
        <f>=HYPERLINK("https://upbox.ajobthing.my/customer/170747", "https://upbox.ajobthing.my/customer/170747")</f>
        <v>https://upbox.ajobthing.my/customer/170747</v>
      </c>
      <c r="I1014" t="inlineStr">
        <is>
          <t>Revolusi Rancak Sdn Bhd</t>
        </is>
      </c>
      <c r="J1014" t="inlineStr">
        <is>
          <t>Small Fish</t>
        </is>
      </c>
      <c r="K1014" t="inlineStr">
        <is>
          <t>Luqman</t>
        </is>
      </c>
      <c r="L1014" s="4"/>
      <c r="M1014" s="4">
        <v>46132.46604166667</v>
      </c>
      <c r="N1014"/>
      <c r="O1014">
        <v>3888</v>
      </c>
      <c r="P1014" s="4"/>
      <c r="Q1014" s="4">
        <v>45181.572164351855</v>
      </c>
      <c r="R1014"/>
      <c r="S1014">
        <v>636</v>
      </c>
      <c r="T1014" s="4">
        <v>45181.572164351855</v>
      </c>
      <c r="U1014" s="4"/>
      <c r="V1014"/>
      <c r="W1014">
        <v>636</v>
      </c>
      <c r="X1014"/>
      <c r="Y1014" t="inlineStr">
        <is>
          <t>Pending Appointment</t>
        </is>
      </c>
      <c r="Z1014" t="inlineStr">
        <is>
          <t>Hiring Later</t>
        </is>
      </c>
      <c r="AA1014">
        <v>1</v>
      </c>
      <c r="AB1014" t="inlineStr">
        <is>
          <t>No Appointment Made</t>
        </is>
      </c>
      <c r="AC1014"/>
      <c r="AD1014" t="inlineStr">
        <is>
          <t xml:space="preserve">1. Consultant </t>
        </is>
      </c>
      <c r="AE1014"/>
      <c r="AF1014">
        <v>1200</v>
      </c>
      <c r="AG1014" s="4"/>
      <c r="AH1014" s="4"/>
      <c r="AI1014">
        <v>1200</v>
      </c>
      <c r="AJ1014"/>
      <c r="AK1014" t="inlineStr">
        <is>
          <t>No, I don't need at all</t>
        </is>
      </c>
      <c r="AL1014">
        <v>1</v>
      </c>
      <c r="AM1014" t="inlineStr">
        <is>
          <t>No, I don't need at all</t>
        </is>
      </c>
      <c r="AN1014"/>
      <c r="AO1014" t="inlineStr">
        <is>
          <t>No, I don't need at all</t>
        </is>
      </c>
      <c r="AP1014" t="inlineStr">
        <is>
          <t>Once a year (25%)</t>
        </is>
      </c>
      <c r="AQ1014">
        <v>2</v>
      </c>
      <c r="AR1014" t="inlineStr">
        <is>
          <t>Free Job Portal</t>
        </is>
      </c>
      <c r="AS1014" t="inlineStr">
        <is>
          <t>- Headcount: 1
- Hiring Job Details: 1 Consultant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is>
      </c>
      <c r="AT1014">
        <v>105</v>
      </c>
      <c r="AU1014" t="inlineStr">
        <is>
          <t>1.05</t>
        </is>
      </c>
      <c r="AV1014" t="inlineStr">
        <is>
          <t>15</t>
        </is>
      </c>
      <c r="AW1014" t="inlineStr">
        <is>
          <t>0</t>
        </is>
      </c>
      <c r="AX1014" t="inlineStr">
        <is>
          <t>Not Qualified</t>
        </is>
      </c>
      <c r="AY1014" s="4"/>
      <c r="AZ1014"/>
      <c r="BA1014"/>
      <c r="BB1014"/>
      <c r="BC1014" t="inlineStr">
        <is>
          <t>Finalize candidates via Indeed.</t>
        </is>
      </c>
      <c r="BD1014" s="4">
        <v>46135.69949074074</v>
      </c>
      <c r="BE1014" t="inlineStr">
        <is>
          <t>paid</t>
        </is>
      </c>
      <c r="BF1014"/>
      <c r="BG1014" t="inlineStr">
        <is>
          <t>Reschedule</t>
        </is>
      </c>
      <c r="BH1014" t="inlineStr">
        <is>
          <t>Edward Hoo</t>
        </is>
      </c>
      <c r="BI1014" t="inlineStr">
        <is>
          <t>Agriculture / Poultry / Fisheries</t>
        </is>
      </c>
      <c r="BJ1014" s="4">
        <v>46144.75142361111</v>
      </c>
      <c r="BK1014" s="4">
        <v>45174.50743055555</v>
      </c>
      <c r="BL1014" t="inlineStr">
        <is>
          <t>0.0</t>
        </is>
      </c>
      <c r="BM1014" t="inlineStr">
        <is>
          <t>0.0</t>
        </is>
      </c>
      <c r="BN1014" t="inlineStr">
        <is>
          <t>View Applicant Page</t>
        </is>
      </c>
      <c r="BO1014" s="4">
        <v>45182.68646990741</v>
      </c>
      <c r="BP1014">
        <v>167791</v>
      </c>
      <c r="BQ1014">
        <v>62065</v>
      </c>
      <c r="BR1014" t="inlineStr">
        <is>
          <t>Online</t>
        </is>
      </c>
      <c r="BS1014"/>
      <c r="BT1014">
        <v>62065</v>
      </c>
      <c r="BU1014"/>
      <c r="BV1014">
        <v>2724863</v>
      </c>
      <c r="BW1014" t="inlineStr">
        <is>
          <t>Follow Up : Lost - Free Portal</t>
        </is>
      </c>
      <c r="BX1014"/>
      <c r="BY1014"/>
      <c r="BZ1014" s="4"/>
      <c r="CA1014"/>
      <c r="CB1014"/>
      <c r="CC1014" s="4"/>
      <c r="CD1014" t="inlineStr">
        <is>
          <t>20</t>
        </is>
      </c>
      <c r="CE1014" t="inlineStr">
        <is>
          <t>0</t>
        </is>
      </c>
      <c r="CF1014" t="inlineStr">
        <is>
          <t>Q2-W03</t>
        </is>
      </c>
      <c r="CG1014"/>
      <c r="CH1014"/>
      <c r="CI1014"/>
      <c r="CJ1014" t="inlineStr">
        <is>
          <t>Paid</t>
        </is>
      </c>
      <c r="CK1014" t="inlineStr">
        <is>
          <t>Not Eligible</t>
        </is>
      </c>
      <c r="CL1014"/>
      <c r="CM1014"/>
    </row>
    <row r="1015" ht="25.5" customHeight="1">
      <c r="A1015" t="inlineStr">
        <is>
          <t>203383</t>
        </is>
      </c>
      <c r="B1015" s="2"/>
      <c r="C1015"/>
      <c r="D1015" s="3">
        <v>46132.46774305555</v>
      </c>
      <c r="E1015" t="inlineStr">
        <is>
          <t>Q2-W03</t>
        </is>
      </c>
      <c r="F1015" t="inlineStr">
        <is>
          <t>Lucas</t>
        </is>
      </c>
      <c r="G1015" t="inlineStr">
        <is>
          <t>Customer</t>
        </is>
      </c>
      <c r="H1015" s="2" t="str">
        <f>=HYPERLINK("https://upbox.ajobthing.my/customer/203383", "https://upbox.ajobthing.my/customer/203383")</f>
        <v>https://upbox.ajobthing.my/customer/203383</v>
      </c>
      <c r="I1015" t="inlineStr">
        <is>
          <t>Fong Len Electrical Engineering Sdn. Bhd.</t>
        </is>
      </c>
      <c r="J1015" t="inlineStr">
        <is>
          <t>Small Fish</t>
        </is>
      </c>
      <c r="K1015" t="inlineStr">
        <is>
          <t>Lucas</t>
        </is>
      </c>
      <c r="L1015" s="4"/>
      <c r="M1015" s="4">
        <v>46132.465578703705</v>
      </c>
      <c r="N1015"/>
      <c r="O1015">
        <v>3888</v>
      </c>
      <c r="P1015" s="4"/>
      <c r="Q1015" s="4">
        <v>46142.646574074075</v>
      </c>
      <c r="R1015"/>
      <c r="S1015">
        <v>1296</v>
      </c>
      <c r="T1015" s="4"/>
      <c r="U1015" s="4"/>
      <c r="V1015"/>
      <c r="W1015"/>
      <c r="X1015"/>
      <c r="Y1015" t="inlineStr">
        <is>
          <t>Pending Appointment</t>
        </is>
      </c>
      <c r="Z1015" t="inlineStr">
        <is>
          <t>Hiring Now</t>
        </is>
      </c>
      <c r="AA1015">
        <v>2</v>
      </c>
      <c r="AB1015" t="inlineStr">
        <is>
          <t>No Appointment Made</t>
        </is>
      </c>
      <c r="AC1015"/>
      <c r="AD1015" t="inlineStr">
        <is>
          <t xml:space="preserve">1 account executive , 1 project engineering </t>
        </is>
      </c>
      <c r="AE1015"/>
      <c r="AF1015">
        <v>0</v>
      </c>
      <c r="AG1015" s="4"/>
      <c r="AH1015" s="4"/>
      <c r="AI1015">
        <v>0</v>
      </c>
      <c r="AJ1015"/>
      <c r="AK1015" t="inlineStr">
        <is>
          <t>No, I don't need at all</t>
        </is>
      </c>
      <c r="AL1015">
        <v>0</v>
      </c>
      <c r="AM1015" t="inlineStr">
        <is>
          <t>No, I don't need at all</t>
        </is>
      </c>
      <c r="AN1015"/>
      <c r="AO1015" t="inlineStr">
        <is>
          <t>No, I don't need at all</t>
        </is>
      </c>
      <c r="AP1015" t="inlineStr">
        <is>
          <t>Once a year (25%)</t>
        </is>
      </c>
      <c r="AQ1015">
        <v>2</v>
      </c>
      <c r="AR1015" t="inlineStr">
        <is>
          <t>Did not use any job portal</t>
        </is>
      </c>
      <c r="AS1015" t="inlineStr">
        <is>
          <t>- Headcount: 2
- Hiring Job Details: 1 account executive, 1 project engineering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015">
        <v>110</v>
      </c>
      <c r="AU1015" t="inlineStr">
        <is>
          <t>1.10</t>
        </is>
      </c>
      <c r="AV1015" t="inlineStr">
        <is>
          <t>15</t>
        </is>
      </c>
      <c r="AW1015" t="inlineStr">
        <is>
          <t>0</t>
        </is>
      </c>
      <c r="AX1015" t="inlineStr">
        <is>
          <t>Not Qualified</t>
        </is>
      </c>
      <c r="AY1015" s="4"/>
      <c r="AZ1015"/>
      <c r="BA1015"/>
      <c r="BB1015"/>
      <c r="BC1015" t="inlineStr">
        <is>
          <t>req 1 alacart RM1296, PFI send</t>
        </is>
      </c>
      <c r="BD1015" s="4">
        <v>46142.648831018516</v>
      </c>
      <c r="BE1015" t="inlineStr">
        <is>
          <t>pending</t>
        </is>
      </c>
      <c r="BF1015"/>
      <c r="BG1015" t="inlineStr">
        <is>
          <t>Reschedule</t>
        </is>
      </c>
      <c r="BH1015" t="inlineStr">
        <is>
          <t>Yee Hang</t>
        </is>
      </c>
      <c r="BI1015" t="inlineStr">
        <is>
          <t>Electrical / Electronics</t>
        </is>
      </c>
      <c r="BJ1015" s="4">
        <v>46144.75430555556</v>
      </c>
      <c r="BK1015" s="4">
        <v>46130.49896990741</v>
      </c>
      <c r="BL1015" t="inlineStr">
        <is>
          <t>0.0</t>
        </is>
      </c>
      <c r="BM1015" t="inlineStr">
        <is>
          <t>0.0</t>
        </is>
      </c>
      <c r="BN1015" t="inlineStr">
        <is>
          <t>View Company Page</t>
        </is>
      </c>
      <c r="BO1015" s="4">
        <v>46132.66878472222</v>
      </c>
      <c r="BP1015">
        <v>167790</v>
      </c>
      <c r="BQ1015">
        <v>124205</v>
      </c>
      <c r="BR1015" t="inlineStr">
        <is>
          <t>Proforma</t>
        </is>
      </c>
      <c r="BS1015" t="inlineStr">
        <is>
          <t>AI Ala Carte (Jan 26) Plus</t>
        </is>
      </c>
      <c r="BT1015"/>
      <c r="BU1015"/>
      <c r="BV1015">
        <v>2737989</v>
      </c>
      <c r="BW1015" t="inlineStr">
        <is>
          <t>Follow Up : Invoice Sent 75%</t>
        </is>
      </c>
      <c r="BX1015"/>
      <c r="BY1015"/>
      <c r="BZ1015" s="4"/>
      <c r="CA1015"/>
      <c r="CB1015"/>
      <c r="CC1015" s="4"/>
      <c r="CD1015" t="inlineStr">
        <is>
          <t>20</t>
        </is>
      </c>
      <c r="CE1015" t="inlineStr">
        <is>
          <t>0</t>
        </is>
      </c>
      <c r="CF1015" t="inlineStr">
        <is>
          <t>Q2-W03</t>
        </is>
      </c>
      <c r="CG1015" t="inlineStr">
        <is>
          <t>Q2-W04</t>
        </is>
      </c>
      <c r="CH1015"/>
      <c r="CI1015"/>
      <c r="CJ1015" t="inlineStr">
        <is>
          <t>No Paid</t>
        </is>
      </c>
      <c r="CK1015" t="inlineStr">
        <is>
          <t>Not Eligible</t>
        </is>
      </c>
      <c r="CL1015"/>
      <c r="CM1015"/>
    </row>
    <row r="1016" ht="25.5" customHeight="1">
      <c r="A1016" t="inlineStr">
        <is>
          <t>203406</t>
        </is>
      </c>
      <c r="B1016" s="2"/>
      <c r="C1016"/>
      <c r="D1016" s="3">
        <v>46132.47038194445</v>
      </c>
      <c r="E1016" t="inlineStr">
        <is>
          <t>Q2-W03</t>
        </is>
      </c>
      <c r="F1016" t="inlineStr">
        <is>
          <t>Eugene</t>
        </is>
      </c>
      <c r="G1016" t="inlineStr">
        <is>
          <t>Customer</t>
        </is>
      </c>
      <c r="H1016" s="2" t="str">
        <f>=HYPERLINK("https://upbox.ajobthing.my/customer/203406", "https://upbox.ajobthing.my/customer/203406")</f>
        <v>https://upbox.ajobthing.my/customer/203406</v>
      </c>
      <c r="I1016" t="inlineStr">
        <is>
          <t>Mamu Sheikh Dawood</t>
        </is>
      </c>
      <c r="J1016" t="inlineStr">
        <is>
          <t>Small Fish</t>
        </is>
      </c>
      <c r="K1016" t="inlineStr">
        <is>
          <t>Eugene</t>
        </is>
      </c>
      <c r="L1016" s="4"/>
      <c r="M1016" s="4">
        <v>46132.470717592594</v>
      </c>
      <c r="N1016"/>
      <c r="O1016">
        <v>1296</v>
      </c>
      <c r="P1016" s="4"/>
      <c r="Q1016" s="4"/>
      <c r="R1016"/>
      <c r="S1016"/>
      <c r="T1016" s="4"/>
      <c r="U1016" s="4"/>
      <c r="V1016"/>
      <c r="W1016"/>
      <c r="X1016"/>
      <c r="Y1016" t="inlineStr">
        <is>
          <t>Pending Appointment</t>
        </is>
      </c>
      <c r="Z1016" t="inlineStr">
        <is>
          <t>Hiring Now</t>
        </is>
      </c>
      <c r="AA1016">
        <v>1</v>
      </c>
      <c r="AB1016" t="inlineStr">
        <is>
          <t>No Appointment Made</t>
        </is>
      </c>
      <c r="AC1016"/>
      <c r="AD1016" t="inlineStr">
        <is>
          <t>1 marketing assistant, based in KL</t>
        </is>
      </c>
      <c r="AE1016"/>
      <c r="AF1016">
        <v>1200</v>
      </c>
      <c r="AG1016" s="4"/>
      <c r="AH1016" s="4"/>
      <c r="AI1016">
        <v>3000</v>
      </c>
      <c r="AJ1016">
        <v>1</v>
      </c>
      <c r="AK1016" t="inlineStr">
        <is>
          <t>No, I don't need at all</t>
        </is>
      </c>
      <c r="AL1016">
        <v>1</v>
      </c>
      <c r="AM1016" t="inlineStr">
        <is>
          <t>No, I don't need at all</t>
        </is>
      </c>
      <c r="AN1016"/>
      <c r="AO1016" t="inlineStr">
        <is>
          <t>No, I don't need at all</t>
        </is>
      </c>
      <c r="AP1016" t="inlineStr">
        <is>
          <t>Twice a year (50%)</t>
        </is>
      </c>
      <c r="AQ1016">
        <v>2</v>
      </c>
      <c r="AR1016" t="inlineStr">
        <is>
          <t>Free Job Portal</t>
        </is>
      </c>
      <c r="AS1016" t="inlineStr">
        <is>
          <t>- Headcount: 1
- Hiring Job Details: 1 marketing assistant,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2
- Hiring frequency: Twice a year (50%)
- External job portal: Free Job Portal</t>
        </is>
      </c>
      <c r="AT1016">
        <v>110</v>
      </c>
      <c r="AU1016" t="inlineStr">
        <is>
          <t>1.10</t>
        </is>
      </c>
      <c r="AV1016" t="inlineStr">
        <is>
          <t>15</t>
        </is>
      </c>
      <c r="AW1016" t="inlineStr">
        <is>
          <t>0</t>
        </is>
      </c>
      <c r="AX1016" t="inlineStr">
        <is>
          <t>Not Qualified</t>
        </is>
      </c>
      <c r="AY1016" s="4"/>
      <c r="AZ1016"/>
      <c r="BA1016"/>
      <c r="BB1016"/>
      <c r="BC1016" t="inlineStr">
        <is>
          <t>- Headcount: 1
- Hiring Job Details: 1 marketing assistant,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2
- Hiring frequency: Twice a year (50%)
- External job portal: Free Job Portal</t>
        </is>
      </c>
      <c r="BD1016" s="4">
        <v>46132.50003472222</v>
      </c>
      <c r="BE1016"/>
      <c r="BF1016"/>
      <c r="BG1016" t="inlineStr">
        <is>
          <t>Reschedule</t>
        </is>
      </c>
      <c r="BH1016" t="inlineStr">
        <is>
          <t>Edward Hoo</t>
        </is>
      </c>
      <c r="BI1016"/>
      <c r="BJ1016" s="4">
        <v>46144.75430555556</v>
      </c>
      <c r="BK1016" s="4">
        <v>46132.03449074074</v>
      </c>
      <c r="BL1016" t="inlineStr">
        <is>
          <t>0.0</t>
        </is>
      </c>
      <c r="BM1016" t="inlineStr">
        <is>
          <t>0.0</t>
        </is>
      </c>
      <c r="BN1016" t="inlineStr">
        <is>
          <t>View Company Page</t>
        </is>
      </c>
      <c r="BO1016" s="4">
        <v>46132.06704861111</v>
      </c>
      <c r="BP1016">
        <v>167795</v>
      </c>
      <c r="BQ1016"/>
      <c r="BR1016"/>
      <c r="BS1016"/>
      <c r="BT1016"/>
      <c r="BU1016"/>
      <c r="BV1016">
        <v>2715295</v>
      </c>
      <c r="BW1016" t="inlineStr">
        <is>
          <t>Customer Inquiry</t>
        </is>
      </c>
      <c r="BX1016"/>
      <c r="BY1016"/>
      <c r="BZ1016" s="4"/>
      <c r="CA1016"/>
      <c r="CB1016"/>
      <c r="CC1016" s="4"/>
      <c r="CD1016" t="inlineStr">
        <is>
          <t>20</t>
        </is>
      </c>
      <c r="CE1016" t="inlineStr">
        <is>
          <t>0</t>
        </is>
      </c>
      <c r="CF1016" t="inlineStr">
        <is>
          <t>Q2-W03</t>
        </is>
      </c>
      <c r="CG1016"/>
      <c r="CH1016"/>
      <c r="CI1016"/>
      <c r="CJ1016" t="inlineStr">
        <is>
          <t>No Paid</t>
        </is>
      </c>
      <c r="CK1016" t="inlineStr">
        <is>
          <t>Not Eligible</t>
        </is>
      </c>
      <c r="CL1016"/>
      <c r="CM1016"/>
    </row>
    <row r="1017" ht="25.5" customHeight="1">
      <c r="A1017" t="inlineStr">
        <is>
          <t>172923</t>
        </is>
      </c>
      <c r="B1017" s="2"/>
      <c r="C1017"/>
      <c r="D1017" s="3">
        <v>46132.47143518519</v>
      </c>
      <c r="E1017" t="inlineStr">
        <is>
          <t>Q2-W03</t>
        </is>
      </c>
      <c r="F1017" t="inlineStr">
        <is>
          <t>Clover</t>
        </is>
      </c>
      <c r="G1017" t="inlineStr">
        <is>
          <t>Customer</t>
        </is>
      </c>
      <c r="H1017" s="2" t="str">
        <f>=HYPERLINK("https://upbox.ajobthing.my/customer/172923", "https://upbox.ajobthing.my/customer/172923")</f>
        <v>https://upbox.ajobthing.my/customer/172923</v>
      </c>
      <c r="I1017" t="inlineStr">
        <is>
          <t>Oxyz Health &amp; Wellness</t>
        </is>
      </c>
      <c r="J1017" t="inlineStr">
        <is>
          <t>Small Fish</t>
        </is>
      </c>
      <c r="K1017" t="inlineStr">
        <is>
          <t>Clover</t>
        </is>
      </c>
      <c r="L1017" s="4"/>
      <c r="M1017" s="4">
        <v>46132.470671296294</v>
      </c>
      <c r="N1017"/>
      <c r="O1017">
        <v>6048</v>
      </c>
      <c r="P1017" s="4"/>
      <c r="Q1017" s="4"/>
      <c r="R1017"/>
      <c r="S1017"/>
      <c r="T1017" s="4"/>
      <c r="U1017" s="4"/>
      <c r="V1017"/>
      <c r="W1017"/>
      <c r="X1017"/>
      <c r="Y1017" t="inlineStr">
        <is>
          <t>Pending Appointment</t>
        </is>
      </c>
      <c r="Z1017" t="inlineStr">
        <is>
          <t>Hiring Now</t>
        </is>
      </c>
      <c r="AA1017">
        <v>5.5</v>
      </c>
      <c r="AB1017" t="inlineStr">
        <is>
          <t>No Appointment Made</t>
        </is>
      </c>
      <c r="AC1017"/>
      <c r="AD1017" t="inlineStr">
        <is>
          <t>have hiring survey , hire health advisor x1,  beautician consultant x1-2. junior marketing exec x1, nutrition / dietitian x1, wholesale traditional medicine, bangsar kl, suggest pro</t>
        </is>
      </c>
      <c r="AE1017"/>
      <c r="AF1017">
        <v>5000</v>
      </c>
      <c r="AG1017" s="4"/>
      <c r="AH1017" s="4"/>
      <c r="AI1017">
        <v>5000</v>
      </c>
      <c r="AJ1017">
        <v>1</v>
      </c>
      <c r="AK1017" t="inlineStr">
        <is>
          <t>No, but I want in future</t>
        </is>
      </c>
      <c r="AL1017">
        <v>6</v>
      </c>
      <c r="AM1017" t="inlineStr">
        <is>
          <t>No, but I want in future</t>
        </is>
      </c>
      <c r="AN1017"/>
      <c r="AO1017" t="inlineStr">
        <is>
          <t>No, but I want in future</t>
        </is>
      </c>
      <c r="AP1017" t="inlineStr">
        <is>
          <t>Once per quarter (75%)</t>
        </is>
      </c>
      <c r="AQ1017">
        <v>2</v>
      </c>
      <c r="AR1017" t="inlineStr">
        <is>
          <t>Free Job Portal</t>
        </is>
      </c>
      <c r="AS1017" t="inlineStr">
        <is>
          <t>- Headcount: 6
- Hiring Job Details: have hiring survey, hire health advisor x1, beautician consultant x1-2, junior marketing exec x1, nutrition/dietitian x1, wholesale traditional medicine, bangsar kl, suggest pro
- Hiring Urgency: Hiring Now
- Number of outlets: 1
- Have recruiter team: No, but want in future
- Number of recruiter in company: 6
- Have ATS system: No, but want in future
- Have career website: No, but want in future
- Current hiring budget: RM5,000
- Whole year budget: RM5,000.00
- Whole year number of vacancies: 2
- Hiring frequency: Once per quarter (75%)
- External job portal: Free Job Portal</t>
        </is>
      </c>
      <c r="AT1017">
        <v>95</v>
      </c>
      <c r="AU1017" t="inlineStr">
        <is>
          <t>0.95</t>
        </is>
      </c>
      <c r="AV1017" t="inlineStr">
        <is>
          <t>20</t>
        </is>
      </c>
      <c r="AW1017" t="inlineStr">
        <is>
          <t>0</t>
        </is>
      </c>
      <c r="AX1017" t="inlineStr">
        <is>
          <t>Not Qualified</t>
        </is>
      </c>
      <c r="AY1017" s="4"/>
      <c r="AZ1017"/>
      <c r="BA1017"/>
      <c r="BB1017"/>
      <c r="BC1017" t="inlineStr">
        <is>
          <t>Reject, don't prefer paid portal, will advertise on their own website career page, PIC Mr Kelvin, prefer email only -  talent@oxyhealth.com , no WA</t>
        </is>
      </c>
      <c r="BD1017" s="4">
        <v>46134.69709490741</v>
      </c>
      <c r="BE1017"/>
      <c r="BF1017"/>
      <c r="BG1017" t="inlineStr">
        <is>
          <t>Reschedule</t>
        </is>
      </c>
      <c r="BH1017" t="inlineStr">
        <is>
          <t>Reagen</t>
        </is>
      </c>
      <c r="BI1017"/>
      <c r="BJ1017" s="4">
        <v>46144.75150462963</v>
      </c>
      <c r="BK1017" s="4">
        <v>45245.60020833334</v>
      </c>
      <c r="BL1017" t="inlineStr">
        <is>
          <t>0.0</t>
        </is>
      </c>
      <c r="BM1017" t="inlineStr">
        <is>
          <t>0.0</t>
        </is>
      </c>
      <c r="BN1017" t="inlineStr">
        <is>
          <t>View Company Page</t>
        </is>
      </c>
      <c r="BO1017" s="4">
        <v>46132.63321759259</v>
      </c>
      <c r="BP1017">
        <v>167794</v>
      </c>
      <c r="BQ1017"/>
      <c r="BR1017"/>
      <c r="BS1017"/>
      <c r="BT1017"/>
      <c r="BU1017"/>
      <c r="BV1017">
        <v>2721582</v>
      </c>
      <c r="BW1017" t="inlineStr">
        <is>
          <t>Follow Up : Lost - Free Portal</t>
        </is>
      </c>
      <c r="BX1017"/>
      <c r="BY1017"/>
      <c r="BZ1017" s="4"/>
      <c r="CA1017"/>
      <c r="CB1017"/>
      <c r="CC1017" s="4"/>
      <c r="CD1017" t="inlineStr">
        <is>
          <t>30</t>
        </is>
      </c>
      <c r="CE1017" t="inlineStr">
        <is>
          <t>0</t>
        </is>
      </c>
      <c r="CF1017" t="inlineStr">
        <is>
          <t>Q2-W03</t>
        </is>
      </c>
      <c r="CG1017"/>
      <c r="CH1017"/>
      <c r="CI1017"/>
      <c r="CJ1017" t="inlineStr">
        <is>
          <t>No Paid</t>
        </is>
      </c>
      <c r="CK1017" t="inlineStr">
        <is>
          <t>Not Eligible</t>
        </is>
      </c>
      <c r="CL1017"/>
      <c r="CM1017"/>
    </row>
    <row r="1018" ht="25.5" customHeight="1">
      <c r="A1018" t="inlineStr">
        <is>
          <t>203420</t>
        </is>
      </c>
      <c r="B1018" s="2"/>
      <c r="C1018"/>
      <c r="D1018" s="3">
        <v>46132.47756944445</v>
      </c>
      <c r="E1018" t="inlineStr">
        <is>
          <t>Q2-W03</t>
        </is>
      </c>
      <c r="F1018" t="inlineStr">
        <is>
          <t>Derek Lim</t>
        </is>
      </c>
      <c r="G1018" t="inlineStr">
        <is>
          <t>Customer</t>
        </is>
      </c>
      <c r="H1018" s="2" t="str">
        <f>=HYPERLINK("https://upbox.ajobthing.my/customer/203420", "https://upbox.ajobthing.my/customer/203420")</f>
        <v>https://upbox.ajobthing.my/customer/203420</v>
      </c>
      <c r="I1018" t="inlineStr">
        <is>
          <t>Harsoon Logistics Sdn Bhd</t>
        </is>
      </c>
      <c r="J1018" t="inlineStr">
        <is>
          <t>Small Fish</t>
        </is>
      </c>
      <c r="K1018" t="inlineStr">
        <is>
          <t>Derek Lim</t>
        </is>
      </c>
      <c r="L1018" s="4"/>
      <c r="M1018" s="4">
        <v>46141.422534722224</v>
      </c>
      <c r="N1018"/>
      <c r="O1018">
        <v>1296</v>
      </c>
      <c r="P1018" s="4"/>
      <c r="Q1018" s="4">
        <v>46132.46365740741</v>
      </c>
      <c r="R1018"/>
      <c r="S1018">
        <v>0</v>
      </c>
      <c r="T1018" s="4"/>
      <c r="U1018" s="4"/>
      <c r="V1018"/>
      <c r="W1018"/>
      <c r="X1018"/>
      <c r="Y1018" t="inlineStr">
        <is>
          <t>Pending Appointment</t>
        </is>
      </c>
      <c r="Z1018" t="inlineStr">
        <is>
          <t>Hiring Now</t>
        </is>
      </c>
      <c r="AA1018">
        <v>1</v>
      </c>
      <c r="AB1018" t="inlineStr">
        <is>
          <t>No Appointment Made</t>
        </is>
      </c>
      <c r="AC1018"/>
      <c r="AD1018" t="inlineStr">
        <is>
          <t>Assistant - 1</t>
        </is>
      </c>
      <c r="AE1018"/>
      <c r="AF1018">
        <v>0</v>
      </c>
      <c r="AG1018" s="4"/>
      <c r="AH1018" s="4"/>
      <c r="AI1018">
        <v>0</v>
      </c>
      <c r="AJ1018">
        <v>1</v>
      </c>
      <c r="AK1018" t="inlineStr">
        <is>
          <t>No, I don't need at all</t>
        </is>
      </c>
      <c r="AL1018">
        <v>0</v>
      </c>
      <c r="AM1018" t="inlineStr">
        <is>
          <t>No, I don't need at all</t>
        </is>
      </c>
      <c r="AN1018"/>
      <c r="AO1018" t="inlineStr">
        <is>
          <t>No, I don't need at all</t>
        </is>
      </c>
      <c r="AP1018" t="inlineStr">
        <is>
          <t>Once a year (25%)</t>
        </is>
      </c>
      <c r="AQ1018">
        <v>1</v>
      </c>
      <c r="AR1018" t="inlineStr">
        <is>
          <t>Did not use any job portal</t>
        </is>
      </c>
      <c r="AS1018" t="inlineStr">
        <is>
          <t>- Headcount: 1
- Hiring Job Details: 1 Assistant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018">
        <v>105</v>
      </c>
      <c r="AU1018" t="inlineStr">
        <is>
          <t>1.05</t>
        </is>
      </c>
      <c r="AV1018" t="inlineStr">
        <is>
          <t>15</t>
        </is>
      </c>
      <c r="AW1018" t="inlineStr">
        <is>
          <t>0</t>
        </is>
      </c>
      <c r="AX1018" t="inlineStr">
        <is>
          <t>Not Qualified</t>
        </is>
      </c>
      <c r="AY1018" s="4"/>
      <c r="AZ1018"/>
      <c r="BA1018"/>
      <c r="BB1018"/>
      <c r="BC1018" t="inlineStr">
        <is>
          <t>HE ASK TO SEND ALA-CARTE QUOTE SO HE CAN SHOW TO HIS BOSS AND SEE</t>
        </is>
      </c>
      <c r="BD1018" s="4">
        <v>46141.42333333333</v>
      </c>
      <c r="BE1018" t="inlineStr">
        <is>
          <t>paid</t>
        </is>
      </c>
      <c r="BF1018"/>
      <c r="BG1018" t="inlineStr">
        <is>
          <t>Reschedule</t>
        </is>
      </c>
      <c r="BH1018" t="inlineStr">
        <is>
          <t>Edward Hoo</t>
        </is>
      </c>
      <c r="BI1018"/>
      <c r="BJ1018" s="4">
        <v>46144.75430555556</v>
      </c>
      <c r="BK1018" s="4">
        <v>46132.46328703704</v>
      </c>
      <c r="BL1018" t="inlineStr">
        <is>
          <t>0.0</t>
        </is>
      </c>
      <c r="BM1018" t="inlineStr">
        <is>
          <t>0.0</t>
        </is>
      </c>
      <c r="BN1018" t="inlineStr">
        <is>
          <t>User Visit(Logged In)</t>
        </is>
      </c>
      <c r="BO1018" s="4">
        <v>46132.46334490741</v>
      </c>
      <c r="BP1018">
        <v>169405</v>
      </c>
      <c r="BQ1018">
        <v>123226</v>
      </c>
      <c r="BR1018" t="inlineStr">
        <is>
          <t>Proforma</t>
        </is>
      </c>
      <c r="BS1018" t="inlineStr">
        <is>
          <t>Free High Pay Job</t>
        </is>
      </c>
      <c r="BT1018"/>
      <c r="BU1018"/>
      <c r="BV1018">
        <v>2734311</v>
      </c>
      <c r="BW1018" t="inlineStr">
        <is>
          <t>Inquire for Hiring Needs : Quotation Sent 50%</t>
        </is>
      </c>
      <c r="BX1018"/>
      <c r="BY1018"/>
      <c r="BZ1018" s="4"/>
      <c r="CA1018"/>
      <c r="CB1018"/>
      <c r="CC1018" s="4"/>
      <c r="CD1018" t="inlineStr">
        <is>
          <t>20</t>
        </is>
      </c>
      <c r="CE1018" t="inlineStr">
        <is>
          <t>0</t>
        </is>
      </c>
      <c r="CF1018" t="inlineStr">
        <is>
          <t>Q2-W04</t>
        </is>
      </c>
      <c r="CG1018" t="inlineStr">
        <is>
          <t>Q2-W03</t>
        </is>
      </c>
      <c r="CH1018"/>
      <c r="CI1018"/>
      <c r="CJ1018" t="inlineStr">
        <is>
          <t>No Paid</t>
        </is>
      </c>
      <c r="CK1018" t="inlineStr">
        <is>
          <t>Not Eligible</t>
        </is>
      </c>
      <c r="CL1018"/>
      <c r="CM1018"/>
    </row>
    <row r="1019" ht="25.5" customHeight="1">
      <c r="A1019" t="inlineStr">
        <is>
          <t>203393</t>
        </is>
      </c>
      <c r="B1019" s="2"/>
      <c r="C1019"/>
      <c r="D1019" s="3">
        <v>46132.479629629626</v>
      </c>
      <c r="E1019" t="inlineStr">
        <is>
          <t>Q2-W03</t>
        </is>
      </c>
      <c r="F1019" t="inlineStr">
        <is>
          <t>Janice Yap</t>
        </is>
      </c>
      <c r="G1019" t="inlineStr">
        <is>
          <t>Customer</t>
        </is>
      </c>
      <c r="H1019" s="2" t="str">
        <f>=HYPERLINK("https://upbox.ajobthing.my/customer/203393", "https://upbox.ajobthing.my/customer/203393")</f>
        <v>https://upbox.ajobthing.my/customer/203393</v>
      </c>
      <c r="I1019" t="inlineStr">
        <is>
          <t>Buynest.my</t>
        </is>
      </c>
      <c r="J1019" t="inlineStr">
        <is>
          <t>Small Fish</t>
        </is>
      </c>
      <c r="K1019" t="inlineStr">
        <is>
          <t>Janice</t>
        </is>
      </c>
      <c r="L1019" s="4"/>
      <c r="M1019" s="4">
        <v>46132.47900462963</v>
      </c>
      <c r="N1019"/>
      <c r="O1019">
        <v>3888</v>
      </c>
      <c r="P1019" s="4"/>
      <c r="Q1019" s="4">
        <v>46134.604525462964</v>
      </c>
      <c r="R1019"/>
      <c r="S1019">
        <v>1296</v>
      </c>
      <c r="T1019" s="4"/>
      <c r="U1019" s="4"/>
      <c r="V1019"/>
      <c r="W1019"/>
      <c r="X1019"/>
      <c r="Y1019" t="inlineStr">
        <is>
          <t>Pending Appointment</t>
        </is>
      </c>
      <c r="Z1019" t="inlineStr">
        <is>
          <t>Hiring Now</t>
        </is>
      </c>
      <c r="AA1019">
        <v>1</v>
      </c>
      <c r="AB1019" t="inlineStr">
        <is>
          <t>No Appointment Made</t>
        </is>
      </c>
      <c r="AC1019"/>
      <c r="AD1019" t="inlineStr">
        <is>
          <t>1 marketing</t>
        </is>
      </c>
      <c r="AE1019"/>
      <c r="AF1019">
        <v>0</v>
      </c>
      <c r="AG1019" s="4"/>
      <c r="AH1019" s="4"/>
      <c r="AI1019">
        <v>0</v>
      </c>
      <c r="AJ1019"/>
      <c r="AK1019" t="inlineStr">
        <is>
          <t>No, I don't need at all</t>
        </is>
      </c>
      <c r="AL1019">
        <v>0</v>
      </c>
      <c r="AM1019" t="inlineStr">
        <is>
          <t>No, I don't need at all</t>
        </is>
      </c>
      <c r="AN1019"/>
      <c r="AO1019" t="inlineStr">
        <is>
          <t>No, I don't need at all</t>
        </is>
      </c>
      <c r="AP1019" t="inlineStr">
        <is>
          <t>Once a year (25%)</t>
        </is>
      </c>
      <c r="AQ1019">
        <v>1</v>
      </c>
      <c r="AR1019" t="inlineStr">
        <is>
          <t>Did not use any job portal</t>
        </is>
      </c>
      <c r="AS1019" t="inlineStr">
        <is>
          <t>- Headcount: 1
- Hiring Job Details: 1 marketing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019">
        <v>105</v>
      </c>
      <c r="AU1019" t="inlineStr">
        <is>
          <t>1.05</t>
        </is>
      </c>
      <c r="AV1019" t="inlineStr">
        <is>
          <t>15</t>
        </is>
      </c>
      <c r="AW1019" t="inlineStr">
        <is>
          <t>0</t>
        </is>
      </c>
      <c r="AX1019" t="inlineStr">
        <is>
          <t>Not Qualified</t>
        </is>
      </c>
      <c r="AY1019" s="4"/>
      <c r="AZ1019"/>
      <c r="BA1019"/>
      <c r="BB1019"/>
      <c r="BC1019" t="inlineStr">
        <is>
          <t>No answer // voicemail</t>
        </is>
      </c>
      <c r="BD1019" s="4">
        <v>46139.64119212963</v>
      </c>
      <c r="BE1019" t="inlineStr">
        <is>
          <t>pending</t>
        </is>
      </c>
      <c r="BF1019"/>
      <c r="BG1019" t="inlineStr">
        <is>
          <t>Reschedule</t>
        </is>
      </c>
      <c r="BH1019" t="inlineStr">
        <is>
          <t>Yee Hang</t>
        </is>
      </c>
      <c r="BI1019"/>
      <c r="BJ1019" s="4">
        <v>46144.75430555556</v>
      </c>
      <c r="BK1019" s="4">
        <v>46130.87511574074</v>
      </c>
      <c r="BL1019" t="inlineStr">
        <is>
          <t>0.0</t>
        </is>
      </c>
      <c r="BM1019" t="inlineStr">
        <is>
          <t>0.0</t>
        </is>
      </c>
      <c r="BN1019" t="inlineStr">
        <is>
          <t>View Company Page</t>
        </is>
      </c>
      <c r="BO1019" s="4">
        <v>46130.886666666665</v>
      </c>
      <c r="BP1019">
        <v>167798</v>
      </c>
      <c r="BQ1019">
        <v>123534</v>
      </c>
      <c r="BR1019" t="inlineStr">
        <is>
          <t>Proforma</t>
        </is>
      </c>
      <c r="BS1019" t="inlineStr">
        <is>
          <t>AI Ala Carte (Jan 26) Plus</t>
        </is>
      </c>
      <c r="BT1019"/>
      <c r="BU1019"/>
      <c r="BV1019">
        <v>2730245</v>
      </c>
      <c r="BW1019" t="inlineStr">
        <is>
          <t>No Answer : Voicemail - WA sent to customer</t>
        </is>
      </c>
      <c r="BX1019"/>
      <c r="BY1019"/>
      <c r="BZ1019" s="4"/>
      <c r="CA1019"/>
      <c r="CB1019"/>
      <c r="CC1019" s="4"/>
      <c r="CD1019" t="inlineStr">
        <is>
          <t>20</t>
        </is>
      </c>
      <c r="CE1019" t="inlineStr">
        <is>
          <t>0</t>
        </is>
      </c>
      <c r="CF1019" t="inlineStr">
        <is>
          <t>Q2-W03</t>
        </is>
      </c>
      <c r="CG1019" t="inlineStr">
        <is>
          <t>Q2-W03</t>
        </is>
      </c>
      <c r="CH1019"/>
      <c r="CI1019"/>
      <c r="CJ1019" t="inlineStr">
        <is>
          <t>No Paid</t>
        </is>
      </c>
      <c r="CK1019" t="inlineStr">
        <is>
          <t>Not Eligible</t>
        </is>
      </c>
      <c r="CL1019"/>
      <c r="CM1019"/>
    </row>
    <row r="1020" ht="25.5" customHeight="1">
      <c r="A1020" t="inlineStr">
        <is>
          <t>146849</t>
        </is>
      </c>
      <c r="B1020" s="2"/>
      <c r="C1020"/>
      <c r="D1020" s="3">
        <v>46132.49046296296</v>
      </c>
      <c r="E1020" t="inlineStr">
        <is>
          <t>Q2-W03</t>
        </is>
      </c>
      <c r="F1020" t="inlineStr">
        <is>
          <t>Josh</t>
        </is>
      </c>
      <c r="G1020" t="inlineStr">
        <is>
          <t>Customer</t>
        </is>
      </c>
      <c r="H1020" s="2" t="str">
        <f>=HYPERLINK("https://upbox.ajobthing.my/customer/146849", "https://upbox.ajobthing.my/customer/146849")</f>
        <v>https://upbox.ajobthing.my/customer/146849</v>
      </c>
      <c r="I1020" t="inlineStr">
        <is>
          <t>Fsh Integrated Resources Sdn Bhd</t>
        </is>
      </c>
      <c r="J1020" t="inlineStr">
        <is>
          <t>Small Fish</t>
        </is>
      </c>
      <c r="K1020" t="inlineStr">
        <is>
          <t>Josh</t>
        </is>
      </c>
      <c r="L1020" s="4"/>
      <c r="M1020" s="4">
        <v>46132.49084490741</v>
      </c>
      <c r="N1020"/>
      <c r="O1020">
        <v>1512</v>
      </c>
      <c r="P1020" s="4"/>
      <c r="Q1020" s="4"/>
      <c r="R1020"/>
      <c r="S1020"/>
      <c r="T1020" s="4"/>
      <c r="U1020" s="4"/>
      <c r="V1020"/>
      <c r="W1020"/>
      <c r="X1020"/>
      <c r="Y1020" t="inlineStr">
        <is>
          <t>Pending Appointment</t>
        </is>
      </c>
      <c r="Z1020" t="inlineStr">
        <is>
          <t>Hiring Now</t>
        </is>
      </c>
      <c r="AA1020">
        <v>1</v>
      </c>
      <c r="AB1020" t="inlineStr">
        <is>
          <t>No Appointment Made</t>
        </is>
      </c>
      <c r="AC1020"/>
      <c r="AD1020" t="inlineStr">
        <is>
          <t xml:space="preserve">1 construction manager </t>
        </is>
      </c>
      <c r="AE1020"/>
      <c r="AF1020">
        <v>1000</v>
      </c>
      <c r="AG1020" s="4"/>
      <c r="AH1020" s="4"/>
      <c r="AI1020"/>
      <c r="AJ1020"/>
      <c r="AK1020" t="inlineStr">
        <is>
          <t>Yes, I have</t>
        </is>
      </c>
      <c r="AL1020">
        <v>1</v>
      </c>
      <c r="AM1020"/>
      <c r="AN1020"/>
      <c r="AO1020"/>
      <c r="AP1020" t="inlineStr">
        <is>
          <t>Once a year (25%)</t>
        </is>
      </c>
      <c r="AQ1020"/>
      <c r="AR1020"/>
      <c r="AS1020" t="inlineStr">
        <is>
          <t>- Headcount: 1
- Hiring Job Details: 1 construction manager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is>
      </c>
      <c r="AT1020">
        <v>95</v>
      </c>
      <c r="AU1020" t="inlineStr">
        <is>
          <t>0.95</t>
        </is>
      </c>
      <c r="AV1020" t="inlineStr">
        <is>
          <t>15</t>
        </is>
      </c>
      <c r="AW1020" t="inlineStr">
        <is>
          <t>0</t>
        </is>
      </c>
      <c r="AX1020" t="inlineStr">
        <is>
          <t>Not Qualified</t>
        </is>
      </c>
      <c r="AY1020" s="4"/>
      <c r="AZ1020"/>
      <c r="BA1020"/>
      <c r="BB1020"/>
      <c r="BC1020" t="inlineStr">
        <is>
          <t>busy now</t>
        </is>
      </c>
      <c r="BD1020" s="4">
        <v>46136.646828703706</v>
      </c>
      <c r="BE1020"/>
      <c r="BF1020"/>
      <c r="BG1020" t="inlineStr">
        <is>
          <t>Reschedule</t>
        </is>
      </c>
      <c r="BH1020" t="inlineStr">
        <is>
          <t>Fauziah Maharan</t>
        </is>
      </c>
      <c r="BI1020"/>
      <c r="BJ1020" s="4">
        <v>46144.75077546296</v>
      </c>
      <c r="BK1020" s="4">
        <v>44570.77730324074</v>
      </c>
      <c r="BL1020" t="inlineStr">
        <is>
          <t>0.0</t>
        </is>
      </c>
      <c r="BM1020" t="inlineStr">
        <is>
          <t>0.0</t>
        </is>
      </c>
      <c r="BN1020" t="inlineStr">
        <is>
          <t>View Create Job Page</t>
        </is>
      </c>
      <c r="BO1020" s="4">
        <v>44570.786840277775</v>
      </c>
      <c r="BP1020">
        <v>167806</v>
      </c>
      <c r="BQ1020"/>
      <c r="BR1020"/>
      <c r="BS1020"/>
      <c r="BT1020"/>
      <c r="BU1020"/>
      <c r="BV1020">
        <v>2726783</v>
      </c>
      <c r="BW1020" t="inlineStr">
        <is>
          <t>Follow Up : Decision Pending</t>
        </is>
      </c>
      <c r="BX1020"/>
      <c r="BY1020"/>
      <c r="BZ1020" s="4"/>
      <c r="CA1020"/>
      <c r="CB1020"/>
      <c r="CC1020" s="4"/>
      <c r="CD1020" t="inlineStr">
        <is>
          <t>20</t>
        </is>
      </c>
      <c r="CE1020" t="inlineStr">
        <is>
          <t>0</t>
        </is>
      </c>
      <c r="CF1020" t="inlineStr">
        <is>
          <t>Q2-W03</t>
        </is>
      </c>
      <c r="CG1020"/>
      <c r="CH1020"/>
      <c r="CI1020"/>
      <c r="CJ1020" t="inlineStr">
        <is>
          <t>No Paid</t>
        </is>
      </c>
      <c r="CK1020" t="inlineStr">
        <is>
          <t>Not Eligible</t>
        </is>
      </c>
      <c r="CL1020"/>
      <c r="CM1020"/>
    </row>
    <row r="1021" ht="25.5" customHeight="1">
      <c r="A1021" t="inlineStr">
        <is>
          <t>203427</t>
        </is>
      </c>
      <c r="B1021" s="2"/>
      <c r="C1021"/>
      <c r="D1021" s="3">
        <v>46132.50003472222</v>
      </c>
      <c r="E1021" t="inlineStr">
        <is>
          <t>Q2-W03</t>
        </is>
      </c>
      <c r="F1021" t="inlineStr">
        <is>
          <t>Fariz</t>
        </is>
      </c>
      <c r="G1021" t="inlineStr">
        <is>
          <t>Customer</t>
        </is>
      </c>
      <c r="H1021" s="2" t="str">
        <f>=HYPERLINK("https://upbox.ajobthing.my/customer/203427", "https://upbox.ajobthing.my/customer/203427")</f>
        <v>https://upbox.ajobthing.my/customer/203427</v>
      </c>
      <c r="I1021" t="inlineStr">
        <is>
          <t>Propnex Klcc</t>
        </is>
      </c>
      <c r="J1021" t="inlineStr">
        <is>
          <t>Small Fish</t>
        </is>
      </c>
      <c r="K1021" t="inlineStr">
        <is>
          <t>Fariz</t>
        </is>
      </c>
      <c r="L1021" s="4"/>
      <c r="M1021" s="4">
        <v>46132.502291666664</v>
      </c>
      <c r="N1021"/>
      <c r="O1021">
        <v>1296</v>
      </c>
      <c r="P1021" s="4"/>
      <c r="Q1021" s="4"/>
      <c r="R1021"/>
      <c r="S1021"/>
      <c r="T1021" s="4"/>
      <c r="U1021" s="4"/>
      <c r="V1021"/>
      <c r="W1021"/>
      <c r="X1021"/>
      <c r="Y1021" t="inlineStr">
        <is>
          <t>Pending Appointment</t>
        </is>
      </c>
      <c r="Z1021" t="inlineStr">
        <is>
          <t>Hiring Later</t>
        </is>
      </c>
      <c r="AA1021">
        <v>1</v>
      </c>
      <c r="AB1021" t="inlineStr">
        <is>
          <t>No Appointment Made</t>
        </is>
      </c>
      <c r="AC1021"/>
      <c r="AD1021" t="inlineStr">
        <is>
          <t>1 property agent</t>
        </is>
      </c>
      <c r="AE1021"/>
      <c r="AF1021">
        <v>1200</v>
      </c>
      <c r="AG1021" s="4"/>
      <c r="AH1021" s="4"/>
      <c r="AI1021">
        <v>1200</v>
      </c>
      <c r="AJ1021"/>
      <c r="AK1021" t="inlineStr">
        <is>
          <t>No, I don't need at all</t>
        </is>
      </c>
      <c r="AL1021">
        <v>1</v>
      </c>
      <c r="AM1021" t="inlineStr">
        <is>
          <t>No, but I want in future</t>
        </is>
      </c>
      <c r="AN1021"/>
      <c r="AO1021" t="inlineStr">
        <is>
          <t>No, but I want in future</t>
        </is>
      </c>
      <c r="AP1021" t="inlineStr">
        <is>
          <t>Once a year (25%)</t>
        </is>
      </c>
      <c r="AQ1021">
        <v>1</v>
      </c>
      <c r="AR1021" t="inlineStr">
        <is>
          <t>Free Job Portal</t>
        </is>
      </c>
      <c r="AS1021" t="inlineStr">
        <is>
          <t>- Headcount: 1
- Hiring Job Details: 1 property agent
- Hiring Urgency: Hiring Later
- Number of outlets: None
- Have recruiter team: No, don't need at all
- Number of recruiter in company: 1
- Have ATS system: No, but want in future
- Have career website: No, but want in future
- Current hiring budget: RM1,200
- Whole year budget: RM1,200.00
- Whole year number of vacancies: 1
- Hiring frequency: Once a year (25%)
- External job portal: Free Job Portal</t>
        </is>
      </c>
      <c r="AT1021">
        <v>115</v>
      </c>
      <c r="AU1021" t="inlineStr">
        <is>
          <t>1.15</t>
        </is>
      </c>
      <c r="AV1021" t="inlineStr">
        <is>
          <t>15</t>
        </is>
      </c>
      <c r="AW1021" t="inlineStr">
        <is>
          <t>0</t>
        </is>
      </c>
      <c r="AX1021" t="inlineStr">
        <is>
          <t>Not Qualified</t>
        </is>
      </c>
      <c r="AY1021" s="4"/>
      <c r="AZ1021"/>
      <c r="BA1021"/>
      <c r="BB1021"/>
      <c r="BC1021" t="inlineStr">
        <is>
          <t>na 2x</t>
        </is>
      </c>
      <c r="BD1021" s="4">
        <v>46141.62354166667</v>
      </c>
      <c r="BE1021"/>
      <c r="BF1021"/>
      <c r="BG1021" t="inlineStr">
        <is>
          <t>Reschedule</t>
        </is>
      </c>
      <c r="BH1021" t="inlineStr">
        <is>
          <t>Edward Hoo</t>
        </is>
      </c>
      <c r="BI1021"/>
      <c r="BJ1021" s="4">
        <v>46144.75430555556</v>
      </c>
      <c r="BK1021" s="4">
        <v>46132.498240740744</v>
      </c>
      <c r="BL1021" t="inlineStr">
        <is>
          <t>0.0</t>
        </is>
      </c>
      <c r="BM1021" t="inlineStr">
        <is>
          <t>0.0</t>
        </is>
      </c>
      <c r="BN1021"/>
      <c r="BO1021" s="4"/>
      <c r="BP1021">
        <v>167811</v>
      </c>
      <c r="BQ1021"/>
      <c r="BR1021"/>
      <c r="BS1021"/>
      <c r="BT1021"/>
      <c r="BU1021"/>
      <c r="BV1021">
        <v>2735449</v>
      </c>
      <c r="BW1021" t="inlineStr">
        <is>
          <t>No Answer : Voicemail - WA sent to customer</t>
        </is>
      </c>
      <c r="BX1021"/>
      <c r="BY1021"/>
      <c r="BZ1021" s="4"/>
      <c r="CA1021"/>
      <c r="CB1021"/>
      <c r="CC1021" s="4"/>
      <c r="CD1021" t="inlineStr">
        <is>
          <t>20</t>
        </is>
      </c>
      <c r="CE1021" t="inlineStr">
        <is>
          <t>0</t>
        </is>
      </c>
      <c r="CF1021" t="inlineStr">
        <is>
          <t>Q2-W03</t>
        </is>
      </c>
      <c r="CG1021"/>
      <c r="CH1021"/>
      <c r="CI1021"/>
      <c r="CJ1021" t="inlineStr">
        <is>
          <t>No Paid</t>
        </is>
      </c>
      <c r="CK1021" t="inlineStr">
        <is>
          <t>Not Eligible</t>
        </is>
      </c>
      <c r="CL1021"/>
      <c r="CM1021"/>
    </row>
    <row r="1022" ht="25.5" customHeight="1">
      <c r="A1022" t="inlineStr">
        <is>
          <t>4304935</t>
        </is>
      </c>
      <c r="B1022" s="2"/>
      <c r="C1022"/>
      <c r="D1022" s="3">
        <v>46132.55467592592</v>
      </c>
      <c r="E1022" t="inlineStr">
        <is>
          <t>Q2-W03</t>
        </is>
      </c>
      <c r="F1022" t="inlineStr">
        <is>
          <t>Luqman</t>
        </is>
      </c>
      <c r="G1022" t="inlineStr">
        <is>
          <t>Lead</t>
        </is>
      </c>
      <c r="H1022" s="2" t="str">
        <f>=HYPERLINK("https://upbox.ajobthing.my/leads/4304935", "https://upbox.ajobthing.my/leads/4304935")</f>
        <v>https://upbox.ajobthing.my/leads/4304935</v>
      </c>
      <c r="I1022" t="inlineStr">
        <is>
          <t>DY STRAP &amp; WRAP SDN BHD</t>
        </is>
      </c>
      <c r="J1022" t="inlineStr">
        <is>
          <t>Small Fish</t>
        </is>
      </c>
      <c r="K1022" t="inlineStr">
        <is>
          <t>Luqman</t>
        </is>
      </c>
      <c r="L1022" s="4"/>
      <c r="M1022" s="4">
        <v>46132.55533564815</v>
      </c>
      <c r="N1022"/>
      <c r="O1022">
        <v>1296</v>
      </c>
      <c r="P1022" s="4"/>
      <c r="Q1022" s="4"/>
      <c r="R1022"/>
      <c r="S1022"/>
      <c r="T1022" s="4"/>
      <c r="U1022" s="4"/>
      <c r="V1022"/>
      <c r="W1022"/>
      <c r="X1022"/>
      <c r="Y1022" t="inlineStr">
        <is>
          <t>Pending Appointment</t>
        </is>
      </c>
      <c r="Z1022" t="inlineStr">
        <is>
          <t>Hiring Later</t>
        </is>
      </c>
      <c r="AA1022">
        <v>2</v>
      </c>
      <c r="AB1022" t="inlineStr">
        <is>
          <t>No Appointment Made</t>
        </is>
      </c>
      <c r="AC1022"/>
      <c r="AD1022" t="inlineStr">
        <is>
          <t xml:space="preserve">1. Manager 2. Admin </t>
        </is>
      </c>
      <c r="AE1022"/>
      <c r="AF1022">
        <v>2000</v>
      </c>
      <c r="AG1022" s="4"/>
      <c r="AH1022" s="4"/>
      <c r="AI1022">
        <v>2000</v>
      </c>
      <c r="AJ1022"/>
      <c r="AK1022" t="inlineStr">
        <is>
          <t>Yes, I have</t>
        </is>
      </c>
      <c r="AL1022">
        <v>2</v>
      </c>
      <c r="AM1022" t="inlineStr">
        <is>
          <t>No, I don't need at all</t>
        </is>
      </c>
      <c r="AN1022"/>
      <c r="AO1022" t="inlineStr">
        <is>
          <t>No, I don't need at all</t>
        </is>
      </c>
      <c r="AP1022" t="inlineStr">
        <is>
          <t>Once a year (25%)</t>
        </is>
      </c>
      <c r="AQ1022">
        <v>2</v>
      </c>
      <c r="AR1022" t="inlineStr">
        <is>
          <t>Free Job Portal</t>
        </is>
      </c>
      <c r="AS1022" t="inlineStr">
        <is>
          <t>- Headcount: 2
- Hiring Job Details: 1. Manager 2. Admin
- Number of outlets: Not provided
- Have recruiter team: Yes
- Number of recruiter in company: 2
- Have ATS system: No, I don't need at all
- Have career website: No, I don't need at all
- Current hiring budget: RM2,000
- Whole year budget: RM2,000.00
- Whole year number of vacancies: 2
- Hiring frequency: Once a year (25%)
- External job portal: Free Job Portal
- Hiring Urgency: Hiring Later</t>
        </is>
      </c>
      <c r="AT1022">
        <v>105</v>
      </c>
      <c r="AU1022" t="inlineStr">
        <is>
          <t>1.05</t>
        </is>
      </c>
      <c r="AV1022" t="inlineStr">
        <is>
          <t>15</t>
        </is>
      </c>
      <c r="AW1022" t="inlineStr">
        <is>
          <t>0</t>
        </is>
      </c>
      <c r="AX1022" t="inlineStr">
        <is>
          <t>Not Qualified</t>
        </is>
      </c>
      <c r="AY1022" s="4"/>
      <c r="AZ1022"/>
      <c r="BA1022"/>
      <c r="BB1022"/>
      <c r="BC1022"/>
      <c r="BD1022" s="4"/>
      <c r="BE1022"/>
      <c r="BF1022"/>
      <c r="BG1022" t="inlineStr">
        <is>
          <t>Reschedule</t>
        </is>
      </c>
      <c r="BH1022" t="inlineStr">
        <is>
          <t>Edward Hoo</t>
        </is>
      </c>
      <c r="BI1022"/>
      <c r="BJ1022" s="4">
        <v>46144.75587962963</v>
      </c>
      <c r="BK1022" s="4">
        <v>46132.51652777778</v>
      </c>
      <c r="BL1022" t="inlineStr">
        <is>
          <t>0.0</t>
        </is>
      </c>
      <c r="BM1022" t="inlineStr">
        <is>
          <t>0.0</t>
        </is>
      </c>
      <c r="BN1022"/>
      <c r="BO1022" s="4"/>
      <c r="BP1022">
        <v>167813</v>
      </c>
      <c r="BQ1022"/>
      <c r="BR1022"/>
      <c r="BS1022"/>
      <c r="BT1022"/>
      <c r="BU1022"/>
      <c r="BV1022"/>
      <c r="BW1022"/>
      <c r="BX1022"/>
      <c r="BY1022"/>
      <c r="BZ1022" s="4"/>
      <c r="CA1022"/>
      <c r="CB1022"/>
      <c r="CC1022" s="4"/>
      <c r="CD1022" t="inlineStr">
        <is>
          <t>20</t>
        </is>
      </c>
      <c r="CE1022" t="inlineStr">
        <is>
          <t>0</t>
        </is>
      </c>
      <c r="CF1022" t="inlineStr">
        <is>
          <t>Q2-W03</t>
        </is>
      </c>
      <c r="CG1022"/>
      <c r="CH1022"/>
      <c r="CI1022"/>
      <c r="CJ1022" t="inlineStr">
        <is>
          <t>No Paid</t>
        </is>
      </c>
      <c r="CK1022" t="inlineStr">
        <is>
          <t>Not Eligible</t>
        </is>
      </c>
      <c r="CL1022"/>
      <c r="CM1022"/>
    </row>
    <row r="1023" ht="25.5" customHeight="1">
      <c r="A1023" t="inlineStr">
        <is>
          <t>166759</t>
        </is>
      </c>
      <c r="B1023" s="2"/>
      <c r="C1023"/>
      <c r="D1023" s="3">
        <v>46132.56521990741</v>
      </c>
      <c r="E1023" t="inlineStr">
        <is>
          <t>Q2-W03</t>
        </is>
      </c>
      <c r="F1023" t="inlineStr">
        <is>
          <t>Luqman</t>
        </is>
      </c>
      <c r="G1023" t="inlineStr">
        <is>
          <t>Customer</t>
        </is>
      </c>
      <c r="H1023" s="2" t="str">
        <f>=HYPERLINK("https://upbox.ajobthing.my/customer/166759", "https://upbox.ajobthing.my/customer/166759")</f>
        <v>https://upbox.ajobthing.my/customer/166759</v>
      </c>
      <c r="I1023" t="inlineStr">
        <is>
          <t>Print Idea Sdn Bhd</t>
        </is>
      </c>
      <c r="J1023" t="inlineStr">
        <is>
          <t>Small Fish</t>
        </is>
      </c>
      <c r="K1023" t="inlineStr">
        <is>
          <t>Luqman</t>
        </is>
      </c>
      <c r="L1023" s="4"/>
      <c r="M1023" s="4">
        <v>46132.565416666665</v>
      </c>
      <c r="N1023"/>
      <c r="O1023">
        <v>1512</v>
      </c>
      <c r="P1023" s="4"/>
      <c r="Q1023" s="4">
        <v>45052.52248842592</v>
      </c>
      <c r="R1023"/>
      <c r="S1023">
        <v>636</v>
      </c>
      <c r="T1023" s="4">
        <v>45052.52248842592</v>
      </c>
      <c r="U1023" s="4"/>
      <c r="V1023"/>
      <c r="W1023">
        <v>636</v>
      </c>
      <c r="X1023"/>
      <c r="Y1023" t="inlineStr">
        <is>
          <t>Pending Appointment</t>
        </is>
      </c>
      <c r="Z1023" t="inlineStr">
        <is>
          <t>Hiring Later</t>
        </is>
      </c>
      <c r="AA1023">
        <v>1</v>
      </c>
      <c r="AB1023" t="inlineStr">
        <is>
          <t>No Appointment Made</t>
        </is>
      </c>
      <c r="AC1023"/>
      <c r="AD1023" t="inlineStr">
        <is>
          <t xml:space="preserve">1. Sales &amp; Marketing </t>
        </is>
      </c>
      <c r="AE1023"/>
      <c r="AF1023">
        <v>1200</v>
      </c>
      <c r="AG1023" s="4"/>
      <c r="AH1023" s="4"/>
      <c r="AI1023">
        <v>1200</v>
      </c>
      <c r="AJ1023"/>
      <c r="AK1023" t="inlineStr">
        <is>
          <t>Yes, I have</t>
        </is>
      </c>
      <c r="AL1023">
        <v>2</v>
      </c>
      <c r="AM1023" t="inlineStr">
        <is>
          <t>No, I don't need at all</t>
        </is>
      </c>
      <c r="AN1023"/>
      <c r="AO1023" t="inlineStr">
        <is>
          <t>No, I don't need at all</t>
        </is>
      </c>
      <c r="AP1023" t="inlineStr">
        <is>
          <t>Once a year (25%)</t>
        </is>
      </c>
      <c r="AQ1023">
        <v>1</v>
      </c>
      <c r="AR1023" t="inlineStr">
        <is>
          <t>Jobstreet</t>
        </is>
      </c>
      <c r="AS1023" t="inlineStr">
        <is>
          <t>- Headcount: 1
- Hiring Job Details: 1 Sales &amp; Marketing
- Hiring Urgency: Hiring Later
- Number of outlets: N/A
- Have recruiter team: Yes
- Number of recruiter in company: 2
- Have ATS system: No, I don't need at all
- Have career website: No, I don't need at all
- Current hiring budget: RM1,200
- Whole year budget: RM1,200.00
- Whole year number of vacancies: 1
- Hiring frequency: Once a year (25%)
- External job portal: Jobstreet</t>
        </is>
      </c>
      <c r="AT1023">
        <v>115</v>
      </c>
      <c r="AU1023" t="inlineStr">
        <is>
          <t>1.15</t>
        </is>
      </c>
      <c r="AV1023" t="inlineStr">
        <is>
          <t>15</t>
        </is>
      </c>
      <c r="AW1023" t="inlineStr">
        <is>
          <t>0</t>
        </is>
      </c>
      <c r="AX1023" t="inlineStr">
        <is>
          <t>Not Qualified</t>
        </is>
      </c>
      <c r="AY1023" s="4"/>
      <c r="AZ1023"/>
      <c r="BA1023"/>
      <c r="BB1023"/>
      <c r="BC1023" t="inlineStr">
        <is>
          <t>Utilize free portal for hiring</t>
        </is>
      </c>
      <c r="BD1023" s="4">
        <v>46135.71009259259</v>
      </c>
      <c r="BE1023" t="inlineStr">
        <is>
          <t>paid</t>
        </is>
      </c>
      <c r="BF1023"/>
      <c r="BG1023" t="inlineStr">
        <is>
          <t>Reschedule</t>
        </is>
      </c>
      <c r="BH1023" t="inlineStr">
        <is>
          <t>Edward Hoo</t>
        </is>
      </c>
      <c r="BI1023" t="inlineStr">
        <is>
          <t>Advertising / Marketing</t>
        </is>
      </c>
      <c r="BJ1023" s="4">
        <v>46144.751296296294</v>
      </c>
      <c r="BK1023" s="4">
        <v>45052.50519675926</v>
      </c>
      <c r="BL1023" t="inlineStr">
        <is>
          <t>0.0</t>
        </is>
      </c>
      <c r="BM1023" t="inlineStr">
        <is>
          <t>600.0</t>
        </is>
      </c>
      <c r="BN1023" t="inlineStr">
        <is>
          <t>View Applicant Page</t>
        </is>
      </c>
      <c r="BO1023" s="4">
        <v>45128.52069444444</v>
      </c>
      <c r="BP1023">
        <v>167817</v>
      </c>
      <c r="BQ1023">
        <v>58252</v>
      </c>
      <c r="BR1023" t="inlineStr">
        <is>
          <t>Online</t>
        </is>
      </c>
      <c r="BS1023"/>
      <c r="BT1023">
        <v>58252</v>
      </c>
      <c r="BU1023"/>
      <c r="BV1023">
        <v>2724941</v>
      </c>
      <c r="BW1023" t="inlineStr">
        <is>
          <t>Follow Up : Lost - Free Portal</t>
        </is>
      </c>
      <c r="BX1023"/>
      <c r="BY1023"/>
      <c r="BZ1023" s="4"/>
      <c r="CA1023"/>
      <c r="CB1023"/>
      <c r="CC1023" s="4"/>
      <c r="CD1023" t="inlineStr">
        <is>
          <t>20</t>
        </is>
      </c>
      <c r="CE1023" t="inlineStr">
        <is>
          <t>0</t>
        </is>
      </c>
      <c r="CF1023" t="inlineStr">
        <is>
          <t>Q2-W03</t>
        </is>
      </c>
      <c r="CG1023"/>
      <c r="CH1023"/>
      <c r="CI1023"/>
      <c r="CJ1023" t="inlineStr">
        <is>
          <t>Paid</t>
        </is>
      </c>
      <c r="CK1023" t="inlineStr">
        <is>
          <t>Not Eligible</t>
        </is>
      </c>
      <c r="CL1023"/>
      <c r="CM1023"/>
    </row>
    <row r="1024" ht="25.5" customHeight="1">
      <c r="A1024" t="inlineStr">
        <is>
          <t>123697</t>
        </is>
      </c>
      <c r="B1024" s="2"/>
      <c r="C1024"/>
      <c r="D1024" s="3">
        <v>46132.57168981482</v>
      </c>
      <c r="E1024" t="inlineStr">
        <is>
          <t>Q2-W03</t>
        </is>
      </c>
      <c r="F1024" t="inlineStr">
        <is>
          <t>Fariz</t>
        </is>
      </c>
      <c r="G1024" t="inlineStr">
        <is>
          <t>Customer</t>
        </is>
      </c>
      <c r="H1024" s="2" t="str">
        <f>=HYPERLINK("https://upbox.ajobthing.my/customer/123697", "https://upbox.ajobthing.my/customer/123697")</f>
        <v>https://upbox.ajobthing.my/customer/123697</v>
      </c>
      <c r="I1024" t="inlineStr">
        <is>
          <t>Mohd Zulkefli Bin Mohd Abdah</t>
        </is>
      </c>
      <c r="J1024" t="inlineStr">
        <is>
          <t>Small Fish</t>
        </is>
      </c>
      <c r="K1024" t="inlineStr">
        <is>
          <t>Fariz</t>
        </is>
      </c>
      <c r="L1024" s="4"/>
      <c r="M1024" s="4">
        <v>46132.57282407407</v>
      </c>
      <c r="N1024"/>
      <c r="O1024">
        <v>3888</v>
      </c>
      <c r="P1024" s="4"/>
      <c r="Q1024" s="4">
        <v>44573.68423611111</v>
      </c>
      <c r="R1024"/>
      <c r="S1024">
        <v>477</v>
      </c>
      <c r="T1024" s="4">
        <v>44573.68423611111</v>
      </c>
      <c r="U1024" s="4"/>
      <c r="V1024"/>
      <c r="W1024">
        <v>477</v>
      </c>
      <c r="X1024"/>
      <c r="Y1024" t="inlineStr">
        <is>
          <t>Pending Appointment</t>
        </is>
      </c>
      <c r="Z1024" t="inlineStr">
        <is>
          <t>Hiring Later</t>
        </is>
      </c>
      <c r="AA1024">
        <v>1</v>
      </c>
      <c r="AB1024" t="inlineStr">
        <is>
          <t>No Appointment Made</t>
        </is>
      </c>
      <c r="AC1024"/>
      <c r="AD1024" t="inlineStr">
        <is>
          <t>1 admin</t>
        </is>
      </c>
      <c r="AE1024"/>
      <c r="AF1024">
        <v>3600</v>
      </c>
      <c r="AG1024" s="4"/>
      <c r="AH1024" s="4"/>
      <c r="AI1024">
        <v>3600</v>
      </c>
      <c r="AJ1024"/>
      <c r="AK1024" t="inlineStr">
        <is>
          <t>No, but I want in future</t>
        </is>
      </c>
      <c r="AL1024">
        <v>1</v>
      </c>
      <c r="AM1024" t="inlineStr">
        <is>
          <t>No, I don't need at all</t>
        </is>
      </c>
      <c r="AN1024"/>
      <c r="AO1024" t="inlineStr">
        <is>
          <t>No, but I want in future</t>
        </is>
      </c>
      <c r="AP1024" t="inlineStr">
        <is>
          <t>Twice a year (50%)</t>
        </is>
      </c>
      <c r="AQ1024">
        <v>2</v>
      </c>
      <c r="AR1024" t="inlineStr">
        <is>
          <t>Free Job Portal</t>
        </is>
      </c>
      <c r="AS1024" t="inlineStr">
        <is>
          <t>- Headcount: 1
- Hiring Job Details: 1 admin
- Hiring Urgency: Hiring Later
- Number of outlets: Not provided
- Have recruiter team: No, but want in future
- Number of recruiter in company: 1
- Have ATS system: No, don't need at all
- Have career website: No, but want in future
- Current hiring budget: RM3,600
- Whole year budget: RM3,600.00
- Whole year number of vacancies: 2
- Hiring frequency: Twice a year (50%)
- External job portal: Free Job Portal</t>
        </is>
      </c>
      <c r="AT1024">
        <v>95</v>
      </c>
      <c r="AU1024" t="inlineStr">
        <is>
          <t>0.95</t>
        </is>
      </c>
      <c r="AV1024" t="inlineStr">
        <is>
          <t>15</t>
        </is>
      </c>
      <c r="AW1024" t="inlineStr">
        <is>
          <t>0</t>
        </is>
      </c>
      <c r="AX1024" t="inlineStr">
        <is>
          <t>Not Qualified</t>
        </is>
      </c>
      <c r="AY1024" s="4"/>
      <c r="AZ1024"/>
      <c r="BA1024"/>
      <c r="BB1024"/>
      <c r="BC1024" t="inlineStr">
        <is>
          <t>0163356220 - encik zul said call farisha  for answers and he gave number 0378868887 (izazi)
got number 0196357922 (farisha) account department need hiring. said ask quotation on ws</t>
        </is>
      </c>
      <c r="BD1024" s="4">
        <v>46139.635300925926</v>
      </c>
      <c r="BE1024" t="inlineStr">
        <is>
          <t>paid</t>
        </is>
      </c>
      <c r="BF1024"/>
      <c r="BG1024" t="inlineStr">
        <is>
          <t>Reschedule</t>
        </is>
      </c>
      <c r="BH1024" t="inlineStr">
        <is>
          <t>Edward Hoo</t>
        </is>
      </c>
      <c r="BI1024" t="inlineStr">
        <is>
          <t>Accounting / Tax Services</t>
        </is>
      </c>
      <c r="BJ1024" s="4">
        <v>46144.7503125</v>
      </c>
      <c r="BK1024" s="4">
        <v>43803.813414351855</v>
      </c>
      <c r="BL1024" t="inlineStr">
        <is>
          <t>0.0</t>
        </is>
      </c>
      <c r="BM1024" t="inlineStr">
        <is>
          <t>0.0</t>
        </is>
      </c>
      <c r="BN1024" t="inlineStr">
        <is>
          <t>View Create Job Page</t>
        </is>
      </c>
      <c r="BO1024" s="4">
        <v>45600.72332175926</v>
      </c>
      <c r="BP1024">
        <v>167823</v>
      </c>
      <c r="BQ1024">
        <v>39700</v>
      </c>
      <c r="BR1024" t="inlineStr">
        <is>
          <t>Online</t>
        </is>
      </c>
      <c r="BS1024"/>
      <c r="BT1024">
        <v>39700</v>
      </c>
      <c r="BU1024"/>
      <c r="BV1024">
        <v>2730200</v>
      </c>
      <c r="BW1024" t="inlineStr">
        <is>
          <t>Follow Up : Decision Pending</t>
        </is>
      </c>
      <c r="BX1024"/>
      <c r="BY1024"/>
      <c r="BZ1024" s="4"/>
      <c r="CA1024"/>
      <c r="CB1024"/>
      <c r="CC1024" s="4"/>
      <c r="CD1024" t="inlineStr">
        <is>
          <t>20</t>
        </is>
      </c>
      <c r="CE1024" t="inlineStr">
        <is>
          <t>0</t>
        </is>
      </c>
      <c r="CF1024" t="inlineStr">
        <is>
          <t>Q2-W03</t>
        </is>
      </c>
      <c r="CG1024"/>
      <c r="CH1024"/>
      <c r="CI1024"/>
      <c r="CJ1024" t="inlineStr">
        <is>
          <t>Paid</t>
        </is>
      </c>
      <c r="CK1024" t="inlineStr">
        <is>
          <t>Not Eligible</t>
        </is>
      </c>
      <c r="CL1024"/>
      <c r="CM1024"/>
    </row>
    <row r="1025" ht="25.5" customHeight="1">
      <c r="A1025" t="inlineStr">
        <is>
          <t>4291055</t>
        </is>
      </c>
      <c r="B1025" s="2"/>
      <c r="C1025"/>
      <c r="D1025" s="3">
        <v>46132.57302083333</v>
      </c>
      <c r="E1025" t="inlineStr">
        <is>
          <t>Q2-W03</t>
        </is>
      </c>
      <c r="F1025" t="inlineStr">
        <is>
          <t>Janice Yap</t>
        </is>
      </c>
      <c r="G1025" t="inlineStr">
        <is>
          <t>Lead</t>
        </is>
      </c>
      <c r="H1025" s="2" t="str">
        <f>=HYPERLINK("https://upbox.ajobthing.my/leads/4291055", "https://upbox.ajobthing.my/leads/4291055")</f>
        <v>https://upbox.ajobthing.my/leads/4291055</v>
      </c>
      <c r="I1025" t="inlineStr">
        <is>
          <t>Trinidad Suites Johor</t>
        </is>
      </c>
      <c r="J1025" t="inlineStr">
        <is>
          <t>Small Fish</t>
        </is>
      </c>
      <c r="K1025" t="inlineStr">
        <is>
          <t>Janice</t>
        </is>
      </c>
      <c r="L1025" s="4"/>
      <c r="M1025" s="4">
        <v>46132.57032407408</v>
      </c>
      <c r="N1025"/>
      <c r="O1025">
        <v>6048</v>
      </c>
      <c r="P1025" s="4"/>
      <c r="Q1025" s="4"/>
      <c r="R1025"/>
      <c r="S1025"/>
      <c r="T1025" s="4"/>
      <c r="U1025" s="4"/>
      <c r="V1025"/>
      <c r="W1025"/>
      <c r="X1025"/>
      <c r="Y1025" t="inlineStr">
        <is>
          <t>Pending Appointment</t>
        </is>
      </c>
      <c r="Z1025" t="inlineStr">
        <is>
          <t>Hiring Now</t>
        </is>
      </c>
      <c r="AA1025">
        <v>3</v>
      </c>
      <c r="AB1025" t="inlineStr">
        <is>
          <t>No Appointment Made</t>
        </is>
      </c>
      <c r="AC1025"/>
      <c r="AD1025" t="inlineStr">
        <is>
          <t>1 front office // 1 sales manager // 1 chef</t>
        </is>
      </c>
      <c r="AE1025"/>
      <c r="AF1025">
        <v>0</v>
      </c>
      <c r="AG1025" s="4"/>
      <c r="AH1025" s="4"/>
      <c r="AI1025">
        <v>0</v>
      </c>
      <c r="AJ1025"/>
      <c r="AK1025" t="inlineStr">
        <is>
          <t>No, I don't need at all</t>
        </is>
      </c>
      <c r="AL1025">
        <v>0</v>
      </c>
      <c r="AM1025" t="inlineStr">
        <is>
          <t>No, I don't need at all</t>
        </is>
      </c>
      <c r="AN1025"/>
      <c r="AO1025" t="inlineStr">
        <is>
          <t>No, I don't need at all</t>
        </is>
      </c>
      <c r="AP1025" t="inlineStr">
        <is>
          <t>Once a year (25%)</t>
        </is>
      </c>
      <c r="AQ1025">
        <v>3</v>
      </c>
      <c r="AR1025" t="inlineStr">
        <is>
          <t>Indeed (Paid)</t>
        </is>
      </c>
      <c r="AS1025" t="inlineStr">
        <is>
          <t>- Headcount: 3
- Hiring Job Details: 1 front office, 1 sales manager, 1 chef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Indeed (Paid)</t>
        </is>
      </c>
      <c r="AT1025">
        <v>105</v>
      </c>
      <c r="AU1025" t="inlineStr">
        <is>
          <t>1.05</t>
        </is>
      </c>
      <c r="AV1025" t="inlineStr">
        <is>
          <t>15</t>
        </is>
      </c>
      <c r="AW1025" t="inlineStr">
        <is>
          <t>0</t>
        </is>
      </c>
      <c r="AX1025" t="inlineStr">
        <is>
          <t>Not Qualified</t>
        </is>
      </c>
      <c r="AY1025" s="4"/>
      <c r="AZ1025"/>
      <c r="BA1025"/>
      <c r="BB1025"/>
      <c r="BC1025"/>
      <c r="BD1025" s="4"/>
      <c r="BE1025"/>
      <c r="BF1025"/>
      <c r="BG1025" t="inlineStr">
        <is>
          <t>Reschedule</t>
        </is>
      </c>
      <c r="BH1025" t="inlineStr">
        <is>
          <t>Yee Hang</t>
        </is>
      </c>
      <c r="BI1025"/>
      <c r="BJ1025" s="4">
        <v>46144.75585648148</v>
      </c>
      <c r="BK1025" s="4">
        <v>46128.79636574074</v>
      </c>
      <c r="BL1025" t="inlineStr">
        <is>
          <t>0.0</t>
        </is>
      </c>
      <c r="BM1025" t="inlineStr">
        <is>
          <t>0.0</t>
        </is>
      </c>
      <c r="BN1025"/>
      <c r="BO1025" s="4"/>
      <c r="BP1025">
        <v>167820</v>
      </c>
      <c r="BQ1025"/>
      <c r="BR1025"/>
      <c r="BS1025"/>
      <c r="BT1025"/>
      <c r="BU1025"/>
      <c r="BV1025"/>
      <c r="BW1025"/>
      <c r="BX1025"/>
      <c r="BY1025"/>
      <c r="BZ1025" s="4"/>
      <c r="CA1025"/>
      <c r="CB1025"/>
      <c r="CC1025" s="4"/>
      <c r="CD1025" t="inlineStr">
        <is>
          <t>20</t>
        </is>
      </c>
      <c r="CE1025" t="inlineStr">
        <is>
          <t>0</t>
        </is>
      </c>
      <c r="CF1025" t="inlineStr">
        <is>
          <t>Q2-W03</t>
        </is>
      </c>
      <c r="CG1025"/>
      <c r="CH1025"/>
      <c r="CI1025"/>
      <c r="CJ1025" t="inlineStr">
        <is>
          <t>No Paid</t>
        </is>
      </c>
      <c r="CK1025" t="inlineStr">
        <is>
          <t>Not Eligible</t>
        </is>
      </c>
      <c r="CL1025"/>
      <c r="CM1025"/>
    </row>
    <row r="1026" ht="25.5" customHeight="1">
      <c r="A1026" t="inlineStr">
        <is>
          <t>203431</t>
        </is>
      </c>
      <c r="B1026" s="2"/>
      <c r="C1026"/>
      <c r="D1026" s="3">
        <v>46132.584548611114</v>
      </c>
      <c r="E1026" t="inlineStr">
        <is>
          <t>Q2-W03</t>
        </is>
      </c>
      <c r="F1026" t="inlineStr">
        <is>
          <t>Clover</t>
        </is>
      </c>
      <c r="G1026" t="inlineStr">
        <is>
          <t>Customer</t>
        </is>
      </c>
      <c r="H1026" s="2" t="str">
        <f>=HYPERLINK("https://upbox.ajobthing.my/customer/203431", "https://upbox.ajobthing.my/customer/203431")</f>
        <v>https://upbox.ajobthing.my/customer/203431</v>
      </c>
      <c r="I1026" t="inlineStr">
        <is>
          <t>DY STRAP &amp; WRAP SDN BHD</t>
        </is>
      </c>
      <c r="J1026" t="inlineStr">
        <is>
          <t>Small Fish</t>
        </is>
      </c>
      <c r="K1026" t="inlineStr">
        <is>
          <t>Clover</t>
        </is>
      </c>
      <c r="L1026" s="4"/>
      <c r="M1026" s="4">
        <v>46140.48778935185</v>
      </c>
      <c r="N1026"/>
      <c r="O1026">
        <v>3576.96</v>
      </c>
      <c r="P1026" s="4"/>
      <c r="Q1026" s="4">
        <v>46140.4903587963</v>
      </c>
      <c r="R1026"/>
      <c r="S1026">
        <v>1296</v>
      </c>
      <c r="T1026" s="4"/>
      <c r="U1026" s="4"/>
      <c r="V1026"/>
      <c r="W1026"/>
      <c r="X1026"/>
      <c r="Y1026" t="inlineStr">
        <is>
          <t>Pending Appointment</t>
        </is>
      </c>
      <c r="Z1026" t="inlineStr">
        <is>
          <t>Hiring Now</t>
        </is>
      </c>
      <c r="AA1026">
        <v>2</v>
      </c>
      <c r="AB1026" t="inlineStr">
        <is>
          <t>No Appointment Made</t>
        </is>
      </c>
      <c r="AC1026"/>
      <c r="AD1026" t="inlineStr">
        <is>
          <t>Want to hire  opepration manager x1, admin x1, all races, min 1 year exp, plastic manufacturing, senawang, future hiring operator, Ms Shawarmini , suggest pro</t>
        </is>
      </c>
      <c r="AE1026"/>
      <c r="AF1026">
        <v>5000</v>
      </c>
      <c r="AG1026" s="4"/>
      <c r="AH1026" s="4"/>
      <c r="AI1026">
        <v>5000</v>
      </c>
      <c r="AJ1026">
        <v>1</v>
      </c>
      <c r="AK1026" t="inlineStr">
        <is>
          <t>No, but I want in future</t>
        </is>
      </c>
      <c r="AL1026">
        <v>1</v>
      </c>
      <c r="AM1026" t="inlineStr">
        <is>
          <t>No, but I want in future</t>
        </is>
      </c>
      <c r="AN1026"/>
      <c r="AO1026" t="inlineStr">
        <is>
          <t>No, but I want in future</t>
        </is>
      </c>
      <c r="AP1026" t="inlineStr">
        <is>
          <t>Once per quarter (75%)</t>
        </is>
      </c>
      <c r="AQ1026">
        <v>4</v>
      </c>
      <c r="AR1026" t="inlineStr">
        <is>
          <t>Did not use any job portal</t>
        </is>
      </c>
      <c r="AS1026" t="inlineStr">
        <is>
          <t>- Headcount: 2
- Hiring Job Details: 1 operation manager, 1 admin; future hiring operator; plastic manufacturing, Senawang; min 1 year exp, all races; contact Ms Shawarmini,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is>
      </c>
      <c r="AT1026">
        <v>110</v>
      </c>
      <c r="AU1026" t="inlineStr">
        <is>
          <t>1.10</t>
        </is>
      </c>
      <c r="AV1026" t="inlineStr">
        <is>
          <t>15</t>
        </is>
      </c>
      <c r="AW1026" t="inlineStr">
        <is>
          <t>0</t>
        </is>
      </c>
      <c r="AX1026" t="inlineStr">
        <is>
          <t>Not Qualified</t>
        </is>
      </c>
      <c r="AY1026" s="4"/>
      <c r="AZ1026"/>
      <c r="BA1026"/>
      <c r="BB1026"/>
      <c r="BC1026" t="inlineStr">
        <is>
          <t>Sent out invoice.
Talk time combined whatsapp calls  and phone calls.</t>
        </is>
      </c>
      <c r="BD1026" s="4">
        <v>46140.49600694444</v>
      </c>
      <c r="BE1026" t="inlineStr">
        <is>
          <t>pending</t>
        </is>
      </c>
      <c r="BF1026"/>
      <c r="BG1026" t="inlineStr">
        <is>
          <t>Reschedule</t>
        </is>
      </c>
      <c r="BH1026" t="inlineStr">
        <is>
          <t>Reagen</t>
        </is>
      </c>
      <c r="BI1026"/>
      <c r="BJ1026" s="4">
        <v>46144.75430555556</v>
      </c>
      <c r="BK1026" s="4">
        <v>46132.57679398148</v>
      </c>
      <c r="BL1026" t="inlineStr">
        <is>
          <t>0.0</t>
        </is>
      </c>
      <c r="BM1026" t="inlineStr">
        <is>
          <t>0.0</t>
        </is>
      </c>
      <c r="BN1026"/>
      <c r="BO1026" s="4"/>
      <c r="BP1026">
        <v>169196</v>
      </c>
      <c r="BQ1026">
        <v>123858</v>
      </c>
      <c r="BR1026" t="inlineStr">
        <is>
          <t>Proforma</t>
        </is>
      </c>
      <c r="BS1026" t="inlineStr">
        <is>
          <t>AI Ala Carte (Jan 26) Plus</t>
        </is>
      </c>
      <c r="BT1026"/>
      <c r="BU1026"/>
      <c r="BV1026">
        <v>2732276</v>
      </c>
      <c r="BW1026" t="inlineStr">
        <is>
          <t>Follow Up : Invoice Sent 75%</t>
        </is>
      </c>
      <c r="BX1026"/>
      <c r="BY1026"/>
      <c r="BZ1026" s="4"/>
      <c r="CA1026"/>
      <c r="CB1026"/>
      <c r="CC1026" s="4"/>
      <c r="CD1026" t="inlineStr">
        <is>
          <t>20</t>
        </is>
      </c>
      <c r="CE1026" t="inlineStr">
        <is>
          <t>0</t>
        </is>
      </c>
      <c r="CF1026" t="inlineStr">
        <is>
          <t>Q2-W04</t>
        </is>
      </c>
      <c r="CG1026" t="inlineStr">
        <is>
          <t>Q2-W04</t>
        </is>
      </c>
      <c r="CH1026"/>
      <c r="CI1026"/>
      <c r="CJ1026" t="inlineStr">
        <is>
          <t>No Paid</t>
        </is>
      </c>
      <c r="CK1026" t="inlineStr">
        <is>
          <t>Not Eligible</t>
        </is>
      </c>
      <c r="CL1026"/>
      <c r="CM1026"/>
    </row>
    <row r="1027" ht="25.5" customHeight="1">
      <c r="A1027" t="inlineStr">
        <is>
          <t>200946</t>
        </is>
      </c>
      <c r="B1027" s="2"/>
      <c r="C1027"/>
      <c r="D1027" s="3">
        <v>46132.588900462964</v>
      </c>
      <c r="E1027" t="inlineStr">
        <is>
          <t>Q2-W03</t>
        </is>
      </c>
      <c r="F1027" t="inlineStr">
        <is>
          <t>Xin Quan</t>
        </is>
      </c>
      <c r="G1027" t="inlineStr">
        <is>
          <t>Customer</t>
        </is>
      </c>
      <c r="H1027" s="2" t="str">
        <f>=HYPERLINK("https://upbox.ajobthing.my/customer/200946", "https://upbox.ajobthing.my/customer/200946")</f>
        <v>https://upbox.ajobthing.my/customer/200946</v>
      </c>
      <c r="I1027" t="inlineStr">
        <is>
          <t>Dahpay (m) Sdn Bhd</t>
        </is>
      </c>
      <c r="J1027" t="inlineStr">
        <is>
          <t>Small Fish</t>
        </is>
      </c>
      <c r="K1027" t="inlineStr">
        <is>
          <t>Xin Quan</t>
        </is>
      </c>
      <c r="L1027" s="4"/>
      <c r="M1027" s="4">
        <v>46132.58899305556</v>
      </c>
      <c r="N1027"/>
      <c r="O1027">
        <v>3888</v>
      </c>
      <c r="P1027" s="4"/>
      <c r="Q1027" s="4"/>
      <c r="R1027"/>
      <c r="S1027"/>
      <c r="T1027" s="4"/>
      <c r="U1027" s="4"/>
      <c r="V1027"/>
      <c r="W1027"/>
      <c r="X1027"/>
      <c r="Y1027" t="inlineStr">
        <is>
          <t>Pending Appointment</t>
        </is>
      </c>
      <c r="Z1027" t="inlineStr">
        <is>
          <t>Hiring Now</t>
        </is>
      </c>
      <c r="AA1027">
        <v>2</v>
      </c>
      <c r="AB1027" t="inlineStr">
        <is>
          <t>No Appointment Made</t>
        </is>
      </c>
      <c r="AC1027"/>
      <c r="AD1027" t="inlineStr">
        <is>
          <t>1 Account Assistant, 1 IT Manager , Base in KL</t>
        </is>
      </c>
      <c r="AE1027"/>
      <c r="AF1027">
        <v>4000</v>
      </c>
      <c r="AG1027" s="4"/>
      <c r="AH1027" s="4"/>
      <c r="AI1027">
        <v>48000</v>
      </c>
      <c r="AJ1027">
        <v>1</v>
      </c>
      <c r="AK1027" t="inlineStr">
        <is>
          <t>No, I don't need at all</t>
        </is>
      </c>
      <c r="AL1027">
        <v>1</v>
      </c>
      <c r="AM1027" t="inlineStr">
        <is>
          <t>No, I don't need at all</t>
        </is>
      </c>
      <c r="AN1027"/>
      <c r="AO1027" t="inlineStr">
        <is>
          <t>No, I don't need at all</t>
        </is>
      </c>
      <c r="AP1027" t="inlineStr">
        <is>
          <t>Once a year (25%)</t>
        </is>
      </c>
      <c r="AQ1027">
        <v>2</v>
      </c>
      <c r="AR1027"/>
      <c r="AS1027" t="inlineStr">
        <is>
          <t>- Headcount: 2
- Hiring Job Details: 1 Account Assistant, 1 IT Manager,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is>
      </c>
      <c r="AT1027">
        <v>115</v>
      </c>
      <c r="AU1027" t="inlineStr">
        <is>
          <t>1.15</t>
        </is>
      </c>
      <c r="AV1027" t="inlineStr">
        <is>
          <t>15</t>
        </is>
      </c>
      <c r="AW1027" t="inlineStr">
        <is>
          <t>0</t>
        </is>
      </c>
      <c r="AX1027" t="inlineStr">
        <is>
          <t>Not Qualified</t>
        </is>
      </c>
      <c r="AY1027" s="4"/>
      <c r="AZ1027"/>
      <c r="BA1027"/>
      <c r="BB1027"/>
      <c r="BC1027" t="inlineStr">
        <is>
          <t>RTT</t>
        </is>
      </c>
      <c r="BD1027" s="4">
        <v>46134.44783564815</v>
      </c>
      <c r="BE1027"/>
      <c r="BF1027"/>
      <c r="BG1027" t="inlineStr">
        <is>
          <t>Reschedule</t>
        </is>
      </c>
      <c r="BH1027" t="inlineStr">
        <is>
          <t>Edward Hoo</t>
        </is>
      </c>
      <c r="BI1027"/>
      <c r="BJ1027" s="4">
        <v>46144.75368055556</v>
      </c>
      <c r="BK1027" s="4">
        <v>46057.42177083333</v>
      </c>
      <c r="BL1027" t="inlineStr">
        <is>
          <t>0.0</t>
        </is>
      </c>
      <c r="BM1027" t="inlineStr">
        <is>
          <t>600.0</t>
        </is>
      </c>
      <c r="BN1027" t="inlineStr">
        <is>
          <t>View Company Page</t>
        </is>
      </c>
      <c r="BO1027" s="4">
        <v>46057.426516203705</v>
      </c>
      <c r="BP1027">
        <v>167833</v>
      </c>
      <c r="BQ1027"/>
      <c r="BR1027"/>
      <c r="BS1027"/>
      <c r="BT1027"/>
      <c r="BU1027"/>
      <c r="BV1027">
        <v>2719788</v>
      </c>
      <c r="BW1027" t="inlineStr">
        <is>
          <t>Inquire for Hiring Needs : No Hiring</t>
        </is>
      </c>
      <c r="BX1027"/>
      <c r="BY1027"/>
      <c r="BZ1027" s="4"/>
      <c r="CA1027"/>
      <c r="CB1027"/>
      <c r="CC1027" s="4"/>
      <c r="CD1027" t="inlineStr">
        <is>
          <t>20</t>
        </is>
      </c>
      <c r="CE1027" t="inlineStr">
        <is>
          <t>0</t>
        </is>
      </c>
      <c r="CF1027" t="inlineStr">
        <is>
          <t>Q2-W03</t>
        </is>
      </c>
      <c r="CG1027"/>
      <c r="CH1027"/>
      <c r="CI1027"/>
      <c r="CJ1027" t="inlineStr">
        <is>
          <t>No Paid</t>
        </is>
      </c>
      <c r="CK1027" t="inlineStr">
        <is>
          <t>Not Eligible</t>
        </is>
      </c>
      <c r="CL1027"/>
      <c r="CM1027"/>
    </row>
    <row r="1028" ht="25.5" customHeight="1">
      <c r="A1028" t="inlineStr">
        <is>
          <t>167002</t>
        </is>
      </c>
      <c r="B1028" s="2"/>
      <c r="C1028"/>
      <c r="D1028" s="3">
        <v>46132.59496527778</v>
      </c>
      <c r="E1028" t="inlineStr">
        <is>
          <t>Q2-W03</t>
        </is>
      </c>
      <c r="F1028" t="inlineStr">
        <is>
          <t>Jeff Lee</t>
        </is>
      </c>
      <c r="G1028" t="inlineStr">
        <is>
          <t>Customer</t>
        </is>
      </c>
      <c r="H1028" s="2" t="str">
        <f>=HYPERLINK("https://upbox.ajobthing.my/customer/167002", "https://upbox.ajobthing.my/customer/167002")</f>
        <v>https://upbox.ajobthing.my/customer/167002</v>
      </c>
      <c r="I1028" t="inlineStr">
        <is>
          <t>Heavenly Star Music Sdn Bhd</t>
        </is>
      </c>
      <c r="J1028" t="inlineStr">
        <is>
          <t>Small Fish</t>
        </is>
      </c>
      <c r="K1028" t="inlineStr">
        <is>
          <t>Jeff Lee</t>
        </is>
      </c>
      <c r="L1028" s="4"/>
      <c r="M1028" s="4">
        <v>46132.59196759259</v>
      </c>
      <c r="N1028"/>
      <c r="O1028">
        <v>3888</v>
      </c>
      <c r="P1028" s="4"/>
      <c r="Q1028" s="4">
        <v>45061.00001157408</v>
      </c>
      <c r="R1028"/>
      <c r="S1028">
        <v>636</v>
      </c>
      <c r="T1028" s="4">
        <v>45061.00001157408</v>
      </c>
      <c r="U1028" s="4"/>
      <c r="V1028"/>
      <c r="W1028">
        <v>636</v>
      </c>
      <c r="X1028"/>
      <c r="Y1028" t="inlineStr">
        <is>
          <t>Pending Appointment</t>
        </is>
      </c>
      <c r="Z1028" t="inlineStr">
        <is>
          <t>Hiring Now</t>
        </is>
      </c>
      <c r="AA1028">
        <v>1</v>
      </c>
      <c r="AB1028" t="inlineStr">
        <is>
          <t>No Appointment Made</t>
        </is>
      </c>
      <c r="AC1028"/>
      <c r="AD1028" t="inlineStr">
        <is>
          <t>1 lecturer</t>
        </is>
      </c>
      <c r="AE1028"/>
      <c r="AF1028">
        <v>0</v>
      </c>
      <c r="AG1028" s="4"/>
      <c r="AH1028" s="4"/>
      <c r="AI1028">
        <v>0</v>
      </c>
      <c r="AJ1028">
        <v>0</v>
      </c>
      <c r="AK1028" t="inlineStr">
        <is>
          <t>No, I don't need at all</t>
        </is>
      </c>
      <c r="AL1028">
        <v>0</v>
      </c>
      <c r="AM1028" t="inlineStr">
        <is>
          <t>No, I don't need at all</t>
        </is>
      </c>
      <c r="AN1028"/>
      <c r="AO1028" t="inlineStr">
        <is>
          <t>No, I don't need at all</t>
        </is>
      </c>
      <c r="AP1028" t="inlineStr">
        <is>
          <t>Once a year (25%)</t>
        </is>
      </c>
      <c r="AQ1028">
        <v>1</v>
      </c>
      <c r="AR1028" t="inlineStr">
        <is>
          <t>Jobstreet, Indeed (Paid)</t>
        </is>
      </c>
      <c r="AS1028" t="inlineStr">
        <is>
          <t>- Headcount: 1
- Hiring Job Details: 1 lecturer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Jobstreet,Indeed (Paid)</t>
        </is>
      </c>
      <c r="AT1028">
        <v>115</v>
      </c>
      <c r="AU1028" t="inlineStr">
        <is>
          <t>1.15</t>
        </is>
      </c>
      <c r="AV1028" t="inlineStr">
        <is>
          <t>15</t>
        </is>
      </c>
      <c r="AW1028" t="inlineStr">
        <is>
          <t>0</t>
        </is>
      </c>
      <c r="AX1028" t="inlineStr">
        <is>
          <t>Not Qualified</t>
        </is>
      </c>
      <c r="AY1028" s="4"/>
      <c r="AZ1028"/>
      <c r="BA1028"/>
      <c r="BB1028"/>
      <c r="BC1028" t="inlineStr">
        <is>
          <t>no hiring atm since market is slow</t>
        </is>
      </c>
      <c r="BD1028" s="4">
        <v>46135.62844907407</v>
      </c>
      <c r="BE1028" t="inlineStr">
        <is>
          <t>paid</t>
        </is>
      </c>
      <c r="BF1028"/>
      <c r="BG1028" t="inlineStr">
        <is>
          <t>Reschedule</t>
        </is>
      </c>
      <c r="BH1028" t="inlineStr">
        <is>
          <t>Yee Hang</t>
        </is>
      </c>
      <c r="BI1028" t="inlineStr">
        <is>
          <t>Education / Training</t>
        </is>
      </c>
      <c r="BJ1028" s="4">
        <v>46144.75131944445</v>
      </c>
      <c r="BK1028" s="4">
        <v>45059.744479166664</v>
      </c>
      <c r="BL1028" t="inlineStr">
        <is>
          <t>0.0</t>
        </is>
      </c>
      <c r="BM1028" t="inlineStr">
        <is>
          <t>0.0</t>
        </is>
      </c>
      <c r="BN1028" t="inlineStr">
        <is>
          <t>View Company Page</t>
        </is>
      </c>
      <c r="BO1028" s="4">
        <v>45504.45841435185</v>
      </c>
      <c r="BP1028">
        <v>167834</v>
      </c>
      <c r="BQ1028">
        <v>58526</v>
      </c>
      <c r="BR1028" t="inlineStr">
        <is>
          <t>Online</t>
        </is>
      </c>
      <c r="BS1028"/>
      <c r="BT1028">
        <v>58526</v>
      </c>
      <c r="BU1028"/>
      <c r="BV1028">
        <v>2723837</v>
      </c>
      <c r="BW1028" t="inlineStr">
        <is>
          <t>Follow Up : Budget Concern</t>
        </is>
      </c>
      <c r="BX1028"/>
      <c r="BY1028"/>
      <c r="BZ1028" s="4"/>
      <c r="CA1028"/>
      <c r="CB1028"/>
      <c r="CC1028" s="4"/>
      <c r="CD1028" t="inlineStr">
        <is>
          <t>20</t>
        </is>
      </c>
      <c r="CE1028" t="inlineStr">
        <is>
          <t>0</t>
        </is>
      </c>
      <c r="CF1028" t="inlineStr">
        <is>
          <t>Q2-W03</t>
        </is>
      </c>
      <c r="CG1028"/>
      <c r="CH1028"/>
      <c r="CI1028"/>
      <c r="CJ1028" t="inlineStr">
        <is>
          <t>Paid</t>
        </is>
      </c>
      <c r="CK1028" t="inlineStr">
        <is>
          <t>Not Eligible</t>
        </is>
      </c>
      <c r="CL1028"/>
      <c r="CM1028"/>
    </row>
    <row r="1029" ht="25.5" customHeight="1">
      <c r="A1029" t="inlineStr">
        <is>
          <t>4305137</t>
        </is>
      </c>
      <c r="B1029" s="2"/>
      <c r="C1029"/>
      <c r="D1029" s="3">
        <v>46132.60288194445</v>
      </c>
      <c r="E1029" t="inlineStr">
        <is>
          <t>Q2-W03</t>
        </is>
      </c>
      <c r="F1029" t="inlineStr">
        <is>
          <t>Angel  Low</t>
        </is>
      </c>
      <c r="G1029" t="inlineStr">
        <is>
          <t>Lead</t>
        </is>
      </c>
      <c r="H1029" s="2" t="str">
        <f>=HYPERLINK("https://upbox.ajobthing.my/leads/4305137", "https://upbox.ajobthing.my/leads/4305137")</f>
        <v>https://upbox.ajobthing.my/leads/4305137</v>
      </c>
      <c r="I1029" t="inlineStr">
        <is>
          <t>Eco Hygienic Expert</t>
        </is>
      </c>
      <c r="J1029" t="inlineStr">
        <is>
          <t>Small Fish</t>
        </is>
      </c>
      <c r="K1029" t="inlineStr">
        <is>
          <t>Angel Low</t>
        </is>
      </c>
      <c r="L1029" s="4"/>
      <c r="M1029" s="4">
        <v>46132.604317129626</v>
      </c>
      <c r="N1029"/>
      <c r="O1029">
        <v>5508</v>
      </c>
      <c r="P1029" s="4"/>
      <c r="Q1029" s="4"/>
      <c r="R1029"/>
      <c r="S1029"/>
      <c r="T1029" s="4"/>
      <c r="U1029" s="4"/>
      <c r="V1029"/>
      <c r="W1029"/>
      <c r="X1029"/>
      <c r="Y1029" t="inlineStr">
        <is>
          <t>Pending Appointment</t>
        </is>
      </c>
      <c r="Z1029"/>
      <c r="AA1029">
        <v>1</v>
      </c>
      <c r="AB1029" t="inlineStr">
        <is>
          <t>No Appointment Made</t>
        </is>
      </c>
      <c r="AC1029"/>
      <c r="AD1029" t="inlineStr">
        <is>
          <t xml:space="preserve">1 driver  PJ </t>
        </is>
      </c>
      <c r="AE1029"/>
      <c r="AF1029"/>
      <c r="AG1029" s="4"/>
      <c r="AH1029" s="4"/>
      <c r="AI1029"/>
      <c r="AJ1029"/>
      <c r="AK1029"/>
      <c r="AL1029"/>
      <c r="AM1029"/>
      <c r="AN1029"/>
      <c r="AO1029"/>
      <c r="AP1029"/>
      <c r="AQ1029"/>
      <c r="AR1029"/>
      <c r="AS1029" t="inlineStr">
        <is>
          <t>- Headcount: 1
- Hiring Job Details: 1 driver PJ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029">
        <v>60</v>
      </c>
      <c r="AU1029" t="inlineStr">
        <is>
          <t>0.60</t>
        </is>
      </c>
      <c r="AV1029" t="inlineStr">
        <is>
          <t>5</t>
        </is>
      </c>
      <c r="AW1029" t="inlineStr">
        <is>
          <t>0</t>
        </is>
      </c>
      <c r="AX1029" t="inlineStr">
        <is>
          <t>Not Qualified</t>
        </is>
      </c>
      <c r="AY1029" s="4"/>
      <c r="AZ1029"/>
      <c r="BA1029"/>
      <c r="BB1029"/>
      <c r="BC1029"/>
      <c r="BD1029" s="4"/>
      <c r="BE1029"/>
      <c r="BF1029"/>
      <c r="BG1029" t="inlineStr">
        <is>
          <t>Reschedule</t>
        </is>
      </c>
      <c r="BH1029" t="inlineStr">
        <is>
          <t>Fauziah Maharan</t>
        </is>
      </c>
      <c r="BI1029"/>
      <c r="BJ1029" s="4">
        <v>46144.75587962963</v>
      </c>
      <c r="BK1029" s="4">
        <v>46132.55825231481</v>
      </c>
      <c r="BL1029" t="inlineStr">
        <is>
          <t>0.0</t>
        </is>
      </c>
      <c r="BM1029" t="inlineStr">
        <is>
          <t>0.0</t>
        </is>
      </c>
      <c r="BN1029"/>
      <c r="BO1029" s="4"/>
      <c r="BP1029">
        <v>167841</v>
      </c>
      <c r="BQ1029"/>
      <c r="BR1029"/>
      <c r="BS1029"/>
      <c r="BT1029"/>
      <c r="BU1029"/>
      <c r="BV1029"/>
      <c r="BW1029"/>
      <c r="BX1029"/>
      <c r="BY1029"/>
      <c r="BZ1029" s="4"/>
      <c r="CA1029"/>
      <c r="CB1029"/>
      <c r="CC1029" s="4"/>
      <c r="CD1029" t="inlineStr">
        <is>
          <t>5</t>
        </is>
      </c>
      <c r="CE1029" t="inlineStr">
        <is>
          <t>0</t>
        </is>
      </c>
      <c r="CF1029" t="inlineStr">
        <is>
          <t>Q2-W03</t>
        </is>
      </c>
      <c r="CG1029"/>
      <c r="CH1029"/>
      <c r="CI1029"/>
      <c r="CJ1029" t="inlineStr">
        <is>
          <t>No Paid</t>
        </is>
      </c>
      <c r="CK1029" t="inlineStr">
        <is>
          <t>Not Eligible</t>
        </is>
      </c>
      <c r="CL1029"/>
      <c r="CM1029"/>
    </row>
    <row r="1030" ht="25.5" customHeight="1">
      <c r="A1030" t="inlineStr">
        <is>
          <t>42596</t>
        </is>
      </c>
      <c r="B1030" s="2"/>
      <c r="C1030"/>
      <c r="D1030" s="3">
        <v>46132.60304398148</v>
      </c>
      <c r="E1030" t="inlineStr">
        <is>
          <t>Q2-W03</t>
        </is>
      </c>
      <c r="F1030" t="inlineStr">
        <is>
          <t>Keegan</t>
        </is>
      </c>
      <c r="G1030" t="inlineStr">
        <is>
          <t>Customer</t>
        </is>
      </c>
      <c r="H1030" s="2" t="str">
        <f>=HYPERLINK("https://upbox.ajobthing.my/customer/42596", "https://upbox.ajobthing.my/customer/42596")</f>
        <v>https://upbox.ajobthing.my/customer/42596</v>
      </c>
      <c r="I1030" t="inlineStr">
        <is>
          <t>Work Zone Auto Trading</t>
        </is>
      </c>
      <c r="J1030" t="inlineStr">
        <is>
          <t>Small Fish</t>
        </is>
      </c>
      <c r="K1030" t="inlineStr">
        <is>
          <t>Keegan</t>
        </is>
      </c>
      <c r="L1030" s="4"/>
      <c r="M1030" s="4">
        <v>46132.603113425925</v>
      </c>
      <c r="N1030"/>
      <c r="O1030">
        <v>3888</v>
      </c>
      <c r="P1030" s="4"/>
      <c r="Q1030" s="4"/>
      <c r="R1030"/>
      <c r="S1030"/>
      <c r="T1030" s="4"/>
      <c r="U1030" s="4"/>
      <c r="V1030"/>
      <c r="W1030"/>
      <c r="X1030"/>
      <c r="Y1030" t="inlineStr">
        <is>
          <t>Pending Appointment</t>
        </is>
      </c>
      <c r="Z1030" t="inlineStr">
        <is>
          <t>Hiring Now</t>
        </is>
      </c>
      <c r="AA1030">
        <v>1</v>
      </c>
      <c r="AB1030" t="inlineStr">
        <is>
          <t>No Appointment Made</t>
        </is>
      </c>
      <c r="AC1030"/>
      <c r="AD1030" t="inlineStr">
        <is>
          <t xml:space="preserve">1. Sales </t>
        </is>
      </c>
      <c r="AE1030"/>
      <c r="AF1030"/>
      <c r="AG1030" s="4"/>
      <c r="AH1030" s="4"/>
      <c r="AI1030"/>
      <c r="AJ1030">
        <v>1</v>
      </c>
      <c r="AK1030" t="inlineStr">
        <is>
          <t>No, I don't need at all</t>
        </is>
      </c>
      <c r="AL1030">
        <v>0</v>
      </c>
      <c r="AM1030" t="inlineStr">
        <is>
          <t>No, I don't need at all</t>
        </is>
      </c>
      <c r="AN1030"/>
      <c r="AO1030" t="inlineStr">
        <is>
          <t>No, I don't need at all</t>
        </is>
      </c>
      <c r="AP1030" t="inlineStr">
        <is>
          <t>Once per quarter (75%)</t>
        </is>
      </c>
      <c r="AQ1030"/>
      <c r="AR1030" t="inlineStr">
        <is>
          <t>Did not use any job portal</t>
        </is>
      </c>
      <c r="AS1030"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030">
        <v>95</v>
      </c>
      <c r="AU1030" t="inlineStr">
        <is>
          <t>0.95</t>
        </is>
      </c>
      <c r="AV1030" t="inlineStr">
        <is>
          <t>5</t>
        </is>
      </c>
      <c r="AW1030" t="inlineStr">
        <is>
          <t>0</t>
        </is>
      </c>
      <c r="AX1030" t="inlineStr">
        <is>
          <t>Not Qualified</t>
        </is>
      </c>
      <c r="AY1030" s="4"/>
      <c r="AZ1030"/>
      <c r="BA1030"/>
      <c r="BB1030"/>
      <c r="BC1030" t="inlineStr">
        <is>
          <t>Hiring plan cancel from management side</t>
        </is>
      </c>
      <c r="BD1030" s="4">
        <v>46136.488530092596</v>
      </c>
      <c r="BE1030"/>
      <c r="BF1030"/>
      <c r="BG1030" t="inlineStr">
        <is>
          <t>Reschedule</t>
        </is>
      </c>
      <c r="BH1030" t="inlineStr">
        <is>
          <t>Edward Hoo</t>
        </is>
      </c>
      <c r="BI1030" t="inlineStr">
        <is>
          <t>Automobile / Automotive</t>
        </is>
      </c>
      <c r="BJ1030" s="4">
        <v>46144.75576388889</v>
      </c>
      <c r="BK1030" s="4">
        <v>43020.48788194444</v>
      </c>
      <c r="BL1030" t="inlineStr">
        <is>
          <t>0.0</t>
        </is>
      </c>
      <c r="BM1030" t="inlineStr">
        <is>
          <t>0.0</t>
        </is>
      </c>
      <c r="BN1030"/>
      <c r="BO1030" s="4"/>
      <c r="BP1030">
        <v>167838</v>
      </c>
      <c r="BQ1030"/>
      <c r="BR1030"/>
      <c r="BS1030"/>
      <c r="BT1030"/>
      <c r="BU1030"/>
      <c r="BV1030">
        <v>2725952</v>
      </c>
      <c r="BW1030" t="inlineStr">
        <is>
          <t>Follow Up : Lost - Free Portal</t>
        </is>
      </c>
      <c r="BX1030"/>
      <c r="BY1030"/>
      <c r="BZ1030" s="4"/>
      <c r="CA1030"/>
      <c r="CB1030"/>
      <c r="CC1030" s="4"/>
      <c r="CD1030" t="inlineStr">
        <is>
          <t>5</t>
        </is>
      </c>
      <c r="CE1030" t="inlineStr">
        <is>
          <t>0</t>
        </is>
      </c>
      <c r="CF1030" t="inlineStr">
        <is>
          <t>Q2-W03</t>
        </is>
      </c>
      <c r="CG1030"/>
      <c r="CH1030"/>
      <c r="CI1030"/>
      <c r="CJ1030" t="inlineStr">
        <is>
          <t>No Paid</t>
        </is>
      </c>
      <c r="CK1030" t="inlineStr">
        <is>
          <t>Not Eligible</t>
        </is>
      </c>
      <c r="CL1030"/>
      <c r="CM1030"/>
    </row>
    <row r="1031" ht="25.5" customHeight="1">
      <c r="A1031" t="inlineStr">
        <is>
          <t>203424</t>
        </is>
      </c>
      <c r="B1031" s="2"/>
      <c r="C1031"/>
      <c r="D1031" s="3">
        <v>46132.610868055555</v>
      </c>
      <c r="E1031" t="inlineStr">
        <is>
          <t>Q2-W03</t>
        </is>
      </c>
      <c r="F1031" t="inlineStr">
        <is>
          <t>Lucas</t>
        </is>
      </c>
      <c r="G1031" t="inlineStr">
        <is>
          <t>Customer</t>
        </is>
      </c>
      <c r="H1031" s="2" t="str">
        <f>=HYPERLINK("https://upbox.ajobthing.my/customer/203424", "https://upbox.ajobthing.my/customer/203424")</f>
        <v>https://upbox.ajobthing.my/customer/203424</v>
      </c>
      <c r="I1031" t="inlineStr">
        <is>
          <t>Sk Jarrod</t>
        </is>
      </c>
      <c r="J1031" t="inlineStr">
        <is>
          <t>Small Fish</t>
        </is>
      </c>
      <c r="K1031" t="inlineStr">
        <is>
          <t>Lucas</t>
        </is>
      </c>
      <c r="L1031" s="4"/>
      <c r="M1031" s="4">
        <v>46132.609930555554</v>
      </c>
      <c r="N1031"/>
      <c r="O1031">
        <v>3888</v>
      </c>
      <c r="P1031" s="4"/>
      <c r="Q1031" s="4"/>
      <c r="R1031"/>
      <c r="S1031"/>
      <c r="T1031" s="4"/>
      <c r="U1031" s="4"/>
      <c r="V1031"/>
      <c r="W1031"/>
      <c r="X1031"/>
      <c r="Y1031" t="inlineStr">
        <is>
          <t>Pending Appointment</t>
        </is>
      </c>
      <c r="Z1031" t="inlineStr">
        <is>
          <t>Hiring Now</t>
        </is>
      </c>
      <c r="AA1031">
        <v>1</v>
      </c>
      <c r="AB1031" t="inlineStr">
        <is>
          <t>No Appointment Made</t>
        </is>
      </c>
      <c r="AC1031"/>
      <c r="AD1031" t="inlineStr">
        <is>
          <t>1 intern business admin</t>
        </is>
      </c>
      <c r="AE1031"/>
      <c r="AF1031">
        <v>0</v>
      </c>
      <c r="AG1031" s="4"/>
      <c r="AH1031" s="4"/>
      <c r="AI1031">
        <v>0</v>
      </c>
      <c r="AJ1031">
        <v>0</v>
      </c>
      <c r="AK1031" t="inlineStr">
        <is>
          <t>No, I don't need at all</t>
        </is>
      </c>
      <c r="AL1031">
        <v>0</v>
      </c>
      <c r="AM1031" t="inlineStr">
        <is>
          <t>No, I don't need at all</t>
        </is>
      </c>
      <c r="AN1031"/>
      <c r="AO1031" t="inlineStr">
        <is>
          <t>No, I don't need at all</t>
        </is>
      </c>
      <c r="AP1031" t="inlineStr">
        <is>
          <t>Once a year (25%)</t>
        </is>
      </c>
      <c r="AQ1031">
        <v>1</v>
      </c>
      <c r="AR1031" t="inlineStr">
        <is>
          <t>Did not use any job portal</t>
        </is>
      </c>
      <c r="AS1031" t="inlineStr">
        <is>
          <t>- Headcount: 1
- Hiring Job Details: 1 intern business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031">
        <v>105</v>
      </c>
      <c r="AU1031" t="inlineStr">
        <is>
          <t>1.05</t>
        </is>
      </c>
      <c r="AV1031" t="inlineStr">
        <is>
          <t>15</t>
        </is>
      </c>
      <c r="AW1031" t="inlineStr">
        <is>
          <t>0</t>
        </is>
      </c>
      <c r="AX1031" t="inlineStr">
        <is>
          <t>Not Qualified</t>
        </is>
      </c>
      <c r="AY1031" s="4"/>
      <c r="AZ1031"/>
      <c r="BA1031"/>
      <c r="BB1031"/>
      <c r="BC1031" t="inlineStr">
        <is>
          <t>not interested</t>
        </is>
      </c>
      <c r="BD1031" s="4">
        <v>46136.694386574076</v>
      </c>
      <c r="BE1031"/>
      <c r="BF1031"/>
      <c r="BG1031" t="inlineStr">
        <is>
          <t>Reschedule</t>
        </is>
      </c>
      <c r="BH1031" t="inlineStr">
        <is>
          <t>Yee Hang</t>
        </is>
      </c>
      <c r="BI1031"/>
      <c r="BJ1031" s="4">
        <v>46144.75430555556</v>
      </c>
      <c r="BK1031" s="4">
        <v>46132.48846064815</v>
      </c>
      <c r="BL1031" t="inlineStr">
        <is>
          <t>0.0</t>
        </is>
      </c>
      <c r="BM1031" t="inlineStr">
        <is>
          <t>0.0</t>
        </is>
      </c>
      <c r="BN1031" t="inlineStr">
        <is>
          <t>View Company Page</t>
        </is>
      </c>
      <c r="BO1031" s="4">
        <v>46132.60396990741</v>
      </c>
      <c r="BP1031">
        <v>167844</v>
      </c>
      <c r="BQ1031"/>
      <c r="BR1031"/>
      <c r="BS1031"/>
      <c r="BT1031"/>
      <c r="BU1031"/>
      <c r="BV1031">
        <v>2727108</v>
      </c>
      <c r="BW1031" t="inlineStr">
        <is>
          <t>Follow Up : Budget Concern</t>
        </is>
      </c>
      <c r="BX1031"/>
      <c r="BY1031"/>
      <c r="BZ1031" s="4"/>
      <c r="CA1031"/>
      <c r="CB1031"/>
      <c r="CC1031" s="4"/>
      <c r="CD1031" t="inlineStr">
        <is>
          <t>20</t>
        </is>
      </c>
      <c r="CE1031" t="inlineStr">
        <is>
          <t>0</t>
        </is>
      </c>
      <c r="CF1031" t="inlineStr">
        <is>
          <t>Q2-W03</t>
        </is>
      </c>
      <c r="CG1031"/>
      <c r="CH1031"/>
      <c r="CI1031"/>
      <c r="CJ1031" t="inlineStr">
        <is>
          <t>No Paid</t>
        </is>
      </c>
      <c r="CK1031" t="inlineStr">
        <is>
          <t>Not Eligible</t>
        </is>
      </c>
      <c r="CL1031"/>
      <c r="CM1031"/>
    </row>
    <row r="1032" ht="25.5" customHeight="1">
      <c r="A1032" t="inlineStr">
        <is>
          <t>123073</t>
        </is>
      </c>
      <c r="B1032" s="2"/>
      <c r="C1032"/>
      <c r="D1032" s="3">
        <v>46132.612395833334</v>
      </c>
      <c r="E1032" t="inlineStr">
        <is>
          <t>Q2-W03</t>
        </is>
      </c>
      <c r="F1032" t="inlineStr">
        <is>
          <t>Xin Quan</t>
        </is>
      </c>
      <c r="G1032" t="inlineStr">
        <is>
          <t>Customer</t>
        </is>
      </c>
      <c r="H1032" s="2" t="str">
        <f>=HYPERLINK("https://upbox.ajobthing.my/customer/123073", "https://upbox.ajobthing.my/customer/123073")</f>
        <v>https://upbox.ajobthing.my/customer/123073</v>
      </c>
      <c r="I1032" t="inlineStr">
        <is>
          <t>Marine Company</t>
        </is>
      </c>
      <c r="J1032" t="inlineStr">
        <is>
          <t>Small Fish</t>
        </is>
      </c>
      <c r="K1032" t="inlineStr">
        <is>
          <t>Xin Quan</t>
        </is>
      </c>
      <c r="L1032" s="4"/>
      <c r="M1032" s="4">
        <v>46132.61247685185</v>
      </c>
      <c r="N1032"/>
      <c r="O1032">
        <v>3888</v>
      </c>
      <c r="P1032" s="4"/>
      <c r="Q1032" s="4">
        <v>45895.45054398148</v>
      </c>
      <c r="R1032"/>
      <c r="S1032">
        <v>648</v>
      </c>
      <c r="T1032" s="4"/>
      <c r="U1032" s="4"/>
      <c r="V1032"/>
      <c r="W1032"/>
      <c r="X1032"/>
      <c r="Y1032" t="inlineStr">
        <is>
          <t>Pending Appointment</t>
        </is>
      </c>
      <c r="Z1032" t="inlineStr">
        <is>
          <t>Hiring Now</t>
        </is>
      </c>
      <c r="AA1032">
        <v>1</v>
      </c>
      <c r="AB1032" t="inlineStr">
        <is>
          <t>No Appointment Made</t>
        </is>
      </c>
      <c r="AC1032"/>
      <c r="AD1032" t="inlineStr">
        <is>
          <t>1 Sales , Base in KL</t>
        </is>
      </c>
      <c r="AE1032"/>
      <c r="AF1032">
        <v>2000</v>
      </c>
      <c r="AG1032" s="4"/>
      <c r="AH1032" s="4"/>
      <c r="AI1032">
        <v>24000</v>
      </c>
      <c r="AJ1032">
        <v>1</v>
      </c>
      <c r="AK1032" t="inlineStr">
        <is>
          <t>No, I don't need at all</t>
        </is>
      </c>
      <c r="AL1032">
        <v>1</v>
      </c>
      <c r="AM1032" t="inlineStr">
        <is>
          <t>No, I don't need at all</t>
        </is>
      </c>
      <c r="AN1032"/>
      <c r="AO1032" t="inlineStr">
        <is>
          <t>No, I don't need at all</t>
        </is>
      </c>
      <c r="AP1032" t="inlineStr">
        <is>
          <t>Once a year (25%)</t>
        </is>
      </c>
      <c r="AQ1032">
        <v>1</v>
      </c>
      <c r="AR1032"/>
      <c r="AS1032" t="inlineStr">
        <is>
          <t>- Headcount: 1
- Hiring Job Details: 1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1032">
        <v>105</v>
      </c>
      <c r="AU1032" t="inlineStr">
        <is>
          <t>1.05</t>
        </is>
      </c>
      <c r="AV1032" t="inlineStr">
        <is>
          <t>15</t>
        </is>
      </c>
      <c r="AW1032" t="inlineStr">
        <is>
          <t>0</t>
        </is>
      </c>
      <c r="AX1032" t="inlineStr">
        <is>
          <t>Not Qualified</t>
        </is>
      </c>
      <c r="AY1032" s="4"/>
      <c r="AZ1032"/>
      <c r="BA1032"/>
      <c r="BB1032"/>
      <c r="BC1032" t="inlineStr">
        <is>
          <t>BOSS no ans</t>
        </is>
      </c>
      <c r="BD1032" s="4">
        <v>46140.71238425926</v>
      </c>
      <c r="BE1032" t="inlineStr">
        <is>
          <t>pending</t>
        </is>
      </c>
      <c r="BF1032"/>
      <c r="BG1032" t="inlineStr">
        <is>
          <t>Reschedule</t>
        </is>
      </c>
      <c r="BH1032" t="inlineStr">
        <is>
          <t>Edward Hoo</t>
        </is>
      </c>
      <c r="BI1032"/>
      <c r="BJ1032" s="4">
        <v>46144.750289351854</v>
      </c>
      <c r="BK1032" s="4">
        <v>43775.51011574074</v>
      </c>
      <c r="BL1032" t="inlineStr">
        <is>
          <t>0.0</t>
        </is>
      </c>
      <c r="BM1032" t="inlineStr">
        <is>
          <t>0.0</t>
        </is>
      </c>
      <c r="BN1032" t="inlineStr">
        <is>
          <t>View Create Job Page</t>
        </is>
      </c>
      <c r="BO1032" s="4">
        <v>45887.404074074075</v>
      </c>
      <c r="BP1032">
        <v>167845</v>
      </c>
      <c r="BQ1032">
        <v>108580</v>
      </c>
      <c r="BR1032" t="inlineStr">
        <is>
          <t>Proforma</t>
        </is>
      </c>
      <c r="BS1032" t="inlineStr">
        <is>
          <t>Ala Carte Single</t>
        </is>
      </c>
      <c r="BT1032"/>
      <c r="BU1032"/>
      <c r="BV1032">
        <v>2733718</v>
      </c>
      <c r="BW1032" t="inlineStr">
        <is>
          <t>Inquire for Hiring Needs : No Hiring</t>
        </is>
      </c>
      <c r="BX1032"/>
      <c r="BY1032"/>
      <c r="BZ1032" s="4"/>
      <c r="CA1032"/>
      <c r="CB1032"/>
      <c r="CC1032" s="4"/>
      <c r="CD1032" t="inlineStr">
        <is>
          <t>20</t>
        </is>
      </c>
      <c r="CE1032" t="inlineStr">
        <is>
          <t>0</t>
        </is>
      </c>
      <c r="CF1032" t="inlineStr">
        <is>
          <t>Q2-W03</t>
        </is>
      </c>
      <c r="CG1032"/>
      <c r="CH1032"/>
      <c r="CI1032"/>
      <c r="CJ1032" t="inlineStr">
        <is>
          <t>No Paid</t>
        </is>
      </c>
      <c r="CK1032" t="inlineStr">
        <is>
          <t>Not Eligible</t>
        </is>
      </c>
      <c r="CL1032"/>
      <c r="CM1032"/>
    </row>
    <row r="1033" ht="25.5" customHeight="1">
      <c r="A1033" t="inlineStr">
        <is>
          <t>32542</t>
        </is>
      </c>
      <c r="B1033" s="2"/>
      <c r="C1033"/>
      <c r="D1033" s="3">
        <v>46132.61740740741</v>
      </c>
      <c r="E1033" t="inlineStr">
        <is>
          <t>Q2-W03</t>
        </is>
      </c>
      <c r="F1033" t="inlineStr">
        <is>
          <t>Janice Yap</t>
        </is>
      </c>
      <c r="G1033" t="inlineStr">
        <is>
          <t>Customer</t>
        </is>
      </c>
      <c r="H1033" s="2" t="str">
        <f>=HYPERLINK("https://upbox.ajobthing.my/customer/32542", "https://upbox.ajobthing.my/customer/32542")</f>
        <v>https://upbox.ajobthing.my/customer/32542</v>
      </c>
      <c r="I1033" t="inlineStr">
        <is>
          <t>Kcl Metal Industries Sdn Bhd</t>
        </is>
      </c>
      <c r="J1033" t="inlineStr">
        <is>
          <t>Small Fish</t>
        </is>
      </c>
      <c r="K1033" t="inlineStr">
        <is>
          <t>Janice</t>
        </is>
      </c>
      <c r="L1033" s="4"/>
      <c r="M1033" s="4">
        <v>46132.616122685184</v>
      </c>
      <c r="N1033"/>
      <c r="O1033">
        <v>3888</v>
      </c>
      <c r="P1033" s="4"/>
      <c r="Q1033" s="4">
        <v>42744.65666666667</v>
      </c>
      <c r="R1033"/>
      <c r="S1033">
        <v>10.6</v>
      </c>
      <c r="T1033" s="4">
        <v>42744.65666666667</v>
      </c>
      <c r="U1033" s="4"/>
      <c r="V1033"/>
      <c r="W1033">
        <v>10.6</v>
      </c>
      <c r="X1033"/>
      <c r="Y1033" t="inlineStr">
        <is>
          <t>Pending Appointment</t>
        </is>
      </c>
      <c r="Z1033" t="inlineStr">
        <is>
          <t>Hiring Now</t>
        </is>
      </c>
      <c r="AA1033">
        <v>1</v>
      </c>
      <c r="AB1033" t="inlineStr">
        <is>
          <t>No Appointment Made</t>
        </is>
      </c>
      <c r="AC1033"/>
      <c r="AD1033" t="inlineStr">
        <is>
          <t>1 technician</t>
        </is>
      </c>
      <c r="AE1033"/>
      <c r="AF1033">
        <v>0</v>
      </c>
      <c r="AG1033" s="4"/>
      <c r="AH1033" s="4"/>
      <c r="AI1033">
        <v>0</v>
      </c>
      <c r="AJ1033"/>
      <c r="AK1033" t="inlineStr">
        <is>
          <t>No, I don't need at all</t>
        </is>
      </c>
      <c r="AL1033">
        <v>0</v>
      </c>
      <c r="AM1033" t="inlineStr">
        <is>
          <t>No, I don't need at all</t>
        </is>
      </c>
      <c r="AN1033"/>
      <c r="AO1033" t="inlineStr">
        <is>
          <t>No, I don't need at all</t>
        </is>
      </c>
      <c r="AP1033" t="inlineStr">
        <is>
          <t>Once a year (25%)</t>
        </is>
      </c>
      <c r="AQ1033">
        <v>1</v>
      </c>
      <c r="AR1033" t="inlineStr">
        <is>
          <t>Free Job Portal</t>
        </is>
      </c>
      <c r="AS1033" t="inlineStr">
        <is>
          <t>- Headcount: 1
- Hiring Job Details: 1 technician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1033">
        <v>115</v>
      </c>
      <c r="AU1033" t="inlineStr">
        <is>
          <t>1.15</t>
        </is>
      </c>
      <c r="AV1033" t="inlineStr">
        <is>
          <t>15</t>
        </is>
      </c>
      <c r="AW1033" t="inlineStr">
        <is>
          <t>0</t>
        </is>
      </c>
      <c r="AX1033" t="inlineStr">
        <is>
          <t>Not Qualified</t>
        </is>
      </c>
      <c r="AY1033" s="4"/>
      <c r="AZ1033"/>
      <c r="BA1033"/>
      <c r="BB1033"/>
      <c r="BC1033" t="inlineStr">
        <is>
          <t>No need // busget concern // no need call ady</t>
        </is>
      </c>
      <c r="BD1033" s="4">
        <v>46134.58746527778</v>
      </c>
      <c r="BE1033" t="inlineStr">
        <is>
          <t>paid</t>
        </is>
      </c>
      <c r="BF1033"/>
      <c r="BG1033" t="inlineStr">
        <is>
          <t>Reschedule</t>
        </is>
      </c>
      <c r="BH1033" t="inlineStr">
        <is>
          <t>Yee Hang</t>
        </is>
      </c>
      <c r="BI1033" t="inlineStr">
        <is>
          <t>Manufacturing / Production</t>
        </is>
      </c>
      <c r="BJ1033" s="4">
        <v>46144.75457175926</v>
      </c>
      <c r="BK1033" s="4">
        <v>42740.70711805556</v>
      </c>
      <c r="BL1033" t="inlineStr">
        <is>
          <t>0.0</t>
        </is>
      </c>
      <c r="BM1033" t="inlineStr">
        <is>
          <t>0.0</t>
        </is>
      </c>
      <c r="BN1033" t="inlineStr">
        <is>
          <t>View Create Job Page V4</t>
        </is>
      </c>
      <c r="BO1033" s="4">
        <v>46135.70291666667</v>
      </c>
      <c r="BP1033">
        <v>167848</v>
      </c>
      <c r="BQ1033">
        <v>5725</v>
      </c>
      <c r="BR1033" t="inlineStr">
        <is>
          <t>Online</t>
        </is>
      </c>
      <c r="BS1033" t="inlineStr">
        <is>
          <t>Job Slot SME ( Upgrade plan Standard to SME ) 
- Job Slot SME of 2 Job Slot + 1 Free Job Slot
- 3 Job Slot will be published on Maukerja, Ricebowl, Epicareer, Facebook, Google and Linkedin
- 3 Job Slot will be published for 1 year
- 200 People Search
- Premium Company Page for 12 months
- Package valid for 12 months
- 3 Free Upgrade to Premium Job Ad
- Free Company Page Consultation</t>
        </is>
      </c>
      <c r="BT1033">
        <v>5725</v>
      </c>
      <c r="BU1033"/>
      <c r="BV1033">
        <v>2720696</v>
      </c>
      <c r="BW1033" t="inlineStr">
        <is>
          <t>Follow Up : Budget Concern</t>
        </is>
      </c>
      <c r="BX1033"/>
      <c r="BY1033"/>
      <c r="BZ1033" s="4"/>
      <c r="CA1033"/>
      <c r="CB1033"/>
      <c r="CC1033" s="4"/>
      <c r="CD1033" t="inlineStr">
        <is>
          <t>20</t>
        </is>
      </c>
      <c r="CE1033" t="inlineStr">
        <is>
          <t>0</t>
        </is>
      </c>
      <c r="CF1033" t="inlineStr">
        <is>
          <t>Q2-W03</t>
        </is>
      </c>
      <c r="CG1033"/>
      <c r="CH1033"/>
      <c r="CI1033"/>
      <c r="CJ1033" t="inlineStr">
        <is>
          <t>Paid</t>
        </is>
      </c>
      <c r="CK1033" t="inlineStr">
        <is>
          <t>Not Eligible</t>
        </is>
      </c>
      <c r="CL1033"/>
      <c r="CM1033"/>
    </row>
    <row r="1034" ht="25.5" customHeight="1">
      <c r="A1034" t="inlineStr">
        <is>
          <t>4305356</t>
        </is>
      </c>
      <c r="B1034" s="2"/>
      <c r="C1034"/>
      <c r="D1034" s="3">
        <v>46132.618784722225</v>
      </c>
      <c r="E1034" t="inlineStr">
        <is>
          <t>Q2-W03</t>
        </is>
      </c>
      <c r="F1034" t="inlineStr">
        <is>
          <t>Luqman</t>
        </is>
      </c>
      <c r="G1034" t="inlineStr">
        <is>
          <t>Lead</t>
        </is>
      </c>
      <c r="H1034" s="2" t="str">
        <f>=HYPERLINK("https://upbox.ajobthing.my/leads/4305356", "https://upbox.ajobthing.my/leads/4305356")</f>
        <v>https://upbox.ajobthing.my/leads/4305356</v>
      </c>
      <c r="I1034" t="inlineStr">
        <is>
          <t>TAN MENG WEE</t>
        </is>
      </c>
      <c r="J1034" t="inlineStr">
        <is>
          <t>Small Fish</t>
        </is>
      </c>
      <c r="K1034" t="inlineStr">
        <is>
          <t>Luqman</t>
        </is>
      </c>
      <c r="L1034" s="4"/>
      <c r="M1034" s="4">
        <v>46132.619108796294</v>
      </c>
      <c r="N1034"/>
      <c r="O1034">
        <v>1512</v>
      </c>
      <c r="P1034" s="4"/>
      <c r="Q1034" s="4"/>
      <c r="R1034"/>
      <c r="S1034"/>
      <c r="T1034" s="4"/>
      <c r="U1034" s="4"/>
      <c r="V1034"/>
      <c r="W1034"/>
      <c r="X1034"/>
      <c r="Y1034" t="inlineStr">
        <is>
          <t>Pending Appointment</t>
        </is>
      </c>
      <c r="Z1034" t="inlineStr">
        <is>
          <t>Hiring Now</t>
        </is>
      </c>
      <c r="AA1034">
        <v>1</v>
      </c>
      <c r="AB1034" t="inlineStr">
        <is>
          <t>No Appointment Made</t>
        </is>
      </c>
      <c r="AC1034"/>
      <c r="AD1034" t="inlineStr">
        <is>
          <t xml:space="preserve">1. Admin </t>
        </is>
      </c>
      <c r="AE1034"/>
      <c r="AF1034">
        <v>1500</v>
      </c>
      <c r="AG1034" s="4"/>
      <c r="AH1034" s="4"/>
      <c r="AI1034">
        <v>1500</v>
      </c>
      <c r="AJ1034"/>
      <c r="AK1034" t="inlineStr">
        <is>
          <t>Yes, I have</t>
        </is>
      </c>
      <c r="AL1034">
        <v>2</v>
      </c>
      <c r="AM1034" t="inlineStr">
        <is>
          <t>No, I don't need at all</t>
        </is>
      </c>
      <c r="AN1034"/>
      <c r="AO1034" t="inlineStr">
        <is>
          <t>No, I don't need at all</t>
        </is>
      </c>
      <c r="AP1034" t="inlineStr">
        <is>
          <t>Once a year (25%)</t>
        </is>
      </c>
      <c r="AQ1034">
        <v>1</v>
      </c>
      <c r="AR1034" t="inlineStr">
        <is>
          <t>Free Job Portal</t>
        </is>
      </c>
      <c r="AS1034" t="inlineStr">
        <is>
          <t>- Headcount: 1
- Hiring Job Details: 1 Admin
- Hiring Urgency: Hiring Now
- Number of outlets: Not provided
- Have recruiter team: Yes
- Number of recruiter in company: 2
- Have ATS system: No, I don't need at all
- Have career website: No, I don't need at all
- Current hiring budget: RM1,500
- Whole year budget: RM1,500.00
- Whole year number of vacancies: 1
- Hiring frequency: Once a year (25%)
- External job portal: Free Job Portal</t>
        </is>
      </c>
      <c r="AT1034">
        <v>115</v>
      </c>
      <c r="AU1034" t="inlineStr">
        <is>
          <t>1.15</t>
        </is>
      </c>
      <c r="AV1034" t="inlineStr">
        <is>
          <t>15</t>
        </is>
      </c>
      <c r="AW1034" t="inlineStr">
        <is>
          <t>0</t>
        </is>
      </c>
      <c r="AX1034" t="inlineStr">
        <is>
          <t>Not Qualified</t>
        </is>
      </c>
      <c r="AY1034" s="4"/>
      <c r="AZ1034"/>
      <c r="BA1034"/>
      <c r="BB1034"/>
      <c r="BC1034"/>
      <c r="BD1034" s="4"/>
      <c r="BE1034"/>
      <c r="BF1034"/>
      <c r="BG1034" t="inlineStr">
        <is>
          <t>Reschedule</t>
        </is>
      </c>
      <c r="BH1034" t="inlineStr">
        <is>
          <t>Edward Hoo</t>
        </is>
      </c>
      <c r="BI1034"/>
      <c r="BJ1034" s="4">
        <v>46144.75587962963</v>
      </c>
      <c r="BK1034" s="4">
        <v>46132.602175925924</v>
      </c>
      <c r="BL1034" t="inlineStr">
        <is>
          <t>0.0</t>
        </is>
      </c>
      <c r="BM1034" t="inlineStr">
        <is>
          <t>0.0</t>
        </is>
      </c>
      <c r="BN1034"/>
      <c r="BO1034" s="4"/>
      <c r="BP1034">
        <v>167850</v>
      </c>
      <c r="BQ1034"/>
      <c r="BR1034"/>
      <c r="BS1034"/>
      <c r="BT1034"/>
      <c r="BU1034"/>
      <c r="BV1034"/>
      <c r="BW1034"/>
      <c r="BX1034"/>
      <c r="BY1034"/>
      <c r="BZ1034" s="4"/>
      <c r="CA1034"/>
      <c r="CB1034"/>
      <c r="CC1034" s="4"/>
      <c r="CD1034" t="inlineStr">
        <is>
          <t>20</t>
        </is>
      </c>
      <c r="CE1034" t="inlineStr">
        <is>
          <t>0</t>
        </is>
      </c>
      <c r="CF1034" t="inlineStr">
        <is>
          <t>Q2-W03</t>
        </is>
      </c>
      <c r="CG1034"/>
      <c r="CH1034"/>
      <c r="CI1034"/>
      <c r="CJ1034" t="inlineStr">
        <is>
          <t>No Paid</t>
        </is>
      </c>
      <c r="CK1034" t="inlineStr">
        <is>
          <t>Not Eligible</t>
        </is>
      </c>
      <c r="CL1034"/>
      <c r="CM1034"/>
    </row>
    <row r="1035" ht="25.5" customHeight="1">
      <c r="A1035" t="inlineStr">
        <is>
          <t>184513</t>
        </is>
      </c>
      <c r="B1035" s="2"/>
      <c r="C1035"/>
      <c r="D1035" s="3">
        <v>46132.619791666664</v>
      </c>
      <c r="E1035" t="inlineStr">
        <is>
          <t>Q2-W03</t>
        </is>
      </c>
      <c r="F1035" t="inlineStr">
        <is>
          <t>Derek Lim</t>
        </is>
      </c>
      <c r="G1035" t="inlineStr">
        <is>
          <t>Customer</t>
        </is>
      </c>
      <c r="H1035" s="2" t="str">
        <f>=HYPERLINK("https://upbox.ajobthing.my/customer/184513", "https://upbox.ajobthing.my/customer/184513")</f>
        <v>https://upbox.ajobthing.my/customer/184513</v>
      </c>
      <c r="I1035" t="inlineStr">
        <is>
          <t>Profit Th Sdn Bhd</t>
        </is>
      </c>
      <c r="J1035" t="inlineStr">
        <is>
          <t>Small Fish</t>
        </is>
      </c>
      <c r="K1035" t="inlineStr">
        <is>
          <t>Derek Lim</t>
        </is>
      </c>
      <c r="L1035" s="4"/>
      <c r="M1035" s="4">
        <v>46132.61993055556</v>
      </c>
      <c r="N1035"/>
      <c r="O1035">
        <v>6048</v>
      </c>
      <c r="P1035" s="4"/>
      <c r="Q1035" s="4">
        <v>46132.628067129626</v>
      </c>
      <c r="R1035"/>
      <c r="S1035">
        <v>0</v>
      </c>
      <c r="T1035" s="4"/>
      <c r="U1035" s="4"/>
      <c r="V1035"/>
      <c r="W1035"/>
      <c r="X1035"/>
      <c r="Y1035" t="inlineStr">
        <is>
          <t>Pending Appointment</t>
        </is>
      </c>
      <c r="Z1035" t="inlineStr">
        <is>
          <t>Hiring Now</t>
        </is>
      </c>
      <c r="AA1035">
        <v>2</v>
      </c>
      <c r="AB1035" t="inlineStr">
        <is>
          <t>No Appointment Made</t>
        </is>
      </c>
      <c r="AC1035"/>
      <c r="AD1035" t="inlineStr">
        <is>
          <t>Sales Representative - 2</t>
        </is>
      </c>
      <c r="AE1035"/>
      <c r="AF1035">
        <v>0</v>
      </c>
      <c r="AG1035" s="4"/>
      <c r="AH1035" s="4"/>
      <c r="AI1035">
        <v>0</v>
      </c>
      <c r="AJ1035">
        <v>1</v>
      </c>
      <c r="AK1035" t="inlineStr">
        <is>
          <t>No, I don't need at all</t>
        </is>
      </c>
      <c r="AL1035">
        <v>0</v>
      </c>
      <c r="AM1035" t="inlineStr">
        <is>
          <t>No, I don't need at all</t>
        </is>
      </c>
      <c r="AN1035"/>
      <c r="AO1035" t="inlineStr">
        <is>
          <t>No, I don't need at all</t>
        </is>
      </c>
      <c r="AP1035" t="inlineStr">
        <is>
          <t>Once a year (25%)</t>
        </is>
      </c>
      <c r="AQ1035">
        <v>2</v>
      </c>
      <c r="AR1035" t="inlineStr">
        <is>
          <t>Free Job Portal</t>
        </is>
      </c>
      <c r="AS1035" t="inlineStr">
        <is>
          <t>- Headcount: 2
- Hiring Job Details: Sales Representative - 2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AT1035">
        <v>115</v>
      </c>
      <c r="AU1035" t="inlineStr">
        <is>
          <t>1.15</t>
        </is>
      </c>
      <c r="AV1035" t="inlineStr">
        <is>
          <t>15</t>
        </is>
      </c>
      <c r="AW1035" t="inlineStr">
        <is>
          <t>0</t>
        </is>
      </c>
      <c r="AX1035" t="inlineStr">
        <is>
          <t>Not Qualified</t>
        </is>
      </c>
      <c r="AY1035" s="4"/>
      <c r="AZ1035"/>
      <c r="BA1035"/>
      <c r="BB1035"/>
      <c r="BC1035" t="inlineStr">
        <is>
          <t>NO ANSWER, WHATSAPP</t>
        </is>
      </c>
      <c r="BD1035" s="4">
        <v>46141.416967592595</v>
      </c>
      <c r="BE1035" t="inlineStr">
        <is>
          <t>paid</t>
        </is>
      </c>
      <c r="BF1035"/>
      <c r="BG1035" t="inlineStr">
        <is>
          <t>Reschedule</t>
        </is>
      </c>
      <c r="BH1035" t="inlineStr">
        <is>
          <t>Edward Hoo</t>
        </is>
      </c>
      <c r="BI1035" t="inlineStr">
        <is>
          <t>Manufacturing / Production</t>
        </is>
      </c>
      <c r="BJ1035" s="4">
        <v>46144.75201388889</v>
      </c>
      <c r="BK1035" s="4">
        <v>45602.39622685185</v>
      </c>
      <c r="BL1035" t="inlineStr">
        <is>
          <t>0.0</t>
        </is>
      </c>
      <c r="BM1035" t="inlineStr">
        <is>
          <t>0.0</t>
        </is>
      </c>
      <c r="BN1035" t="inlineStr">
        <is>
          <t>View Company Page</t>
        </is>
      </c>
      <c r="BO1035" s="4">
        <v>46132.62908564815</v>
      </c>
      <c r="BP1035">
        <v>167851</v>
      </c>
      <c r="BQ1035">
        <v>123293</v>
      </c>
      <c r="BR1035" t="inlineStr">
        <is>
          <t>Proforma</t>
        </is>
      </c>
      <c r="BS1035" t="inlineStr">
        <is>
          <t>Free Part-Time Job</t>
        </is>
      </c>
      <c r="BT1035"/>
      <c r="BU1035"/>
      <c r="BV1035">
        <v>2734274</v>
      </c>
      <c r="BW1035" t="inlineStr">
        <is>
          <t>No Answer : Voicemail - WA sent to customer</t>
        </is>
      </c>
      <c r="BX1035"/>
      <c r="BY1035"/>
      <c r="BZ1035" s="4"/>
      <c r="CA1035"/>
      <c r="CB1035"/>
      <c r="CC1035" s="4"/>
      <c r="CD1035" t="inlineStr">
        <is>
          <t>20</t>
        </is>
      </c>
      <c r="CE1035" t="inlineStr">
        <is>
          <t>0</t>
        </is>
      </c>
      <c r="CF1035" t="inlineStr">
        <is>
          <t>Q2-W03</t>
        </is>
      </c>
      <c r="CG1035" t="inlineStr">
        <is>
          <t>Q2-W03</t>
        </is>
      </c>
      <c r="CH1035"/>
      <c r="CI1035"/>
      <c r="CJ1035" t="inlineStr">
        <is>
          <t>No Paid</t>
        </is>
      </c>
      <c r="CK1035" t="inlineStr">
        <is>
          <t>Not Eligible</t>
        </is>
      </c>
      <c r="CL1035"/>
      <c r="CM1035"/>
    </row>
    <row r="1036" ht="25.5" customHeight="1">
      <c r="A1036" t="inlineStr">
        <is>
          <t>191915</t>
        </is>
      </c>
      <c r="B1036" s="2"/>
      <c r="C1036"/>
      <c r="D1036" s="3">
        <v>46132.62122685185</v>
      </c>
      <c r="E1036" t="inlineStr">
        <is>
          <t>Q2-W03</t>
        </is>
      </c>
      <c r="F1036" t="inlineStr">
        <is>
          <t>Xin Quan</t>
        </is>
      </c>
      <c r="G1036" t="inlineStr">
        <is>
          <t>Customer</t>
        </is>
      </c>
      <c r="H1036" s="2" t="str">
        <f>=HYPERLINK("https://upbox.ajobthing.my/customer/191915", "https://upbox.ajobthing.my/customer/191915")</f>
        <v>https://upbox.ajobthing.my/customer/191915</v>
      </c>
      <c r="I1036" t="inlineStr">
        <is>
          <t>Hometown F&amp;B (Central) Sdn Bhd</t>
        </is>
      </c>
      <c r="J1036" t="inlineStr">
        <is>
          <t>Small Fish</t>
        </is>
      </c>
      <c r="K1036" t="inlineStr">
        <is>
          <t>Xin Quan</t>
        </is>
      </c>
      <c r="L1036" s="4"/>
      <c r="M1036" s="4">
        <v>46132.62196759259</v>
      </c>
      <c r="N1036"/>
      <c r="O1036">
        <v>6048</v>
      </c>
      <c r="P1036" s="4"/>
      <c r="Q1036" s="4">
        <v>45805.69482638889</v>
      </c>
      <c r="R1036"/>
      <c r="S1036">
        <v>4212</v>
      </c>
      <c r="T1036" s="4"/>
      <c r="U1036" s="4"/>
      <c r="V1036"/>
      <c r="W1036"/>
      <c r="X1036"/>
      <c r="Y1036" t="inlineStr">
        <is>
          <t>Pending Appointment</t>
        </is>
      </c>
      <c r="Z1036" t="inlineStr">
        <is>
          <t>Hiring Now</t>
        </is>
      </c>
      <c r="AA1036">
        <v>8</v>
      </c>
      <c r="AB1036" t="inlineStr">
        <is>
          <t>No Appointment Made</t>
        </is>
      </c>
      <c r="AC1036"/>
      <c r="AD1036" t="inlineStr">
        <is>
          <t>8 Staff , Base in KL</t>
        </is>
      </c>
      <c r="AE1036"/>
      <c r="AF1036">
        <v>8000</v>
      </c>
      <c r="AG1036" s="4"/>
      <c r="AH1036" s="4"/>
      <c r="AI1036">
        <v>96000</v>
      </c>
      <c r="AJ1036">
        <v>1</v>
      </c>
      <c r="AK1036" t="inlineStr">
        <is>
          <t>No, I don't need at all</t>
        </is>
      </c>
      <c r="AL1036">
        <v>1</v>
      </c>
      <c r="AM1036" t="inlineStr">
        <is>
          <t>No, I don't need at all</t>
        </is>
      </c>
      <c r="AN1036"/>
      <c r="AO1036" t="inlineStr">
        <is>
          <t>No, I don't need at all</t>
        </is>
      </c>
      <c r="AP1036" t="inlineStr">
        <is>
          <t>Once a year (25%)</t>
        </is>
      </c>
      <c r="AQ1036">
        <v>8</v>
      </c>
      <c r="AR1036"/>
      <c r="AS1036" t="inlineStr">
        <is>
          <t>- Headcount: 8
- Hiring Job Details: 8 Staff, Base in KL
- Hiring Urgency: Hiring Now
- Number of outlets: 1
- Have recruiter team: No, I don't need at all
- Number of recruiter in company: 1
- Have ATS system: No, I don't need at all
- Have career website: No, I don't need at all
- Current hiring budget: RM8,000
- Whole year budget: RM96,000.00
- Whole year number of vacancies: 8
- Hiring frequency: Once a year (25%)
- External job portal: None</t>
        </is>
      </c>
      <c r="AT1036">
        <v>95</v>
      </c>
      <c r="AU1036" t="inlineStr">
        <is>
          <t>0.95</t>
        </is>
      </c>
      <c r="AV1036" t="inlineStr">
        <is>
          <t>20</t>
        </is>
      </c>
      <c r="AW1036" t="inlineStr">
        <is>
          <t>0</t>
        </is>
      </c>
      <c r="AX1036" t="inlineStr">
        <is>
          <t>Not Qualified</t>
        </is>
      </c>
      <c r="AY1036" s="4"/>
      <c r="AZ1036"/>
      <c r="BA1036"/>
      <c r="BB1036"/>
      <c r="BC1036" t="inlineStr">
        <is>
          <t>Still got remain , use finish only buy</t>
        </is>
      </c>
      <c r="BD1036" s="4">
        <v>46136.43021990741</v>
      </c>
      <c r="BE1036" t="inlineStr">
        <is>
          <t>pending</t>
        </is>
      </c>
      <c r="BF1036"/>
      <c r="BG1036" t="inlineStr">
        <is>
          <t>Reschedule</t>
        </is>
      </c>
      <c r="BH1036" t="inlineStr">
        <is>
          <t>Edward Hoo</t>
        </is>
      </c>
      <c r="BI1036"/>
      <c r="BJ1036" s="4">
        <v>46144.7524537037</v>
      </c>
      <c r="BK1036" s="4">
        <v>45805.64928240741</v>
      </c>
      <c r="BL1036" t="inlineStr">
        <is>
          <t>0.0</t>
        </is>
      </c>
      <c r="BM1036" t="inlineStr">
        <is>
          <t>0.0</t>
        </is>
      </c>
      <c r="BN1036" t="inlineStr">
        <is>
          <t>Account Page : Update Email</t>
        </is>
      </c>
      <c r="BO1036" s="4">
        <v>45811.48755787037</v>
      </c>
      <c r="BP1036">
        <v>167852</v>
      </c>
      <c r="BQ1036">
        <v>105094</v>
      </c>
      <c r="BR1036" t="inlineStr">
        <is>
          <t>Proforma</t>
        </is>
      </c>
      <c r="BS1036" t="inlineStr">
        <is>
          <t>Yearly Standard+ Plan</t>
        </is>
      </c>
      <c r="BT1036"/>
      <c r="BU1036"/>
      <c r="BV1036">
        <v>2725556</v>
      </c>
      <c r="BW1036" t="inlineStr">
        <is>
          <t>Inquire for Hiring Needs : Budget Concern</t>
        </is>
      </c>
      <c r="BX1036"/>
      <c r="BY1036"/>
      <c r="BZ1036" s="4"/>
      <c r="CA1036"/>
      <c r="CB1036"/>
      <c r="CC1036" s="4"/>
      <c r="CD1036" t="inlineStr">
        <is>
          <t>30</t>
        </is>
      </c>
      <c r="CE1036" t="inlineStr">
        <is>
          <t>0</t>
        </is>
      </c>
      <c r="CF1036" t="inlineStr">
        <is>
          <t>Q2-W03</t>
        </is>
      </c>
      <c r="CG1036"/>
      <c r="CH1036"/>
      <c r="CI1036"/>
      <c r="CJ1036" t="inlineStr">
        <is>
          <t>No Paid</t>
        </is>
      </c>
      <c r="CK1036" t="inlineStr">
        <is>
          <t>Eligible</t>
        </is>
      </c>
      <c r="CL1036"/>
      <c r="CM1036"/>
    </row>
    <row r="1037" ht="25.5" customHeight="1">
      <c r="A1037" t="inlineStr">
        <is>
          <t>201995</t>
        </is>
      </c>
      <c r="B1037" s="2"/>
      <c r="C1037"/>
      <c r="D1037" s="3">
        <v>46132.62247685185</v>
      </c>
      <c r="E1037" t="inlineStr">
        <is>
          <t>Q2-W03</t>
        </is>
      </c>
      <c r="F1037" t="inlineStr">
        <is>
          <t>Eugene</t>
        </is>
      </c>
      <c r="G1037" t="inlineStr">
        <is>
          <t>Customer</t>
        </is>
      </c>
      <c r="H1037" s="2" t="str">
        <f>=HYPERLINK("https://upbox.ajobthing.my/customer/201995", "https://upbox.ajobthing.my/customer/201995")</f>
        <v>https://upbox.ajobthing.my/customer/201995</v>
      </c>
      <c r="I1037" t="inlineStr">
        <is>
          <t>Izent Furniture</t>
        </is>
      </c>
      <c r="J1037" t="inlineStr">
        <is>
          <t>Small Fish</t>
        </is>
      </c>
      <c r="K1037" t="inlineStr">
        <is>
          <t>Eugene</t>
        </is>
      </c>
      <c r="L1037" s="4"/>
      <c r="M1037" s="4">
        <v>46132.62265046296</v>
      </c>
      <c r="N1037"/>
      <c r="O1037">
        <v>3888</v>
      </c>
      <c r="P1037" s="4"/>
      <c r="Q1037" s="4"/>
      <c r="R1037"/>
      <c r="S1037"/>
      <c r="T1037" s="4"/>
      <c r="U1037" s="4"/>
      <c r="V1037"/>
      <c r="W1037"/>
      <c r="X1037"/>
      <c r="Y1037" t="inlineStr">
        <is>
          <t>Pending Appointment</t>
        </is>
      </c>
      <c r="Z1037" t="inlineStr">
        <is>
          <t>Hiring Now</t>
        </is>
      </c>
      <c r="AA1037">
        <v>4</v>
      </c>
      <c r="AB1037" t="inlineStr">
        <is>
          <t>No Appointment Made</t>
        </is>
      </c>
      <c r="AC1037"/>
      <c r="AD1037" t="inlineStr">
        <is>
          <t>2 sales, 1 admin, 1 designer, based in JB</t>
        </is>
      </c>
      <c r="AE1037"/>
      <c r="AF1037">
        <v>3000</v>
      </c>
      <c r="AG1037" s="4"/>
      <c r="AH1037" s="4"/>
      <c r="AI1037">
        <v>3000</v>
      </c>
      <c r="AJ1037">
        <v>1</v>
      </c>
      <c r="AK1037" t="inlineStr">
        <is>
          <t>No, I don't need at all</t>
        </is>
      </c>
      <c r="AL1037">
        <v>1</v>
      </c>
      <c r="AM1037" t="inlineStr">
        <is>
          <t>No, I don't need at all</t>
        </is>
      </c>
      <c r="AN1037"/>
      <c r="AO1037" t="inlineStr">
        <is>
          <t>No, I don't need at all</t>
        </is>
      </c>
      <c r="AP1037" t="inlineStr">
        <is>
          <t>Twice a year (50%)</t>
        </is>
      </c>
      <c r="AQ1037">
        <v>5</v>
      </c>
      <c r="AR1037" t="inlineStr">
        <is>
          <t>Free Job Portal</t>
        </is>
      </c>
      <c r="AS1037" t="inlineStr">
        <is>
          <t>- Headcount: 4
- Hiring Job Details: 2 sales, 1 admin, 1 designer, based in JB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5
- Hiring frequency: Twice a year (50%)
- External job portal: Free Job Portal</t>
        </is>
      </c>
      <c r="AT1037">
        <v>115</v>
      </c>
      <c r="AU1037" t="inlineStr">
        <is>
          <t>1.15</t>
        </is>
      </c>
      <c r="AV1037" t="inlineStr">
        <is>
          <t>15</t>
        </is>
      </c>
      <c r="AW1037" t="inlineStr">
        <is>
          <t>0</t>
        </is>
      </c>
      <c r="AX1037" t="inlineStr">
        <is>
          <t>Not Qualified</t>
        </is>
      </c>
      <c r="AY1037" s="4"/>
      <c r="AZ1037"/>
      <c r="BA1037"/>
      <c r="BB1037"/>
      <c r="BC1037" t="inlineStr">
        <is>
          <t>pending</t>
        </is>
      </c>
      <c r="BD1037" s="4">
        <v>46135.608935185184</v>
      </c>
      <c r="BE1037"/>
      <c r="BF1037"/>
      <c r="BG1037" t="inlineStr">
        <is>
          <t>Reschedule</t>
        </is>
      </c>
      <c r="BH1037" t="inlineStr">
        <is>
          <t>Edward Hoo</t>
        </is>
      </c>
      <c r="BI1037"/>
      <c r="BJ1037" s="4">
        <v>46144.75392361111</v>
      </c>
      <c r="BK1037" s="4">
        <v>46092.74738425926</v>
      </c>
      <c r="BL1037" t="inlineStr">
        <is>
          <t>0.0</t>
        </is>
      </c>
      <c r="BM1037" t="inlineStr">
        <is>
          <t>0.0</t>
        </is>
      </c>
      <c r="BN1037" t="inlineStr">
        <is>
          <t>Instant Register</t>
        </is>
      </c>
      <c r="BO1037" s="4">
        <v>46092.747395833336</v>
      </c>
      <c r="BP1037">
        <v>167853</v>
      </c>
      <c r="BQ1037"/>
      <c r="BR1037"/>
      <c r="BS1037"/>
      <c r="BT1037"/>
      <c r="BU1037"/>
      <c r="BV1037">
        <v>2723444</v>
      </c>
      <c r="BW1037" t="inlineStr">
        <is>
          <t>Follow Up : Decision Pending</t>
        </is>
      </c>
      <c r="BX1037"/>
      <c r="BY1037"/>
      <c r="BZ1037" s="4"/>
      <c r="CA1037"/>
      <c r="CB1037"/>
      <c r="CC1037" s="4"/>
      <c r="CD1037" t="inlineStr">
        <is>
          <t>20</t>
        </is>
      </c>
      <c r="CE1037" t="inlineStr">
        <is>
          <t>0</t>
        </is>
      </c>
      <c r="CF1037" t="inlineStr">
        <is>
          <t>Q2-W03</t>
        </is>
      </c>
      <c r="CG1037"/>
      <c r="CH1037"/>
      <c r="CI1037"/>
      <c r="CJ1037" t="inlineStr">
        <is>
          <t>No Paid</t>
        </is>
      </c>
      <c r="CK1037" t="inlineStr">
        <is>
          <t>Not Eligible</t>
        </is>
      </c>
      <c r="CL1037"/>
      <c r="CM1037"/>
    </row>
    <row r="1038" ht="25.5" customHeight="1">
      <c r="A1038" t="inlineStr">
        <is>
          <t>126139</t>
        </is>
      </c>
      <c r="B1038" s="2"/>
      <c r="C1038"/>
      <c r="D1038" s="3">
        <v>46132.63082175926</v>
      </c>
      <c r="E1038" t="inlineStr">
        <is>
          <t>Q2-W03</t>
        </is>
      </c>
      <c r="F1038" t="inlineStr">
        <is>
          <t>Fariz</t>
        </is>
      </c>
      <c r="G1038" t="inlineStr">
        <is>
          <t>Customer</t>
        </is>
      </c>
      <c r="H1038" s="2" t="str">
        <f>=HYPERLINK("https://upbox.ajobthing.my/customer/126139", "https://upbox.ajobthing.my/customer/126139")</f>
        <v>https://upbox.ajobthing.my/customer/126139</v>
      </c>
      <c r="I1038" t="inlineStr">
        <is>
          <t>Worthy Media Sdn Bhd</t>
        </is>
      </c>
      <c r="J1038" t="inlineStr">
        <is>
          <t>Small Fish</t>
        </is>
      </c>
      <c r="K1038" t="inlineStr">
        <is>
          <t>Fariz</t>
        </is>
      </c>
      <c r="L1038" s="4"/>
      <c r="M1038" s="4">
        <v>46132.63125</v>
      </c>
      <c r="N1038"/>
      <c r="O1038">
        <v>3888</v>
      </c>
      <c r="P1038" s="4"/>
      <c r="Q1038" s="4"/>
      <c r="R1038"/>
      <c r="S1038"/>
      <c r="T1038" s="4"/>
      <c r="U1038" s="4"/>
      <c r="V1038"/>
      <c r="W1038"/>
      <c r="X1038"/>
      <c r="Y1038" t="inlineStr">
        <is>
          <t>Pending Appointment</t>
        </is>
      </c>
      <c r="Z1038" t="inlineStr">
        <is>
          <t>Hiring Now</t>
        </is>
      </c>
      <c r="AA1038">
        <v>1</v>
      </c>
      <c r="AB1038" t="inlineStr">
        <is>
          <t>No Appointment Made</t>
        </is>
      </c>
      <c r="AC1038"/>
      <c r="AD1038" t="inlineStr">
        <is>
          <t xml:space="preserve">1 account </t>
        </is>
      </c>
      <c r="AE1038"/>
      <c r="AF1038">
        <v>3600</v>
      </c>
      <c r="AG1038" s="4"/>
      <c r="AH1038" s="4"/>
      <c r="AI1038">
        <v>3600</v>
      </c>
      <c r="AJ1038"/>
      <c r="AK1038" t="inlineStr">
        <is>
          <t>No, but I want in future</t>
        </is>
      </c>
      <c r="AL1038">
        <v>1</v>
      </c>
      <c r="AM1038" t="inlineStr">
        <is>
          <t>No, I don't need at all</t>
        </is>
      </c>
      <c r="AN1038"/>
      <c r="AO1038" t="inlineStr">
        <is>
          <t>No, but I want in future</t>
        </is>
      </c>
      <c r="AP1038" t="inlineStr">
        <is>
          <t>Twice a year (50%)</t>
        </is>
      </c>
      <c r="AQ1038">
        <v>3</v>
      </c>
      <c r="AR1038" t="inlineStr">
        <is>
          <t>Jobstreet, Free Job Portal</t>
        </is>
      </c>
      <c r="AS1038" t="inlineStr">
        <is>
          <t>- Headcount: 1
- Hiring Job Details: 1 account
- Hiring Urgency: Hiring Now
- Number of outlets: Not provided
- Have recruiter team: No, but want in future
- Number of recruiter in company: 1
- Have ATS system: No, don't need at all
- Have career website: No, but want in future
- Current hiring budget: RM3,600
- Whole year budget: RM3,600.00
- Whole year number of vacancies: 3
- Hiring frequency: Twice a year (50%)
- External job portal: Jobstreet, Free Job Portal</t>
        </is>
      </c>
      <c r="AT1038">
        <v>90</v>
      </c>
      <c r="AU1038" t="inlineStr">
        <is>
          <t>0.90</t>
        </is>
      </c>
      <c r="AV1038" t="inlineStr">
        <is>
          <t>15</t>
        </is>
      </c>
      <c r="AW1038" t="inlineStr">
        <is>
          <t>0</t>
        </is>
      </c>
      <c r="AX1038" t="inlineStr">
        <is>
          <t>Not Qualified</t>
        </is>
      </c>
      <c r="AY1038" s="4"/>
      <c r="AZ1038"/>
      <c r="BA1038"/>
      <c r="BB1038"/>
      <c r="BC1038" t="inlineStr">
        <is>
          <t>Mr Ng said they are too busy with project. already offer RM288, he will give feedback by tomorrow.  send discount details to ws</t>
        </is>
      </c>
      <c r="BD1038" s="4">
        <v>46141.45174768518</v>
      </c>
      <c r="BE1038"/>
      <c r="BF1038"/>
      <c r="BG1038" t="inlineStr">
        <is>
          <t>Reschedule</t>
        </is>
      </c>
      <c r="BH1038" t="inlineStr">
        <is>
          <t>Edward Hoo</t>
        </is>
      </c>
      <c r="BI1038" t="inlineStr">
        <is>
          <t>Sales / Biz Development</t>
        </is>
      </c>
      <c r="BJ1038" s="4">
        <v>46144.75037037037</v>
      </c>
      <c r="BK1038" s="4">
        <v>43935.674675925926</v>
      </c>
      <c r="BL1038" t="inlineStr">
        <is>
          <t>0.0</t>
        </is>
      </c>
      <c r="BM1038" t="inlineStr">
        <is>
          <t>0.0</t>
        </is>
      </c>
      <c r="BN1038" t="inlineStr">
        <is>
          <t>View Account User</t>
        </is>
      </c>
      <c r="BO1038" s="4">
        <v>46135.6934375</v>
      </c>
      <c r="BP1038">
        <v>167859</v>
      </c>
      <c r="BQ1038"/>
      <c r="BR1038"/>
      <c r="BS1038"/>
      <c r="BT1038"/>
      <c r="BU1038"/>
      <c r="BV1038">
        <v>2734526</v>
      </c>
      <c r="BW1038" t="inlineStr">
        <is>
          <t>Follow Up : Decision Pending</t>
        </is>
      </c>
      <c r="BX1038"/>
      <c r="BY1038"/>
      <c r="BZ1038" s="4"/>
      <c r="CA1038"/>
      <c r="CB1038"/>
      <c r="CC1038" s="4"/>
      <c r="CD1038" t="inlineStr">
        <is>
          <t>20</t>
        </is>
      </c>
      <c r="CE1038" t="inlineStr">
        <is>
          <t>0</t>
        </is>
      </c>
      <c r="CF1038" t="inlineStr">
        <is>
          <t>Q2-W03</t>
        </is>
      </c>
      <c r="CG1038"/>
      <c r="CH1038"/>
      <c r="CI1038"/>
      <c r="CJ1038" t="inlineStr">
        <is>
          <t>No Paid</t>
        </is>
      </c>
      <c r="CK1038" t="inlineStr">
        <is>
          <t>Not Eligible</t>
        </is>
      </c>
      <c r="CL1038"/>
      <c r="CM1038"/>
    </row>
    <row r="1039" ht="25.5" customHeight="1">
      <c r="A1039" t="inlineStr">
        <is>
          <t>132212</t>
        </is>
      </c>
      <c r="B1039" s="2"/>
      <c r="C1039"/>
      <c r="D1039" s="3">
        <v>46132.630902777775</v>
      </c>
      <c r="E1039" t="inlineStr">
        <is>
          <t>Q2-W03</t>
        </is>
      </c>
      <c r="F1039" t="inlineStr">
        <is>
          <t>Eugene</t>
        </is>
      </c>
      <c r="G1039" t="inlineStr">
        <is>
          <t>Customer</t>
        </is>
      </c>
      <c r="H1039" s="2" t="str">
        <f>=HYPERLINK("https://upbox.ajobthing.my/customer/132212", "https://upbox.ajobthing.my/customer/132212")</f>
        <v>https://upbox.ajobthing.my/customer/132212</v>
      </c>
      <c r="I1039" t="inlineStr">
        <is>
          <t>Million Dollar Laundry</t>
        </is>
      </c>
      <c r="J1039" t="inlineStr">
        <is>
          <t>Small Fish</t>
        </is>
      </c>
      <c r="K1039" t="inlineStr">
        <is>
          <t>Eugene</t>
        </is>
      </c>
      <c r="L1039" s="4"/>
      <c r="M1039" s="4">
        <v>46132.631006944444</v>
      </c>
      <c r="N1039"/>
      <c r="O1039">
        <v>3888</v>
      </c>
      <c r="P1039" s="4"/>
      <c r="Q1039" s="4">
        <v>46132.48679398148</v>
      </c>
      <c r="R1039"/>
      <c r="S1039">
        <v>0</v>
      </c>
      <c r="T1039" s="4">
        <v>44229.44541666667</v>
      </c>
      <c r="U1039" s="4"/>
      <c r="V1039"/>
      <c r="W1039">
        <v>185.5</v>
      </c>
      <c r="X1039"/>
      <c r="Y1039" t="inlineStr">
        <is>
          <t>Pending Appointment</t>
        </is>
      </c>
      <c r="Z1039" t="inlineStr">
        <is>
          <t>Hiring Later</t>
        </is>
      </c>
      <c r="AA1039">
        <v>2</v>
      </c>
      <c r="AB1039" t="inlineStr">
        <is>
          <t>No Appointment Made</t>
        </is>
      </c>
      <c r="AC1039"/>
      <c r="AD1039" t="inlineStr">
        <is>
          <t>2 positions construction related, based in Kelantan</t>
        </is>
      </c>
      <c r="AE1039"/>
      <c r="AF1039">
        <v>3000</v>
      </c>
      <c r="AG1039" s="4"/>
      <c r="AH1039" s="4"/>
      <c r="AI1039"/>
      <c r="AJ1039">
        <v>1</v>
      </c>
      <c r="AK1039" t="inlineStr">
        <is>
          <t>No, I don't need at all</t>
        </is>
      </c>
      <c r="AL1039">
        <v>1</v>
      </c>
      <c r="AM1039" t="inlineStr">
        <is>
          <t>No, I don't need at all</t>
        </is>
      </c>
      <c r="AN1039"/>
      <c r="AO1039" t="inlineStr">
        <is>
          <t>No, I don't need at all</t>
        </is>
      </c>
      <c r="AP1039" t="inlineStr">
        <is>
          <t>Twice a year (50%)</t>
        </is>
      </c>
      <c r="AQ1039">
        <v>2</v>
      </c>
      <c r="AR1039" t="inlineStr">
        <is>
          <t>Free Job Portal</t>
        </is>
      </c>
      <c r="AS1039" t="inlineStr">
        <is>
          <t>- Headcount: 2
- Hiring Job Details: 2 construction-related positions based in Kelantan
- Hiring Urgency: Hiring Later
- Number of outlets: 1
- Have recruiter team: No, I don't need at all
- Number of recruiter in company: 1
- Have ATS system: No, I don't need at all
- Have career website: No, I don't need at all
- Current hiring budget: RM3,000.00
- Whole year budget: 
- Whole year number of vacancies: 2
- Hiring frequency: Twice a year (50%)
- External job portal: Free Job Portal</t>
        </is>
      </c>
      <c r="AT1039">
        <v>95</v>
      </c>
      <c r="AU1039" t="inlineStr">
        <is>
          <t>0.95</t>
        </is>
      </c>
      <c r="AV1039" t="inlineStr">
        <is>
          <t>15</t>
        </is>
      </c>
      <c r="AW1039" t="inlineStr">
        <is>
          <t>0</t>
        </is>
      </c>
      <c r="AX1039" t="inlineStr">
        <is>
          <t>Not Qualified</t>
        </is>
      </c>
      <c r="AY1039" s="4"/>
      <c r="AZ1039"/>
      <c r="BA1039"/>
      <c r="BB1039"/>
      <c r="BC1039" t="inlineStr">
        <is>
          <t>- Headcount: 2
- Hiring Job Details: 2 construction-related positions based in Kelantan
- Hiring Urgency: Hiring Later
- Number of outlets: 1
- Have recruiter team: No, I don't need at all
- Number of recruiter in company: 1
- Have ATS system: No, I don't need at all
- Have career website: No, I don't need at all
- Current hiring budget: RM3,000.00
- Whole year budget: 
- Whole year number of vacancies: 2
- Hiring frequency: Twice a year (50%)
- External job portal: Free Job Portal</t>
        </is>
      </c>
      <c r="BD1039" s="4">
        <v>46132.66670138889</v>
      </c>
      <c r="BE1039" t="inlineStr">
        <is>
          <t>paid</t>
        </is>
      </c>
      <c r="BF1039"/>
      <c r="BG1039" t="inlineStr">
        <is>
          <t>Reschedule</t>
        </is>
      </c>
      <c r="BH1039" t="inlineStr">
        <is>
          <t>Edward Hoo</t>
        </is>
      </c>
      <c r="BI1039" t="inlineStr">
        <is>
          <t>Other industries</t>
        </is>
      </c>
      <c r="BJ1039" s="4">
        <v>46144.75047453704</v>
      </c>
      <c r="BK1039" s="4">
        <v>44168.54201388889</v>
      </c>
      <c r="BL1039" t="inlineStr">
        <is>
          <t>0.0</t>
        </is>
      </c>
      <c r="BM1039" t="inlineStr">
        <is>
          <t>0.0</t>
        </is>
      </c>
      <c r="BN1039" t="inlineStr">
        <is>
          <t>View Company Page</t>
        </is>
      </c>
      <c r="BO1039" s="4">
        <v>46132.75387731481</v>
      </c>
      <c r="BP1039">
        <v>167858</v>
      </c>
      <c r="BQ1039">
        <v>123241</v>
      </c>
      <c r="BR1039" t="inlineStr">
        <is>
          <t>Proforma</t>
        </is>
      </c>
      <c r="BS1039" t="inlineStr">
        <is>
          <t>Free Part-Time Job</t>
        </is>
      </c>
      <c r="BT1039">
        <v>30009</v>
      </c>
      <c r="BU1039"/>
      <c r="BV1039">
        <v>2716175</v>
      </c>
      <c r="BW1039" t="inlineStr">
        <is>
          <t>Customer Inquiry</t>
        </is>
      </c>
      <c r="BX1039"/>
      <c r="BY1039"/>
      <c r="BZ1039" s="4"/>
      <c r="CA1039"/>
      <c r="CB1039"/>
      <c r="CC1039" s="4"/>
      <c r="CD1039" t="inlineStr">
        <is>
          <t>20</t>
        </is>
      </c>
      <c r="CE1039" t="inlineStr">
        <is>
          <t>0</t>
        </is>
      </c>
      <c r="CF1039" t="inlineStr">
        <is>
          <t>Q2-W03</t>
        </is>
      </c>
      <c r="CG1039" t="inlineStr">
        <is>
          <t>Q2-W03</t>
        </is>
      </c>
      <c r="CH1039"/>
      <c r="CI1039"/>
      <c r="CJ1039" t="inlineStr">
        <is>
          <t>Paid</t>
        </is>
      </c>
      <c r="CK1039" t="inlineStr">
        <is>
          <t>Not Eligible</t>
        </is>
      </c>
      <c r="CL1039"/>
      <c r="CM1039"/>
    </row>
    <row r="1040" ht="25.5" customHeight="1">
      <c r="A1040" t="inlineStr">
        <is>
          <t>171504</t>
        </is>
      </c>
      <c r="B1040" s="2"/>
      <c r="C1040"/>
      <c r="D1040" s="3">
        <v>46132.63982638889</v>
      </c>
      <c r="E1040" t="inlineStr">
        <is>
          <t>Q2-W03</t>
        </is>
      </c>
      <c r="F1040" t="inlineStr">
        <is>
          <t>Clover</t>
        </is>
      </c>
      <c r="G1040" t="inlineStr">
        <is>
          <t>Customer</t>
        </is>
      </c>
      <c r="H1040" s="2" t="str">
        <f>=HYPERLINK("https://upbox.ajobthing.my/customer/171504", "https://upbox.ajobthing.my/customer/171504")</f>
        <v>https://upbox.ajobthing.my/customer/171504</v>
      </c>
      <c r="I1040" t="inlineStr">
        <is>
          <t>Ahti Enterprise</t>
        </is>
      </c>
      <c r="J1040" t="inlineStr">
        <is>
          <t>Small Fish</t>
        </is>
      </c>
      <c r="K1040" t="inlineStr">
        <is>
          <t>Clover</t>
        </is>
      </c>
      <c r="L1040" s="4"/>
      <c r="M1040" s="4">
        <v>46132.64016203704</v>
      </c>
      <c r="N1040"/>
      <c r="O1040">
        <v>3888</v>
      </c>
      <c r="P1040" s="4"/>
      <c r="Q1040" s="4"/>
      <c r="R1040"/>
      <c r="S1040"/>
      <c r="T1040" s="4"/>
      <c r="U1040" s="4"/>
      <c r="V1040"/>
      <c r="W1040"/>
      <c r="X1040"/>
      <c r="Y1040" t="inlineStr">
        <is>
          <t>Pending Appointment</t>
        </is>
      </c>
      <c r="Z1040" t="inlineStr">
        <is>
          <t>Hiring Now</t>
        </is>
      </c>
      <c r="AA1040">
        <v>2</v>
      </c>
      <c r="AB1040" t="inlineStr">
        <is>
          <t>No Appointment Made</t>
        </is>
      </c>
      <c r="AC1040"/>
      <c r="AD1040" t="inlineStr">
        <is>
          <t>hire business development exec x1-2, prefer malay, medical equipment batu caves, suggest stans</t>
        </is>
      </c>
      <c r="AE1040"/>
      <c r="AF1040">
        <v>3000</v>
      </c>
      <c r="AG1040" s="4"/>
      <c r="AH1040" s="4"/>
      <c r="AI1040">
        <v>3000</v>
      </c>
      <c r="AJ1040">
        <v>1</v>
      </c>
      <c r="AK1040" t="inlineStr">
        <is>
          <t>No, but I want in future</t>
        </is>
      </c>
      <c r="AL1040">
        <v>1</v>
      </c>
      <c r="AM1040" t="inlineStr">
        <is>
          <t>No, but I want in future</t>
        </is>
      </c>
      <c r="AN1040"/>
      <c r="AO1040" t="inlineStr">
        <is>
          <t>No, but I want in future</t>
        </is>
      </c>
      <c r="AP1040" t="inlineStr">
        <is>
          <t>Twice a year (50%)</t>
        </is>
      </c>
      <c r="AQ1040">
        <v>2</v>
      </c>
      <c r="AR1040" t="inlineStr">
        <is>
          <t>Did not use any job portal</t>
        </is>
      </c>
      <c r="AS1040" t="inlineStr">
        <is>
          <t>- Headcount: 2
- Hiring Job Details: hire 1-2 business development execs, prefer Malay, for medical equipment role in Batu Caves, suggest stans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is>
      </c>
      <c r="AT1040">
        <v>115</v>
      </c>
      <c r="AU1040" t="inlineStr">
        <is>
          <t>1.15</t>
        </is>
      </c>
      <c r="AV1040" t="inlineStr">
        <is>
          <t>15</t>
        </is>
      </c>
      <c r="AW1040" t="inlineStr">
        <is>
          <t>0</t>
        </is>
      </c>
      <c r="AX1040" t="inlineStr">
        <is>
          <t>Not Qualified</t>
        </is>
      </c>
      <c r="AY1040" s="4"/>
      <c r="AZ1040"/>
      <c r="BA1040"/>
      <c r="BB1040"/>
      <c r="BC1040" t="inlineStr">
        <is>
          <t>Company - FIZIDRIS MEDIQ SDN BHD/ Ahti Enterprise , PIC Mr Zham ,  previous inform try other vendor, call npu</t>
        </is>
      </c>
      <c r="BD1040" s="4">
        <v>46134.708391203705</v>
      </c>
      <c r="BE1040"/>
      <c r="BF1040"/>
      <c r="BG1040" t="inlineStr">
        <is>
          <t>Reschedule</t>
        </is>
      </c>
      <c r="BH1040" t="inlineStr">
        <is>
          <t>Reagen</t>
        </is>
      </c>
      <c r="BI1040" t="inlineStr">
        <is>
          <t>Healthcare / Medical</t>
        </is>
      </c>
      <c r="BJ1040" s="4">
        <v>46144.75144675926</v>
      </c>
      <c r="BK1040" s="4">
        <v>45198.665925925925</v>
      </c>
      <c r="BL1040" t="inlineStr">
        <is>
          <t>0.0</t>
        </is>
      </c>
      <c r="BM1040" t="inlineStr">
        <is>
          <t>0.0</t>
        </is>
      </c>
      <c r="BN1040" t="inlineStr">
        <is>
          <t>View Create Job Page</t>
        </is>
      </c>
      <c r="BO1040" s="4">
        <v>45198.674895833334</v>
      </c>
      <c r="BP1040">
        <v>167865</v>
      </c>
      <c r="BQ1040"/>
      <c r="BR1040"/>
      <c r="BS1040"/>
      <c r="BT1040"/>
      <c r="BU1040"/>
      <c r="BV1040">
        <v>2721677</v>
      </c>
      <c r="BW1040" t="inlineStr">
        <is>
          <t>No Answer : Voicemail - WA sent to customer</t>
        </is>
      </c>
      <c r="BX1040"/>
      <c r="BY1040"/>
      <c r="BZ1040" s="4"/>
      <c r="CA1040"/>
      <c r="CB1040"/>
      <c r="CC1040" s="4"/>
      <c r="CD1040" t="inlineStr">
        <is>
          <t>20</t>
        </is>
      </c>
      <c r="CE1040" t="inlineStr">
        <is>
          <t>0</t>
        </is>
      </c>
      <c r="CF1040" t="inlineStr">
        <is>
          <t>Q2-W03</t>
        </is>
      </c>
      <c r="CG1040"/>
      <c r="CH1040"/>
      <c r="CI1040"/>
      <c r="CJ1040" t="inlineStr">
        <is>
          <t>No Paid</t>
        </is>
      </c>
      <c r="CK1040" t="inlineStr">
        <is>
          <t>Not Eligible</t>
        </is>
      </c>
      <c r="CL1040"/>
      <c r="CM1040"/>
    </row>
    <row r="1041" ht="25.5" customHeight="1">
      <c r="A1041" t="inlineStr">
        <is>
          <t>203440</t>
        </is>
      </c>
      <c r="B1041" s="2"/>
      <c r="C1041"/>
      <c r="D1041" s="3">
        <v>46132.65048611111</v>
      </c>
      <c r="E1041" t="inlineStr">
        <is>
          <t>Q2-W03</t>
        </is>
      </c>
      <c r="F1041" t="inlineStr">
        <is>
          <t>Clover</t>
        </is>
      </c>
      <c r="G1041" t="inlineStr">
        <is>
          <t>Customer</t>
        </is>
      </c>
      <c r="H1041" s="2" t="str">
        <f>=HYPERLINK("https://upbox.ajobthing.my/customer/203440", "https://upbox.ajobthing.my/customer/203440")</f>
        <v>https://upbox.ajobthing.my/customer/203440</v>
      </c>
      <c r="I1041" t="inlineStr">
        <is>
          <t>Seasongroup</t>
        </is>
      </c>
      <c r="J1041" t="inlineStr">
        <is>
          <t>Small Fish</t>
        </is>
      </c>
      <c r="K1041" t="inlineStr">
        <is>
          <t>Clover</t>
        </is>
      </c>
      <c r="L1041" s="4"/>
      <c r="M1041" s="4">
        <v>46132.650196759256</v>
      </c>
      <c r="N1041"/>
      <c r="O1041">
        <v>3888</v>
      </c>
      <c r="P1041" s="4"/>
      <c r="Q1041" s="4"/>
      <c r="R1041"/>
      <c r="S1041"/>
      <c r="T1041" s="4"/>
      <c r="U1041" s="4"/>
      <c r="V1041"/>
      <c r="W1041"/>
      <c r="X1041"/>
      <c r="Y1041" t="inlineStr">
        <is>
          <t>Pending Appointment</t>
        </is>
      </c>
      <c r="Z1041" t="inlineStr">
        <is>
          <t>Hiring Later</t>
        </is>
      </c>
      <c r="AA1041">
        <v>1</v>
      </c>
      <c r="AB1041" t="inlineStr">
        <is>
          <t>No Appointment Made</t>
        </is>
      </c>
      <c r="AC1041"/>
      <c r="AD1041" t="inlineStr">
        <is>
          <t>Hiring  HR cum admin x1, all races. min 2-3 years. manufacturing, penang, suggest stand</t>
        </is>
      </c>
      <c r="AE1041"/>
      <c r="AF1041">
        <v>3000</v>
      </c>
      <c r="AG1041" s="4"/>
      <c r="AH1041" s="4"/>
      <c r="AI1041">
        <v>3000</v>
      </c>
      <c r="AJ1041">
        <v>1</v>
      </c>
      <c r="AK1041" t="inlineStr">
        <is>
          <t>No, but I want in future</t>
        </is>
      </c>
      <c r="AL1041">
        <v>1</v>
      </c>
      <c r="AM1041" t="inlineStr">
        <is>
          <t>No, but I want in future</t>
        </is>
      </c>
      <c r="AN1041"/>
      <c r="AO1041" t="inlineStr">
        <is>
          <t>No, but I want in future</t>
        </is>
      </c>
      <c r="AP1041" t="inlineStr">
        <is>
          <t>Twice a year (50%)</t>
        </is>
      </c>
      <c r="AQ1041">
        <v>1</v>
      </c>
      <c r="AR1041" t="inlineStr">
        <is>
          <t>Did not use any job portal</t>
        </is>
      </c>
      <c r="AS1041" t="inlineStr">
        <is>
          <t>- Headcount: 1
- Hiring Job Details: 1 HR cum admin (all races, 2-3 years min exp, manufacturing industry, Penang,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is>
      </c>
      <c r="AT1041">
        <v>115</v>
      </c>
      <c r="AU1041" t="inlineStr">
        <is>
          <t>1.15</t>
        </is>
      </c>
      <c r="AV1041" t="inlineStr">
        <is>
          <t>15</t>
        </is>
      </c>
      <c r="AW1041" t="inlineStr">
        <is>
          <t>0</t>
        </is>
      </c>
      <c r="AX1041" t="inlineStr">
        <is>
          <t>Not Qualified</t>
        </is>
      </c>
      <c r="AY1041" s="4"/>
      <c r="AZ1041"/>
      <c r="BA1041"/>
      <c r="BB1041"/>
      <c r="BC1041" t="inlineStr">
        <is>
          <t>Pending management</t>
        </is>
      </c>
      <c r="BD1041" s="4">
        <v>46134.71710648148</v>
      </c>
      <c r="BE1041"/>
      <c r="BF1041"/>
      <c r="BG1041" t="inlineStr">
        <is>
          <t>Reschedule</t>
        </is>
      </c>
      <c r="BH1041" t="inlineStr">
        <is>
          <t>Reagen</t>
        </is>
      </c>
      <c r="BI1041"/>
      <c r="BJ1041" s="4">
        <v>46144.75430555556</v>
      </c>
      <c r="BK1041" s="4">
        <v>46132.644733796296</v>
      </c>
      <c r="BL1041" t="inlineStr">
        <is>
          <t>0.0</t>
        </is>
      </c>
      <c r="BM1041" t="inlineStr">
        <is>
          <t>0.0</t>
        </is>
      </c>
      <c r="BN1041"/>
      <c r="BO1041" s="4"/>
      <c r="BP1041">
        <v>167868</v>
      </c>
      <c r="BQ1041"/>
      <c r="BR1041"/>
      <c r="BS1041"/>
      <c r="BT1041"/>
      <c r="BU1041"/>
      <c r="BV1041">
        <v>2721735</v>
      </c>
      <c r="BW1041" t="inlineStr">
        <is>
          <t>Follow Up : Decision Pending</t>
        </is>
      </c>
      <c r="BX1041"/>
      <c r="BY1041"/>
      <c r="BZ1041" s="4"/>
      <c r="CA1041"/>
      <c r="CB1041"/>
      <c r="CC1041" s="4"/>
      <c r="CD1041" t="inlineStr">
        <is>
          <t>20</t>
        </is>
      </c>
      <c r="CE1041" t="inlineStr">
        <is>
          <t>0</t>
        </is>
      </c>
      <c r="CF1041" t="inlineStr">
        <is>
          <t>Q2-W03</t>
        </is>
      </c>
      <c r="CG1041"/>
      <c r="CH1041"/>
      <c r="CI1041"/>
      <c r="CJ1041" t="inlineStr">
        <is>
          <t>No Paid</t>
        </is>
      </c>
      <c r="CK1041" t="inlineStr">
        <is>
          <t>Not Eligible</t>
        </is>
      </c>
      <c r="CL1041"/>
      <c r="CM1041"/>
    </row>
    <row r="1042" ht="25.5" customHeight="1">
      <c r="A1042" t="inlineStr">
        <is>
          <t>18370</t>
        </is>
      </c>
      <c r="B1042" s="2"/>
      <c r="C1042"/>
      <c r="D1042" s="3">
        <v>46132.656851851854</v>
      </c>
      <c r="E1042" t="inlineStr">
        <is>
          <t>Q2-W03</t>
        </is>
      </c>
      <c r="F1042" t="inlineStr">
        <is>
          <t>Clover</t>
        </is>
      </c>
      <c r="G1042" t="inlineStr">
        <is>
          <t>Customer</t>
        </is>
      </c>
      <c r="H1042" s="2" t="str">
        <f>=HYPERLINK("https://upbox.ajobthing.my/customer/18370", "https://upbox.ajobthing.my/customer/18370")</f>
        <v>https://upbox.ajobthing.my/customer/18370</v>
      </c>
      <c r="I1042" t="inlineStr">
        <is>
          <t>Cardoganhotel</t>
        </is>
      </c>
      <c r="J1042" t="inlineStr">
        <is>
          <t>Small Fish</t>
        </is>
      </c>
      <c r="K1042" t="inlineStr">
        <is>
          <t>Clover</t>
        </is>
      </c>
      <c r="L1042" s="4"/>
      <c r="M1042" s="4">
        <v>46132.65611111111</v>
      </c>
      <c r="N1042"/>
      <c r="O1042">
        <v>6048</v>
      </c>
      <c r="P1042" s="4"/>
      <c r="Q1042" s="4"/>
      <c r="R1042"/>
      <c r="S1042"/>
      <c r="T1042" s="4"/>
      <c r="U1042" s="4"/>
      <c r="V1042"/>
      <c r="W1042"/>
      <c r="X1042"/>
      <c r="Y1042" t="inlineStr">
        <is>
          <t>Pending Appointment</t>
        </is>
      </c>
      <c r="Z1042" t="inlineStr">
        <is>
          <t>Hiring Now</t>
        </is>
      </c>
      <c r="AA1042">
        <v>3</v>
      </c>
      <c r="AB1042" t="inlineStr">
        <is>
          <t>No Appointment Made</t>
        </is>
      </c>
      <c r="AC1042"/>
      <c r="AD1042" t="inlineStr">
        <is>
          <t>Hire receptionist, frond x1 chi, house keeping x1, all races,  replacement, hotel, Bukit Bintang KL,  future not sure, Ms Josie Wong</t>
        </is>
      </c>
      <c r="AE1042"/>
      <c r="AF1042">
        <v>3000</v>
      </c>
      <c r="AG1042" s="4"/>
      <c r="AH1042" s="4"/>
      <c r="AI1042">
        <v>3000</v>
      </c>
      <c r="AJ1042">
        <v>1</v>
      </c>
      <c r="AK1042" t="inlineStr">
        <is>
          <t>No, but I want in future</t>
        </is>
      </c>
      <c r="AL1042">
        <v>1</v>
      </c>
      <c r="AM1042" t="inlineStr">
        <is>
          <t>No, but I want in future</t>
        </is>
      </c>
      <c r="AN1042"/>
      <c r="AO1042" t="inlineStr">
        <is>
          <t>No, but I want in future</t>
        </is>
      </c>
      <c r="AP1042" t="inlineStr">
        <is>
          <t>Once per quarter (75%)</t>
        </is>
      </c>
      <c r="AQ1042">
        <v>2</v>
      </c>
      <c r="AR1042" t="inlineStr">
        <is>
          <t>Did not use any job portal</t>
        </is>
      </c>
      <c r="AS1042" t="inlineStr">
        <is>
          <t>- Headcount: 3
- Hiring Job Details: Hire receptionist, front x1, house keeping x1, all races, replacement, hotel, Bukit Bintang KL, future not sure, Ms Josie Wong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Once per quarter (75%)
- External job portal: Did not use any</t>
        </is>
      </c>
      <c r="AT1042">
        <v>95</v>
      </c>
      <c r="AU1042" t="inlineStr">
        <is>
          <t>0.95</t>
        </is>
      </c>
      <c r="AV1042" t="inlineStr">
        <is>
          <t>15</t>
        </is>
      </c>
      <c r="AW1042" t="inlineStr">
        <is>
          <t>0</t>
        </is>
      </c>
      <c r="AX1042" t="inlineStr">
        <is>
          <t>Not Qualified</t>
        </is>
      </c>
      <c r="AY1042" s="4"/>
      <c r="AZ1042"/>
      <c r="BA1042"/>
      <c r="BB1042"/>
      <c r="BC1042" t="inlineStr">
        <is>
          <t>WA fu</t>
        </is>
      </c>
      <c r="BD1042" s="4">
        <v>46139.61015046296</v>
      </c>
      <c r="BE1042"/>
      <c r="BF1042"/>
      <c r="BG1042" t="inlineStr">
        <is>
          <t>Reschedule</t>
        </is>
      </c>
      <c r="BH1042" t="inlineStr">
        <is>
          <t>Reagen</t>
        </is>
      </c>
      <c r="BI1042"/>
      <c r="BJ1042" s="4">
        <v>46144.751967592594</v>
      </c>
      <c r="BK1042" s="4">
        <v>42478.856620370374</v>
      </c>
      <c r="BL1042" t="inlineStr">
        <is>
          <t>0.0</t>
        </is>
      </c>
      <c r="BM1042" t="inlineStr">
        <is>
          <t>0.0</t>
        </is>
      </c>
      <c r="BN1042"/>
      <c r="BO1042" s="4"/>
      <c r="BP1042">
        <v>167874</v>
      </c>
      <c r="BQ1042"/>
      <c r="BR1042"/>
      <c r="BS1042"/>
      <c r="BT1042"/>
      <c r="BU1042"/>
      <c r="BV1042">
        <v>2729994</v>
      </c>
      <c r="BW1042" t="inlineStr">
        <is>
          <t>No Answer : Voicemail - WA sent to customer</t>
        </is>
      </c>
      <c r="BX1042"/>
      <c r="BY1042"/>
      <c r="BZ1042" s="4"/>
      <c r="CA1042"/>
      <c r="CB1042"/>
      <c r="CC1042" s="4"/>
      <c r="CD1042" t="inlineStr">
        <is>
          <t>20</t>
        </is>
      </c>
      <c r="CE1042" t="inlineStr">
        <is>
          <t>0</t>
        </is>
      </c>
      <c r="CF1042" t="inlineStr">
        <is>
          <t>Q2-W03</t>
        </is>
      </c>
      <c r="CG1042"/>
      <c r="CH1042"/>
      <c r="CI1042"/>
      <c r="CJ1042" t="inlineStr">
        <is>
          <t>No Paid</t>
        </is>
      </c>
      <c r="CK1042" t="inlineStr">
        <is>
          <t>Not Eligible</t>
        </is>
      </c>
      <c r="CL1042"/>
      <c r="CM1042"/>
    </row>
    <row r="1043" ht="25.5" customHeight="1">
      <c r="A1043" t="inlineStr">
        <is>
          <t>4305550</t>
        </is>
      </c>
      <c r="B1043" s="2"/>
      <c r="C1043"/>
      <c r="D1043" s="3">
        <v>46132.662256944444</v>
      </c>
      <c r="E1043" t="inlineStr">
        <is>
          <t>Q2-W03</t>
        </is>
      </c>
      <c r="F1043" t="inlineStr">
        <is>
          <t>Lucas</t>
        </is>
      </c>
      <c r="G1043" t="inlineStr">
        <is>
          <t>Lead</t>
        </is>
      </c>
      <c r="H1043" s="2" t="str">
        <f>=HYPERLINK("https://upbox.ajobthing.my/leads/4305550", "https://upbox.ajobthing.my/leads/4305550")</f>
        <v>https://upbox.ajobthing.my/leads/4305550</v>
      </c>
      <c r="I1043" t="inlineStr">
        <is>
          <t>Capstone cove</t>
        </is>
      </c>
      <c r="J1043" t="inlineStr">
        <is>
          <t>Small Fish</t>
        </is>
      </c>
      <c r="K1043" t="inlineStr">
        <is>
          <t>Lucas</t>
        </is>
      </c>
      <c r="L1043" s="4"/>
      <c r="M1043" s="4">
        <v>46132.65974537037</v>
      </c>
      <c r="N1043"/>
      <c r="O1043">
        <v>3888</v>
      </c>
      <c r="P1043" s="4"/>
      <c r="Q1043" s="4"/>
      <c r="R1043"/>
      <c r="S1043"/>
      <c r="T1043" s="4"/>
      <c r="U1043" s="4"/>
      <c r="V1043"/>
      <c r="W1043"/>
      <c r="X1043"/>
      <c r="Y1043" t="inlineStr">
        <is>
          <t>Pending Appointment</t>
        </is>
      </c>
      <c r="Z1043" t="inlineStr">
        <is>
          <t>Hiring Now</t>
        </is>
      </c>
      <c r="AA1043">
        <v>1</v>
      </c>
      <c r="AB1043" t="inlineStr">
        <is>
          <t>No Appointment Made</t>
        </is>
      </c>
      <c r="AC1043"/>
      <c r="AD1043" t="inlineStr">
        <is>
          <t>1 admin</t>
        </is>
      </c>
      <c r="AE1043"/>
      <c r="AF1043">
        <v>0</v>
      </c>
      <c r="AG1043" s="4"/>
      <c r="AH1043" s="4"/>
      <c r="AI1043">
        <v>0</v>
      </c>
      <c r="AJ1043">
        <v>0</v>
      </c>
      <c r="AK1043" t="inlineStr">
        <is>
          <t>No, I don't need at all</t>
        </is>
      </c>
      <c r="AL1043">
        <v>0</v>
      </c>
      <c r="AM1043" t="inlineStr">
        <is>
          <t>No, I don't need at all</t>
        </is>
      </c>
      <c r="AN1043"/>
      <c r="AO1043" t="inlineStr">
        <is>
          <t>No, I don't need at all</t>
        </is>
      </c>
      <c r="AP1043" t="inlineStr">
        <is>
          <t>Once a year (25%)</t>
        </is>
      </c>
      <c r="AQ1043">
        <v>1</v>
      </c>
      <c r="AR1043" t="inlineStr">
        <is>
          <t>Jobstreet</t>
        </is>
      </c>
      <c r="AS1043"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1043">
        <v>110</v>
      </c>
      <c r="AU1043" t="inlineStr">
        <is>
          <t>1.10</t>
        </is>
      </c>
      <c r="AV1043" t="inlineStr">
        <is>
          <t>15</t>
        </is>
      </c>
      <c r="AW1043" t="inlineStr">
        <is>
          <t>0</t>
        </is>
      </c>
      <c r="AX1043" t="inlineStr">
        <is>
          <t>Not Qualified</t>
        </is>
      </c>
      <c r="AY1043" s="4"/>
      <c r="AZ1043"/>
      <c r="BA1043"/>
      <c r="BB1043"/>
      <c r="BC1043"/>
      <c r="BD1043" s="4"/>
      <c r="BE1043"/>
      <c r="BF1043"/>
      <c r="BG1043" t="inlineStr">
        <is>
          <t>Reschedule</t>
        </is>
      </c>
      <c r="BH1043" t="inlineStr">
        <is>
          <t>Yee Hang</t>
        </is>
      </c>
      <c r="BI1043"/>
      <c r="BJ1043" s="4">
        <v>46144.75587962963</v>
      </c>
      <c r="BK1043" s="4">
        <v>46132.644375</v>
      </c>
      <c r="BL1043" t="inlineStr">
        <is>
          <t>0.0</t>
        </is>
      </c>
      <c r="BM1043" t="inlineStr">
        <is>
          <t>600.0</t>
        </is>
      </c>
      <c r="BN1043"/>
      <c r="BO1043" s="4"/>
      <c r="BP1043">
        <v>167876</v>
      </c>
      <c r="BQ1043"/>
      <c r="BR1043"/>
      <c r="BS1043"/>
      <c r="BT1043"/>
      <c r="BU1043"/>
      <c r="BV1043"/>
      <c r="BW1043"/>
      <c r="BX1043"/>
      <c r="BY1043"/>
      <c r="BZ1043" s="4"/>
      <c r="CA1043"/>
      <c r="CB1043"/>
      <c r="CC1043" s="4"/>
      <c r="CD1043" t="inlineStr">
        <is>
          <t>20</t>
        </is>
      </c>
      <c r="CE1043" t="inlineStr">
        <is>
          <t>0</t>
        </is>
      </c>
      <c r="CF1043" t="inlineStr">
        <is>
          <t>Q2-W03</t>
        </is>
      </c>
      <c r="CG1043"/>
      <c r="CH1043"/>
      <c r="CI1043"/>
      <c r="CJ1043" t="inlineStr">
        <is>
          <t>No Paid</t>
        </is>
      </c>
      <c r="CK1043" t="inlineStr">
        <is>
          <t>Not Eligible</t>
        </is>
      </c>
      <c r="CL1043"/>
      <c r="CM1043"/>
    </row>
    <row r="1044" ht="25.5" customHeight="1">
      <c r="A1044" t="inlineStr">
        <is>
          <t>4148760</t>
        </is>
      </c>
      <c r="B1044" s="2"/>
      <c r="C1044"/>
      <c r="D1044" s="3">
        <v>46132.666817129626</v>
      </c>
      <c r="E1044" t="inlineStr">
        <is>
          <t>Q2-W03</t>
        </is>
      </c>
      <c r="F1044" t="inlineStr">
        <is>
          <t>Janice Yap</t>
        </is>
      </c>
      <c r="G1044" t="inlineStr">
        <is>
          <t>Lead</t>
        </is>
      </c>
      <c r="H1044" s="2" t="str">
        <f>=HYPERLINK("https://upbox.ajobthing.my/leads/4148760", "https://upbox.ajobthing.my/leads/4148760")</f>
        <v>https://upbox.ajobthing.my/leads/4148760</v>
      </c>
      <c r="I1044" t="inlineStr">
        <is>
          <t>Dream Fighterz Agency</t>
        </is>
      </c>
      <c r="J1044" t="inlineStr">
        <is>
          <t>Small Fish</t>
        </is>
      </c>
      <c r="K1044" t="inlineStr">
        <is>
          <t>Janice</t>
        </is>
      </c>
      <c r="L1044" s="4"/>
      <c r="M1044" s="4">
        <v>46132.66278935185</v>
      </c>
      <c r="N1044"/>
      <c r="O1044">
        <v>3888</v>
      </c>
      <c r="P1044" s="4"/>
      <c r="Q1044" s="4"/>
      <c r="R1044"/>
      <c r="S1044"/>
      <c r="T1044" s="4"/>
      <c r="U1044" s="4"/>
      <c r="V1044"/>
      <c r="W1044"/>
      <c r="X1044"/>
      <c r="Y1044" t="inlineStr">
        <is>
          <t>Pending Appointment</t>
        </is>
      </c>
      <c r="Z1044" t="inlineStr">
        <is>
          <t>Hiring Now</t>
        </is>
      </c>
      <c r="AA1044">
        <v>3</v>
      </c>
      <c r="AB1044" t="inlineStr">
        <is>
          <t>No Appointment Made</t>
        </is>
      </c>
      <c r="AC1044"/>
      <c r="AD1044" t="inlineStr">
        <is>
          <t>3 insurance agents</t>
        </is>
      </c>
      <c r="AE1044"/>
      <c r="AF1044">
        <v>0</v>
      </c>
      <c r="AG1044" s="4"/>
      <c r="AH1044" s="4"/>
      <c r="AI1044">
        <v>0</v>
      </c>
      <c r="AJ1044"/>
      <c r="AK1044" t="inlineStr">
        <is>
          <t>No, I don't need at all</t>
        </is>
      </c>
      <c r="AL1044">
        <v>0</v>
      </c>
      <c r="AM1044" t="inlineStr">
        <is>
          <t>No, I don't need at all</t>
        </is>
      </c>
      <c r="AN1044"/>
      <c r="AO1044" t="inlineStr">
        <is>
          <t>No, I don't need at all</t>
        </is>
      </c>
      <c r="AP1044" t="inlineStr">
        <is>
          <t>Once a year (25%)</t>
        </is>
      </c>
      <c r="AQ1044">
        <v>3</v>
      </c>
      <c r="AR1044" t="inlineStr">
        <is>
          <t>Free Job Portal</t>
        </is>
      </c>
      <c r="AS1044" t="inlineStr">
        <is>
          <t>- Headcount: 3
- Hiring Job Details: 3 insurance agents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t>
        </is>
      </c>
      <c r="AT1044">
        <v>115</v>
      </c>
      <c r="AU1044" t="inlineStr">
        <is>
          <t>1.15</t>
        </is>
      </c>
      <c r="AV1044" t="inlineStr">
        <is>
          <t>15</t>
        </is>
      </c>
      <c r="AW1044" t="inlineStr">
        <is>
          <t>0</t>
        </is>
      </c>
      <c r="AX1044" t="inlineStr">
        <is>
          <t>Not Qualified</t>
        </is>
      </c>
      <c r="AY1044" s="4"/>
      <c r="AZ1044"/>
      <c r="BA1044"/>
      <c r="BB1044"/>
      <c r="BC1044"/>
      <c r="BD1044" s="4"/>
      <c r="BE1044"/>
      <c r="BF1044"/>
      <c r="BG1044" t="inlineStr">
        <is>
          <t>Reschedule</t>
        </is>
      </c>
      <c r="BH1044" t="inlineStr">
        <is>
          <t>Yee Hang</t>
        </is>
      </c>
      <c r="BI1044"/>
      <c r="BJ1044" s="4">
        <v>46144.75548611111</v>
      </c>
      <c r="BK1044" s="4">
        <v>46092.426157407404</v>
      </c>
      <c r="BL1044" t="inlineStr">
        <is>
          <t>0.0</t>
        </is>
      </c>
      <c r="BM1044" t="inlineStr">
        <is>
          <t>0.0</t>
        </is>
      </c>
      <c r="BN1044"/>
      <c r="BO1044" s="4"/>
      <c r="BP1044">
        <v>167877</v>
      </c>
      <c r="BQ1044"/>
      <c r="BR1044"/>
      <c r="BS1044"/>
      <c r="BT1044"/>
      <c r="BU1044"/>
      <c r="BV1044"/>
      <c r="BW1044"/>
      <c r="BX1044"/>
      <c r="BY1044"/>
      <c r="BZ1044" s="4"/>
      <c r="CA1044"/>
      <c r="CB1044"/>
      <c r="CC1044" s="4"/>
      <c r="CD1044" t="inlineStr">
        <is>
          <t>20</t>
        </is>
      </c>
      <c r="CE1044" t="inlineStr">
        <is>
          <t>0</t>
        </is>
      </c>
      <c r="CF1044" t="inlineStr">
        <is>
          <t>Q2-W03</t>
        </is>
      </c>
      <c r="CG1044"/>
      <c r="CH1044"/>
      <c r="CI1044"/>
      <c r="CJ1044" t="inlineStr">
        <is>
          <t>No Paid</t>
        </is>
      </c>
      <c r="CK1044" t="inlineStr">
        <is>
          <t>Not Eligible</t>
        </is>
      </c>
      <c r="CL1044"/>
      <c r="CM1044"/>
    </row>
    <row r="1045" ht="25.5" customHeight="1">
      <c r="A1045" t="inlineStr">
        <is>
          <t>129554</t>
        </is>
      </c>
      <c r="B1045" s="2"/>
      <c r="C1045"/>
      <c r="D1045" s="3">
        <v>46132.67591435185</v>
      </c>
      <c r="E1045" t="inlineStr">
        <is>
          <t>Q2-W03</t>
        </is>
      </c>
      <c r="F1045" t="inlineStr">
        <is>
          <t>Fariz</t>
        </is>
      </c>
      <c r="G1045" t="inlineStr">
        <is>
          <t>Customer</t>
        </is>
      </c>
      <c r="H1045" s="2" t="str">
        <f>=HYPERLINK("https://upbox.ajobthing.my/customer/129554", "https://upbox.ajobthing.my/customer/129554")</f>
        <v>https://upbox.ajobthing.my/customer/129554</v>
      </c>
      <c r="I1045" t="inlineStr">
        <is>
          <t>Empire Auto Trading &amp; Services Sdn. Bhd.</t>
        </is>
      </c>
      <c r="J1045" t="inlineStr">
        <is>
          <t>Small Fish</t>
        </is>
      </c>
      <c r="K1045" t="inlineStr">
        <is>
          <t>Fariz</t>
        </is>
      </c>
      <c r="L1045" s="4"/>
      <c r="M1045" s="4">
        <v>46132.67625</v>
      </c>
      <c r="N1045"/>
      <c r="O1045">
        <v>3888</v>
      </c>
      <c r="P1045" s="4"/>
      <c r="Q1045" s="4"/>
      <c r="R1045"/>
      <c r="S1045"/>
      <c r="T1045" s="4"/>
      <c r="U1045" s="4"/>
      <c r="V1045"/>
      <c r="W1045"/>
      <c r="X1045"/>
      <c r="Y1045" t="inlineStr">
        <is>
          <t>Pending Appointment</t>
        </is>
      </c>
      <c r="Z1045" t="inlineStr">
        <is>
          <t>Hiring Later</t>
        </is>
      </c>
      <c r="AA1045">
        <v>2</v>
      </c>
      <c r="AB1045" t="inlineStr">
        <is>
          <t>No Appointment Made</t>
        </is>
      </c>
      <c r="AC1045"/>
      <c r="AD1045" t="inlineStr">
        <is>
          <t>1 postman , 1 customer service</t>
        </is>
      </c>
      <c r="AE1045"/>
      <c r="AF1045">
        <v>3600</v>
      </c>
      <c r="AG1045" s="4"/>
      <c r="AH1045" s="4"/>
      <c r="AI1045">
        <v>3600</v>
      </c>
      <c r="AJ1045"/>
      <c r="AK1045" t="inlineStr">
        <is>
          <t>No, I don't need at all</t>
        </is>
      </c>
      <c r="AL1045">
        <v>1</v>
      </c>
      <c r="AM1045" t="inlineStr">
        <is>
          <t>No, I don't need at all</t>
        </is>
      </c>
      <c r="AN1045"/>
      <c r="AO1045" t="inlineStr">
        <is>
          <t>No, but I want in future</t>
        </is>
      </c>
      <c r="AP1045" t="inlineStr">
        <is>
          <t>Once a year (25%)</t>
        </is>
      </c>
      <c r="AQ1045">
        <v>2</v>
      </c>
      <c r="AR1045" t="inlineStr">
        <is>
          <t>Jobstreet, Free Job Portal</t>
        </is>
      </c>
      <c r="AS1045" t="inlineStr">
        <is>
          <t>- Headcount: 2
- Hiring Job Details: 1 postman, 1 customer service
- Hiring Urgency: Hiring Later
- Number of outlets: N/A
- Have recruiter team: No, I don't need at all
- Number of recruiter in company: 1
- Have ATS system: No, I don't need at all
- Have career website: No, but I want in future
- Current hiring budget: RM3,600
- Whole year budget: RM3,600.00
- Whole year number of vacancies: 2
- Hiring frequency: Once a year (25%)
- External job portal: Jobstreet, Free Job Portal</t>
        </is>
      </c>
      <c r="AT1045">
        <v>115</v>
      </c>
      <c r="AU1045" t="inlineStr">
        <is>
          <t>1.15</t>
        </is>
      </c>
      <c r="AV1045" t="inlineStr">
        <is>
          <t>15</t>
        </is>
      </c>
      <c r="AW1045" t="inlineStr">
        <is>
          <t>0</t>
        </is>
      </c>
      <c r="AX1045" t="inlineStr">
        <is>
          <t>Not Qualified</t>
        </is>
      </c>
      <c r="AY1045" s="4"/>
      <c r="AZ1045"/>
      <c r="BA1045"/>
      <c r="BB1045"/>
      <c r="BC1045" t="inlineStr">
        <is>
          <t>Her bos said, they're on budget. the price is to high. giving out promotion and also ala carte to customer. saif if they needed will contact again</t>
        </is>
      </c>
      <c r="BD1045" s="4">
        <v>46141.43503472222</v>
      </c>
      <c r="BE1045"/>
      <c r="BF1045"/>
      <c r="BG1045" t="inlineStr">
        <is>
          <t>Reschedule</t>
        </is>
      </c>
      <c r="BH1045" t="inlineStr">
        <is>
          <t>Edward Hoo</t>
        </is>
      </c>
      <c r="BI1045"/>
      <c r="BJ1045" s="4">
        <v>46144.75042824074</v>
      </c>
      <c r="BK1045" s="4">
        <v>44082.46065972222</v>
      </c>
      <c r="BL1045" t="inlineStr">
        <is>
          <t>0.0</t>
        </is>
      </c>
      <c r="BM1045" t="inlineStr">
        <is>
          <t>600.0</t>
        </is>
      </c>
      <c r="BN1045" t="inlineStr">
        <is>
          <t>View Create Job Page</t>
        </is>
      </c>
      <c r="BO1045" s="4">
        <v>45643.49810185185</v>
      </c>
      <c r="BP1045">
        <v>167885</v>
      </c>
      <c r="BQ1045"/>
      <c r="BR1045"/>
      <c r="BS1045"/>
      <c r="BT1045"/>
      <c r="BU1045"/>
      <c r="BV1045">
        <v>2734417</v>
      </c>
      <c r="BW1045" t="inlineStr">
        <is>
          <t>Follow Up : Budget Concern</t>
        </is>
      </c>
      <c r="BX1045"/>
      <c r="BY1045"/>
      <c r="BZ1045" s="4"/>
      <c r="CA1045"/>
      <c r="CB1045"/>
      <c r="CC1045" s="4"/>
      <c r="CD1045" t="inlineStr">
        <is>
          <t>20</t>
        </is>
      </c>
      <c r="CE1045" t="inlineStr">
        <is>
          <t>0</t>
        </is>
      </c>
      <c r="CF1045" t="inlineStr">
        <is>
          <t>Q2-W03</t>
        </is>
      </c>
      <c r="CG1045"/>
      <c r="CH1045"/>
      <c r="CI1045"/>
      <c r="CJ1045" t="inlineStr">
        <is>
          <t>No Paid</t>
        </is>
      </c>
      <c r="CK1045" t="inlineStr">
        <is>
          <t>Not Eligible</t>
        </is>
      </c>
      <c r="CL1045"/>
      <c r="CM1045"/>
    </row>
    <row r="1046" ht="25.5" customHeight="1">
      <c r="A1046" t="inlineStr">
        <is>
          <t>146334</t>
        </is>
      </c>
      <c r="B1046" s="2"/>
      <c r="C1046"/>
      <c r="D1046" s="3">
        <v>46132.68886574074</v>
      </c>
      <c r="E1046" t="inlineStr">
        <is>
          <t>Q2-W03</t>
        </is>
      </c>
      <c r="F1046" t="inlineStr">
        <is>
          <t>Jeff Lee</t>
        </is>
      </c>
      <c r="G1046" t="inlineStr">
        <is>
          <t>Customer</t>
        </is>
      </c>
      <c r="H1046" s="2" t="str">
        <f>=HYPERLINK("https://upbox.ajobthing.my/customer/146334", "https://upbox.ajobthing.my/customer/146334")</f>
        <v>https://upbox.ajobthing.my/customer/146334</v>
      </c>
      <c r="I1046" t="inlineStr">
        <is>
          <t>Twelve Empire Sdn Bhd</t>
        </is>
      </c>
      <c r="J1046" t="inlineStr">
        <is>
          <t>Small Fish</t>
        </is>
      </c>
      <c r="K1046" t="inlineStr">
        <is>
          <t>Jeff Lee</t>
        </is>
      </c>
      <c r="L1046" s="4"/>
      <c r="M1046" s="4">
        <v>46132.68513888889</v>
      </c>
      <c r="N1046"/>
      <c r="O1046">
        <v>3888</v>
      </c>
      <c r="P1046" s="4"/>
      <c r="Q1046" s="4">
        <v>44575.459340277775</v>
      </c>
      <c r="R1046"/>
      <c r="S1046">
        <v>583</v>
      </c>
      <c r="T1046" s="4">
        <v>44575.459340277775</v>
      </c>
      <c r="U1046" s="4"/>
      <c r="V1046"/>
      <c r="W1046">
        <v>583</v>
      </c>
      <c r="X1046"/>
      <c r="Y1046" t="inlineStr">
        <is>
          <t>Pending Appointment</t>
        </is>
      </c>
      <c r="Z1046" t="inlineStr">
        <is>
          <t>Hiring Now</t>
        </is>
      </c>
      <c r="AA1046">
        <v>3</v>
      </c>
      <c r="AB1046" t="inlineStr">
        <is>
          <t>No Appointment Made</t>
        </is>
      </c>
      <c r="AC1046"/>
      <c r="AD1046" t="inlineStr">
        <is>
          <t>1 admin, 1 supervisor, 1 manager</t>
        </is>
      </c>
      <c r="AE1046"/>
      <c r="AF1046">
        <v>0</v>
      </c>
      <c r="AG1046" s="4"/>
      <c r="AH1046" s="4"/>
      <c r="AI1046">
        <v>0</v>
      </c>
      <c r="AJ1046">
        <v>0</v>
      </c>
      <c r="AK1046" t="inlineStr">
        <is>
          <t>No, I don't need at all</t>
        </is>
      </c>
      <c r="AL1046">
        <v>0</v>
      </c>
      <c r="AM1046" t="inlineStr">
        <is>
          <t>No, I don't need at all</t>
        </is>
      </c>
      <c r="AN1046"/>
      <c r="AO1046" t="inlineStr">
        <is>
          <t>No, I don't need at all</t>
        </is>
      </c>
      <c r="AP1046" t="inlineStr">
        <is>
          <t>Once a year (25%)</t>
        </is>
      </c>
      <c r="AQ1046">
        <v>3</v>
      </c>
      <c r="AR1046" t="inlineStr">
        <is>
          <t>Jobstreet, Free Job Portal</t>
        </is>
      </c>
      <c r="AS1046" t="inlineStr">
        <is>
          <t>- Headcount: 3
- Hiring Job Details: 1 admin, 1 supervisor, 1 manager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 Free Job Portal</t>
        </is>
      </c>
      <c r="AT1046">
        <v>110</v>
      </c>
      <c r="AU1046" t="inlineStr">
        <is>
          <t>1.10</t>
        </is>
      </c>
      <c r="AV1046" t="inlineStr">
        <is>
          <t>15</t>
        </is>
      </c>
      <c r="AW1046" t="inlineStr">
        <is>
          <t>0</t>
        </is>
      </c>
      <c r="AX1046" t="inlineStr">
        <is>
          <t>Not Qualified</t>
        </is>
      </c>
      <c r="AY1046" s="4"/>
      <c r="AZ1046"/>
      <c r="BA1046"/>
      <c r="BB1046"/>
      <c r="BC1046" t="inlineStr">
        <is>
          <t>dont want first they no budget and trying other free platform</t>
        </is>
      </c>
      <c r="BD1046" s="4">
        <v>46134.4187962963</v>
      </c>
      <c r="BE1046" t="inlineStr">
        <is>
          <t>paid</t>
        </is>
      </c>
      <c r="BF1046"/>
      <c r="BG1046" t="inlineStr">
        <is>
          <t>Reschedule</t>
        </is>
      </c>
      <c r="BH1046" t="inlineStr">
        <is>
          <t>Yee Hang</t>
        </is>
      </c>
      <c r="BI1046" t="inlineStr">
        <is>
          <t>Architecture / Interior Design</t>
        </is>
      </c>
      <c r="BJ1046" s="4">
        <v>46144.75077546296</v>
      </c>
      <c r="BK1046" s="4">
        <v>44561.60542824074</v>
      </c>
      <c r="BL1046" t="inlineStr">
        <is>
          <t>0.0</t>
        </is>
      </c>
      <c r="BM1046" t="inlineStr">
        <is>
          <t>0.0</t>
        </is>
      </c>
      <c r="BN1046" t="inlineStr">
        <is>
          <t>View Jobmanager Page</t>
        </is>
      </c>
      <c r="BO1046" s="4">
        <v>45817.33887731482</v>
      </c>
      <c r="BP1046">
        <v>167886</v>
      </c>
      <c r="BQ1046">
        <v>39768</v>
      </c>
      <c r="BR1046" t="inlineStr">
        <is>
          <t>Online</t>
        </is>
      </c>
      <c r="BS1046"/>
      <c r="BT1046">
        <v>39768</v>
      </c>
      <c r="BU1046"/>
      <c r="BV1046">
        <v>2719561</v>
      </c>
      <c r="BW1046" t="inlineStr">
        <is>
          <t>Follow Up : Lost - Free Portal</t>
        </is>
      </c>
      <c r="BX1046"/>
      <c r="BY1046"/>
      <c r="BZ1046" s="4"/>
      <c r="CA1046"/>
      <c r="CB1046"/>
      <c r="CC1046" s="4"/>
      <c r="CD1046" t="inlineStr">
        <is>
          <t>20</t>
        </is>
      </c>
      <c r="CE1046" t="inlineStr">
        <is>
          <t>0</t>
        </is>
      </c>
      <c r="CF1046" t="inlineStr">
        <is>
          <t>Q2-W03</t>
        </is>
      </c>
      <c r="CG1046"/>
      <c r="CH1046"/>
      <c r="CI1046"/>
      <c r="CJ1046" t="inlineStr">
        <is>
          <t>Paid</t>
        </is>
      </c>
      <c r="CK1046" t="inlineStr">
        <is>
          <t>Not Eligible</t>
        </is>
      </c>
      <c r="CL1046"/>
      <c r="CM1046"/>
    </row>
    <row r="1047" ht="25.5" customHeight="1">
      <c r="A1047" t="inlineStr">
        <is>
          <t>45842</t>
        </is>
      </c>
      <c r="B1047" s="2"/>
      <c r="C1047"/>
      <c r="D1047" s="3">
        <v>46132.69761574074</v>
      </c>
      <c r="E1047" t="inlineStr">
        <is>
          <t>Q2-W03</t>
        </is>
      </c>
      <c r="F1047" t="inlineStr">
        <is>
          <t>Chia Yee</t>
        </is>
      </c>
      <c r="G1047" t="inlineStr">
        <is>
          <t>Customer</t>
        </is>
      </c>
      <c r="H1047" s="2" t="str">
        <f>=HYPERLINK("https://upbox.ajobthing.my/customer/45842", "https://upbox.ajobthing.my/customer/45842")</f>
        <v>https://upbox.ajobthing.my/customer/45842</v>
      </c>
      <c r="I1047" t="inlineStr">
        <is>
          <t>HK Sales &amp; Management</t>
        </is>
      </c>
      <c r="J1047" t="inlineStr">
        <is>
          <t>Small Fish</t>
        </is>
      </c>
      <c r="K1047" t="inlineStr">
        <is>
          <t>Chia Yee</t>
        </is>
      </c>
      <c r="L1047" s="4"/>
      <c r="M1047" s="4">
        <v>46132.69782407407</v>
      </c>
      <c r="N1047"/>
      <c r="O1047">
        <v>3888</v>
      </c>
      <c r="P1047" s="4"/>
      <c r="Q1047" s="4">
        <v>46086.71797453704</v>
      </c>
      <c r="R1047"/>
      <c r="S1047">
        <v>0</v>
      </c>
      <c r="T1047" s="4"/>
      <c r="U1047" s="4"/>
      <c r="V1047"/>
      <c r="W1047"/>
      <c r="X1047"/>
      <c r="Y1047" t="inlineStr">
        <is>
          <t>Pending Appointment</t>
        </is>
      </c>
      <c r="Z1047" t="inlineStr">
        <is>
          <t>Hiring Now</t>
        </is>
      </c>
      <c r="AA1047">
        <v>3</v>
      </c>
      <c r="AB1047" t="inlineStr">
        <is>
          <t>No Appointment Made</t>
        </is>
      </c>
      <c r="AC1047"/>
      <c r="AD1047" t="inlineStr">
        <is>
          <t>3 Part-time Sales Consultant – LG Home Appliances</t>
        </is>
      </c>
      <c r="AE1047"/>
      <c r="AF1047">
        <v>0</v>
      </c>
      <c r="AG1047" s="4"/>
      <c r="AH1047" s="4"/>
      <c r="AI1047">
        <v>0</v>
      </c>
      <c r="AJ1047">
        <v>1</v>
      </c>
      <c r="AK1047" t="inlineStr">
        <is>
          <t>No, I don't need at all</t>
        </is>
      </c>
      <c r="AL1047">
        <v>1</v>
      </c>
      <c r="AM1047" t="inlineStr">
        <is>
          <t>No, I don't need at all</t>
        </is>
      </c>
      <c r="AN1047"/>
      <c r="AO1047" t="inlineStr">
        <is>
          <t>No, I don't need at all</t>
        </is>
      </c>
      <c r="AP1047" t="inlineStr">
        <is>
          <t>Once a year (25%)</t>
        </is>
      </c>
      <c r="AQ1047">
        <v>3</v>
      </c>
      <c r="AR1047" t="inlineStr">
        <is>
          <t>Did not use any job portal</t>
        </is>
      </c>
      <c r="AS1047" t="inlineStr">
        <is>
          <t>- Headcount: 3
- Hiring Job Details: 3 Part-time Sales Consultant – LG Home Appliances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is>
      </c>
      <c r="AT1047">
        <v>115</v>
      </c>
      <c r="AU1047" t="inlineStr">
        <is>
          <t>1.15</t>
        </is>
      </c>
      <c r="AV1047" t="inlineStr">
        <is>
          <t>15</t>
        </is>
      </c>
      <c r="AW1047" t="inlineStr">
        <is>
          <t>0</t>
        </is>
      </c>
      <c r="AX1047" t="inlineStr">
        <is>
          <t>Not Qualified</t>
        </is>
      </c>
      <c r="AY1047" s="4"/>
      <c r="AZ1047"/>
      <c r="BA1047"/>
      <c r="BB1047"/>
      <c r="BC1047" t="inlineStr">
        <is>
          <t>WA</t>
        </is>
      </c>
      <c r="BD1047" s="4">
        <v>46134.580509259256</v>
      </c>
      <c r="BE1047" t="inlineStr">
        <is>
          <t>paid</t>
        </is>
      </c>
      <c r="BF1047"/>
      <c r="BG1047" t="inlineStr">
        <is>
          <t>Reschedule</t>
        </is>
      </c>
      <c r="BH1047" t="inlineStr">
        <is>
          <t>Reagen</t>
        </is>
      </c>
      <c r="BI1047" t="inlineStr">
        <is>
          <t>Electrical / Electronics</t>
        </is>
      </c>
      <c r="BJ1047" s="4">
        <v>46144.7559837963</v>
      </c>
      <c r="BK1047" s="4">
        <v>43132.98457175926</v>
      </c>
      <c r="BL1047" t="inlineStr">
        <is>
          <t>0.0</t>
        </is>
      </c>
      <c r="BM1047" t="inlineStr">
        <is>
          <t>0.0</t>
        </is>
      </c>
      <c r="BN1047" t="inlineStr">
        <is>
          <t>View Company Page</t>
        </is>
      </c>
      <c r="BO1047" s="4">
        <v>46132.682233796295</v>
      </c>
      <c r="BP1047">
        <v>167895</v>
      </c>
      <c r="BQ1047">
        <v>116119</v>
      </c>
      <c r="BR1047" t="inlineStr">
        <is>
          <t>Proforma</t>
        </is>
      </c>
      <c r="BS1047" t="inlineStr">
        <is>
          <t>Free Part-Time Job</t>
        </is>
      </c>
      <c r="BT1047"/>
      <c r="BU1047"/>
      <c r="BV1047">
        <v>2720641</v>
      </c>
      <c r="BW1047" t="inlineStr">
        <is>
          <t>No Answer : Voicemail - WA sent to customer</t>
        </is>
      </c>
      <c r="BX1047"/>
      <c r="BY1047"/>
      <c r="BZ1047" s="4"/>
      <c r="CA1047"/>
      <c r="CB1047"/>
      <c r="CC1047" s="4"/>
      <c r="CD1047" t="inlineStr">
        <is>
          <t>20</t>
        </is>
      </c>
      <c r="CE1047" t="inlineStr">
        <is>
          <t>0</t>
        </is>
      </c>
      <c r="CF1047" t="inlineStr">
        <is>
          <t>Q2-W03</t>
        </is>
      </c>
      <c r="CG1047" t="inlineStr">
        <is>
          <t>Q1-W09</t>
        </is>
      </c>
      <c r="CH1047"/>
      <c r="CI1047"/>
      <c r="CJ1047" t="inlineStr">
        <is>
          <t>No Paid</t>
        </is>
      </c>
      <c r="CK1047" t="inlineStr">
        <is>
          <t>Not Eligible</t>
        </is>
      </c>
      <c r="CL1047"/>
      <c r="CM1047"/>
    </row>
    <row r="1048" ht="25.5" customHeight="1">
      <c r="A1048" t="inlineStr">
        <is>
          <t>120316</t>
        </is>
      </c>
      <c r="B1048" s="2"/>
      <c r="C1048"/>
      <c r="D1048" s="3">
        <v>46132.71425925926</v>
      </c>
      <c r="E1048" t="inlineStr">
        <is>
          <t>Q2-W03</t>
        </is>
      </c>
      <c r="F1048" t="inlineStr">
        <is>
          <t>Jia Hui</t>
        </is>
      </c>
      <c r="G1048" t="inlineStr">
        <is>
          <t>Customer</t>
        </is>
      </c>
      <c r="H1048" s="2" t="str">
        <f>=HYPERLINK("https://upbox.ajobthing.my/customer/120316", "https://upbox.ajobthing.my/customer/120316")</f>
        <v>https://upbox.ajobthing.my/customer/120316</v>
      </c>
      <c r="I1048" t="inlineStr">
        <is>
          <t>Sing Huat Motors Sdn Bhd</t>
        </is>
      </c>
      <c r="J1048" t="inlineStr">
        <is>
          <t>Small Fish</t>
        </is>
      </c>
      <c r="K1048" t="inlineStr">
        <is>
          <t>Jia Hui</t>
        </is>
      </c>
      <c r="L1048" s="4"/>
      <c r="M1048" s="4">
        <v>46132.71460648148</v>
      </c>
      <c r="N1048"/>
      <c r="O1048">
        <v>6048</v>
      </c>
      <c r="P1048" s="4"/>
      <c r="Q1048" s="4">
        <v>44259.72697916667</v>
      </c>
      <c r="R1048"/>
      <c r="S1048">
        <v>185.5</v>
      </c>
      <c r="T1048" s="4">
        <v>44259.72697916667</v>
      </c>
      <c r="U1048" s="4"/>
      <c r="V1048"/>
      <c r="W1048">
        <v>185.5</v>
      </c>
      <c r="X1048"/>
      <c r="Y1048" t="inlineStr">
        <is>
          <t>Pending Appointment</t>
        </is>
      </c>
      <c r="Z1048" t="inlineStr">
        <is>
          <t>Hiring Now</t>
        </is>
      </c>
      <c r="AA1048">
        <v>2</v>
      </c>
      <c r="AB1048" t="inlineStr">
        <is>
          <t>No Appointment Made</t>
        </is>
      </c>
      <c r="AC1048"/>
      <c r="AD1048" t="inlineStr">
        <is>
          <t>1 admin, 1 sales</t>
        </is>
      </c>
      <c r="AE1048"/>
      <c r="AF1048">
        <v>500</v>
      </c>
      <c r="AG1048" s="4"/>
      <c r="AH1048" s="4"/>
      <c r="AI1048"/>
      <c r="AJ1048"/>
      <c r="AK1048" t="inlineStr">
        <is>
          <t>No, but I want in future</t>
        </is>
      </c>
      <c r="AL1048"/>
      <c r="AM1048"/>
      <c r="AN1048"/>
      <c r="AO1048"/>
      <c r="AP1048" t="inlineStr">
        <is>
          <t>Once a year (25%)</t>
        </is>
      </c>
      <c r="AQ1048"/>
      <c r="AR1048"/>
      <c r="AS1048" t="inlineStr">
        <is>
          <t>- Headcount: 2
- Hiring Job Details: 1 admin, 1 sales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is>
      </c>
      <c r="AT1048">
        <v>85</v>
      </c>
      <c r="AU1048" t="inlineStr">
        <is>
          <t>0.85</t>
        </is>
      </c>
      <c r="AV1048" t="inlineStr">
        <is>
          <t>15</t>
        </is>
      </c>
      <c r="AW1048" t="inlineStr">
        <is>
          <t>0</t>
        </is>
      </c>
      <c r="AX1048" t="inlineStr">
        <is>
          <t>Not Qualified</t>
        </is>
      </c>
      <c r="AY1048" s="4"/>
      <c r="AZ1048"/>
      <c r="BA1048"/>
      <c r="BB1048"/>
      <c r="BC1048" t="inlineStr">
        <is>
          <t>already fulfilled the position</t>
        </is>
      </c>
      <c r="BD1048" s="4">
        <v>46135.61651620371</v>
      </c>
      <c r="BE1048" t="inlineStr">
        <is>
          <t>paid</t>
        </is>
      </c>
      <c r="BF1048"/>
      <c r="BG1048" t="inlineStr">
        <is>
          <t>Reschedule</t>
        </is>
      </c>
      <c r="BH1048" t="inlineStr">
        <is>
          <t>Reagen</t>
        </is>
      </c>
      <c r="BI1048" t="inlineStr">
        <is>
          <t>Automobile / Automotive</t>
        </is>
      </c>
      <c r="BJ1048" s="4">
        <v>46144.750231481485</v>
      </c>
      <c r="BK1048" s="4">
        <v>43669.39371527778</v>
      </c>
      <c r="BL1048" t="inlineStr">
        <is>
          <t>0.0</t>
        </is>
      </c>
      <c r="BM1048" t="inlineStr">
        <is>
          <t>0.0</t>
        </is>
      </c>
      <c r="BN1048" t="inlineStr">
        <is>
          <t>View Create Job Page V4</t>
        </is>
      </c>
      <c r="BO1048" s="4">
        <v>46031.638703703706</v>
      </c>
      <c r="BP1048">
        <v>167904</v>
      </c>
      <c r="BQ1048">
        <v>30863</v>
      </c>
      <c r="BR1048" t="inlineStr">
        <is>
          <t>Online</t>
        </is>
      </c>
      <c r="BS1048"/>
      <c r="BT1048">
        <v>30863</v>
      </c>
      <c r="BU1048"/>
      <c r="BV1048">
        <v>2723746</v>
      </c>
      <c r="BW1048" t="inlineStr">
        <is>
          <t>Inquire for Hiring Needs : No Hiring</t>
        </is>
      </c>
      <c r="BX1048"/>
      <c r="BY1048"/>
      <c r="BZ1048" s="4"/>
      <c r="CA1048"/>
      <c r="CB1048"/>
      <c r="CC1048" s="4"/>
      <c r="CD1048" t="inlineStr">
        <is>
          <t>20</t>
        </is>
      </c>
      <c r="CE1048" t="inlineStr">
        <is>
          <t>0</t>
        </is>
      </c>
      <c r="CF1048" t="inlineStr">
        <is>
          <t>Q2-W03</t>
        </is>
      </c>
      <c r="CG1048"/>
      <c r="CH1048"/>
      <c r="CI1048"/>
      <c r="CJ1048" t="inlineStr">
        <is>
          <t>Paid</t>
        </is>
      </c>
      <c r="CK1048" t="inlineStr">
        <is>
          <t>Not Eligible</t>
        </is>
      </c>
      <c r="CL1048"/>
      <c r="CM1048"/>
    </row>
    <row r="1049" ht="25.5" customHeight="1">
      <c r="A1049" t="inlineStr">
        <is>
          <t>115572</t>
        </is>
      </c>
      <c r="B1049" s="2"/>
      <c r="C1049"/>
      <c r="D1049" s="3">
        <v>46132.735555555555</v>
      </c>
      <c r="E1049" t="inlineStr">
        <is>
          <t>Q2-W03</t>
        </is>
      </c>
      <c r="F1049" t="inlineStr">
        <is>
          <t>Jia Hui</t>
        </is>
      </c>
      <c r="G1049" t="inlineStr">
        <is>
          <t>Customer</t>
        </is>
      </c>
      <c r="H1049" s="2" t="str">
        <f>=HYPERLINK("https://upbox.ajobthing.my/customer/115572", "https://upbox.ajobthing.my/customer/115572")</f>
        <v>https://upbox.ajobthing.my/customer/115572</v>
      </c>
      <c r="I1049" t="inlineStr">
        <is>
          <t>Pro Tech Computer And Services</t>
        </is>
      </c>
      <c r="J1049" t="inlineStr">
        <is>
          <t>Small Fish</t>
        </is>
      </c>
      <c r="K1049" t="inlineStr">
        <is>
          <t>Jia Hui</t>
        </is>
      </c>
      <c r="L1049" s="4"/>
      <c r="M1049" s="4">
        <v>46132.73583333333</v>
      </c>
      <c r="N1049"/>
      <c r="O1049">
        <v>3888</v>
      </c>
      <c r="P1049" s="4"/>
      <c r="Q1049" s="4"/>
      <c r="R1049"/>
      <c r="S1049"/>
      <c r="T1049" s="4"/>
      <c r="U1049" s="4"/>
      <c r="V1049"/>
      <c r="W1049"/>
      <c r="X1049"/>
      <c r="Y1049" t="inlineStr">
        <is>
          <t>Pending Appointment</t>
        </is>
      </c>
      <c r="Z1049" t="inlineStr">
        <is>
          <t>Hiring Now</t>
        </is>
      </c>
      <c r="AA1049">
        <v>1</v>
      </c>
      <c r="AB1049" t="inlineStr">
        <is>
          <t>No Appointment Made</t>
        </is>
      </c>
      <c r="AC1049"/>
      <c r="AD1049" t="inlineStr">
        <is>
          <t>1 technician</t>
        </is>
      </c>
      <c r="AE1049"/>
      <c r="AF1049">
        <v>500</v>
      </c>
      <c r="AG1049" s="4"/>
      <c r="AH1049" s="4"/>
      <c r="AI1049"/>
      <c r="AJ1049"/>
      <c r="AK1049" t="inlineStr">
        <is>
          <t>No, but I want in future</t>
        </is>
      </c>
      <c r="AL1049"/>
      <c r="AM1049"/>
      <c r="AN1049"/>
      <c r="AO1049"/>
      <c r="AP1049" t="inlineStr">
        <is>
          <t>Once a year (25%)</t>
        </is>
      </c>
      <c r="AQ1049"/>
      <c r="AR1049"/>
      <c r="AS1049" t="inlineStr">
        <is>
          <t>- Headcount: 1
- Hiring Job Details: 1 technician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is>
      </c>
      <c r="AT1049">
        <v>75</v>
      </c>
      <c r="AU1049" t="inlineStr">
        <is>
          <t>0.75</t>
        </is>
      </c>
      <c r="AV1049" t="inlineStr">
        <is>
          <t>15</t>
        </is>
      </c>
      <c r="AW1049" t="inlineStr">
        <is>
          <t>0</t>
        </is>
      </c>
      <c r="AX1049" t="inlineStr">
        <is>
          <t>Not Qualified</t>
        </is>
      </c>
      <c r="AY1049" s="4"/>
      <c r="AZ1049"/>
      <c r="BA1049"/>
      <c r="BB1049"/>
      <c r="BC1049" t="inlineStr">
        <is>
          <t>pending decision</t>
        </is>
      </c>
      <c r="BD1049" s="4">
        <v>46134.57616898148</v>
      </c>
      <c r="BE1049"/>
      <c r="BF1049"/>
      <c r="BG1049" t="inlineStr">
        <is>
          <t>Reschedule</t>
        </is>
      </c>
      <c r="BH1049" t="inlineStr">
        <is>
          <t>Reagen</t>
        </is>
      </c>
      <c r="BI1049"/>
      <c r="BJ1049" s="4">
        <v>46144.75016203704</v>
      </c>
      <c r="BK1049" s="4">
        <v>43497.192766203705</v>
      </c>
      <c r="BL1049" t="inlineStr">
        <is>
          <t>0.0</t>
        </is>
      </c>
      <c r="BM1049" t="inlineStr">
        <is>
          <t>0.0</t>
        </is>
      </c>
      <c r="BN1049" t="inlineStr">
        <is>
          <t>View Shop</t>
        </is>
      </c>
      <c r="BO1049" s="4">
        <v>43497.20980324074</v>
      </c>
      <c r="BP1049">
        <v>167907</v>
      </c>
      <c r="BQ1049"/>
      <c r="BR1049"/>
      <c r="BS1049"/>
      <c r="BT1049"/>
      <c r="BU1049"/>
      <c r="BV1049">
        <v>2720590</v>
      </c>
      <c r="BW1049" t="inlineStr">
        <is>
          <t>Follow Up : Decision Pending</t>
        </is>
      </c>
      <c r="BX1049"/>
      <c r="BY1049"/>
      <c r="BZ1049" s="4"/>
      <c r="CA1049"/>
      <c r="CB1049"/>
      <c r="CC1049" s="4"/>
      <c r="CD1049" t="inlineStr">
        <is>
          <t>20</t>
        </is>
      </c>
      <c r="CE1049" t="inlineStr">
        <is>
          <t>0</t>
        </is>
      </c>
      <c r="CF1049" t="inlineStr">
        <is>
          <t>Q2-W03</t>
        </is>
      </c>
      <c r="CG1049"/>
      <c r="CH1049"/>
      <c r="CI1049"/>
      <c r="CJ1049" t="inlineStr">
        <is>
          <t>No Paid</t>
        </is>
      </c>
      <c r="CK1049" t="inlineStr">
        <is>
          <t>Not Eligible</t>
        </is>
      </c>
      <c r="CL1049"/>
      <c r="CM1049"/>
    </row>
    <row r="1050" ht="25.5" customHeight="1">
      <c r="A1050" t="inlineStr">
        <is>
          <t>203446</t>
        </is>
      </c>
      <c r="B1050" s="2"/>
      <c r="C1050"/>
      <c r="D1050" s="3">
        <v>46132.736226851855</v>
      </c>
      <c r="E1050" t="inlineStr">
        <is>
          <t>Q2-W03</t>
        </is>
      </c>
      <c r="F1050" t="inlineStr">
        <is>
          <t>Xin Quan</t>
        </is>
      </c>
      <c r="G1050" t="inlineStr">
        <is>
          <t>Customer</t>
        </is>
      </c>
      <c r="H1050" s="2" t="str">
        <f>=HYPERLINK("https://upbox.ajobthing.my/customer/203446", "https://upbox.ajobthing.my/customer/203446")</f>
        <v>https://upbox.ajobthing.my/customer/203446</v>
      </c>
      <c r="I1050" t="inlineStr">
        <is>
          <t>DCS Lifestyle Sdn Bhd</t>
        </is>
      </c>
      <c r="J1050" t="inlineStr">
        <is>
          <t>Small Fish</t>
        </is>
      </c>
      <c r="K1050" t="inlineStr">
        <is>
          <t>Xin Quan</t>
        </is>
      </c>
      <c r="L1050" s="4"/>
      <c r="M1050" s="4">
        <v>46132.736354166664</v>
      </c>
      <c r="N1050"/>
      <c r="O1050">
        <v>3888</v>
      </c>
      <c r="P1050" s="4"/>
      <c r="Q1050" s="4"/>
      <c r="R1050"/>
      <c r="S1050"/>
      <c r="T1050" s="4"/>
      <c r="U1050" s="4"/>
      <c r="V1050"/>
      <c r="W1050"/>
      <c r="X1050"/>
      <c r="Y1050" t="inlineStr">
        <is>
          <t>Pending Appointment</t>
        </is>
      </c>
      <c r="Z1050" t="inlineStr">
        <is>
          <t>Hiring Now</t>
        </is>
      </c>
      <c r="AA1050">
        <v>1</v>
      </c>
      <c r="AB1050" t="inlineStr">
        <is>
          <t>No Appointment Made</t>
        </is>
      </c>
      <c r="AC1050"/>
      <c r="AD1050" t="inlineStr">
        <is>
          <t>1 Sales , Base in KL</t>
        </is>
      </c>
      <c r="AE1050"/>
      <c r="AF1050">
        <v>2000</v>
      </c>
      <c r="AG1050" s="4"/>
      <c r="AH1050" s="4"/>
      <c r="AI1050">
        <v>24000</v>
      </c>
      <c r="AJ1050">
        <v>1</v>
      </c>
      <c r="AK1050" t="inlineStr">
        <is>
          <t>No, I don't need at all</t>
        </is>
      </c>
      <c r="AL1050">
        <v>1</v>
      </c>
      <c r="AM1050" t="inlineStr">
        <is>
          <t>No, I don't need at all</t>
        </is>
      </c>
      <c r="AN1050"/>
      <c r="AO1050" t="inlineStr">
        <is>
          <t>No, I don't need at all</t>
        </is>
      </c>
      <c r="AP1050" t="inlineStr">
        <is>
          <t>Once a year (25%)</t>
        </is>
      </c>
      <c r="AQ1050">
        <v>6</v>
      </c>
      <c r="AR1050"/>
      <c r="AS1050" t="inlineStr">
        <is>
          <t>- Headcount: 1
- Hiring Job Details: 1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6
- Hiring frequency: Once a year (25%)
- External job portal: None</t>
        </is>
      </c>
      <c r="AT1050">
        <v>105</v>
      </c>
      <c r="AU1050" t="inlineStr">
        <is>
          <t>1.05</t>
        </is>
      </c>
      <c r="AV1050" t="inlineStr">
        <is>
          <t>15</t>
        </is>
      </c>
      <c r="AW1050" t="inlineStr">
        <is>
          <t>0</t>
        </is>
      </c>
      <c r="AX1050" t="inlineStr">
        <is>
          <t>Not Qualified</t>
        </is>
      </c>
      <c r="AY1050" s="4"/>
      <c r="AZ1050"/>
      <c r="BA1050"/>
      <c r="BB1050"/>
      <c r="BC1050" t="inlineStr">
        <is>
          <t>NH , No need</t>
        </is>
      </c>
      <c r="BD1050" s="4">
        <v>46142.61306712963</v>
      </c>
      <c r="BE1050"/>
      <c r="BF1050"/>
      <c r="BG1050" t="inlineStr">
        <is>
          <t>Reschedule</t>
        </is>
      </c>
      <c r="BH1050" t="inlineStr">
        <is>
          <t>Edward Hoo</t>
        </is>
      </c>
      <c r="BI1050"/>
      <c r="BJ1050" s="4">
        <v>46144.75430555556</v>
      </c>
      <c r="BK1050" s="4">
        <v>46132.73478009259</v>
      </c>
      <c r="BL1050" t="inlineStr">
        <is>
          <t>0.0</t>
        </is>
      </c>
      <c r="BM1050" t="inlineStr">
        <is>
          <t>0.0</t>
        </is>
      </c>
      <c r="BN1050"/>
      <c r="BO1050" s="4"/>
      <c r="BP1050">
        <v>167908</v>
      </c>
      <c r="BQ1050"/>
      <c r="BR1050"/>
      <c r="BS1050"/>
      <c r="BT1050"/>
      <c r="BU1050"/>
      <c r="BV1050">
        <v>2737771</v>
      </c>
      <c r="BW1050" t="inlineStr">
        <is>
          <t>Inquire for Hiring Needs : No Hiring</t>
        </is>
      </c>
      <c r="BX1050"/>
      <c r="BY1050"/>
      <c r="BZ1050" s="4"/>
      <c r="CA1050"/>
      <c r="CB1050"/>
      <c r="CC1050" s="4"/>
      <c r="CD1050" t="inlineStr">
        <is>
          <t>20</t>
        </is>
      </c>
      <c r="CE1050" t="inlineStr">
        <is>
          <t>0</t>
        </is>
      </c>
      <c r="CF1050" t="inlineStr">
        <is>
          <t>Q2-W03</t>
        </is>
      </c>
      <c r="CG1050"/>
      <c r="CH1050"/>
      <c r="CI1050"/>
      <c r="CJ1050" t="inlineStr">
        <is>
          <t>No Paid</t>
        </is>
      </c>
      <c r="CK1050" t="inlineStr">
        <is>
          <t>Not Eligible</t>
        </is>
      </c>
      <c r="CL1050"/>
      <c r="CM1050"/>
    </row>
    <row r="1051" ht="25.5" customHeight="1">
      <c r="A1051" t="inlineStr">
        <is>
          <t>203239</t>
        </is>
      </c>
      <c r="B1051" s="2"/>
      <c r="C1051"/>
      <c r="D1051" s="3">
        <v>46132.76050925926</v>
      </c>
      <c r="E1051" t="inlineStr">
        <is>
          <t>Q2-W03</t>
        </is>
      </c>
      <c r="F1051" t="inlineStr">
        <is>
          <t>Angel  Low</t>
        </is>
      </c>
      <c r="G1051" t="inlineStr">
        <is>
          <t>Customer</t>
        </is>
      </c>
      <c r="H1051" s="2" t="str">
        <f>=HYPERLINK("https://upbox.ajobthing.my/customer/203239", "https://upbox.ajobthing.my/customer/203239")</f>
        <v>https://upbox.ajobthing.my/customer/203239</v>
      </c>
      <c r="I1051" t="inlineStr">
        <is>
          <t>Autowash24 Pte Ltd</t>
        </is>
      </c>
      <c r="J1051" t="inlineStr">
        <is>
          <t>Small Fish</t>
        </is>
      </c>
      <c r="K1051" t="inlineStr">
        <is>
          <t>Angel Low</t>
        </is>
      </c>
      <c r="L1051" s="4"/>
      <c r="M1051" s="4">
        <v>46132.761087962965</v>
      </c>
      <c r="N1051"/>
      <c r="O1051">
        <v>5508</v>
      </c>
      <c r="P1051" s="4"/>
      <c r="Q1051" s="4"/>
      <c r="R1051"/>
      <c r="S1051"/>
      <c r="T1051" s="4"/>
      <c r="U1051" s="4"/>
      <c r="V1051"/>
      <c r="W1051"/>
      <c r="X1051"/>
      <c r="Y1051" t="inlineStr">
        <is>
          <t>Pending Appointment</t>
        </is>
      </c>
      <c r="Z1051"/>
      <c r="AA1051">
        <v>3</v>
      </c>
      <c r="AB1051" t="inlineStr">
        <is>
          <t>No Appointment Made</t>
        </is>
      </c>
      <c r="AC1051"/>
      <c r="AD1051" t="inlineStr">
        <is>
          <t xml:space="preserve">3 washer singapore </t>
        </is>
      </c>
      <c r="AE1051"/>
      <c r="AF1051"/>
      <c r="AG1051" s="4"/>
      <c r="AH1051" s="4"/>
      <c r="AI1051"/>
      <c r="AJ1051"/>
      <c r="AK1051"/>
      <c r="AL1051"/>
      <c r="AM1051"/>
      <c r="AN1051"/>
      <c r="AO1051"/>
      <c r="AP1051"/>
      <c r="AQ1051"/>
      <c r="AR1051"/>
      <c r="AS1051" t="inlineStr">
        <is>
          <t>- Headcount: 3
- Hiring Job Details: 3 washer singapore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051">
        <v>25</v>
      </c>
      <c r="AU1051" t="inlineStr">
        <is>
          <t>0.25</t>
        </is>
      </c>
      <c r="AV1051" t="inlineStr">
        <is>
          <t>5</t>
        </is>
      </c>
      <c r="AW1051" t="inlineStr">
        <is>
          <t>0</t>
        </is>
      </c>
      <c r="AX1051" t="inlineStr">
        <is>
          <t>Not Qualified</t>
        </is>
      </c>
      <c r="AY1051" s="4"/>
      <c r="AZ1051"/>
      <c r="BA1051"/>
      <c r="BB1051"/>
      <c r="BC1051" t="inlineStr">
        <is>
          <t>pending</t>
        </is>
      </c>
      <c r="BD1051" s="4">
        <v>46141.63958333333</v>
      </c>
      <c r="BE1051"/>
      <c r="BF1051"/>
      <c r="BG1051" t="inlineStr">
        <is>
          <t>Reschedule</t>
        </is>
      </c>
      <c r="BH1051" t="inlineStr">
        <is>
          <t>Fauziah Maharan</t>
        </is>
      </c>
      <c r="BI1051"/>
      <c r="BJ1051" s="4">
        <v>46144.75425925926</v>
      </c>
      <c r="BK1051" s="4">
        <v>46126.99989583333</v>
      </c>
      <c r="BL1051" t="inlineStr">
        <is>
          <t>0.0</t>
        </is>
      </c>
      <c r="BM1051" t="inlineStr">
        <is>
          <t>0.0</t>
        </is>
      </c>
      <c r="BN1051" t="inlineStr">
        <is>
          <t>View Company Page</t>
        </is>
      </c>
      <c r="BO1051" s="4">
        <v>46127.001493055555</v>
      </c>
      <c r="BP1051">
        <v>167917</v>
      </c>
      <c r="BQ1051"/>
      <c r="BR1051"/>
      <c r="BS1051"/>
      <c r="BT1051"/>
      <c r="BU1051"/>
      <c r="BV1051">
        <v>2735603</v>
      </c>
      <c r="BW1051" t="inlineStr">
        <is>
          <t>Follow Up : Decision Pending</t>
        </is>
      </c>
      <c r="BX1051"/>
      <c r="BY1051"/>
      <c r="BZ1051" s="4"/>
      <c r="CA1051"/>
      <c r="CB1051"/>
      <c r="CC1051" s="4"/>
      <c r="CD1051" t="inlineStr">
        <is>
          <t>5</t>
        </is>
      </c>
      <c r="CE1051" t="inlineStr">
        <is>
          <t>0</t>
        </is>
      </c>
      <c r="CF1051" t="inlineStr">
        <is>
          <t>Q2-W03</t>
        </is>
      </c>
      <c r="CG1051"/>
      <c r="CH1051"/>
      <c r="CI1051"/>
      <c r="CJ1051" t="inlineStr">
        <is>
          <t>No Paid</t>
        </is>
      </c>
      <c r="CK1051" t="inlineStr">
        <is>
          <t>Not Eligible</t>
        </is>
      </c>
      <c r="CL1051"/>
      <c r="CM1051"/>
    </row>
    <row r="1052" ht="25.5" customHeight="1">
      <c r="A1052" t="inlineStr">
        <is>
          <t>4126798</t>
        </is>
      </c>
      <c r="B1052" s="2"/>
      <c r="C1052"/>
      <c r="D1052" s="3">
        <v>46132.76247685185</v>
      </c>
      <c r="E1052" t="inlineStr">
        <is>
          <t>Q2-W03</t>
        </is>
      </c>
      <c r="F1052" t="inlineStr">
        <is>
          <t>Derek Lim</t>
        </is>
      </c>
      <c r="G1052" t="inlineStr">
        <is>
          <t>Lead</t>
        </is>
      </c>
      <c r="H1052" s="2" t="str">
        <f>=HYPERLINK("https://upbox.ajobthing.my/leads/4126798", "https://upbox.ajobthing.my/leads/4126798")</f>
        <v>https://upbox.ajobthing.my/leads/4126798</v>
      </c>
      <c r="I1052" t="inlineStr">
        <is>
          <t>Super cowboy Trading sdn bhd</t>
        </is>
      </c>
      <c r="J1052" t="inlineStr">
        <is>
          <t>Small Fish</t>
        </is>
      </c>
      <c r="K1052" t="inlineStr">
        <is>
          <t>Derek Lim</t>
        </is>
      </c>
      <c r="L1052" s="4"/>
      <c r="M1052" s="4">
        <v>46132.76268518518</v>
      </c>
      <c r="N1052"/>
      <c r="O1052">
        <v>6048</v>
      </c>
      <c r="P1052" s="4"/>
      <c r="Q1052" s="4"/>
      <c r="R1052"/>
      <c r="S1052"/>
      <c r="T1052" s="4"/>
      <c r="U1052" s="4"/>
      <c r="V1052"/>
      <c r="W1052"/>
      <c r="X1052"/>
      <c r="Y1052" t="inlineStr">
        <is>
          <t>Pending Appointment</t>
        </is>
      </c>
      <c r="Z1052" t="inlineStr">
        <is>
          <t>Hiring Now</t>
        </is>
      </c>
      <c r="AA1052">
        <v>3</v>
      </c>
      <c r="AB1052" t="inlineStr">
        <is>
          <t>No Appointment Made</t>
        </is>
      </c>
      <c r="AC1052"/>
      <c r="AD1052" t="inlineStr">
        <is>
          <t>cashier - 1, technician -1, general worker - 1</t>
        </is>
      </c>
      <c r="AE1052"/>
      <c r="AF1052">
        <v>1000</v>
      </c>
      <c r="AG1052" s="4"/>
      <c r="AH1052" s="4"/>
      <c r="AI1052">
        <v>0</v>
      </c>
      <c r="AJ1052">
        <v>1</v>
      </c>
      <c r="AK1052" t="inlineStr">
        <is>
          <t>No, I don't need at all</t>
        </is>
      </c>
      <c r="AL1052">
        <v>0</v>
      </c>
      <c r="AM1052" t="inlineStr">
        <is>
          <t>No, I don't need at all</t>
        </is>
      </c>
      <c r="AN1052"/>
      <c r="AO1052" t="inlineStr">
        <is>
          <t>No, I don't need at all</t>
        </is>
      </c>
      <c r="AP1052" t="inlineStr">
        <is>
          <t>Once a year (25%)</t>
        </is>
      </c>
      <c r="AQ1052">
        <v>3</v>
      </c>
      <c r="AR1052" t="inlineStr">
        <is>
          <t>Jobstreet</t>
        </is>
      </c>
      <c r="AS1052" t="inlineStr">
        <is>
          <t>- Headcount: Not specified.
- Hiring Job Details: 1 cashier, 1 technician, 1 general worker.
- Hiring Urgency: Hiring Now.
- Number of outlets: 1.
- Have recruiter team: No, I don't need at all.
- Number of recruiter in company: 0.
- Have ATS system: No, I don't need at all.
- Have career website: No, I don't need at all.
- Current hiring budget: RM1,000.
- Whole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 year</t>
        </is>
      </c>
      <c r="AT1052">
        <v>105</v>
      </c>
      <c r="AU1052" t="inlineStr">
        <is>
          <t>1.05</t>
        </is>
      </c>
      <c r="AV1052" t="inlineStr">
        <is>
          <t>15</t>
        </is>
      </c>
      <c r="AW1052" t="inlineStr">
        <is>
          <t>0</t>
        </is>
      </c>
      <c r="AX1052" t="inlineStr">
        <is>
          <t>Not Qualified</t>
        </is>
      </c>
      <c r="AY1052" s="4"/>
      <c r="AZ1052"/>
      <c r="BA1052"/>
      <c r="BB1052"/>
      <c r="BC1052"/>
      <c r="BD1052" s="4"/>
      <c r="BE1052"/>
      <c r="BF1052"/>
      <c r="BG1052" t="inlineStr">
        <is>
          <t>Reschedule</t>
        </is>
      </c>
      <c r="BH1052" t="inlineStr">
        <is>
          <t>Edward Hoo</t>
        </is>
      </c>
      <c r="BI1052"/>
      <c r="BJ1052" s="4">
        <v>46144.75541666667</v>
      </c>
      <c r="BK1052" s="4">
        <v>46085.363912037035</v>
      </c>
      <c r="BL1052" t="inlineStr">
        <is>
          <t>0.0</t>
        </is>
      </c>
      <c r="BM1052" t="inlineStr">
        <is>
          <t>0.0</t>
        </is>
      </c>
      <c r="BN1052"/>
      <c r="BO1052" s="4"/>
      <c r="BP1052">
        <v>167918</v>
      </c>
      <c r="BQ1052"/>
      <c r="BR1052"/>
      <c r="BS1052"/>
      <c r="BT1052"/>
      <c r="BU1052"/>
      <c r="BV1052"/>
      <c r="BW1052"/>
      <c r="BX1052"/>
      <c r="BY1052"/>
      <c r="BZ1052" s="4"/>
      <c r="CA1052"/>
      <c r="CB1052"/>
      <c r="CC1052" s="4"/>
      <c r="CD1052" t="inlineStr">
        <is>
          <t>20</t>
        </is>
      </c>
      <c r="CE1052" t="inlineStr">
        <is>
          <t>0</t>
        </is>
      </c>
      <c r="CF1052" t="inlineStr">
        <is>
          <t>Q2-W03</t>
        </is>
      </c>
      <c r="CG1052"/>
      <c r="CH1052"/>
      <c r="CI1052"/>
      <c r="CJ1052" t="inlineStr">
        <is>
          <t>No Paid</t>
        </is>
      </c>
      <c r="CK1052" t="inlineStr">
        <is>
          <t>Not Eligible</t>
        </is>
      </c>
      <c r="CL1052"/>
      <c r="CM1052"/>
    </row>
    <row r="1053" ht="25.5" customHeight="1">
      <c r="A1053" t="inlineStr">
        <is>
          <t>189805</t>
        </is>
      </c>
      <c r="B1053" s="2"/>
      <c r="C1053"/>
      <c r="D1053" s="3">
        <v>46132.792083333334</v>
      </c>
      <c r="E1053" t="inlineStr">
        <is>
          <t>Q2-W03</t>
        </is>
      </c>
      <c r="F1053" t="inlineStr">
        <is>
          <t>Clover</t>
        </is>
      </c>
      <c r="G1053" t="inlineStr">
        <is>
          <t>Customer</t>
        </is>
      </c>
      <c r="H1053" s="2" t="str">
        <f>=HYPERLINK("https://upbox.ajobthing.my/customer/189805", "https://upbox.ajobthing.my/customer/189805")</f>
        <v>https://upbox.ajobthing.my/customer/189805</v>
      </c>
      <c r="I1053" t="inlineStr">
        <is>
          <t xml:space="preserve">Agensi Pekerjaan Excel Topchoice </t>
        </is>
      </c>
      <c r="J1053" t="inlineStr">
        <is>
          <t>Small Fish</t>
        </is>
      </c>
      <c r="K1053" t="inlineStr">
        <is>
          <t>Clover</t>
        </is>
      </c>
      <c r="L1053" s="4"/>
      <c r="M1053" s="4">
        <v>46132.794652777775</v>
      </c>
      <c r="N1053"/>
      <c r="O1053">
        <v>3888</v>
      </c>
      <c r="P1053" s="4"/>
      <c r="Q1053" s="4"/>
      <c r="R1053"/>
      <c r="S1053"/>
      <c r="T1053" s="4"/>
      <c r="U1053" s="4"/>
      <c r="V1053"/>
      <c r="W1053"/>
      <c r="X1053"/>
      <c r="Y1053" t="inlineStr">
        <is>
          <t>Pending Appointment</t>
        </is>
      </c>
      <c r="Z1053" t="inlineStr">
        <is>
          <t>Hiring Now</t>
        </is>
      </c>
      <c r="AA1053">
        <v>3</v>
      </c>
      <c r="AB1053" t="inlineStr">
        <is>
          <t>No Appointment Made</t>
        </is>
      </c>
      <c r="AC1053"/>
      <c r="AD1053" t="inlineStr">
        <is>
          <t>Hire QA x1-2, technician x1, all races, agency johor, try indeed, ask for free, share promo</t>
        </is>
      </c>
      <c r="AE1053"/>
      <c r="AF1053">
        <v>3000</v>
      </c>
      <c r="AG1053" s="4"/>
      <c r="AH1053" s="4"/>
      <c r="AI1053">
        <v>3000</v>
      </c>
      <c r="AJ1053">
        <v>1</v>
      </c>
      <c r="AK1053" t="inlineStr">
        <is>
          <t>No, but I want in future</t>
        </is>
      </c>
      <c r="AL1053">
        <v>1</v>
      </c>
      <c r="AM1053" t="inlineStr">
        <is>
          <t>No, but I want in future</t>
        </is>
      </c>
      <c r="AN1053"/>
      <c r="AO1053" t="inlineStr">
        <is>
          <t>No, but I want in future</t>
        </is>
      </c>
      <c r="AP1053" t="inlineStr">
        <is>
          <t>Twice a year (50%)</t>
        </is>
      </c>
      <c r="AQ1053">
        <v>3</v>
      </c>
      <c r="AR1053" t="inlineStr">
        <is>
          <t>Free Job Portal</t>
        </is>
      </c>
      <c r="AS1053" t="inlineStr">
        <is>
          <t>- Headcount: 3
- Hiring Job Details: Hire QA x1-2, technician x1, all races, agency johor, try indeed, ask for free, share promo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Free Job Portal</t>
        </is>
      </c>
      <c r="AT1053">
        <v>105</v>
      </c>
      <c r="AU1053" t="inlineStr">
        <is>
          <t>1.05</t>
        </is>
      </c>
      <c r="AV1053" t="inlineStr">
        <is>
          <t>15</t>
        </is>
      </c>
      <c r="AW1053" t="inlineStr">
        <is>
          <t>0</t>
        </is>
      </c>
      <c r="AX1053" t="inlineStr">
        <is>
          <t>Not Qualified</t>
        </is>
      </c>
      <c r="AY1053" s="4"/>
      <c r="AZ1053"/>
      <c r="BA1053"/>
      <c r="BB1053"/>
      <c r="BC1053" t="inlineStr">
        <is>
          <t>- Headcount: 3
- Hiring Job Details: Hire QA x1-2, technician x1, all races, agency johor, try indeed, ask for free, share promo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Free Job Portal</t>
        </is>
      </c>
      <c r="BD1053" s="4">
        <v>46132.83337962963</v>
      </c>
      <c r="BE1053"/>
      <c r="BF1053"/>
      <c r="BG1053" t="inlineStr">
        <is>
          <t>Reschedule</t>
        </is>
      </c>
      <c r="BH1053" t="inlineStr">
        <is>
          <t>Reagen</t>
        </is>
      </c>
      <c r="BI1053" t="inlineStr">
        <is>
          <t>HR Mgmt / Consulting</t>
        </is>
      </c>
      <c r="BJ1053" s="4">
        <v>46144.75232638889</v>
      </c>
      <c r="BK1053" s="4">
        <v>45757.39449074074</v>
      </c>
      <c r="BL1053" t="inlineStr">
        <is>
          <t>0.0</t>
        </is>
      </c>
      <c r="BM1053" t="inlineStr">
        <is>
          <t>0.0</t>
        </is>
      </c>
      <c r="BN1053" t="inlineStr">
        <is>
          <t>View Company Page</t>
        </is>
      </c>
      <c r="BO1053" s="4">
        <v>45841.38421296296</v>
      </c>
      <c r="BP1053">
        <v>167922</v>
      </c>
      <c r="BQ1053"/>
      <c r="BR1053"/>
      <c r="BS1053"/>
      <c r="BT1053"/>
      <c r="BU1053"/>
      <c r="BV1053">
        <v>2716800</v>
      </c>
      <c r="BW1053" t="inlineStr">
        <is>
          <t>Customer Inquiry</t>
        </is>
      </c>
      <c r="BX1053"/>
      <c r="BY1053"/>
      <c r="BZ1053" s="4"/>
      <c r="CA1053"/>
      <c r="CB1053"/>
      <c r="CC1053" s="4"/>
      <c r="CD1053" t="inlineStr">
        <is>
          <t>20</t>
        </is>
      </c>
      <c r="CE1053" t="inlineStr">
        <is>
          <t>0</t>
        </is>
      </c>
      <c r="CF1053" t="inlineStr">
        <is>
          <t>Q2-W03</t>
        </is>
      </c>
      <c r="CG1053"/>
      <c r="CH1053"/>
      <c r="CI1053"/>
      <c r="CJ1053" t="inlineStr">
        <is>
          <t>No Paid</t>
        </is>
      </c>
      <c r="CK1053" t="inlineStr">
        <is>
          <t>Not Eligible</t>
        </is>
      </c>
      <c r="CL1053"/>
      <c r="CM1053"/>
    </row>
    <row r="1054" ht="25.5" customHeight="1">
      <c r="A1054" t="inlineStr">
        <is>
          <t>203455</t>
        </is>
      </c>
      <c r="B1054" s="2"/>
      <c r="C1054"/>
      <c r="D1054" s="3">
        <v>46133.409097222226</v>
      </c>
      <c r="E1054" t="inlineStr">
        <is>
          <t>Q2-W03</t>
        </is>
      </c>
      <c r="F1054" t="inlineStr">
        <is>
          <t>Eugene</t>
        </is>
      </c>
      <c r="G1054" t="inlineStr">
        <is>
          <t>Customer</t>
        </is>
      </c>
      <c r="H1054" s="2" t="str">
        <f>=HYPERLINK("https://upbox.ajobthing.my/customer/203455", "https://upbox.ajobthing.my/customer/203455")</f>
        <v>https://upbox.ajobthing.my/customer/203455</v>
      </c>
      <c r="I1054" t="inlineStr">
        <is>
          <t>Ft Electric &amp; Air Cond Engineering</t>
        </is>
      </c>
      <c r="J1054" t="inlineStr">
        <is>
          <t>Small Fish</t>
        </is>
      </c>
      <c r="K1054" t="inlineStr">
        <is>
          <t>Eugene</t>
        </is>
      </c>
      <c r="L1054" s="4"/>
      <c r="M1054" s="4">
        <v>46133.40998842593</v>
      </c>
      <c r="N1054"/>
      <c r="O1054">
        <v>3888</v>
      </c>
      <c r="P1054" s="4"/>
      <c r="Q1054" s="4">
        <v>46133.346238425926</v>
      </c>
      <c r="R1054"/>
      <c r="S1054">
        <v>0</v>
      </c>
      <c r="T1054" s="4"/>
      <c r="U1054" s="4"/>
      <c r="V1054"/>
      <c r="W1054"/>
      <c r="X1054"/>
      <c r="Y1054" t="inlineStr">
        <is>
          <t>Pending Appointment</t>
        </is>
      </c>
      <c r="Z1054" t="inlineStr">
        <is>
          <t>Hiring Now</t>
        </is>
      </c>
      <c r="AA1054">
        <v>2</v>
      </c>
      <c r="AB1054" t="inlineStr">
        <is>
          <t>No Appointment Made</t>
        </is>
      </c>
      <c r="AC1054"/>
      <c r="AD1054" t="inlineStr">
        <is>
          <t>2 technician, based in Johor</t>
        </is>
      </c>
      <c r="AE1054"/>
      <c r="AF1054">
        <v>3000</v>
      </c>
      <c r="AG1054" s="4"/>
      <c r="AH1054" s="4"/>
      <c r="AI1054">
        <v>3000</v>
      </c>
      <c r="AJ1054">
        <v>1</v>
      </c>
      <c r="AK1054" t="inlineStr">
        <is>
          <t>No, I don't need at all</t>
        </is>
      </c>
      <c r="AL1054">
        <v>1</v>
      </c>
      <c r="AM1054" t="inlineStr">
        <is>
          <t>No, I don't need at all</t>
        </is>
      </c>
      <c r="AN1054"/>
      <c r="AO1054" t="inlineStr">
        <is>
          <t>No, I don't need at all</t>
        </is>
      </c>
      <c r="AP1054" t="inlineStr">
        <is>
          <t>Twice a year (50%)</t>
        </is>
      </c>
      <c r="AQ1054">
        <v>3</v>
      </c>
      <c r="AR1054" t="inlineStr">
        <is>
          <t>Free Job Portal</t>
        </is>
      </c>
      <c r="AS1054" t="inlineStr">
        <is>
          <t>- Headcount: 2
- Hiring Job Details: 2 technician, based in Johor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1054">
        <v>115</v>
      </c>
      <c r="AU1054" t="inlineStr">
        <is>
          <t>1.15</t>
        </is>
      </c>
      <c r="AV1054" t="inlineStr">
        <is>
          <t>15</t>
        </is>
      </c>
      <c r="AW1054" t="inlineStr">
        <is>
          <t>0</t>
        </is>
      </c>
      <c r="AX1054" t="inlineStr">
        <is>
          <t>Not Qualified</t>
        </is>
      </c>
      <c r="AY1054" s="4"/>
      <c r="AZ1054"/>
      <c r="BA1054"/>
      <c r="BB1054"/>
      <c r="BC1054" t="inlineStr">
        <is>
          <t>managed to hire</t>
        </is>
      </c>
      <c r="BD1054" s="4">
        <v>46141.43268518519</v>
      </c>
      <c r="BE1054" t="inlineStr">
        <is>
          <t>paid</t>
        </is>
      </c>
      <c r="BF1054"/>
      <c r="BG1054" t="inlineStr">
        <is>
          <t>Reschedule</t>
        </is>
      </c>
      <c r="BH1054" t="inlineStr">
        <is>
          <t>Edward Hoo</t>
        </is>
      </c>
      <c r="BI1054" t="inlineStr">
        <is>
          <t>Repair / Maintenance</t>
        </is>
      </c>
      <c r="BJ1054" s="4">
        <v>46144.75430555556</v>
      </c>
      <c r="BK1054" s="4">
        <v>46133.34587962963</v>
      </c>
      <c r="BL1054" t="inlineStr">
        <is>
          <t>0.0</t>
        </is>
      </c>
      <c r="BM1054" t="inlineStr">
        <is>
          <t>0.0</t>
        </is>
      </c>
      <c r="BN1054" t="inlineStr">
        <is>
          <t>PA Visit - Job Card</t>
        </is>
      </c>
      <c r="BO1054" s="4">
        <v>46136.360763888886</v>
      </c>
      <c r="BP1054">
        <v>167932</v>
      </c>
      <c r="BQ1054">
        <v>123376</v>
      </c>
      <c r="BR1054" t="inlineStr">
        <is>
          <t>Proforma</t>
        </is>
      </c>
      <c r="BS1054" t="inlineStr">
        <is>
          <t>Free Part-Time Job</t>
        </is>
      </c>
      <c r="BT1054"/>
      <c r="BU1054"/>
      <c r="BV1054">
        <v>2734391</v>
      </c>
      <c r="BW1054" t="inlineStr">
        <is>
          <t>Follow Up : Lost - Free Portal</t>
        </is>
      </c>
      <c r="BX1054"/>
      <c r="BY1054"/>
      <c r="BZ1054" s="4"/>
      <c r="CA1054"/>
      <c r="CB1054"/>
      <c r="CC1054" s="4"/>
      <c r="CD1054" t="inlineStr">
        <is>
          <t>20</t>
        </is>
      </c>
      <c r="CE1054" t="inlineStr">
        <is>
          <t>0</t>
        </is>
      </c>
      <c r="CF1054" t="inlineStr">
        <is>
          <t>Q2-W03</t>
        </is>
      </c>
      <c r="CG1054" t="inlineStr">
        <is>
          <t>Q2-W03</t>
        </is>
      </c>
      <c r="CH1054"/>
      <c r="CI1054"/>
      <c r="CJ1054" t="inlineStr">
        <is>
          <t>No Paid</t>
        </is>
      </c>
      <c r="CK1054" t="inlineStr">
        <is>
          <t>Not Eligible</t>
        </is>
      </c>
      <c r="CL1054"/>
      <c r="CM1054"/>
    </row>
    <row r="1055" ht="25.5" customHeight="1">
      <c r="A1055" t="inlineStr">
        <is>
          <t>203352</t>
        </is>
      </c>
      <c r="B1055" s="2"/>
      <c r="C1055"/>
      <c r="D1055" s="3">
        <v>46133.41082175926</v>
      </c>
      <c r="E1055" t="inlineStr">
        <is>
          <t>Q2-W03</t>
        </is>
      </c>
      <c r="F1055" t="inlineStr">
        <is>
          <t>Ken Yi</t>
        </is>
      </c>
      <c r="G1055" t="inlineStr">
        <is>
          <t>Customer</t>
        </is>
      </c>
      <c r="H1055" s="2" t="str">
        <f>=HYPERLINK("https://upbox.ajobthing.my/customer/203352", "https://upbox.ajobthing.my/customer/203352")</f>
        <v>https://upbox.ajobthing.my/customer/203352</v>
      </c>
      <c r="I1055" t="inlineStr">
        <is>
          <t xml:space="preserve">Tmi Group </t>
        </is>
      </c>
      <c r="J1055" t="inlineStr">
        <is>
          <t>Small Fish</t>
        </is>
      </c>
      <c r="K1055" t="inlineStr">
        <is>
          <t>Kenyi</t>
        </is>
      </c>
      <c r="L1055" s="4"/>
      <c r="M1055" s="4">
        <v>46134.632418981484</v>
      </c>
      <c r="N1055"/>
      <c r="O1055">
        <v>864</v>
      </c>
      <c r="P1055" s="4"/>
      <c r="Q1055" s="4"/>
      <c r="R1055"/>
      <c r="S1055"/>
      <c r="T1055" s="4"/>
      <c r="U1055" s="4"/>
      <c r="V1055"/>
      <c r="W1055"/>
      <c r="X1055"/>
      <c r="Y1055" t="inlineStr">
        <is>
          <t>Pending Appointment</t>
        </is>
      </c>
      <c r="Z1055" t="inlineStr">
        <is>
          <t>Hiring Now</t>
        </is>
      </c>
      <c r="AA1055">
        <v>1</v>
      </c>
      <c r="AB1055" t="inlineStr">
        <is>
          <t>No Appointment Made</t>
        </is>
      </c>
      <c r="AC1055"/>
      <c r="AD1055" t="inlineStr">
        <is>
          <t>Sales &amp; Marketing</t>
        </is>
      </c>
      <c r="AE1055"/>
      <c r="AF1055">
        <v>0</v>
      </c>
      <c r="AG1055" s="4"/>
      <c r="AH1055" s="4"/>
      <c r="AI1055">
        <v>0</v>
      </c>
      <c r="AJ1055">
        <v>1</v>
      </c>
      <c r="AK1055" t="inlineStr">
        <is>
          <t>No, I don't need at all</t>
        </is>
      </c>
      <c r="AL1055">
        <v>0</v>
      </c>
      <c r="AM1055" t="inlineStr">
        <is>
          <t>No, I don't need at all</t>
        </is>
      </c>
      <c r="AN1055"/>
      <c r="AO1055" t="inlineStr">
        <is>
          <t>No, I don't need at all</t>
        </is>
      </c>
      <c r="AP1055" t="inlineStr">
        <is>
          <t>Every month (100%)</t>
        </is>
      </c>
      <c r="AQ1055">
        <v>1</v>
      </c>
      <c r="AR1055" t="inlineStr">
        <is>
          <t>Did not use any job portal</t>
        </is>
      </c>
      <c r="AS1055" t="inlineStr">
        <is>
          <t>- Headcount: 1
- Hiring Job Details: Sales &amp; Marketing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Did not use any job portal</t>
        </is>
      </c>
      <c r="AT1055">
        <v>115</v>
      </c>
      <c r="AU1055" t="inlineStr">
        <is>
          <t>1.15</t>
        </is>
      </c>
      <c r="AV1055" t="inlineStr">
        <is>
          <t>15</t>
        </is>
      </c>
      <c r="AW1055" t="inlineStr">
        <is>
          <t>0</t>
        </is>
      </c>
      <c r="AX1055" t="inlineStr">
        <is>
          <t>Not Qualified</t>
        </is>
      </c>
      <c r="AY1055" s="4"/>
      <c r="AZ1055"/>
      <c r="BA1055"/>
      <c r="BB1055"/>
      <c r="BC1055" t="inlineStr">
        <is>
          <t>Follow up and customer only want the cheapest plan ala carte</t>
        </is>
      </c>
      <c r="BD1055" s="4">
        <v>46134.63113425926</v>
      </c>
      <c r="BE1055"/>
      <c r="BF1055"/>
      <c r="BG1055" t="inlineStr">
        <is>
          <t>Reschedule</t>
        </is>
      </c>
      <c r="BH1055" t="inlineStr">
        <is>
          <t>Fauziah Maharan</t>
        </is>
      </c>
      <c r="BI1055"/>
      <c r="BJ1055" s="4">
        <v>46144.754282407404</v>
      </c>
      <c r="BK1055" s="4">
        <v>46129.61299768519</v>
      </c>
      <c r="BL1055" t="inlineStr">
        <is>
          <t>0.0</t>
        </is>
      </c>
      <c r="BM1055" t="inlineStr">
        <is>
          <t>0.0</t>
        </is>
      </c>
      <c r="BN1055" t="inlineStr">
        <is>
          <t>View Notifications</t>
        </is>
      </c>
      <c r="BO1055" s="4">
        <v>46134.85726851852</v>
      </c>
      <c r="BP1055">
        <v>168334</v>
      </c>
      <c r="BQ1055"/>
      <c r="BR1055"/>
      <c r="BS1055"/>
      <c r="BT1055"/>
      <c r="BU1055"/>
      <c r="BV1055">
        <v>2721008</v>
      </c>
      <c r="BW1055" t="inlineStr">
        <is>
          <t>Follow Up : Decision Pending</t>
        </is>
      </c>
      <c r="BX1055"/>
      <c r="BY1055"/>
      <c r="BZ1055" s="4"/>
      <c r="CA1055"/>
      <c r="CB1055"/>
      <c r="CC1055" s="4"/>
      <c r="CD1055" t="inlineStr">
        <is>
          <t>20</t>
        </is>
      </c>
      <c r="CE1055" t="inlineStr">
        <is>
          <t>0</t>
        </is>
      </c>
      <c r="CF1055" t="inlineStr">
        <is>
          <t>Q2-W03</t>
        </is>
      </c>
      <c r="CG1055"/>
      <c r="CH1055"/>
      <c r="CI1055"/>
      <c r="CJ1055" t="inlineStr">
        <is>
          <t>No Paid</t>
        </is>
      </c>
      <c r="CK1055" t="inlineStr">
        <is>
          <t>Not Eligible</t>
        </is>
      </c>
      <c r="CL1055"/>
      <c r="CM1055"/>
    </row>
    <row r="1056" ht="25.5" customHeight="1">
      <c r="A1056" t="inlineStr">
        <is>
          <t>164464</t>
        </is>
      </c>
      <c r="B1056" s="2"/>
      <c r="C1056"/>
      <c r="D1056" s="3">
        <v>46133.41211805555</v>
      </c>
      <c r="E1056" t="inlineStr">
        <is>
          <t>Q2-W03</t>
        </is>
      </c>
      <c r="F1056" t="inlineStr">
        <is>
          <t>Jess</t>
        </is>
      </c>
      <c r="G1056" t="inlineStr">
        <is>
          <t>Customer</t>
        </is>
      </c>
      <c r="H1056" s="2" t="str">
        <f>=HYPERLINK("https://upbox.ajobthing.my/customer/164464", "https://upbox.ajobthing.my/customer/164464")</f>
        <v>https://upbox.ajobthing.my/customer/164464</v>
      </c>
      <c r="I1056" t="inlineStr">
        <is>
          <t>Three As Interior Design &amp; Decor</t>
        </is>
      </c>
      <c r="J1056" t="inlineStr">
        <is>
          <t>Small Fish</t>
        </is>
      </c>
      <c r="K1056" t="inlineStr">
        <is>
          <t>Jess Lim</t>
        </is>
      </c>
      <c r="L1056" s="4"/>
      <c r="M1056" s="4">
        <v>46133.413831018515</v>
      </c>
      <c r="N1056"/>
      <c r="O1056">
        <v>864</v>
      </c>
      <c r="P1056" s="4"/>
      <c r="Q1056" s="4">
        <v>46129.70949074074</v>
      </c>
      <c r="R1056"/>
      <c r="S1056">
        <v>0</v>
      </c>
      <c r="T1056" s="4">
        <v>44971.962222222224</v>
      </c>
      <c r="U1056" s="4"/>
      <c r="V1056"/>
      <c r="W1056">
        <v>636</v>
      </c>
      <c r="X1056"/>
      <c r="Y1056" t="inlineStr">
        <is>
          <t>Pending Appointment</t>
        </is>
      </c>
      <c r="Z1056" t="inlineStr">
        <is>
          <t>Hiring Now</t>
        </is>
      </c>
      <c r="AA1056">
        <v>1</v>
      </c>
      <c r="AB1056" t="inlineStr">
        <is>
          <t>No Appointment Made</t>
        </is>
      </c>
      <c r="AC1056"/>
      <c r="AD1056" t="inlineStr">
        <is>
          <t xml:space="preserve"> 1  pj</t>
        </is>
      </c>
      <c r="AE1056"/>
      <c r="AF1056">
        <v>750</v>
      </c>
      <c r="AG1056" s="4"/>
      <c r="AH1056" s="4"/>
      <c r="AI1056"/>
      <c r="AJ1056">
        <v>1</v>
      </c>
      <c r="AK1056" t="inlineStr">
        <is>
          <t>No, I don't need at all</t>
        </is>
      </c>
      <c r="AL1056">
        <v>1</v>
      </c>
      <c r="AM1056" t="inlineStr">
        <is>
          <t>No, I don't need at all</t>
        </is>
      </c>
      <c r="AN1056"/>
      <c r="AO1056" t="inlineStr">
        <is>
          <t>No, I don't need at all</t>
        </is>
      </c>
      <c r="AP1056" t="inlineStr">
        <is>
          <t>Once a year (25%)</t>
        </is>
      </c>
      <c r="AQ1056"/>
      <c r="AR1056" t="inlineStr">
        <is>
          <t>Jobstreet</t>
        </is>
      </c>
      <c r="AS1056" t="inlineStr">
        <is>
          <t>- Headcount: 1
- Hiring Job Details: 1 pj
- Hiring Urgency: Hiring Now
- Number of outlets: 1
- Have recruiter team: No, I don't need at all
- Number of recruiter in company: 1
- Have ATS system: No, I don't need at all
- Have career website: No, I don't need at all
- Current hiring budget: RM750.00
- Whole year budget: Not provided
- Whole year number of vacancies: Not provided
- Hiring frequency: Once a year (25%)
- External job portal: Jobstreet</t>
        </is>
      </c>
      <c r="AT1056">
        <v>75</v>
      </c>
      <c r="AU1056" t="inlineStr">
        <is>
          <t>0.75</t>
        </is>
      </c>
      <c r="AV1056" t="inlineStr">
        <is>
          <t>15</t>
        </is>
      </c>
      <c r="AW1056" t="inlineStr">
        <is>
          <t>0</t>
        </is>
      </c>
      <c r="AX1056" t="inlineStr">
        <is>
          <t>Not Qualified</t>
        </is>
      </c>
      <c r="AY1056" s="4"/>
      <c r="AZ1056"/>
      <c r="BA1056"/>
      <c r="BB1056"/>
      <c r="BC1056" t="inlineStr">
        <is>
          <t>- Headcount: 1
- Hiring Job Details: 1 pj
- Hiring Urgency: Hiring Now
- Number of outlets: 1
- Have recruiter team: No, I don't need at all
- Number of recruiter in company: 1
- Have ATS system: No, I don't need at all
- Have career website: No, I don't need at all
- Current hiring budget: RM750.00
- Whole year budget: Not provided
- Whole year number of vacancies: Not provided
- Hiring frequency: Once a year (25%)
- External job portal: Jobstreet</t>
        </is>
      </c>
      <c r="BD1056" s="4">
        <v>46133.41670138889</v>
      </c>
      <c r="BE1056" t="inlineStr">
        <is>
          <t>paid</t>
        </is>
      </c>
      <c r="BF1056"/>
      <c r="BG1056" t="inlineStr">
        <is>
          <t>Reschedule</t>
        </is>
      </c>
      <c r="BH1056" t="inlineStr">
        <is>
          <t>Fauziah Maharan</t>
        </is>
      </c>
      <c r="BI1056" t="inlineStr">
        <is>
          <t>Architecture / Interior Design</t>
        </is>
      </c>
      <c r="BJ1056" s="4">
        <v>46144.7512037037</v>
      </c>
      <c r="BK1056" s="4">
        <v>44971.94065972222</v>
      </c>
      <c r="BL1056" t="inlineStr">
        <is>
          <t>0.0</t>
        </is>
      </c>
      <c r="BM1056" t="inlineStr">
        <is>
          <t>750.0</t>
        </is>
      </c>
      <c r="BN1056" t="inlineStr">
        <is>
          <t>User Visit(Logged In)</t>
        </is>
      </c>
      <c r="BO1056" s="4">
        <v>46132.442974537036</v>
      </c>
      <c r="BP1056">
        <v>167935</v>
      </c>
      <c r="BQ1056">
        <v>123020</v>
      </c>
      <c r="BR1056" t="inlineStr">
        <is>
          <t>Proforma</t>
        </is>
      </c>
      <c r="BS1056" t="inlineStr">
        <is>
          <t>Free High Pay Job</t>
        </is>
      </c>
      <c r="BT1056">
        <v>55537</v>
      </c>
      <c r="BU1056"/>
      <c r="BV1056">
        <v>2716992</v>
      </c>
      <c r="BW1056" t="inlineStr">
        <is>
          <t>Customer Inquiry</t>
        </is>
      </c>
      <c r="BX1056"/>
      <c r="BY1056"/>
      <c r="BZ1056" s="4"/>
      <c r="CA1056"/>
      <c r="CB1056"/>
      <c r="CC1056" s="4"/>
      <c r="CD1056" t="inlineStr">
        <is>
          <t>20</t>
        </is>
      </c>
      <c r="CE1056" t="inlineStr">
        <is>
          <t>0</t>
        </is>
      </c>
      <c r="CF1056" t="inlineStr">
        <is>
          <t>Q2-W03</t>
        </is>
      </c>
      <c r="CG1056" t="inlineStr">
        <is>
          <t>Q2-W03</t>
        </is>
      </c>
      <c r="CH1056"/>
      <c r="CI1056"/>
      <c r="CJ1056" t="inlineStr">
        <is>
          <t>Paid</t>
        </is>
      </c>
      <c r="CK1056" t="inlineStr">
        <is>
          <t>Not Eligible</t>
        </is>
      </c>
      <c r="CL1056"/>
      <c r="CM1056"/>
    </row>
    <row r="1057" ht="25.5" customHeight="1">
      <c r="A1057" t="inlineStr">
        <is>
          <t>4308528</t>
        </is>
      </c>
      <c r="B1057" s="2"/>
      <c r="C1057"/>
      <c r="D1057" s="3">
        <v>46133.41342592592</v>
      </c>
      <c r="E1057" t="inlineStr">
        <is>
          <t>Q2-W03</t>
        </is>
      </c>
      <c r="F1057" t="inlineStr">
        <is>
          <t>Chia Yee</t>
        </is>
      </c>
      <c r="G1057" t="inlineStr">
        <is>
          <t>Lead</t>
        </is>
      </c>
      <c r="H1057" s="2" t="str">
        <f>=HYPERLINK("https://upbox.ajobthing.my/leads/4308528", "https://upbox.ajobthing.my/leads/4308528")</f>
        <v>https://upbox.ajobthing.my/leads/4308528</v>
      </c>
      <c r="I1057" t="inlineStr">
        <is>
          <t>AHSN DYNAMIC SOLUTIONS SDN BHD</t>
        </is>
      </c>
      <c r="J1057" t="inlineStr">
        <is>
          <t>Small Fish</t>
        </is>
      </c>
      <c r="K1057" t="inlineStr">
        <is>
          <t>Chia Yee</t>
        </is>
      </c>
      <c r="L1057" s="4"/>
      <c r="M1057" s="4">
        <v>46133.4141087963</v>
      </c>
      <c r="N1057"/>
      <c r="O1057">
        <v>8208</v>
      </c>
      <c r="P1057" s="4"/>
      <c r="Q1057" s="4"/>
      <c r="R1057"/>
      <c r="S1057"/>
      <c r="T1057" s="4"/>
      <c r="U1057" s="4"/>
      <c r="V1057"/>
      <c r="W1057"/>
      <c r="X1057"/>
      <c r="Y1057" t="inlineStr">
        <is>
          <t>Pending Appointment</t>
        </is>
      </c>
      <c r="Z1057" t="inlineStr">
        <is>
          <t>Continuous Hiring</t>
        </is>
      </c>
      <c r="AA1057">
        <v>10</v>
      </c>
      <c r="AB1057" t="inlineStr">
        <is>
          <t>No Appointment Made</t>
        </is>
      </c>
      <c r="AC1057"/>
      <c r="AD1057" t="inlineStr">
        <is>
          <t>10 Recovery officer.</t>
        </is>
      </c>
      <c r="AE1057"/>
      <c r="AF1057">
        <v>0</v>
      </c>
      <c r="AG1057" s="4"/>
      <c r="AH1057" s="4"/>
      <c r="AI1057">
        <v>0</v>
      </c>
      <c r="AJ1057">
        <v>1</v>
      </c>
      <c r="AK1057" t="inlineStr">
        <is>
          <t>No, I don't need at all</t>
        </is>
      </c>
      <c r="AL1057">
        <v>1</v>
      </c>
      <c r="AM1057" t="inlineStr">
        <is>
          <t>No, I don't need at all</t>
        </is>
      </c>
      <c r="AN1057"/>
      <c r="AO1057" t="inlineStr">
        <is>
          <t>No, I don't need at all</t>
        </is>
      </c>
      <c r="AP1057" t="inlineStr">
        <is>
          <t>Once a year (25%)</t>
        </is>
      </c>
      <c r="AQ1057">
        <v>10</v>
      </c>
      <c r="AR1057" t="inlineStr">
        <is>
          <t>Did not use any job portal</t>
        </is>
      </c>
      <c r="AS1057" t="inlineStr">
        <is>
          <t>- Headcount: 10
- Hiring Job Details: 10 Recovery officer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10
- Hiring frequency: Once a year (25%)
- External job portal: Did not use any job portal</t>
        </is>
      </c>
      <c r="AT1057">
        <v>115</v>
      </c>
      <c r="AU1057" t="inlineStr">
        <is>
          <t>1.15</t>
        </is>
      </c>
      <c r="AV1057" t="inlineStr">
        <is>
          <t>20</t>
        </is>
      </c>
      <c r="AW1057" t="inlineStr">
        <is>
          <t>0</t>
        </is>
      </c>
      <c r="AX1057" t="inlineStr">
        <is>
          <t>Not Qualified</t>
        </is>
      </c>
      <c r="AY1057" s="4"/>
      <c r="AZ1057"/>
      <c r="BA1057"/>
      <c r="BB1057"/>
      <c r="BC1057"/>
      <c r="BD1057" s="4"/>
      <c r="BE1057"/>
      <c r="BF1057"/>
      <c r="BG1057" t="inlineStr">
        <is>
          <t>Reschedule</t>
        </is>
      </c>
      <c r="BH1057" t="inlineStr">
        <is>
          <t>Reagen</t>
        </is>
      </c>
      <c r="BI1057"/>
      <c r="BJ1057" s="4">
        <v>46144.75587962963</v>
      </c>
      <c r="BK1057" s="4">
        <v>46133.40489583334</v>
      </c>
      <c r="BL1057" t="inlineStr">
        <is>
          <t>0.0</t>
        </is>
      </c>
      <c r="BM1057" t="inlineStr">
        <is>
          <t>0.0</t>
        </is>
      </c>
      <c r="BN1057"/>
      <c r="BO1057" s="4"/>
      <c r="BP1057">
        <v>167936</v>
      </c>
      <c r="BQ1057"/>
      <c r="BR1057"/>
      <c r="BS1057"/>
      <c r="BT1057"/>
      <c r="BU1057"/>
      <c r="BV1057"/>
      <c r="BW1057"/>
      <c r="BX1057"/>
      <c r="BY1057"/>
      <c r="BZ1057" s="4"/>
      <c r="CA1057"/>
      <c r="CB1057"/>
      <c r="CC1057" s="4"/>
      <c r="CD1057" t="inlineStr">
        <is>
          <t>30</t>
        </is>
      </c>
      <c r="CE1057" t="inlineStr">
        <is>
          <t>0</t>
        </is>
      </c>
      <c r="CF1057" t="inlineStr">
        <is>
          <t>Q2-W03</t>
        </is>
      </c>
      <c r="CG1057"/>
      <c r="CH1057"/>
      <c r="CI1057"/>
      <c r="CJ1057" t="inlineStr">
        <is>
          <t>No Paid</t>
        </is>
      </c>
      <c r="CK1057" t="inlineStr">
        <is>
          <t>Eligible</t>
        </is>
      </c>
      <c r="CL1057"/>
      <c r="CM1057"/>
    </row>
    <row r="1058" ht="25.5" customHeight="1">
      <c r="A1058" t="inlineStr">
        <is>
          <t>203453</t>
        </is>
      </c>
      <c r="B1058" s="2"/>
      <c r="C1058"/>
      <c r="D1058" s="3">
        <v>46133.41385416667</v>
      </c>
      <c r="E1058" t="inlineStr">
        <is>
          <t>Q2-W03</t>
        </is>
      </c>
      <c r="F1058" t="inlineStr">
        <is>
          <t>Keegan</t>
        </is>
      </c>
      <c r="G1058" t="inlineStr">
        <is>
          <t>Customer</t>
        </is>
      </c>
      <c r="H1058" s="2" t="str">
        <f>=HYPERLINK("https://upbox.ajobthing.my/customer/203453", "https://upbox.ajobthing.my/customer/203453")</f>
        <v>https://upbox.ajobthing.my/customer/203453</v>
      </c>
      <c r="I1058" t="inlineStr">
        <is>
          <t>Jaro</t>
        </is>
      </c>
      <c r="J1058" t="inlineStr">
        <is>
          <t>Small Fish</t>
        </is>
      </c>
      <c r="K1058" t="inlineStr">
        <is>
          <t>Keegan</t>
        </is>
      </c>
      <c r="L1058" s="4"/>
      <c r="M1058" s="4">
        <v>46133.414375</v>
      </c>
      <c r="N1058"/>
      <c r="O1058">
        <v>6048</v>
      </c>
      <c r="P1058" s="4"/>
      <c r="Q1058" s="4">
        <v>46133.554560185185</v>
      </c>
      <c r="R1058"/>
      <c r="S1058">
        <v>0</v>
      </c>
      <c r="T1058" s="4"/>
      <c r="U1058" s="4"/>
      <c r="V1058"/>
      <c r="W1058"/>
      <c r="X1058"/>
      <c r="Y1058" t="inlineStr">
        <is>
          <t>Pending Appointment</t>
        </is>
      </c>
      <c r="Z1058" t="inlineStr">
        <is>
          <t>Hiring Now</t>
        </is>
      </c>
      <c r="AA1058">
        <v>4</v>
      </c>
      <c r="AB1058" t="inlineStr">
        <is>
          <t>No Appointment Made</t>
        </is>
      </c>
      <c r="AC1058"/>
      <c r="AD1058" t="inlineStr">
        <is>
          <t xml:space="preserve">1. admin
2. sales 
3. marketing 
4. BD </t>
        </is>
      </c>
      <c r="AE1058"/>
      <c r="AF1058"/>
      <c r="AG1058" s="4"/>
      <c r="AH1058" s="4"/>
      <c r="AI1058"/>
      <c r="AJ1058">
        <v>1</v>
      </c>
      <c r="AK1058" t="inlineStr">
        <is>
          <t>No, I don't need at all</t>
        </is>
      </c>
      <c r="AL1058">
        <v>0</v>
      </c>
      <c r="AM1058" t="inlineStr">
        <is>
          <t>No, I don't need at all</t>
        </is>
      </c>
      <c r="AN1058"/>
      <c r="AO1058" t="inlineStr">
        <is>
          <t>No, I don't need at all</t>
        </is>
      </c>
      <c r="AP1058" t="inlineStr">
        <is>
          <t>Once per quarter (75%)</t>
        </is>
      </c>
      <c r="AQ1058"/>
      <c r="AR1058" t="inlineStr">
        <is>
          <t>Did not use any job portal</t>
        </is>
      </c>
      <c r="AS1058" t="inlineStr">
        <is>
          <t>- Headcount: 4
- Hiring Job Details: 1 admin\n2. sales \n3. marketing \n4. BD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058">
        <v>55</v>
      </c>
      <c r="AU1058" t="inlineStr">
        <is>
          <t>0.55</t>
        </is>
      </c>
      <c r="AV1058" t="inlineStr">
        <is>
          <t>5</t>
        </is>
      </c>
      <c r="AW1058" t="inlineStr">
        <is>
          <t>0</t>
        </is>
      </c>
      <c r="AX1058" t="inlineStr">
        <is>
          <t>Not Qualified</t>
        </is>
      </c>
      <c r="AY1058" s="4"/>
      <c r="AZ1058"/>
      <c r="BA1058"/>
      <c r="BB1058"/>
      <c r="BC1058" t="inlineStr">
        <is>
          <t>f/up on decision</t>
        </is>
      </c>
      <c r="BD1058" s="4">
        <v>46142.73118055556</v>
      </c>
      <c r="BE1058" t="inlineStr">
        <is>
          <t>paid</t>
        </is>
      </c>
      <c r="BF1058"/>
      <c r="BG1058" t="inlineStr">
        <is>
          <t>Reschedule</t>
        </is>
      </c>
      <c r="BH1058" t="inlineStr">
        <is>
          <t>Edward Hoo</t>
        </is>
      </c>
      <c r="BI1058"/>
      <c r="BJ1058" s="4">
        <v>46144.75430555556</v>
      </c>
      <c r="BK1058" s="4">
        <v>46133.101747685185</v>
      </c>
      <c r="BL1058" t="inlineStr">
        <is>
          <t>0.0</t>
        </is>
      </c>
      <c r="BM1058" t="inlineStr">
        <is>
          <t>0.0</t>
        </is>
      </c>
      <c r="BN1058" t="inlineStr">
        <is>
          <t>View Candidate Search Page</t>
        </is>
      </c>
      <c r="BO1058" s="4">
        <v>46133.56107638889</v>
      </c>
      <c r="BP1058">
        <v>167937</v>
      </c>
      <c r="BQ1058">
        <v>123435</v>
      </c>
      <c r="BR1058" t="inlineStr">
        <is>
          <t>Proforma</t>
        </is>
      </c>
      <c r="BS1058" t="inlineStr">
        <is>
          <t>Free Part-Time Job</t>
        </is>
      </c>
      <c r="BT1058"/>
      <c r="BU1058"/>
      <c r="BV1058">
        <v>2738419</v>
      </c>
      <c r="BW1058" t="inlineStr">
        <is>
          <t>Follow Up : Decision Pending</t>
        </is>
      </c>
      <c r="BX1058"/>
      <c r="BY1058"/>
      <c r="BZ1058" s="4"/>
      <c r="CA1058"/>
      <c r="CB1058"/>
      <c r="CC1058" s="4"/>
      <c r="CD1058" t="inlineStr">
        <is>
          <t>5</t>
        </is>
      </c>
      <c r="CE1058" t="inlineStr">
        <is>
          <t>0</t>
        </is>
      </c>
      <c r="CF1058" t="inlineStr">
        <is>
          <t>Q2-W03</t>
        </is>
      </c>
      <c r="CG1058" t="inlineStr">
        <is>
          <t>Q2-W03</t>
        </is>
      </c>
      <c r="CH1058"/>
      <c r="CI1058"/>
      <c r="CJ1058" t="inlineStr">
        <is>
          <t>No Paid</t>
        </is>
      </c>
      <c r="CK1058" t="inlineStr">
        <is>
          <t>Not Eligible</t>
        </is>
      </c>
      <c r="CL1058"/>
      <c r="CM1058"/>
    </row>
    <row r="1059" ht="25.5" customHeight="1">
      <c r="A1059" t="inlineStr">
        <is>
          <t>203090</t>
        </is>
      </c>
      <c r="B1059" s="2"/>
      <c r="C1059"/>
      <c r="D1059" s="3">
        <v>46133.41746527778</v>
      </c>
      <c r="E1059" t="inlineStr">
        <is>
          <t>Q2-W03</t>
        </is>
      </c>
      <c r="F1059" t="inlineStr">
        <is>
          <t>Lucas</t>
        </is>
      </c>
      <c r="G1059" t="inlineStr">
        <is>
          <t>Customer</t>
        </is>
      </c>
      <c r="H1059" s="2" t="str">
        <f>=HYPERLINK("https://upbox.ajobthing.my/customer/203090", "https://upbox.ajobthing.my/customer/203090")</f>
        <v>https://upbox.ajobthing.my/customer/203090</v>
      </c>
      <c r="I1059" t="inlineStr">
        <is>
          <t>Playbox (M) Sdn Bhd</t>
        </is>
      </c>
      <c r="J1059" t="inlineStr">
        <is>
          <t>Small Fish</t>
        </is>
      </c>
      <c r="K1059" t="inlineStr">
        <is>
          <t>Lucas</t>
        </is>
      </c>
      <c r="L1059" s="4"/>
      <c r="M1059" s="4">
        <v>46122.625706018516</v>
      </c>
      <c r="N1059"/>
      <c r="O1059">
        <v>3888</v>
      </c>
      <c r="P1059" s="4"/>
      <c r="Q1059" s="4">
        <v>46133.415810185186</v>
      </c>
      <c r="R1059"/>
      <c r="S1059">
        <v>1296</v>
      </c>
      <c r="T1059" s="4"/>
      <c r="U1059" s="4"/>
      <c r="V1059"/>
      <c r="W1059"/>
      <c r="X1059"/>
      <c r="Y1059" t="inlineStr">
        <is>
          <t>Pending Appointment</t>
        </is>
      </c>
      <c r="Z1059" t="inlineStr">
        <is>
          <t>Hiring Now</t>
        </is>
      </c>
      <c r="AA1059">
        <v>1</v>
      </c>
      <c r="AB1059" t="inlineStr">
        <is>
          <t>No Appointment Made</t>
        </is>
      </c>
      <c r="AC1059"/>
      <c r="AD1059" t="inlineStr">
        <is>
          <t xml:space="preserve">1 personal driver </t>
        </is>
      </c>
      <c r="AE1059"/>
      <c r="AF1059">
        <v>0</v>
      </c>
      <c r="AG1059" s="4"/>
      <c r="AH1059" s="4"/>
      <c r="AI1059">
        <v>0</v>
      </c>
      <c r="AJ1059"/>
      <c r="AK1059" t="inlineStr">
        <is>
          <t>No, I don't need at all</t>
        </is>
      </c>
      <c r="AL1059">
        <v>0</v>
      </c>
      <c r="AM1059" t="inlineStr">
        <is>
          <t>No, I don't need at all</t>
        </is>
      </c>
      <c r="AN1059"/>
      <c r="AO1059" t="inlineStr">
        <is>
          <t>No, I don't need at all</t>
        </is>
      </c>
      <c r="AP1059" t="inlineStr">
        <is>
          <t>Once a year (25%)</t>
        </is>
      </c>
      <c r="AQ1059">
        <v>1</v>
      </c>
      <c r="AR1059" t="inlineStr">
        <is>
          <t>Did not use any job portal</t>
        </is>
      </c>
      <c r="AS1059" t="inlineStr">
        <is>
          <t>- Headcount: 1
- Hiring Job Details: 1 personal driver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059">
        <v>120</v>
      </c>
      <c r="AU1059" t="inlineStr">
        <is>
          <t>1.20</t>
        </is>
      </c>
      <c r="AV1059" t="inlineStr">
        <is>
          <t>15</t>
        </is>
      </c>
      <c r="AW1059" t="inlineStr">
        <is>
          <t>0</t>
        </is>
      </c>
      <c r="AX1059" t="inlineStr">
        <is>
          <t>Not Qualified</t>
        </is>
      </c>
      <c r="AY1059" s="4"/>
      <c r="AZ1059"/>
      <c r="BA1059"/>
      <c r="BB1059"/>
      <c r="BC1059" t="inlineStr">
        <is>
          <t>no hold 1st</t>
        </is>
      </c>
      <c r="BD1059" s="4">
        <v>46136.72486111111</v>
      </c>
      <c r="BE1059" t="inlineStr">
        <is>
          <t>pending</t>
        </is>
      </c>
      <c r="BF1059"/>
      <c r="BG1059" t="inlineStr">
        <is>
          <t>Reschedule</t>
        </is>
      </c>
      <c r="BH1059" t="inlineStr">
        <is>
          <t>Yee Hang</t>
        </is>
      </c>
      <c r="BI1059"/>
      <c r="BJ1059" s="4">
        <v>46144.754212962966</v>
      </c>
      <c r="BK1059" s="4">
        <v>46122.61708333333</v>
      </c>
      <c r="BL1059" t="inlineStr">
        <is>
          <t>0.0</t>
        </is>
      </c>
      <c r="BM1059" t="inlineStr">
        <is>
          <t>0.0</t>
        </is>
      </c>
      <c r="BN1059" t="inlineStr">
        <is>
          <t>View Company Page</t>
        </is>
      </c>
      <c r="BO1059" s="4">
        <v>46122.617638888885</v>
      </c>
      <c r="BP1059">
        <v>166461</v>
      </c>
      <c r="BQ1059">
        <v>123402</v>
      </c>
      <c r="BR1059" t="inlineStr">
        <is>
          <t>Proforma</t>
        </is>
      </c>
      <c r="BS1059" t="inlineStr">
        <is>
          <t>AI Ala Carte (Jan 26) Plus</t>
        </is>
      </c>
      <c r="BT1059"/>
      <c r="BU1059"/>
      <c r="BV1059">
        <v>2727328</v>
      </c>
      <c r="BW1059" t="inlineStr">
        <is>
          <t>Follow Up : Budget Concern</t>
        </is>
      </c>
      <c r="BX1059"/>
      <c r="BY1059"/>
      <c r="BZ1059" s="4"/>
      <c r="CA1059"/>
      <c r="CB1059"/>
      <c r="CC1059" s="4"/>
      <c r="CD1059" t="inlineStr">
        <is>
          <t>20</t>
        </is>
      </c>
      <c r="CE1059" t="inlineStr">
        <is>
          <t>0</t>
        </is>
      </c>
      <c r="CF1059" t="inlineStr">
        <is>
          <t>Q2-W02</t>
        </is>
      </c>
      <c r="CG1059" t="inlineStr">
        <is>
          <t>Q2-W03</t>
        </is>
      </c>
      <c r="CH1059"/>
      <c r="CI1059"/>
      <c r="CJ1059" t="inlineStr">
        <is>
          <t>No Paid</t>
        </is>
      </c>
      <c r="CK1059" t="inlineStr">
        <is>
          <t>Not Eligible</t>
        </is>
      </c>
      <c r="CL1059"/>
      <c r="CM1059"/>
    </row>
    <row r="1060" ht="25.5" customHeight="1">
      <c r="A1060" t="inlineStr">
        <is>
          <t>203458</t>
        </is>
      </c>
      <c r="B1060" s="2"/>
      <c r="C1060"/>
      <c r="D1060" s="3">
        <v>46133.41775462963</v>
      </c>
      <c r="E1060" t="inlineStr">
        <is>
          <t>Q2-W03</t>
        </is>
      </c>
      <c r="F1060" t="inlineStr">
        <is>
          <t>Keegan</t>
        </is>
      </c>
      <c r="G1060" t="inlineStr">
        <is>
          <t>Customer</t>
        </is>
      </c>
      <c r="H1060" s="2" t="str">
        <f>=HYPERLINK("https://upbox.ajobthing.my/customer/203458", "https://upbox.ajobthing.my/customer/203458")</f>
        <v>https://upbox.ajobthing.my/customer/203458</v>
      </c>
      <c r="I1060" t="inlineStr">
        <is>
          <t>MIXS HOME SDN BHD</t>
        </is>
      </c>
      <c r="J1060" t="inlineStr">
        <is>
          <t>Small Fish</t>
        </is>
      </c>
      <c r="K1060" t="inlineStr">
        <is>
          <t>Keegan</t>
        </is>
      </c>
      <c r="L1060" s="4"/>
      <c r="M1060" s="4">
        <v>46133.41787037037</v>
      </c>
      <c r="N1060"/>
      <c r="O1060">
        <v>6048</v>
      </c>
      <c r="P1060" s="4"/>
      <c r="Q1060" s="4"/>
      <c r="R1060"/>
      <c r="S1060"/>
      <c r="T1060" s="4"/>
      <c r="U1060" s="4"/>
      <c r="V1060"/>
      <c r="W1060"/>
      <c r="X1060"/>
      <c r="Y1060" t="inlineStr">
        <is>
          <t>Pending Appointment</t>
        </is>
      </c>
      <c r="Z1060" t="inlineStr">
        <is>
          <t>Hiring Now</t>
        </is>
      </c>
      <c r="AA1060">
        <v>5</v>
      </c>
      <c r="AB1060" t="inlineStr">
        <is>
          <t>No Appointment Made</t>
        </is>
      </c>
      <c r="AC1060"/>
      <c r="AD1060" t="inlineStr">
        <is>
          <t>1.Interior Designer
2. Video Editor
3. Social Media Marketing
4. Admin x2 (Urgent)</t>
        </is>
      </c>
      <c r="AE1060"/>
      <c r="AF1060"/>
      <c r="AG1060" s="4"/>
      <c r="AH1060" s="4"/>
      <c r="AI1060"/>
      <c r="AJ1060">
        <v>1</v>
      </c>
      <c r="AK1060" t="inlineStr">
        <is>
          <t>No, I don't need at all</t>
        </is>
      </c>
      <c r="AL1060">
        <v>0</v>
      </c>
      <c r="AM1060" t="inlineStr">
        <is>
          <t>No, I don't need at all</t>
        </is>
      </c>
      <c r="AN1060"/>
      <c r="AO1060" t="inlineStr">
        <is>
          <t>No, I don't need at all</t>
        </is>
      </c>
      <c r="AP1060" t="inlineStr">
        <is>
          <t>Once per quarter (75%)</t>
        </is>
      </c>
      <c r="AQ1060"/>
      <c r="AR1060" t="inlineStr">
        <is>
          <t>Did not use any job portal</t>
        </is>
      </c>
      <c r="AS1060" t="inlineStr">
        <is>
          <t>- Headcount: 5
- Hiring Job Details: 1.Interior Designer; 2. Video Editor; 3. Social Media Marketing; 4. Admin x2 (Urgent)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060">
        <v>85</v>
      </c>
      <c r="AU1060" t="inlineStr">
        <is>
          <t>0.85</t>
        </is>
      </c>
      <c r="AV1060" t="inlineStr">
        <is>
          <t>10</t>
        </is>
      </c>
      <c r="AW1060" t="inlineStr">
        <is>
          <t>0</t>
        </is>
      </c>
      <c r="AX1060" t="inlineStr">
        <is>
          <t>Not Qualified</t>
        </is>
      </c>
      <c r="AY1060" s="4"/>
      <c r="AZ1060"/>
      <c r="BA1060"/>
      <c r="BB1060"/>
      <c r="BC1060" t="inlineStr">
        <is>
          <t>Sharing out with client on the latest promo package</t>
        </is>
      </c>
      <c r="BD1060" s="4">
        <v>46140.66075231481</v>
      </c>
      <c r="BE1060"/>
      <c r="BF1060"/>
      <c r="BG1060" t="inlineStr">
        <is>
          <t>Reschedule</t>
        </is>
      </c>
      <c r="BH1060" t="inlineStr">
        <is>
          <t>Edward Hoo</t>
        </is>
      </c>
      <c r="BI1060"/>
      <c r="BJ1060" s="4">
        <v>46144.75430555556</v>
      </c>
      <c r="BK1060" s="4">
        <v>46133.41619212963</v>
      </c>
      <c r="BL1060" t="inlineStr">
        <is>
          <t>0.0</t>
        </is>
      </c>
      <c r="BM1060" t="inlineStr">
        <is>
          <t>0.0</t>
        </is>
      </c>
      <c r="BN1060"/>
      <c r="BO1060" s="4"/>
      <c r="BP1060">
        <v>167941</v>
      </c>
      <c r="BQ1060"/>
      <c r="BR1060"/>
      <c r="BS1060"/>
      <c r="BT1060"/>
      <c r="BU1060"/>
      <c r="BV1060">
        <v>2733231</v>
      </c>
      <c r="BW1060" t="inlineStr">
        <is>
          <t>Inquire for Hiring Needs : No Hiring</t>
        </is>
      </c>
      <c r="BX1060"/>
      <c r="BY1060"/>
      <c r="BZ1060" s="4"/>
      <c r="CA1060"/>
      <c r="CB1060"/>
      <c r="CC1060" s="4"/>
      <c r="CD1060" t="inlineStr">
        <is>
          <t>15</t>
        </is>
      </c>
      <c r="CE1060" t="inlineStr">
        <is>
          <t>0</t>
        </is>
      </c>
      <c r="CF1060" t="inlineStr">
        <is>
          <t>Q2-W03</t>
        </is>
      </c>
      <c r="CG1060"/>
      <c r="CH1060"/>
      <c r="CI1060"/>
      <c r="CJ1060" t="inlineStr">
        <is>
          <t>No Paid</t>
        </is>
      </c>
      <c r="CK1060" t="inlineStr">
        <is>
          <t>Not Eligible</t>
        </is>
      </c>
      <c r="CL1060"/>
      <c r="CM1060"/>
    </row>
    <row r="1061" ht="25.5" customHeight="1">
      <c r="A1061" t="inlineStr">
        <is>
          <t>4308494</t>
        </is>
      </c>
      <c r="B1061" s="2"/>
      <c r="C1061"/>
      <c r="D1061" s="3">
        <v>46133.420694444445</v>
      </c>
      <c r="E1061" t="inlineStr">
        <is>
          <t>Q2-W03</t>
        </is>
      </c>
      <c r="F1061" t="inlineStr">
        <is>
          <t>Janice Yap</t>
        </is>
      </c>
      <c r="G1061" t="inlineStr">
        <is>
          <t>Lead</t>
        </is>
      </c>
      <c r="H1061" s="2" t="str">
        <f>=HYPERLINK("https://upbox.ajobthing.my/leads/4308494", "https://upbox.ajobthing.my/leads/4308494")</f>
        <v>https://upbox.ajobthing.my/leads/4308494</v>
      </c>
      <c r="I1061" t="inlineStr">
        <is>
          <t>Usahamaju Magnet Sdn.Bhd</t>
        </is>
      </c>
      <c r="J1061" t="inlineStr">
        <is>
          <t>Small Fish</t>
        </is>
      </c>
      <c r="K1061" t="inlineStr">
        <is>
          <t>Janice</t>
        </is>
      </c>
      <c r="L1061" s="4"/>
      <c r="M1061" s="4">
        <v>46133.41778935185</v>
      </c>
      <c r="N1061"/>
      <c r="O1061">
        <v>3888</v>
      </c>
      <c r="P1061" s="4"/>
      <c r="Q1061" s="4"/>
      <c r="R1061"/>
      <c r="S1061"/>
      <c r="T1061" s="4"/>
      <c r="U1061" s="4"/>
      <c r="V1061"/>
      <c r="W1061"/>
      <c r="X1061"/>
      <c r="Y1061" t="inlineStr">
        <is>
          <t>Pending Appointment</t>
        </is>
      </c>
      <c r="Z1061" t="inlineStr">
        <is>
          <t>Hiring Now</t>
        </is>
      </c>
      <c r="AA1061">
        <v>2</v>
      </c>
      <c r="AB1061" t="inlineStr">
        <is>
          <t>No Appointment Made</t>
        </is>
      </c>
      <c r="AC1061"/>
      <c r="AD1061" t="inlineStr">
        <is>
          <t>1 site supervisor - hr // 1 hr admin cum account</t>
        </is>
      </c>
      <c r="AE1061"/>
      <c r="AF1061">
        <v>0</v>
      </c>
      <c r="AG1061" s="4"/>
      <c r="AH1061" s="4"/>
      <c r="AI1061">
        <v>0</v>
      </c>
      <c r="AJ1061"/>
      <c r="AK1061" t="inlineStr">
        <is>
          <t>No, I don't need at all</t>
        </is>
      </c>
      <c r="AL1061">
        <v>0</v>
      </c>
      <c r="AM1061" t="inlineStr">
        <is>
          <t>No, I don't need at all</t>
        </is>
      </c>
      <c r="AN1061"/>
      <c r="AO1061" t="inlineStr">
        <is>
          <t>No, I don't need at all</t>
        </is>
      </c>
      <c r="AP1061" t="inlineStr">
        <is>
          <t>Once a year (25%)</t>
        </is>
      </c>
      <c r="AQ1061">
        <v>2</v>
      </c>
      <c r="AR1061" t="inlineStr">
        <is>
          <t>Free Job Portal</t>
        </is>
      </c>
      <c r="AS1061" t="inlineStr">
        <is>
          <t>- Headcount: 2
- Hiring Job Details: 1 site supervisor - hr // 1 hr admin cum account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t>
        </is>
      </c>
      <c r="AT1061">
        <v>105</v>
      </c>
      <c r="AU1061" t="inlineStr">
        <is>
          <t>1.05</t>
        </is>
      </c>
      <c r="AV1061" t="inlineStr">
        <is>
          <t>15</t>
        </is>
      </c>
      <c r="AW1061" t="inlineStr">
        <is>
          <t>0</t>
        </is>
      </c>
      <c r="AX1061" t="inlineStr">
        <is>
          <t>Not Qualified</t>
        </is>
      </c>
      <c r="AY1061" s="4"/>
      <c r="AZ1061"/>
      <c r="BA1061"/>
      <c r="BB1061"/>
      <c r="BC1061"/>
      <c r="BD1061" s="4"/>
      <c r="BE1061"/>
      <c r="BF1061"/>
      <c r="BG1061" t="inlineStr">
        <is>
          <t>Reschedule</t>
        </is>
      </c>
      <c r="BH1061" t="inlineStr">
        <is>
          <t>Yee Hang</t>
        </is>
      </c>
      <c r="BI1061"/>
      <c r="BJ1061" s="4">
        <v>46144.75587962963</v>
      </c>
      <c r="BK1061" s="4">
        <v>46133.40017361111</v>
      </c>
      <c r="BL1061" t="inlineStr">
        <is>
          <t>0.0</t>
        </is>
      </c>
      <c r="BM1061" t="inlineStr">
        <is>
          <t>0.0</t>
        </is>
      </c>
      <c r="BN1061"/>
      <c r="BO1061" s="4"/>
      <c r="BP1061">
        <v>167940</v>
      </c>
      <c r="BQ1061"/>
      <c r="BR1061"/>
      <c r="BS1061"/>
      <c r="BT1061"/>
      <c r="BU1061"/>
      <c r="BV1061"/>
      <c r="BW1061"/>
      <c r="BX1061"/>
      <c r="BY1061"/>
      <c r="BZ1061" s="4"/>
      <c r="CA1061"/>
      <c r="CB1061"/>
      <c r="CC1061" s="4"/>
      <c r="CD1061" t="inlineStr">
        <is>
          <t>20</t>
        </is>
      </c>
      <c r="CE1061" t="inlineStr">
        <is>
          <t>0</t>
        </is>
      </c>
      <c r="CF1061" t="inlineStr">
        <is>
          <t>Q2-W03</t>
        </is>
      </c>
      <c r="CG1061"/>
      <c r="CH1061"/>
      <c r="CI1061"/>
      <c r="CJ1061" t="inlineStr">
        <is>
          <t>No Paid</t>
        </is>
      </c>
      <c r="CK1061" t="inlineStr">
        <is>
          <t>Not Eligible</t>
        </is>
      </c>
      <c r="CL1061"/>
      <c r="CM1061"/>
    </row>
    <row r="1062" ht="25.5" customHeight="1">
      <c r="A1062" t="inlineStr">
        <is>
          <t>22460</t>
        </is>
      </c>
      <c r="B1062" s="2"/>
      <c r="C1062"/>
      <c r="D1062" s="3">
        <v>46133.422685185185</v>
      </c>
      <c r="E1062" t="inlineStr">
        <is>
          <t>Q2-W03</t>
        </is>
      </c>
      <c r="F1062" t="inlineStr">
        <is>
          <t>Derek Lim</t>
        </is>
      </c>
      <c r="G1062" t="inlineStr">
        <is>
          <t>Customer</t>
        </is>
      </c>
      <c r="H1062" s="2" t="str">
        <f>=HYPERLINK("https://upbox.ajobthing.my/customer/22460", "https://upbox.ajobthing.my/customer/22460")</f>
        <v>https://upbox.ajobthing.my/customer/22460</v>
      </c>
      <c r="I1062" t="inlineStr">
        <is>
          <t>dr Alaa</t>
        </is>
      </c>
      <c r="J1062" t="inlineStr">
        <is>
          <t>Small Fish</t>
        </is>
      </c>
      <c r="K1062" t="inlineStr">
        <is>
          <t>Derek Lim</t>
        </is>
      </c>
      <c r="L1062" s="4"/>
      <c r="M1062" s="4">
        <v>46133.42304398148</v>
      </c>
      <c r="N1062"/>
      <c r="O1062">
        <v>6048</v>
      </c>
      <c r="P1062" s="4"/>
      <c r="Q1062" s="4">
        <v>46133.92224537037</v>
      </c>
      <c r="R1062"/>
      <c r="S1062">
        <v>0</v>
      </c>
      <c r="T1062" s="4"/>
      <c r="U1062" s="4"/>
      <c r="V1062"/>
      <c r="W1062"/>
      <c r="X1062"/>
      <c r="Y1062" t="inlineStr">
        <is>
          <t>Pending Appointment</t>
        </is>
      </c>
      <c r="Z1062" t="inlineStr">
        <is>
          <t>Hiring Now</t>
        </is>
      </c>
      <c r="AA1062">
        <v>4</v>
      </c>
      <c r="AB1062" t="inlineStr">
        <is>
          <t>No Appointment Made</t>
        </is>
      </c>
      <c r="AC1062"/>
      <c r="AD1062" t="inlineStr">
        <is>
          <t>marketing - 2, head of marketing -1, head of trainer - 1</t>
        </is>
      </c>
      <c r="AE1062"/>
      <c r="AF1062">
        <v>0</v>
      </c>
      <c r="AG1062" s="4"/>
      <c r="AH1062" s="4"/>
      <c r="AI1062">
        <v>0</v>
      </c>
      <c r="AJ1062">
        <v>1</v>
      </c>
      <c r="AK1062" t="inlineStr">
        <is>
          <t>No, I don't need at all</t>
        </is>
      </c>
      <c r="AL1062">
        <v>0</v>
      </c>
      <c r="AM1062" t="inlineStr">
        <is>
          <t>No, I don't need at all</t>
        </is>
      </c>
      <c r="AN1062"/>
      <c r="AO1062" t="inlineStr">
        <is>
          <t>No, I don't need at all</t>
        </is>
      </c>
      <c r="AP1062" t="inlineStr">
        <is>
          <t>Once a year (25%)</t>
        </is>
      </c>
      <c r="AQ1062">
        <v>3</v>
      </c>
      <c r="AR1062" t="inlineStr">
        <is>
          <t>Jobstreet</t>
        </is>
      </c>
      <c r="AS1062" t="inlineStr">
        <is>
          <t>- Headcount: 4
- Hiring Job Details: marketing - 2, head of marketing - 1, head of trainer - 1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t>
        </is>
      </c>
      <c r="AT1062">
        <v>110</v>
      </c>
      <c r="AU1062" t="inlineStr">
        <is>
          <t>1.10</t>
        </is>
      </c>
      <c r="AV1062" t="inlineStr">
        <is>
          <t>15</t>
        </is>
      </c>
      <c r="AW1062" t="inlineStr">
        <is>
          <t>0</t>
        </is>
      </c>
      <c r="AX1062" t="inlineStr">
        <is>
          <t>Not Qualified</t>
        </is>
      </c>
      <c r="AY1062" s="4"/>
      <c r="AZ1062"/>
      <c r="BA1062"/>
      <c r="BB1062"/>
      <c r="BC1062" t="inlineStr">
        <is>
          <t>HE MENTION FOUND ALREADY THROUGH WORD OF MOUTH SO DONT NEED ANYMORE</t>
        </is>
      </c>
      <c r="BD1062" s="4">
        <v>46141.41508101852</v>
      </c>
      <c r="BE1062" t="inlineStr">
        <is>
          <t>paid</t>
        </is>
      </c>
      <c r="BF1062"/>
      <c r="BG1062" t="inlineStr">
        <is>
          <t>Reschedule</t>
        </is>
      </c>
      <c r="BH1062" t="inlineStr">
        <is>
          <t>Edward Hoo</t>
        </is>
      </c>
      <c r="BI1062"/>
      <c r="BJ1062" s="4">
        <v>46144.75444444444</v>
      </c>
      <c r="BK1062" s="4">
        <v>42494.60591435185</v>
      </c>
      <c r="BL1062" t="inlineStr">
        <is>
          <t>0.0</t>
        </is>
      </c>
      <c r="BM1062" t="inlineStr">
        <is>
          <t>0.0</t>
        </is>
      </c>
      <c r="BN1062"/>
      <c r="BO1062" s="4"/>
      <c r="BP1062">
        <v>167944</v>
      </c>
      <c r="BQ1062">
        <v>123481</v>
      </c>
      <c r="BR1062" t="inlineStr">
        <is>
          <t>Proforma</t>
        </is>
      </c>
      <c r="BS1062" t="inlineStr">
        <is>
          <t>Free Part-Time Job</t>
        </is>
      </c>
      <c r="BT1062"/>
      <c r="BU1062"/>
      <c r="BV1062">
        <v>2734251</v>
      </c>
      <c r="BW1062" t="inlineStr">
        <is>
          <t>Follow Up : Lost - Free Portal</t>
        </is>
      </c>
      <c r="BX1062"/>
      <c r="BY1062"/>
      <c r="BZ1062" s="4"/>
      <c r="CA1062"/>
      <c r="CB1062"/>
      <c r="CC1062" s="4"/>
      <c r="CD1062" t="inlineStr">
        <is>
          <t>20</t>
        </is>
      </c>
      <c r="CE1062" t="inlineStr">
        <is>
          <t>0</t>
        </is>
      </c>
      <c r="CF1062" t="inlineStr">
        <is>
          <t>Q2-W03</t>
        </is>
      </c>
      <c r="CG1062" t="inlineStr">
        <is>
          <t>Q2-W03</t>
        </is>
      </c>
      <c r="CH1062"/>
      <c r="CI1062"/>
      <c r="CJ1062" t="inlineStr">
        <is>
          <t>No Paid</t>
        </is>
      </c>
      <c r="CK1062" t="inlineStr">
        <is>
          <t>Not Eligible</t>
        </is>
      </c>
      <c r="CL1062"/>
      <c r="CM1062"/>
    </row>
    <row r="1063" ht="25.5" customHeight="1">
      <c r="A1063" t="inlineStr">
        <is>
          <t>203459</t>
        </is>
      </c>
      <c r="B1063" s="2"/>
      <c r="C1063"/>
      <c r="D1063" s="3">
        <v>46133.42733796296</v>
      </c>
      <c r="E1063" t="inlineStr">
        <is>
          <t>Q2-W03</t>
        </is>
      </c>
      <c r="F1063" t="inlineStr">
        <is>
          <t>Luqman</t>
        </is>
      </c>
      <c r="G1063" t="inlineStr">
        <is>
          <t>Customer</t>
        </is>
      </c>
      <c r="H1063" s="2" t="str">
        <f>=HYPERLINK("https://upbox.ajobthing.my/customer/203459", "https://upbox.ajobthing.my/customer/203459")</f>
        <v>https://upbox.ajobthing.my/customer/203459</v>
      </c>
      <c r="I1063" t="inlineStr">
        <is>
          <t>Mkk Property Consultants Sdn Bhd</t>
        </is>
      </c>
      <c r="J1063" t="inlineStr">
        <is>
          <t>Small Fish</t>
        </is>
      </c>
      <c r="K1063" t="inlineStr">
        <is>
          <t>Luqman</t>
        </is>
      </c>
      <c r="L1063" s="4"/>
      <c r="M1063" s="4">
        <v>46133.42755787037</v>
      </c>
      <c r="N1063"/>
      <c r="O1063">
        <v>1296</v>
      </c>
      <c r="P1063" s="4"/>
      <c r="Q1063" s="4"/>
      <c r="R1063"/>
      <c r="S1063"/>
      <c r="T1063" s="4"/>
      <c r="U1063" s="4"/>
      <c r="V1063"/>
      <c r="W1063"/>
      <c r="X1063"/>
      <c r="Y1063" t="inlineStr">
        <is>
          <t>Pending Appointment</t>
        </is>
      </c>
      <c r="Z1063" t="inlineStr">
        <is>
          <t>Hiring Now</t>
        </is>
      </c>
      <c r="AA1063">
        <v>1</v>
      </c>
      <c r="AB1063" t="inlineStr">
        <is>
          <t>No Appointment Made</t>
        </is>
      </c>
      <c r="AC1063"/>
      <c r="AD1063" t="inlineStr">
        <is>
          <t>1. Valuer 
</t>
        </is>
      </c>
      <c r="AE1063"/>
      <c r="AF1063">
        <v>800</v>
      </c>
      <c r="AG1063" s="4"/>
      <c r="AH1063" s="4"/>
      <c r="AI1063">
        <v>800</v>
      </c>
      <c r="AJ1063"/>
      <c r="AK1063" t="inlineStr">
        <is>
          <t>No, I don't need at all</t>
        </is>
      </c>
      <c r="AL1063">
        <v>1</v>
      </c>
      <c r="AM1063" t="inlineStr">
        <is>
          <t>No, I don't need at all</t>
        </is>
      </c>
      <c r="AN1063"/>
      <c r="AO1063" t="inlineStr">
        <is>
          <t>No, I don't need at all</t>
        </is>
      </c>
      <c r="AP1063" t="inlineStr">
        <is>
          <t>Once a year (25%)</t>
        </is>
      </c>
      <c r="AQ1063">
        <v>2</v>
      </c>
      <c r="AR1063" t="inlineStr">
        <is>
          <t>Free Job Portal</t>
        </is>
      </c>
      <c r="AS1063" t="inlineStr">
        <is>
          <t>- Headcount: 1
- Hiring Job Details: 1 Valuer
- Hiring Urgency: Hiring Now
- Number of outlets: 
- Have recruiter team: No, I don't need at all
- Number of recruiter in company: 1
- Have ATS system: No, I don't need at all
- Have career website: No, I don't need at all
- Current hiring budget: RM800
- Whole year budget: RM800.00
- Whole year number of vacancies: 2
- Hiring frequency: Once a year (25%)
- External job portal: Free Job Portal</t>
        </is>
      </c>
      <c r="AT1063">
        <v>105</v>
      </c>
      <c r="AU1063" t="inlineStr">
        <is>
          <t>1.05</t>
        </is>
      </c>
      <c r="AV1063" t="inlineStr">
        <is>
          <t>15</t>
        </is>
      </c>
      <c r="AW1063" t="inlineStr">
        <is>
          <t>0</t>
        </is>
      </c>
      <c r="AX1063" t="inlineStr">
        <is>
          <t>Not Qualified</t>
        </is>
      </c>
      <c r="AY1063" s="4"/>
      <c r="AZ1063"/>
      <c r="BA1063"/>
      <c r="BB1063"/>
      <c r="BC1063" t="inlineStr">
        <is>
          <t>Lost - No FB</t>
        </is>
      </c>
      <c r="BD1063" s="4">
        <v>46142.578518518516</v>
      </c>
      <c r="BE1063"/>
      <c r="BF1063"/>
      <c r="BG1063" t="inlineStr">
        <is>
          <t>Reschedule</t>
        </is>
      </c>
      <c r="BH1063" t="inlineStr">
        <is>
          <t>Edward Hoo</t>
        </is>
      </c>
      <c r="BI1063"/>
      <c r="BJ1063" s="4">
        <v>46144.75430555556</v>
      </c>
      <c r="BK1063" s="4">
        <v>46133.41746527778</v>
      </c>
      <c r="BL1063" t="inlineStr">
        <is>
          <t>0.0</t>
        </is>
      </c>
      <c r="BM1063" t="inlineStr">
        <is>
          <t>0.0</t>
        </is>
      </c>
      <c r="BN1063" t="inlineStr">
        <is>
          <t>View Company Page</t>
        </is>
      </c>
      <c r="BO1063" s="4">
        <v>46133.41871527778</v>
      </c>
      <c r="BP1063">
        <v>167949</v>
      </c>
      <c r="BQ1063"/>
      <c r="BR1063"/>
      <c r="BS1063"/>
      <c r="BT1063"/>
      <c r="BU1063"/>
      <c r="BV1063">
        <v>2737570</v>
      </c>
      <c r="BW1063" t="inlineStr">
        <is>
          <t>Follow Up : Lost - Free Portal</t>
        </is>
      </c>
      <c r="BX1063"/>
      <c r="BY1063"/>
      <c r="BZ1063" s="4"/>
      <c r="CA1063"/>
      <c r="CB1063"/>
      <c r="CC1063" s="4"/>
      <c r="CD1063" t="inlineStr">
        <is>
          <t>20</t>
        </is>
      </c>
      <c r="CE1063" t="inlineStr">
        <is>
          <t>0</t>
        </is>
      </c>
      <c r="CF1063" t="inlineStr">
        <is>
          <t>Q2-W03</t>
        </is>
      </c>
      <c r="CG1063"/>
      <c r="CH1063"/>
      <c r="CI1063"/>
      <c r="CJ1063" t="inlineStr">
        <is>
          <t>No Paid</t>
        </is>
      </c>
      <c r="CK1063" t="inlineStr">
        <is>
          <t>Not Eligible</t>
        </is>
      </c>
      <c r="CL1063"/>
      <c r="CM1063"/>
    </row>
    <row r="1064" ht="25.5" customHeight="1">
      <c r="A1064" t="inlineStr">
        <is>
          <t>164695</t>
        </is>
      </c>
      <c r="B1064" s="2"/>
      <c r="C1064"/>
      <c r="D1064" s="3">
        <v>46133.43042824074</v>
      </c>
      <c r="E1064" t="inlineStr">
        <is>
          <t>Q2-W03</t>
        </is>
      </c>
      <c r="F1064" t="inlineStr">
        <is>
          <t>Jeff Lee</t>
        </is>
      </c>
      <c r="G1064" t="inlineStr">
        <is>
          <t>Customer</t>
        </is>
      </c>
      <c r="H1064" s="2" t="str">
        <f>=HYPERLINK("https://upbox.ajobthing.my/customer/164695", "https://upbox.ajobthing.my/customer/164695")</f>
        <v>https://upbox.ajobthing.my/customer/164695</v>
      </c>
      <c r="I1064" t="inlineStr">
        <is>
          <t>I Kitch Sdn Bhd</t>
        </is>
      </c>
      <c r="J1064" t="inlineStr">
        <is>
          <t>Small Fish</t>
        </is>
      </c>
      <c r="K1064" t="inlineStr">
        <is>
          <t>Jeff Lee</t>
        </is>
      </c>
      <c r="L1064" s="4"/>
      <c r="M1064" s="4">
        <v>46133.42773148148</v>
      </c>
      <c r="N1064"/>
      <c r="O1064">
        <v>3888</v>
      </c>
      <c r="P1064" s="4"/>
      <c r="Q1064" s="4">
        <v>45184.46805555555</v>
      </c>
      <c r="R1064"/>
      <c r="S1064">
        <v>530</v>
      </c>
      <c r="T1064" s="4">
        <v>45184.46805555555</v>
      </c>
      <c r="U1064" s="4"/>
      <c r="V1064"/>
      <c r="W1064">
        <v>530</v>
      </c>
      <c r="X1064"/>
      <c r="Y1064" t="inlineStr">
        <is>
          <t>Pending Appointment</t>
        </is>
      </c>
      <c r="Z1064" t="inlineStr">
        <is>
          <t>Hiring Now</t>
        </is>
      </c>
      <c r="AA1064">
        <v>2</v>
      </c>
      <c r="AB1064" t="inlineStr">
        <is>
          <t>No Appointment Made</t>
        </is>
      </c>
      <c r="AC1064"/>
      <c r="AD1064" t="inlineStr">
        <is>
          <t>1 Marketing manager 1 admin</t>
        </is>
      </c>
      <c r="AE1064"/>
      <c r="AF1064">
        <v>0</v>
      </c>
      <c r="AG1064" s="4"/>
      <c r="AH1064" s="4"/>
      <c r="AI1064">
        <v>0</v>
      </c>
      <c r="AJ1064">
        <v>0</v>
      </c>
      <c r="AK1064" t="inlineStr">
        <is>
          <t>No, I don't need at all</t>
        </is>
      </c>
      <c r="AL1064">
        <v>0</v>
      </c>
      <c r="AM1064" t="inlineStr">
        <is>
          <t>No, I don't need at all</t>
        </is>
      </c>
      <c r="AN1064"/>
      <c r="AO1064" t="inlineStr">
        <is>
          <t>No, I don't need at all</t>
        </is>
      </c>
      <c r="AP1064" t="inlineStr">
        <is>
          <t>Once a year (25%)</t>
        </is>
      </c>
      <c r="AQ1064">
        <v>2</v>
      </c>
      <c r="AR1064" t="inlineStr">
        <is>
          <t>Did not use any job portal</t>
        </is>
      </c>
      <c r="AS1064" t="inlineStr">
        <is>
          <t>- Headcount: 2
- Hiring Job Details: 1 Marketing manager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1064">
        <v>105</v>
      </c>
      <c r="AU1064" t="inlineStr">
        <is>
          <t>1.05</t>
        </is>
      </c>
      <c r="AV1064" t="inlineStr">
        <is>
          <t>15</t>
        </is>
      </c>
      <c r="AW1064" t="inlineStr">
        <is>
          <t>0</t>
        </is>
      </c>
      <c r="AX1064" t="inlineStr">
        <is>
          <t>Not Qualified</t>
        </is>
      </c>
      <c r="AY1064" s="4"/>
      <c r="AZ1064"/>
      <c r="BA1064"/>
      <c r="BB1064"/>
      <c r="BC1064" t="inlineStr">
        <is>
          <t>na</t>
        </is>
      </c>
      <c r="BD1064" s="4">
        <v>46140.477685185186</v>
      </c>
      <c r="BE1064" t="inlineStr">
        <is>
          <t>paid</t>
        </is>
      </c>
      <c r="BF1064"/>
      <c r="BG1064" t="inlineStr">
        <is>
          <t>Reschedule</t>
        </is>
      </c>
      <c r="BH1064" t="inlineStr">
        <is>
          <t>Yee Hang</t>
        </is>
      </c>
      <c r="BI1064" t="inlineStr">
        <is>
          <t>Retail / Merchandise</t>
        </is>
      </c>
      <c r="BJ1064" s="4">
        <v>46144.751226851855</v>
      </c>
      <c r="BK1064" s="4">
        <v>44978.454988425925</v>
      </c>
      <c r="BL1064" t="inlineStr">
        <is>
          <t>0.0</t>
        </is>
      </c>
      <c r="BM1064" t="inlineStr">
        <is>
          <t>0.0</t>
        </is>
      </c>
      <c r="BN1064" t="inlineStr">
        <is>
          <t>View Credit History</t>
        </is>
      </c>
      <c r="BO1064" s="4">
        <v>45355.67712962963</v>
      </c>
      <c r="BP1064">
        <v>167950</v>
      </c>
      <c r="BQ1064">
        <v>62162</v>
      </c>
      <c r="BR1064" t="inlineStr">
        <is>
          <t>Online</t>
        </is>
      </c>
      <c r="BS1064"/>
      <c r="BT1064">
        <v>62162</v>
      </c>
      <c r="BU1064"/>
      <c r="BV1064">
        <v>2732119</v>
      </c>
      <c r="BW1064" t="inlineStr">
        <is>
          <t>No Answer : Voicemail - WA sent to customer</t>
        </is>
      </c>
      <c r="BX1064"/>
      <c r="BY1064"/>
      <c r="BZ1064" s="4"/>
      <c r="CA1064"/>
      <c r="CB1064"/>
      <c r="CC1064" s="4"/>
      <c r="CD1064" t="inlineStr">
        <is>
          <t>20</t>
        </is>
      </c>
      <c r="CE1064" t="inlineStr">
        <is>
          <t>0</t>
        </is>
      </c>
      <c r="CF1064" t="inlineStr">
        <is>
          <t>Q2-W03</t>
        </is>
      </c>
      <c r="CG1064"/>
      <c r="CH1064"/>
      <c r="CI1064"/>
      <c r="CJ1064" t="inlineStr">
        <is>
          <t>Paid</t>
        </is>
      </c>
      <c r="CK1064" t="inlineStr">
        <is>
          <t>Not Eligible</t>
        </is>
      </c>
      <c r="CL1064"/>
      <c r="CM1064"/>
    </row>
    <row r="1065" ht="25.5" customHeight="1">
      <c r="A1065" t="inlineStr">
        <is>
          <t>203463</t>
        </is>
      </c>
      <c r="B1065" s="2"/>
      <c r="C1065"/>
      <c r="D1065" s="3">
        <v>46133.44819444444</v>
      </c>
      <c r="E1065" t="inlineStr">
        <is>
          <t>Q2-W03</t>
        </is>
      </c>
      <c r="F1065" t="inlineStr">
        <is>
          <t>Keegan</t>
        </is>
      </c>
      <c r="G1065" t="inlineStr">
        <is>
          <t>Customer</t>
        </is>
      </c>
      <c r="H1065" s="2" t="str">
        <f>=HYPERLINK("https://upbox.ajobthing.my/customer/203463", "https://upbox.ajobthing.my/customer/203463")</f>
        <v>https://upbox.ajobthing.my/customer/203463</v>
      </c>
      <c r="I1065" t="inlineStr">
        <is>
          <t>E Tera Resources</t>
        </is>
      </c>
      <c r="J1065" t="inlineStr">
        <is>
          <t>Small Fish</t>
        </is>
      </c>
      <c r="K1065" t="inlineStr">
        <is>
          <t>Keegan</t>
        </is>
      </c>
      <c r="L1065" s="4"/>
      <c r="M1065" s="4">
        <v>46133.44826388889</v>
      </c>
      <c r="N1065"/>
      <c r="O1065">
        <v>3888</v>
      </c>
      <c r="P1065" s="4"/>
      <c r="Q1065" s="4"/>
      <c r="R1065"/>
      <c r="S1065"/>
      <c r="T1065" s="4"/>
      <c r="U1065" s="4"/>
      <c r="V1065"/>
      <c r="W1065"/>
      <c r="X1065"/>
      <c r="Y1065" t="inlineStr">
        <is>
          <t>Pending Appointment</t>
        </is>
      </c>
      <c r="Z1065" t="inlineStr">
        <is>
          <t>Hiring Now</t>
        </is>
      </c>
      <c r="AA1065">
        <v>2</v>
      </c>
      <c r="AB1065" t="inlineStr">
        <is>
          <t>No Appointment Made</t>
        </is>
      </c>
      <c r="AC1065"/>
      <c r="AD1065" t="inlineStr">
        <is>
          <t xml:space="preserve">1. Kitchen helper 
2. Chef </t>
        </is>
      </c>
      <c r="AE1065"/>
      <c r="AF1065"/>
      <c r="AG1065" s="4"/>
      <c r="AH1065" s="4"/>
      <c r="AI1065"/>
      <c r="AJ1065">
        <v>1</v>
      </c>
      <c r="AK1065" t="inlineStr">
        <is>
          <t>No, I don't need at all</t>
        </is>
      </c>
      <c r="AL1065">
        <v>0</v>
      </c>
      <c r="AM1065" t="inlineStr">
        <is>
          <t>No, I don't need at all</t>
        </is>
      </c>
      <c r="AN1065"/>
      <c r="AO1065" t="inlineStr">
        <is>
          <t>No, I don't need at all</t>
        </is>
      </c>
      <c r="AP1065" t="inlineStr">
        <is>
          <t>Once per quarter (75%)</t>
        </is>
      </c>
      <c r="AQ1065"/>
      <c r="AR1065" t="inlineStr">
        <is>
          <t>Did not use any job portal</t>
        </is>
      </c>
      <c r="AS1065" t="inlineStr">
        <is>
          <t>- Headcount: 2
- Hiring Job Details: 1. Kitchen helper 2. Chef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065">
        <v>95</v>
      </c>
      <c r="AU1065" t="inlineStr">
        <is>
          <t>0.95</t>
        </is>
      </c>
      <c r="AV1065" t="inlineStr">
        <is>
          <t>5</t>
        </is>
      </c>
      <c r="AW1065" t="inlineStr">
        <is>
          <t>0</t>
        </is>
      </c>
      <c r="AX1065" t="inlineStr">
        <is>
          <t>Not Qualified</t>
        </is>
      </c>
      <c r="AY1065" s="4"/>
      <c r="AZ1065"/>
      <c r="BA1065"/>
      <c r="BB1065"/>
      <c r="BC1065" t="inlineStr">
        <is>
          <t>- Headcount: 2
- Hiring Job Details: 1. Kitchen helper 2. Chef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065" s="4">
        <v>46133.45849537037</v>
      </c>
      <c r="BE1065"/>
      <c r="BF1065"/>
      <c r="BG1065" t="inlineStr">
        <is>
          <t>Reschedule</t>
        </is>
      </c>
      <c r="BH1065" t="inlineStr">
        <is>
          <t>Edward Hoo</t>
        </is>
      </c>
      <c r="BI1065"/>
      <c r="BJ1065" s="4">
        <v>46144.754328703704</v>
      </c>
      <c r="BK1065" s="4">
        <v>46133.44732638889</v>
      </c>
      <c r="BL1065" t="inlineStr">
        <is>
          <t>0.0</t>
        </is>
      </c>
      <c r="BM1065" t="inlineStr">
        <is>
          <t>0.0</t>
        </is>
      </c>
      <c r="BN1065"/>
      <c r="BO1065" s="4"/>
      <c r="BP1065">
        <v>167958</v>
      </c>
      <c r="BQ1065"/>
      <c r="BR1065"/>
      <c r="BS1065"/>
      <c r="BT1065"/>
      <c r="BU1065"/>
      <c r="BV1065">
        <v>2717286</v>
      </c>
      <c r="BW1065" t="inlineStr">
        <is>
          <t>Customer Inquiry</t>
        </is>
      </c>
      <c r="BX1065"/>
      <c r="BY1065"/>
      <c r="BZ1065" s="4"/>
      <c r="CA1065"/>
      <c r="CB1065"/>
      <c r="CC1065" s="4"/>
      <c r="CD1065" t="inlineStr">
        <is>
          <t>5</t>
        </is>
      </c>
      <c r="CE1065" t="inlineStr">
        <is>
          <t>0</t>
        </is>
      </c>
      <c r="CF1065" t="inlineStr">
        <is>
          <t>Q2-W03</t>
        </is>
      </c>
      <c r="CG1065"/>
      <c r="CH1065"/>
      <c r="CI1065"/>
      <c r="CJ1065" t="inlineStr">
        <is>
          <t>No Paid</t>
        </is>
      </c>
      <c r="CK1065" t="inlineStr">
        <is>
          <t>Not Eligible</t>
        </is>
      </c>
      <c r="CL1065"/>
      <c r="CM1065"/>
    </row>
    <row r="1066" ht="25.5" customHeight="1">
      <c r="A1066" t="inlineStr">
        <is>
          <t>58856</t>
        </is>
      </c>
      <c r="B1066" s="2"/>
      <c r="C1066"/>
      <c r="D1066" s="3">
        <v>46133.455717592595</v>
      </c>
      <c r="E1066" t="inlineStr">
        <is>
          <t>Q2-W03</t>
        </is>
      </c>
      <c r="F1066" t="inlineStr">
        <is>
          <t>Xin Hui</t>
        </is>
      </c>
      <c r="G1066" t="inlineStr">
        <is>
          <t>Customer</t>
        </is>
      </c>
      <c r="H1066" s="2" t="str">
        <f>=HYPERLINK("https://upbox.ajobthing.my/customer/58856", "https://upbox.ajobthing.my/customer/58856")</f>
        <v>https://upbox.ajobthing.my/customer/58856</v>
      </c>
      <c r="I1066" t="inlineStr">
        <is>
          <t>Pusat Tuisyen Inspirasi Pintar</t>
        </is>
      </c>
      <c r="J1066" t="inlineStr">
        <is>
          <t>Small Fish</t>
        </is>
      </c>
      <c r="K1066" t="inlineStr">
        <is>
          <t>Xin Hui</t>
        </is>
      </c>
      <c r="L1066" s="4"/>
      <c r="M1066" s="4">
        <v>46133.45715277778</v>
      </c>
      <c r="N1066"/>
      <c r="O1066">
        <v>3888</v>
      </c>
      <c r="P1066" s="4"/>
      <c r="Q1066" s="4">
        <v>45520.74616898148</v>
      </c>
      <c r="R1066"/>
      <c r="S1066">
        <v>648</v>
      </c>
      <c r="T1066" s="4">
        <v>45520.74616898148</v>
      </c>
      <c r="U1066" s="4"/>
      <c r="V1066"/>
      <c r="W1066">
        <v>648</v>
      </c>
      <c r="X1066"/>
      <c r="Y1066" t="inlineStr">
        <is>
          <t>Pending Appointment</t>
        </is>
      </c>
      <c r="Z1066" t="inlineStr">
        <is>
          <t>Hiring Now</t>
        </is>
      </c>
      <c r="AA1066">
        <v>1</v>
      </c>
      <c r="AB1066" t="inlineStr">
        <is>
          <t>No Appointment Made</t>
        </is>
      </c>
      <c r="AC1066"/>
      <c r="AD1066" t="inlineStr">
        <is>
          <t>teacher</t>
        </is>
      </c>
      <c r="AE1066"/>
      <c r="AF1066"/>
      <c r="AG1066" s="4"/>
      <c r="AH1066" s="4"/>
      <c r="AI1066"/>
      <c r="AJ1066"/>
      <c r="AK1066" t="inlineStr">
        <is>
          <t>No, I don't need at all</t>
        </is>
      </c>
      <c r="AL1066"/>
      <c r="AM1066" t="inlineStr">
        <is>
          <t>No, I don't need at all</t>
        </is>
      </c>
      <c r="AN1066"/>
      <c r="AO1066" t="inlineStr">
        <is>
          <t>No, I don't need at all</t>
        </is>
      </c>
      <c r="AP1066" t="inlineStr">
        <is>
          <t>Once a year (25%)</t>
        </is>
      </c>
      <c r="AQ1066"/>
      <c r="AR1066"/>
      <c r="AS1066" t="inlineStr">
        <is>
          <t>- Headcount: 1
- Hiring Job Details: teacher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066">
        <v>75</v>
      </c>
      <c r="AU1066" t="inlineStr">
        <is>
          <t>0.75</t>
        </is>
      </c>
      <c r="AV1066" t="inlineStr">
        <is>
          <t>5</t>
        </is>
      </c>
      <c r="AW1066" t="inlineStr">
        <is>
          <t>0</t>
        </is>
      </c>
      <c r="AX1066" t="inlineStr">
        <is>
          <t>Not Qualified</t>
        </is>
      </c>
      <c r="AY1066" s="4"/>
      <c r="AZ1066"/>
      <c r="BA1066"/>
      <c r="BB1066"/>
      <c r="BC1066" t="inlineStr">
        <is>
          <t>ady hired / no need</t>
        </is>
      </c>
      <c r="BD1066" s="4">
        <v>46140.747025462966</v>
      </c>
      <c r="BE1066" t="inlineStr">
        <is>
          <t>paid</t>
        </is>
      </c>
      <c r="BF1066"/>
      <c r="BG1066" t="inlineStr">
        <is>
          <t>Reschedule</t>
        </is>
      </c>
      <c r="BH1066" t="inlineStr">
        <is>
          <t>Yee Hang</t>
        </is>
      </c>
      <c r="BI1066" t="inlineStr">
        <is>
          <t>Education / Training</t>
        </is>
      </c>
      <c r="BJ1066" s="4">
        <v>46144.75609953704</v>
      </c>
      <c r="BK1066" s="4">
        <v>43388.847708333335</v>
      </c>
      <c r="BL1066" t="inlineStr">
        <is>
          <t>0.0</t>
        </is>
      </c>
      <c r="BM1066" t="inlineStr">
        <is>
          <t>0.0</t>
        </is>
      </c>
      <c r="BN1066" t="inlineStr">
        <is>
          <t>View Company Page</t>
        </is>
      </c>
      <c r="BO1066" s="4">
        <v>45566.27726851852</v>
      </c>
      <c r="BP1066">
        <v>167969</v>
      </c>
      <c r="BQ1066">
        <v>72174</v>
      </c>
      <c r="BR1066" t="inlineStr">
        <is>
          <t>Online</t>
        </is>
      </c>
      <c r="BS1066"/>
      <c r="BT1066">
        <v>72174</v>
      </c>
      <c r="BU1066"/>
      <c r="BV1066">
        <v>2733929</v>
      </c>
      <c r="BW1066" t="inlineStr">
        <is>
          <t>Follow Up : Lost - Free Portal</t>
        </is>
      </c>
      <c r="BX1066"/>
      <c r="BY1066"/>
      <c r="BZ1066" s="4"/>
      <c r="CA1066"/>
      <c r="CB1066"/>
      <c r="CC1066" s="4"/>
      <c r="CD1066" t="inlineStr">
        <is>
          <t>5</t>
        </is>
      </c>
      <c r="CE1066" t="inlineStr">
        <is>
          <t>0</t>
        </is>
      </c>
      <c r="CF1066" t="inlineStr">
        <is>
          <t>Q2-W03</t>
        </is>
      </c>
      <c r="CG1066"/>
      <c r="CH1066"/>
      <c r="CI1066"/>
      <c r="CJ1066" t="inlineStr">
        <is>
          <t>Paid</t>
        </is>
      </c>
      <c r="CK1066" t="inlineStr">
        <is>
          <t>Not Eligible</t>
        </is>
      </c>
      <c r="CL1066"/>
      <c r="CM1066"/>
    </row>
    <row r="1067" ht="25.5" customHeight="1">
      <c r="A1067" t="inlineStr">
        <is>
          <t>58856</t>
        </is>
      </c>
      <c r="B1067" s="2"/>
      <c r="C1067"/>
      <c r="D1067" s="3">
        <v>46133.45690972222</v>
      </c>
      <c r="E1067" t="inlineStr">
        <is>
          <t>Q2-W03</t>
        </is>
      </c>
      <c r="F1067" t="inlineStr">
        <is>
          <t>Xin Hui</t>
        </is>
      </c>
      <c r="G1067" t="inlineStr">
        <is>
          <t>Customer</t>
        </is>
      </c>
      <c r="H1067" s="2" t="str">
        <f>=HYPERLINK("https://upbox.ajobthing.my/customer/58856", "https://upbox.ajobthing.my/customer/58856")</f>
        <v>https://upbox.ajobthing.my/customer/58856</v>
      </c>
      <c r="I1067" t="inlineStr">
        <is>
          <t>Pusat Tuisyen Inspirasi Pintar</t>
        </is>
      </c>
      <c r="J1067" t="inlineStr">
        <is>
          <t>Small Fish</t>
        </is>
      </c>
      <c r="K1067" t="inlineStr">
        <is>
          <t>Xin Hui</t>
        </is>
      </c>
      <c r="L1067" s="4"/>
      <c r="M1067" s="4">
        <v>46133.45715277778</v>
      </c>
      <c r="N1067"/>
      <c r="O1067">
        <v>3888</v>
      </c>
      <c r="P1067" s="4"/>
      <c r="Q1067" s="4">
        <v>45520.74616898148</v>
      </c>
      <c r="R1067"/>
      <c r="S1067">
        <v>648</v>
      </c>
      <c r="T1067" s="4">
        <v>45520.74616898148</v>
      </c>
      <c r="U1067" s="4"/>
      <c r="V1067"/>
      <c r="W1067">
        <v>648</v>
      </c>
      <c r="X1067"/>
      <c r="Y1067" t="inlineStr">
        <is>
          <t>Pending Appointment</t>
        </is>
      </c>
      <c r="Z1067" t="inlineStr">
        <is>
          <t>Hiring Now</t>
        </is>
      </c>
      <c r="AA1067">
        <v>1</v>
      </c>
      <c r="AB1067" t="inlineStr">
        <is>
          <t>No Appointment Made</t>
        </is>
      </c>
      <c r="AC1067"/>
      <c r="AD1067" t="inlineStr">
        <is>
          <t>teacher</t>
        </is>
      </c>
      <c r="AE1067"/>
      <c r="AF1067"/>
      <c r="AG1067" s="4"/>
      <c r="AH1067" s="4"/>
      <c r="AI1067"/>
      <c r="AJ1067"/>
      <c r="AK1067" t="inlineStr">
        <is>
          <t>No, I don't need at all</t>
        </is>
      </c>
      <c r="AL1067"/>
      <c r="AM1067" t="inlineStr">
        <is>
          <t>No, I don't need at all</t>
        </is>
      </c>
      <c r="AN1067"/>
      <c r="AO1067" t="inlineStr">
        <is>
          <t>No, I don't need at all</t>
        </is>
      </c>
      <c r="AP1067" t="inlineStr">
        <is>
          <t>Once a year (25%)</t>
        </is>
      </c>
      <c r="AQ1067"/>
      <c r="AR1067"/>
      <c r="AS1067" t="inlineStr">
        <is>
          <t>- Headcount: 1
- Hiring Job Details: teacher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AT1067">
        <v>75</v>
      </c>
      <c r="AU1067" t="inlineStr">
        <is>
          <t>0.75</t>
        </is>
      </c>
      <c r="AV1067" t="inlineStr">
        <is>
          <t>5</t>
        </is>
      </c>
      <c r="AW1067" t="inlineStr">
        <is>
          <t>0</t>
        </is>
      </c>
      <c r="AX1067" t="inlineStr">
        <is>
          <t>Not Qualified</t>
        </is>
      </c>
      <c r="AY1067" s="4"/>
      <c r="AZ1067"/>
      <c r="BA1067"/>
      <c r="BB1067"/>
      <c r="BC1067" t="inlineStr">
        <is>
          <t>ady hired / no need</t>
        </is>
      </c>
      <c r="BD1067" s="4">
        <v>46140.747025462966</v>
      </c>
      <c r="BE1067" t="inlineStr">
        <is>
          <t>paid</t>
        </is>
      </c>
      <c r="BF1067"/>
      <c r="BG1067" t="inlineStr">
        <is>
          <t>Reschedule</t>
        </is>
      </c>
      <c r="BH1067" t="inlineStr">
        <is>
          <t>Yee Hang</t>
        </is>
      </c>
      <c r="BI1067" t="inlineStr">
        <is>
          <t>Education / Training</t>
        </is>
      </c>
      <c r="BJ1067" s="4">
        <v>46144.75609953704</v>
      </c>
      <c r="BK1067" s="4">
        <v>43388.847708333335</v>
      </c>
      <c r="BL1067" t="inlineStr">
        <is>
          <t>0.0</t>
        </is>
      </c>
      <c r="BM1067" t="inlineStr">
        <is>
          <t>0.0</t>
        </is>
      </c>
      <c r="BN1067" t="inlineStr">
        <is>
          <t>View Company Page</t>
        </is>
      </c>
      <c r="BO1067" s="4">
        <v>45566.27726851852</v>
      </c>
      <c r="BP1067">
        <v>167969</v>
      </c>
      <c r="BQ1067">
        <v>72174</v>
      </c>
      <c r="BR1067" t="inlineStr">
        <is>
          <t>Online</t>
        </is>
      </c>
      <c r="BS1067"/>
      <c r="BT1067">
        <v>72174</v>
      </c>
      <c r="BU1067"/>
      <c r="BV1067">
        <v>2733929</v>
      </c>
      <c r="BW1067" t="inlineStr">
        <is>
          <t>Follow Up : Lost - Free Portal</t>
        </is>
      </c>
      <c r="BX1067"/>
      <c r="BY1067"/>
      <c r="BZ1067" s="4"/>
      <c r="CA1067"/>
      <c r="CB1067"/>
      <c r="CC1067" s="4"/>
      <c r="CD1067" t="inlineStr">
        <is>
          <t>5</t>
        </is>
      </c>
      <c r="CE1067" t="inlineStr">
        <is>
          <t>0</t>
        </is>
      </c>
      <c r="CF1067" t="inlineStr">
        <is>
          <t>Q2-W03</t>
        </is>
      </c>
      <c r="CG1067"/>
      <c r="CH1067"/>
      <c r="CI1067"/>
      <c r="CJ1067" t="inlineStr">
        <is>
          <t>Paid</t>
        </is>
      </c>
      <c r="CK1067" t="inlineStr">
        <is>
          <t>Not Eligible</t>
        </is>
      </c>
      <c r="CL1067"/>
      <c r="CM1067"/>
    </row>
    <row r="1068" ht="25.5" customHeight="1">
      <c r="A1068" t="inlineStr">
        <is>
          <t>203391</t>
        </is>
      </c>
      <c r="B1068" s="2"/>
      <c r="C1068"/>
      <c r="D1068" s="3">
        <v>46133.457025462965</v>
      </c>
      <c r="E1068" t="inlineStr">
        <is>
          <t>Q2-W03</t>
        </is>
      </c>
      <c r="F1068" t="inlineStr">
        <is>
          <t>Chia Yee</t>
        </is>
      </c>
      <c r="G1068" t="inlineStr">
        <is>
          <t>Customer</t>
        </is>
      </c>
      <c r="H1068" s="2" t="str">
        <f>=HYPERLINK("https://upbox.ajobthing.my/customer/203391", "https://upbox.ajobthing.my/customer/203391")</f>
        <v>https://upbox.ajobthing.my/customer/203391</v>
      </c>
      <c r="I1068" t="inlineStr">
        <is>
          <t>Central Cloud Sdn Bhd</t>
        </is>
      </c>
      <c r="J1068" t="inlineStr">
        <is>
          <t>Small Fish</t>
        </is>
      </c>
      <c r="K1068" t="inlineStr">
        <is>
          <t>Chia Yee</t>
        </is>
      </c>
      <c r="L1068" s="4"/>
      <c r="M1068" s="4">
        <v>46133.45715277778</v>
      </c>
      <c r="N1068"/>
      <c r="O1068">
        <v>3888</v>
      </c>
      <c r="P1068" s="4"/>
      <c r="Q1068" s="4">
        <v>46130.78560185185</v>
      </c>
      <c r="R1068"/>
      <c r="S1068">
        <v>0</v>
      </c>
      <c r="T1068" s="4"/>
      <c r="U1068" s="4"/>
      <c r="V1068"/>
      <c r="W1068"/>
      <c r="X1068"/>
      <c r="Y1068" t="inlineStr">
        <is>
          <t>Pending Appointment</t>
        </is>
      </c>
      <c r="Z1068" t="inlineStr">
        <is>
          <t>Hiring Now</t>
        </is>
      </c>
      <c r="AA1068">
        <v>1</v>
      </c>
      <c r="AB1068" t="inlineStr">
        <is>
          <t>No Appointment Made</t>
        </is>
      </c>
      <c r="AC1068"/>
      <c r="AD1068" t="inlineStr">
        <is>
          <t>1 Mandarin assistant</t>
        </is>
      </c>
      <c r="AE1068"/>
      <c r="AF1068">
        <v>0</v>
      </c>
      <c r="AG1068" s="4"/>
      <c r="AH1068" s="4"/>
      <c r="AI1068">
        <v>0</v>
      </c>
      <c r="AJ1068">
        <v>1</v>
      </c>
      <c r="AK1068" t="inlineStr">
        <is>
          <t>No, I don't need at all</t>
        </is>
      </c>
      <c r="AL1068">
        <v>1</v>
      </c>
      <c r="AM1068" t="inlineStr">
        <is>
          <t>No, I don't need at all</t>
        </is>
      </c>
      <c r="AN1068"/>
      <c r="AO1068" t="inlineStr">
        <is>
          <t>No, I don't need at all</t>
        </is>
      </c>
      <c r="AP1068" t="inlineStr">
        <is>
          <t>Once a year (25%)</t>
        </is>
      </c>
      <c r="AQ1068">
        <v>1</v>
      </c>
      <c r="AR1068" t="inlineStr">
        <is>
          <t>Did not use any job portal</t>
        </is>
      </c>
      <c r="AS1068" t="inlineStr">
        <is>
          <t>- Headcount: 1
- Hiring Job Details: 1 Mandarin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1068">
        <v>115</v>
      </c>
      <c r="AU1068" t="inlineStr">
        <is>
          <t>1.15</t>
        </is>
      </c>
      <c r="AV1068" t="inlineStr">
        <is>
          <t>15</t>
        </is>
      </c>
      <c r="AW1068" t="inlineStr">
        <is>
          <t>0</t>
        </is>
      </c>
      <c r="AX1068" t="inlineStr">
        <is>
          <t>Not Qualified</t>
        </is>
      </c>
      <c r="AY1068" s="4"/>
      <c r="AZ1068"/>
      <c r="BA1068"/>
      <c r="BB1068"/>
      <c r="BC1068" t="inlineStr">
        <is>
          <t>Called, no ans. WA</t>
        </is>
      </c>
      <c r="BD1068" s="4">
        <v>46139.63851851852</v>
      </c>
      <c r="BE1068" t="inlineStr">
        <is>
          <t>paid</t>
        </is>
      </c>
      <c r="BF1068"/>
      <c r="BG1068" t="inlineStr">
        <is>
          <t>Reschedule</t>
        </is>
      </c>
      <c r="BH1068" t="inlineStr">
        <is>
          <t>Reagen</t>
        </is>
      </c>
      <c r="BI1068"/>
      <c r="BJ1068" s="4">
        <v>46144.75430555556</v>
      </c>
      <c r="BK1068" s="4">
        <v>46130.785</v>
      </c>
      <c r="BL1068" t="inlineStr">
        <is>
          <t>0.0</t>
        </is>
      </c>
      <c r="BM1068" t="inlineStr">
        <is>
          <t>0.0</t>
        </is>
      </c>
      <c r="BN1068" t="inlineStr">
        <is>
          <t>View Company Page</t>
        </is>
      </c>
      <c r="BO1068" s="4">
        <v>46130.790983796294</v>
      </c>
      <c r="BP1068">
        <v>167971</v>
      </c>
      <c r="BQ1068">
        <v>123094</v>
      </c>
      <c r="BR1068" t="inlineStr">
        <is>
          <t>Proforma</t>
        </is>
      </c>
      <c r="BS1068" t="inlineStr">
        <is>
          <t>Free Part-Time Job</t>
        </is>
      </c>
      <c r="BT1068"/>
      <c r="BU1068"/>
      <c r="BV1068">
        <v>2730217</v>
      </c>
      <c r="BW1068" t="inlineStr">
        <is>
          <t>No Answer : Voicemail - WA sent to customer</t>
        </is>
      </c>
      <c r="BX1068"/>
      <c r="BY1068"/>
      <c r="BZ1068" s="4"/>
      <c r="CA1068"/>
      <c r="CB1068"/>
      <c r="CC1068" s="4"/>
      <c r="CD1068" t="inlineStr">
        <is>
          <t>20</t>
        </is>
      </c>
      <c r="CE1068" t="inlineStr">
        <is>
          <t>0</t>
        </is>
      </c>
      <c r="CF1068" t="inlineStr">
        <is>
          <t>Q2-W03</t>
        </is>
      </c>
      <c r="CG1068" t="inlineStr">
        <is>
          <t>Q2-W03</t>
        </is>
      </c>
      <c r="CH1068"/>
      <c r="CI1068"/>
      <c r="CJ1068" t="inlineStr">
        <is>
          <t>No Paid</t>
        </is>
      </c>
      <c r="CK1068" t="inlineStr">
        <is>
          <t>Not Eligible</t>
        </is>
      </c>
      <c r="CL1068"/>
      <c r="CM1068"/>
    </row>
    <row r="1069" ht="25.5" customHeight="1">
      <c r="A1069" t="inlineStr">
        <is>
          <t>153508</t>
        </is>
      </c>
      <c r="B1069" s="2"/>
      <c r="C1069"/>
      <c r="D1069" s="3">
        <v>46133.45914351852</v>
      </c>
      <c r="E1069" t="inlineStr">
        <is>
          <t>Q2-W03</t>
        </is>
      </c>
      <c r="F1069" t="inlineStr">
        <is>
          <t>Jeff Lee</t>
        </is>
      </c>
      <c r="G1069" t="inlineStr">
        <is>
          <t>Customer</t>
        </is>
      </c>
      <c r="H1069" s="2" t="str">
        <f>=HYPERLINK("https://upbox.ajobthing.my/customer/153508", "https://upbox.ajobthing.my/customer/153508")</f>
        <v>https://upbox.ajobthing.my/customer/153508</v>
      </c>
      <c r="I1069" t="inlineStr">
        <is>
          <t>Newpages Networks Sdn Bhd</t>
        </is>
      </c>
      <c r="J1069" t="inlineStr">
        <is>
          <t>Small Fish</t>
        </is>
      </c>
      <c r="K1069" t="inlineStr">
        <is>
          <t>Jeff Lee</t>
        </is>
      </c>
      <c r="L1069" s="4"/>
      <c r="M1069" s="4">
        <v>46133.45667824074</v>
      </c>
      <c r="N1069"/>
      <c r="O1069">
        <v>3888</v>
      </c>
      <c r="P1069" s="4"/>
      <c r="Q1069" s="4">
        <v>45382.57974537037</v>
      </c>
      <c r="R1069"/>
      <c r="S1069">
        <v>810</v>
      </c>
      <c r="T1069" s="4">
        <v>45382.57974537037</v>
      </c>
      <c r="U1069" s="4"/>
      <c r="V1069"/>
      <c r="W1069">
        <v>810</v>
      </c>
      <c r="X1069"/>
      <c r="Y1069" t="inlineStr">
        <is>
          <t>Pending Appointment</t>
        </is>
      </c>
      <c r="Z1069" t="inlineStr">
        <is>
          <t>Hiring Now</t>
        </is>
      </c>
      <c r="AA1069">
        <v>3</v>
      </c>
      <c r="AB1069" t="inlineStr">
        <is>
          <t>No Appointment Made</t>
        </is>
      </c>
      <c r="AC1069"/>
      <c r="AD1069" t="inlineStr">
        <is>
          <t>1 Online Corporate Sales Executive,  1 Corporate Sales Executive (B2B), 1 Telemarketing Executive</t>
        </is>
      </c>
      <c r="AE1069"/>
      <c r="AF1069">
        <v>0</v>
      </c>
      <c r="AG1069" s="4"/>
      <c r="AH1069" s="4"/>
      <c r="AI1069">
        <v>0</v>
      </c>
      <c r="AJ1069">
        <v>0</v>
      </c>
      <c r="AK1069" t="inlineStr">
        <is>
          <t>No, I don't need at all</t>
        </is>
      </c>
      <c r="AL1069">
        <v>0</v>
      </c>
      <c r="AM1069" t="inlineStr">
        <is>
          <t>No, I don't need at all</t>
        </is>
      </c>
      <c r="AN1069"/>
      <c r="AO1069" t="inlineStr">
        <is>
          <t>Yes, I have</t>
        </is>
      </c>
      <c r="AP1069" t="inlineStr">
        <is>
          <t>Once a year (25%)</t>
        </is>
      </c>
      <c r="AQ1069">
        <v>3</v>
      </c>
      <c r="AR1069" t="inlineStr">
        <is>
          <t>Did not use any job portal</t>
        </is>
      </c>
      <c r="AS1069" t="inlineStr">
        <is>
          <t>- Headcount: 3
- Hiring Job Details: 1 Online Corporate Sales Executive, 1 Corporate Sales Executive (B2B), 1 Telemarketing Executive
- Hiring Urgency: Hiring Now
- Number of outlets: 0
- Have recruiter team: No, I don't need at all
- Number of recruiter in company: 0
- Have ATS system: No, I don't need at all
- Have career website: Yes
- Current hiring budget: RM0.00
- Whole year budget: RM0.00
- Whole year number of vacancies: 3
- Hiring frequency: Once a year (25%)
- External job portal: Did not use any job portal</t>
        </is>
      </c>
      <c r="AT1069">
        <v>105</v>
      </c>
      <c r="AU1069" t="inlineStr">
        <is>
          <t>1.05</t>
        </is>
      </c>
      <c r="AV1069" t="inlineStr">
        <is>
          <t>15</t>
        </is>
      </c>
      <c r="AW1069" t="inlineStr">
        <is>
          <t>0</t>
        </is>
      </c>
      <c r="AX1069" t="inlineStr">
        <is>
          <t>Not Qualified</t>
        </is>
      </c>
      <c r="AY1069" s="4"/>
      <c r="AZ1069"/>
      <c r="BA1069"/>
      <c r="BB1069"/>
      <c r="BC1069" t="inlineStr">
        <is>
          <t>not atm</t>
        </is>
      </c>
      <c r="BD1069" s="4">
        <v>46140.454560185186</v>
      </c>
      <c r="BE1069" t="inlineStr">
        <is>
          <t>paid</t>
        </is>
      </c>
      <c r="BF1069"/>
      <c r="BG1069" t="inlineStr">
        <is>
          <t>Reschedule</t>
        </is>
      </c>
      <c r="BH1069" t="inlineStr">
        <is>
          <t>Yee Hang</t>
        </is>
      </c>
      <c r="BI1069" t="inlineStr">
        <is>
          <t>IT / Software</t>
        </is>
      </c>
      <c r="BJ1069" s="4">
        <v>46144.7509375</v>
      </c>
      <c r="BK1069" s="4">
        <v>44687.64766203704</v>
      </c>
      <c r="BL1069" t="inlineStr">
        <is>
          <t>0.0</t>
        </is>
      </c>
      <c r="BM1069" t="inlineStr">
        <is>
          <t>0.0</t>
        </is>
      </c>
      <c r="BN1069" t="inlineStr">
        <is>
          <t>View Company Page</t>
        </is>
      </c>
      <c r="BO1069" s="4">
        <v>45417.944756944446</v>
      </c>
      <c r="BP1069">
        <v>167968</v>
      </c>
      <c r="BQ1069">
        <v>67337</v>
      </c>
      <c r="BR1069" t="inlineStr">
        <is>
          <t>Online</t>
        </is>
      </c>
      <c r="BS1069"/>
      <c r="BT1069">
        <v>67337</v>
      </c>
      <c r="BU1069"/>
      <c r="BV1069">
        <v>2731966</v>
      </c>
      <c r="BW1069" t="inlineStr">
        <is>
          <t>Follow Up : Lost - Paid Portal</t>
        </is>
      </c>
      <c r="BX1069"/>
      <c r="BY1069"/>
      <c r="BZ1069" s="4"/>
      <c r="CA1069"/>
      <c r="CB1069"/>
      <c r="CC1069" s="4"/>
      <c r="CD1069" t="inlineStr">
        <is>
          <t>20</t>
        </is>
      </c>
      <c r="CE1069" t="inlineStr">
        <is>
          <t>0</t>
        </is>
      </c>
      <c r="CF1069" t="inlineStr">
        <is>
          <t>Q2-W03</t>
        </is>
      </c>
      <c r="CG1069"/>
      <c r="CH1069"/>
      <c r="CI1069"/>
      <c r="CJ1069" t="inlineStr">
        <is>
          <t>Paid</t>
        </is>
      </c>
      <c r="CK1069" t="inlineStr">
        <is>
          <t>Not Eligible</t>
        </is>
      </c>
      <c r="CL1069"/>
      <c r="CM1069"/>
    </row>
    <row r="1070" ht="25.5" customHeight="1">
      <c r="A1070" t="inlineStr">
        <is>
          <t>188717</t>
        </is>
      </c>
      <c r="B1070" s="2"/>
      <c r="C1070"/>
      <c r="D1070" s="3">
        <v>46133.46188657408</v>
      </c>
      <c r="E1070" t="inlineStr">
        <is>
          <t>Q2-W03</t>
        </is>
      </c>
      <c r="F1070" t="inlineStr">
        <is>
          <t>Chia Yee</t>
        </is>
      </c>
      <c r="G1070" t="inlineStr">
        <is>
          <t>Customer</t>
        </is>
      </c>
      <c r="H1070" s="2" t="str">
        <f>=HYPERLINK("https://upbox.ajobthing.my/customer/188717", "https://upbox.ajobthing.my/customer/188717")</f>
        <v>https://upbox.ajobthing.my/customer/188717</v>
      </c>
      <c r="I1070" t="inlineStr">
        <is>
          <t>FOREST VALLEY GARDENS</t>
        </is>
      </c>
      <c r="J1070" t="inlineStr">
        <is>
          <t>Small Fish</t>
        </is>
      </c>
      <c r="K1070" t="inlineStr">
        <is>
          <t>Chia Yee</t>
        </is>
      </c>
      <c r="L1070" s="4"/>
      <c r="M1070" s="4">
        <v>46133.46197916667</v>
      </c>
      <c r="N1070"/>
      <c r="O1070">
        <v>6048</v>
      </c>
      <c r="P1070" s="4"/>
      <c r="Q1070" s="4">
        <v>45784.54934027778</v>
      </c>
      <c r="R1070"/>
      <c r="S1070">
        <v>648</v>
      </c>
      <c r="T1070" s="4"/>
      <c r="U1070" s="4"/>
      <c r="V1070"/>
      <c r="W1070"/>
      <c r="X1070"/>
      <c r="Y1070" t="inlineStr">
        <is>
          <t>Pending Appointment</t>
        </is>
      </c>
      <c r="Z1070" t="inlineStr">
        <is>
          <t>Hiring Now</t>
        </is>
      </c>
      <c r="AA1070">
        <v>2</v>
      </c>
      <c r="AB1070" t="inlineStr">
        <is>
          <t>No Appointment Made</t>
        </is>
      </c>
      <c r="AC1070"/>
      <c r="AD1070" t="inlineStr">
        <is>
          <t>1 admin staff for clinics and 1 sales and marketing.</t>
        </is>
      </c>
      <c r="AE1070"/>
      <c r="AF1070">
        <v>0</v>
      </c>
      <c r="AG1070" s="4"/>
      <c r="AH1070" s="4"/>
      <c r="AI1070">
        <v>0</v>
      </c>
      <c r="AJ1070">
        <v>1</v>
      </c>
      <c r="AK1070" t="inlineStr">
        <is>
          <t>No, I don't need at all</t>
        </is>
      </c>
      <c r="AL1070">
        <v>1</v>
      </c>
      <c r="AM1070" t="inlineStr">
        <is>
          <t>No, I don't need at all</t>
        </is>
      </c>
      <c r="AN1070"/>
      <c r="AO1070" t="inlineStr">
        <is>
          <t>Yes, I have</t>
        </is>
      </c>
      <c r="AP1070" t="inlineStr">
        <is>
          <t>Once a year (25%)</t>
        </is>
      </c>
      <c r="AQ1070">
        <v>2</v>
      </c>
      <c r="AR1070" t="inlineStr">
        <is>
          <t>Did not use any job portal</t>
        </is>
      </c>
      <c r="AS1070" t="inlineStr">
        <is>
          <t>- Headcount: 2
- Hiring Job Details: 1 admin staff for clinics, 1 sales and marketing
- Hiring Urgency: Hiring Now
- Number of outlets: 1
- Have recruiter team: No, I don't need at all
- Number of recruiter in company: 1
- Have ATS system: No, I don't need at all
- Have career website: Yes
- Current hiring budget: RM0
- Whole year budget: RM0.00
- Whole year number of vacancies: 2
- Hiring frequency: Once a year (25%)
- External job portal: Did not use any job portal</t>
        </is>
      </c>
      <c r="AT1070">
        <v>105</v>
      </c>
      <c r="AU1070" t="inlineStr">
        <is>
          <t>1.05</t>
        </is>
      </c>
      <c r="AV1070" t="inlineStr">
        <is>
          <t>15</t>
        </is>
      </c>
      <c r="AW1070" t="inlineStr">
        <is>
          <t>0</t>
        </is>
      </c>
      <c r="AX1070" t="inlineStr">
        <is>
          <t>Not Qualified</t>
        </is>
      </c>
      <c r="AY1070" s="4"/>
      <c r="AZ1070"/>
      <c r="BA1070"/>
      <c r="BB1070"/>
      <c r="BC1070" t="inlineStr">
        <is>
          <t>Emailed</t>
        </is>
      </c>
      <c r="BD1070" s="4">
        <v>46135.47881944444</v>
      </c>
      <c r="BE1070" t="inlineStr">
        <is>
          <t>pending</t>
        </is>
      </c>
      <c r="BF1070"/>
      <c r="BG1070" t="inlineStr">
        <is>
          <t>Reschedule</t>
        </is>
      </c>
      <c r="BH1070" t="inlineStr">
        <is>
          <t>Reagen</t>
        </is>
      </c>
      <c r="BI1070"/>
      <c r="BJ1070" s="4">
        <v>46144.75224537037</v>
      </c>
      <c r="BK1070" s="4">
        <v>45727.62596064815</v>
      </c>
      <c r="BL1070" t="inlineStr">
        <is>
          <t>0.0</t>
        </is>
      </c>
      <c r="BM1070" t="inlineStr">
        <is>
          <t>0.0</t>
        </is>
      </c>
      <c r="BN1070"/>
      <c r="BO1070" s="4"/>
      <c r="BP1070">
        <v>167976</v>
      </c>
      <c r="BQ1070">
        <v>104211</v>
      </c>
      <c r="BR1070" t="inlineStr">
        <is>
          <t>Proforma</t>
        </is>
      </c>
      <c r="BS1070" t="inlineStr">
        <is>
          <t>Ala Carte Single</t>
        </is>
      </c>
      <c r="BT1070"/>
      <c r="BU1070"/>
      <c r="BV1070">
        <v>2722854</v>
      </c>
      <c r="BW1070" t="inlineStr">
        <is>
          <t>No Answer : Voicemail - Email sent to customer</t>
        </is>
      </c>
      <c r="BX1070"/>
      <c r="BY1070"/>
      <c r="BZ1070" s="4"/>
      <c r="CA1070"/>
      <c r="CB1070"/>
      <c r="CC1070" s="4"/>
      <c r="CD1070" t="inlineStr">
        <is>
          <t>20</t>
        </is>
      </c>
      <c r="CE1070" t="inlineStr">
        <is>
          <t>0</t>
        </is>
      </c>
      <c r="CF1070" t="inlineStr">
        <is>
          <t>Q2-W03</t>
        </is>
      </c>
      <c r="CG1070"/>
      <c r="CH1070"/>
      <c r="CI1070"/>
      <c r="CJ1070" t="inlineStr">
        <is>
          <t>No Paid</t>
        </is>
      </c>
      <c r="CK1070" t="inlineStr">
        <is>
          <t>Not Eligible</t>
        </is>
      </c>
      <c r="CL1070"/>
      <c r="CM1070"/>
    </row>
    <row r="1071" ht="25.5" customHeight="1">
      <c r="A1071" t="inlineStr">
        <is>
          <t>4308749</t>
        </is>
      </c>
      <c r="B1071" s="2"/>
      <c r="C1071"/>
      <c r="D1071" s="3">
        <v>46133.467939814815</v>
      </c>
      <c r="E1071" t="inlineStr">
        <is>
          <t>Q2-W03</t>
        </is>
      </c>
      <c r="F1071" t="inlineStr">
        <is>
          <t>Eugene</t>
        </is>
      </c>
      <c r="G1071" t="inlineStr">
        <is>
          <t>Lead</t>
        </is>
      </c>
      <c r="H1071" s="2" t="str">
        <f>=HYPERLINK("https://upbox.ajobthing.my/leads/4308749", "https://upbox.ajobthing.my/leads/4308749")</f>
        <v>https://upbox.ajobthing.my/leads/4308749</v>
      </c>
      <c r="I1071" t="inlineStr">
        <is>
          <t>Hasri Urus Harta</t>
        </is>
      </c>
      <c r="J1071" t="inlineStr">
        <is>
          <t>Small Fish</t>
        </is>
      </c>
      <c r="K1071" t="inlineStr">
        <is>
          <t>Eugene</t>
        </is>
      </c>
      <c r="L1071" s="4"/>
      <c r="M1071" s="4">
        <v>46133.46885416667</v>
      </c>
      <c r="N1071"/>
      <c r="O1071">
        <v>11448</v>
      </c>
      <c r="P1071" s="4"/>
      <c r="Q1071" s="4"/>
      <c r="R1071"/>
      <c r="S1071"/>
      <c r="T1071" s="4"/>
      <c r="U1071" s="4"/>
      <c r="V1071"/>
      <c r="W1071"/>
      <c r="X1071"/>
      <c r="Y1071" t="inlineStr">
        <is>
          <t>Pending Appointment</t>
        </is>
      </c>
      <c r="Z1071" t="inlineStr">
        <is>
          <t>Hiring Now</t>
        </is>
      </c>
      <c r="AA1071">
        <v>6</v>
      </c>
      <c r="AB1071" t="inlineStr">
        <is>
          <t>No Appointment Made</t>
        </is>
      </c>
      <c r="AC1071"/>
      <c r="AD1071" t="inlineStr">
        <is>
          <t>6 positions, based in Selangor</t>
        </is>
      </c>
      <c r="AE1071"/>
      <c r="AF1071">
        <v>5000</v>
      </c>
      <c r="AG1071" s="4"/>
      <c r="AH1071" s="4"/>
      <c r="AI1071">
        <v>5000</v>
      </c>
      <c r="AJ1071">
        <v>3</v>
      </c>
      <c r="AK1071" t="inlineStr">
        <is>
          <t>No, I don't need at all</t>
        </is>
      </c>
      <c r="AL1071">
        <v>1</v>
      </c>
      <c r="AM1071" t="inlineStr">
        <is>
          <t>No, I don't need at all</t>
        </is>
      </c>
      <c r="AN1071"/>
      <c r="AO1071" t="inlineStr">
        <is>
          <t>No, I don't need at all</t>
        </is>
      </c>
      <c r="AP1071" t="inlineStr">
        <is>
          <t>Once per quarter (75%)</t>
        </is>
      </c>
      <c r="AQ1071">
        <v>15</v>
      </c>
      <c r="AR1071" t="inlineStr">
        <is>
          <t>Did not use any job portal</t>
        </is>
      </c>
      <c r="AS1071" t="inlineStr">
        <is>
          <t>- Headcount: 6
- Hiring Job Details: 6 positions, based in Selangor
- Hiring Urgency: Hiring Now
- Number of outlets: 3
- Have recruiter team: No, I don't need at all
- Number of recruiter in company: 1
- Have ATS system: No, I don't need at all
- Have career website: No, I don't need at all
- Current hiring budget: RM5,000
- Whole year budget: RM5,000.00
- Whole year number of vacancies: 15
- Hiring frequency: Once per quarter (75%)
- External job portal: Did not use any job portal</t>
        </is>
      </c>
      <c r="AT1071">
        <v>75</v>
      </c>
      <c r="AU1071" t="inlineStr">
        <is>
          <t>0.75</t>
        </is>
      </c>
      <c r="AV1071" t="inlineStr">
        <is>
          <t>20</t>
        </is>
      </c>
      <c r="AW1071" t="inlineStr">
        <is>
          <t>0</t>
        </is>
      </c>
      <c r="AX1071" t="inlineStr">
        <is>
          <t>Not Qualified</t>
        </is>
      </c>
      <c r="AY1071" s="4"/>
      <c r="AZ1071"/>
      <c r="BA1071"/>
      <c r="BB1071"/>
      <c r="BC1071"/>
      <c r="BD1071" s="4"/>
      <c r="BE1071"/>
      <c r="BF1071"/>
      <c r="BG1071" t="inlineStr">
        <is>
          <t>Reschedule</t>
        </is>
      </c>
      <c r="BH1071" t="inlineStr">
        <is>
          <t>Edward Hoo</t>
        </is>
      </c>
      <c r="BI1071"/>
      <c r="BJ1071" s="4">
        <v>46144.75587962963</v>
      </c>
      <c r="BK1071" s="4">
        <v>46133.44565972222</v>
      </c>
      <c r="BL1071" t="inlineStr">
        <is>
          <t>0.0</t>
        </is>
      </c>
      <c r="BM1071" t="inlineStr">
        <is>
          <t>0.0</t>
        </is>
      </c>
      <c r="BN1071"/>
      <c r="BO1071" s="4"/>
      <c r="BP1071">
        <v>167978</v>
      </c>
      <c r="BQ1071"/>
      <c r="BR1071"/>
      <c r="BS1071"/>
      <c r="BT1071"/>
      <c r="BU1071"/>
      <c r="BV1071"/>
      <c r="BW1071"/>
      <c r="BX1071"/>
      <c r="BY1071"/>
      <c r="BZ1071" s="4"/>
      <c r="CA1071"/>
      <c r="CB1071"/>
      <c r="CC1071" s="4"/>
      <c r="CD1071" t="inlineStr">
        <is>
          <t>30</t>
        </is>
      </c>
      <c r="CE1071" t="inlineStr">
        <is>
          <t>0</t>
        </is>
      </c>
      <c r="CF1071" t="inlineStr">
        <is>
          <t>Q2-W03</t>
        </is>
      </c>
      <c r="CG1071"/>
      <c r="CH1071"/>
      <c r="CI1071"/>
      <c r="CJ1071" t="inlineStr">
        <is>
          <t>No Paid</t>
        </is>
      </c>
      <c r="CK1071" t="inlineStr">
        <is>
          <t>Not Eligible</t>
        </is>
      </c>
      <c r="CL1071"/>
      <c r="CM1071"/>
    </row>
    <row r="1072" ht="25.5" customHeight="1">
      <c r="A1072" t="inlineStr">
        <is>
          <t>203460</t>
        </is>
      </c>
      <c r="B1072" s="2"/>
      <c r="C1072"/>
      <c r="D1072" s="3">
        <v>46133.47096064815</v>
      </c>
      <c r="E1072" t="inlineStr">
        <is>
          <t>Q2-W03</t>
        </is>
      </c>
      <c r="F1072" t="inlineStr">
        <is>
          <t>Keegan</t>
        </is>
      </c>
      <c r="G1072" t="inlineStr">
        <is>
          <t>Customer</t>
        </is>
      </c>
      <c r="H1072" s="2" t="str">
        <f>=HYPERLINK("https://upbox.ajobthing.my/customer/203460", "https://upbox.ajobthing.my/customer/203460")</f>
        <v>https://upbox.ajobthing.my/customer/203460</v>
      </c>
      <c r="I1072" t="inlineStr">
        <is>
          <t>Beribu Bintang Cafe</t>
        </is>
      </c>
      <c r="J1072" t="inlineStr">
        <is>
          <t>Small Fish</t>
        </is>
      </c>
      <c r="K1072" t="inlineStr">
        <is>
          <t>Keegan</t>
        </is>
      </c>
      <c r="L1072" s="4"/>
      <c r="M1072" s="4">
        <v>46133.471030092594</v>
      </c>
      <c r="N1072"/>
      <c r="O1072">
        <v>3888</v>
      </c>
      <c r="P1072" s="4"/>
      <c r="Q1072" s="4">
        <v>46133.43399305556</v>
      </c>
      <c r="R1072"/>
      <c r="S1072">
        <v>0</v>
      </c>
      <c r="T1072" s="4"/>
      <c r="U1072" s="4"/>
      <c r="V1072"/>
      <c r="W1072"/>
      <c r="X1072"/>
      <c r="Y1072" t="inlineStr">
        <is>
          <t>Pending Appointment</t>
        </is>
      </c>
      <c r="Z1072" t="inlineStr">
        <is>
          <t>Hiring Now</t>
        </is>
      </c>
      <c r="AA1072">
        <v>2</v>
      </c>
      <c r="AB1072" t="inlineStr">
        <is>
          <t>No Appointment Made</t>
        </is>
      </c>
      <c r="AC1072"/>
      <c r="AD1072" t="inlineStr">
        <is>
          <t xml:space="preserve">1. Kitchen Crew 
2. Service Crew </t>
        </is>
      </c>
      <c r="AE1072"/>
      <c r="AF1072"/>
      <c r="AG1072" s="4"/>
      <c r="AH1072" s="4"/>
      <c r="AI1072"/>
      <c r="AJ1072">
        <v>1</v>
      </c>
      <c r="AK1072" t="inlineStr">
        <is>
          <t>No, I don't need at all</t>
        </is>
      </c>
      <c r="AL1072">
        <v>0</v>
      </c>
      <c r="AM1072" t="inlineStr">
        <is>
          <t>No, I don't need at all</t>
        </is>
      </c>
      <c r="AN1072"/>
      <c r="AO1072" t="inlineStr">
        <is>
          <t>No, I don't need at all</t>
        </is>
      </c>
      <c r="AP1072" t="inlineStr">
        <is>
          <t>Once per quarter (75%)</t>
        </is>
      </c>
      <c r="AQ1072"/>
      <c r="AR1072" t="inlineStr">
        <is>
          <t>Did not use any job portal</t>
        </is>
      </c>
      <c r="AS1072" t="inlineStr">
        <is>
          <t>- Headcount: 2
- Hiring Job Details: 1. Kitchen Crew 2. Service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072">
        <v>75</v>
      </c>
      <c r="AU1072" t="inlineStr">
        <is>
          <t>0.75</t>
        </is>
      </c>
      <c r="AV1072" t="inlineStr">
        <is>
          <t>5</t>
        </is>
      </c>
      <c r="AW1072" t="inlineStr">
        <is>
          <t>0</t>
        </is>
      </c>
      <c r="AX1072" t="inlineStr">
        <is>
          <t>Not Qualified</t>
        </is>
      </c>
      <c r="AY1072" s="4"/>
      <c r="AZ1072"/>
      <c r="BA1072"/>
      <c r="BB1072"/>
      <c r="BC1072" t="inlineStr">
        <is>
          <t>pending decision</t>
        </is>
      </c>
      <c r="BD1072" s="4">
        <v>46135.738599537035</v>
      </c>
      <c r="BE1072" t="inlineStr">
        <is>
          <t>paid</t>
        </is>
      </c>
      <c r="BF1072"/>
      <c r="BG1072" t="inlineStr">
        <is>
          <t>Reschedule</t>
        </is>
      </c>
      <c r="BH1072" t="inlineStr">
        <is>
          <t>Edward Hoo</t>
        </is>
      </c>
      <c r="BI1072"/>
      <c r="BJ1072" s="4">
        <v>46144.75430555556</v>
      </c>
      <c r="BK1072" s="4">
        <v>46133.43344907407</v>
      </c>
      <c r="BL1072" t="inlineStr">
        <is>
          <t>0.0</t>
        </is>
      </c>
      <c r="BM1072" t="inlineStr">
        <is>
          <t>0.0</t>
        </is>
      </c>
      <c r="BN1072" t="inlineStr">
        <is>
          <t>View Create Job Page V4</t>
        </is>
      </c>
      <c r="BO1072" s="4">
        <v>46133.442199074074</v>
      </c>
      <c r="BP1072">
        <v>167981</v>
      </c>
      <c r="BQ1072">
        <v>123412</v>
      </c>
      <c r="BR1072" t="inlineStr">
        <is>
          <t>Proforma</t>
        </is>
      </c>
      <c r="BS1072" t="inlineStr">
        <is>
          <t>Free Part-Time Job</t>
        </is>
      </c>
      <c r="BT1072"/>
      <c r="BU1072"/>
      <c r="BV1072">
        <v>2725112</v>
      </c>
      <c r="BW1072" t="inlineStr">
        <is>
          <t>Follow Up : Decision Pending</t>
        </is>
      </c>
      <c r="BX1072"/>
      <c r="BY1072"/>
      <c r="BZ1072" s="4"/>
      <c r="CA1072"/>
      <c r="CB1072"/>
      <c r="CC1072" s="4"/>
      <c r="CD1072" t="inlineStr">
        <is>
          <t>5</t>
        </is>
      </c>
      <c r="CE1072" t="inlineStr">
        <is>
          <t>0</t>
        </is>
      </c>
      <c r="CF1072" t="inlineStr">
        <is>
          <t>Q2-W03</t>
        </is>
      </c>
      <c r="CG1072" t="inlineStr">
        <is>
          <t>Q2-W03</t>
        </is>
      </c>
      <c r="CH1072"/>
      <c r="CI1072"/>
      <c r="CJ1072" t="inlineStr">
        <is>
          <t>No Paid</t>
        </is>
      </c>
      <c r="CK1072" t="inlineStr">
        <is>
          <t>Not Eligible</t>
        </is>
      </c>
      <c r="CL1072"/>
      <c r="CM1072"/>
    </row>
    <row r="1073" ht="25.5" customHeight="1">
      <c r="A1073" t="inlineStr">
        <is>
          <t>203366</t>
        </is>
      </c>
      <c r="B1073" s="2"/>
      <c r="C1073"/>
      <c r="D1073" s="3">
        <v>46133.476805555554</v>
      </c>
      <c r="E1073" t="inlineStr">
        <is>
          <t>Q2-W03</t>
        </is>
      </c>
      <c r="F1073" t="inlineStr">
        <is>
          <t>Keegan</t>
        </is>
      </c>
      <c r="G1073" t="inlineStr">
        <is>
          <t>Customer</t>
        </is>
      </c>
      <c r="H1073" s="2" t="str">
        <f>=HYPERLINK("https://upbox.ajobthing.my/customer/203366", "https://upbox.ajobthing.my/customer/203366")</f>
        <v>https://upbox.ajobthing.my/customer/203366</v>
      </c>
      <c r="I1073" t="inlineStr">
        <is>
          <t>Singapore Immigration Partners</t>
        </is>
      </c>
      <c r="J1073" t="inlineStr">
        <is>
          <t>Small Fish</t>
        </is>
      </c>
      <c r="K1073" t="inlineStr">
        <is>
          <t>Keegan</t>
        </is>
      </c>
      <c r="L1073" s="4"/>
      <c r="M1073" s="4">
        <v>46133.478171296294</v>
      </c>
      <c r="N1073"/>
      <c r="O1073">
        <v>3672</v>
      </c>
      <c r="P1073" s="4"/>
      <c r="Q1073" s="4"/>
      <c r="R1073"/>
      <c r="S1073"/>
      <c r="T1073" s="4"/>
      <c r="U1073" s="4"/>
      <c r="V1073"/>
      <c r="W1073"/>
      <c r="X1073"/>
      <c r="Y1073" t="inlineStr">
        <is>
          <t>Pending Appointment</t>
        </is>
      </c>
      <c r="Z1073" t="inlineStr">
        <is>
          <t>Hiring Now</t>
        </is>
      </c>
      <c r="AA1073">
        <v>2</v>
      </c>
      <c r="AB1073" t="inlineStr">
        <is>
          <t>No Appointment Made</t>
        </is>
      </c>
      <c r="AC1073"/>
      <c r="AD1073" t="inlineStr">
        <is>
          <t xml:space="preserve">1. Admin 
2. Sales </t>
        </is>
      </c>
      <c r="AE1073"/>
      <c r="AF1073"/>
      <c r="AG1073" s="4"/>
      <c r="AH1073" s="4"/>
      <c r="AI1073"/>
      <c r="AJ1073">
        <v>1</v>
      </c>
      <c r="AK1073" t="inlineStr">
        <is>
          <t>No, I don't need at all</t>
        </is>
      </c>
      <c r="AL1073">
        <v>0</v>
      </c>
      <c r="AM1073" t="inlineStr">
        <is>
          <t>No, I don't need at all</t>
        </is>
      </c>
      <c r="AN1073"/>
      <c r="AO1073" t="inlineStr">
        <is>
          <t>No, I don't need at all</t>
        </is>
      </c>
      <c r="AP1073" t="inlineStr">
        <is>
          <t>Once per quarter (75%)</t>
        </is>
      </c>
      <c r="AQ1073"/>
      <c r="AR1073" t="inlineStr">
        <is>
          <t>Did not use any job portal</t>
        </is>
      </c>
      <c r="AS1073" t="inlineStr">
        <is>
          <t>- Headcount: 2
- Hiring Job Details: 1. Admin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073">
        <v>85</v>
      </c>
      <c r="AU1073" t="inlineStr">
        <is>
          <t>0.85</t>
        </is>
      </c>
      <c r="AV1073" t="inlineStr">
        <is>
          <t>5</t>
        </is>
      </c>
      <c r="AW1073" t="inlineStr">
        <is>
          <t>0</t>
        </is>
      </c>
      <c r="AX1073" t="inlineStr">
        <is>
          <t>Not Qualified</t>
        </is>
      </c>
      <c r="AY1073" s="4"/>
      <c r="AZ1073"/>
      <c r="BA1073"/>
      <c r="BB1073"/>
      <c r="BC1073" t="inlineStr">
        <is>
          <t>- Headcount: 2
- Hiring Job Details: 1. Admin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073" s="4">
        <v>46133.50019675926</v>
      </c>
      <c r="BE1073"/>
      <c r="BF1073"/>
      <c r="BG1073" t="inlineStr">
        <is>
          <t>Reschedule</t>
        </is>
      </c>
      <c r="BH1073" t="inlineStr">
        <is>
          <t>Edward Hoo</t>
        </is>
      </c>
      <c r="BI1073"/>
      <c r="BJ1073" s="4">
        <v>46144.754282407404</v>
      </c>
      <c r="BK1073" s="4">
        <v>46129.678136574075</v>
      </c>
      <c r="BL1073" t="inlineStr">
        <is>
          <t>0.0</t>
        </is>
      </c>
      <c r="BM1073" t="inlineStr">
        <is>
          <t>0.0</t>
        </is>
      </c>
      <c r="BN1073" t="inlineStr">
        <is>
          <t>View Company Page</t>
        </is>
      </c>
      <c r="BO1073" s="4">
        <v>46133.405960648146</v>
      </c>
      <c r="BP1073">
        <v>167985</v>
      </c>
      <c r="BQ1073"/>
      <c r="BR1073"/>
      <c r="BS1073"/>
      <c r="BT1073"/>
      <c r="BU1073"/>
      <c r="BV1073">
        <v>2717582</v>
      </c>
      <c r="BW1073" t="inlineStr">
        <is>
          <t>Customer Inquiry</t>
        </is>
      </c>
      <c r="BX1073"/>
      <c r="BY1073"/>
      <c r="BZ1073" s="4"/>
      <c r="CA1073"/>
      <c r="CB1073"/>
      <c r="CC1073" s="4"/>
      <c r="CD1073" t="inlineStr">
        <is>
          <t>5</t>
        </is>
      </c>
      <c r="CE1073" t="inlineStr">
        <is>
          <t>0</t>
        </is>
      </c>
      <c r="CF1073" t="inlineStr">
        <is>
          <t>Q2-W03</t>
        </is>
      </c>
      <c r="CG1073"/>
      <c r="CH1073"/>
      <c r="CI1073"/>
      <c r="CJ1073" t="inlineStr">
        <is>
          <t>No Paid</t>
        </is>
      </c>
      <c r="CK1073" t="inlineStr">
        <is>
          <t>Not Eligible</t>
        </is>
      </c>
      <c r="CL1073"/>
      <c r="CM1073"/>
    </row>
    <row r="1074" ht="25.5" customHeight="1">
      <c r="A1074" t="inlineStr">
        <is>
          <t>203452</t>
        </is>
      </c>
      <c r="B1074" s="2"/>
      <c r="C1074"/>
      <c r="D1074" s="3">
        <v>46133.48243055555</v>
      </c>
      <c r="E1074" t="inlineStr">
        <is>
          <t>Q2-W03</t>
        </is>
      </c>
      <c r="F1074" t="inlineStr">
        <is>
          <t>Ken Yi</t>
        </is>
      </c>
      <c r="G1074" t="inlineStr">
        <is>
          <t>Customer</t>
        </is>
      </c>
      <c r="H1074" s="2" t="str">
        <f>=HYPERLINK("https://upbox.ajobthing.my/customer/203452", "https://upbox.ajobthing.my/customer/203452")</f>
        <v>https://upbox.ajobthing.my/customer/203452</v>
      </c>
      <c r="I1074" t="inlineStr">
        <is>
          <t>Velos Wheel Auto Supply Sdn Bhd</t>
        </is>
      </c>
      <c r="J1074" t="inlineStr">
        <is>
          <t>Small Fish</t>
        </is>
      </c>
      <c r="K1074" t="inlineStr">
        <is>
          <t>Kenyi</t>
        </is>
      </c>
      <c r="L1074" s="4"/>
      <c r="M1074" s="4">
        <v>46140.44196759259</v>
      </c>
      <c r="N1074"/>
      <c r="O1074">
        <v>3576.96</v>
      </c>
      <c r="P1074" s="4"/>
      <c r="Q1074" s="4">
        <v>46132.91550925926</v>
      </c>
      <c r="R1074"/>
      <c r="S1074">
        <v>0</v>
      </c>
      <c r="T1074" s="4"/>
      <c r="U1074" s="4"/>
      <c r="V1074"/>
      <c r="W1074"/>
      <c r="X1074"/>
      <c r="Y1074" t="inlineStr">
        <is>
          <t>Pending Appointment</t>
        </is>
      </c>
      <c r="Z1074" t="inlineStr">
        <is>
          <t>Hiring Now</t>
        </is>
      </c>
      <c r="AA1074">
        <v>1</v>
      </c>
      <c r="AB1074" t="inlineStr">
        <is>
          <t>No Appointment Made</t>
        </is>
      </c>
      <c r="AC1074"/>
      <c r="AD1074" t="inlineStr">
        <is>
          <t>Admin Clerk 1</t>
        </is>
      </c>
      <c r="AE1074"/>
      <c r="AF1074">
        <v>0</v>
      </c>
      <c r="AG1074" s="4"/>
      <c r="AH1074" s="4"/>
      <c r="AI1074">
        <v>0</v>
      </c>
      <c r="AJ1074">
        <v>1</v>
      </c>
      <c r="AK1074" t="inlineStr">
        <is>
          <t>Yes, I have</t>
        </is>
      </c>
      <c r="AL1074">
        <v>1</v>
      </c>
      <c r="AM1074" t="inlineStr">
        <is>
          <t>No, I don't need at all</t>
        </is>
      </c>
      <c r="AN1074"/>
      <c r="AO1074" t="inlineStr">
        <is>
          <t>No, I don't need at all</t>
        </is>
      </c>
      <c r="AP1074" t="inlineStr">
        <is>
          <t>Every month (100%)</t>
        </is>
      </c>
      <c r="AQ1074">
        <v>1</v>
      </c>
      <c r="AR1074" t="inlineStr">
        <is>
          <t>Did not use any job portal</t>
        </is>
      </c>
      <c r="AS1074" t="inlineStr">
        <is>
          <t>- Headcount: 1
- Hiring Job Details: 1 Admin Clerk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1074">
        <v>115</v>
      </c>
      <c r="AU1074" t="inlineStr">
        <is>
          <t>1.15</t>
        </is>
      </c>
      <c r="AV1074" t="inlineStr">
        <is>
          <t>15</t>
        </is>
      </c>
      <c r="AW1074" t="inlineStr">
        <is>
          <t>0</t>
        </is>
      </c>
      <c r="AX1074" t="inlineStr">
        <is>
          <t>Not Qualified</t>
        </is>
      </c>
      <c r="AY1074" s="4"/>
      <c r="AZ1074"/>
      <c r="BA1074"/>
      <c r="BB1074"/>
      <c r="BC1074" t="inlineStr">
        <is>
          <t>Share promotion pricing, for flash sales</t>
        </is>
      </c>
      <c r="BD1074" s="4">
        <v>46140.44396990741</v>
      </c>
      <c r="BE1074" t="inlineStr">
        <is>
          <t>paid</t>
        </is>
      </c>
      <c r="BF1074"/>
      <c r="BG1074" t="inlineStr">
        <is>
          <t>Reschedule</t>
        </is>
      </c>
      <c r="BH1074" t="inlineStr">
        <is>
          <t>Fauziah Maharan</t>
        </is>
      </c>
      <c r="BI1074"/>
      <c r="BJ1074" s="4">
        <v>46144.75430555556</v>
      </c>
      <c r="BK1074" s="4">
        <v>46132.91489583333</v>
      </c>
      <c r="BL1074" t="inlineStr">
        <is>
          <t>0.0</t>
        </is>
      </c>
      <c r="BM1074" t="inlineStr">
        <is>
          <t>0.0</t>
        </is>
      </c>
      <c r="BN1074" t="inlineStr">
        <is>
          <t>View Create Job Page V4</t>
        </is>
      </c>
      <c r="BO1074" s="4">
        <v>46132.928298611114</v>
      </c>
      <c r="BP1074">
        <v>169142</v>
      </c>
      <c r="BQ1074">
        <v>123364</v>
      </c>
      <c r="BR1074" t="inlineStr">
        <is>
          <t>Proforma</t>
        </is>
      </c>
      <c r="BS1074" t="inlineStr">
        <is>
          <t>Free Part-Time Job</t>
        </is>
      </c>
      <c r="BT1074"/>
      <c r="BU1074"/>
      <c r="BV1074">
        <v>2731893</v>
      </c>
      <c r="BW1074" t="inlineStr">
        <is>
          <t>Follow Up : Quotation Sent 50%</t>
        </is>
      </c>
      <c r="BX1074"/>
      <c r="BY1074"/>
      <c r="BZ1074" s="4"/>
      <c r="CA1074"/>
      <c r="CB1074"/>
      <c r="CC1074" s="4"/>
      <c r="CD1074" t="inlineStr">
        <is>
          <t>20</t>
        </is>
      </c>
      <c r="CE1074" t="inlineStr">
        <is>
          <t>0</t>
        </is>
      </c>
      <c r="CF1074" t="inlineStr">
        <is>
          <t>Q2-W04</t>
        </is>
      </c>
      <c r="CG1074" t="inlineStr">
        <is>
          <t>Q2-W03</t>
        </is>
      </c>
      <c r="CH1074"/>
      <c r="CI1074"/>
      <c r="CJ1074" t="inlineStr">
        <is>
          <t>No Paid</t>
        </is>
      </c>
      <c r="CK1074" t="inlineStr">
        <is>
          <t>Not Eligible</t>
        </is>
      </c>
      <c r="CL1074"/>
      <c r="CM1074"/>
    </row>
    <row r="1075" ht="25.5" customHeight="1">
      <c r="A1075" t="inlineStr">
        <is>
          <t>4308876</t>
        </is>
      </c>
      <c r="B1075" s="2"/>
      <c r="C1075"/>
      <c r="D1075" s="3">
        <v>46133.49696759259</v>
      </c>
      <c r="E1075" t="inlineStr">
        <is>
          <t>Q2-W03</t>
        </is>
      </c>
      <c r="F1075" t="inlineStr">
        <is>
          <t>Jeff Lee</t>
        </is>
      </c>
      <c r="G1075" t="inlineStr">
        <is>
          <t>Lead</t>
        </is>
      </c>
      <c r="H1075" s="2" t="str">
        <f>=HYPERLINK("https://upbox.ajobthing.my/leads/4308876", "https://upbox.ajobthing.my/leads/4308876")</f>
        <v>https://upbox.ajobthing.my/leads/4308876</v>
      </c>
      <c r="I1075" t="inlineStr">
        <is>
          <t>MMG WORKSHOP ENTERPRISE</t>
        </is>
      </c>
      <c r="J1075" t="inlineStr">
        <is>
          <t>Small Fish</t>
        </is>
      </c>
      <c r="K1075" t="inlineStr">
        <is>
          <t>Jeff Lee</t>
        </is>
      </c>
      <c r="L1075" s="4"/>
      <c r="M1075" s="4">
        <v>46133.493113425924</v>
      </c>
      <c r="N1075"/>
      <c r="O1075">
        <v>3888</v>
      </c>
      <c r="P1075" s="4"/>
      <c r="Q1075" s="4"/>
      <c r="R1075"/>
      <c r="S1075"/>
      <c r="T1075" s="4"/>
      <c r="U1075" s="4"/>
      <c r="V1075"/>
      <c r="W1075"/>
      <c r="X1075"/>
      <c r="Y1075" t="inlineStr">
        <is>
          <t>Pending Appointment</t>
        </is>
      </c>
      <c r="Z1075" t="inlineStr">
        <is>
          <t>Hiring Now</t>
        </is>
      </c>
      <c r="AA1075">
        <v>2</v>
      </c>
      <c r="AB1075" t="inlineStr">
        <is>
          <t>No Appointment Made</t>
        </is>
      </c>
      <c r="AC1075"/>
      <c r="AD1075" t="inlineStr">
        <is>
          <t>2 mechanical repair lorry</t>
        </is>
      </c>
      <c r="AE1075"/>
      <c r="AF1075">
        <v>0</v>
      </c>
      <c r="AG1075" s="4"/>
      <c r="AH1075" s="4"/>
      <c r="AI1075">
        <v>0</v>
      </c>
      <c r="AJ1075">
        <v>0</v>
      </c>
      <c r="AK1075" t="inlineStr">
        <is>
          <t>No, I don't need at all</t>
        </is>
      </c>
      <c r="AL1075">
        <v>0</v>
      </c>
      <c r="AM1075" t="inlineStr">
        <is>
          <t>No, I don't need at all</t>
        </is>
      </c>
      <c r="AN1075"/>
      <c r="AO1075" t="inlineStr">
        <is>
          <t>No, I don't need at all</t>
        </is>
      </c>
      <c r="AP1075" t="inlineStr">
        <is>
          <t>Once a year (25%)</t>
        </is>
      </c>
      <c r="AQ1075">
        <v>2</v>
      </c>
      <c r="AR1075" t="inlineStr">
        <is>
          <t>Did not use any job portal</t>
        </is>
      </c>
      <c r="AS1075" t="inlineStr">
        <is>
          <t>- Headcount: 2
- Hiring Job Details: 2 mechanical repair lorry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1075">
        <v>105</v>
      </c>
      <c r="AU1075" t="inlineStr">
        <is>
          <t>1.05</t>
        </is>
      </c>
      <c r="AV1075" t="inlineStr">
        <is>
          <t>15</t>
        </is>
      </c>
      <c r="AW1075" t="inlineStr">
        <is>
          <t>0</t>
        </is>
      </c>
      <c r="AX1075" t="inlineStr">
        <is>
          <t>Not Qualified</t>
        </is>
      </c>
      <c r="AY1075" s="4"/>
      <c r="AZ1075"/>
      <c r="BA1075"/>
      <c r="BB1075"/>
      <c r="BC1075"/>
      <c r="BD1075" s="4"/>
      <c r="BE1075"/>
      <c r="BF1075"/>
      <c r="BG1075" t="inlineStr">
        <is>
          <t>Reschedule</t>
        </is>
      </c>
      <c r="BH1075" t="inlineStr">
        <is>
          <t>Yee Hang</t>
        </is>
      </c>
      <c r="BI1075"/>
      <c r="BJ1075" s="4">
        <v>46144.75587962963</v>
      </c>
      <c r="BK1075" s="4">
        <v>46133.469814814816</v>
      </c>
      <c r="BL1075" t="inlineStr">
        <is>
          <t>0.0</t>
        </is>
      </c>
      <c r="BM1075" t="inlineStr">
        <is>
          <t>0.0</t>
        </is>
      </c>
      <c r="BN1075"/>
      <c r="BO1075" s="4"/>
      <c r="BP1075">
        <v>167998</v>
      </c>
      <c r="BQ1075"/>
      <c r="BR1075"/>
      <c r="BS1075"/>
      <c r="BT1075"/>
      <c r="BU1075"/>
      <c r="BV1075"/>
      <c r="BW1075"/>
      <c r="BX1075"/>
      <c r="BY1075"/>
      <c r="BZ1075" s="4"/>
      <c r="CA1075"/>
      <c r="CB1075"/>
      <c r="CC1075" s="4"/>
      <c r="CD1075" t="inlineStr">
        <is>
          <t>20</t>
        </is>
      </c>
      <c r="CE1075" t="inlineStr">
        <is>
          <t>0</t>
        </is>
      </c>
      <c r="CF1075" t="inlineStr">
        <is>
          <t>Q2-W03</t>
        </is>
      </c>
      <c r="CG1075"/>
      <c r="CH1075"/>
      <c r="CI1075"/>
      <c r="CJ1075" t="inlineStr">
        <is>
          <t>No Paid</t>
        </is>
      </c>
      <c r="CK1075" t="inlineStr">
        <is>
          <t>Not Eligible</t>
        </is>
      </c>
      <c r="CL1075"/>
      <c r="CM1075"/>
    </row>
    <row r="1076" ht="25.5" customHeight="1">
      <c r="A1076" t="inlineStr">
        <is>
          <t>191876</t>
        </is>
      </c>
      <c r="B1076" s="2"/>
      <c r="C1076"/>
      <c r="D1076" s="3">
        <v>46133.500127314815</v>
      </c>
      <c r="E1076" t="inlineStr">
        <is>
          <t>Q2-W03</t>
        </is>
      </c>
      <c r="F1076" t="inlineStr">
        <is>
          <t>Angel  Low</t>
        </is>
      </c>
      <c r="G1076" t="inlineStr">
        <is>
          <t>Customer</t>
        </is>
      </c>
      <c r="H1076" s="2" t="str">
        <f>=HYPERLINK("https://upbox.ajobthing.my/customer/191876", "https://upbox.ajobthing.my/customer/191876")</f>
        <v>https://upbox.ajobthing.my/customer/191876</v>
      </c>
      <c r="I1076" t="inlineStr">
        <is>
          <t>Eastcost Sdn</t>
        </is>
      </c>
      <c r="J1076" t="inlineStr">
        <is>
          <t>Small Fish</t>
        </is>
      </c>
      <c r="K1076" t="inlineStr">
        <is>
          <t>Angel Low</t>
        </is>
      </c>
      <c r="L1076" s="4"/>
      <c r="M1076" s="4">
        <v>46133.500601851854</v>
      </c>
      <c r="N1076"/>
      <c r="O1076">
        <v>5508</v>
      </c>
      <c r="P1076" s="4"/>
      <c r="Q1076" s="4">
        <v>46086.58405092593</v>
      </c>
      <c r="R1076"/>
      <c r="S1076">
        <v>0</v>
      </c>
      <c r="T1076" s="4"/>
      <c r="U1076" s="4"/>
      <c r="V1076"/>
      <c r="W1076"/>
      <c r="X1076"/>
      <c r="Y1076" t="inlineStr">
        <is>
          <t>Pending Appointment</t>
        </is>
      </c>
      <c r="Z1076"/>
      <c r="AA1076">
        <v>3</v>
      </c>
      <c r="AB1076" t="inlineStr">
        <is>
          <t>No Appointment Made</t>
        </is>
      </c>
      <c r="AC1076"/>
      <c r="AD1076" t="inlineStr">
        <is>
          <t xml:space="preserve">1 admin 1 sales 1 accounts </t>
        </is>
      </c>
      <c r="AE1076"/>
      <c r="AF1076"/>
      <c r="AG1076" s="4"/>
      <c r="AH1076" s="4"/>
      <c r="AI1076"/>
      <c r="AJ1076"/>
      <c r="AK1076"/>
      <c r="AL1076"/>
      <c r="AM1076"/>
      <c r="AN1076"/>
      <c r="AO1076"/>
      <c r="AP1076"/>
      <c r="AQ1076"/>
      <c r="AR1076"/>
      <c r="AS1076" t="inlineStr">
        <is>
          <t>- Headcount: 3
- Hiring Job Details: 1 admin, 1 sales, 1 accounts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076">
        <v>60</v>
      </c>
      <c r="AU1076" t="inlineStr">
        <is>
          <t>0.60</t>
        </is>
      </c>
      <c r="AV1076" t="inlineStr">
        <is>
          <t>5</t>
        </is>
      </c>
      <c r="AW1076" t="inlineStr">
        <is>
          <t>0</t>
        </is>
      </c>
      <c r="AX1076" t="inlineStr">
        <is>
          <t>Not Qualified</t>
        </is>
      </c>
      <c r="AY1076" s="4"/>
      <c r="AZ1076"/>
      <c r="BA1076"/>
      <c r="BB1076"/>
      <c r="BC1076" t="inlineStr">
        <is>
          <t>na.wa</t>
        </is>
      </c>
      <c r="BD1076" s="4">
        <v>46141.47443287037</v>
      </c>
      <c r="BE1076" t="inlineStr">
        <is>
          <t>paid</t>
        </is>
      </c>
      <c r="BF1076"/>
      <c r="BG1076" t="inlineStr">
        <is>
          <t>Reschedule</t>
        </is>
      </c>
      <c r="BH1076" t="inlineStr">
        <is>
          <t>Fauziah Maharan</t>
        </is>
      </c>
      <c r="BI1076"/>
      <c r="BJ1076" s="4">
        <v>46144.7524537037</v>
      </c>
      <c r="BK1076" s="4">
        <v>45804.98407407408</v>
      </c>
      <c r="BL1076" t="inlineStr">
        <is>
          <t>0.0</t>
        </is>
      </c>
      <c r="BM1076" t="inlineStr">
        <is>
          <t>0.0</t>
        </is>
      </c>
      <c r="BN1076" t="inlineStr">
        <is>
          <t>User Visit(Logged In)</t>
        </is>
      </c>
      <c r="BO1076" s="4">
        <v>45804.98409722222</v>
      </c>
      <c r="BP1076">
        <v>168003</v>
      </c>
      <c r="BQ1076">
        <v>116054</v>
      </c>
      <c r="BR1076" t="inlineStr">
        <is>
          <t>Proforma</t>
        </is>
      </c>
      <c r="BS1076" t="inlineStr">
        <is>
          <t>Free Internship Job</t>
        </is>
      </c>
      <c r="BT1076"/>
      <c r="BU1076"/>
      <c r="BV1076">
        <v>2734710</v>
      </c>
      <c r="BW1076" t="inlineStr">
        <is>
          <t>No Answer : Voicemail - WA sent to customer</t>
        </is>
      </c>
      <c r="BX1076"/>
      <c r="BY1076"/>
      <c r="BZ1076" s="4"/>
      <c r="CA1076"/>
      <c r="CB1076"/>
      <c r="CC1076" s="4"/>
      <c r="CD1076" t="inlineStr">
        <is>
          <t>5</t>
        </is>
      </c>
      <c r="CE1076" t="inlineStr">
        <is>
          <t>0</t>
        </is>
      </c>
      <c r="CF1076" t="inlineStr">
        <is>
          <t>Q2-W03</t>
        </is>
      </c>
      <c r="CG1076" t="inlineStr">
        <is>
          <t>Q1-W09</t>
        </is>
      </c>
      <c r="CH1076"/>
      <c r="CI1076"/>
      <c r="CJ1076" t="inlineStr">
        <is>
          <t>No Paid</t>
        </is>
      </c>
      <c r="CK1076" t="inlineStr">
        <is>
          <t>Not Eligible</t>
        </is>
      </c>
      <c r="CL1076"/>
      <c r="CM1076"/>
    </row>
    <row r="1077" ht="25.5" customHeight="1">
      <c r="A1077" t="inlineStr">
        <is>
          <t>203120</t>
        </is>
      </c>
      <c r="B1077" s="2"/>
      <c r="C1077"/>
      <c r="D1077" s="3">
        <v>46133.50108796296</v>
      </c>
      <c r="E1077" t="inlineStr">
        <is>
          <t>Q2-W03</t>
        </is>
      </c>
      <c r="F1077" t="inlineStr">
        <is>
          <t>Janice Yap</t>
        </is>
      </c>
      <c r="G1077" t="inlineStr">
        <is>
          <t>Customer</t>
        </is>
      </c>
      <c r="H1077" s="2" t="str">
        <f>=HYPERLINK("https://upbox.ajobthing.my/customer/203120", "https://upbox.ajobthing.my/customer/203120")</f>
        <v>https://upbox.ajobthing.my/customer/203120</v>
      </c>
      <c r="I1077" t="inlineStr">
        <is>
          <t>Power Infinity Automotive</t>
        </is>
      </c>
      <c r="J1077" t="inlineStr">
        <is>
          <t>Small Fish</t>
        </is>
      </c>
      <c r="K1077" t="inlineStr">
        <is>
          <t>Janice</t>
        </is>
      </c>
      <c r="L1077" s="4"/>
      <c r="M1077" s="4">
        <v>46133.4584375</v>
      </c>
      <c r="N1077"/>
      <c r="O1077">
        <v>1296</v>
      </c>
      <c r="P1077" s="4"/>
      <c r="Q1077" s="4">
        <v>46123.48951388889</v>
      </c>
      <c r="R1077"/>
      <c r="S1077">
        <v>0</v>
      </c>
      <c r="T1077" s="4"/>
      <c r="U1077" s="4"/>
      <c r="V1077"/>
      <c r="W1077"/>
      <c r="X1077"/>
      <c r="Y1077" t="inlineStr">
        <is>
          <t>Pending Appointment</t>
        </is>
      </c>
      <c r="Z1077" t="inlineStr">
        <is>
          <t>Hiring Now</t>
        </is>
      </c>
      <c r="AA1077">
        <v>2</v>
      </c>
      <c r="AB1077" t="inlineStr">
        <is>
          <t>No Appointment Made</t>
        </is>
      </c>
      <c r="AC1077"/>
      <c r="AD1077" t="inlineStr">
        <is>
          <t>2 foreman</t>
        </is>
      </c>
      <c r="AE1077"/>
      <c r="AF1077">
        <v>0</v>
      </c>
      <c r="AG1077" s="4"/>
      <c r="AH1077" s="4"/>
      <c r="AI1077">
        <v>0</v>
      </c>
      <c r="AJ1077"/>
      <c r="AK1077" t="inlineStr">
        <is>
          <t>No, I don't need at all</t>
        </is>
      </c>
      <c r="AL1077">
        <v>0</v>
      </c>
      <c r="AM1077" t="inlineStr">
        <is>
          <t>No, I don't need at all</t>
        </is>
      </c>
      <c r="AN1077"/>
      <c r="AO1077" t="inlineStr">
        <is>
          <t>No, I don't need at all</t>
        </is>
      </c>
      <c r="AP1077" t="inlineStr">
        <is>
          <t>Once a year (25%)</t>
        </is>
      </c>
      <c r="AQ1077">
        <v>2</v>
      </c>
      <c r="AR1077"/>
      <c r="AS1077" t="inlineStr">
        <is>
          <t>- Headcount: 2
- Hiring Job Details: 2 foreman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N/A</t>
        </is>
      </c>
      <c r="AT1077">
        <v>110</v>
      </c>
      <c r="AU1077" t="inlineStr">
        <is>
          <t>1.10</t>
        </is>
      </c>
      <c r="AV1077" t="inlineStr">
        <is>
          <t>15</t>
        </is>
      </c>
      <c r="AW1077" t="inlineStr">
        <is>
          <t>0</t>
        </is>
      </c>
      <c r="AX1077" t="inlineStr">
        <is>
          <t>Not Qualified</t>
        </is>
      </c>
      <c r="AY1077" s="4"/>
      <c r="AZ1077"/>
      <c r="BA1077"/>
      <c r="BB1077"/>
      <c r="BC1077" t="inlineStr">
        <is>
          <t>No need to post job ady // management on hold // lost</t>
        </is>
      </c>
      <c r="BD1077" s="4">
        <v>46135.56769675926</v>
      </c>
      <c r="BE1077" t="inlineStr">
        <is>
          <t>paid</t>
        </is>
      </c>
      <c r="BF1077"/>
      <c r="BG1077" t="inlineStr">
        <is>
          <t>Reschedule</t>
        </is>
      </c>
      <c r="BH1077" t="inlineStr">
        <is>
          <t>Yee Hang</t>
        </is>
      </c>
      <c r="BI1077"/>
      <c r="BJ1077" s="4">
        <v>46142.879212962966</v>
      </c>
      <c r="BK1077" s="4">
        <v>46123.488275462965</v>
      </c>
      <c r="BL1077" t="inlineStr">
        <is>
          <t>0.0</t>
        </is>
      </c>
      <c r="BM1077" t="inlineStr">
        <is>
          <t>0.0</t>
        </is>
      </c>
      <c r="BN1077" t="inlineStr">
        <is>
          <t>View Create Job Page V4</t>
        </is>
      </c>
      <c r="BO1077" s="4">
        <v>46123.66521990741</v>
      </c>
      <c r="BP1077">
        <v>167972</v>
      </c>
      <c r="BQ1077">
        <v>121837</v>
      </c>
      <c r="BR1077" t="inlineStr">
        <is>
          <t>Proforma</t>
        </is>
      </c>
      <c r="BS1077" t="inlineStr">
        <is>
          <t>Free Part-Time Job</t>
        </is>
      </c>
      <c r="BT1077"/>
      <c r="BU1077"/>
      <c r="BV1077">
        <v>2723263</v>
      </c>
      <c r="BW1077" t="inlineStr">
        <is>
          <t>Follow Up : Lost - Free Portal</t>
        </is>
      </c>
      <c r="BX1077"/>
      <c r="BY1077"/>
      <c r="BZ1077" s="4"/>
      <c r="CA1077"/>
      <c r="CB1077"/>
      <c r="CC1077" s="4"/>
      <c r="CD1077" t="inlineStr">
        <is>
          <t>20</t>
        </is>
      </c>
      <c r="CE1077" t="inlineStr">
        <is>
          <t>0</t>
        </is>
      </c>
      <c r="CF1077" t="inlineStr">
        <is>
          <t>Q2-W03</t>
        </is>
      </c>
      <c r="CG1077" t="inlineStr">
        <is>
          <t>Q2-W02</t>
        </is>
      </c>
      <c r="CH1077"/>
      <c r="CI1077"/>
      <c r="CJ1077" t="inlineStr">
        <is>
          <t>No Paid</t>
        </is>
      </c>
      <c r="CK1077" t="inlineStr">
        <is>
          <t>Not Eligible</t>
        </is>
      </c>
      <c r="CL1077"/>
      <c r="CM1077"/>
    </row>
    <row r="1078" ht="25.5" customHeight="1">
      <c r="A1078" t="inlineStr">
        <is>
          <t>185984</t>
        </is>
      </c>
      <c r="B1078" s="2"/>
      <c r="C1078"/>
      <c r="D1078" s="3">
        <v>46133.50239583333</v>
      </c>
      <c r="E1078" t="inlineStr">
        <is>
          <t>Q2-W03</t>
        </is>
      </c>
      <c r="F1078" t="inlineStr">
        <is>
          <t>Ratha</t>
        </is>
      </c>
      <c r="G1078" t="inlineStr">
        <is>
          <t>Customer</t>
        </is>
      </c>
      <c r="H1078" s="2" t="str">
        <f>=HYPERLINK("https://upbox.ajobthing.my/customer/185984", "https://upbox.ajobthing.my/customer/185984")</f>
        <v>https://upbox.ajobthing.my/customer/185984</v>
      </c>
      <c r="I1078" t="inlineStr">
        <is>
          <t>Leapfrog Distribution Sdn Bhd</t>
        </is>
      </c>
      <c r="J1078" t="inlineStr">
        <is>
          <t>Small Fish</t>
        </is>
      </c>
      <c r="K1078" t="inlineStr">
        <is>
          <t>Ratha</t>
        </is>
      </c>
      <c r="L1078" s="4"/>
      <c r="M1078" s="4">
        <v>46133.50273148148</v>
      </c>
      <c r="N1078"/>
      <c r="O1078">
        <v>3888</v>
      </c>
      <c r="P1078" s="4"/>
      <c r="Q1078" s="4"/>
      <c r="R1078"/>
      <c r="S1078"/>
      <c r="T1078" s="4"/>
      <c r="U1078" s="4"/>
      <c r="V1078"/>
      <c r="W1078"/>
      <c r="X1078"/>
      <c r="Y1078" t="inlineStr">
        <is>
          <t>Pending Appointment</t>
        </is>
      </c>
      <c r="Z1078" t="inlineStr">
        <is>
          <t>Hiring Later</t>
        </is>
      </c>
      <c r="AA1078">
        <v>1</v>
      </c>
      <c r="AB1078" t="inlineStr">
        <is>
          <t>No Appointment Made</t>
        </is>
      </c>
      <c r="AC1078"/>
      <c r="AD1078" t="inlineStr">
        <is>
          <t>marketing &amp; e commerce - location : PJ</t>
        </is>
      </c>
      <c r="AE1078"/>
      <c r="AF1078"/>
      <c r="AG1078" s="4"/>
      <c r="AH1078" s="4"/>
      <c r="AI1078">
        <v>0</v>
      </c>
      <c r="AJ1078">
        <v>1</v>
      </c>
      <c r="AK1078" t="inlineStr">
        <is>
          <t>Yes, I have</t>
        </is>
      </c>
      <c r="AL1078">
        <v>2</v>
      </c>
      <c r="AM1078" t="inlineStr">
        <is>
          <t>No, I don't need at all</t>
        </is>
      </c>
      <c r="AN1078"/>
      <c r="AO1078" t="inlineStr">
        <is>
          <t>No, I don't need at all</t>
        </is>
      </c>
      <c r="AP1078" t="inlineStr">
        <is>
          <t>Once per quarter (75%)</t>
        </is>
      </c>
      <c r="AQ1078">
        <v>0</v>
      </c>
      <c r="AR1078" t="inlineStr">
        <is>
          <t>Jobstreet, Free Job Portal</t>
        </is>
      </c>
      <c r="AS1078" t="inlineStr">
        <is>
          <t>- Headcount: 1
- Hiring Job Details: marketing &amp; e commerce - location: PJ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1078">
        <v>75</v>
      </c>
      <c r="AU1078" t="inlineStr">
        <is>
          <t>0.75</t>
        </is>
      </c>
      <c r="AV1078" t="inlineStr">
        <is>
          <t>5</t>
        </is>
      </c>
      <c r="AW1078" t="inlineStr">
        <is>
          <t>0</t>
        </is>
      </c>
      <c r="AX1078" t="inlineStr">
        <is>
          <t>Not Qualified</t>
        </is>
      </c>
      <c r="AY1078" s="4"/>
      <c r="AZ1078"/>
      <c r="BA1078"/>
      <c r="BB1078"/>
      <c r="BC1078" t="inlineStr">
        <is>
          <t>not proceed &amp; hung up</t>
        </is>
      </c>
      <c r="BD1078" s="4">
        <v>46140.67600694444</v>
      </c>
      <c r="BE1078"/>
      <c r="BF1078"/>
      <c r="BG1078" t="inlineStr">
        <is>
          <t>Reschedule</t>
        </is>
      </c>
      <c r="BH1078" t="inlineStr">
        <is>
          <t>Fauziah Maharan</t>
        </is>
      </c>
      <c r="BI1078" t="inlineStr">
        <is>
          <t>Manufacturing / Production</t>
        </is>
      </c>
      <c r="BJ1078" s="4">
        <v>46144.75209490741</v>
      </c>
      <c r="BK1078" s="4">
        <v>45645.55829861111</v>
      </c>
      <c r="BL1078" t="inlineStr">
        <is>
          <t>0.0</t>
        </is>
      </c>
      <c r="BM1078" t="inlineStr">
        <is>
          <t>0.0</t>
        </is>
      </c>
      <c r="BN1078" t="inlineStr">
        <is>
          <t>View Company Page</t>
        </is>
      </c>
      <c r="BO1078" s="4">
        <v>46041.50770833333</v>
      </c>
      <c r="BP1078">
        <v>168004</v>
      </c>
      <c r="BQ1078"/>
      <c r="BR1078"/>
      <c r="BS1078"/>
      <c r="BT1078"/>
      <c r="BU1078"/>
      <c r="BV1078">
        <v>2733372</v>
      </c>
      <c r="BW1078" t="inlineStr">
        <is>
          <t>Follow Up : Budget Concern</t>
        </is>
      </c>
      <c r="BX1078"/>
      <c r="BY1078"/>
      <c r="BZ1078" s="4"/>
      <c r="CA1078"/>
      <c r="CB1078"/>
      <c r="CC1078" s="4"/>
      <c r="CD1078" t="inlineStr">
        <is>
          <t>5</t>
        </is>
      </c>
      <c r="CE1078" t="inlineStr">
        <is>
          <t>0</t>
        </is>
      </c>
      <c r="CF1078" t="inlineStr">
        <is>
          <t>Q2-W03</t>
        </is>
      </c>
      <c r="CG1078"/>
      <c r="CH1078"/>
      <c r="CI1078"/>
      <c r="CJ1078" t="inlineStr">
        <is>
          <t>No Paid</t>
        </is>
      </c>
      <c r="CK1078" t="inlineStr">
        <is>
          <t>Not Eligible</t>
        </is>
      </c>
      <c r="CL1078"/>
      <c r="CM1078"/>
    </row>
    <row r="1079" ht="25.5" customHeight="1">
      <c r="A1079" t="inlineStr">
        <is>
          <t>203377</t>
        </is>
      </c>
      <c r="B1079" s="2"/>
      <c r="C1079"/>
      <c r="D1079" s="3">
        <v>46133.50994212963</v>
      </c>
      <c r="E1079" t="inlineStr">
        <is>
          <t>Q2-W03</t>
        </is>
      </c>
      <c r="F1079" t="inlineStr">
        <is>
          <t>Lucas</t>
        </is>
      </c>
      <c r="G1079" t="inlineStr">
        <is>
          <t>Customer</t>
        </is>
      </c>
      <c r="H1079" s="2" t="str">
        <f>=HYPERLINK("https://upbox.ajobthing.my/customer/203377", "https://upbox.ajobthing.my/customer/203377")</f>
        <v>https://upbox.ajobthing.my/customer/203377</v>
      </c>
      <c r="I1079" t="inlineStr">
        <is>
          <t>SK Promedia Studio</t>
        </is>
      </c>
      <c r="J1079" t="inlineStr">
        <is>
          <t>Small Fish</t>
        </is>
      </c>
      <c r="K1079" t="inlineStr">
        <is>
          <t>Lucas</t>
        </is>
      </c>
      <c r="L1079" s="4"/>
      <c r="M1079" s="4">
        <v>46133.508356481485</v>
      </c>
      <c r="N1079"/>
      <c r="O1079">
        <v>3888</v>
      </c>
      <c r="P1079" s="4"/>
      <c r="Q1079" s="4">
        <v>46129.91149305556</v>
      </c>
      <c r="R1079"/>
      <c r="S1079">
        <v>0</v>
      </c>
      <c r="T1079" s="4"/>
      <c r="U1079" s="4"/>
      <c r="V1079"/>
      <c r="W1079"/>
      <c r="X1079"/>
      <c r="Y1079" t="inlineStr">
        <is>
          <t>Pending Appointment</t>
        </is>
      </c>
      <c r="Z1079" t="inlineStr">
        <is>
          <t>Hiring Now</t>
        </is>
      </c>
      <c r="AA1079">
        <v>1</v>
      </c>
      <c r="AB1079" t="inlineStr">
        <is>
          <t>No Appointment Made</t>
        </is>
      </c>
      <c r="AC1079"/>
      <c r="AD1079" t="inlineStr">
        <is>
          <t xml:space="preserve">1 managing director </t>
        </is>
      </c>
      <c r="AE1079"/>
      <c r="AF1079">
        <v>0</v>
      </c>
      <c r="AG1079" s="4"/>
      <c r="AH1079" s="4"/>
      <c r="AI1079">
        <v>0</v>
      </c>
      <c r="AJ1079">
        <v>0</v>
      </c>
      <c r="AK1079" t="inlineStr">
        <is>
          <t>No, I don't need at all</t>
        </is>
      </c>
      <c r="AL1079">
        <v>0</v>
      </c>
      <c r="AM1079" t="inlineStr">
        <is>
          <t>No, I don't need at all</t>
        </is>
      </c>
      <c r="AN1079"/>
      <c r="AO1079" t="inlineStr">
        <is>
          <t>No, I don't need at all</t>
        </is>
      </c>
      <c r="AP1079" t="inlineStr">
        <is>
          <t>Once a year (25%)</t>
        </is>
      </c>
      <c r="AQ1079">
        <v>1</v>
      </c>
      <c r="AR1079" t="inlineStr">
        <is>
          <t>Did not use any job portal</t>
        </is>
      </c>
      <c r="AS1079" t="inlineStr">
        <is>
          <t>- Headcount: 1
- Hiring Job Details: 1 managing director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079">
        <v>100</v>
      </c>
      <c r="AU1079" t="inlineStr">
        <is>
          <t>1.00</t>
        </is>
      </c>
      <c r="AV1079" t="inlineStr">
        <is>
          <t>15</t>
        </is>
      </c>
      <c r="AW1079" t="inlineStr">
        <is>
          <t>0</t>
        </is>
      </c>
      <c r="AX1079" t="inlineStr">
        <is>
          <t>Not Qualified</t>
        </is>
      </c>
      <c r="AY1079" s="4"/>
      <c r="AZ1079"/>
      <c r="BA1079"/>
      <c r="BB1079"/>
      <c r="BC1079" t="inlineStr">
        <is>
          <t>cust call back asking only</t>
        </is>
      </c>
      <c r="BD1079" s="4">
        <v>46142.62703703704</v>
      </c>
      <c r="BE1079" t="inlineStr">
        <is>
          <t>paid</t>
        </is>
      </c>
      <c r="BF1079"/>
      <c r="BG1079" t="inlineStr">
        <is>
          <t>Reschedule</t>
        </is>
      </c>
      <c r="BH1079" t="inlineStr">
        <is>
          <t>Yee Hang</t>
        </is>
      </c>
      <c r="BI1079" t="inlineStr">
        <is>
          <t>Other industries</t>
        </is>
      </c>
      <c r="BJ1079" s="4">
        <v>46144.754282407404</v>
      </c>
      <c r="BK1079" s="4">
        <v>46129.868368055555</v>
      </c>
      <c r="BL1079" t="inlineStr">
        <is>
          <t>0.0</t>
        </is>
      </c>
      <c r="BM1079" t="inlineStr">
        <is>
          <t>0.0</t>
        </is>
      </c>
      <c r="BN1079" t="inlineStr">
        <is>
          <t>View Company Page</t>
        </is>
      </c>
      <c r="BO1079" s="4">
        <v>46140.765694444446</v>
      </c>
      <c r="BP1079">
        <v>168009</v>
      </c>
      <c r="BQ1079">
        <v>123055</v>
      </c>
      <c r="BR1079" t="inlineStr">
        <is>
          <t>Proforma</t>
        </is>
      </c>
      <c r="BS1079" t="inlineStr">
        <is>
          <t>Free Part-Time Job</t>
        </is>
      </c>
      <c r="BT1079"/>
      <c r="BU1079"/>
      <c r="BV1079">
        <v>2737878</v>
      </c>
      <c r="BW1079" t="inlineStr">
        <is>
          <t>Inquire for Hiring Needs : Budget Concern</t>
        </is>
      </c>
      <c r="BX1079"/>
      <c r="BY1079"/>
      <c r="BZ1079" s="4"/>
      <c r="CA1079"/>
      <c r="CB1079"/>
      <c r="CC1079" s="4"/>
      <c r="CD1079" t="inlineStr">
        <is>
          <t>20</t>
        </is>
      </c>
      <c r="CE1079" t="inlineStr">
        <is>
          <t>0</t>
        </is>
      </c>
      <c r="CF1079" t="inlineStr">
        <is>
          <t>Q2-W03</t>
        </is>
      </c>
      <c r="CG1079" t="inlineStr">
        <is>
          <t>Q2-W03</t>
        </is>
      </c>
      <c r="CH1079"/>
      <c r="CI1079"/>
      <c r="CJ1079" t="inlineStr">
        <is>
          <t>No Paid</t>
        </is>
      </c>
      <c r="CK1079" t="inlineStr">
        <is>
          <t>Not Eligible</t>
        </is>
      </c>
      <c r="CL1079"/>
      <c r="CM1079"/>
    </row>
    <row r="1080" ht="25.5" customHeight="1">
      <c r="A1080" t="inlineStr">
        <is>
          <t>4102756</t>
        </is>
      </c>
      <c r="B1080" s="2"/>
      <c r="C1080"/>
      <c r="D1080" s="3">
        <v>46133.53077546296</v>
      </c>
      <c r="E1080" t="inlineStr">
        <is>
          <t>Q2-W03</t>
        </is>
      </c>
      <c r="F1080" t="inlineStr">
        <is>
          <t>Angel  Low</t>
        </is>
      </c>
      <c r="G1080" t="inlineStr">
        <is>
          <t>Lead</t>
        </is>
      </c>
      <c r="H1080" s="2" t="str">
        <f>=HYPERLINK("https://upbox.ajobthing.my/leads/4102756", "https://upbox.ajobthing.my/leads/4102756")</f>
        <v>https://upbox.ajobthing.my/leads/4102756</v>
      </c>
      <c r="I1080" t="inlineStr">
        <is>
          <t>VGV TRANSPORT ENTERPRISE</t>
        </is>
      </c>
      <c r="J1080" t="inlineStr">
        <is>
          <t>Small Fish</t>
        </is>
      </c>
      <c r="K1080" t="inlineStr">
        <is>
          <t>Angel Low</t>
        </is>
      </c>
      <c r="L1080" s="4"/>
      <c r="M1080" s="4">
        <v>46133.47775462963</v>
      </c>
      <c r="N1080"/>
      <c r="O1080">
        <v>6048</v>
      </c>
      <c r="P1080" s="4"/>
      <c r="Q1080" s="4"/>
      <c r="R1080"/>
      <c r="S1080"/>
      <c r="T1080" s="4"/>
      <c r="U1080" s="4"/>
      <c r="V1080"/>
      <c r="W1080"/>
      <c r="X1080"/>
      <c r="Y1080" t="inlineStr">
        <is>
          <t>Pending Appointment</t>
        </is>
      </c>
      <c r="Z1080"/>
      <c r="AA1080">
        <v>1</v>
      </c>
      <c r="AB1080" t="inlineStr">
        <is>
          <t>No Appointment Made</t>
        </is>
      </c>
      <c r="AC1080"/>
      <c r="AD1080" t="inlineStr">
        <is>
          <t xml:space="preserve">1 driver </t>
        </is>
      </c>
      <c r="AE1080"/>
      <c r="AF1080"/>
      <c r="AG1080" s="4"/>
      <c r="AH1080" s="4"/>
      <c r="AI1080"/>
      <c r="AJ1080"/>
      <c r="AK1080"/>
      <c r="AL1080"/>
      <c r="AM1080"/>
      <c r="AN1080"/>
      <c r="AO1080"/>
      <c r="AP1080"/>
      <c r="AQ1080"/>
      <c r="AR1080"/>
      <c r="AS1080" t="inlineStr">
        <is>
          <t>- Headcount: 1
- Hiring Job Details: 1 driver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080">
        <v>60</v>
      </c>
      <c r="AU1080" t="inlineStr">
        <is>
          <t>0.60</t>
        </is>
      </c>
      <c r="AV1080" t="inlineStr">
        <is>
          <t>5</t>
        </is>
      </c>
      <c r="AW1080" t="inlineStr">
        <is>
          <t>0</t>
        </is>
      </c>
      <c r="AX1080" t="inlineStr">
        <is>
          <t>Not Qualified</t>
        </is>
      </c>
      <c r="AY1080" s="4"/>
      <c r="AZ1080"/>
      <c r="BA1080"/>
      <c r="BB1080"/>
      <c r="BC1080"/>
      <c r="BD1080" s="4"/>
      <c r="BE1080"/>
      <c r="BF1080"/>
      <c r="BG1080" t="inlineStr">
        <is>
          <t>Reschedule</t>
        </is>
      </c>
      <c r="BH1080" t="inlineStr">
        <is>
          <t>Fauziah Maharan</t>
        </is>
      </c>
      <c r="BI1080"/>
      <c r="BJ1080" s="4">
        <v>46144.75537037037</v>
      </c>
      <c r="BK1080" s="4">
        <v>46078.732199074075</v>
      </c>
      <c r="BL1080" t="inlineStr">
        <is>
          <t>0.0</t>
        </is>
      </c>
      <c r="BM1080" t="inlineStr">
        <is>
          <t>0.0</t>
        </is>
      </c>
      <c r="BN1080"/>
      <c r="BO1080" s="4"/>
      <c r="BP1080">
        <v>167984</v>
      </c>
      <c r="BQ1080"/>
      <c r="BR1080"/>
      <c r="BS1080"/>
      <c r="BT1080"/>
      <c r="BU1080"/>
      <c r="BV1080"/>
      <c r="BW1080"/>
      <c r="BX1080"/>
      <c r="BY1080"/>
      <c r="BZ1080" s="4"/>
      <c r="CA1080"/>
      <c r="CB1080"/>
      <c r="CC1080" s="4"/>
      <c r="CD1080" t="inlineStr">
        <is>
          <t>5</t>
        </is>
      </c>
      <c r="CE1080" t="inlineStr">
        <is>
          <t>0</t>
        </is>
      </c>
      <c r="CF1080" t="inlineStr">
        <is>
          <t>Q2-W03</t>
        </is>
      </c>
      <c r="CG1080"/>
      <c r="CH1080"/>
      <c r="CI1080"/>
      <c r="CJ1080" t="inlineStr">
        <is>
          <t>No Paid</t>
        </is>
      </c>
      <c r="CK1080" t="inlineStr">
        <is>
          <t>Not Eligible</t>
        </is>
      </c>
      <c r="CL1080"/>
      <c r="CM1080"/>
    </row>
    <row r="1081" ht="25.5" customHeight="1">
      <c r="A1081" t="inlineStr">
        <is>
          <t>4305453</t>
        </is>
      </c>
      <c r="B1081" s="2"/>
      <c r="C1081"/>
      <c r="D1081" s="3">
        <v>46133.53157407408</v>
      </c>
      <c r="E1081" t="inlineStr">
        <is>
          <t>Q2-W03</t>
        </is>
      </c>
      <c r="F1081" t="inlineStr">
        <is>
          <t>Josh</t>
        </is>
      </c>
      <c r="G1081" t="inlineStr">
        <is>
          <t>Lead</t>
        </is>
      </c>
      <c r="H1081" s="2" t="str">
        <f>=HYPERLINK("https://upbox.ajobthing.my/leads/4305453", "https://upbox.ajobthing.my/leads/4305453")</f>
        <v>https://upbox.ajobthing.my/leads/4305453</v>
      </c>
      <c r="I1081" t="inlineStr">
        <is>
          <t>Utama Motor Workshop</t>
        </is>
      </c>
      <c r="J1081" t="inlineStr">
        <is>
          <t>Small Fish</t>
        </is>
      </c>
      <c r="K1081" t="inlineStr">
        <is>
          <t>Josh</t>
        </is>
      </c>
      <c r="L1081" s="4"/>
      <c r="M1081" s="4">
        <v>46133.53223379629</v>
      </c>
      <c r="N1081"/>
      <c r="O1081">
        <v>5832</v>
      </c>
      <c r="P1081" s="4"/>
      <c r="Q1081" s="4"/>
      <c r="R1081"/>
      <c r="S1081"/>
      <c r="T1081" s="4"/>
      <c r="U1081" s="4"/>
      <c r="V1081"/>
      <c r="W1081"/>
      <c r="X1081"/>
      <c r="Y1081" t="inlineStr">
        <is>
          <t>Pending Appointment</t>
        </is>
      </c>
      <c r="Z1081" t="inlineStr">
        <is>
          <t>Hiring Now</t>
        </is>
      </c>
      <c r="AA1081">
        <v>5</v>
      </c>
      <c r="AB1081" t="inlineStr">
        <is>
          <t>No Appointment Made</t>
        </is>
      </c>
      <c r="AC1081"/>
      <c r="AD1081" t="inlineStr">
        <is>
          <t>2 claim advisor, 1 foreman, 2 installer</t>
        </is>
      </c>
      <c r="AE1081"/>
      <c r="AF1081">
        <v>5000</v>
      </c>
      <c r="AG1081" s="4"/>
      <c r="AH1081" s="4"/>
      <c r="AI1081"/>
      <c r="AJ1081"/>
      <c r="AK1081" t="inlineStr">
        <is>
          <t>Yes, I have</t>
        </is>
      </c>
      <c r="AL1081">
        <v>1</v>
      </c>
      <c r="AM1081"/>
      <c r="AN1081"/>
      <c r="AO1081"/>
      <c r="AP1081" t="inlineStr">
        <is>
          <t>Once a year (25%)</t>
        </is>
      </c>
      <c r="AQ1081"/>
      <c r="AR1081"/>
      <c r="AS1081" t="inlineStr">
        <is>
          <t>- Headcount: 5
- Hiring Job Details: 2 claim advisor, 1 foreman, 2 installer
- Hiring Urgency: Hiring Now
- Number of outlets: Not available
- Have recruiter team: Yes
- Number of recruiter in company: 1
- Have ATS system: Not available
- Have career website: Not available
- Current hiring budget: RM5,000.00
- Whole year budget: Not available
- Whole year number of vacancies: Not available
- Hiring frequency: Once a year (25%)
- External job portal: Not available</t>
        </is>
      </c>
      <c r="AT1081">
        <v>95</v>
      </c>
      <c r="AU1081" t="inlineStr">
        <is>
          <t>0.95</t>
        </is>
      </c>
      <c r="AV1081" t="inlineStr">
        <is>
          <t>20</t>
        </is>
      </c>
      <c r="AW1081" t="inlineStr">
        <is>
          <t>0</t>
        </is>
      </c>
      <c r="AX1081" t="inlineStr">
        <is>
          <t>Not Qualified</t>
        </is>
      </c>
      <c r="AY1081" s="4"/>
      <c r="AZ1081"/>
      <c r="BA1081"/>
      <c r="BB1081"/>
      <c r="BC1081"/>
      <c r="BD1081" s="4"/>
      <c r="BE1081"/>
      <c r="BF1081"/>
      <c r="BG1081" t="inlineStr">
        <is>
          <t>Reschedule</t>
        </is>
      </c>
      <c r="BH1081" t="inlineStr">
        <is>
          <t>Fauziah Maharan</t>
        </is>
      </c>
      <c r="BI1081"/>
      <c r="BJ1081" s="4">
        <v>46144.75587962963</v>
      </c>
      <c r="BK1081" s="4">
        <v>46132.6228587963</v>
      </c>
      <c r="BL1081" t="inlineStr">
        <is>
          <t>0.0</t>
        </is>
      </c>
      <c r="BM1081" t="inlineStr">
        <is>
          <t>150.0</t>
        </is>
      </c>
      <c r="BN1081"/>
      <c r="BO1081" s="4"/>
      <c r="BP1081">
        <v>168011</v>
      </c>
      <c r="BQ1081"/>
      <c r="BR1081"/>
      <c r="BS1081"/>
      <c r="BT1081"/>
      <c r="BU1081"/>
      <c r="BV1081"/>
      <c r="BW1081"/>
      <c r="BX1081"/>
      <c r="BY1081"/>
      <c r="BZ1081" s="4"/>
      <c r="CA1081"/>
      <c r="CB1081"/>
      <c r="CC1081" s="4"/>
      <c r="CD1081" t="inlineStr">
        <is>
          <t>30</t>
        </is>
      </c>
      <c r="CE1081" t="inlineStr">
        <is>
          <t>0</t>
        </is>
      </c>
      <c r="CF1081" t="inlineStr">
        <is>
          <t>Q2-W03</t>
        </is>
      </c>
      <c r="CG1081"/>
      <c r="CH1081"/>
      <c r="CI1081"/>
      <c r="CJ1081" t="inlineStr">
        <is>
          <t>No Paid</t>
        </is>
      </c>
      <c r="CK1081" t="inlineStr">
        <is>
          <t>Not Eligible</t>
        </is>
      </c>
      <c r="CL1081"/>
      <c r="CM1081"/>
    </row>
    <row r="1082" ht="25.5" customHeight="1">
      <c r="A1082" t="inlineStr">
        <is>
          <t>4309249</t>
        </is>
      </c>
      <c r="B1082" s="2"/>
      <c r="C1082"/>
      <c r="D1082" s="3">
        <v>46133.54056712963</v>
      </c>
      <c r="E1082" t="inlineStr">
        <is>
          <t>Q2-W03</t>
        </is>
      </c>
      <c r="F1082" t="inlineStr">
        <is>
          <t>Josh</t>
        </is>
      </c>
      <c r="G1082" t="inlineStr">
        <is>
          <t>Lead</t>
        </is>
      </c>
      <c r="H1082" s="2" t="str">
        <f>=HYPERLINK("https://upbox.ajobthing.my/leads/4309249", "https://upbox.ajobthing.my/leads/4309249")</f>
        <v>https://upbox.ajobthing.my/leads/4309249</v>
      </c>
      <c r="I1082" t="inlineStr">
        <is>
          <t>Riverstone</t>
        </is>
      </c>
      <c r="J1082" t="inlineStr">
        <is>
          <t>Small Fish</t>
        </is>
      </c>
      <c r="K1082" t="inlineStr">
        <is>
          <t>Josh</t>
        </is>
      </c>
      <c r="L1082" s="4"/>
      <c r="M1082" s="4">
        <v>46135.42974537037</v>
      </c>
      <c r="N1082"/>
      <c r="O1082">
        <v>4752</v>
      </c>
      <c r="P1082" s="4"/>
      <c r="Q1082" s="4"/>
      <c r="R1082"/>
      <c r="S1082"/>
      <c r="T1082" s="4"/>
      <c r="U1082" s="4"/>
      <c r="V1082"/>
      <c r="W1082"/>
      <c r="X1082"/>
      <c r="Y1082" t="inlineStr">
        <is>
          <t>Pending Appointment</t>
        </is>
      </c>
      <c r="Z1082" t="inlineStr">
        <is>
          <t>Hiring Now</t>
        </is>
      </c>
      <c r="AA1082">
        <v>30</v>
      </c>
      <c r="AB1082" t="inlineStr">
        <is>
          <t>No Appointment Made</t>
        </is>
      </c>
      <c r="AC1082"/>
      <c r="AD1082" t="inlineStr">
        <is>
          <t xml:space="preserve">30 Operator </t>
        </is>
      </c>
      <c r="AE1082"/>
      <c r="AF1082">
        <v>3000</v>
      </c>
      <c r="AG1082" s="4"/>
      <c r="AH1082" s="4"/>
      <c r="AI1082"/>
      <c r="AJ1082"/>
      <c r="AK1082" t="inlineStr">
        <is>
          <t>Yes, I have</t>
        </is>
      </c>
      <c r="AL1082">
        <v>1</v>
      </c>
      <c r="AM1082"/>
      <c r="AN1082"/>
      <c r="AO1082"/>
      <c r="AP1082" t="inlineStr">
        <is>
          <t>Every month (100%)</t>
        </is>
      </c>
      <c r="AQ1082"/>
      <c r="AR1082"/>
      <c r="AS1082" t="inlineStr">
        <is>
          <t>- Headcount: 30
- Hiring Job Details: 30 Operator
- Number of outlets: N/A
- Have recruiter team: Yes
- Number of recruiter in company: 1
- Have ATS system: N/A
- Have career website: N/A
- Current hiring budget: RM3,000.00
- Whole year budget: N/A
- Whole year number of vacancies: N/A
- Hiring frequency: Every month (100%)
- External job portal: N/A
- Hiring Urgency: Hiring Now</t>
        </is>
      </c>
      <c r="AT1082">
        <v>100</v>
      </c>
      <c r="AU1082" t="inlineStr">
        <is>
          <t>1.00</t>
        </is>
      </c>
      <c r="AV1082" t="inlineStr">
        <is>
          <t>25</t>
        </is>
      </c>
      <c r="AW1082" t="inlineStr">
        <is>
          <t>0</t>
        </is>
      </c>
      <c r="AX1082" t="inlineStr">
        <is>
          <t>Not Qualified</t>
        </is>
      </c>
      <c r="AY1082" s="4"/>
      <c r="AZ1082"/>
      <c r="BA1082"/>
      <c r="BB1082"/>
      <c r="BC1082"/>
      <c r="BD1082" s="4"/>
      <c r="BE1082"/>
      <c r="BF1082"/>
      <c r="BG1082" t="inlineStr">
        <is>
          <t>Reschedule</t>
        </is>
      </c>
      <c r="BH1082" t="inlineStr">
        <is>
          <t>Fauziah Maharan</t>
        </is>
      </c>
      <c r="BI1082"/>
      <c r="BJ1082" s="4">
        <v>46144.75587962963</v>
      </c>
      <c r="BK1082" s="4">
        <v>46133.52877314815</v>
      </c>
      <c r="BL1082" t="inlineStr">
        <is>
          <t>0.0</t>
        </is>
      </c>
      <c r="BM1082" t="inlineStr">
        <is>
          <t>0.0</t>
        </is>
      </c>
      <c r="BN1082"/>
      <c r="BO1082" s="4"/>
      <c r="BP1082">
        <v>168454</v>
      </c>
      <c r="BQ1082"/>
      <c r="BR1082"/>
      <c r="BS1082"/>
      <c r="BT1082"/>
      <c r="BU1082"/>
      <c r="BV1082"/>
      <c r="BW1082"/>
      <c r="BX1082"/>
      <c r="BY1082"/>
      <c r="BZ1082" s="4"/>
      <c r="CA1082"/>
      <c r="CB1082"/>
      <c r="CC1082" s="4"/>
      <c r="CD1082" t="inlineStr">
        <is>
          <t>35</t>
        </is>
      </c>
      <c r="CE1082" t="inlineStr">
        <is>
          <t>0</t>
        </is>
      </c>
      <c r="CF1082" t="inlineStr">
        <is>
          <t>Q2-W03</t>
        </is>
      </c>
      <c r="CG1082"/>
      <c r="CH1082"/>
      <c r="CI1082"/>
      <c r="CJ1082" t="inlineStr">
        <is>
          <t>No Paid</t>
        </is>
      </c>
      <c r="CK1082" t="inlineStr">
        <is>
          <t>Eligible</t>
        </is>
      </c>
      <c r="CL1082"/>
      <c r="CM1082"/>
    </row>
    <row r="1083" ht="25.5" customHeight="1">
      <c r="A1083" t="inlineStr">
        <is>
          <t>4295553</t>
        </is>
      </c>
      <c r="B1083" s="2"/>
      <c r="C1083"/>
      <c r="D1083" s="3">
        <v>46133.55375</v>
      </c>
      <c r="E1083" t="inlineStr">
        <is>
          <t>Q2-W03</t>
        </is>
      </c>
      <c r="F1083" t="inlineStr">
        <is>
          <t>Evan</t>
        </is>
      </c>
      <c r="G1083" t="inlineStr">
        <is>
          <t>Lead</t>
        </is>
      </c>
      <c r="H1083" s="2" t="str">
        <f>=HYPERLINK("https://upbox.ajobthing.my/leads/4295553", "https://upbox.ajobthing.my/leads/4295553")</f>
        <v>https://upbox.ajobthing.my/leads/4295553</v>
      </c>
      <c r="I1083" t="inlineStr">
        <is>
          <t>MOTHER INTERNATINAL TRADING SDN BHD</t>
        </is>
      </c>
      <c r="J1083" t="inlineStr">
        <is>
          <t>Small Fish</t>
        </is>
      </c>
      <c r="K1083" t="inlineStr">
        <is>
          <t>Evan</t>
        </is>
      </c>
      <c r="L1083" s="4"/>
      <c r="M1083" s="4">
        <v>46133.55229166667</v>
      </c>
      <c r="N1083"/>
      <c r="O1083">
        <v>3888</v>
      </c>
      <c r="P1083" s="4"/>
      <c r="Q1083" s="4"/>
      <c r="R1083"/>
      <c r="S1083"/>
      <c r="T1083" s="4"/>
      <c r="U1083" s="4"/>
      <c r="V1083"/>
      <c r="W1083"/>
      <c r="X1083"/>
      <c r="Y1083" t="inlineStr">
        <is>
          <t>Pending Appointment</t>
        </is>
      </c>
      <c r="Z1083" t="inlineStr">
        <is>
          <t>Continuous Hiring</t>
        </is>
      </c>
      <c r="AA1083">
        <v>3</v>
      </c>
      <c r="AB1083" t="inlineStr">
        <is>
          <t>No Appointment Made</t>
        </is>
      </c>
      <c r="AC1083"/>
      <c r="AD1083" t="inlineStr">
        <is>
          <t>3 sales, all base in malaysia</t>
        </is>
      </c>
      <c r="AE1083"/>
      <c r="AF1083">
        <v>1</v>
      </c>
      <c r="AG1083" s="4"/>
      <c r="AH1083" s="4"/>
      <c r="AI1083">
        <v>1</v>
      </c>
      <c r="AJ1083">
        <v>1</v>
      </c>
      <c r="AK1083" t="inlineStr">
        <is>
          <t>No, I don't need at all</t>
        </is>
      </c>
      <c r="AL1083">
        <v>0</v>
      </c>
      <c r="AM1083" t="inlineStr">
        <is>
          <t>No, I don't need at all</t>
        </is>
      </c>
      <c r="AN1083"/>
      <c r="AO1083" t="inlineStr">
        <is>
          <t>No, I don't need at all</t>
        </is>
      </c>
      <c r="AP1083" t="inlineStr">
        <is>
          <t>Once a year (25%)</t>
        </is>
      </c>
      <c r="AQ1083">
        <v>3</v>
      </c>
      <c r="AR1083" t="inlineStr">
        <is>
          <t>Did not use any job portal</t>
        </is>
      </c>
      <c r="AS1083" t="inlineStr">
        <is>
          <t>- Headcount: 3
- Hiring Job Details: 3 sales, all based in Malaysia
- Hiring Urgency: Continuous Hiring
- Number of outlets: 1
- Have recruiter team: No, I don't need at all
- Number of recruiter in company: 0
- Have ATS system: No, I don't need at all
- Have career website: No, I don't need at all
- Current hiring budget: RM1
- Whole year budget: RM1.00
- Whole year number of vacancies: 3
- Hiring frequency: Once a year (25%)
- External job portal: Did not use any job portal</t>
        </is>
      </c>
      <c r="AT1083">
        <v>115</v>
      </c>
      <c r="AU1083" t="inlineStr">
        <is>
          <t>1.15</t>
        </is>
      </c>
      <c r="AV1083" t="inlineStr">
        <is>
          <t>15</t>
        </is>
      </c>
      <c r="AW1083" t="inlineStr">
        <is>
          <t>0</t>
        </is>
      </c>
      <c r="AX1083" t="inlineStr">
        <is>
          <t>Not Qualified</t>
        </is>
      </c>
      <c r="AY1083" s="4"/>
      <c r="AZ1083"/>
      <c r="BA1083"/>
      <c r="BB1083"/>
      <c r="BC1083"/>
      <c r="BD1083" s="4"/>
      <c r="BE1083"/>
      <c r="BF1083"/>
      <c r="BG1083" t="inlineStr">
        <is>
          <t>Reschedule</t>
        </is>
      </c>
      <c r="BH1083" t="inlineStr">
        <is>
          <t>Edward Hoo</t>
        </is>
      </c>
      <c r="BI1083"/>
      <c r="BJ1083" s="4">
        <v>46144.75585648148</v>
      </c>
      <c r="BK1083" s="4">
        <v>46129.781875</v>
      </c>
      <c r="BL1083" t="inlineStr">
        <is>
          <t>0.0</t>
        </is>
      </c>
      <c r="BM1083" t="inlineStr">
        <is>
          <t>0.0</t>
        </is>
      </c>
      <c r="BN1083"/>
      <c r="BO1083" s="4"/>
      <c r="BP1083">
        <v>168016</v>
      </c>
      <c r="BQ1083"/>
      <c r="BR1083"/>
      <c r="BS1083"/>
      <c r="BT1083"/>
      <c r="BU1083"/>
      <c r="BV1083"/>
      <c r="BW1083"/>
      <c r="BX1083"/>
      <c r="BY1083"/>
      <c r="BZ1083" s="4"/>
      <c r="CA1083"/>
      <c r="CB1083"/>
      <c r="CC1083" s="4"/>
      <c r="CD1083" t="inlineStr">
        <is>
          <t>20</t>
        </is>
      </c>
      <c r="CE1083" t="inlineStr">
        <is>
          <t>0</t>
        </is>
      </c>
      <c r="CF1083" t="inlineStr">
        <is>
          <t>Q2-W03</t>
        </is>
      </c>
      <c r="CG1083"/>
      <c r="CH1083"/>
      <c r="CI1083"/>
      <c r="CJ1083" t="inlineStr">
        <is>
          <t>No Paid</t>
        </is>
      </c>
      <c r="CK1083" t="inlineStr">
        <is>
          <t>Not Eligible</t>
        </is>
      </c>
      <c r="CL1083"/>
      <c r="CM1083"/>
    </row>
    <row r="1084" ht="25.5" customHeight="1">
      <c r="A1084" t="inlineStr">
        <is>
          <t>4309237</t>
        </is>
      </c>
      <c r="B1084" s="2"/>
      <c r="C1084"/>
      <c r="D1084" s="3">
        <v>46133.56831018518</v>
      </c>
      <c r="E1084" t="inlineStr">
        <is>
          <t>Q2-W03</t>
        </is>
      </c>
      <c r="F1084" t="inlineStr">
        <is>
          <t>Lucas</t>
        </is>
      </c>
      <c r="G1084" t="inlineStr">
        <is>
          <t>Lead</t>
        </is>
      </c>
      <c r="H1084" s="2" t="str">
        <f>=HYPERLINK("https://upbox.ajobthing.my/leads/4309237", "https://upbox.ajobthing.my/leads/4309237")</f>
        <v>https://upbox.ajobthing.my/leads/4309237</v>
      </c>
      <c r="I1084" t="inlineStr">
        <is>
          <t>KF LIE GOLD&amp; JEWELLERY</t>
        </is>
      </c>
      <c r="J1084" t="inlineStr">
        <is>
          <t>Small Fish</t>
        </is>
      </c>
      <c r="K1084" t="inlineStr">
        <is>
          <t>Lucas</t>
        </is>
      </c>
      <c r="L1084" s="4"/>
      <c r="M1084" s="4">
        <v>46133.56730324074</v>
      </c>
      <c r="N1084"/>
      <c r="O1084">
        <v>3888</v>
      </c>
      <c r="P1084" s="4"/>
      <c r="Q1084" s="4"/>
      <c r="R1084"/>
      <c r="S1084"/>
      <c r="T1084" s="4"/>
      <c r="U1084" s="4"/>
      <c r="V1084"/>
      <c r="W1084"/>
      <c r="X1084"/>
      <c r="Y1084" t="inlineStr">
        <is>
          <t>Pending Appointment</t>
        </is>
      </c>
      <c r="Z1084" t="inlineStr">
        <is>
          <t>Hiring Now</t>
        </is>
      </c>
      <c r="AA1084">
        <v>1</v>
      </c>
      <c r="AB1084" t="inlineStr">
        <is>
          <t>No Appointment Made</t>
        </is>
      </c>
      <c r="AC1084"/>
      <c r="AD1084" t="inlineStr">
        <is>
          <t xml:space="preserve">1 content creator </t>
        </is>
      </c>
      <c r="AE1084"/>
      <c r="AF1084">
        <v>0</v>
      </c>
      <c r="AG1084" s="4"/>
      <c r="AH1084" s="4"/>
      <c r="AI1084">
        <v>0</v>
      </c>
      <c r="AJ1084">
        <v>0</v>
      </c>
      <c r="AK1084" t="inlineStr">
        <is>
          <t>No, I don't need at all</t>
        </is>
      </c>
      <c r="AL1084">
        <v>0</v>
      </c>
      <c r="AM1084" t="inlineStr">
        <is>
          <t>No, I don't need at all</t>
        </is>
      </c>
      <c r="AN1084"/>
      <c r="AO1084" t="inlineStr">
        <is>
          <t>No, I don't need at all</t>
        </is>
      </c>
      <c r="AP1084" t="inlineStr">
        <is>
          <t>Once a year (25%)</t>
        </is>
      </c>
      <c r="AQ1084">
        <v>1</v>
      </c>
      <c r="AR1084" t="inlineStr">
        <is>
          <t>Did not use any job portal</t>
        </is>
      </c>
      <c r="AS1084" t="inlineStr">
        <is>
          <t>- Headcount: 1
- Hiring Job Details: 1 content creator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084">
        <v>105</v>
      </c>
      <c r="AU1084" t="inlineStr">
        <is>
          <t>1.05</t>
        </is>
      </c>
      <c r="AV1084" t="inlineStr">
        <is>
          <t>15</t>
        </is>
      </c>
      <c r="AW1084" t="inlineStr">
        <is>
          <t>0</t>
        </is>
      </c>
      <c r="AX1084" t="inlineStr">
        <is>
          <t>Not Qualified</t>
        </is>
      </c>
      <c r="AY1084" s="4"/>
      <c r="AZ1084"/>
      <c r="BA1084"/>
      <c r="BB1084"/>
      <c r="BC1084"/>
      <c r="BD1084" s="4"/>
      <c r="BE1084"/>
      <c r="BF1084"/>
      <c r="BG1084" t="inlineStr">
        <is>
          <t>Reschedule</t>
        </is>
      </c>
      <c r="BH1084" t="inlineStr">
        <is>
          <t>Yee Hang</t>
        </is>
      </c>
      <c r="BI1084"/>
      <c r="BJ1084" s="4">
        <v>46144.75587962963</v>
      </c>
      <c r="BK1084" s="4">
        <v>46133.527291666665</v>
      </c>
      <c r="BL1084" t="inlineStr">
        <is>
          <t>0.0</t>
        </is>
      </c>
      <c r="BM1084" t="inlineStr">
        <is>
          <t>0.0</t>
        </is>
      </c>
      <c r="BN1084"/>
      <c r="BO1084" s="4"/>
      <c r="BP1084">
        <v>168019</v>
      </c>
      <c r="BQ1084"/>
      <c r="BR1084"/>
      <c r="BS1084"/>
      <c r="BT1084"/>
      <c r="BU1084"/>
      <c r="BV1084"/>
      <c r="BW1084"/>
      <c r="BX1084"/>
      <c r="BY1084"/>
      <c r="BZ1084" s="4"/>
      <c r="CA1084"/>
      <c r="CB1084"/>
      <c r="CC1084" s="4"/>
      <c r="CD1084" t="inlineStr">
        <is>
          <t>20</t>
        </is>
      </c>
      <c r="CE1084" t="inlineStr">
        <is>
          <t>0</t>
        </is>
      </c>
      <c r="CF1084" t="inlineStr">
        <is>
          <t>Q2-W03</t>
        </is>
      </c>
      <c r="CG1084"/>
      <c r="CH1084"/>
      <c r="CI1084"/>
      <c r="CJ1084" t="inlineStr">
        <is>
          <t>No Paid</t>
        </is>
      </c>
      <c r="CK1084" t="inlineStr">
        <is>
          <t>Not Eligible</t>
        </is>
      </c>
      <c r="CL1084"/>
      <c r="CM1084"/>
    </row>
    <row r="1085" ht="25.5" customHeight="1">
      <c r="A1085" t="inlineStr">
        <is>
          <t>4309470</t>
        </is>
      </c>
      <c r="B1085" s="2"/>
      <c r="C1085"/>
      <c r="D1085" s="3">
        <v>46133.57864583333</v>
      </c>
      <c r="E1085" t="inlineStr">
        <is>
          <t>Q2-W03</t>
        </is>
      </c>
      <c r="F1085" t="inlineStr">
        <is>
          <t>Evan</t>
        </is>
      </c>
      <c r="G1085" t="inlineStr">
        <is>
          <t>Lead</t>
        </is>
      </c>
      <c r="H1085" s="2" t="str">
        <f>=HYPERLINK("https://upbox.ajobthing.my/leads/4309470", "https://upbox.ajobthing.my/leads/4309470")</f>
        <v>https://upbox.ajobthing.my/leads/4309470</v>
      </c>
      <c r="I1085" t="inlineStr">
        <is>
          <t>Brightchem Sdn Bhd</t>
        </is>
      </c>
      <c r="J1085" t="inlineStr">
        <is>
          <t>Small Fish</t>
        </is>
      </c>
      <c r="K1085" t="inlineStr">
        <is>
          <t>Evan</t>
        </is>
      </c>
      <c r="L1085" s="4"/>
      <c r="M1085" s="4">
        <v>46133.57665509259</v>
      </c>
      <c r="N1085"/>
      <c r="O1085">
        <v>3888</v>
      </c>
      <c r="P1085" s="4"/>
      <c r="Q1085" s="4"/>
      <c r="R1085"/>
      <c r="S1085"/>
      <c r="T1085" s="4"/>
      <c r="U1085" s="4"/>
      <c r="V1085"/>
      <c r="W1085"/>
      <c r="X1085"/>
      <c r="Y1085" t="inlineStr">
        <is>
          <t>Pending Appointment</t>
        </is>
      </c>
      <c r="Z1085" t="inlineStr">
        <is>
          <t>Hiring Now</t>
        </is>
      </c>
      <c r="AA1085">
        <v>2</v>
      </c>
      <c r="AB1085" t="inlineStr">
        <is>
          <t>No Appointment Made</t>
        </is>
      </c>
      <c r="AC1085"/>
      <c r="AD1085" t="inlineStr">
        <is>
          <t>2 driver, all base in KL</t>
        </is>
      </c>
      <c r="AE1085"/>
      <c r="AF1085">
        <v>1</v>
      </c>
      <c r="AG1085" s="4"/>
      <c r="AH1085" s="4"/>
      <c r="AI1085">
        <v>1</v>
      </c>
      <c r="AJ1085">
        <v>1</v>
      </c>
      <c r="AK1085" t="inlineStr">
        <is>
          <t>No, I don't need at all</t>
        </is>
      </c>
      <c r="AL1085">
        <v>0</v>
      </c>
      <c r="AM1085" t="inlineStr">
        <is>
          <t>No, I don't need at all</t>
        </is>
      </c>
      <c r="AN1085"/>
      <c r="AO1085" t="inlineStr">
        <is>
          <t>No, I don't need at all</t>
        </is>
      </c>
      <c r="AP1085" t="inlineStr">
        <is>
          <t>Once a year (25%)</t>
        </is>
      </c>
      <c r="AQ1085">
        <v>2</v>
      </c>
      <c r="AR1085" t="inlineStr">
        <is>
          <t>Jobstreet</t>
        </is>
      </c>
      <c r="AS1085" t="inlineStr">
        <is>
          <t>- Headcount: 2
- Hiring Job Details: 2 drivers, all based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2
- Hiring frequency: Once a year (25%)
- External job portal: Jobstreet</t>
        </is>
      </c>
      <c r="AT1085">
        <v>115</v>
      </c>
      <c r="AU1085" t="inlineStr">
        <is>
          <t>1.15</t>
        </is>
      </c>
      <c r="AV1085" t="inlineStr">
        <is>
          <t>15</t>
        </is>
      </c>
      <c r="AW1085" t="inlineStr">
        <is>
          <t>0</t>
        </is>
      </c>
      <c r="AX1085" t="inlineStr">
        <is>
          <t>Not Qualified</t>
        </is>
      </c>
      <c r="AY1085" s="4"/>
      <c r="AZ1085"/>
      <c r="BA1085"/>
      <c r="BB1085"/>
      <c r="BC1085"/>
      <c r="BD1085" s="4"/>
      <c r="BE1085"/>
      <c r="BF1085"/>
      <c r="BG1085" t="inlineStr">
        <is>
          <t>Reschedule</t>
        </is>
      </c>
      <c r="BH1085" t="inlineStr">
        <is>
          <t>Edward Hoo</t>
        </is>
      </c>
      <c r="BI1085"/>
      <c r="BJ1085" s="4">
        <v>46144.75587962963</v>
      </c>
      <c r="BK1085" s="4">
        <v>46133.56359953704</v>
      </c>
      <c r="BL1085" t="inlineStr">
        <is>
          <t>0.0</t>
        </is>
      </c>
      <c r="BM1085" t="inlineStr">
        <is>
          <t>0.0</t>
        </is>
      </c>
      <c r="BN1085"/>
      <c r="BO1085" s="4"/>
      <c r="BP1085">
        <v>168021</v>
      </c>
      <c r="BQ1085"/>
      <c r="BR1085"/>
      <c r="BS1085"/>
      <c r="BT1085"/>
      <c r="BU1085"/>
      <c r="BV1085"/>
      <c r="BW1085"/>
      <c r="BX1085"/>
      <c r="BY1085"/>
      <c r="BZ1085" s="4"/>
      <c r="CA1085"/>
      <c r="CB1085"/>
      <c r="CC1085" s="4"/>
      <c r="CD1085" t="inlineStr">
        <is>
          <t>20</t>
        </is>
      </c>
      <c r="CE1085" t="inlineStr">
        <is>
          <t>0</t>
        </is>
      </c>
      <c r="CF1085" t="inlineStr">
        <is>
          <t>Q2-W03</t>
        </is>
      </c>
      <c r="CG1085"/>
      <c r="CH1085"/>
      <c r="CI1085"/>
      <c r="CJ1085" t="inlineStr">
        <is>
          <t>No Paid</t>
        </is>
      </c>
      <c r="CK1085" t="inlineStr">
        <is>
          <t>Not Eligible</t>
        </is>
      </c>
      <c r="CL1085"/>
      <c r="CM1085"/>
    </row>
    <row r="1086" ht="25.5" customHeight="1">
      <c r="A1086" t="inlineStr">
        <is>
          <t>4309451</t>
        </is>
      </c>
      <c r="B1086" s="2"/>
      <c r="C1086"/>
      <c r="D1086" s="3">
        <v>46133.5834375</v>
      </c>
      <c r="E1086" t="inlineStr">
        <is>
          <t>Q2-W03</t>
        </is>
      </c>
      <c r="F1086" t="inlineStr">
        <is>
          <t>Luqman</t>
        </is>
      </c>
      <c r="G1086" t="inlineStr">
        <is>
          <t>Lead</t>
        </is>
      </c>
      <c r="H1086" s="2" t="str">
        <f>=HYPERLINK("https://upbox.ajobthing.my/leads/4309451", "https://upbox.ajobthing.my/leads/4309451")</f>
        <v>https://upbox.ajobthing.my/leads/4309451</v>
      </c>
      <c r="I1086" t="inlineStr">
        <is>
          <t>Lifeasy Sdn Bhd</t>
        </is>
      </c>
      <c r="J1086" t="inlineStr">
        <is>
          <t>Small Fish</t>
        </is>
      </c>
      <c r="K1086" t="inlineStr">
        <is>
          <t>Luqman</t>
        </is>
      </c>
      <c r="L1086" s="4"/>
      <c r="M1086" s="4">
        <v>46133.58677083333</v>
      </c>
      <c r="N1086"/>
      <c r="O1086">
        <v>864</v>
      </c>
      <c r="P1086" s="4"/>
      <c r="Q1086" s="4"/>
      <c r="R1086"/>
      <c r="S1086"/>
      <c r="T1086" s="4"/>
      <c r="U1086" s="4"/>
      <c r="V1086"/>
      <c r="W1086"/>
      <c r="X1086"/>
      <c r="Y1086" t="inlineStr">
        <is>
          <t>Pending Appointment</t>
        </is>
      </c>
      <c r="Z1086" t="inlineStr">
        <is>
          <t>Hiring Now</t>
        </is>
      </c>
      <c r="AA1086">
        <v>1</v>
      </c>
      <c r="AB1086" t="inlineStr">
        <is>
          <t>No Appointment Made</t>
        </is>
      </c>
      <c r="AC1086"/>
      <c r="AD1086" t="inlineStr">
        <is>
          <t xml:space="preserve">1. Ecommerce Executive </t>
        </is>
      </c>
      <c r="AE1086"/>
      <c r="AF1086">
        <v>1200</v>
      </c>
      <c r="AG1086" s="4"/>
      <c r="AH1086" s="4"/>
      <c r="AI1086">
        <v>1200</v>
      </c>
      <c r="AJ1086"/>
      <c r="AK1086" t="inlineStr">
        <is>
          <t>Yes, I have</t>
        </is>
      </c>
      <c r="AL1086">
        <v>1</v>
      </c>
      <c r="AM1086" t="inlineStr">
        <is>
          <t>No, I don't need at all</t>
        </is>
      </c>
      <c r="AN1086"/>
      <c r="AO1086" t="inlineStr">
        <is>
          <t>No, I don't need at all</t>
        </is>
      </c>
      <c r="AP1086" t="inlineStr">
        <is>
          <t>Once a year (25%)</t>
        </is>
      </c>
      <c r="AQ1086">
        <v>1</v>
      </c>
      <c r="AR1086" t="inlineStr">
        <is>
          <t>Free Job Portal</t>
        </is>
      </c>
      <c r="AS1086" t="inlineStr">
        <is>
          <t>- Headcount: 1
- Hiring Job Details: 1 Ecommerce Executive
- Hiring Urgency: Hiring Now
- Number of outlets: Not specified
- Have recruiter team: Yes, I have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1086">
        <v>120</v>
      </c>
      <c r="AU1086" t="inlineStr">
        <is>
          <t>1.20</t>
        </is>
      </c>
      <c r="AV1086" t="inlineStr">
        <is>
          <t>15</t>
        </is>
      </c>
      <c r="AW1086" t="inlineStr">
        <is>
          <t>0</t>
        </is>
      </c>
      <c r="AX1086" t="inlineStr">
        <is>
          <t>Not Qualified</t>
        </is>
      </c>
      <c r="AY1086" s="4"/>
      <c r="AZ1086"/>
      <c r="BA1086"/>
      <c r="BB1086"/>
      <c r="BC1086"/>
      <c r="BD1086" s="4"/>
      <c r="BE1086"/>
      <c r="BF1086"/>
      <c r="BG1086" t="inlineStr">
        <is>
          <t>Reschedule</t>
        </is>
      </c>
      <c r="BH1086" t="inlineStr">
        <is>
          <t>Edward Hoo</t>
        </is>
      </c>
      <c r="BI1086"/>
      <c r="BJ1086" s="4">
        <v>46144.75587962963</v>
      </c>
      <c r="BK1086" s="4">
        <v>46133.56019675926</v>
      </c>
      <c r="BL1086" t="inlineStr">
        <is>
          <t>0.0</t>
        </is>
      </c>
      <c r="BM1086" t="inlineStr">
        <is>
          <t>0.0</t>
        </is>
      </c>
      <c r="BN1086"/>
      <c r="BO1086" s="4"/>
      <c r="BP1086">
        <v>168027</v>
      </c>
      <c r="BQ1086"/>
      <c r="BR1086"/>
      <c r="BS1086"/>
      <c r="BT1086"/>
      <c r="BU1086"/>
      <c r="BV1086"/>
      <c r="BW1086"/>
      <c r="BX1086"/>
      <c r="BY1086"/>
      <c r="BZ1086" s="4"/>
      <c r="CA1086"/>
      <c r="CB1086"/>
      <c r="CC1086" s="4"/>
      <c r="CD1086" t="inlineStr">
        <is>
          <t>20</t>
        </is>
      </c>
      <c r="CE1086" t="inlineStr">
        <is>
          <t>0</t>
        </is>
      </c>
      <c r="CF1086" t="inlineStr">
        <is>
          <t>Q2-W03</t>
        </is>
      </c>
      <c r="CG1086"/>
      <c r="CH1086"/>
      <c r="CI1086"/>
      <c r="CJ1086" t="inlineStr">
        <is>
          <t>No Paid</t>
        </is>
      </c>
      <c r="CK1086" t="inlineStr">
        <is>
          <t>Not Eligible</t>
        </is>
      </c>
      <c r="CL1086"/>
      <c r="CM1086"/>
    </row>
    <row r="1087" ht="25.5" customHeight="1">
      <c r="A1087" t="inlineStr">
        <is>
          <t>41690</t>
        </is>
      </c>
      <c r="B1087" s="2"/>
      <c r="C1087"/>
      <c r="D1087" s="3">
        <v>46133.591678240744</v>
      </c>
      <c r="E1087" t="inlineStr">
        <is>
          <t>Q2-W03</t>
        </is>
      </c>
      <c r="F1087" t="inlineStr">
        <is>
          <t>Xin Hui</t>
        </is>
      </c>
      <c r="G1087" t="inlineStr">
        <is>
          <t>Customer</t>
        </is>
      </c>
      <c r="H1087" s="2" t="str">
        <f>=HYPERLINK("https://upbox.ajobthing.my/customer/41690", "https://upbox.ajobthing.my/customer/41690")</f>
        <v>https://upbox.ajobthing.my/customer/41690</v>
      </c>
      <c r="I1087" t="inlineStr">
        <is>
          <t>Friendbond Outsourcing Services Sdn Bhd</t>
        </is>
      </c>
      <c r="J1087" t="inlineStr">
        <is>
          <t>Small Fish</t>
        </is>
      </c>
      <c r="K1087" t="inlineStr">
        <is>
          <t>Xin Hui</t>
        </is>
      </c>
      <c r="L1087" s="4"/>
      <c r="M1087" s="4">
        <v>46133.59212962963</v>
      </c>
      <c r="N1087"/>
      <c r="O1087">
        <v>3888</v>
      </c>
      <c r="P1087" s="4"/>
      <c r="Q1087" s="4">
        <v>44764.699016203704</v>
      </c>
      <c r="R1087"/>
      <c r="S1087">
        <v>636</v>
      </c>
      <c r="T1087" s="4">
        <v>44764.699016203704</v>
      </c>
      <c r="U1087" s="4"/>
      <c r="V1087"/>
      <c r="W1087">
        <v>636</v>
      </c>
      <c r="X1087"/>
      <c r="Y1087" t="inlineStr">
        <is>
          <t>Pending Appointment</t>
        </is>
      </c>
      <c r="Z1087" t="inlineStr">
        <is>
          <t>Hiring Later</t>
        </is>
      </c>
      <c r="AA1087">
        <v>1</v>
      </c>
      <c r="AB1087" t="inlineStr">
        <is>
          <t>No Appointment Made</t>
        </is>
      </c>
      <c r="AC1087"/>
      <c r="AD1087" t="inlineStr">
        <is>
          <t>accountant assistant</t>
        </is>
      </c>
      <c r="AE1087"/>
      <c r="AF1087"/>
      <c r="AG1087" s="4"/>
      <c r="AH1087" s="4"/>
      <c r="AI1087"/>
      <c r="AJ1087"/>
      <c r="AK1087" t="inlineStr">
        <is>
          <t>No, I don't need at all</t>
        </is>
      </c>
      <c r="AL1087"/>
      <c r="AM1087" t="inlineStr">
        <is>
          <t>No, I don't need at all</t>
        </is>
      </c>
      <c r="AN1087"/>
      <c r="AO1087" t="inlineStr">
        <is>
          <t>No, I don't need at all</t>
        </is>
      </c>
      <c r="AP1087" t="inlineStr">
        <is>
          <t>Once a year (25%)</t>
        </is>
      </c>
      <c r="AQ1087"/>
      <c r="AR1087"/>
      <c r="AS1087" t="inlineStr">
        <is>
          <t>- Headcount: 1
- Hiring Job Details: accountant assistant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087">
        <v>75</v>
      </c>
      <c r="AU1087" t="inlineStr">
        <is>
          <t>0.75</t>
        </is>
      </c>
      <c r="AV1087" t="inlineStr">
        <is>
          <t>5</t>
        </is>
      </c>
      <c r="AW1087" t="inlineStr">
        <is>
          <t>0</t>
        </is>
      </c>
      <c r="AX1087" t="inlineStr">
        <is>
          <t>Not Qualified</t>
        </is>
      </c>
      <c r="AY1087" s="4"/>
      <c r="AZ1087"/>
      <c r="BA1087"/>
      <c r="BB1087"/>
      <c r="BC1087" t="inlineStr">
        <is>
          <t>not urgent hiring / no need first</t>
        </is>
      </c>
      <c r="BD1087" s="4">
        <v>46141.62331018518</v>
      </c>
      <c r="BE1087" t="inlineStr">
        <is>
          <t>paid</t>
        </is>
      </c>
      <c r="BF1087"/>
      <c r="BG1087" t="inlineStr">
        <is>
          <t>Reschedule</t>
        </is>
      </c>
      <c r="BH1087" t="inlineStr">
        <is>
          <t>Yee Hang</t>
        </is>
      </c>
      <c r="BI1087" t="inlineStr">
        <is>
          <t>Accounting / Tax Services</t>
        </is>
      </c>
      <c r="BJ1087" s="4">
        <v>46144.75555555556</v>
      </c>
      <c r="BK1087" s="4">
        <v>42992.46425925926</v>
      </c>
      <c r="BL1087" t="inlineStr">
        <is>
          <t>0.0</t>
        </is>
      </c>
      <c r="BM1087" t="inlineStr">
        <is>
          <t>0.0</t>
        </is>
      </c>
      <c r="BN1087" t="inlineStr">
        <is>
          <t>View Jobmanager Page</t>
        </is>
      </c>
      <c r="BO1087" s="4">
        <v>45328.787523148145</v>
      </c>
      <c r="BP1087">
        <v>168029</v>
      </c>
      <c r="BQ1087">
        <v>48340</v>
      </c>
      <c r="BR1087" t="inlineStr">
        <is>
          <t>Online</t>
        </is>
      </c>
      <c r="BS1087"/>
      <c r="BT1087">
        <v>48340</v>
      </c>
      <c r="BU1087"/>
      <c r="BV1087">
        <v>2735447</v>
      </c>
      <c r="BW1087" t="inlineStr">
        <is>
          <t>Follow Up : Lost - Free Portal</t>
        </is>
      </c>
      <c r="BX1087"/>
      <c r="BY1087"/>
      <c r="BZ1087" s="4"/>
      <c r="CA1087"/>
      <c r="CB1087"/>
      <c r="CC1087" s="4"/>
      <c r="CD1087" t="inlineStr">
        <is>
          <t>5</t>
        </is>
      </c>
      <c r="CE1087" t="inlineStr">
        <is>
          <t>0</t>
        </is>
      </c>
      <c r="CF1087" t="inlineStr">
        <is>
          <t>Q2-W03</t>
        </is>
      </c>
      <c r="CG1087"/>
      <c r="CH1087"/>
      <c r="CI1087"/>
      <c r="CJ1087" t="inlineStr">
        <is>
          <t>Paid</t>
        </is>
      </c>
      <c r="CK1087" t="inlineStr">
        <is>
          <t>Not Eligible</t>
        </is>
      </c>
      <c r="CL1087"/>
      <c r="CM1087"/>
    </row>
    <row r="1088" ht="25.5" customHeight="1">
      <c r="A1088" t="inlineStr">
        <is>
          <t>203481</t>
        </is>
      </c>
      <c r="B1088" s="2"/>
      <c r="C1088"/>
      <c r="D1088" s="3">
        <v>46133.593831018516</v>
      </c>
      <c r="E1088" t="inlineStr">
        <is>
          <t>Q2-W03</t>
        </is>
      </c>
      <c r="F1088" t="inlineStr">
        <is>
          <t>Keegan</t>
        </is>
      </c>
      <c r="G1088" t="inlineStr">
        <is>
          <t>Customer</t>
        </is>
      </c>
      <c r="H1088" s="2" t="str">
        <f>=HYPERLINK("https://upbox.ajobthing.my/customer/203481", "https://upbox.ajobthing.my/customer/203481")</f>
        <v>https://upbox.ajobthing.my/customer/203481</v>
      </c>
      <c r="I1088" t="inlineStr">
        <is>
          <t>LQ Marketin</t>
        </is>
      </c>
      <c r="J1088" t="inlineStr">
        <is>
          <t>Small Fish</t>
        </is>
      </c>
      <c r="K1088" t="inlineStr">
        <is>
          <t>Keegan</t>
        </is>
      </c>
      <c r="L1088" s="4"/>
      <c r="M1088" s="4">
        <v>46133.59460648148</v>
      </c>
      <c r="N1088"/>
      <c r="O1088">
        <v>0</v>
      </c>
      <c r="P1088" s="4"/>
      <c r="Q1088" s="4"/>
      <c r="R1088"/>
      <c r="S1088"/>
      <c r="T1088" s="4"/>
      <c r="U1088" s="4"/>
      <c r="V1088"/>
      <c r="W1088"/>
      <c r="X1088"/>
      <c r="Y1088" t="inlineStr">
        <is>
          <t>Pending Appointment</t>
        </is>
      </c>
      <c r="Z1088" t="inlineStr">
        <is>
          <t>Hiring Now</t>
        </is>
      </c>
      <c r="AA1088">
        <v>3</v>
      </c>
      <c r="AB1088" t="inlineStr">
        <is>
          <t>No Appointment Made</t>
        </is>
      </c>
      <c r="AC1088"/>
      <c r="AD1088" t="inlineStr">
        <is>
          <t xml:space="preserve">1. Admin 
2. Marketing
3. BD </t>
        </is>
      </c>
      <c r="AE1088"/>
      <c r="AF1088"/>
      <c r="AG1088" s="4"/>
      <c r="AH1088" s="4"/>
      <c r="AI1088"/>
      <c r="AJ1088">
        <v>1</v>
      </c>
      <c r="AK1088" t="inlineStr">
        <is>
          <t>No, I don't need at all</t>
        </is>
      </c>
      <c r="AL1088">
        <v>0</v>
      </c>
      <c r="AM1088" t="inlineStr">
        <is>
          <t>No, I don't need at all</t>
        </is>
      </c>
      <c r="AN1088"/>
      <c r="AO1088" t="inlineStr">
        <is>
          <t>No, I don't need at all</t>
        </is>
      </c>
      <c r="AP1088" t="inlineStr">
        <is>
          <t>Once per quarter (75%)</t>
        </is>
      </c>
      <c r="AQ1088"/>
      <c r="AR1088" t="inlineStr">
        <is>
          <t>Did not use any job portal</t>
        </is>
      </c>
      <c r="AS1088" t="inlineStr">
        <is>
          <t>- Headcount: 3
- Hiring Job Details: 1. Admin 2. Marketing 3. BD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088">
        <v>75</v>
      </c>
      <c r="AU1088" t="inlineStr">
        <is>
          <t>0.75</t>
        </is>
      </c>
      <c r="AV1088" t="inlineStr">
        <is>
          <t>5</t>
        </is>
      </c>
      <c r="AW1088" t="inlineStr">
        <is>
          <t>0</t>
        </is>
      </c>
      <c r="AX1088" t="inlineStr">
        <is>
          <t>Not Qualified</t>
        </is>
      </c>
      <c r="AY1088" s="4"/>
      <c r="AZ1088"/>
      <c r="BA1088"/>
      <c r="BB1088"/>
      <c r="BC1088" t="inlineStr">
        <is>
          <t>F/up on decision</t>
        </is>
      </c>
      <c r="BD1088" s="4">
        <v>46141.68724537037</v>
      </c>
      <c r="BE1088"/>
      <c r="BF1088"/>
      <c r="BG1088" t="inlineStr">
        <is>
          <t>Reschedule</t>
        </is>
      </c>
      <c r="BH1088" t="inlineStr">
        <is>
          <t>Edward Hoo</t>
        </is>
      </c>
      <c r="BI1088"/>
      <c r="BJ1088" s="4">
        <v>46144.754328703704</v>
      </c>
      <c r="BK1088" s="4">
        <v>46133.592152777775</v>
      </c>
      <c r="BL1088" t="inlineStr">
        <is>
          <t>0.0</t>
        </is>
      </c>
      <c r="BM1088" t="inlineStr">
        <is>
          <t>0.0</t>
        </is>
      </c>
      <c r="BN1088"/>
      <c r="BO1088" s="4"/>
      <c r="BP1088">
        <v>168032</v>
      </c>
      <c r="BQ1088"/>
      <c r="BR1088"/>
      <c r="BS1088"/>
      <c r="BT1088"/>
      <c r="BU1088"/>
      <c r="BV1088">
        <v>2735911</v>
      </c>
      <c r="BW1088" t="inlineStr">
        <is>
          <t>Follow Up : Decision Pending</t>
        </is>
      </c>
      <c r="BX1088"/>
      <c r="BY1088"/>
      <c r="BZ1088" s="4"/>
      <c r="CA1088"/>
      <c r="CB1088"/>
      <c r="CC1088" s="4"/>
      <c r="CD1088" t="inlineStr">
        <is>
          <t>5</t>
        </is>
      </c>
      <c r="CE1088" t="inlineStr">
        <is>
          <t>0</t>
        </is>
      </c>
      <c r="CF1088" t="inlineStr">
        <is>
          <t>Q2-W03</t>
        </is>
      </c>
      <c r="CG1088"/>
      <c r="CH1088"/>
      <c r="CI1088"/>
      <c r="CJ1088" t="inlineStr">
        <is>
          <t>No Paid</t>
        </is>
      </c>
      <c r="CK1088" t="inlineStr">
        <is>
          <t>Not Eligible</t>
        </is>
      </c>
      <c r="CL1088"/>
      <c r="CM1088"/>
    </row>
    <row r="1089" ht="25.5" customHeight="1">
      <c r="A1089" t="inlineStr">
        <is>
          <t>203479</t>
        </is>
      </c>
      <c r="B1089" s="2"/>
      <c r="C1089"/>
      <c r="D1089" s="3">
        <v>46133.595185185186</v>
      </c>
      <c r="E1089" t="inlineStr">
        <is>
          <t>Q2-W03</t>
        </is>
      </c>
      <c r="F1089" t="inlineStr">
        <is>
          <t>Clover</t>
        </is>
      </c>
      <c r="G1089" t="inlineStr">
        <is>
          <t>Customer</t>
        </is>
      </c>
      <c r="H1089" s="2" t="str">
        <f>=HYPERLINK("https://upbox.ajobthing.my/customer/203479", "https://upbox.ajobthing.my/customer/203479")</f>
        <v>https://upbox.ajobthing.my/customer/203479</v>
      </c>
      <c r="I1089" t="inlineStr">
        <is>
          <t>TRANSAFE CONSULT SDN BHD</t>
        </is>
      </c>
      <c r="J1089" t="inlineStr">
        <is>
          <t>Small Fish</t>
        </is>
      </c>
      <c r="K1089" t="inlineStr">
        <is>
          <t>Clover</t>
        </is>
      </c>
      <c r="L1089" s="4"/>
      <c r="M1089" s="4">
        <v>46133.5958912037</v>
      </c>
      <c r="N1089"/>
      <c r="O1089">
        <v>3888</v>
      </c>
      <c r="P1089" s="4"/>
      <c r="Q1089" s="4"/>
      <c r="R1089"/>
      <c r="S1089"/>
      <c r="T1089" s="4"/>
      <c r="U1089" s="4"/>
      <c r="V1089"/>
      <c r="W1089"/>
      <c r="X1089"/>
      <c r="Y1089" t="inlineStr">
        <is>
          <t>Pending Appointment</t>
        </is>
      </c>
      <c r="Z1089" t="inlineStr">
        <is>
          <t>Hiring Now</t>
        </is>
      </c>
      <c r="AA1089">
        <v>3</v>
      </c>
      <c r="AB1089" t="inlineStr">
        <is>
          <t>No Appointment Made</t>
        </is>
      </c>
      <c r="AC1089"/>
      <c r="AD1089" t="inlineStr">
        <is>
          <t>Hire planner x1, malay/eng speaker, min 5 years, plan construction project, expanding, construction project office at BK8, accountant x1 all races, engineering construction x1 all races, previous JS, sudah dpt calon, suggest stand</t>
        </is>
      </c>
      <c r="AE1089"/>
      <c r="AF1089">
        <v>3000</v>
      </c>
      <c r="AG1089" s="4"/>
      <c r="AH1089" s="4"/>
      <c r="AI1089">
        <v>3000</v>
      </c>
      <c r="AJ1089">
        <v>1</v>
      </c>
      <c r="AK1089" t="inlineStr">
        <is>
          <t>No, but I want in future</t>
        </is>
      </c>
      <c r="AL1089">
        <v>1</v>
      </c>
      <c r="AM1089" t="inlineStr">
        <is>
          <t>No, but I want in future</t>
        </is>
      </c>
      <c r="AN1089"/>
      <c r="AO1089" t="inlineStr">
        <is>
          <t>No, but I want in future</t>
        </is>
      </c>
      <c r="AP1089" t="inlineStr">
        <is>
          <t>Twice a year (50%)</t>
        </is>
      </c>
      <c r="AQ1089">
        <v>3</v>
      </c>
      <c r="AR1089" t="inlineStr">
        <is>
          <t>Jobstreet</t>
        </is>
      </c>
      <c r="AS1089" t="inlineStr">
        <is>
          <t>- Headcount: 3
- Hiring Job Details: 1 planner (malay/eng speaker, min 5 years, construction project planning), 1 accountant (all races), 1 engineering construction (all races); previous JS, sudah dpt calon, suggest stand; expanding at BK8 construction project office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Jobstreet</t>
        </is>
      </c>
      <c r="AT1089">
        <v>115</v>
      </c>
      <c r="AU1089" t="inlineStr">
        <is>
          <t>1.15</t>
        </is>
      </c>
      <c r="AV1089" t="inlineStr">
        <is>
          <t>15</t>
        </is>
      </c>
      <c r="AW1089" t="inlineStr">
        <is>
          <t>0</t>
        </is>
      </c>
      <c r="AX1089" t="inlineStr">
        <is>
          <t>Not Qualified</t>
        </is>
      </c>
      <c r="AY1089" s="4"/>
      <c r="AZ1089"/>
      <c r="BA1089"/>
      <c r="BB1089"/>
      <c r="BC1089" t="inlineStr">
        <is>
          <t>lost</t>
        </is>
      </c>
      <c r="BD1089" s="4">
        <v>46136.67387731482</v>
      </c>
      <c r="BE1089"/>
      <c r="BF1089"/>
      <c r="BG1089" t="inlineStr">
        <is>
          <t>Reschedule</t>
        </is>
      </c>
      <c r="BH1089" t="inlineStr">
        <is>
          <t>Reagen</t>
        </is>
      </c>
      <c r="BI1089" t="inlineStr">
        <is>
          <t>Engineering / Technical Consulting</t>
        </is>
      </c>
      <c r="BJ1089" s="4">
        <v>46144.754328703704</v>
      </c>
      <c r="BK1089" s="4">
        <v>46133.56460648148</v>
      </c>
      <c r="BL1089" t="inlineStr">
        <is>
          <t>0.0</t>
        </is>
      </c>
      <c r="BM1089" t="inlineStr">
        <is>
          <t>0.0</t>
        </is>
      </c>
      <c r="BN1089" t="inlineStr">
        <is>
          <t>View Company Page</t>
        </is>
      </c>
      <c r="BO1089" s="4">
        <v>46133.62125</v>
      </c>
      <c r="BP1089">
        <v>168034</v>
      </c>
      <c r="BQ1089"/>
      <c r="BR1089"/>
      <c r="BS1089"/>
      <c r="BT1089"/>
      <c r="BU1089"/>
      <c r="BV1089">
        <v>2727001</v>
      </c>
      <c r="BW1089" t="inlineStr">
        <is>
          <t>Follow Up : Budget Concern</t>
        </is>
      </c>
      <c r="BX1089"/>
      <c r="BY1089"/>
      <c r="BZ1089" s="4"/>
      <c r="CA1089"/>
      <c r="CB1089"/>
      <c r="CC1089" s="4"/>
      <c r="CD1089" t="inlineStr">
        <is>
          <t>20</t>
        </is>
      </c>
      <c r="CE1089" t="inlineStr">
        <is>
          <t>0</t>
        </is>
      </c>
      <c r="CF1089" t="inlineStr">
        <is>
          <t>Q2-W03</t>
        </is>
      </c>
      <c r="CG1089"/>
      <c r="CH1089"/>
      <c r="CI1089"/>
      <c r="CJ1089" t="inlineStr">
        <is>
          <t>No Paid</t>
        </is>
      </c>
      <c r="CK1089" t="inlineStr">
        <is>
          <t>Not Eligible</t>
        </is>
      </c>
      <c r="CL1089"/>
      <c r="CM1089"/>
    </row>
    <row r="1090" ht="25.5" customHeight="1">
      <c r="A1090" t="inlineStr">
        <is>
          <t>186631</t>
        </is>
      </c>
      <c r="B1090" s="2"/>
      <c r="C1090"/>
      <c r="D1090" s="3">
        <v>46133.60181712963</v>
      </c>
      <c r="E1090" t="inlineStr">
        <is>
          <t>Q2-W03</t>
        </is>
      </c>
      <c r="F1090" t="inlineStr">
        <is>
          <t>Ratha</t>
        </is>
      </c>
      <c r="G1090" t="inlineStr">
        <is>
          <t>Customer</t>
        </is>
      </c>
      <c r="H1090" s="2" t="str">
        <f>=HYPERLINK("https://upbox.ajobthing.my/customer/186631", "https://upbox.ajobthing.my/customer/186631")</f>
        <v>https://upbox.ajobthing.my/customer/186631</v>
      </c>
      <c r="I1090" t="inlineStr">
        <is>
          <t>Decent Management Services Sdn Bhd</t>
        </is>
      </c>
      <c r="J1090" t="inlineStr">
        <is>
          <t>Small Fish</t>
        </is>
      </c>
      <c r="K1090" t="inlineStr">
        <is>
          <t>Ratha</t>
        </is>
      </c>
      <c r="L1090" s="4"/>
      <c r="M1090" s="4">
        <v>46133.60207175926</v>
      </c>
      <c r="N1090"/>
      <c r="O1090">
        <v>3888</v>
      </c>
      <c r="P1090" s="4"/>
      <c r="Q1090" s="4"/>
      <c r="R1090"/>
      <c r="S1090"/>
      <c r="T1090" s="4"/>
      <c r="U1090" s="4"/>
      <c r="V1090"/>
      <c r="W1090"/>
      <c r="X1090"/>
      <c r="Y1090" t="inlineStr">
        <is>
          <t>Pending Appointment</t>
        </is>
      </c>
      <c r="Z1090" t="inlineStr">
        <is>
          <t>Hiring Later</t>
        </is>
      </c>
      <c r="AA1090">
        <v>1</v>
      </c>
      <c r="AB1090" t="inlineStr">
        <is>
          <t>No Appointment Made</t>
        </is>
      </c>
      <c r="AC1090"/>
      <c r="AD1090" t="inlineStr">
        <is>
          <t>Finance 1
Location : Sabah</t>
        </is>
      </c>
      <c r="AE1090"/>
      <c r="AF1090"/>
      <c r="AG1090" s="4"/>
      <c r="AH1090" s="4"/>
      <c r="AI1090">
        <v>0</v>
      </c>
      <c r="AJ1090">
        <v>1</v>
      </c>
      <c r="AK1090" t="inlineStr">
        <is>
          <t>Yes, I have</t>
        </is>
      </c>
      <c r="AL1090">
        <v>2</v>
      </c>
      <c r="AM1090" t="inlineStr">
        <is>
          <t>No, I don't need at all</t>
        </is>
      </c>
      <c r="AN1090"/>
      <c r="AO1090" t="inlineStr">
        <is>
          <t>No, I don't need at all</t>
        </is>
      </c>
      <c r="AP1090" t="inlineStr">
        <is>
          <t>Once per quarter (75%)</t>
        </is>
      </c>
      <c r="AQ1090">
        <v>0</v>
      </c>
      <c r="AR1090" t="inlineStr">
        <is>
          <t>Free Job Portal</t>
        </is>
      </c>
      <c r="AS1090" t="inlineStr">
        <is>
          <t>- Headcount: 1
- Hiring Job Details: 1 Finance
- Hiring Urgency: Hiring Later
- Number of outlets: 1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Free Job Portal</t>
        </is>
      </c>
      <c r="AT1090">
        <v>95</v>
      </c>
      <c r="AU1090" t="inlineStr">
        <is>
          <t>0.95</t>
        </is>
      </c>
      <c r="AV1090" t="inlineStr">
        <is>
          <t>5</t>
        </is>
      </c>
      <c r="AW1090" t="inlineStr">
        <is>
          <t>0</t>
        </is>
      </c>
      <c r="AX1090" t="inlineStr">
        <is>
          <t>Not Qualified</t>
        </is>
      </c>
      <c r="AY1090" s="4"/>
      <c r="AZ1090"/>
      <c r="BA1090"/>
      <c r="BB1090"/>
      <c r="BC1090" t="inlineStr">
        <is>
          <t>no answer</t>
        </is>
      </c>
      <c r="BD1090" s="4">
        <v>46142.478946759256</v>
      </c>
      <c r="BE1090"/>
      <c r="BF1090"/>
      <c r="BG1090" t="inlineStr">
        <is>
          <t>Reschedule</t>
        </is>
      </c>
      <c r="BH1090" t="inlineStr">
        <is>
          <t>Fauziah Maharan</t>
        </is>
      </c>
      <c r="BI1090" t="inlineStr">
        <is>
          <t>Accounting / Tax Services</t>
        </is>
      </c>
      <c r="BJ1090" s="4">
        <v>46144.752118055556</v>
      </c>
      <c r="BK1090" s="4">
        <v>45666.64711805555</v>
      </c>
      <c r="BL1090" t="inlineStr">
        <is>
          <t>0.0</t>
        </is>
      </c>
      <c r="BM1090" t="inlineStr">
        <is>
          <t>0.0</t>
        </is>
      </c>
      <c r="BN1090" t="inlineStr">
        <is>
          <t>View Company Page</t>
        </is>
      </c>
      <c r="BO1090" s="4">
        <v>46126.70780092593</v>
      </c>
      <c r="BP1090">
        <v>168038</v>
      </c>
      <c r="BQ1090"/>
      <c r="BR1090"/>
      <c r="BS1090"/>
      <c r="BT1090"/>
      <c r="BU1090"/>
      <c r="BV1090">
        <v>2737139</v>
      </c>
      <c r="BW1090" t="inlineStr">
        <is>
          <t>No Answer : Voicemail - WA sent to customer</t>
        </is>
      </c>
      <c r="BX1090"/>
      <c r="BY1090"/>
      <c r="BZ1090" s="4"/>
      <c r="CA1090"/>
      <c r="CB1090"/>
      <c r="CC1090" s="4"/>
      <c r="CD1090" t="inlineStr">
        <is>
          <t>5</t>
        </is>
      </c>
      <c r="CE1090" t="inlineStr">
        <is>
          <t>0</t>
        </is>
      </c>
      <c r="CF1090" t="inlineStr">
        <is>
          <t>Q2-W03</t>
        </is>
      </c>
      <c r="CG1090"/>
      <c r="CH1090"/>
      <c r="CI1090"/>
      <c r="CJ1090" t="inlineStr">
        <is>
          <t>No Paid</t>
        </is>
      </c>
      <c r="CK1090" t="inlineStr">
        <is>
          <t>Not Eligible</t>
        </is>
      </c>
      <c r="CL1090"/>
      <c r="CM1090"/>
    </row>
    <row r="1091" ht="25.5" customHeight="1">
      <c r="A1091" t="inlineStr">
        <is>
          <t>4309618</t>
        </is>
      </c>
      <c r="B1091" s="2"/>
      <c r="C1091"/>
      <c r="D1091" s="3">
        <v>46133.60290509259</v>
      </c>
      <c r="E1091" t="inlineStr">
        <is>
          <t>Q2-W03</t>
        </is>
      </c>
      <c r="F1091" t="inlineStr">
        <is>
          <t>Chia Yee</t>
        </is>
      </c>
      <c r="G1091" t="inlineStr">
        <is>
          <t>Lead</t>
        </is>
      </c>
      <c r="H1091" s="2" t="str">
        <f>=HYPERLINK("https://upbox.ajobthing.my/leads/4309618", "https://upbox.ajobthing.my/leads/4309618")</f>
        <v>https://upbox.ajobthing.my/leads/4309618</v>
      </c>
      <c r="I1091" t="inlineStr">
        <is>
          <t>The Food Merchant</t>
        </is>
      </c>
      <c r="J1091" t="inlineStr">
        <is>
          <t>Small Fish</t>
        </is>
      </c>
      <c r="K1091" t="inlineStr">
        <is>
          <t>Chia Yee</t>
        </is>
      </c>
      <c r="L1091" s="4"/>
      <c r="M1091" s="4">
        <v>46133.603414351855</v>
      </c>
      <c r="N1091"/>
      <c r="O1091">
        <v>6048</v>
      </c>
      <c r="P1091" s="4"/>
      <c r="Q1091" s="4"/>
      <c r="R1091"/>
      <c r="S1091"/>
      <c r="T1091" s="4"/>
      <c r="U1091" s="4"/>
      <c r="V1091"/>
      <c r="W1091"/>
      <c r="X1091"/>
      <c r="Y1091" t="inlineStr">
        <is>
          <t>Pending Appointment</t>
        </is>
      </c>
      <c r="Z1091" t="inlineStr">
        <is>
          <t>Hiring Now</t>
        </is>
      </c>
      <c r="AA1091">
        <v>1</v>
      </c>
      <c r="AB1091" t="inlineStr">
        <is>
          <t>No Appointment Made</t>
        </is>
      </c>
      <c r="AC1091"/>
      <c r="AD1091" t="inlineStr">
        <is>
          <t>1 Store manager, supermarket job</t>
        </is>
      </c>
      <c r="AE1091"/>
      <c r="AF1091">
        <v>0</v>
      </c>
      <c r="AG1091" s="4"/>
      <c r="AH1091" s="4"/>
      <c r="AI1091">
        <v>0</v>
      </c>
      <c r="AJ1091">
        <v>1</v>
      </c>
      <c r="AK1091" t="inlineStr">
        <is>
          <t>No, I don't need at all</t>
        </is>
      </c>
      <c r="AL1091">
        <v>1</v>
      </c>
      <c r="AM1091" t="inlineStr">
        <is>
          <t>No, I don't need at all</t>
        </is>
      </c>
      <c r="AN1091"/>
      <c r="AO1091" t="inlineStr">
        <is>
          <t>No, I don't need at all</t>
        </is>
      </c>
      <c r="AP1091" t="inlineStr">
        <is>
          <t>Once a year (25%)</t>
        </is>
      </c>
      <c r="AQ1091">
        <v>3</v>
      </c>
      <c r="AR1091" t="inlineStr">
        <is>
          <t>Did not use any job portal</t>
        </is>
      </c>
      <c r="AS1091" t="inlineStr">
        <is>
          <t>- Headcount: 1
- Hiring Job Details: 1 Store manager, supermarket job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is>
      </c>
      <c r="AT1091">
        <v>110</v>
      </c>
      <c r="AU1091" t="inlineStr">
        <is>
          <t>1.10</t>
        </is>
      </c>
      <c r="AV1091" t="inlineStr">
        <is>
          <t>15</t>
        </is>
      </c>
      <c r="AW1091" t="inlineStr">
        <is>
          <t>0</t>
        </is>
      </c>
      <c r="AX1091" t="inlineStr">
        <is>
          <t>Not Qualified</t>
        </is>
      </c>
      <c r="AY1091" s="4"/>
      <c r="AZ1091"/>
      <c r="BA1091"/>
      <c r="BB1091"/>
      <c r="BC1091"/>
      <c r="BD1091" s="4"/>
      <c r="BE1091"/>
      <c r="BF1091"/>
      <c r="BG1091" t="inlineStr">
        <is>
          <t>Reschedule</t>
        </is>
      </c>
      <c r="BH1091" t="inlineStr">
        <is>
          <t>Reagen</t>
        </is>
      </c>
      <c r="BI1091"/>
      <c r="BJ1091" s="4">
        <v>46144.75587962963</v>
      </c>
      <c r="BK1091" s="4">
        <v>46133.59040509259</v>
      </c>
      <c r="BL1091" t="inlineStr">
        <is>
          <t>0.0</t>
        </is>
      </c>
      <c r="BM1091" t="inlineStr">
        <is>
          <t>0.0</t>
        </is>
      </c>
      <c r="BN1091"/>
      <c r="BO1091" s="4"/>
      <c r="BP1091">
        <v>168040</v>
      </c>
      <c r="BQ1091"/>
      <c r="BR1091"/>
      <c r="BS1091"/>
      <c r="BT1091"/>
      <c r="BU1091"/>
      <c r="BV1091"/>
      <c r="BW1091"/>
      <c r="BX1091"/>
      <c r="BY1091"/>
      <c r="BZ1091" s="4"/>
      <c r="CA1091"/>
      <c r="CB1091"/>
      <c r="CC1091" s="4"/>
      <c r="CD1091" t="inlineStr">
        <is>
          <t>20</t>
        </is>
      </c>
      <c r="CE1091" t="inlineStr">
        <is>
          <t>0</t>
        </is>
      </c>
      <c r="CF1091" t="inlineStr">
        <is>
          <t>Q2-W03</t>
        </is>
      </c>
      <c r="CG1091"/>
      <c r="CH1091"/>
      <c r="CI1091"/>
      <c r="CJ1091" t="inlineStr">
        <is>
          <t>No Paid</t>
        </is>
      </c>
      <c r="CK1091" t="inlineStr">
        <is>
          <t>Not Eligible</t>
        </is>
      </c>
      <c r="CL1091"/>
      <c r="CM1091"/>
    </row>
    <row r="1092" ht="25.5" customHeight="1">
      <c r="A1092" t="inlineStr">
        <is>
          <t>48443</t>
        </is>
      </c>
      <c r="B1092" s="2"/>
      <c r="C1092"/>
      <c r="D1092" s="3">
        <v>46133.603483796294</v>
      </c>
      <c r="E1092" t="inlineStr">
        <is>
          <t>Q2-W03</t>
        </is>
      </c>
      <c r="F1092" t="inlineStr">
        <is>
          <t>Keegan</t>
        </is>
      </c>
      <c r="G1092" t="inlineStr">
        <is>
          <t>Customer</t>
        </is>
      </c>
      <c r="H1092" s="2" t="str">
        <f>=HYPERLINK("https://upbox.ajobthing.my/customer/48443", "https://upbox.ajobthing.my/customer/48443")</f>
        <v>https://upbox.ajobthing.my/customer/48443</v>
      </c>
      <c r="I1092" t="inlineStr">
        <is>
          <t>Integrajaya Calibration Technologies Sdn Bhd</t>
        </is>
      </c>
      <c r="J1092" t="inlineStr">
        <is>
          <t>Small Fish</t>
        </is>
      </c>
      <c r="K1092" t="inlineStr">
        <is>
          <t>Keegan</t>
        </is>
      </c>
      <c r="L1092" s="4"/>
      <c r="M1092" s="4">
        <v>46133.60361111111</v>
      </c>
      <c r="N1092"/>
      <c r="O1092">
        <v>6048</v>
      </c>
      <c r="P1092" s="4"/>
      <c r="Q1092" s="4">
        <v>44714.39988425926</v>
      </c>
      <c r="R1092"/>
      <c r="S1092">
        <v>530</v>
      </c>
      <c r="T1092" s="4">
        <v>44714.39988425926</v>
      </c>
      <c r="U1092" s="4"/>
      <c r="V1092"/>
      <c r="W1092">
        <v>530</v>
      </c>
      <c r="X1092"/>
      <c r="Y1092" t="inlineStr">
        <is>
          <t>Pending Appointment</t>
        </is>
      </c>
      <c r="Z1092" t="inlineStr">
        <is>
          <t>Hiring Now</t>
        </is>
      </c>
      <c r="AA1092">
        <v>3</v>
      </c>
      <c r="AB1092" t="inlineStr">
        <is>
          <t>No Appointment Made</t>
        </is>
      </c>
      <c r="AC1092"/>
      <c r="AD1092" t="inlineStr">
        <is>
          <t xml:space="preserve">1. IT tehnician 
2. Engineer 
3. Admin </t>
        </is>
      </c>
      <c r="AE1092"/>
      <c r="AF1092"/>
      <c r="AG1092" s="4"/>
      <c r="AH1092" s="4"/>
      <c r="AI1092"/>
      <c r="AJ1092">
        <v>1</v>
      </c>
      <c r="AK1092" t="inlineStr">
        <is>
          <t>No, I don't need at all</t>
        </is>
      </c>
      <c r="AL1092">
        <v>0</v>
      </c>
      <c r="AM1092" t="inlineStr">
        <is>
          <t>No, I don't need at all</t>
        </is>
      </c>
      <c r="AN1092"/>
      <c r="AO1092" t="inlineStr">
        <is>
          <t>No, I don't need at all</t>
        </is>
      </c>
      <c r="AP1092" t="inlineStr">
        <is>
          <t>Once per quarter (75%)</t>
        </is>
      </c>
      <c r="AQ1092"/>
      <c r="AR1092" t="inlineStr">
        <is>
          <t>Did not use any job portal</t>
        </is>
      </c>
      <c r="AS1092" t="inlineStr">
        <is>
          <t>- Headcount: 3
- Hiring Job Details: 1. IT technician\n2. Engineer\n3.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092">
        <v>75</v>
      </c>
      <c r="AU1092" t="inlineStr">
        <is>
          <t>0.75</t>
        </is>
      </c>
      <c r="AV1092" t="inlineStr">
        <is>
          <t>5</t>
        </is>
      </c>
      <c r="AW1092" t="inlineStr">
        <is>
          <t>0</t>
        </is>
      </c>
      <c r="AX1092" t="inlineStr">
        <is>
          <t>Not Qualified</t>
        </is>
      </c>
      <c r="AY1092" s="4"/>
      <c r="AZ1092"/>
      <c r="BA1092"/>
      <c r="BB1092"/>
      <c r="BC1092" t="inlineStr">
        <is>
          <t>Pending decision</t>
        </is>
      </c>
      <c r="BD1092" s="4">
        <v>46135.63391203704</v>
      </c>
      <c r="BE1092" t="inlineStr">
        <is>
          <t>paid</t>
        </is>
      </c>
      <c r="BF1092"/>
      <c r="BG1092" t="inlineStr">
        <is>
          <t>Reschedule</t>
        </is>
      </c>
      <c r="BH1092" t="inlineStr">
        <is>
          <t>Edward Hoo</t>
        </is>
      </c>
      <c r="BI1092" t="inlineStr">
        <is>
          <t>Engineering / Technical Consulting</t>
        </is>
      </c>
      <c r="BJ1092" s="4">
        <v>46144.75604166667</v>
      </c>
      <c r="BK1092" s="4">
        <v>43223.87741898148</v>
      </c>
      <c r="BL1092" t="inlineStr">
        <is>
          <t>0.0</t>
        </is>
      </c>
      <c r="BM1092" t="inlineStr">
        <is>
          <t>0.0</t>
        </is>
      </c>
      <c r="BN1092" t="inlineStr">
        <is>
          <t>View Jobmanager Page</t>
        </is>
      </c>
      <c r="BO1092" s="4">
        <v>44789.38275462963</v>
      </c>
      <c r="BP1092">
        <v>168041</v>
      </c>
      <c r="BQ1092">
        <v>45804</v>
      </c>
      <c r="BR1092" t="inlineStr">
        <is>
          <t>Online</t>
        </is>
      </c>
      <c r="BS1092"/>
      <c r="BT1092">
        <v>45804</v>
      </c>
      <c r="BU1092"/>
      <c r="BV1092">
        <v>2723861</v>
      </c>
      <c r="BW1092" t="inlineStr">
        <is>
          <t>Follow Up : Decision Pending</t>
        </is>
      </c>
      <c r="BX1092"/>
      <c r="BY1092"/>
      <c r="BZ1092" s="4"/>
      <c r="CA1092"/>
      <c r="CB1092"/>
      <c r="CC1092" s="4"/>
      <c r="CD1092" t="inlineStr">
        <is>
          <t>5</t>
        </is>
      </c>
      <c r="CE1092" t="inlineStr">
        <is>
          <t>0</t>
        </is>
      </c>
      <c r="CF1092" t="inlineStr">
        <is>
          <t>Q2-W03</t>
        </is>
      </c>
      <c r="CG1092"/>
      <c r="CH1092"/>
      <c r="CI1092"/>
      <c r="CJ1092" t="inlineStr">
        <is>
          <t>Paid</t>
        </is>
      </c>
      <c r="CK1092" t="inlineStr">
        <is>
          <t>Not Eligible</t>
        </is>
      </c>
      <c r="CL1092"/>
      <c r="CM1092"/>
    </row>
    <row r="1093" ht="25.5" customHeight="1">
      <c r="A1093" t="inlineStr">
        <is>
          <t>4309130</t>
        </is>
      </c>
      <c r="B1093" s="2"/>
      <c r="C1093"/>
      <c r="D1093" s="3">
        <v>46133.60675925926</v>
      </c>
      <c r="E1093" t="inlineStr">
        <is>
          <t>Q2-W03</t>
        </is>
      </c>
      <c r="F1093" t="inlineStr">
        <is>
          <t>Carmen</t>
        </is>
      </c>
      <c r="G1093" t="inlineStr">
        <is>
          <t>Lead</t>
        </is>
      </c>
      <c r="H1093" s="2" t="str">
        <f>=HYPERLINK("https://upbox.ajobthing.my/leads/4309130", "https://upbox.ajobthing.my/leads/4309130")</f>
        <v>https://upbox.ajobthing.my/leads/4309130</v>
      </c>
      <c r="I1093" t="inlineStr">
        <is>
          <t>Meow Hero Family Centre Sdn Bhd</t>
        </is>
      </c>
      <c r="J1093" t="inlineStr">
        <is>
          <t>Small Fish</t>
        </is>
      </c>
      <c r="K1093" t="inlineStr">
        <is>
          <t>Carmen</t>
        </is>
      </c>
      <c r="L1093" s="4"/>
      <c r="M1093" s="4">
        <v>46133.608078703706</v>
      </c>
      <c r="N1093"/>
      <c r="O1093">
        <v>3888</v>
      </c>
      <c r="P1093" s="4"/>
      <c r="Q1093" s="4"/>
      <c r="R1093"/>
      <c r="S1093"/>
      <c r="T1093" s="4"/>
      <c r="U1093" s="4"/>
      <c r="V1093"/>
      <c r="W1093"/>
      <c r="X1093"/>
      <c r="Y1093" t="inlineStr">
        <is>
          <t>Pending Appointment</t>
        </is>
      </c>
      <c r="Z1093" t="inlineStr">
        <is>
          <t>Hiring Now</t>
        </is>
      </c>
      <c r="AA1093">
        <v>2</v>
      </c>
      <c r="AB1093" t="inlineStr">
        <is>
          <t>No Appointment Made</t>
        </is>
      </c>
      <c r="AC1093"/>
      <c r="AD1093" t="inlineStr">
        <is>
          <t>cat groomer x 2</t>
        </is>
      </c>
      <c r="AE1093"/>
      <c r="AF1093">
        <v>3000</v>
      </c>
      <c r="AG1093" s="4"/>
      <c r="AH1093" s="4"/>
      <c r="AI1093"/>
      <c r="AJ1093"/>
      <c r="AK1093" t="inlineStr">
        <is>
          <t>No, I don't need at all</t>
        </is>
      </c>
      <c r="AL1093"/>
      <c r="AM1093"/>
      <c r="AN1093"/>
      <c r="AO1093"/>
      <c r="AP1093" t="inlineStr">
        <is>
          <t>Once a year (25%)</t>
        </is>
      </c>
      <c r="AQ1093"/>
      <c r="AR1093"/>
      <c r="AS1093" t="inlineStr">
        <is>
          <t>- Headcount: 2
- Hiring Job Details: cat groomer x 2
- Hiring Urgency: Hiring Now
- Number of outlets: Not specified
- Have recruiter team: No, I don't need at all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1093">
        <v>95</v>
      </c>
      <c r="AU1093" t="inlineStr">
        <is>
          <t>0.95</t>
        </is>
      </c>
      <c r="AV1093" t="inlineStr">
        <is>
          <t>15</t>
        </is>
      </c>
      <c r="AW1093" t="inlineStr">
        <is>
          <t>0</t>
        </is>
      </c>
      <c r="AX1093" t="inlineStr">
        <is>
          <t>Not Qualified</t>
        </is>
      </c>
      <c r="AY1093" s="4"/>
      <c r="AZ1093"/>
      <c r="BA1093"/>
      <c r="BB1093"/>
      <c r="BC1093"/>
      <c r="BD1093" s="4"/>
      <c r="BE1093"/>
      <c r="BF1093"/>
      <c r="BG1093" t="inlineStr">
        <is>
          <t>Reschedule</t>
        </is>
      </c>
      <c r="BH1093" t="inlineStr">
        <is>
          <t>Reagen</t>
        </is>
      </c>
      <c r="BI1093"/>
      <c r="BJ1093" s="4">
        <v>46144.75587962963</v>
      </c>
      <c r="BK1093" s="4">
        <v>46133.51115740741</v>
      </c>
      <c r="BL1093" t="inlineStr">
        <is>
          <t>0.0</t>
        </is>
      </c>
      <c r="BM1093" t="inlineStr">
        <is>
          <t>0.0</t>
        </is>
      </c>
      <c r="BN1093"/>
      <c r="BO1093" s="4"/>
      <c r="BP1093">
        <v>168048</v>
      </c>
      <c r="BQ1093"/>
      <c r="BR1093"/>
      <c r="BS1093"/>
      <c r="BT1093"/>
      <c r="BU1093"/>
      <c r="BV1093"/>
      <c r="BW1093"/>
      <c r="BX1093"/>
      <c r="BY1093"/>
      <c r="BZ1093" s="4"/>
      <c r="CA1093"/>
      <c r="CB1093"/>
      <c r="CC1093" s="4"/>
      <c r="CD1093" t="inlineStr">
        <is>
          <t>20</t>
        </is>
      </c>
      <c r="CE1093" t="inlineStr">
        <is>
          <t>0</t>
        </is>
      </c>
      <c r="CF1093" t="inlineStr">
        <is>
          <t>Q2-W03</t>
        </is>
      </c>
      <c r="CG1093"/>
      <c r="CH1093"/>
      <c r="CI1093"/>
      <c r="CJ1093" t="inlineStr">
        <is>
          <t>No Paid</t>
        </is>
      </c>
      <c r="CK1093" t="inlineStr">
        <is>
          <t>Not Eligible</t>
        </is>
      </c>
      <c r="CL1093"/>
      <c r="CM1093"/>
    </row>
    <row r="1094" ht="25.5" customHeight="1">
      <c r="A1094" t="inlineStr">
        <is>
          <t>4309632</t>
        </is>
      </c>
      <c r="B1094" s="2"/>
      <c r="C1094"/>
      <c r="D1094" s="3">
        <v>46133.60799768518</v>
      </c>
      <c r="E1094" t="inlineStr">
        <is>
          <t>Q2-W03</t>
        </is>
      </c>
      <c r="F1094" t="inlineStr">
        <is>
          <t>Chia Yee</t>
        </is>
      </c>
      <c r="G1094" t="inlineStr">
        <is>
          <t>Lead</t>
        </is>
      </c>
      <c r="H1094" s="2" t="str">
        <f>=HYPERLINK("https://upbox.ajobthing.my/leads/4309632", "https://upbox.ajobthing.my/leads/4309632")</f>
        <v>https://upbox.ajobthing.my/leads/4309632</v>
      </c>
      <c r="I1094" t="inlineStr">
        <is>
          <t>Fitz Synergy Services Sdn Bhd</t>
        </is>
      </c>
      <c r="J1094" t="inlineStr">
        <is>
          <t>Small Fish</t>
        </is>
      </c>
      <c r="K1094" t="inlineStr">
        <is>
          <t>Chia Yee</t>
        </is>
      </c>
      <c r="L1094" s="4"/>
      <c r="M1094" s="4">
        <v>46133.608460648145</v>
      </c>
      <c r="N1094"/>
      <c r="O1094">
        <v>6048</v>
      </c>
      <c r="P1094" s="4"/>
      <c r="Q1094" s="4"/>
      <c r="R1094"/>
      <c r="S1094"/>
      <c r="T1094" s="4"/>
      <c r="U1094" s="4"/>
      <c r="V1094"/>
      <c r="W1094"/>
      <c r="X1094"/>
      <c r="Y1094" t="inlineStr">
        <is>
          <t>Pending Appointment</t>
        </is>
      </c>
      <c r="Z1094" t="inlineStr">
        <is>
          <t>Hiring Now</t>
        </is>
      </c>
      <c r="AA1094">
        <v>2</v>
      </c>
      <c r="AB1094" t="inlineStr">
        <is>
          <t>No Appointment Made</t>
        </is>
      </c>
      <c r="AC1094"/>
      <c r="AD1094" t="inlineStr">
        <is>
          <t>1 Technician, 1 Supervisor</t>
        </is>
      </c>
      <c r="AE1094"/>
      <c r="AF1094">
        <v>0</v>
      </c>
      <c r="AG1094" s="4"/>
      <c r="AH1094" s="4"/>
      <c r="AI1094">
        <v>0</v>
      </c>
      <c r="AJ1094">
        <v>1</v>
      </c>
      <c r="AK1094" t="inlineStr">
        <is>
          <t>No, I don't need at all</t>
        </is>
      </c>
      <c r="AL1094">
        <v>1</v>
      </c>
      <c r="AM1094" t="inlineStr">
        <is>
          <t>No, I don't need at all</t>
        </is>
      </c>
      <c r="AN1094"/>
      <c r="AO1094" t="inlineStr">
        <is>
          <t>No, I don't need at all</t>
        </is>
      </c>
      <c r="AP1094" t="inlineStr">
        <is>
          <t>Once a year (25%)</t>
        </is>
      </c>
      <c r="AQ1094">
        <v>2</v>
      </c>
      <c r="AR1094" t="inlineStr">
        <is>
          <t>Did not use any job portal</t>
        </is>
      </c>
      <c r="AS1094" t="inlineStr">
        <is>
          <t>- Headcount: 2
- Hiring Job Details: 1 Technician, 1 Supervisor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is>
      </c>
      <c r="AT1094">
        <v>115</v>
      </c>
      <c r="AU1094" t="inlineStr">
        <is>
          <t>1.15</t>
        </is>
      </c>
      <c r="AV1094" t="inlineStr">
        <is>
          <t>15</t>
        </is>
      </c>
      <c r="AW1094" t="inlineStr">
        <is>
          <t>0</t>
        </is>
      </c>
      <c r="AX1094" t="inlineStr">
        <is>
          <t>Not Qualified</t>
        </is>
      </c>
      <c r="AY1094" s="4"/>
      <c r="AZ1094"/>
      <c r="BA1094"/>
      <c r="BB1094"/>
      <c r="BC1094"/>
      <c r="BD1094" s="4"/>
      <c r="BE1094"/>
      <c r="BF1094"/>
      <c r="BG1094" t="inlineStr">
        <is>
          <t>Reschedule</t>
        </is>
      </c>
      <c r="BH1094" t="inlineStr">
        <is>
          <t>Reagen</t>
        </is>
      </c>
      <c r="BI1094"/>
      <c r="BJ1094" s="4">
        <v>46144.75587962963</v>
      </c>
      <c r="BK1094" s="4">
        <v>46133.59165509259</v>
      </c>
      <c r="BL1094" t="inlineStr">
        <is>
          <t>0.0</t>
        </is>
      </c>
      <c r="BM1094" t="inlineStr">
        <is>
          <t>0.0</t>
        </is>
      </c>
      <c r="BN1094"/>
      <c r="BO1094" s="4"/>
      <c r="BP1094">
        <v>168051</v>
      </c>
      <c r="BQ1094"/>
      <c r="BR1094"/>
      <c r="BS1094"/>
      <c r="BT1094"/>
      <c r="BU1094"/>
      <c r="BV1094"/>
      <c r="BW1094"/>
      <c r="BX1094"/>
      <c r="BY1094"/>
      <c r="BZ1094" s="4"/>
      <c r="CA1094"/>
      <c r="CB1094"/>
      <c r="CC1094" s="4"/>
      <c r="CD1094" t="inlineStr">
        <is>
          <t>20</t>
        </is>
      </c>
      <c r="CE1094" t="inlineStr">
        <is>
          <t>0</t>
        </is>
      </c>
      <c r="CF1094" t="inlineStr">
        <is>
          <t>Q2-W03</t>
        </is>
      </c>
      <c r="CG1094"/>
      <c r="CH1094"/>
      <c r="CI1094"/>
      <c r="CJ1094" t="inlineStr">
        <is>
          <t>No Paid</t>
        </is>
      </c>
      <c r="CK1094" t="inlineStr">
        <is>
          <t>Not Eligible</t>
        </is>
      </c>
      <c r="CL1094"/>
      <c r="CM1094"/>
    </row>
    <row r="1095" ht="25.5" customHeight="1">
      <c r="A1095" t="inlineStr">
        <is>
          <t>203472</t>
        </is>
      </c>
      <c r="B1095" s="2"/>
      <c r="C1095"/>
      <c r="D1095" s="3">
        <v>46133.608148148145</v>
      </c>
      <c r="E1095" t="inlineStr">
        <is>
          <t>Q2-W03</t>
        </is>
      </c>
      <c r="F1095" t="inlineStr">
        <is>
          <t>Eugene</t>
        </is>
      </c>
      <c r="G1095" t="inlineStr">
        <is>
          <t>Customer</t>
        </is>
      </c>
      <c r="H1095" s="2" t="str">
        <f>=HYPERLINK("https://upbox.ajobthing.my/customer/203472", "https://upbox.ajobthing.my/customer/203472")</f>
        <v>https://upbox.ajobthing.my/customer/203472</v>
      </c>
      <c r="I1095" t="inlineStr">
        <is>
          <t>Chem Technologies Sdn Bhd</t>
        </is>
      </c>
      <c r="J1095" t="inlineStr">
        <is>
          <t>Small Fish</t>
        </is>
      </c>
      <c r="K1095" t="inlineStr">
        <is>
          <t>Eugene</t>
        </is>
      </c>
      <c r="L1095" s="4"/>
      <c r="M1095" s="4">
        <v>46133.60826388889</v>
      </c>
      <c r="N1095"/>
      <c r="O1095">
        <v>3888</v>
      </c>
      <c r="P1095" s="4"/>
      <c r="Q1095" s="4"/>
      <c r="R1095"/>
      <c r="S1095"/>
      <c r="T1095" s="4"/>
      <c r="U1095" s="4"/>
      <c r="V1095"/>
      <c r="W1095"/>
      <c r="X1095"/>
      <c r="Y1095" t="inlineStr">
        <is>
          <t>Pending Appointment</t>
        </is>
      </c>
      <c r="Z1095" t="inlineStr">
        <is>
          <t>Hiring Now</t>
        </is>
      </c>
      <c r="AA1095">
        <v>3</v>
      </c>
      <c r="AB1095" t="inlineStr">
        <is>
          <t>No Appointment Made</t>
        </is>
      </c>
      <c r="AC1095"/>
      <c r="AD1095" t="inlineStr">
        <is>
          <t>3 engineers, based in KL</t>
        </is>
      </c>
      <c r="AE1095"/>
      <c r="AF1095">
        <v>3000</v>
      </c>
      <c r="AG1095" s="4"/>
      <c r="AH1095" s="4"/>
      <c r="AI1095">
        <v>3000</v>
      </c>
      <c r="AJ1095">
        <v>1</v>
      </c>
      <c r="AK1095" t="inlineStr">
        <is>
          <t>No, I don't need at all</t>
        </is>
      </c>
      <c r="AL1095">
        <v>1</v>
      </c>
      <c r="AM1095" t="inlineStr">
        <is>
          <t>No, I don't need at all</t>
        </is>
      </c>
      <c r="AN1095"/>
      <c r="AO1095" t="inlineStr">
        <is>
          <t>No, I don't need at all</t>
        </is>
      </c>
      <c r="AP1095" t="inlineStr">
        <is>
          <t>Twice a year (50%)</t>
        </is>
      </c>
      <c r="AQ1095">
        <v>5</v>
      </c>
      <c r="AR1095" t="inlineStr">
        <is>
          <t>Jobstreet, Free Job Portal</t>
        </is>
      </c>
      <c r="AS1095" t="inlineStr">
        <is>
          <t>- Headcount: 3
- Hiring Job Details: 3 engineers,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5
- Hiring frequency: Twice a year (50%)
- External job portal: Jobstreet, Free Job Portal</t>
        </is>
      </c>
      <c r="AT1095">
        <v>115</v>
      </c>
      <c r="AU1095" t="inlineStr">
        <is>
          <t>1.15</t>
        </is>
      </c>
      <c r="AV1095" t="inlineStr">
        <is>
          <t>15</t>
        </is>
      </c>
      <c r="AW1095" t="inlineStr">
        <is>
          <t>0</t>
        </is>
      </c>
      <c r="AX1095" t="inlineStr">
        <is>
          <t>Not Qualified</t>
        </is>
      </c>
      <c r="AY1095" s="4"/>
      <c r="AZ1095"/>
      <c r="BA1095"/>
      <c r="BB1095"/>
      <c r="BC1095" t="inlineStr">
        <is>
          <t>proceed with JS</t>
        </is>
      </c>
      <c r="BD1095" s="4">
        <v>46140.59689814815</v>
      </c>
      <c r="BE1095"/>
      <c r="BF1095"/>
      <c r="BG1095" t="inlineStr">
        <is>
          <t>Reschedule</t>
        </is>
      </c>
      <c r="BH1095" t="inlineStr">
        <is>
          <t>Edward Hoo</t>
        </is>
      </c>
      <c r="BI1095" t="inlineStr">
        <is>
          <t>Engineering / Technical Consulting</t>
        </is>
      </c>
      <c r="BJ1095" s="4">
        <v>46144.754328703704</v>
      </c>
      <c r="BK1095" s="4">
        <v>46133.535</v>
      </c>
      <c r="BL1095" t="inlineStr">
        <is>
          <t>0.0</t>
        </is>
      </c>
      <c r="BM1095" t="inlineStr">
        <is>
          <t>0.0</t>
        </is>
      </c>
      <c r="BN1095" t="inlineStr">
        <is>
          <t>View Jobmanager Page</t>
        </is>
      </c>
      <c r="BO1095" s="4">
        <v>46133.60016203704</v>
      </c>
      <c r="BP1095">
        <v>168050</v>
      </c>
      <c r="BQ1095"/>
      <c r="BR1095"/>
      <c r="BS1095"/>
      <c r="BT1095"/>
      <c r="BU1095"/>
      <c r="BV1095">
        <v>2732734</v>
      </c>
      <c r="BW1095" t="inlineStr">
        <is>
          <t>Follow Up : Lost - Paid Portal</t>
        </is>
      </c>
      <c r="BX1095"/>
      <c r="BY1095"/>
      <c r="BZ1095" s="4"/>
      <c r="CA1095"/>
      <c r="CB1095"/>
      <c r="CC1095" s="4"/>
      <c r="CD1095" t="inlineStr">
        <is>
          <t>20</t>
        </is>
      </c>
      <c r="CE1095" t="inlineStr">
        <is>
          <t>0</t>
        </is>
      </c>
      <c r="CF1095" t="inlineStr">
        <is>
          <t>Q2-W03</t>
        </is>
      </c>
      <c r="CG1095"/>
      <c r="CH1095"/>
      <c r="CI1095"/>
      <c r="CJ1095" t="inlineStr">
        <is>
          <t>No Paid</t>
        </is>
      </c>
      <c r="CK1095" t="inlineStr">
        <is>
          <t>Not Eligible</t>
        </is>
      </c>
      <c r="CL1095"/>
      <c r="CM1095"/>
    </row>
    <row r="1096" ht="25.5" customHeight="1">
      <c r="A1096" t="inlineStr">
        <is>
          <t>144071</t>
        </is>
      </c>
      <c r="B1096" s="2"/>
      <c r="C1096"/>
      <c r="D1096" s="3">
        <v>46133.61074074074</v>
      </c>
      <c r="E1096" t="inlineStr">
        <is>
          <t>Q2-W03</t>
        </is>
      </c>
      <c r="F1096" t="inlineStr">
        <is>
          <t>Xin Hui</t>
        </is>
      </c>
      <c r="G1096" t="inlineStr">
        <is>
          <t>Customer</t>
        </is>
      </c>
      <c r="H1096" s="2" t="str">
        <f>=HYPERLINK("https://upbox.ajobthing.my/customer/144071", "https://upbox.ajobthing.my/customer/144071")</f>
        <v>https://upbox.ajobthing.my/customer/144071</v>
      </c>
      <c r="I1096" t="inlineStr">
        <is>
          <t>Euston Print Sdn Bhd</t>
        </is>
      </c>
      <c r="J1096" t="inlineStr">
        <is>
          <t>Small Fish</t>
        </is>
      </c>
      <c r="K1096" t="inlineStr">
        <is>
          <t>Xin Hui</t>
        </is>
      </c>
      <c r="L1096" s="4"/>
      <c r="M1096" s="4">
        <v>46133.61195601852</v>
      </c>
      <c r="N1096"/>
      <c r="O1096">
        <v>3888</v>
      </c>
      <c r="P1096" s="4"/>
      <c r="Q1096" s="4">
        <v>45405.47267361111</v>
      </c>
      <c r="R1096"/>
      <c r="S1096">
        <v>0</v>
      </c>
      <c r="T1096" s="4">
        <v>45363.00001157408</v>
      </c>
      <c r="U1096" s="4"/>
      <c r="V1096"/>
      <c r="W1096">
        <v>648</v>
      </c>
      <c r="X1096"/>
      <c r="Y1096" t="inlineStr">
        <is>
          <t>Pending Appointment</t>
        </is>
      </c>
      <c r="Z1096" t="inlineStr">
        <is>
          <t>Hiring Now</t>
        </is>
      </c>
      <c r="AA1096">
        <v>3</v>
      </c>
      <c r="AB1096" t="inlineStr">
        <is>
          <t>No Appointment Made</t>
        </is>
      </c>
      <c r="AC1096"/>
      <c r="AD1096" t="inlineStr">
        <is>
          <t xml:space="preserve">1 admin / 1 cs / 1 sales &amp; marketing </t>
        </is>
      </c>
      <c r="AE1096"/>
      <c r="AF1096"/>
      <c r="AG1096" s="4"/>
      <c r="AH1096" s="4"/>
      <c r="AI1096"/>
      <c r="AJ1096"/>
      <c r="AK1096" t="inlineStr">
        <is>
          <t>No, I don't need at all</t>
        </is>
      </c>
      <c r="AL1096"/>
      <c r="AM1096" t="inlineStr">
        <is>
          <t>No, I don't need at all</t>
        </is>
      </c>
      <c r="AN1096"/>
      <c r="AO1096" t="inlineStr">
        <is>
          <t>No, I don't need at all</t>
        </is>
      </c>
      <c r="AP1096" t="inlineStr">
        <is>
          <t>Once a year (25%)</t>
        </is>
      </c>
      <c r="AQ1096"/>
      <c r="AR1096"/>
      <c r="AS1096" t="inlineStr">
        <is>
          <t>- Headcount: 3
- Hiring Job Details: 1 admin / 1 cs / 1 sales &amp; marketing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AT1096">
        <v>75</v>
      </c>
      <c r="AU1096" t="inlineStr">
        <is>
          <t>0.75</t>
        </is>
      </c>
      <c r="AV1096" t="inlineStr">
        <is>
          <t>5</t>
        </is>
      </c>
      <c r="AW1096" t="inlineStr">
        <is>
          <t>0</t>
        </is>
      </c>
      <c r="AX1096" t="inlineStr">
        <is>
          <t>Not Qualified</t>
        </is>
      </c>
      <c r="AY1096" s="4"/>
      <c r="AZ1096"/>
      <c r="BA1096"/>
      <c r="BB1096"/>
      <c r="BC1096" t="inlineStr">
        <is>
          <t>NA</t>
        </is>
      </c>
      <c r="BD1096" s="4">
        <v>46141.624340277776</v>
      </c>
      <c r="BE1096" t="inlineStr">
        <is>
          <t>paid</t>
        </is>
      </c>
      <c r="BF1096"/>
      <c r="BG1096" t="inlineStr">
        <is>
          <t>Reschedule</t>
        </is>
      </c>
      <c r="BH1096" t="inlineStr">
        <is>
          <t>Yee Hang</t>
        </is>
      </c>
      <c r="BI1096" t="inlineStr">
        <is>
          <t>Printing / Publishing</t>
        </is>
      </c>
      <c r="BJ1096" s="4">
        <v>46144.75071759259</v>
      </c>
      <c r="BK1096" s="4">
        <v>44518.735613425924</v>
      </c>
      <c r="BL1096" t="inlineStr">
        <is>
          <t>0.0</t>
        </is>
      </c>
      <c r="BM1096" t="inlineStr">
        <is>
          <t>0.0</t>
        </is>
      </c>
      <c r="BN1096" t="inlineStr">
        <is>
          <t>View Company Page</t>
        </is>
      </c>
      <c r="BO1096" s="4">
        <v>45421.67356481482</v>
      </c>
      <c r="BP1096">
        <v>168056</v>
      </c>
      <c r="BQ1096">
        <v>88970</v>
      </c>
      <c r="BR1096" t="inlineStr">
        <is>
          <t>Proforma</t>
        </is>
      </c>
      <c r="BS1096" t="inlineStr">
        <is>
          <t>SLG 10</t>
        </is>
      </c>
      <c r="BT1096">
        <v>66811</v>
      </c>
      <c r="BU1096"/>
      <c r="BV1096">
        <v>2735466</v>
      </c>
      <c r="BW1096" t="inlineStr">
        <is>
          <t>No Answer : Voicemail - WA sent to customer</t>
        </is>
      </c>
      <c r="BX1096"/>
      <c r="BY1096"/>
      <c r="BZ1096" s="4"/>
      <c r="CA1096"/>
      <c r="CB1096"/>
      <c r="CC1096" s="4"/>
      <c r="CD1096" t="inlineStr">
        <is>
          <t>5</t>
        </is>
      </c>
      <c r="CE1096" t="inlineStr">
        <is>
          <t>0</t>
        </is>
      </c>
      <c r="CF1096" t="inlineStr">
        <is>
          <t>Q2-W03</t>
        </is>
      </c>
      <c r="CG1096"/>
      <c r="CH1096"/>
      <c r="CI1096"/>
      <c r="CJ1096" t="inlineStr">
        <is>
          <t>Paid</t>
        </is>
      </c>
      <c r="CK1096" t="inlineStr">
        <is>
          <t>Not Eligible</t>
        </is>
      </c>
      <c r="CL1096"/>
      <c r="CM1096"/>
    </row>
    <row r="1097" ht="25.5" customHeight="1">
      <c r="A1097" t="inlineStr">
        <is>
          <t>4309080</t>
        </is>
      </c>
      <c r="B1097" s="2"/>
      <c r="C1097"/>
      <c r="D1097" s="3">
        <v>46133.62006944444</v>
      </c>
      <c r="E1097" t="inlineStr">
        <is>
          <t>Q2-W03</t>
        </is>
      </c>
      <c r="F1097" t="inlineStr">
        <is>
          <t>Ken Yi</t>
        </is>
      </c>
      <c r="G1097" t="inlineStr">
        <is>
          <t>Lead</t>
        </is>
      </c>
      <c r="H1097" s="2" t="str">
        <f>=HYPERLINK("https://upbox.ajobthing.my/leads/4309080", "https://upbox.ajobthing.my/leads/4309080")</f>
        <v>https://upbox.ajobthing.my/leads/4309080</v>
      </c>
      <c r="I1097" t="inlineStr">
        <is>
          <t>HAPPYLIFECONSULTANCY</t>
        </is>
      </c>
      <c r="J1097" t="inlineStr">
        <is>
          <t>Small Fish</t>
        </is>
      </c>
      <c r="K1097" t="inlineStr">
        <is>
          <t>Kenyi</t>
        </is>
      </c>
      <c r="L1097" s="4"/>
      <c r="M1097" s="4">
        <v>46133.62070601852</v>
      </c>
      <c r="N1097"/>
      <c r="O1097">
        <v>3888</v>
      </c>
      <c r="P1097" s="4"/>
      <c r="Q1097" s="4"/>
      <c r="R1097"/>
      <c r="S1097"/>
      <c r="T1097" s="4"/>
      <c r="U1097" s="4"/>
      <c r="V1097"/>
      <c r="W1097"/>
      <c r="X1097"/>
      <c r="Y1097" t="inlineStr">
        <is>
          <t>Pending Appointment</t>
        </is>
      </c>
      <c r="Z1097" t="inlineStr">
        <is>
          <t>Hiring Now</t>
        </is>
      </c>
      <c r="AA1097">
        <v>2</v>
      </c>
      <c r="AB1097" t="inlineStr">
        <is>
          <t>No Appointment Made</t>
        </is>
      </c>
      <c r="AC1097"/>
      <c r="AD1097" t="inlineStr">
        <is>
          <t>Special Education Specialist and Therapist</t>
        </is>
      </c>
      <c r="AE1097"/>
      <c r="AF1097">
        <v>3888</v>
      </c>
      <c r="AG1097" s="4"/>
      <c r="AH1097" s="4"/>
      <c r="AI1097">
        <v>0</v>
      </c>
      <c r="AJ1097">
        <v>1</v>
      </c>
      <c r="AK1097" t="inlineStr">
        <is>
          <t>Yes, I have</t>
        </is>
      </c>
      <c r="AL1097">
        <v>1</v>
      </c>
      <c r="AM1097" t="inlineStr">
        <is>
          <t>No, I don't need at all</t>
        </is>
      </c>
      <c r="AN1097"/>
      <c r="AO1097" t="inlineStr">
        <is>
          <t>No, I don't need at all</t>
        </is>
      </c>
      <c r="AP1097" t="inlineStr">
        <is>
          <t>Every month (100%)</t>
        </is>
      </c>
      <c r="AQ1097">
        <v>2</v>
      </c>
      <c r="AR1097" t="inlineStr">
        <is>
          <t>Did not use any job portal</t>
        </is>
      </c>
      <c r="AS1097" t="inlineStr">
        <is>
          <t>- Headcount: 2
- Hiring Job Details: Special Education Specialist and Therapist
- Hiring Urgency: Hiring Now
- Number of outlets: 1
- Have recruiter team: Yes
- Number of recruiter in company: 1
- Have ATS system: No, I don't need at all
- Have career website: No, I don't need at all
- Current hiring budget: RM3,888
- Whole year budget: RM0.00
- Whole year number of vacancies: 2
- Hiring frequency: Every month (100%)
- External job portal: Did not use any job portal</t>
        </is>
      </c>
      <c r="AT1097">
        <v>110</v>
      </c>
      <c r="AU1097" t="inlineStr">
        <is>
          <t>1.10</t>
        </is>
      </c>
      <c r="AV1097" t="inlineStr">
        <is>
          <t>15</t>
        </is>
      </c>
      <c r="AW1097" t="inlineStr">
        <is>
          <t>0</t>
        </is>
      </c>
      <c r="AX1097" t="inlineStr">
        <is>
          <t>Not Qualified</t>
        </is>
      </c>
      <c r="AY1097" s="4"/>
      <c r="AZ1097"/>
      <c r="BA1097"/>
      <c r="BB1097"/>
      <c r="BC1097"/>
      <c r="BD1097" s="4"/>
      <c r="BE1097"/>
      <c r="BF1097"/>
      <c r="BG1097" t="inlineStr">
        <is>
          <t>Reschedule</t>
        </is>
      </c>
      <c r="BH1097" t="inlineStr">
        <is>
          <t>Fauziah Maharan</t>
        </is>
      </c>
      <c r="BI1097"/>
      <c r="BJ1097" s="4">
        <v>46144.75587962963</v>
      </c>
      <c r="BK1097" s="4">
        <v>46133.504583333335</v>
      </c>
      <c r="BL1097" t="inlineStr">
        <is>
          <t>0.0</t>
        </is>
      </c>
      <c r="BM1097" t="inlineStr">
        <is>
          <t>0.0</t>
        </is>
      </c>
      <c r="BN1097"/>
      <c r="BO1097" s="4"/>
      <c r="BP1097">
        <v>168063</v>
      </c>
      <c r="BQ1097"/>
      <c r="BR1097"/>
      <c r="BS1097"/>
      <c r="BT1097"/>
      <c r="BU1097"/>
      <c r="BV1097"/>
      <c r="BW1097"/>
      <c r="BX1097"/>
      <c r="BY1097"/>
      <c r="BZ1097" s="4"/>
      <c r="CA1097"/>
      <c r="CB1097"/>
      <c r="CC1097" s="4"/>
      <c r="CD1097" t="inlineStr">
        <is>
          <t>20</t>
        </is>
      </c>
      <c r="CE1097" t="inlineStr">
        <is>
          <t>0</t>
        </is>
      </c>
      <c r="CF1097" t="inlineStr">
        <is>
          <t>Q2-W03</t>
        </is>
      </c>
      <c r="CG1097"/>
      <c r="CH1097"/>
      <c r="CI1097"/>
      <c r="CJ1097" t="inlineStr">
        <is>
          <t>No Paid</t>
        </is>
      </c>
      <c r="CK1097" t="inlineStr">
        <is>
          <t>Not Eligible</t>
        </is>
      </c>
      <c r="CL1097"/>
      <c r="CM1097"/>
    </row>
    <row r="1098" ht="25.5" customHeight="1">
      <c r="A1098" t="inlineStr">
        <is>
          <t>203448</t>
        </is>
      </c>
      <c r="B1098" s="2"/>
      <c r="C1098"/>
      <c r="D1098" s="3">
        <v>46133.63465277778</v>
      </c>
      <c r="E1098" t="inlineStr">
        <is>
          <t>Q2-W03</t>
        </is>
      </c>
      <c r="F1098" t="inlineStr">
        <is>
          <t>Dickson</t>
        </is>
      </c>
      <c r="G1098" t="inlineStr">
        <is>
          <t>Customer</t>
        </is>
      </c>
      <c r="H1098" s="2" t="str">
        <f>=HYPERLINK("https://upbox.ajobthing.my/customer/203448", "https://upbox.ajobthing.my/customer/203448")</f>
        <v>https://upbox.ajobthing.my/customer/203448</v>
      </c>
      <c r="I1098" t="inlineStr">
        <is>
          <t>家庭司机</t>
        </is>
      </c>
      <c r="J1098" t="inlineStr">
        <is>
          <t>Small Fish</t>
        </is>
      </c>
      <c r="K1098" t="inlineStr">
        <is>
          <t>Dickson</t>
        </is>
      </c>
      <c r="L1098" s="4"/>
      <c r="M1098" s="4">
        <v>46133.63475694445</v>
      </c>
      <c r="N1098"/>
      <c r="O1098">
        <v>1296</v>
      </c>
      <c r="P1098" s="4"/>
      <c r="Q1098" s="4"/>
      <c r="R1098"/>
      <c r="S1098"/>
      <c r="T1098" s="4"/>
      <c r="U1098" s="4"/>
      <c r="V1098"/>
      <c r="W1098"/>
      <c r="X1098"/>
      <c r="Y1098" t="inlineStr">
        <is>
          <t>Pending Appointment</t>
        </is>
      </c>
      <c r="Z1098" t="inlineStr">
        <is>
          <t>Hiring Now</t>
        </is>
      </c>
      <c r="AA1098">
        <v>1</v>
      </c>
      <c r="AB1098" t="inlineStr">
        <is>
          <t>No Appointment Made</t>
        </is>
      </c>
      <c r="AC1098"/>
      <c r="AD1098" t="inlineStr">
        <is>
          <t>1 personal driver</t>
        </is>
      </c>
      <c r="AE1098"/>
      <c r="AF1098"/>
      <c r="AG1098" s="4"/>
      <c r="AH1098" s="4"/>
      <c r="AI1098"/>
      <c r="AJ1098">
        <v>1</v>
      </c>
      <c r="AK1098" t="inlineStr">
        <is>
          <t>No, I don't need at all</t>
        </is>
      </c>
      <c r="AL1098"/>
      <c r="AM1098" t="inlineStr">
        <is>
          <t>No, I don't need at all</t>
        </is>
      </c>
      <c r="AN1098"/>
      <c r="AO1098" t="inlineStr">
        <is>
          <t>No, I don't need at all</t>
        </is>
      </c>
      <c r="AP1098" t="inlineStr">
        <is>
          <t>Once per quarter (75%)</t>
        </is>
      </c>
      <c r="AQ1098"/>
      <c r="AR1098"/>
      <c r="AS1098" t="inlineStr">
        <is>
          <t>- Headcount: 1
- Hiring Job Details: 1 personal driver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1098">
        <v>95</v>
      </c>
      <c r="AU1098" t="inlineStr">
        <is>
          <t>0.95</t>
        </is>
      </c>
      <c r="AV1098" t="inlineStr">
        <is>
          <t>5</t>
        </is>
      </c>
      <c r="AW1098" t="inlineStr">
        <is>
          <t>0</t>
        </is>
      </c>
      <c r="AX1098" t="inlineStr">
        <is>
          <t>Not Qualified</t>
        </is>
      </c>
      <c r="AY1098" s="4"/>
      <c r="AZ1098"/>
      <c r="BA1098"/>
      <c r="BB1098"/>
      <c r="BC1098" t="inlineStr">
        <is>
          <t>cust has no company
just personal hiring</t>
        </is>
      </c>
      <c r="BD1098" s="4">
        <v>46133.67456018519</v>
      </c>
      <c r="BE1098"/>
      <c r="BF1098"/>
      <c r="BG1098" t="inlineStr">
        <is>
          <t>Reschedule</t>
        </is>
      </c>
      <c r="BH1098" t="inlineStr">
        <is>
          <t>Edward Hoo</t>
        </is>
      </c>
      <c r="BI1098"/>
      <c r="BJ1098" s="4">
        <v>46144.75430555556</v>
      </c>
      <c r="BK1098" s="4">
        <v>46132.79934027778</v>
      </c>
      <c r="BL1098" t="inlineStr">
        <is>
          <t>0.0</t>
        </is>
      </c>
      <c r="BM1098" t="inlineStr">
        <is>
          <t>0.0</t>
        </is>
      </c>
      <c r="BN1098" t="inlineStr">
        <is>
          <t>View Candidate Search Page</t>
        </is>
      </c>
      <c r="BO1098" s="4">
        <v>46132.80689814815</v>
      </c>
      <c r="BP1098">
        <v>168072</v>
      </c>
      <c r="BQ1098"/>
      <c r="BR1098"/>
      <c r="BS1098"/>
      <c r="BT1098"/>
      <c r="BU1098"/>
      <c r="BV1098">
        <v>2718755</v>
      </c>
      <c r="BW1098" t="inlineStr">
        <is>
          <t>Follow Up : Lost - Free Portal</t>
        </is>
      </c>
      <c r="BX1098"/>
      <c r="BY1098"/>
      <c r="BZ1098" s="4"/>
      <c r="CA1098"/>
      <c r="CB1098"/>
      <c r="CC1098" s="4"/>
      <c r="CD1098" t="inlineStr">
        <is>
          <t>5</t>
        </is>
      </c>
      <c r="CE1098" t="inlineStr">
        <is>
          <t>0</t>
        </is>
      </c>
      <c r="CF1098" t="inlineStr">
        <is>
          <t>Q2-W03</t>
        </is>
      </c>
      <c r="CG1098"/>
      <c r="CH1098"/>
      <c r="CI1098"/>
      <c r="CJ1098" t="inlineStr">
        <is>
          <t>No Paid</t>
        </is>
      </c>
      <c r="CK1098" t="inlineStr">
        <is>
          <t>Not Eligible</t>
        </is>
      </c>
      <c r="CL1098"/>
      <c r="CM1098"/>
    </row>
    <row r="1099" ht="25.5" customHeight="1">
      <c r="A1099" t="inlineStr">
        <is>
          <t>4309814</t>
        </is>
      </c>
      <c r="B1099" s="2"/>
      <c r="C1099"/>
      <c r="D1099" s="3">
        <v>46133.63668981481</v>
      </c>
      <c r="E1099" t="inlineStr">
        <is>
          <t>Q2-W03</t>
        </is>
      </c>
      <c r="F1099" t="inlineStr">
        <is>
          <t>Lucas</t>
        </is>
      </c>
      <c r="G1099" t="inlineStr">
        <is>
          <t>Lead</t>
        </is>
      </c>
      <c r="H1099" s="2" t="str">
        <f>=HYPERLINK("https://upbox.ajobthing.my/leads/4309814", "https://upbox.ajobthing.my/leads/4309814")</f>
        <v>https://upbox.ajobthing.my/leads/4309814</v>
      </c>
      <c r="I1099" t="inlineStr">
        <is>
          <t>Shunde Ding Sheng Master Chef Sdn Bhd</t>
        </is>
      </c>
      <c r="J1099" t="inlineStr">
        <is>
          <t>Small Fish</t>
        </is>
      </c>
      <c r="K1099" t="inlineStr">
        <is>
          <t>Lucas</t>
        </is>
      </c>
      <c r="L1099" s="4"/>
      <c r="M1099" s="4">
        <v>46133.634722222225</v>
      </c>
      <c r="N1099"/>
      <c r="O1099">
        <v>3888</v>
      </c>
      <c r="P1099" s="4"/>
      <c r="Q1099" s="4"/>
      <c r="R1099"/>
      <c r="S1099"/>
      <c r="T1099" s="4"/>
      <c r="U1099" s="4"/>
      <c r="V1099"/>
      <c r="W1099"/>
      <c r="X1099"/>
      <c r="Y1099" t="inlineStr">
        <is>
          <t>Pending Appointment</t>
        </is>
      </c>
      <c r="Z1099" t="inlineStr">
        <is>
          <t>Hiring Now</t>
        </is>
      </c>
      <c r="AA1099">
        <v>2</v>
      </c>
      <c r="AB1099" t="inlineStr">
        <is>
          <t>No Appointment Made</t>
        </is>
      </c>
      <c r="AC1099"/>
      <c r="AD1099" t="inlineStr">
        <is>
          <t xml:space="preserve">1 service crew , 1 supervisor </t>
        </is>
      </c>
      <c r="AE1099"/>
      <c r="AF1099">
        <v>0</v>
      </c>
      <c r="AG1099" s="4"/>
      <c r="AH1099" s="4"/>
      <c r="AI1099">
        <v>0</v>
      </c>
      <c r="AJ1099">
        <v>0</v>
      </c>
      <c r="AK1099" t="inlineStr">
        <is>
          <t>No, I don't need at all</t>
        </is>
      </c>
      <c r="AL1099">
        <v>0</v>
      </c>
      <c r="AM1099" t="inlineStr">
        <is>
          <t>No, I don't need at all</t>
        </is>
      </c>
      <c r="AN1099"/>
      <c r="AO1099" t="inlineStr">
        <is>
          <t>No, I don't need at all</t>
        </is>
      </c>
      <c r="AP1099" t="inlineStr">
        <is>
          <t>Once a year (25%)</t>
        </is>
      </c>
      <c r="AQ1099">
        <v>2</v>
      </c>
      <c r="AR1099" t="inlineStr">
        <is>
          <t>Did not use any job portal</t>
        </is>
      </c>
      <c r="AS1099" t="inlineStr">
        <is>
          <t>- Headcount: 2
- Hiring Job Details: 1 service crew, 1 supervisor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099">
        <v>95</v>
      </c>
      <c r="AU1099" t="inlineStr">
        <is>
          <t>0.95</t>
        </is>
      </c>
      <c r="AV1099" t="inlineStr">
        <is>
          <t>15</t>
        </is>
      </c>
      <c r="AW1099" t="inlineStr">
        <is>
          <t>0</t>
        </is>
      </c>
      <c r="AX1099" t="inlineStr">
        <is>
          <t>Not Qualified</t>
        </is>
      </c>
      <c r="AY1099" s="4"/>
      <c r="AZ1099"/>
      <c r="BA1099"/>
      <c r="BB1099"/>
      <c r="BC1099"/>
      <c r="BD1099" s="4"/>
      <c r="BE1099"/>
      <c r="BF1099"/>
      <c r="BG1099" t="inlineStr">
        <is>
          <t>Reschedule</t>
        </is>
      </c>
      <c r="BH1099" t="inlineStr">
        <is>
          <t>Yee Hang</t>
        </is>
      </c>
      <c r="BI1099"/>
      <c r="BJ1099" s="4">
        <v>46144.75587962963</v>
      </c>
      <c r="BK1099" s="4">
        <v>46133.62189814815</v>
      </c>
      <c r="BL1099" t="inlineStr">
        <is>
          <t>0.0</t>
        </is>
      </c>
      <c r="BM1099" t="inlineStr">
        <is>
          <t>0.0</t>
        </is>
      </c>
      <c r="BN1099"/>
      <c r="BO1099" s="4"/>
      <c r="BP1099">
        <v>168071</v>
      </c>
      <c r="BQ1099"/>
      <c r="BR1099"/>
      <c r="BS1099"/>
      <c r="BT1099"/>
      <c r="BU1099"/>
      <c r="BV1099"/>
      <c r="BW1099"/>
      <c r="BX1099"/>
      <c r="BY1099"/>
      <c r="BZ1099" s="4"/>
      <c r="CA1099"/>
      <c r="CB1099"/>
      <c r="CC1099" s="4"/>
      <c r="CD1099" t="inlineStr">
        <is>
          <t>20</t>
        </is>
      </c>
      <c r="CE1099" t="inlineStr">
        <is>
          <t>0</t>
        </is>
      </c>
      <c r="CF1099" t="inlineStr">
        <is>
          <t>Q2-W03</t>
        </is>
      </c>
      <c r="CG1099"/>
      <c r="CH1099"/>
      <c r="CI1099"/>
      <c r="CJ1099" t="inlineStr">
        <is>
          <t>No Paid</t>
        </is>
      </c>
      <c r="CK1099" t="inlineStr">
        <is>
          <t>Not Eligible</t>
        </is>
      </c>
      <c r="CL1099"/>
      <c r="CM1099"/>
    </row>
    <row r="1100" ht="25.5" customHeight="1">
      <c r="A1100" t="inlineStr">
        <is>
          <t>4253237</t>
        </is>
      </c>
      <c r="B1100" s="2"/>
      <c r="C1100"/>
      <c r="D1100" s="3">
        <v>46133.64454861111</v>
      </c>
      <c r="E1100" t="inlineStr">
        <is>
          <t>Q2-W03</t>
        </is>
      </c>
      <c r="F1100" t="inlineStr">
        <is>
          <t>Angel  Low</t>
        </is>
      </c>
      <c r="G1100" t="inlineStr">
        <is>
          <t>Lead</t>
        </is>
      </c>
      <c r="H1100" s="2" t="str">
        <f>=HYPERLINK("https://upbox.ajobthing.my/leads/4253237", "https://upbox.ajobthing.my/leads/4253237")</f>
        <v>https://upbox.ajobthing.my/leads/4253237</v>
      </c>
      <c r="I1100" t="inlineStr">
        <is>
          <t>ARJ FOOD KITCHEN HUB SDN BHD</t>
        </is>
      </c>
      <c r="J1100" t="inlineStr">
        <is>
          <t>Small Fish</t>
        </is>
      </c>
      <c r="K1100" t="inlineStr">
        <is>
          <t>Angel Low</t>
        </is>
      </c>
      <c r="L1100" s="4"/>
      <c r="M1100" s="4">
        <v>46133.64530092593</v>
      </c>
      <c r="N1100"/>
      <c r="O1100">
        <v>3672</v>
      </c>
      <c r="P1100" s="4"/>
      <c r="Q1100" s="4"/>
      <c r="R1100"/>
      <c r="S1100"/>
      <c r="T1100" s="4"/>
      <c r="U1100" s="4"/>
      <c r="V1100"/>
      <c r="W1100"/>
      <c r="X1100"/>
      <c r="Y1100" t="inlineStr">
        <is>
          <t>Pending Appointment</t>
        </is>
      </c>
      <c r="Z1100"/>
      <c r="AA1100">
        <v>2</v>
      </c>
      <c r="AB1100" t="inlineStr">
        <is>
          <t>No Appointment Made</t>
        </is>
      </c>
      <c r="AC1100"/>
      <c r="AD1100" t="inlineStr">
        <is>
          <t xml:space="preserve">1 kitchen helper 1 cashier </t>
        </is>
      </c>
      <c r="AE1100"/>
      <c r="AF1100"/>
      <c r="AG1100" s="4"/>
      <c r="AH1100" s="4"/>
      <c r="AI1100"/>
      <c r="AJ1100"/>
      <c r="AK1100"/>
      <c r="AL1100"/>
      <c r="AM1100"/>
      <c r="AN1100"/>
      <c r="AO1100"/>
      <c r="AP1100"/>
      <c r="AQ1100"/>
      <c r="AR1100"/>
      <c r="AS1100" t="inlineStr">
        <is>
          <t>- Headcount: 2
- Hiring Job Details: 1 kitchen helper, 1 cashier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100">
        <v>60</v>
      </c>
      <c r="AU1100" t="inlineStr">
        <is>
          <t>0.60</t>
        </is>
      </c>
      <c r="AV1100" t="inlineStr">
        <is>
          <t>5</t>
        </is>
      </c>
      <c r="AW1100" t="inlineStr">
        <is>
          <t>0</t>
        </is>
      </c>
      <c r="AX1100" t="inlineStr">
        <is>
          <t>Not Qualified</t>
        </is>
      </c>
      <c r="AY1100" s="4"/>
      <c r="AZ1100"/>
      <c r="BA1100"/>
      <c r="BB1100"/>
      <c r="BC1100"/>
      <c r="BD1100" s="4"/>
      <c r="BE1100"/>
      <c r="BF1100"/>
      <c r="BG1100" t="inlineStr">
        <is>
          <t>Reschedule</t>
        </is>
      </c>
      <c r="BH1100" t="inlineStr">
        <is>
          <t>Fauziah Maharan</t>
        </is>
      </c>
      <c r="BI1100"/>
      <c r="BJ1100" s="4">
        <v>46144.755740740744</v>
      </c>
      <c r="BK1100" s="4">
        <v>46118.7340625</v>
      </c>
      <c r="BL1100" t="inlineStr">
        <is>
          <t>0.0</t>
        </is>
      </c>
      <c r="BM1100" t="inlineStr">
        <is>
          <t>0.0</t>
        </is>
      </c>
      <c r="BN1100"/>
      <c r="BO1100" s="4"/>
      <c r="BP1100">
        <v>168078</v>
      </c>
      <c r="BQ1100"/>
      <c r="BR1100"/>
      <c r="BS1100"/>
      <c r="BT1100"/>
      <c r="BU1100"/>
      <c r="BV1100"/>
      <c r="BW1100"/>
      <c r="BX1100"/>
      <c r="BY1100"/>
      <c r="BZ1100" s="4"/>
      <c r="CA1100"/>
      <c r="CB1100"/>
      <c r="CC1100" s="4"/>
      <c r="CD1100" t="inlineStr">
        <is>
          <t>5</t>
        </is>
      </c>
      <c r="CE1100" t="inlineStr">
        <is>
          <t>0</t>
        </is>
      </c>
      <c r="CF1100" t="inlineStr">
        <is>
          <t>Q2-W03</t>
        </is>
      </c>
      <c r="CG1100"/>
      <c r="CH1100"/>
      <c r="CI1100"/>
      <c r="CJ1100" t="inlineStr">
        <is>
          <t>No Paid</t>
        </is>
      </c>
      <c r="CK1100" t="inlineStr">
        <is>
          <t>Not Eligible</t>
        </is>
      </c>
      <c r="CL1100"/>
      <c r="CM1100"/>
    </row>
    <row r="1101" ht="25.5" customHeight="1">
      <c r="A1101" t="inlineStr">
        <is>
          <t>188883</t>
        </is>
      </c>
      <c r="B1101" s="2"/>
      <c r="C1101"/>
      <c r="D1101" s="3">
        <v>46133.646157407406</v>
      </c>
      <c r="E1101" t="inlineStr">
        <is>
          <t>Q2-W03</t>
        </is>
      </c>
      <c r="F1101" t="inlineStr">
        <is>
          <t>Evan</t>
        </is>
      </c>
      <c r="G1101" t="inlineStr">
        <is>
          <t>Customer</t>
        </is>
      </c>
      <c r="H1101" s="2" t="str">
        <f>=HYPERLINK("https://upbox.ajobthing.my/customer/188883", "https://upbox.ajobthing.my/customer/188883")</f>
        <v>https://upbox.ajobthing.my/customer/188883</v>
      </c>
      <c r="I1101" t="inlineStr">
        <is>
          <t>Metro Garden Sdn. Bhd.</t>
        </is>
      </c>
      <c r="J1101" t="inlineStr">
        <is>
          <t>Small Fish</t>
        </is>
      </c>
      <c r="K1101" t="inlineStr">
        <is>
          <t>Evan</t>
        </is>
      </c>
      <c r="L1101" s="4"/>
      <c r="M1101" s="4">
        <v>46133.646585648145</v>
      </c>
      <c r="N1101"/>
      <c r="O1101">
        <v>3888</v>
      </c>
      <c r="P1101" s="4"/>
      <c r="Q1101" s="4">
        <v>46140.72377314815</v>
      </c>
      <c r="R1101"/>
      <c r="S1101">
        <v>0</v>
      </c>
      <c r="T1101" s="4"/>
      <c r="U1101" s="4"/>
      <c r="V1101"/>
      <c r="W1101"/>
      <c r="X1101"/>
      <c r="Y1101" t="inlineStr">
        <is>
          <t>Pending Appointment</t>
        </is>
      </c>
      <c r="Z1101" t="inlineStr">
        <is>
          <t>Hiring Now</t>
        </is>
      </c>
      <c r="AA1101">
        <v>1</v>
      </c>
      <c r="AB1101" t="inlineStr">
        <is>
          <t>No Appointment Made</t>
        </is>
      </c>
      <c r="AC1101"/>
      <c r="AD1101" t="inlineStr">
        <is>
          <t>1 PA, all base in KL</t>
        </is>
      </c>
      <c r="AE1101"/>
      <c r="AF1101">
        <v>1</v>
      </c>
      <c r="AG1101" s="4"/>
      <c r="AH1101" s="4"/>
      <c r="AI1101">
        <v>1</v>
      </c>
      <c r="AJ1101">
        <v>1</v>
      </c>
      <c r="AK1101" t="inlineStr">
        <is>
          <t>No, I don't need at all</t>
        </is>
      </c>
      <c r="AL1101">
        <v>1</v>
      </c>
      <c r="AM1101" t="inlineStr">
        <is>
          <t>No, I don't need at all</t>
        </is>
      </c>
      <c r="AN1101"/>
      <c r="AO1101" t="inlineStr">
        <is>
          <t>No, I don't need at all</t>
        </is>
      </c>
      <c r="AP1101" t="inlineStr">
        <is>
          <t>Once a year (25%)</t>
        </is>
      </c>
      <c r="AQ1101">
        <v>1</v>
      </c>
      <c r="AR1101" t="inlineStr">
        <is>
          <t>Did not use any job portal</t>
        </is>
      </c>
      <c r="AS1101" t="inlineStr">
        <is>
          <t>- Headcount: 1
- Hiring Job Details: 1 PA,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AT1101">
        <v>110</v>
      </c>
      <c r="AU1101" t="inlineStr">
        <is>
          <t>1.10</t>
        </is>
      </c>
      <c r="AV1101" t="inlineStr">
        <is>
          <t>15</t>
        </is>
      </c>
      <c r="AW1101" t="inlineStr">
        <is>
          <t>0</t>
        </is>
      </c>
      <c r="AX1101" t="inlineStr">
        <is>
          <t>Not Qualified</t>
        </is>
      </c>
      <c r="AY1101" s="4"/>
      <c r="AZ1101"/>
      <c r="BA1101"/>
      <c r="BB1101"/>
      <c r="BC1101" t="inlineStr">
        <is>
          <t>- Headcount: 1
- Hiring Job Details: 1 PA,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BD1101" s="4">
        <v>46133.666712962964</v>
      </c>
      <c r="BE1101" t="inlineStr">
        <is>
          <t>paid</t>
        </is>
      </c>
      <c r="BF1101"/>
      <c r="BG1101" t="inlineStr">
        <is>
          <t>Reschedule</t>
        </is>
      </c>
      <c r="BH1101" t="inlineStr">
        <is>
          <t>Edward Hoo</t>
        </is>
      </c>
      <c r="BI1101" t="inlineStr">
        <is>
          <t>Property / Real Estate</t>
        </is>
      </c>
      <c r="BJ1101" s="4">
        <v>46144.752280092594</v>
      </c>
      <c r="BK1101" s="4">
        <v>45730.50203703704</v>
      </c>
      <c r="BL1101" t="inlineStr">
        <is>
          <t>0.0</t>
        </is>
      </c>
      <c r="BM1101" t="inlineStr">
        <is>
          <t>0.0</t>
        </is>
      </c>
      <c r="BN1101" t="inlineStr">
        <is>
          <t>View Company Page</t>
        </is>
      </c>
      <c r="BO1101" s="4">
        <v>46140.731145833335</v>
      </c>
      <c r="BP1101">
        <v>168079</v>
      </c>
      <c r="BQ1101">
        <v>123952</v>
      </c>
      <c r="BR1101" t="inlineStr">
        <is>
          <t>Proforma</t>
        </is>
      </c>
      <c r="BS1101" t="inlineStr">
        <is>
          <t>Free Internship Job</t>
        </is>
      </c>
      <c r="BT1101"/>
      <c r="BU1101"/>
      <c r="BV1101">
        <v>2718699</v>
      </c>
      <c r="BW1101" t="inlineStr">
        <is>
          <t>Customer Inquiry</t>
        </is>
      </c>
      <c r="BX1101">
        <v>1</v>
      </c>
      <c r="BY1101">
        <v>1</v>
      </c>
      <c r="BZ1101" s="4"/>
      <c r="CA1101"/>
      <c r="CB1101"/>
      <c r="CC1101" s="4"/>
      <c r="CD1101" t="inlineStr">
        <is>
          <t>20</t>
        </is>
      </c>
      <c r="CE1101" t="inlineStr">
        <is>
          <t>0</t>
        </is>
      </c>
      <c r="CF1101" t="inlineStr">
        <is>
          <t>Q2-W03</t>
        </is>
      </c>
      <c r="CG1101" t="inlineStr">
        <is>
          <t>Q2-W04</t>
        </is>
      </c>
      <c r="CH1101"/>
      <c r="CI1101"/>
      <c r="CJ1101" t="inlineStr">
        <is>
          <t>No Paid</t>
        </is>
      </c>
      <c r="CK1101" t="inlineStr">
        <is>
          <t>Not Eligible</t>
        </is>
      </c>
      <c r="CL1101"/>
      <c r="CM1101"/>
    </row>
    <row r="1102" ht="25.5" customHeight="1">
      <c r="A1102" t="inlineStr">
        <is>
          <t>42737</t>
        </is>
      </c>
      <c r="B1102" s="2"/>
      <c r="C1102"/>
      <c r="D1102" s="3">
        <v>46133.65288194444</v>
      </c>
      <c r="E1102" t="inlineStr">
        <is>
          <t>Q2-W03</t>
        </is>
      </c>
      <c r="F1102" t="inlineStr">
        <is>
          <t>Clover</t>
        </is>
      </c>
      <c r="G1102" t="inlineStr">
        <is>
          <t>Customer</t>
        </is>
      </c>
      <c r="H1102" s="2" t="str">
        <f>=HYPERLINK("https://upbox.ajobthing.my/customer/42737", "https://upbox.ajobthing.my/customer/42737")</f>
        <v>https://upbox.ajobthing.my/customer/42737</v>
      </c>
      <c r="I1102" t="inlineStr">
        <is>
          <t>LCL Cold Chain Sdn Bhd</t>
        </is>
      </c>
      <c r="J1102" t="inlineStr">
        <is>
          <t>Small Fish</t>
        </is>
      </c>
      <c r="K1102" t="inlineStr">
        <is>
          <t>Clover</t>
        </is>
      </c>
      <c r="L1102" s="4"/>
      <c r="M1102" s="4">
        <v>46133.65300925926</v>
      </c>
      <c r="N1102"/>
      <c r="O1102">
        <v>3888</v>
      </c>
      <c r="P1102" s="4"/>
      <c r="Q1102" s="4">
        <v>44258.749918981484</v>
      </c>
      <c r="R1102"/>
      <c r="S1102">
        <v>318</v>
      </c>
      <c r="T1102" s="4">
        <v>44258.749918981484</v>
      </c>
      <c r="U1102" s="4"/>
      <c r="V1102"/>
      <c r="W1102">
        <v>318</v>
      </c>
      <c r="X1102"/>
      <c r="Y1102" t="inlineStr">
        <is>
          <t>Pending Appointment</t>
        </is>
      </c>
      <c r="Z1102" t="inlineStr">
        <is>
          <t>Hiring Now</t>
        </is>
      </c>
      <c r="AA1102">
        <v>3</v>
      </c>
      <c r="AB1102" t="inlineStr">
        <is>
          <t>No Appointment Made</t>
        </is>
      </c>
      <c r="AC1102"/>
      <c r="AD1102" t="inlineStr">
        <is>
          <t>Call bos Ms Gan 01122239999, HR staff Ms Aiza 60194583821 , hire  finance exec x1, sales exec x1, marketing exc x1, logistic company, penang, suggest stand</t>
        </is>
      </c>
      <c r="AE1102"/>
      <c r="AF1102">
        <v>3000</v>
      </c>
      <c r="AG1102" s="4"/>
      <c r="AH1102" s="4"/>
      <c r="AI1102">
        <v>3000</v>
      </c>
      <c r="AJ1102">
        <v>1</v>
      </c>
      <c r="AK1102" t="inlineStr">
        <is>
          <t>No, but I want in future</t>
        </is>
      </c>
      <c r="AL1102">
        <v>1</v>
      </c>
      <c r="AM1102" t="inlineStr">
        <is>
          <t>No, but I want in future</t>
        </is>
      </c>
      <c r="AN1102"/>
      <c r="AO1102" t="inlineStr">
        <is>
          <t>No, but I want in future</t>
        </is>
      </c>
      <c r="AP1102" t="inlineStr">
        <is>
          <t>Twice a year (50%)</t>
        </is>
      </c>
      <c r="AQ1102">
        <v>3</v>
      </c>
      <c r="AR1102" t="inlineStr">
        <is>
          <t>Did not use any job portal</t>
        </is>
      </c>
      <c r="AS1102" t="inlineStr">
        <is>
          <t>- Headcount: 3
- Hiring Job Details: Hire 1 finance exec,1 sales exec,1 marketing exec; contact Ms Gan (01122239999) or Ms Aiza (60194583821); logistic company in Penang,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Did not use any</t>
        </is>
      </c>
      <c r="AT1102">
        <v>115</v>
      </c>
      <c r="AU1102" t="inlineStr">
        <is>
          <t>1.15</t>
        </is>
      </c>
      <c r="AV1102" t="inlineStr">
        <is>
          <t>15</t>
        </is>
      </c>
      <c r="AW1102" t="inlineStr">
        <is>
          <t>0</t>
        </is>
      </c>
      <c r="AX1102" t="inlineStr">
        <is>
          <t>Not Qualified</t>
        </is>
      </c>
      <c r="AY1102" s="4"/>
      <c r="AZ1102"/>
      <c r="BA1102"/>
      <c r="BB1102"/>
      <c r="BC1102" t="inlineStr">
        <is>
          <t>Not yet go through quote</t>
        </is>
      </c>
      <c r="BD1102" s="4">
        <v>46136.63385416667</v>
      </c>
      <c r="BE1102" t="inlineStr">
        <is>
          <t>paid</t>
        </is>
      </c>
      <c r="BF1102"/>
      <c r="BG1102" t="inlineStr">
        <is>
          <t>Reschedule</t>
        </is>
      </c>
      <c r="BH1102" t="inlineStr">
        <is>
          <t>Reagen</t>
        </is>
      </c>
      <c r="BI1102" t="inlineStr">
        <is>
          <t>Manufacturing / Production</t>
        </is>
      </c>
      <c r="BJ1102" s="4">
        <v>46144.75581018518</v>
      </c>
      <c r="BK1102" s="4">
        <v>43024.77966435185</v>
      </c>
      <c r="BL1102" t="inlineStr">
        <is>
          <t>0.0</t>
        </is>
      </c>
      <c r="BM1102" t="inlineStr">
        <is>
          <t>0.0</t>
        </is>
      </c>
      <c r="BN1102"/>
      <c r="BO1102" s="4"/>
      <c r="BP1102">
        <v>168087</v>
      </c>
      <c r="BQ1102">
        <v>30811</v>
      </c>
      <c r="BR1102" t="inlineStr">
        <is>
          <t>Online</t>
        </is>
      </c>
      <c r="BS1102"/>
      <c r="BT1102">
        <v>30811</v>
      </c>
      <c r="BU1102"/>
      <c r="BV1102">
        <v>2726701</v>
      </c>
      <c r="BW1102" t="inlineStr">
        <is>
          <t>Follow Up : Decision Pending</t>
        </is>
      </c>
      <c r="BX1102"/>
      <c r="BY1102"/>
      <c r="BZ1102" s="4"/>
      <c r="CA1102"/>
      <c r="CB1102"/>
      <c r="CC1102" s="4"/>
      <c r="CD1102" t="inlineStr">
        <is>
          <t>20</t>
        </is>
      </c>
      <c r="CE1102" t="inlineStr">
        <is>
          <t>0</t>
        </is>
      </c>
      <c r="CF1102" t="inlineStr">
        <is>
          <t>Q2-W03</t>
        </is>
      </c>
      <c r="CG1102"/>
      <c r="CH1102"/>
      <c r="CI1102"/>
      <c r="CJ1102" t="inlineStr">
        <is>
          <t>Paid</t>
        </is>
      </c>
      <c r="CK1102" t="inlineStr">
        <is>
          <t>Not Eligible</t>
        </is>
      </c>
      <c r="CL1102"/>
      <c r="CM1102"/>
    </row>
    <row r="1103" ht="25.5" customHeight="1">
      <c r="A1103" t="inlineStr">
        <is>
          <t>130005</t>
        </is>
      </c>
      <c r="B1103" s="2"/>
      <c r="C1103"/>
      <c r="D1103" s="3">
        <v>46133.65672453704</v>
      </c>
      <c r="E1103" t="inlineStr">
        <is>
          <t>Q2-W03</t>
        </is>
      </c>
      <c r="F1103" t="inlineStr">
        <is>
          <t>Jeff Lee</t>
        </is>
      </c>
      <c r="G1103" t="inlineStr">
        <is>
          <t>Customer</t>
        </is>
      </c>
      <c r="H1103" s="2" t="str">
        <f>=HYPERLINK("https://upbox.ajobthing.my/customer/130005", "https://upbox.ajobthing.my/customer/130005")</f>
        <v>https://upbox.ajobthing.my/customer/130005</v>
      </c>
      <c r="I1103" t="inlineStr">
        <is>
          <t>Yemeni Heejab</t>
        </is>
      </c>
      <c r="J1103" t="inlineStr">
        <is>
          <t>Small Fish</t>
        </is>
      </c>
      <c r="K1103" t="inlineStr">
        <is>
          <t>Jeff Lee</t>
        </is>
      </c>
      <c r="L1103" s="4"/>
      <c r="M1103" s="4">
        <v>46133.6540625</v>
      </c>
      <c r="N1103"/>
      <c r="O1103">
        <v>3888</v>
      </c>
      <c r="P1103" s="4"/>
      <c r="Q1103" s="4">
        <v>44287.58547453704</v>
      </c>
      <c r="R1103"/>
      <c r="S1103">
        <v>583</v>
      </c>
      <c r="T1103" s="4">
        <v>44287.58547453704</v>
      </c>
      <c r="U1103" s="4"/>
      <c r="V1103"/>
      <c r="W1103">
        <v>583</v>
      </c>
      <c r="X1103"/>
      <c r="Y1103" t="inlineStr">
        <is>
          <t>Pending Appointment</t>
        </is>
      </c>
      <c r="Z1103" t="inlineStr">
        <is>
          <t>Hiring Now</t>
        </is>
      </c>
      <c r="AA1103">
        <v>2</v>
      </c>
      <c r="AB1103" t="inlineStr">
        <is>
          <t>No Appointment Made</t>
        </is>
      </c>
      <c r="AC1103"/>
      <c r="AD1103" t="inlineStr">
        <is>
          <t>1 Personal Assistant, 1 Editor</t>
        </is>
      </c>
      <c r="AE1103"/>
      <c r="AF1103">
        <v>0</v>
      </c>
      <c r="AG1103" s="4"/>
      <c r="AH1103" s="4"/>
      <c r="AI1103">
        <v>0</v>
      </c>
      <c r="AJ1103">
        <v>0</v>
      </c>
      <c r="AK1103" t="inlineStr">
        <is>
          <t>No, I don't need at all</t>
        </is>
      </c>
      <c r="AL1103">
        <v>0</v>
      </c>
      <c r="AM1103" t="inlineStr">
        <is>
          <t>No, I don't need at all</t>
        </is>
      </c>
      <c r="AN1103"/>
      <c r="AO1103" t="inlineStr">
        <is>
          <t>No, I don't need at all</t>
        </is>
      </c>
      <c r="AP1103" t="inlineStr">
        <is>
          <t>Once a year (25%)</t>
        </is>
      </c>
      <c r="AQ1103">
        <v>2</v>
      </c>
      <c r="AR1103" t="inlineStr">
        <is>
          <t>Did not use any job portal</t>
        </is>
      </c>
      <c r="AS1103" t="inlineStr">
        <is>
          <t>- Headcount: 2
- Hiring Job Details: 1 Personal Assistant, 1 Editor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1103">
        <v>85</v>
      </c>
      <c r="AU1103" t="inlineStr">
        <is>
          <t>0.85</t>
        </is>
      </c>
      <c r="AV1103" t="inlineStr">
        <is>
          <t>15</t>
        </is>
      </c>
      <c r="AW1103" t="inlineStr">
        <is>
          <t>0</t>
        </is>
      </c>
      <c r="AX1103" t="inlineStr">
        <is>
          <t>Not Qualified</t>
        </is>
      </c>
      <c r="AY1103" s="4"/>
      <c r="AZ1103"/>
      <c r="BA1103"/>
      <c r="BB1103"/>
      <c r="BC1103" t="inlineStr">
        <is>
          <t>na</t>
        </is>
      </c>
      <c r="BD1103" s="4">
        <v>46135.472766203704</v>
      </c>
      <c r="BE1103" t="inlineStr">
        <is>
          <t>paid</t>
        </is>
      </c>
      <c r="BF1103"/>
      <c r="BG1103" t="inlineStr">
        <is>
          <t>Reschedule</t>
        </is>
      </c>
      <c r="BH1103" t="inlineStr">
        <is>
          <t>Yee Hang</t>
        </is>
      </c>
      <c r="BI1103" t="inlineStr">
        <is>
          <t>Retail / Merchandise</t>
        </is>
      </c>
      <c r="BJ1103" s="4">
        <v>46144.750451388885</v>
      </c>
      <c r="BK1103" s="4">
        <v>44091.721597222226</v>
      </c>
      <c r="BL1103" t="inlineStr">
        <is>
          <t>0.0</t>
        </is>
      </c>
      <c r="BM1103" t="inlineStr">
        <is>
          <t>0.0</t>
        </is>
      </c>
      <c r="BN1103" t="inlineStr">
        <is>
          <t>View Company Page</t>
        </is>
      </c>
      <c r="BO1103" s="4">
        <v>45572.61640046296</v>
      </c>
      <c r="BP1103">
        <v>168088</v>
      </c>
      <c r="BQ1103">
        <v>31896</v>
      </c>
      <c r="BR1103" t="inlineStr">
        <is>
          <t>Online</t>
        </is>
      </c>
      <c r="BS1103"/>
      <c r="BT1103">
        <v>31896</v>
      </c>
      <c r="BU1103"/>
      <c r="BV1103">
        <v>2722810</v>
      </c>
      <c r="BW1103" t="inlineStr">
        <is>
          <t>No Answer : Voicemail - WA sent to customer</t>
        </is>
      </c>
      <c r="BX1103"/>
      <c r="BY1103"/>
      <c r="BZ1103" s="4"/>
      <c r="CA1103"/>
      <c r="CB1103"/>
      <c r="CC1103" s="4"/>
      <c r="CD1103" t="inlineStr">
        <is>
          <t>20</t>
        </is>
      </c>
      <c r="CE1103" t="inlineStr">
        <is>
          <t>0</t>
        </is>
      </c>
      <c r="CF1103" t="inlineStr">
        <is>
          <t>Q2-W03</t>
        </is>
      </c>
      <c r="CG1103"/>
      <c r="CH1103"/>
      <c r="CI1103"/>
      <c r="CJ1103" t="inlineStr">
        <is>
          <t>Paid</t>
        </is>
      </c>
      <c r="CK1103" t="inlineStr">
        <is>
          <t>Not Eligible</t>
        </is>
      </c>
      <c r="CL1103"/>
      <c r="CM1103"/>
    </row>
    <row r="1104" ht="25.5" customHeight="1">
      <c r="A1104" t="inlineStr">
        <is>
          <t>42451</t>
        </is>
      </c>
      <c r="B1104" s="2"/>
      <c r="C1104"/>
      <c r="D1104" s="3">
        <v>46133.66027777778</v>
      </c>
      <c r="E1104" t="inlineStr">
        <is>
          <t>Q2-W03</t>
        </is>
      </c>
      <c r="F1104" t="inlineStr">
        <is>
          <t>Keegan</t>
        </is>
      </c>
      <c r="G1104" t="inlineStr">
        <is>
          <t>Customer</t>
        </is>
      </c>
      <c r="H1104" s="2" t="str">
        <f>=HYPERLINK("https://upbox.ajobthing.my/customer/42451", "https://upbox.ajobthing.my/customer/42451")</f>
        <v>https://upbox.ajobthing.my/customer/42451</v>
      </c>
      <c r="I1104" t="inlineStr">
        <is>
          <t>Mode Inn Sdn Bhd</t>
        </is>
      </c>
      <c r="J1104" t="inlineStr">
        <is>
          <t>Small Fish</t>
        </is>
      </c>
      <c r="K1104" t="inlineStr">
        <is>
          <t>Keegan</t>
        </is>
      </c>
      <c r="L1104" s="4"/>
      <c r="M1104" s="4">
        <v>46133.66034722222</v>
      </c>
      <c r="N1104"/>
      <c r="O1104">
        <v>3888</v>
      </c>
      <c r="P1104" s="4"/>
      <c r="Q1104" s="4"/>
      <c r="R1104"/>
      <c r="S1104"/>
      <c r="T1104" s="4"/>
      <c r="U1104" s="4"/>
      <c r="V1104"/>
      <c r="W1104"/>
      <c r="X1104"/>
      <c r="Y1104" t="inlineStr">
        <is>
          <t>Pending Appointment</t>
        </is>
      </c>
      <c r="Z1104" t="inlineStr">
        <is>
          <t>Hiring Now</t>
        </is>
      </c>
      <c r="AA1104">
        <v>1</v>
      </c>
      <c r="AB1104" t="inlineStr">
        <is>
          <t>No Appointment Made</t>
        </is>
      </c>
      <c r="AC1104"/>
      <c r="AD1104" t="inlineStr">
        <is>
          <t xml:space="preserve">1. Cleaner </t>
        </is>
      </c>
      <c r="AE1104"/>
      <c r="AF1104"/>
      <c r="AG1104" s="4"/>
      <c r="AH1104" s="4"/>
      <c r="AI1104"/>
      <c r="AJ1104">
        <v>1</v>
      </c>
      <c r="AK1104" t="inlineStr">
        <is>
          <t>No, I don't need at all</t>
        </is>
      </c>
      <c r="AL1104">
        <v>0</v>
      </c>
      <c r="AM1104" t="inlineStr">
        <is>
          <t>No, I don't need at all</t>
        </is>
      </c>
      <c r="AN1104"/>
      <c r="AO1104" t="inlineStr">
        <is>
          <t>No, I don't need at all</t>
        </is>
      </c>
      <c r="AP1104" t="inlineStr">
        <is>
          <t>Once per quarter (75%)</t>
        </is>
      </c>
      <c r="AQ1104"/>
      <c r="AR1104" t="inlineStr">
        <is>
          <t>Did not use any job portal</t>
        </is>
      </c>
      <c r="AS1104" t="inlineStr">
        <is>
          <t>- Headcount: 1
- Hiring Job Details: 1 Cleaner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104">
        <v>105</v>
      </c>
      <c r="AU1104" t="inlineStr">
        <is>
          <t>1.05</t>
        </is>
      </c>
      <c r="AV1104" t="inlineStr">
        <is>
          <t>5</t>
        </is>
      </c>
      <c r="AW1104" t="inlineStr">
        <is>
          <t>0</t>
        </is>
      </c>
      <c r="AX1104" t="inlineStr">
        <is>
          <t>Not Qualified</t>
        </is>
      </c>
      <c r="AY1104" s="4"/>
      <c r="AZ1104"/>
      <c r="BA1104"/>
      <c r="BB1104"/>
      <c r="BC1104" t="inlineStr">
        <is>
          <t>- Headcount: 1
- Hiring Job Details: 1 Cleaner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104" s="4">
        <v>46133.66672453703</v>
      </c>
      <c r="BE1104"/>
      <c r="BF1104"/>
      <c r="BG1104" t="inlineStr">
        <is>
          <t>Reschedule</t>
        </is>
      </c>
      <c r="BH1104" t="inlineStr">
        <is>
          <t>Edward Hoo</t>
        </is>
      </c>
      <c r="BI1104" t="inlineStr">
        <is>
          <t>Hotel / Hospitality</t>
        </is>
      </c>
      <c r="BJ1104" s="4">
        <v>46144.75571759259</v>
      </c>
      <c r="BK1104" s="4">
        <v>43017.457824074074</v>
      </c>
      <c r="BL1104" t="inlineStr">
        <is>
          <t>0.0</t>
        </is>
      </c>
      <c r="BM1104" t="inlineStr">
        <is>
          <t>600.0</t>
        </is>
      </c>
      <c r="BN1104" t="inlineStr">
        <is>
          <t>View Create Job Page</t>
        </is>
      </c>
      <c r="BO1104" s="4">
        <v>45414.48971064815</v>
      </c>
      <c r="BP1104">
        <v>168097</v>
      </c>
      <c r="BQ1104"/>
      <c r="BR1104"/>
      <c r="BS1104"/>
      <c r="BT1104"/>
      <c r="BU1104"/>
      <c r="BV1104">
        <v>2718709</v>
      </c>
      <c r="BW1104" t="inlineStr">
        <is>
          <t>Customer Inquiry</t>
        </is>
      </c>
      <c r="BX1104"/>
      <c r="BY1104"/>
      <c r="BZ1104" s="4"/>
      <c r="CA1104"/>
      <c r="CB1104"/>
      <c r="CC1104" s="4"/>
      <c r="CD1104" t="inlineStr">
        <is>
          <t>5</t>
        </is>
      </c>
      <c r="CE1104" t="inlineStr">
        <is>
          <t>0</t>
        </is>
      </c>
      <c r="CF1104" t="inlineStr">
        <is>
          <t>Q2-W03</t>
        </is>
      </c>
      <c r="CG1104"/>
      <c r="CH1104"/>
      <c r="CI1104"/>
      <c r="CJ1104" t="inlineStr">
        <is>
          <t>No Paid</t>
        </is>
      </c>
      <c r="CK1104" t="inlineStr">
        <is>
          <t>Not Eligible</t>
        </is>
      </c>
      <c r="CL1104"/>
      <c r="CM1104"/>
    </row>
    <row r="1105" ht="25.5" customHeight="1">
      <c r="A1105" t="inlineStr">
        <is>
          <t>4309948</t>
        </is>
      </c>
      <c r="B1105" s="2"/>
      <c r="C1105"/>
      <c r="D1105" s="3">
        <v>46133.66043981481</v>
      </c>
      <c r="E1105" t="inlineStr">
        <is>
          <t>Q2-W03</t>
        </is>
      </c>
      <c r="F1105" t="inlineStr">
        <is>
          <t>Jia Hui</t>
        </is>
      </c>
      <c r="G1105" t="inlineStr">
        <is>
          <t>Lead</t>
        </is>
      </c>
      <c r="H1105" s="2" t="str">
        <f>=HYPERLINK("https://upbox.ajobthing.my/leads/4309948", "https://upbox.ajobthing.my/leads/4309948")</f>
        <v>https://upbox.ajobthing.my/leads/4309948</v>
      </c>
      <c r="I1105" t="inlineStr">
        <is>
          <t>ARTNETWORK EVENTS SDN BHD</t>
        </is>
      </c>
      <c r="J1105" t="inlineStr">
        <is>
          <t>Small Fish</t>
        </is>
      </c>
      <c r="K1105" t="inlineStr">
        <is>
          <t>Jia Hui</t>
        </is>
      </c>
      <c r="L1105" s="4"/>
      <c r="M1105" s="4">
        <v>46133.66087962963</v>
      </c>
      <c r="N1105"/>
      <c r="O1105">
        <v>3888</v>
      </c>
      <c r="P1105" s="4"/>
      <c r="Q1105" s="4"/>
      <c r="R1105"/>
      <c r="S1105"/>
      <c r="T1105" s="4"/>
      <c r="U1105" s="4"/>
      <c r="V1105"/>
      <c r="W1105"/>
      <c r="X1105"/>
      <c r="Y1105" t="inlineStr">
        <is>
          <t>Pending Appointment</t>
        </is>
      </c>
      <c r="Z1105" t="inlineStr">
        <is>
          <t>Hiring Now</t>
        </is>
      </c>
      <c r="AA1105">
        <v>1</v>
      </c>
      <c r="AB1105" t="inlineStr">
        <is>
          <t>No Appointment Made</t>
        </is>
      </c>
      <c r="AC1105"/>
      <c r="AD1105" t="inlineStr">
        <is>
          <t>1 graphic designer</t>
        </is>
      </c>
      <c r="AE1105"/>
      <c r="AF1105">
        <v>500</v>
      </c>
      <c r="AG1105" s="4"/>
      <c r="AH1105" s="4"/>
      <c r="AI1105"/>
      <c r="AJ1105"/>
      <c r="AK1105" t="inlineStr">
        <is>
          <t>No, but I want in future</t>
        </is>
      </c>
      <c r="AL1105"/>
      <c r="AM1105"/>
      <c r="AN1105"/>
      <c r="AO1105"/>
      <c r="AP1105" t="inlineStr">
        <is>
          <t>Once a year (25%)</t>
        </is>
      </c>
      <c r="AQ1105"/>
      <c r="AR1105"/>
      <c r="AS1105" t="inlineStr">
        <is>
          <t>- Headcount: 1
- Hiring Job Details: 1 graphic designer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105">
        <v>75</v>
      </c>
      <c r="AU1105" t="inlineStr">
        <is>
          <t>0.75</t>
        </is>
      </c>
      <c r="AV1105" t="inlineStr">
        <is>
          <t>15</t>
        </is>
      </c>
      <c r="AW1105" t="inlineStr">
        <is>
          <t>0</t>
        </is>
      </c>
      <c r="AX1105" t="inlineStr">
        <is>
          <t>Not Qualified</t>
        </is>
      </c>
      <c r="AY1105" s="4"/>
      <c r="AZ1105"/>
      <c r="BA1105"/>
      <c r="BB1105"/>
      <c r="BC1105"/>
      <c r="BD1105" s="4"/>
      <c r="BE1105"/>
      <c r="BF1105"/>
      <c r="BG1105" t="inlineStr">
        <is>
          <t>Reschedule</t>
        </is>
      </c>
      <c r="BH1105" t="inlineStr">
        <is>
          <t>Reagen</t>
        </is>
      </c>
      <c r="BI1105"/>
      <c r="BJ1105" s="4">
        <v>46144.75587962963</v>
      </c>
      <c r="BK1105" s="4">
        <v>46133.64203703704</v>
      </c>
      <c r="BL1105" t="inlineStr">
        <is>
          <t>0.0</t>
        </is>
      </c>
      <c r="BM1105" t="inlineStr">
        <is>
          <t>0.0</t>
        </is>
      </c>
      <c r="BN1105"/>
      <c r="BO1105" s="4"/>
      <c r="BP1105">
        <v>168099</v>
      </c>
      <c r="BQ1105"/>
      <c r="BR1105"/>
      <c r="BS1105"/>
      <c r="BT1105"/>
      <c r="BU1105"/>
      <c r="BV1105"/>
      <c r="BW1105"/>
      <c r="BX1105"/>
      <c r="BY1105"/>
      <c r="BZ1105" s="4"/>
      <c r="CA1105"/>
      <c r="CB1105"/>
      <c r="CC1105" s="4"/>
      <c r="CD1105" t="inlineStr">
        <is>
          <t>20</t>
        </is>
      </c>
      <c r="CE1105" t="inlineStr">
        <is>
          <t>0</t>
        </is>
      </c>
      <c r="CF1105" t="inlineStr">
        <is>
          <t>Q2-W03</t>
        </is>
      </c>
      <c r="CG1105"/>
      <c r="CH1105"/>
      <c r="CI1105"/>
      <c r="CJ1105" t="inlineStr">
        <is>
          <t>No Paid</t>
        </is>
      </c>
      <c r="CK1105" t="inlineStr">
        <is>
          <t>Not Eligible</t>
        </is>
      </c>
      <c r="CL1105"/>
      <c r="CM1105"/>
    </row>
    <row r="1106" ht="25.5" customHeight="1">
      <c r="A1106" t="inlineStr">
        <is>
          <t>4309947</t>
        </is>
      </c>
      <c r="B1106" s="2"/>
      <c r="C1106"/>
      <c r="D1106" s="3">
        <v>46133.66106481481</v>
      </c>
      <c r="E1106" t="inlineStr">
        <is>
          <t>Q2-W03</t>
        </is>
      </c>
      <c r="F1106" t="inlineStr">
        <is>
          <t>Carmen</t>
        </is>
      </c>
      <c r="G1106" t="inlineStr">
        <is>
          <t>Lead</t>
        </is>
      </c>
      <c r="H1106" s="2" t="str">
        <f>=HYPERLINK("https://upbox.ajobthing.my/leads/4309947", "https://upbox.ajobthing.my/leads/4309947")</f>
        <v>https://upbox.ajobthing.my/leads/4309947</v>
      </c>
      <c r="I1106" t="inlineStr">
        <is>
          <t>MAX KUBERAN ENTERPRISE</t>
        </is>
      </c>
      <c r="J1106" t="inlineStr">
        <is>
          <t>Small Fish</t>
        </is>
      </c>
      <c r="K1106" t="inlineStr">
        <is>
          <t>Carmen</t>
        </is>
      </c>
      <c r="L1106" s="4"/>
      <c r="M1106" s="4">
        <v>46133.65859953704</v>
      </c>
      <c r="N1106"/>
      <c r="O1106">
        <v>6048</v>
      </c>
      <c r="P1106" s="4"/>
      <c r="Q1106" s="4"/>
      <c r="R1106"/>
      <c r="S1106"/>
      <c r="T1106" s="4"/>
      <c r="U1106" s="4"/>
      <c r="V1106"/>
      <c r="W1106"/>
      <c r="X1106"/>
      <c r="Y1106" t="inlineStr">
        <is>
          <t>Pending Appointment</t>
        </is>
      </c>
      <c r="Z1106" t="inlineStr">
        <is>
          <t>Hiring Now</t>
        </is>
      </c>
      <c r="AA1106">
        <v>3</v>
      </c>
      <c r="AB1106" t="inlineStr">
        <is>
          <t>No Appointment Made</t>
        </is>
      </c>
      <c r="AC1106"/>
      <c r="AD1106" t="inlineStr">
        <is>
          <t>senior barber x 2 ; intern for software engineering</t>
        </is>
      </c>
      <c r="AE1106"/>
      <c r="AF1106">
        <v>0</v>
      </c>
      <c r="AG1106" s="4"/>
      <c r="AH1106" s="4"/>
      <c r="AI1106"/>
      <c r="AJ1106"/>
      <c r="AK1106" t="inlineStr">
        <is>
          <t>No, I don't need at all</t>
        </is>
      </c>
      <c r="AL1106"/>
      <c r="AM1106"/>
      <c r="AN1106"/>
      <c r="AO1106"/>
      <c r="AP1106" t="inlineStr">
        <is>
          <t>Once a year (25%)</t>
        </is>
      </c>
      <c r="AQ1106"/>
      <c r="AR1106"/>
      <c r="AS1106" t="inlineStr">
        <is>
          <t>- Headcount: 3
- Hiring Job Details: senior barber x 2 ; intern for software engineering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1106">
        <v>75</v>
      </c>
      <c r="AU1106" t="inlineStr">
        <is>
          <t>0.75</t>
        </is>
      </c>
      <c r="AV1106" t="inlineStr">
        <is>
          <t>15</t>
        </is>
      </c>
      <c r="AW1106" t="inlineStr">
        <is>
          <t>0</t>
        </is>
      </c>
      <c r="AX1106" t="inlineStr">
        <is>
          <t>Not Qualified</t>
        </is>
      </c>
      <c r="AY1106" s="4"/>
      <c r="AZ1106"/>
      <c r="BA1106"/>
      <c r="BB1106"/>
      <c r="BC1106"/>
      <c r="BD1106" s="4"/>
      <c r="BE1106"/>
      <c r="BF1106"/>
      <c r="BG1106" t="inlineStr">
        <is>
          <t>Reschedule</t>
        </is>
      </c>
      <c r="BH1106" t="inlineStr">
        <is>
          <t>Reagen</t>
        </is>
      </c>
      <c r="BI1106"/>
      <c r="BJ1106" s="4">
        <v>46144.75587962963</v>
      </c>
      <c r="BK1106" s="4">
        <v>46133.64199074074</v>
      </c>
      <c r="BL1106" t="inlineStr">
        <is>
          <t>0.0</t>
        </is>
      </c>
      <c r="BM1106" t="inlineStr">
        <is>
          <t>0.0</t>
        </is>
      </c>
      <c r="BN1106"/>
      <c r="BO1106" s="4"/>
      <c r="BP1106">
        <v>168093</v>
      </c>
      <c r="BQ1106"/>
      <c r="BR1106"/>
      <c r="BS1106"/>
      <c r="BT1106"/>
      <c r="BU1106"/>
      <c r="BV1106"/>
      <c r="BW1106"/>
      <c r="BX1106"/>
      <c r="BY1106"/>
      <c r="BZ1106" s="4"/>
      <c r="CA1106"/>
      <c r="CB1106"/>
      <c r="CC1106" s="4"/>
      <c r="CD1106" t="inlineStr">
        <is>
          <t>20</t>
        </is>
      </c>
      <c r="CE1106" t="inlineStr">
        <is>
          <t>0</t>
        </is>
      </c>
      <c r="CF1106" t="inlineStr">
        <is>
          <t>Q2-W03</t>
        </is>
      </c>
      <c r="CG1106"/>
      <c r="CH1106"/>
      <c r="CI1106"/>
      <c r="CJ1106" t="inlineStr">
        <is>
          <t>No Paid</t>
        </is>
      </c>
      <c r="CK1106" t="inlineStr">
        <is>
          <t>Not Eligible</t>
        </is>
      </c>
      <c r="CL1106"/>
      <c r="CM1106"/>
    </row>
    <row r="1107" ht="25.5" customHeight="1">
      <c r="A1107" t="inlineStr">
        <is>
          <t>197968</t>
        </is>
      </c>
      <c r="B1107" s="2"/>
      <c r="C1107"/>
      <c r="D1107" s="3">
        <v>46133.667395833334</v>
      </c>
      <c r="E1107" t="inlineStr">
        <is>
          <t>Q2-W03</t>
        </is>
      </c>
      <c r="F1107" t="inlineStr">
        <is>
          <t>Dickson</t>
        </is>
      </c>
      <c r="G1107" t="inlineStr">
        <is>
          <t>Customer</t>
        </is>
      </c>
      <c r="H1107" s="2" t="str">
        <f>=HYPERLINK("https://upbox.ajobthing.my/customer/197968", "https://upbox.ajobthing.my/customer/197968")</f>
        <v>https://upbox.ajobthing.my/customer/197968</v>
      </c>
      <c r="I1107" t="inlineStr">
        <is>
          <t>East Nation Resources (enr)</t>
        </is>
      </c>
      <c r="J1107" t="inlineStr">
        <is>
          <t>Small Fish</t>
        </is>
      </c>
      <c r="K1107" t="inlineStr">
        <is>
          <t>Dickson</t>
        </is>
      </c>
      <c r="L1107" s="4"/>
      <c r="M1107" s="4">
        <v>46133.66775462963</v>
      </c>
      <c r="N1107"/>
      <c r="O1107">
        <v>3888</v>
      </c>
      <c r="P1107" s="4"/>
      <c r="Q1107" s="4"/>
      <c r="R1107"/>
      <c r="S1107"/>
      <c r="T1107" s="4"/>
      <c r="U1107" s="4"/>
      <c r="V1107"/>
      <c r="W1107"/>
      <c r="X1107"/>
      <c r="Y1107" t="inlineStr">
        <is>
          <t>Pending Appointment</t>
        </is>
      </c>
      <c r="Z1107" t="inlineStr">
        <is>
          <t>Hiring Later</t>
        </is>
      </c>
      <c r="AA1107">
        <v>10</v>
      </c>
      <c r="AB1107" t="inlineStr">
        <is>
          <t>No Appointment Made</t>
        </is>
      </c>
      <c r="AC1107"/>
      <c r="AD1107" t="inlineStr">
        <is>
          <t>10 operators</t>
        </is>
      </c>
      <c r="AE1107"/>
      <c r="AF1107"/>
      <c r="AG1107" s="4"/>
      <c r="AH1107" s="4"/>
      <c r="AI1107"/>
      <c r="AJ1107">
        <v>1</v>
      </c>
      <c r="AK1107" t="inlineStr">
        <is>
          <t>No, I don't need at all</t>
        </is>
      </c>
      <c r="AL1107"/>
      <c r="AM1107" t="inlineStr">
        <is>
          <t>No, I don't need at all</t>
        </is>
      </c>
      <c r="AN1107"/>
      <c r="AO1107" t="inlineStr">
        <is>
          <t>No, I don't need at all</t>
        </is>
      </c>
      <c r="AP1107" t="inlineStr">
        <is>
          <t>Twice a year (50%)</t>
        </is>
      </c>
      <c r="AQ1107"/>
      <c r="AR1107" t="inlineStr">
        <is>
          <t>Free Job Portal</t>
        </is>
      </c>
      <c r="AS1107" t="inlineStr">
        <is>
          <t>- Headcount: 10
- Hiring Job Details: 10 operators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Twice a year (50%)
- External job portal: Free Job Portal</t>
        </is>
      </c>
      <c r="AT1107">
        <v>95</v>
      </c>
      <c r="AU1107" t="inlineStr">
        <is>
          <t>0.95</t>
        </is>
      </c>
      <c r="AV1107" t="inlineStr">
        <is>
          <t>10</t>
        </is>
      </c>
      <c r="AW1107" t="inlineStr">
        <is>
          <t>0</t>
        </is>
      </c>
      <c r="AX1107" t="inlineStr">
        <is>
          <t>Not Qualified</t>
        </is>
      </c>
      <c r="AY1107" s="4"/>
      <c r="AZ1107"/>
      <c r="BA1107"/>
      <c r="BB1107"/>
      <c r="BC1107" t="inlineStr">
        <is>
          <t>no response</t>
        </is>
      </c>
      <c r="BD1107" s="4">
        <v>46141.68614583334</v>
      </c>
      <c r="BE1107"/>
      <c r="BF1107"/>
      <c r="BG1107" t="inlineStr">
        <is>
          <t>Reschedule</t>
        </is>
      </c>
      <c r="BH1107" t="inlineStr">
        <is>
          <t>Edward Hoo</t>
        </is>
      </c>
      <c r="BI1107" t="inlineStr">
        <is>
          <t>Other industries</t>
        </is>
      </c>
      <c r="BJ1107" s="4">
        <v>46144.75292824074</v>
      </c>
      <c r="BK1107" s="4">
        <v>45966.71643518518</v>
      </c>
      <c r="BL1107" t="inlineStr">
        <is>
          <t>0.0</t>
        </is>
      </c>
      <c r="BM1107" t="inlineStr">
        <is>
          <t>0.0</t>
        </is>
      </c>
      <c r="BN1107" t="inlineStr">
        <is>
          <t>View Company Page</t>
        </is>
      </c>
      <c r="BO1107" s="4">
        <v>45966.737337962964</v>
      </c>
      <c r="BP1107">
        <v>168106</v>
      </c>
      <c r="BQ1107"/>
      <c r="BR1107"/>
      <c r="BS1107"/>
      <c r="BT1107"/>
      <c r="BU1107"/>
      <c r="BV1107">
        <v>2735902</v>
      </c>
      <c r="BW1107" t="inlineStr">
        <is>
          <t>No Answer : Voicemail - WA sent to customer</t>
        </is>
      </c>
      <c r="BX1107"/>
      <c r="BY1107"/>
      <c r="BZ1107" s="4"/>
      <c r="CA1107"/>
      <c r="CB1107"/>
      <c r="CC1107" s="4"/>
      <c r="CD1107" t="inlineStr">
        <is>
          <t>15</t>
        </is>
      </c>
      <c r="CE1107" t="inlineStr">
        <is>
          <t>0</t>
        </is>
      </c>
      <c r="CF1107" t="inlineStr">
        <is>
          <t>Q2-W03</t>
        </is>
      </c>
      <c r="CG1107"/>
      <c r="CH1107"/>
      <c r="CI1107"/>
      <c r="CJ1107" t="inlineStr">
        <is>
          <t>No Paid</t>
        </is>
      </c>
      <c r="CK1107" t="inlineStr">
        <is>
          <t>Eligible</t>
        </is>
      </c>
      <c r="CL1107"/>
      <c r="CM1107"/>
    </row>
    <row r="1108" ht="25.5" customHeight="1">
      <c r="A1108" t="inlineStr">
        <is>
          <t>203443</t>
        </is>
      </c>
      <c r="B1108" s="2"/>
      <c r="C1108"/>
      <c r="D1108" s="3">
        <v>46133.67084490741</v>
      </c>
      <c r="E1108" t="inlineStr">
        <is>
          <t>Q2-W03</t>
        </is>
      </c>
      <c r="F1108" t="inlineStr">
        <is>
          <t>Xin Quan</t>
        </is>
      </c>
      <c r="G1108" t="inlineStr">
        <is>
          <t>Customer</t>
        </is>
      </c>
      <c r="H1108" s="2" t="str">
        <f>=HYPERLINK("https://upbox.ajobthing.my/customer/203443", "https://upbox.ajobthing.my/customer/203443")</f>
        <v>https://upbox.ajobthing.my/customer/203443</v>
      </c>
      <c r="I1108" t="inlineStr">
        <is>
          <t>KR GLOBAL SOLUTIONS (ASIA) SDN. BHD</t>
        </is>
      </c>
      <c r="J1108" t="inlineStr">
        <is>
          <t>Small Fish</t>
        </is>
      </c>
      <c r="K1108" t="inlineStr">
        <is>
          <t>Xin Quan</t>
        </is>
      </c>
      <c r="L1108" s="4"/>
      <c r="M1108" s="4">
        <v>46133.67153935185</v>
      </c>
      <c r="N1108"/>
      <c r="O1108">
        <v>3888</v>
      </c>
      <c r="P1108" s="4"/>
      <c r="Q1108" s="4"/>
      <c r="R1108"/>
      <c r="S1108"/>
      <c r="T1108" s="4"/>
      <c r="U1108" s="4"/>
      <c r="V1108"/>
      <c r="W1108"/>
      <c r="X1108"/>
      <c r="Y1108" t="inlineStr">
        <is>
          <t>Pending Appointment</t>
        </is>
      </c>
      <c r="Z1108" t="inlineStr">
        <is>
          <t>Hiring Now</t>
        </is>
      </c>
      <c r="AA1108">
        <v>1</v>
      </c>
      <c r="AB1108" t="inlineStr">
        <is>
          <t>No Appointment Made</t>
        </is>
      </c>
      <c r="AC1108"/>
      <c r="AD1108" t="inlineStr">
        <is>
          <t>1 Sales , Base in JOHOR</t>
        </is>
      </c>
      <c r="AE1108"/>
      <c r="AF1108">
        <v>2000</v>
      </c>
      <c r="AG1108" s="4"/>
      <c r="AH1108" s="4"/>
      <c r="AI1108">
        <v>24000</v>
      </c>
      <c r="AJ1108">
        <v>1</v>
      </c>
      <c r="AK1108" t="inlineStr">
        <is>
          <t>No, I don't need at all</t>
        </is>
      </c>
      <c r="AL1108">
        <v>1</v>
      </c>
      <c r="AM1108" t="inlineStr">
        <is>
          <t>No, I don't need at all</t>
        </is>
      </c>
      <c r="AN1108"/>
      <c r="AO1108" t="inlineStr">
        <is>
          <t>No, I don't need at all</t>
        </is>
      </c>
      <c r="AP1108" t="inlineStr">
        <is>
          <t>Once a year (25%)</t>
        </is>
      </c>
      <c r="AQ1108">
        <v>1</v>
      </c>
      <c r="AR1108"/>
      <c r="AS1108" t="inlineStr">
        <is>
          <t>- Headcount: 1
- Hiring Job Details: 1 Sales, Base in JOHOR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1108">
        <v>110</v>
      </c>
      <c r="AU1108" t="inlineStr">
        <is>
          <t>1.10</t>
        </is>
      </c>
      <c r="AV1108" t="inlineStr">
        <is>
          <t>15</t>
        </is>
      </c>
      <c r="AW1108" t="inlineStr">
        <is>
          <t>0</t>
        </is>
      </c>
      <c r="AX1108" t="inlineStr">
        <is>
          <t>Not Qualified</t>
        </is>
      </c>
      <c r="AY1108" s="4"/>
      <c r="AZ1108"/>
      <c r="BA1108"/>
      <c r="BB1108"/>
      <c r="BC1108" t="inlineStr">
        <is>
          <t>NH , Finally reply SOHAI</t>
        </is>
      </c>
      <c r="BD1108" s="4">
        <v>46135.48390046296</v>
      </c>
      <c r="BE1108"/>
      <c r="BF1108"/>
      <c r="BG1108" t="inlineStr">
        <is>
          <t>Reschedule</t>
        </is>
      </c>
      <c r="BH1108" t="inlineStr">
        <is>
          <t>Edward Hoo</t>
        </is>
      </c>
      <c r="BI1108"/>
      <c r="BJ1108" s="4">
        <v>46144.75430555556</v>
      </c>
      <c r="BK1108" s="4">
        <v>46132.690983796296</v>
      </c>
      <c r="BL1108" t="inlineStr">
        <is>
          <t>0.0</t>
        </is>
      </c>
      <c r="BM1108" t="inlineStr">
        <is>
          <t>0.0</t>
        </is>
      </c>
      <c r="BN1108"/>
      <c r="BO1108" s="4"/>
      <c r="BP1108">
        <v>168108</v>
      </c>
      <c r="BQ1108"/>
      <c r="BR1108"/>
      <c r="BS1108"/>
      <c r="BT1108"/>
      <c r="BU1108"/>
      <c r="BV1108">
        <v>2722898</v>
      </c>
      <c r="BW1108" t="inlineStr">
        <is>
          <t>Inquire for Hiring Needs : No Hiring</t>
        </is>
      </c>
      <c r="BX1108"/>
      <c r="BY1108"/>
      <c r="BZ1108" s="4"/>
      <c r="CA1108"/>
      <c r="CB1108"/>
      <c r="CC1108" s="4"/>
      <c r="CD1108" t="inlineStr">
        <is>
          <t>20</t>
        </is>
      </c>
      <c r="CE1108" t="inlineStr">
        <is>
          <t>0</t>
        </is>
      </c>
      <c r="CF1108" t="inlineStr">
        <is>
          <t>Q2-W03</t>
        </is>
      </c>
      <c r="CG1108"/>
      <c r="CH1108"/>
      <c r="CI1108"/>
      <c r="CJ1108" t="inlineStr">
        <is>
          <t>No Paid</t>
        </is>
      </c>
      <c r="CK1108" t="inlineStr">
        <is>
          <t>Not Eligible</t>
        </is>
      </c>
      <c r="CL1108"/>
      <c r="CM1108"/>
    </row>
    <row r="1109" ht="25.5" customHeight="1">
      <c r="A1109" t="inlineStr">
        <is>
          <t>4298408</t>
        </is>
      </c>
      <c r="B1109" s="2"/>
      <c r="C1109"/>
      <c r="D1109" s="3">
        <v>46133.67313657407</v>
      </c>
      <c r="E1109" t="inlineStr">
        <is>
          <t>Q2-W03</t>
        </is>
      </c>
      <c r="F1109" t="inlineStr">
        <is>
          <t>Chia Yee</t>
        </is>
      </c>
      <c r="G1109" t="inlineStr">
        <is>
          <t>Lead</t>
        </is>
      </c>
      <c r="H1109" s="2" t="str">
        <f>=HYPERLINK("https://upbox.ajobthing.my/leads/4298408", "https://upbox.ajobthing.my/leads/4298408")</f>
        <v>https://upbox.ajobthing.my/leads/4298408</v>
      </c>
      <c r="I1109" t="inlineStr">
        <is>
          <t>Afa Tech Supplies Sdn Bhd</t>
        </is>
      </c>
      <c r="J1109" t="inlineStr">
        <is>
          <t>Small Fish</t>
        </is>
      </c>
      <c r="K1109" t="inlineStr">
        <is>
          <t>Chia Yee</t>
        </is>
      </c>
      <c r="L1109" s="4"/>
      <c r="M1109" s="4">
        <v>46133.67439814815</v>
      </c>
      <c r="N1109"/>
      <c r="O1109">
        <v>6048</v>
      </c>
      <c r="P1109" s="4"/>
      <c r="Q1109" s="4"/>
      <c r="R1109"/>
      <c r="S1109"/>
      <c r="T1109" s="4"/>
      <c r="U1109" s="4"/>
      <c r="V1109"/>
      <c r="W1109"/>
      <c r="X1109"/>
      <c r="Y1109" t="inlineStr">
        <is>
          <t>Pending Appointment</t>
        </is>
      </c>
      <c r="Z1109" t="inlineStr">
        <is>
          <t>Hiring Now</t>
        </is>
      </c>
      <c r="AA1109">
        <v>2</v>
      </c>
      <c r="AB1109" t="inlineStr">
        <is>
          <t>No Appointment Made</t>
        </is>
      </c>
      <c r="AC1109"/>
      <c r="AD1109" t="inlineStr">
        <is>
          <t>1 Technician (Kitchen Equipment), 1 Junior Engineer</t>
        </is>
      </c>
      <c r="AE1109"/>
      <c r="AF1109">
        <v>0</v>
      </c>
      <c r="AG1109" s="4"/>
      <c r="AH1109" s="4"/>
      <c r="AI1109">
        <v>0</v>
      </c>
      <c r="AJ1109">
        <v>1</v>
      </c>
      <c r="AK1109" t="inlineStr">
        <is>
          <t>No, I don't need at all</t>
        </is>
      </c>
      <c r="AL1109">
        <v>1</v>
      </c>
      <c r="AM1109" t="inlineStr">
        <is>
          <t>No, I don't need at all</t>
        </is>
      </c>
      <c r="AN1109"/>
      <c r="AO1109" t="inlineStr">
        <is>
          <t>No, I don't need at all</t>
        </is>
      </c>
      <c r="AP1109" t="inlineStr">
        <is>
          <t>Once a year (25%)</t>
        </is>
      </c>
      <c r="AQ1109">
        <v>2</v>
      </c>
      <c r="AR1109" t="inlineStr">
        <is>
          <t>Did not use any job portal</t>
        </is>
      </c>
      <c r="AS1109" t="inlineStr">
        <is>
          <t>- Headcount: 2
- Hiring Job Details: 1 Technician (Kitchen Equipment), 1 Junior Engineer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1109">
        <v>110</v>
      </c>
      <c r="AU1109" t="inlineStr">
        <is>
          <t>1.10</t>
        </is>
      </c>
      <c r="AV1109" t="inlineStr">
        <is>
          <t>15</t>
        </is>
      </c>
      <c r="AW1109" t="inlineStr">
        <is>
          <t>0</t>
        </is>
      </c>
      <c r="AX1109" t="inlineStr">
        <is>
          <t>Not Qualified</t>
        </is>
      </c>
      <c r="AY1109" s="4"/>
      <c r="AZ1109"/>
      <c r="BA1109"/>
      <c r="BB1109"/>
      <c r="BC1109"/>
      <c r="BD1109" s="4"/>
      <c r="BE1109"/>
      <c r="BF1109"/>
      <c r="BG1109" t="inlineStr">
        <is>
          <t>Reschedule</t>
        </is>
      </c>
      <c r="BH1109" t="inlineStr">
        <is>
          <t>Reagen</t>
        </is>
      </c>
      <c r="BI1109"/>
      <c r="BJ1109" s="4">
        <v>46144.75585648148</v>
      </c>
      <c r="BK1109" s="4">
        <v>46130.51241898148</v>
      </c>
      <c r="BL1109" t="inlineStr">
        <is>
          <t>0.0</t>
        </is>
      </c>
      <c r="BM1109" t="inlineStr">
        <is>
          <t>0.0</t>
        </is>
      </c>
      <c r="BN1109"/>
      <c r="BO1109" s="4"/>
      <c r="BP1109">
        <v>168110</v>
      </c>
      <c r="BQ1109"/>
      <c r="BR1109"/>
      <c r="BS1109"/>
      <c r="BT1109"/>
      <c r="BU1109"/>
      <c r="BV1109"/>
      <c r="BW1109"/>
      <c r="BX1109"/>
      <c r="BY1109"/>
      <c r="BZ1109" s="4"/>
      <c r="CA1109"/>
      <c r="CB1109"/>
      <c r="CC1109" s="4"/>
      <c r="CD1109" t="inlineStr">
        <is>
          <t>20</t>
        </is>
      </c>
      <c r="CE1109" t="inlineStr">
        <is>
          <t>0</t>
        </is>
      </c>
      <c r="CF1109" t="inlineStr">
        <is>
          <t>Q2-W03</t>
        </is>
      </c>
      <c r="CG1109"/>
      <c r="CH1109"/>
      <c r="CI1109"/>
      <c r="CJ1109" t="inlineStr">
        <is>
          <t>No Paid</t>
        </is>
      </c>
      <c r="CK1109" t="inlineStr">
        <is>
          <t>Not Eligible</t>
        </is>
      </c>
      <c r="CL1109"/>
      <c r="CM1109"/>
    </row>
    <row r="1110" ht="25.5" customHeight="1">
      <c r="A1110" t="inlineStr">
        <is>
          <t>203382</t>
        </is>
      </c>
      <c r="B1110" s="2"/>
      <c r="C1110"/>
      <c r="D1110" s="3">
        <v>46133.68765046296</v>
      </c>
      <c r="E1110" t="inlineStr">
        <is>
          <t>Q2-W03</t>
        </is>
      </c>
      <c r="F1110" t="inlineStr">
        <is>
          <t>Chia Yee</t>
        </is>
      </c>
      <c r="G1110" t="inlineStr">
        <is>
          <t>Customer</t>
        </is>
      </c>
      <c r="H1110" s="2" t="str">
        <f>=HYPERLINK("https://upbox.ajobthing.my/customer/203382", "https://upbox.ajobthing.my/customer/203382")</f>
        <v>https://upbox.ajobthing.my/customer/203382</v>
      </c>
      <c r="I1110" t="inlineStr">
        <is>
          <t>Sino Auto Technology (sea) Sdn.bhd</t>
        </is>
      </c>
      <c r="J1110" t="inlineStr">
        <is>
          <t>Small Fish</t>
        </is>
      </c>
      <c r="K1110" t="inlineStr">
        <is>
          <t>Chia Yee</t>
        </is>
      </c>
      <c r="L1110" s="4"/>
      <c r="M1110" s="4">
        <v>46133.687789351854</v>
      </c>
      <c r="N1110"/>
      <c r="O1110">
        <v>6048</v>
      </c>
      <c r="P1110" s="4"/>
      <c r="Q1110" s="4">
        <v>46130.45350694445</v>
      </c>
      <c r="R1110"/>
      <c r="S1110">
        <v>0</v>
      </c>
      <c r="T1110" s="4"/>
      <c r="U1110" s="4"/>
      <c r="V1110"/>
      <c r="W1110"/>
      <c r="X1110"/>
      <c r="Y1110" t="inlineStr">
        <is>
          <t>Pending Appointment</t>
        </is>
      </c>
      <c r="Z1110" t="inlineStr">
        <is>
          <t>Hiring Now</t>
        </is>
      </c>
      <c r="AA1110">
        <v>2</v>
      </c>
      <c r="AB1110" t="inlineStr">
        <is>
          <t>No Appointment Made</t>
        </is>
      </c>
      <c r="AC1110"/>
      <c r="AD1110" t="inlineStr">
        <is>
          <t xml:space="preserve">1 Sales Manager / Sales assistant </t>
        </is>
      </c>
      <c r="AE1110"/>
      <c r="AF1110">
        <v>0</v>
      </c>
      <c r="AG1110" s="4"/>
      <c r="AH1110" s="4"/>
      <c r="AI1110">
        <v>0</v>
      </c>
      <c r="AJ1110">
        <v>1</v>
      </c>
      <c r="AK1110" t="inlineStr">
        <is>
          <t>No, I don't need at all</t>
        </is>
      </c>
      <c r="AL1110">
        <v>1</v>
      </c>
      <c r="AM1110" t="inlineStr">
        <is>
          <t>No, I don't need at all</t>
        </is>
      </c>
      <c r="AN1110"/>
      <c r="AO1110" t="inlineStr">
        <is>
          <t>No, I don't need at all</t>
        </is>
      </c>
      <c r="AP1110" t="inlineStr">
        <is>
          <t>Once a year (25%)</t>
        </is>
      </c>
      <c r="AQ1110">
        <v>1</v>
      </c>
      <c r="AR1110" t="inlineStr">
        <is>
          <t>Did not use any job portal</t>
        </is>
      </c>
      <c r="AS1110" t="inlineStr">
        <is>
          <t>- Headcount: 2
- Hiring Job Details: 1 Sales Manager / Sales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1110">
        <v>105</v>
      </c>
      <c r="AU1110" t="inlineStr">
        <is>
          <t>1.05</t>
        </is>
      </c>
      <c r="AV1110" t="inlineStr">
        <is>
          <t>15</t>
        </is>
      </c>
      <c r="AW1110" t="inlineStr">
        <is>
          <t>0</t>
        </is>
      </c>
      <c r="AX1110" t="inlineStr">
        <is>
          <t>Not Qualified</t>
        </is>
      </c>
      <c r="AY1110" s="4"/>
      <c r="AZ1110"/>
      <c r="BA1110"/>
      <c r="BB1110"/>
      <c r="BC1110" t="inlineStr">
        <is>
          <t>Replied: not first. If need, just contact</t>
        </is>
      </c>
      <c r="BD1110" s="4">
        <v>46134.635659722226</v>
      </c>
      <c r="BE1110" t="inlineStr">
        <is>
          <t>paid</t>
        </is>
      </c>
      <c r="BF1110"/>
      <c r="BG1110" t="inlineStr">
        <is>
          <t>Reschedule</t>
        </is>
      </c>
      <c r="BH1110" t="inlineStr">
        <is>
          <t>Reagen</t>
        </is>
      </c>
      <c r="BI1110"/>
      <c r="BJ1110" s="4">
        <v>46144.75430555556</v>
      </c>
      <c r="BK1110" s="4">
        <v>46130.45260416667</v>
      </c>
      <c r="BL1110" t="inlineStr">
        <is>
          <t>0.0</t>
        </is>
      </c>
      <c r="BM1110" t="inlineStr">
        <is>
          <t>0.0</t>
        </is>
      </c>
      <c r="BN1110" t="inlineStr">
        <is>
          <t>View Company Page</t>
        </is>
      </c>
      <c r="BO1110" s="4">
        <v>46134.408483796295</v>
      </c>
      <c r="BP1110">
        <v>168123</v>
      </c>
      <c r="BQ1110">
        <v>123067</v>
      </c>
      <c r="BR1110" t="inlineStr">
        <is>
          <t>Proforma</t>
        </is>
      </c>
      <c r="BS1110" t="inlineStr">
        <is>
          <t>Free High Pay Job</t>
        </is>
      </c>
      <c r="BT1110"/>
      <c r="BU1110"/>
      <c r="BV1110">
        <v>2721043</v>
      </c>
      <c r="BW1110" t="inlineStr">
        <is>
          <t>Follow Up : Budget Concern</t>
        </is>
      </c>
      <c r="BX1110"/>
      <c r="BY1110"/>
      <c r="BZ1110" s="4"/>
      <c r="CA1110"/>
      <c r="CB1110"/>
      <c r="CC1110" s="4"/>
      <c r="CD1110" t="inlineStr">
        <is>
          <t>20</t>
        </is>
      </c>
      <c r="CE1110" t="inlineStr">
        <is>
          <t>0</t>
        </is>
      </c>
      <c r="CF1110" t="inlineStr">
        <is>
          <t>Q2-W03</t>
        </is>
      </c>
      <c r="CG1110" t="inlineStr">
        <is>
          <t>Q2-W03</t>
        </is>
      </c>
      <c r="CH1110"/>
      <c r="CI1110"/>
      <c r="CJ1110" t="inlineStr">
        <is>
          <t>No Paid</t>
        </is>
      </c>
      <c r="CK1110" t="inlineStr">
        <is>
          <t>Not Eligible</t>
        </is>
      </c>
      <c r="CL1110"/>
      <c r="CM1110"/>
    </row>
    <row r="1111" ht="25.5" customHeight="1">
      <c r="A1111" t="inlineStr">
        <is>
          <t>4305248</t>
        </is>
      </c>
      <c r="B1111" s="2"/>
      <c r="C1111"/>
      <c r="D1111" s="3">
        <v>46133.69762731482</v>
      </c>
      <c r="E1111" t="inlineStr">
        <is>
          <t>Q2-W03</t>
        </is>
      </c>
      <c r="F1111" t="inlineStr">
        <is>
          <t>Chia Yee</t>
        </is>
      </c>
      <c r="G1111" t="inlineStr">
        <is>
          <t>Lead</t>
        </is>
      </c>
      <c r="H1111" s="2" t="str">
        <f>=HYPERLINK("https://upbox.ajobthing.my/leads/4305248", "https://upbox.ajobthing.my/leads/4305248")</f>
        <v>https://upbox.ajobthing.my/leads/4305248</v>
      </c>
      <c r="I1111" t="inlineStr">
        <is>
          <t>Yasmin Jurumuda Sdn Bhd</t>
        </is>
      </c>
      <c r="J1111" t="inlineStr">
        <is>
          <t>Small Fish</t>
        </is>
      </c>
      <c r="K1111" t="inlineStr">
        <is>
          <t>Chia Yee</t>
        </is>
      </c>
      <c r="L1111" s="4"/>
      <c r="M1111" s="4">
        <v>46133.698842592596</v>
      </c>
      <c r="N1111"/>
      <c r="O1111">
        <v>1296</v>
      </c>
      <c r="P1111" s="4"/>
      <c r="Q1111" s="4"/>
      <c r="R1111"/>
      <c r="S1111"/>
      <c r="T1111" s="4"/>
      <c r="U1111" s="4"/>
      <c r="V1111"/>
      <c r="W1111"/>
      <c r="X1111"/>
      <c r="Y1111" t="inlineStr">
        <is>
          <t>Pending Appointment</t>
        </is>
      </c>
      <c r="Z1111" t="inlineStr">
        <is>
          <t>Hiring Now</t>
        </is>
      </c>
      <c r="AA1111">
        <v>1</v>
      </c>
      <c r="AB1111" t="inlineStr">
        <is>
          <t>No Appointment Made</t>
        </is>
      </c>
      <c r="AC1111"/>
      <c r="AD1111" t="inlineStr">
        <is>
          <t>1 Sales person</t>
        </is>
      </c>
      <c r="AE1111"/>
      <c r="AF1111">
        <v>0</v>
      </c>
      <c r="AG1111" s="4"/>
      <c r="AH1111" s="4"/>
      <c r="AI1111">
        <v>0</v>
      </c>
      <c r="AJ1111">
        <v>1</v>
      </c>
      <c r="AK1111" t="inlineStr">
        <is>
          <t>No, I don't need at all</t>
        </is>
      </c>
      <c r="AL1111">
        <v>1</v>
      </c>
      <c r="AM1111" t="inlineStr">
        <is>
          <t>No, I don't need at all</t>
        </is>
      </c>
      <c r="AN1111"/>
      <c r="AO1111" t="inlineStr">
        <is>
          <t>No, I don't need at all</t>
        </is>
      </c>
      <c r="AP1111" t="inlineStr">
        <is>
          <t>Once a year (25%)</t>
        </is>
      </c>
      <c r="AQ1111">
        <v>1</v>
      </c>
      <c r="AR1111" t="inlineStr">
        <is>
          <t>Did not use any job portal</t>
        </is>
      </c>
      <c r="AS1111" t="inlineStr">
        <is>
          <t>- Headcount: 1
- Hiring Job Details: 1 Sales person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1111">
        <v>115</v>
      </c>
      <c r="AU1111" t="inlineStr">
        <is>
          <t>1.15</t>
        </is>
      </c>
      <c r="AV1111" t="inlineStr">
        <is>
          <t>15</t>
        </is>
      </c>
      <c r="AW1111" t="inlineStr">
        <is>
          <t>0</t>
        </is>
      </c>
      <c r="AX1111" t="inlineStr">
        <is>
          <t>Not Qualified</t>
        </is>
      </c>
      <c r="AY1111" s="4"/>
      <c r="AZ1111"/>
      <c r="BA1111"/>
      <c r="BB1111"/>
      <c r="BC1111"/>
      <c r="BD1111" s="4"/>
      <c r="BE1111"/>
      <c r="BF1111"/>
      <c r="BG1111" t="inlineStr">
        <is>
          <t>Reschedule</t>
        </is>
      </c>
      <c r="BH1111" t="inlineStr">
        <is>
          <t>Reagen</t>
        </is>
      </c>
      <c r="BI1111"/>
      <c r="BJ1111" s="4">
        <v>46144.75587962963</v>
      </c>
      <c r="BK1111" s="4">
        <v>46132.583553240744</v>
      </c>
      <c r="BL1111" t="inlineStr">
        <is>
          <t>0.0</t>
        </is>
      </c>
      <c r="BM1111" t="inlineStr">
        <is>
          <t>0.0</t>
        </is>
      </c>
      <c r="BN1111"/>
      <c r="BO1111" s="4"/>
      <c r="BP1111">
        <v>168129</v>
      </c>
      <c r="BQ1111"/>
      <c r="BR1111"/>
      <c r="BS1111"/>
      <c r="BT1111"/>
      <c r="BU1111"/>
      <c r="BV1111"/>
      <c r="BW1111"/>
      <c r="BX1111"/>
      <c r="BY1111"/>
      <c r="BZ1111" s="4"/>
      <c r="CA1111"/>
      <c r="CB1111"/>
      <c r="CC1111" s="4"/>
      <c r="CD1111" t="inlineStr">
        <is>
          <t>20</t>
        </is>
      </c>
      <c r="CE1111" t="inlineStr">
        <is>
          <t>0</t>
        </is>
      </c>
      <c r="CF1111" t="inlineStr">
        <is>
          <t>Q2-W03</t>
        </is>
      </c>
      <c r="CG1111"/>
      <c r="CH1111"/>
      <c r="CI1111"/>
      <c r="CJ1111" t="inlineStr">
        <is>
          <t>No Paid</t>
        </is>
      </c>
      <c r="CK1111" t="inlineStr">
        <is>
          <t>Not Eligible</t>
        </is>
      </c>
      <c r="CL1111"/>
      <c r="CM1111"/>
    </row>
    <row r="1112" ht="25.5" customHeight="1">
      <c r="A1112" t="inlineStr">
        <is>
          <t>148311</t>
        </is>
      </c>
      <c r="B1112" s="2"/>
      <c r="C1112"/>
      <c r="D1112" s="3">
        <v>46133.6990625</v>
      </c>
      <c r="E1112" t="inlineStr">
        <is>
          <t>Q2-W03</t>
        </is>
      </c>
      <c r="F1112" t="inlineStr">
        <is>
          <t>Jia Hui</t>
        </is>
      </c>
      <c r="G1112" t="inlineStr">
        <is>
          <t>Customer</t>
        </is>
      </c>
      <c r="H1112" s="2" t="str">
        <f>=HYPERLINK("https://upbox.ajobthing.my/customer/148311", "https://upbox.ajobthing.my/customer/148311")</f>
        <v>https://upbox.ajobthing.my/customer/148311</v>
      </c>
      <c r="I1112" t="inlineStr">
        <is>
          <t>Sbt Software Solutions</t>
        </is>
      </c>
      <c r="J1112" t="inlineStr">
        <is>
          <t>Small Fish</t>
        </is>
      </c>
      <c r="K1112" t="inlineStr">
        <is>
          <t>Jia Hui</t>
        </is>
      </c>
      <c r="L1112" s="4"/>
      <c r="M1112" s="4">
        <v>46133.69913194444</v>
      </c>
      <c r="N1112"/>
      <c r="O1112">
        <v>1296</v>
      </c>
      <c r="P1112" s="4"/>
      <c r="Q1112" s="4"/>
      <c r="R1112"/>
      <c r="S1112"/>
      <c r="T1112" s="4"/>
      <c r="U1112" s="4"/>
      <c r="V1112"/>
      <c r="W1112"/>
      <c r="X1112"/>
      <c r="Y1112" t="inlineStr">
        <is>
          <t>Pending Appointment</t>
        </is>
      </c>
      <c r="Z1112" t="inlineStr">
        <is>
          <t>Hiring Now</t>
        </is>
      </c>
      <c r="AA1112">
        <v>2</v>
      </c>
      <c r="AB1112" t="inlineStr">
        <is>
          <t>No Appointment Made</t>
        </is>
      </c>
      <c r="AC1112"/>
      <c r="AD1112" t="inlineStr">
        <is>
          <t>1 mobile app developer, 1 system support</t>
        </is>
      </c>
      <c r="AE1112"/>
      <c r="AF1112">
        <v>500</v>
      </c>
      <c r="AG1112" s="4"/>
      <c r="AH1112" s="4"/>
      <c r="AI1112"/>
      <c r="AJ1112"/>
      <c r="AK1112" t="inlineStr">
        <is>
          <t>No, but I want in future</t>
        </is>
      </c>
      <c r="AL1112"/>
      <c r="AM1112"/>
      <c r="AN1112"/>
      <c r="AO1112"/>
      <c r="AP1112" t="inlineStr">
        <is>
          <t>Once a year (25%)</t>
        </is>
      </c>
      <c r="AQ1112"/>
      <c r="AR1112"/>
      <c r="AS1112" t="inlineStr">
        <is>
          <t>- Headcount: 2
- Hiring Job Details: 1 mobile app developer, 1 system support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is>
      </c>
      <c r="AT1112">
        <v>75</v>
      </c>
      <c r="AU1112" t="inlineStr">
        <is>
          <t>0.75</t>
        </is>
      </c>
      <c r="AV1112" t="inlineStr">
        <is>
          <t>15</t>
        </is>
      </c>
      <c r="AW1112" t="inlineStr">
        <is>
          <t>0</t>
        </is>
      </c>
      <c r="AX1112" t="inlineStr">
        <is>
          <t>Not Qualified</t>
        </is>
      </c>
      <c r="AY1112" s="4"/>
      <c r="AZ1112"/>
      <c r="BA1112"/>
      <c r="BB1112"/>
      <c r="BC1112" t="inlineStr">
        <is>
          <t>pending decision from boss, no feedback yet</t>
        </is>
      </c>
      <c r="BD1112" s="4">
        <v>46141.61854166666</v>
      </c>
      <c r="BE1112"/>
      <c r="BF1112"/>
      <c r="BG1112" t="inlineStr">
        <is>
          <t>Reschedule</t>
        </is>
      </c>
      <c r="BH1112" t="inlineStr">
        <is>
          <t>Reagen</t>
        </is>
      </c>
      <c r="BI1112"/>
      <c r="BJ1112" s="4">
        <v>46144.75079861111</v>
      </c>
      <c r="BK1112" s="4">
        <v>44603.64034722222</v>
      </c>
      <c r="BL1112" t="inlineStr">
        <is>
          <t>0.0</t>
        </is>
      </c>
      <c r="BM1112" t="inlineStr">
        <is>
          <t>0.0</t>
        </is>
      </c>
      <c r="BN1112" t="inlineStr">
        <is>
          <t>View Company Page</t>
        </is>
      </c>
      <c r="BO1112" s="4">
        <v>46133.69572916667</v>
      </c>
      <c r="BP1112">
        <v>168130</v>
      </c>
      <c r="BQ1112"/>
      <c r="BR1112"/>
      <c r="BS1112"/>
      <c r="BT1112"/>
      <c r="BU1112"/>
      <c r="BV1112">
        <v>2735428</v>
      </c>
      <c r="BW1112" t="inlineStr">
        <is>
          <t>Follow Up : Decision Pending</t>
        </is>
      </c>
      <c r="BX1112"/>
      <c r="BY1112"/>
      <c r="BZ1112" s="4"/>
      <c r="CA1112"/>
      <c r="CB1112"/>
      <c r="CC1112" s="4"/>
      <c r="CD1112" t="inlineStr">
        <is>
          <t>20</t>
        </is>
      </c>
      <c r="CE1112" t="inlineStr">
        <is>
          <t>0</t>
        </is>
      </c>
      <c r="CF1112" t="inlineStr">
        <is>
          <t>Q2-W03</t>
        </is>
      </c>
      <c r="CG1112"/>
      <c r="CH1112"/>
      <c r="CI1112"/>
      <c r="CJ1112" t="inlineStr">
        <is>
          <t>No Paid</t>
        </is>
      </c>
      <c r="CK1112" t="inlineStr">
        <is>
          <t>Not Eligible</t>
        </is>
      </c>
      <c r="CL1112"/>
      <c r="CM1112"/>
    </row>
    <row r="1113" ht="25.5" customHeight="1">
      <c r="A1113" t="inlineStr">
        <is>
          <t>38566</t>
        </is>
      </c>
      <c r="B1113" s="2"/>
      <c r="C1113"/>
      <c r="D1113" s="3">
        <v>46133.70099537037</v>
      </c>
      <c r="E1113" t="inlineStr">
        <is>
          <t>Q2-W03</t>
        </is>
      </c>
      <c r="F1113" t="inlineStr">
        <is>
          <t>Jeff Lee</t>
        </is>
      </c>
      <c r="G1113" t="inlineStr">
        <is>
          <t>Customer</t>
        </is>
      </c>
      <c r="H1113" s="2" t="str">
        <f>=HYPERLINK("https://upbox.ajobthing.my/customer/38566", "https://upbox.ajobthing.my/customer/38566")</f>
        <v>https://upbox.ajobthing.my/customer/38566</v>
      </c>
      <c r="I1113" t="inlineStr">
        <is>
          <t>Ritz Hill Consolidated Sdn Bhd</t>
        </is>
      </c>
      <c r="J1113" t="inlineStr">
        <is>
          <t>Small Fish</t>
        </is>
      </c>
      <c r="K1113" t="inlineStr">
        <is>
          <t>Jeff Lee</t>
        </is>
      </c>
      <c r="L1113" s="4"/>
      <c r="M1113" s="4">
        <v>46133.69834490741</v>
      </c>
      <c r="N1113"/>
      <c r="O1113">
        <v>3888</v>
      </c>
      <c r="P1113" s="4"/>
      <c r="Q1113" s="4">
        <v>45268.67009259259</v>
      </c>
      <c r="R1113"/>
      <c r="S1113">
        <v>954</v>
      </c>
      <c r="T1113" s="4">
        <v>45268.67009259259</v>
      </c>
      <c r="U1113" s="4"/>
      <c r="V1113"/>
      <c r="W1113">
        <v>954</v>
      </c>
      <c r="X1113"/>
      <c r="Y1113" t="inlineStr">
        <is>
          <t>Pending Appointment</t>
        </is>
      </c>
      <c r="Z1113" t="inlineStr">
        <is>
          <t>Hiring Now</t>
        </is>
      </c>
      <c r="AA1113">
        <v>1</v>
      </c>
      <c r="AB1113" t="inlineStr">
        <is>
          <t>No Appointment Made</t>
        </is>
      </c>
      <c r="AC1113"/>
      <c r="AD1113" t="inlineStr">
        <is>
          <t>1 Driver</t>
        </is>
      </c>
      <c r="AE1113"/>
      <c r="AF1113">
        <v>0</v>
      </c>
      <c r="AG1113" s="4"/>
      <c r="AH1113" s="4"/>
      <c r="AI1113">
        <v>0</v>
      </c>
      <c r="AJ1113">
        <v>0</v>
      </c>
      <c r="AK1113" t="inlineStr">
        <is>
          <t>No, I don't need at all</t>
        </is>
      </c>
      <c r="AL1113">
        <v>0</v>
      </c>
      <c r="AM1113" t="inlineStr">
        <is>
          <t>No, I don't need at all</t>
        </is>
      </c>
      <c r="AN1113"/>
      <c r="AO1113" t="inlineStr">
        <is>
          <t>No, I don't need at all</t>
        </is>
      </c>
      <c r="AP1113" t="inlineStr">
        <is>
          <t>Once a year (25%)</t>
        </is>
      </c>
      <c r="AQ1113">
        <v>1</v>
      </c>
      <c r="AR1113" t="inlineStr">
        <is>
          <t>Did not use any job portal</t>
        </is>
      </c>
      <c r="AS1113" t="inlineStr">
        <is>
          <t>- Headcount: 1
- Hiring Job Details: 1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113">
        <v>110</v>
      </c>
      <c r="AU1113" t="inlineStr">
        <is>
          <t>1.10</t>
        </is>
      </c>
      <c r="AV1113" t="inlineStr">
        <is>
          <t>15</t>
        </is>
      </c>
      <c r="AW1113" t="inlineStr">
        <is>
          <t>0</t>
        </is>
      </c>
      <c r="AX1113" t="inlineStr">
        <is>
          <t>Not Qualified</t>
        </is>
      </c>
      <c r="AY1113" s="4"/>
      <c r="AZ1113"/>
      <c r="BA1113"/>
      <c r="BB1113"/>
      <c r="BC1113" t="inlineStr">
        <is>
          <t>pending</t>
        </is>
      </c>
      <c r="BD1113" s="4">
        <v>46140.44409722222</v>
      </c>
      <c r="BE1113" t="inlineStr">
        <is>
          <t>paid</t>
        </is>
      </c>
      <c r="BF1113"/>
      <c r="BG1113" t="inlineStr">
        <is>
          <t>Reschedule</t>
        </is>
      </c>
      <c r="BH1113" t="inlineStr">
        <is>
          <t>Yee Hang</t>
        </is>
      </c>
      <c r="BI1113" t="inlineStr">
        <is>
          <t>General / Wholesale Trading</t>
        </is>
      </c>
      <c r="BJ1113" s="4">
        <v>46144.75497685185</v>
      </c>
      <c r="BK1113" s="4">
        <v>42901.608923611115</v>
      </c>
      <c r="BL1113" t="inlineStr">
        <is>
          <t>0.0</t>
        </is>
      </c>
      <c r="BM1113" t="inlineStr">
        <is>
          <t>0.0</t>
        </is>
      </c>
      <c r="BN1113" t="inlineStr">
        <is>
          <t>User Visit(Logged In)</t>
        </is>
      </c>
      <c r="BO1113" s="4">
        <v>45317.701053240744</v>
      </c>
      <c r="BP1113">
        <v>168127</v>
      </c>
      <c r="BQ1113">
        <v>64429</v>
      </c>
      <c r="BR1113" t="inlineStr">
        <is>
          <t>Online</t>
        </is>
      </c>
      <c r="BS1113"/>
      <c r="BT1113">
        <v>64429</v>
      </c>
      <c r="BU1113"/>
      <c r="BV1113">
        <v>2731895</v>
      </c>
      <c r="BW1113" t="inlineStr">
        <is>
          <t>Follow Up : Decision Pending</t>
        </is>
      </c>
      <c r="BX1113"/>
      <c r="BY1113"/>
      <c r="BZ1113" s="4"/>
      <c r="CA1113"/>
      <c r="CB1113"/>
      <c r="CC1113" s="4"/>
      <c r="CD1113" t="inlineStr">
        <is>
          <t>20</t>
        </is>
      </c>
      <c r="CE1113" t="inlineStr">
        <is>
          <t>0</t>
        </is>
      </c>
      <c r="CF1113" t="inlineStr">
        <is>
          <t>Q2-W03</t>
        </is>
      </c>
      <c r="CG1113"/>
      <c r="CH1113"/>
      <c r="CI1113"/>
      <c r="CJ1113" t="inlineStr">
        <is>
          <t>Paid</t>
        </is>
      </c>
      <c r="CK1113" t="inlineStr">
        <is>
          <t>Not Eligible</t>
        </is>
      </c>
      <c r="CL1113"/>
      <c r="CM1113"/>
    </row>
    <row r="1114" ht="25.5" customHeight="1">
      <c r="A1114" t="inlineStr">
        <is>
          <t>168028</t>
        </is>
      </c>
      <c r="B1114" s="2"/>
      <c r="C1114"/>
      <c r="D1114" s="3">
        <v>46133.70407407408</v>
      </c>
      <c r="E1114" t="inlineStr">
        <is>
          <t>Q2-W03</t>
        </is>
      </c>
      <c r="F1114" t="inlineStr">
        <is>
          <t>Janice Yap</t>
        </is>
      </c>
      <c r="G1114" t="inlineStr">
        <is>
          <t>Customer</t>
        </is>
      </c>
      <c r="H1114" s="2" t="str">
        <f>=HYPERLINK("https://upbox.ajobthing.my/customer/168028", "https://upbox.ajobthing.my/customer/168028")</f>
        <v>https://upbox.ajobthing.my/customer/168028</v>
      </c>
      <c r="I1114" t="inlineStr">
        <is>
          <t>Dyslexia Genius Malaysia</t>
        </is>
      </c>
      <c r="J1114" t="inlineStr">
        <is>
          <t>Small Fish</t>
        </is>
      </c>
      <c r="K1114" t="inlineStr">
        <is>
          <t>Janice</t>
        </is>
      </c>
      <c r="L1114" s="4"/>
      <c r="M1114" s="4">
        <v>46133.70111111111</v>
      </c>
      <c r="N1114"/>
      <c r="O1114">
        <v>3888</v>
      </c>
      <c r="P1114" s="4"/>
      <c r="Q1114" s="4"/>
      <c r="R1114"/>
      <c r="S1114"/>
      <c r="T1114" s="4"/>
      <c r="U1114" s="4"/>
      <c r="V1114"/>
      <c r="W1114"/>
      <c r="X1114"/>
      <c r="Y1114" t="inlineStr">
        <is>
          <t>Pending Appointment</t>
        </is>
      </c>
      <c r="Z1114" t="inlineStr">
        <is>
          <t>Hiring Now</t>
        </is>
      </c>
      <c r="AA1114">
        <v>2</v>
      </c>
      <c r="AB1114" t="inlineStr">
        <is>
          <t>No Appointment Made</t>
        </is>
      </c>
      <c r="AC1114"/>
      <c r="AD1114" t="inlineStr">
        <is>
          <t xml:space="preserve">2 specialist teacher </t>
        </is>
      </c>
      <c r="AE1114"/>
      <c r="AF1114">
        <v>0</v>
      </c>
      <c r="AG1114" s="4"/>
      <c r="AH1114" s="4"/>
      <c r="AI1114">
        <v>0</v>
      </c>
      <c r="AJ1114"/>
      <c r="AK1114" t="inlineStr">
        <is>
          <t>No, I don't need at all</t>
        </is>
      </c>
      <c r="AL1114">
        <v>0</v>
      </c>
      <c r="AM1114" t="inlineStr">
        <is>
          <t>No, I don't need at all</t>
        </is>
      </c>
      <c r="AN1114"/>
      <c r="AO1114" t="inlineStr">
        <is>
          <t>No, I don't need at all</t>
        </is>
      </c>
      <c r="AP1114" t="inlineStr">
        <is>
          <t>Once a year (25%)</t>
        </is>
      </c>
      <c r="AQ1114">
        <v>2</v>
      </c>
      <c r="AR1114" t="inlineStr">
        <is>
          <t>Did not use any job portal</t>
        </is>
      </c>
      <c r="AS1114" t="inlineStr">
        <is>
          <t>- Headcount: 2
- Hiring Job Details: 2 specialist teacher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114">
        <v>110</v>
      </c>
      <c r="AU1114" t="inlineStr">
        <is>
          <t>1.10</t>
        </is>
      </c>
      <c r="AV1114" t="inlineStr">
        <is>
          <t>15</t>
        </is>
      </c>
      <c r="AW1114" t="inlineStr">
        <is>
          <t>0</t>
        </is>
      </c>
      <c r="AX1114" t="inlineStr">
        <is>
          <t>Not Qualified</t>
        </is>
      </c>
      <c r="AY1114" s="4"/>
      <c r="AZ1114"/>
      <c r="BA1114"/>
      <c r="BB1114"/>
      <c r="BC1114" t="inlineStr">
        <is>
          <t>No answer // WA sent</t>
        </is>
      </c>
      <c r="BD1114" s="4">
        <v>46139.63097222222</v>
      </c>
      <c r="BE1114"/>
      <c r="BF1114"/>
      <c r="BG1114" t="inlineStr">
        <is>
          <t>Reschedule</t>
        </is>
      </c>
      <c r="BH1114" t="inlineStr">
        <is>
          <t>Yee Hang</t>
        </is>
      </c>
      <c r="BI1114" t="inlineStr">
        <is>
          <t>Education / Training</t>
        </is>
      </c>
      <c r="BJ1114" s="4">
        <v>46144.75134259259</v>
      </c>
      <c r="BK1114" s="4">
        <v>45090.63657407407</v>
      </c>
      <c r="BL1114" t="inlineStr">
        <is>
          <t>0.0</t>
        </is>
      </c>
      <c r="BM1114" t="inlineStr">
        <is>
          <t>0.0</t>
        </is>
      </c>
      <c r="BN1114" t="inlineStr">
        <is>
          <t>View Company Page</t>
        </is>
      </c>
      <c r="BO1114" s="4">
        <v>45911.81180555555</v>
      </c>
      <c r="BP1114">
        <v>168131</v>
      </c>
      <c r="BQ1114"/>
      <c r="BR1114"/>
      <c r="BS1114"/>
      <c r="BT1114"/>
      <c r="BU1114"/>
      <c r="BV1114">
        <v>2730171</v>
      </c>
      <c r="BW1114" t="inlineStr">
        <is>
          <t>No Answer : Voicemail - WA sent to customer</t>
        </is>
      </c>
      <c r="BX1114"/>
      <c r="BY1114"/>
      <c r="BZ1114" s="4"/>
      <c r="CA1114"/>
      <c r="CB1114"/>
      <c r="CC1114" s="4"/>
      <c r="CD1114" t="inlineStr">
        <is>
          <t>20</t>
        </is>
      </c>
      <c r="CE1114" t="inlineStr">
        <is>
          <t>0</t>
        </is>
      </c>
      <c r="CF1114" t="inlineStr">
        <is>
          <t>Q2-W03</t>
        </is>
      </c>
      <c r="CG1114"/>
      <c r="CH1114"/>
      <c r="CI1114"/>
      <c r="CJ1114" t="inlineStr">
        <is>
          <t>No Paid</t>
        </is>
      </c>
      <c r="CK1114" t="inlineStr">
        <is>
          <t>Not Eligible</t>
        </is>
      </c>
      <c r="CL1114"/>
      <c r="CM1114"/>
    </row>
    <row r="1115" ht="25.5" customHeight="1">
      <c r="A1115" t="inlineStr">
        <is>
          <t>4309519</t>
        </is>
      </c>
      <c r="B1115" s="2"/>
      <c r="C1115"/>
      <c r="D1115" s="3">
        <v>46133.71356481482</v>
      </c>
      <c r="E1115" t="inlineStr">
        <is>
          <t>Q2-W03</t>
        </is>
      </c>
      <c r="F1115" t="inlineStr">
        <is>
          <t>Angel  Low</t>
        </is>
      </c>
      <c r="G1115" t="inlineStr">
        <is>
          <t>Lead</t>
        </is>
      </c>
      <c r="H1115" s="2" t="str">
        <f>=HYPERLINK("https://upbox.ajobthing.my/leads/4309519", "https://upbox.ajobthing.my/leads/4309519")</f>
        <v>https://upbox.ajobthing.my/leads/4309519</v>
      </c>
      <c r="I1115" t="inlineStr">
        <is>
          <t>Syarikat Khoon Seng Trading</t>
        </is>
      </c>
      <c r="J1115" t="inlineStr">
        <is>
          <t>Small Fish</t>
        </is>
      </c>
      <c r="K1115" t="inlineStr">
        <is>
          <t>Angel Low</t>
        </is>
      </c>
      <c r="L1115" s="4"/>
      <c r="M1115" s="4">
        <v>46133.714525462965</v>
      </c>
      <c r="N1115"/>
      <c r="O1115">
        <v>3672</v>
      </c>
      <c r="P1115" s="4"/>
      <c r="Q1115" s="4"/>
      <c r="R1115"/>
      <c r="S1115"/>
      <c r="T1115" s="4"/>
      <c r="U1115" s="4"/>
      <c r="V1115"/>
      <c r="W1115"/>
      <c r="X1115"/>
      <c r="Y1115" t="inlineStr">
        <is>
          <t>Pending Appointment</t>
        </is>
      </c>
      <c r="Z1115"/>
      <c r="AA1115">
        <v>1</v>
      </c>
      <c r="AB1115" t="inlineStr">
        <is>
          <t>No Appointment Made</t>
        </is>
      </c>
      <c r="AC1115"/>
      <c r="AD1115" t="inlineStr">
        <is>
          <t xml:space="preserve">1 account mandarin speaker </t>
        </is>
      </c>
      <c r="AE1115"/>
      <c r="AF1115"/>
      <c r="AG1115" s="4"/>
      <c r="AH1115" s="4"/>
      <c r="AI1115"/>
      <c r="AJ1115"/>
      <c r="AK1115"/>
      <c r="AL1115"/>
      <c r="AM1115"/>
      <c r="AN1115"/>
      <c r="AO1115"/>
      <c r="AP1115"/>
      <c r="AQ1115"/>
      <c r="AR1115"/>
      <c r="AS1115" t="inlineStr">
        <is>
          <t>- Headcount: 1
- Hiring Job Details: 1 account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115">
        <v>65</v>
      </c>
      <c r="AU1115" t="inlineStr">
        <is>
          <t>0.65</t>
        </is>
      </c>
      <c r="AV1115" t="inlineStr">
        <is>
          <t>5</t>
        </is>
      </c>
      <c r="AW1115" t="inlineStr">
        <is>
          <t>0</t>
        </is>
      </c>
      <c r="AX1115" t="inlineStr">
        <is>
          <t>Not Qualified</t>
        </is>
      </c>
      <c r="AY1115" s="4"/>
      <c r="AZ1115"/>
      <c r="BA1115"/>
      <c r="BB1115"/>
      <c r="BC1115"/>
      <c r="BD1115" s="4"/>
      <c r="BE1115"/>
      <c r="BF1115"/>
      <c r="BG1115" t="inlineStr">
        <is>
          <t>Reschedule</t>
        </is>
      </c>
      <c r="BH1115" t="inlineStr">
        <is>
          <t>Fauziah Maharan</t>
        </is>
      </c>
      <c r="BI1115"/>
      <c r="BJ1115" s="4">
        <v>46144.75587962963</v>
      </c>
      <c r="BK1115" s="4">
        <v>46133.57298611111</v>
      </c>
      <c r="BL1115" t="inlineStr">
        <is>
          <t>0.0</t>
        </is>
      </c>
      <c r="BM1115" t="inlineStr">
        <is>
          <t>0.0</t>
        </is>
      </c>
      <c r="BN1115"/>
      <c r="BO1115" s="4"/>
      <c r="BP1115">
        <v>168137</v>
      </c>
      <c r="BQ1115"/>
      <c r="BR1115"/>
      <c r="BS1115"/>
      <c r="BT1115"/>
      <c r="BU1115"/>
      <c r="BV1115"/>
      <c r="BW1115"/>
      <c r="BX1115"/>
      <c r="BY1115"/>
      <c r="BZ1115" s="4"/>
      <c r="CA1115"/>
      <c r="CB1115"/>
      <c r="CC1115" s="4"/>
      <c r="CD1115" t="inlineStr">
        <is>
          <t>5</t>
        </is>
      </c>
      <c r="CE1115" t="inlineStr">
        <is>
          <t>0</t>
        </is>
      </c>
      <c r="CF1115" t="inlineStr">
        <is>
          <t>Q2-W03</t>
        </is>
      </c>
      <c r="CG1115"/>
      <c r="CH1115"/>
      <c r="CI1115"/>
      <c r="CJ1115" t="inlineStr">
        <is>
          <t>No Paid</t>
        </is>
      </c>
      <c r="CK1115" t="inlineStr">
        <is>
          <t>Not Eligible</t>
        </is>
      </c>
      <c r="CL1115"/>
      <c r="CM1115"/>
    </row>
    <row r="1116" ht="25.5" customHeight="1">
      <c r="A1116" t="inlineStr">
        <is>
          <t>203494</t>
        </is>
      </c>
      <c r="B1116" s="2"/>
      <c r="C1116"/>
      <c r="D1116" s="3">
        <v>46133.71775462963</v>
      </c>
      <c r="E1116" t="inlineStr">
        <is>
          <t>Q2-W03</t>
        </is>
      </c>
      <c r="F1116" t="inlineStr">
        <is>
          <t>Janice Yap</t>
        </is>
      </c>
      <c r="G1116" t="inlineStr">
        <is>
          <t>Customer</t>
        </is>
      </c>
      <c r="H1116" s="2" t="str">
        <f>=HYPERLINK("https://upbox.ajobthing.my/customer/203494", "https://upbox.ajobthing.my/customer/203494")</f>
        <v>https://upbox.ajobthing.my/customer/203494</v>
      </c>
      <c r="I1116" t="inlineStr">
        <is>
          <t>Td Well (borneo) Sdn Bhd</t>
        </is>
      </c>
      <c r="J1116" t="inlineStr">
        <is>
          <t>Small Fish</t>
        </is>
      </c>
      <c r="K1116" t="inlineStr">
        <is>
          <t>Janice</t>
        </is>
      </c>
      <c r="L1116" s="4"/>
      <c r="M1116" s="4">
        <v>46133.71255787037</v>
      </c>
      <c r="N1116"/>
      <c r="O1116">
        <v>3888</v>
      </c>
      <c r="P1116" s="4"/>
      <c r="Q1116" s="4"/>
      <c r="R1116"/>
      <c r="S1116"/>
      <c r="T1116" s="4"/>
      <c r="U1116" s="4"/>
      <c r="V1116"/>
      <c r="W1116"/>
      <c r="X1116"/>
      <c r="Y1116" t="inlineStr">
        <is>
          <t>Pending Appointment</t>
        </is>
      </c>
      <c r="Z1116" t="inlineStr">
        <is>
          <t>Hiring Now</t>
        </is>
      </c>
      <c r="AA1116">
        <v>1</v>
      </c>
      <c r="AB1116" t="inlineStr">
        <is>
          <t>No Appointment Made</t>
        </is>
      </c>
      <c r="AC1116"/>
      <c r="AD1116" t="inlineStr">
        <is>
          <t>Product Specialist (Orthopedic)</t>
        </is>
      </c>
      <c r="AE1116"/>
      <c r="AF1116">
        <v>0</v>
      </c>
      <c r="AG1116" s="4"/>
      <c r="AH1116" s="4"/>
      <c r="AI1116">
        <v>0</v>
      </c>
      <c r="AJ1116"/>
      <c r="AK1116" t="inlineStr">
        <is>
          <t>No, I don't need at all</t>
        </is>
      </c>
      <c r="AL1116">
        <v>0</v>
      </c>
      <c r="AM1116" t="inlineStr">
        <is>
          <t>No, I don't need at all</t>
        </is>
      </c>
      <c r="AN1116"/>
      <c r="AO1116" t="inlineStr">
        <is>
          <t>No, I don't need at all</t>
        </is>
      </c>
      <c r="AP1116" t="inlineStr">
        <is>
          <t>Once a year (25%)</t>
        </is>
      </c>
      <c r="AQ1116">
        <v>1</v>
      </c>
      <c r="AR1116"/>
      <c r="AS1116" t="inlineStr">
        <is>
          <t>- Headcount: 1
- Hiring Job Details: Product Specialist (Orthopedic)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None</t>
        </is>
      </c>
      <c r="AT1116">
        <v>95</v>
      </c>
      <c r="AU1116" t="inlineStr">
        <is>
          <t>0.95</t>
        </is>
      </c>
      <c r="AV1116" t="inlineStr">
        <is>
          <t>15</t>
        </is>
      </c>
      <c r="AW1116" t="inlineStr">
        <is>
          <t>0</t>
        </is>
      </c>
      <c r="AX1116" t="inlineStr">
        <is>
          <t>Not Qualified</t>
        </is>
      </c>
      <c r="AY1116" s="4"/>
      <c r="AZ1116"/>
      <c r="BA1116"/>
      <c r="BB1116"/>
      <c r="BC1116" t="inlineStr">
        <is>
          <t>No need topost job ady // found candidates from internal</t>
        </is>
      </c>
      <c r="BD1116" s="4">
        <v>46141.65148148148</v>
      </c>
      <c r="BE1116"/>
      <c r="BF1116"/>
      <c r="BG1116" t="inlineStr">
        <is>
          <t>Reschedule</t>
        </is>
      </c>
      <c r="BH1116" t="inlineStr">
        <is>
          <t>Yee Hang</t>
        </is>
      </c>
      <c r="BI1116" t="inlineStr">
        <is>
          <t>Healthcare / Medical</t>
        </is>
      </c>
      <c r="BJ1116" s="4">
        <v>46144.754328703704</v>
      </c>
      <c r="BK1116" s="4">
        <v>46133.696851851855</v>
      </c>
      <c r="BL1116" t="inlineStr">
        <is>
          <t>0.0</t>
        </is>
      </c>
      <c r="BM1116" t="inlineStr">
        <is>
          <t>600.0</t>
        </is>
      </c>
      <c r="BN1116" t="inlineStr">
        <is>
          <t>Jobmanager Page : filled</t>
        </is>
      </c>
      <c r="BO1116" s="4">
        <v>46141.368796296294</v>
      </c>
      <c r="BP1116">
        <v>168135</v>
      </c>
      <c r="BQ1116"/>
      <c r="BR1116"/>
      <c r="BS1116"/>
      <c r="BT1116"/>
      <c r="BU1116"/>
      <c r="BV1116">
        <v>2735673</v>
      </c>
      <c r="BW1116" t="inlineStr">
        <is>
          <t>Follow Up : Lost - Free Portal</t>
        </is>
      </c>
      <c r="BX1116"/>
      <c r="BY1116"/>
      <c r="BZ1116" s="4"/>
      <c r="CA1116"/>
      <c r="CB1116"/>
      <c r="CC1116" s="4"/>
      <c r="CD1116" t="inlineStr">
        <is>
          <t>20</t>
        </is>
      </c>
      <c r="CE1116" t="inlineStr">
        <is>
          <t>0</t>
        </is>
      </c>
      <c r="CF1116" t="inlineStr">
        <is>
          <t>Q2-W03</t>
        </is>
      </c>
      <c r="CG1116"/>
      <c r="CH1116"/>
      <c r="CI1116"/>
      <c r="CJ1116" t="inlineStr">
        <is>
          <t>No Paid</t>
        </is>
      </c>
      <c r="CK1116" t="inlineStr">
        <is>
          <t>Not Eligible</t>
        </is>
      </c>
      <c r="CL1116"/>
      <c r="CM1116"/>
    </row>
    <row r="1117" ht="25.5" customHeight="1">
      <c r="A1117" t="inlineStr">
        <is>
          <t>200697</t>
        </is>
      </c>
      <c r="B1117" s="2"/>
      <c r="C1117"/>
      <c r="D1117" s="3">
        <v>46133.718125</v>
      </c>
      <c r="E1117" t="inlineStr">
        <is>
          <t>Q2-W03</t>
        </is>
      </c>
      <c r="F1117" t="inlineStr">
        <is>
          <t>Chia Yee</t>
        </is>
      </c>
      <c r="G1117" t="inlineStr">
        <is>
          <t>Customer</t>
        </is>
      </c>
      <c r="H1117" s="2" t="str">
        <f>=HYPERLINK("https://upbox.ajobthing.my/customer/200697", "https://upbox.ajobthing.my/customer/200697")</f>
        <v>https://upbox.ajobthing.my/customer/200697</v>
      </c>
      <c r="I1117" t="inlineStr">
        <is>
          <t>Home Link Physio &amp; Rehab</t>
        </is>
      </c>
      <c r="J1117" t="inlineStr">
        <is>
          <t>Small Fish</t>
        </is>
      </c>
      <c r="K1117" t="inlineStr">
        <is>
          <t>Chia Yee</t>
        </is>
      </c>
      <c r="L1117" s="4"/>
      <c r="M1117" s="4">
        <v>46133.718298611115</v>
      </c>
      <c r="N1117"/>
      <c r="O1117">
        <v>3888</v>
      </c>
      <c r="P1117" s="4"/>
      <c r="Q1117" s="4">
        <v>46141.459178240744</v>
      </c>
      <c r="R1117"/>
      <c r="S1117">
        <v>1296</v>
      </c>
      <c r="T1117" s="4"/>
      <c r="U1117" s="4"/>
      <c r="V1117"/>
      <c r="W1117"/>
      <c r="X1117"/>
      <c r="Y1117" t="inlineStr">
        <is>
          <t>Pending Appointment</t>
        </is>
      </c>
      <c r="Z1117" t="inlineStr">
        <is>
          <t>Hiring Now</t>
        </is>
      </c>
      <c r="AA1117">
        <v>2</v>
      </c>
      <c r="AB1117" t="inlineStr">
        <is>
          <t>No Appointment Made</t>
        </is>
      </c>
      <c r="AC1117"/>
      <c r="AD1117" t="inlineStr">
        <is>
          <t>2 Physiotherapist</t>
        </is>
      </c>
      <c r="AE1117"/>
      <c r="AF1117">
        <v>0</v>
      </c>
      <c r="AG1117" s="4"/>
      <c r="AH1117" s="4"/>
      <c r="AI1117">
        <v>0</v>
      </c>
      <c r="AJ1117">
        <v>1</v>
      </c>
      <c r="AK1117" t="inlineStr">
        <is>
          <t>No, I don't need at all</t>
        </is>
      </c>
      <c r="AL1117">
        <v>1</v>
      </c>
      <c r="AM1117" t="inlineStr">
        <is>
          <t>No, I don't need at all</t>
        </is>
      </c>
      <c r="AN1117"/>
      <c r="AO1117" t="inlineStr">
        <is>
          <t>No, I don't need at all</t>
        </is>
      </c>
      <c r="AP1117" t="inlineStr">
        <is>
          <t>Once a year (25%)</t>
        </is>
      </c>
      <c r="AQ1117">
        <v>2</v>
      </c>
      <c r="AR1117" t="inlineStr">
        <is>
          <t>Did not use any job portal</t>
        </is>
      </c>
      <c r="AS1117" t="inlineStr">
        <is>
          <t>- Headcount: 2
- Hiring Job Details: 2 Physiotherapist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is>
      </c>
      <c r="AT1117">
        <v>110</v>
      </c>
      <c r="AU1117" t="inlineStr">
        <is>
          <t>1.10</t>
        </is>
      </c>
      <c r="AV1117" t="inlineStr">
        <is>
          <t>15</t>
        </is>
      </c>
      <c r="AW1117" t="inlineStr">
        <is>
          <t>0</t>
        </is>
      </c>
      <c r="AX1117" t="inlineStr">
        <is>
          <t>Not Qualified</t>
        </is>
      </c>
      <c r="AY1117" s="4"/>
      <c r="AZ1117"/>
      <c r="BA1117"/>
      <c r="BB1117"/>
      <c r="BC1117" t="inlineStr">
        <is>
          <t>invoice</t>
        </is>
      </c>
      <c r="BD1117" s="4">
        <v>46141.45989583333</v>
      </c>
      <c r="BE1117" t="inlineStr">
        <is>
          <t>pending</t>
        </is>
      </c>
      <c r="BF1117"/>
      <c r="BG1117" t="inlineStr">
        <is>
          <t>Reschedule</t>
        </is>
      </c>
      <c r="BH1117" t="inlineStr">
        <is>
          <t>Reagen</t>
        </is>
      </c>
      <c r="BI1117"/>
      <c r="BJ1117" s="4">
        <v>46144.75363425926</v>
      </c>
      <c r="BK1117" s="4">
        <v>46048.74103009259</v>
      </c>
      <c r="BL1117" t="inlineStr">
        <is>
          <t>0.0</t>
        </is>
      </c>
      <c r="BM1117" t="inlineStr">
        <is>
          <t>0.0</t>
        </is>
      </c>
      <c r="BN1117"/>
      <c r="BO1117" s="4"/>
      <c r="BP1117">
        <v>168139</v>
      </c>
      <c r="BQ1117">
        <v>124036</v>
      </c>
      <c r="BR1117" t="inlineStr">
        <is>
          <t>Proforma</t>
        </is>
      </c>
      <c r="BS1117" t="inlineStr">
        <is>
          <t>AI Ala Carte (Jan 26) Plus</t>
        </is>
      </c>
      <c r="BT1117"/>
      <c r="BU1117"/>
      <c r="BV1117">
        <v>2734596</v>
      </c>
      <c r="BW1117" t="inlineStr">
        <is>
          <t>Follow Up : Invoice Sent 75%</t>
        </is>
      </c>
      <c r="BX1117"/>
      <c r="BY1117"/>
      <c r="BZ1117" s="4"/>
      <c r="CA1117"/>
      <c r="CB1117"/>
      <c r="CC1117" s="4"/>
      <c r="CD1117" t="inlineStr">
        <is>
          <t>20</t>
        </is>
      </c>
      <c r="CE1117" t="inlineStr">
        <is>
          <t>0</t>
        </is>
      </c>
      <c r="CF1117" t="inlineStr">
        <is>
          <t>Q2-W03</t>
        </is>
      </c>
      <c r="CG1117" t="inlineStr">
        <is>
          <t>Q2-W04</t>
        </is>
      </c>
      <c r="CH1117"/>
      <c r="CI1117"/>
      <c r="CJ1117" t="inlineStr">
        <is>
          <t>No Paid</t>
        </is>
      </c>
      <c r="CK1117" t="inlineStr">
        <is>
          <t>Not Eligible</t>
        </is>
      </c>
      <c r="CL1117"/>
      <c r="CM1117"/>
    </row>
    <row r="1118" ht="25.5" customHeight="1">
      <c r="A1118" t="inlineStr">
        <is>
          <t>31495</t>
        </is>
      </c>
      <c r="B1118" s="2"/>
      <c r="C1118"/>
      <c r="D1118" s="3">
        <v>46133.72084490741</v>
      </c>
      <c r="E1118" t="inlineStr">
        <is>
          <t>Q2-W03</t>
        </is>
      </c>
      <c r="F1118" t="inlineStr">
        <is>
          <t>Angel  Low</t>
        </is>
      </c>
      <c r="G1118" t="inlineStr">
        <is>
          <t>Customer</t>
        </is>
      </c>
      <c r="H1118" s="2" t="str">
        <f>=HYPERLINK("https://upbox.ajobthing.my/customer/31495", "https://upbox.ajobthing.my/customer/31495")</f>
        <v>https://upbox.ajobthing.my/customer/31495</v>
      </c>
      <c r="I1118" t="inlineStr">
        <is>
          <t>Fernex Sdn Bhd</t>
        </is>
      </c>
      <c r="J1118" t="inlineStr">
        <is>
          <t>Small Fish</t>
        </is>
      </c>
      <c r="K1118" t="inlineStr">
        <is>
          <t>Angel Low</t>
        </is>
      </c>
      <c r="L1118" s="4"/>
      <c r="M1118" s="4">
        <v>46133.72105324074</v>
      </c>
      <c r="N1118"/>
      <c r="O1118">
        <v>3672</v>
      </c>
      <c r="P1118" s="4"/>
      <c r="Q1118" s="4"/>
      <c r="R1118"/>
      <c r="S1118"/>
      <c r="T1118" s="4"/>
      <c r="U1118" s="4"/>
      <c r="V1118"/>
      <c r="W1118"/>
      <c r="X1118"/>
      <c r="Y1118" t="inlineStr">
        <is>
          <t>Pending Appointment</t>
        </is>
      </c>
      <c r="Z1118"/>
      <c r="AA1118">
        <v>2</v>
      </c>
      <c r="AB1118" t="inlineStr">
        <is>
          <t>No Appointment Made</t>
        </is>
      </c>
      <c r="AC1118"/>
      <c r="AD1118" t="inlineStr">
        <is>
          <t>2 livehost partimer</t>
        </is>
      </c>
      <c r="AE1118"/>
      <c r="AF1118"/>
      <c r="AG1118" s="4"/>
      <c r="AH1118" s="4"/>
      <c r="AI1118"/>
      <c r="AJ1118"/>
      <c r="AK1118"/>
      <c r="AL1118"/>
      <c r="AM1118"/>
      <c r="AN1118"/>
      <c r="AO1118"/>
      <c r="AP1118"/>
      <c r="AQ1118"/>
      <c r="AR1118"/>
      <c r="AS1118" t="inlineStr">
        <is>
          <t>- Headcount: 2
- Hiring Job Details: 2 livehost partimer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118">
        <v>60</v>
      </c>
      <c r="AU1118" t="inlineStr">
        <is>
          <t>0.60</t>
        </is>
      </c>
      <c r="AV1118" t="inlineStr">
        <is>
          <t>5</t>
        </is>
      </c>
      <c r="AW1118" t="inlineStr">
        <is>
          <t>0</t>
        </is>
      </c>
      <c r="AX1118" t="inlineStr">
        <is>
          <t>Not Qualified</t>
        </is>
      </c>
      <c r="AY1118" s="4"/>
      <c r="AZ1118"/>
      <c r="BA1118"/>
      <c r="BB1118"/>
      <c r="BC1118" t="inlineStr">
        <is>
          <t>livehost urgent . new department</t>
        </is>
      </c>
      <c r="BD1118" s="4">
        <v>46133.722280092596</v>
      </c>
      <c r="BE1118"/>
      <c r="BF1118"/>
      <c r="BG1118" t="inlineStr">
        <is>
          <t>Reschedule</t>
        </is>
      </c>
      <c r="BH1118" t="inlineStr">
        <is>
          <t>Fauziah Maharan</t>
        </is>
      </c>
      <c r="BI1118"/>
      <c r="BJ1118" s="4">
        <v>46144.75454861111</v>
      </c>
      <c r="BK1118" s="4">
        <v>42696.69505787037</v>
      </c>
      <c r="BL1118" t="inlineStr">
        <is>
          <t>0.0</t>
        </is>
      </c>
      <c r="BM1118" t="inlineStr">
        <is>
          <t>0.0</t>
        </is>
      </c>
      <c r="BN1118" t="inlineStr">
        <is>
          <t>View Applicants</t>
        </is>
      </c>
      <c r="BO1118" s="4">
        <v>43283.48149305556</v>
      </c>
      <c r="BP1118">
        <v>168145</v>
      </c>
      <c r="BQ1118"/>
      <c r="BR1118"/>
      <c r="BS1118"/>
      <c r="BT1118"/>
      <c r="BU1118"/>
      <c r="BV1118">
        <v>2719049</v>
      </c>
      <c r="BW1118" t="inlineStr">
        <is>
          <t>Inquire for Hiring Needs : Quotation Sent 50%</t>
        </is>
      </c>
      <c r="BX1118"/>
      <c r="BY1118"/>
      <c r="BZ1118" s="4"/>
      <c r="CA1118"/>
      <c r="CB1118"/>
      <c r="CC1118" s="4"/>
      <c r="CD1118" t="inlineStr">
        <is>
          <t>5</t>
        </is>
      </c>
      <c r="CE1118" t="inlineStr">
        <is>
          <t>0</t>
        </is>
      </c>
      <c r="CF1118" t="inlineStr">
        <is>
          <t>Q2-W03</t>
        </is>
      </c>
      <c r="CG1118"/>
      <c r="CH1118"/>
      <c r="CI1118"/>
      <c r="CJ1118" t="inlineStr">
        <is>
          <t>No Paid</t>
        </is>
      </c>
      <c r="CK1118" t="inlineStr">
        <is>
          <t>Not Eligible</t>
        </is>
      </c>
      <c r="CL1118"/>
      <c r="CM1118"/>
    </row>
    <row r="1119" ht="25.5" customHeight="1">
      <c r="A1119" t="inlineStr">
        <is>
          <t>34550</t>
        </is>
      </c>
      <c r="B1119" s="2"/>
      <c r="C1119"/>
      <c r="D1119" s="3">
        <v>46133.72621527778</v>
      </c>
      <c r="E1119" t="inlineStr">
        <is>
          <t>Q2-W03</t>
        </is>
      </c>
      <c r="F1119" t="inlineStr">
        <is>
          <t>Jeff Lee</t>
        </is>
      </c>
      <c r="G1119" t="inlineStr">
        <is>
          <t>Customer</t>
        </is>
      </c>
      <c r="H1119" s="2" t="str">
        <f>=HYPERLINK("https://upbox.ajobthing.my/customer/34550", "https://upbox.ajobthing.my/customer/34550")</f>
        <v>https://upbox.ajobthing.my/customer/34550</v>
      </c>
      <c r="I1119" t="inlineStr">
        <is>
          <t>Sanyo Elevator Sdn. Bhd.</t>
        </is>
      </c>
      <c r="J1119" t="inlineStr">
        <is>
          <t>Small Fish</t>
        </is>
      </c>
      <c r="K1119" t="inlineStr">
        <is>
          <t>Jeff Lee</t>
        </is>
      </c>
      <c r="L1119" s="4"/>
      <c r="M1119" s="4">
        <v>46133.720034722224</v>
      </c>
      <c r="N1119"/>
      <c r="O1119">
        <v>3888</v>
      </c>
      <c r="P1119" s="4"/>
      <c r="Q1119" s="4">
        <v>45233.57732638889</v>
      </c>
      <c r="R1119"/>
      <c r="S1119">
        <v>636</v>
      </c>
      <c r="T1119" s="4">
        <v>45233.57732638889</v>
      </c>
      <c r="U1119" s="4"/>
      <c r="V1119"/>
      <c r="W1119">
        <v>636</v>
      </c>
      <c r="X1119"/>
      <c r="Y1119" t="inlineStr">
        <is>
          <t>Pending Appointment</t>
        </is>
      </c>
      <c r="Z1119" t="inlineStr">
        <is>
          <t>Hiring Now</t>
        </is>
      </c>
      <c r="AA1119">
        <v>1</v>
      </c>
      <c r="AB1119" t="inlineStr">
        <is>
          <t>No Appointment Made</t>
        </is>
      </c>
      <c r="AC1119"/>
      <c r="AD1119" t="inlineStr">
        <is>
          <t>1 Sales person</t>
        </is>
      </c>
      <c r="AE1119"/>
      <c r="AF1119">
        <v>0</v>
      </c>
      <c r="AG1119" s="4"/>
      <c r="AH1119" s="4"/>
      <c r="AI1119">
        <v>0</v>
      </c>
      <c r="AJ1119">
        <v>0</v>
      </c>
      <c r="AK1119" t="inlineStr">
        <is>
          <t>No, I don't need at all</t>
        </is>
      </c>
      <c r="AL1119">
        <v>0</v>
      </c>
      <c r="AM1119" t="inlineStr">
        <is>
          <t>No, I don't need at all</t>
        </is>
      </c>
      <c r="AN1119"/>
      <c r="AO1119" t="inlineStr">
        <is>
          <t>No, I don't need at all</t>
        </is>
      </c>
      <c r="AP1119" t="inlineStr">
        <is>
          <t>Once a year (25%)</t>
        </is>
      </c>
      <c r="AQ1119">
        <v>1</v>
      </c>
      <c r="AR1119" t="inlineStr">
        <is>
          <t>Indeed (Paid)</t>
        </is>
      </c>
      <c r="AS1119" t="inlineStr">
        <is>
          <t>- Headcount: 1
- Hiring Job Details: 1 Sales person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Indeed (Paid)</t>
        </is>
      </c>
      <c r="AT1119">
        <v>115</v>
      </c>
      <c r="AU1119" t="inlineStr">
        <is>
          <t>1.15</t>
        </is>
      </c>
      <c r="AV1119" t="inlineStr">
        <is>
          <t>15</t>
        </is>
      </c>
      <c r="AW1119" t="inlineStr">
        <is>
          <t>0</t>
        </is>
      </c>
      <c r="AX1119" t="inlineStr">
        <is>
          <t>Not Qualified</t>
        </is>
      </c>
      <c r="AY1119" s="4"/>
      <c r="AZ1119"/>
      <c r="BA1119"/>
      <c r="BB1119"/>
      <c r="BC1119" t="inlineStr">
        <is>
          <t>pending</t>
        </is>
      </c>
      <c r="BD1119" s="4">
        <v>46140.44241898148</v>
      </c>
      <c r="BE1119" t="inlineStr">
        <is>
          <t>paid</t>
        </is>
      </c>
      <c r="BF1119"/>
      <c r="BG1119" t="inlineStr">
        <is>
          <t>Reschedule</t>
        </is>
      </c>
      <c r="BH1119" t="inlineStr">
        <is>
          <t>Yee Hang</t>
        </is>
      </c>
      <c r="BI1119" t="inlineStr">
        <is>
          <t>Repair / Maintenance</t>
        </is>
      </c>
      <c r="BJ1119" s="4">
        <v>46144.754594907405</v>
      </c>
      <c r="BK1119" s="4">
        <v>42802.70862268518</v>
      </c>
      <c r="BL1119" t="inlineStr">
        <is>
          <t>0.0</t>
        </is>
      </c>
      <c r="BM1119" t="inlineStr">
        <is>
          <t>0.0</t>
        </is>
      </c>
      <c r="BN1119" t="inlineStr">
        <is>
          <t>View Company Page</t>
        </is>
      </c>
      <c r="BO1119" s="4">
        <v>45573.6694212963</v>
      </c>
      <c r="BP1119">
        <v>168144</v>
      </c>
      <c r="BQ1119">
        <v>63524</v>
      </c>
      <c r="BR1119" t="inlineStr">
        <is>
          <t>Online</t>
        </is>
      </c>
      <c r="BS1119"/>
      <c r="BT1119">
        <v>63524</v>
      </c>
      <c r="BU1119"/>
      <c r="BV1119">
        <v>2731883</v>
      </c>
      <c r="BW1119" t="inlineStr">
        <is>
          <t>Follow Up : Decision Pending</t>
        </is>
      </c>
      <c r="BX1119"/>
      <c r="BY1119"/>
      <c r="BZ1119" s="4"/>
      <c r="CA1119"/>
      <c r="CB1119"/>
      <c r="CC1119" s="4"/>
      <c r="CD1119" t="inlineStr">
        <is>
          <t>20</t>
        </is>
      </c>
      <c r="CE1119" t="inlineStr">
        <is>
          <t>0</t>
        </is>
      </c>
      <c r="CF1119" t="inlineStr">
        <is>
          <t>Q2-W03</t>
        </is>
      </c>
      <c r="CG1119"/>
      <c r="CH1119"/>
      <c r="CI1119"/>
      <c r="CJ1119" t="inlineStr">
        <is>
          <t>Paid</t>
        </is>
      </c>
      <c r="CK1119" t="inlineStr">
        <is>
          <t>Not Eligible</t>
        </is>
      </c>
      <c r="CL1119"/>
      <c r="CM1119"/>
    </row>
    <row r="1120" ht="25.5" customHeight="1">
      <c r="A1120" t="inlineStr">
        <is>
          <t>203492</t>
        </is>
      </c>
      <c r="B1120" s="2"/>
      <c r="C1120"/>
      <c r="D1120" s="3">
        <v>46133.73966435185</v>
      </c>
      <c r="E1120" t="inlineStr">
        <is>
          <t>Q2-W03</t>
        </is>
      </c>
      <c r="F1120" t="inlineStr">
        <is>
          <t>Jia Hui</t>
        </is>
      </c>
      <c r="G1120" t="inlineStr">
        <is>
          <t>Customer</t>
        </is>
      </c>
      <c r="H1120" s="2" t="str">
        <f>=HYPERLINK("https://upbox.ajobthing.my/customer/203492", "https://upbox.ajobthing.my/customer/203492")</f>
        <v>https://upbox.ajobthing.my/customer/203492</v>
      </c>
      <c r="I1120" t="inlineStr">
        <is>
          <t>Flint Foods (m) Sdn Bhd</t>
        </is>
      </c>
      <c r="J1120" t="inlineStr">
        <is>
          <t>Small Fish</t>
        </is>
      </c>
      <c r="K1120" t="inlineStr">
        <is>
          <t>Jia Hui</t>
        </is>
      </c>
      <c r="L1120" s="4"/>
      <c r="M1120" s="4">
        <v>46133.73979166667</v>
      </c>
      <c r="N1120"/>
      <c r="O1120">
        <v>6048</v>
      </c>
      <c r="P1120" s="4"/>
      <c r="Q1120" s="4"/>
      <c r="R1120"/>
      <c r="S1120"/>
      <c r="T1120" s="4"/>
      <c r="U1120" s="4"/>
      <c r="V1120"/>
      <c r="W1120"/>
      <c r="X1120"/>
      <c r="Y1120" t="inlineStr">
        <is>
          <t>Pending Appointment</t>
        </is>
      </c>
      <c r="Z1120" t="inlineStr">
        <is>
          <t>Hiring Now</t>
        </is>
      </c>
      <c r="AA1120">
        <v>2</v>
      </c>
      <c r="AB1120" t="inlineStr">
        <is>
          <t>No Appointment Made</t>
        </is>
      </c>
      <c r="AC1120"/>
      <c r="AD1120" t="inlineStr">
        <is>
          <t xml:space="preserve">1 customer service and 1 warehouse assistant </t>
        </is>
      </c>
      <c r="AE1120"/>
      <c r="AF1120">
        <v>500</v>
      </c>
      <c r="AG1120" s="4"/>
      <c r="AH1120" s="4"/>
      <c r="AI1120"/>
      <c r="AJ1120"/>
      <c r="AK1120" t="inlineStr">
        <is>
          <t>No, but I want in future</t>
        </is>
      </c>
      <c r="AL1120"/>
      <c r="AM1120"/>
      <c r="AN1120"/>
      <c r="AO1120"/>
      <c r="AP1120" t="inlineStr">
        <is>
          <t>Twice a year (50%)</t>
        </is>
      </c>
      <c r="AQ1120"/>
      <c r="AR1120"/>
      <c r="AS1120" t="inlineStr">
        <is>
          <t>- Headcount: 2
- Hiring Job Details: 1 customer service and 1 warehouse assistant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is>
      </c>
      <c r="AT1120">
        <v>95</v>
      </c>
      <c r="AU1120" t="inlineStr">
        <is>
          <t>0.95</t>
        </is>
      </c>
      <c r="AV1120" t="inlineStr">
        <is>
          <t>15</t>
        </is>
      </c>
      <c r="AW1120" t="inlineStr">
        <is>
          <t>0</t>
        </is>
      </c>
      <c r="AX1120" t="inlineStr">
        <is>
          <t>Not Qualified</t>
        </is>
      </c>
      <c r="AY1120" s="4"/>
      <c r="AZ1120"/>
      <c r="BA1120"/>
      <c r="BB1120"/>
      <c r="BC1120" t="inlineStr">
        <is>
          <t>npu wa</t>
        </is>
      </c>
      <c r="BD1120" s="4">
        <v>46142.610925925925</v>
      </c>
      <c r="BE1120"/>
      <c r="BF1120"/>
      <c r="BG1120" t="inlineStr">
        <is>
          <t>Reschedule</t>
        </is>
      </c>
      <c r="BH1120" t="inlineStr">
        <is>
          <t>Reagen</t>
        </is>
      </c>
      <c r="BI1120"/>
      <c r="BJ1120" s="4">
        <v>46144.754328703704</v>
      </c>
      <c r="BK1120" s="4">
        <v>46133.678449074076</v>
      </c>
      <c r="BL1120" t="inlineStr">
        <is>
          <t>0.0</t>
        </is>
      </c>
      <c r="BM1120" t="inlineStr">
        <is>
          <t>0.0</t>
        </is>
      </c>
      <c r="BN1120" t="inlineStr">
        <is>
          <t>View Company Page</t>
        </is>
      </c>
      <c r="BO1120" s="4">
        <v>46133.6809375</v>
      </c>
      <c r="BP1120">
        <v>168150</v>
      </c>
      <c r="BQ1120"/>
      <c r="BR1120"/>
      <c r="BS1120"/>
      <c r="BT1120"/>
      <c r="BU1120"/>
      <c r="BV1120">
        <v>2737750</v>
      </c>
      <c r="BW1120" t="inlineStr">
        <is>
          <t>No Answer : Voicemail - WA sent to customer</t>
        </is>
      </c>
      <c r="BX1120"/>
      <c r="BY1120"/>
      <c r="BZ1120" s="4"/>
      <c r="CA1120"/>
      <c r="CB1120"/>
      <c r="CC1120" s="4"/>
      <c r="CD1120" t="inlineStr">
        <is>
          <t>20</t>
        </is>
      </c>
      <c r="CE1120" t="inlineStr">
        <is>
          <t>0</t>
        </is>
      </c>
      <c r="CF1120" t="inlineStr">
        <is>
          <t>Q2-W03</t>
        </is>
      </c>
      <c r="CG1120"/>
      <c r="CH1120"/>
      <c r="CI1120"/>
      <c r="CJ1120" t="inlineStr">
        <is>
          <t>No Paid</t>
        </is>
      </c>
      <c r="CK1120" t="inlineStr">
        <is>
          <t>Not Eligible</t>
        </is>
      </c>
      <c r="CL1120"/>
      <c r="CM1120"/>
    </row>
    <row r="1121" ht="25.5" customHeight="1">
      <c r="A1121" t="inlineStr">
        <is>
          <t>196631</t>
        </is>
      </c>
      <c r="B1121" s="2"/>
      <c r="C1121"/>
      <c r="D1121" s="3">
        <v>46133.74180555555</v>
      </c>
      <c r="E1121" t="inlineStr">
        <is>
          <t>Q2-W03</t>
        </is>
      </c>
      <c r="F1121" t="inlineStr">
        <is>
          <t>Dickson</t>
        </is>
      </c>
      <c r="G1121" t="inlineStr">
        <is>
          <t>Customer</t>
        </is>
      </c>
      <c r="H1121" s="2" t="str">
        <f>=HYPERLINK("https://upbox.ajobthing.my/customer/196631", "https://upbox.ajobthing.my/customer/196631")</f>
        <v>https://upbox.ajobthing.my/customer/196631</v>
      </c>
      <c r="I1121" t="inlineStr">
        <is>
          <t>Medin Perfume</t>
        </is>
      </c>
      <c r="J1121" t="inlineStr">
        <is>
          <t>Small Fish</t>
        </is>
      </c>
      <c r="K1121" t="inlineStr">
        <is>
          <t>Dickson</t>
        </is>
      </c>
      <c r="L1121" s="4"/>
      <c r="M1121" s="4">
        <v>46133.741956018515</v>
      </c>
      <c r="N1121"/>
      <c r="O1121">
        <v>3888</v>
      </c>
      <c r="P1121" s="4"/>
      <c r="Q1121" s="4">
        <v>46142.71895833333</v>
      </c>
      <c r="R1121"/>
      <c r="S1121">
        <v>3576.96</v>
      </c>
      <c r="T1121" s="4"/>
      <c r="U1121" s="4"/>
      <c r="V1121"/>
      <c r="W1121"/>
      <c r="X1121"/>
      <c r="Y1121" t="inlineStr">
        <is>
          <t>Pending Appointment</t>
        </is>
      </c>
      <c r="Z1121" t="inlineStr">
        <is>
          <t>Hiring Now</t>
        </is>
      </c>
      <c r="AA1121">
        <v>4</v>
      </c>
      <c r="AB1121" t="inlineStr">
        <is>
          <t>No Appointment Made</t>
        </is>
      </c>
      <c r="AC1121"/>
      <c r="AD1121" t="inlineStr">
        <is>
          <t>1 account executive, 1 retail associate, 1 HR, 1 production</t>
        </is>
      </c>
      <c r="AE1121"/>
      <c r="AF1121"/>
      <c r="AG1121" s="4"/>
      <c r="AH1121" s="4"/>
      <c r="AI1121"/>
      <c r="AJ1121">
        <v>2</v>
      </c>
      <c r="AK1121" t="inlineStr">
        <is>
          <t>No, I don't need at all</t>
        </is>
      </c>
      <c r="AL1121"/>
      <c r="AM1121" t="inlineStr">
        <is>
          <t>No, I don't need at all</t>
        </is>
      </c>
      <c r="AN1121"/>
      <c r="AO1121" t="inlineStr">
        <is>
          <t>No, I don't need at all</t>
        </is>
      </c>
      <c r="AP1121" t="inlineStr">
        <is>
          <t>Once per quarter (75%)</t>
        </is>
      </c>
      <c r="AQ1121"/>
      <c r="AR1121" t="inlineStr">
        <is>
          <t>Did not use any job portal</t>
        </is>
      </c>
      <c r="AS1121" t="inlineStr">
        <is>
          <t>- Headcount: 4
- Hiring Job Details: 1 account executive, 1 retail associate, 1 HR, 1 production
- Hiring Urgency: Hiring Now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Did not use any job portal</t>
        </is>
      </c>
      <c r="AT1121">
        <v>95</v>
      </c>
      <c r="AU1121" t="inlineStr">
        <is>
          <t>0.95</t>
        </is>
      </c>
      <c r="AV1121" t="inlineStr">
        <is>
          <t>5</t>
        </is>
      </c>
      <c r="AW1121" t="inlineStr">
        <is>
          <t>0</t>
        </is>
      </c>
      <c r="AX1121" t="inlineStr">
        <is>
          <t>Not Qualified</t>
        </is>
      </c>
      <c r="AY1121" s="4"/>
      <c r="AZ1121"/>
      <c r="BA1121"/>
      <c r="BB1121"/>
      <c r="BC1121" t="inlineStr">
        <is>
          <t>invoice sent</t>
        </is>
      </c>
      <c r="BD1121" s="4">
        <v>46142.721504629626</v>
      </c>
      <c r="BE1121" t="inlineStr">
        <is>
          <t>pending</t>
        </is>
      </c>
      <c r="BF1121"/>
      <c r="BG1121" t="inlineStr">
        <is>
          <t>Reschedule</t>
        </is>
      </c>
      <c r="BH1121" t="inlineStr">
        <is>
          <t>Edward Hoo</t>
        </is>
      </c>
      <c r="BI1121" t="inlineStr">
        <is>
          <t>Retail / Merchandise</t>
        </is>
      </c>
      <c r="BJ1121" s="4">
        <v>46144.75283564815</v>
      </c>
      <c r="BK1121" s="4">
        <v>45928.669583333336</v>
      </c>
      <c r="BL1121" t="inlineStr">
        <is>
          <t>0.0</t>
        </is>
      </c>
      <c r="BM1121" t="inlineStr">
        <is>
          <t>0.0</t>
        </is>
      </c>
      <c r="BN1121" t="inlineStr">
        <is>
          <t>User Visit(Logged In)</t>
        </is>
      </c>
      <c r="BO1121" s="4">
        <v>45934.75074074074</v>
      </c>
      <c r="BP1121">
        <v>168151</v>
      </c>
      <c r="BQ1121">
        <v>124216</v>
      </c>
      <c r="BR1121" t="inlineStr">
        <is>
          <t>Proforma</t>
        </is>
      </c>
      <c r="BS1121" t="inlineStr">
        <is>
          <t>AI Yearly Standard Plan (Jan 26)</t>
        </is>
      </c>
      <c r="BT1121"/>
      <c r="BU1121"/>
      <c r="BV1121">
        <v>2738352</v>
      </c>
      <c r="BW1121" t="inlineStr">
        <is>
          <t>Follow Up : Invoice Sent 75%</t>
        </is>
      </c>
      <c r="BX1121"/>
      <c r="BY1121"/>
      <c r="BZ1121" s="4"/>
      <c r="CA1121"/>
      <c r="CB1121"/>
      <c r="CC1121" s="4"/>
      <c r="CD1121" t="inlineStr">
        <is>
          <t>5</t>
        </is>
      </c>
      <c r="CE1121" t="inlineStr">
        <is>
          <t>0</t>
        </is>
      </c>
      <c r="CF1121" t="inlineStr">
        <is>
          <t>Q2-W03</t>
        </is>
      </c>
      <c r="CG1121" t="inlineStr">
        <is>
          <t>Q2-W04</t>
        </is>
      </c>
      <c r="CH1121"/>
      <c r="CI1121"/>
      <c r="CJ1121" t="inlineStr">
        <is>
          <t>No Paid</t>
        </is>
      </c>
      <c r="CK1121" t="inlineStr">
        <is>
          <t>Not Eligible</t>
        </is>
      </c>
      <c r="CL1121"/>
      <c r="CM1121"/>
    </row>
    <row r="1122" ht="25.5" customHeight="1">
      <c r="A1122" t="inlineStr">
        <is>
          <t>203501</t>
        </is>
      </c>
      <c r="B1122" s="2"/>
      <c r="C1122"/>
      <c r="D1122" s="3">
        <v>46133.745462962965</v>
      </c>
      <c r="E1122" t="inlineStr">
        <is>
          <t>Q2-W03</t>
        </is>
      </c>
      <c r="F1122" t="inlineStr">
        <is>
          <t>Keegan</t>
        </is>
      </c>
      <c r="G1122" t="inlineStr">
        <is>
          <t>Customer</t>
        </is>
      </c>
      <c r="H1122" s="2" t="str">
        <f>=HYPERLINK("https://upbox.ajobthing.my/customer/203501", "https://upbox.ajobthing.my/customer/203501")</f>
        <v>https://upbox.ajobthing.my/customer/203501</v>
      </c>
      <c r="I1122" t="inlineStr">
        <is>
          <t>Kejuruteraan Jasjaya Sdn Bhd</t>
        </is>
      </c>
      <c r="J1122" t="inlineStr">
        <is>
          <t>Small Fish</t>
        </is>
      </c>
      <c r="K1122" t="inlineStr">
        <is>
          <t>Keegan</t>
        </is>
      </c>
      <c r="L1122" s="4"/>
      <c r="M1122" s="4">
        <v>46133.74554398148</v>
      </c>
      <c r="N1122"/>
      <c r="O1122">
        <v>3888</v>
      </c>
      <c r="P1122" s="4"/>
      <c r="Q1122" s="4"/>
      <c r="R1122"/>
      <c r="S1122"/>
      <c r="T1122" s="4"/>
      <c r="U1122" s="4"/>
      <c r="V1122"/>
      <c r="W1122"/>
      <c r="X1122"/>
      <c r="Y1122" t="inlineStr">
        <is>
          <t>Pending Appointment</t>
        </is>
      </c>
      <c r="Z1122" t="inlineStr">
        <is>
          <t>Hiring Now</t>
        </is>
      </c>
      <c r="AA1122">
        <v>1</v>
      </c>
      <c r="AB1122" t="inlineStr">
        <is>
          <t>No Appointment Made</t>
        </is>
      </c>
      <c r="AC1122"/>
      <c r="AD1122" t="inlineStr">
        <is>
          <t>1. Technician</t>
        </is>
      </c>
      <c r="AE1122"/>
      <c r="AF1122"/>
      <c r="AG1122" s="4"/>
      <c r="AH1122" s="4"/>
      <c r="AI1122"/>
      <c r="AJ1122">
        <v>1</v>
      </c>
      <c r="AK1122" t="inlineStr">
        <is>
          <t>No, I don't need at all</t>
        </is>
      </c>
      <c r="AL1122">
        <v>0</v>
      </c>
      <c r="AM1122" t="inlineStr">
        <is>
          <t>No, I don't need at all</t>
        </is>
      </c>
      <c r="AN1122"/>
      <c r="AO1122" t="inlineStr">
        <is>
          <t>No, I don't need at all</t>
        </is>
      </c>
      <c r="AP1122" t="inlineStr">
        <is>
          <t>Once per quarter (75%)</t>
        </is>
      </c>
      <c r="AQ1122"/>
      <c r="AR1122" t="inlineStr">
        <is>
          <t>Did not use any job portal</t>
        </is>
      </c>
      <c r="AS1122" t="inlineStr">
        <is>
          <t>- Headcount: 1
- Hiring Job Details: 1 Technician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122">
        <v>95</v>
      </c>
      <c r="AU1122" t="inlineStr">
        <is>
          <t>0.95</t>
        </is>
      </c>
      <c r="AV1122" t="inlineStr">
        <is>
          <t>5</t>
        </is>
      </c>
      <c r="AW1122" t="inlineStr">
        <is>
          <t>0</t>
        </is>
      </c>
      <c r="AX1122" t="inlineStr">
        <is>
          <t>Not Qualified</t>
        </is>
      </c>
      <c r="AY1122" s="4"/>
      <c r="AZ1122"/>
      <c r="BA1122"/>
      <c r="BB1122"/>
      <c r="BC1122" t="inlineStr">
        <is>
          <t>Pending decision</t>
        </is>
      </c>
      <c r="BD1122" s="4">
        <v>46134.41825231481</v>
      </c>
      <c r="BE1122"/>
      <c r="BF1122"/>
      <c r="BG1122" t="inlineStr">
        <is>
          <t>Reschedule</t>
        </is>
      </c>
      <c r="BH1122" t="inlineStr">
        <is>
          <t>Edward Hoo</t>
        </is>
      </c>
      <c r="BI1122"/>
      <c r="BJ1122" s="4">
        <v>46144.754328703704</v>
      </c>
      <c r="BK1122" s="4">
        <v>46133.745</v>
      </c>
      <c r="BL1122" t="inlineStr">
        <is>
          <t>0.0</t>
        </is>
      </c>
      <c r="BM1122" t="inlineStr">
        <is>
          <t>0.0</t>
        </is>
      </c>
      <c r="BN1122"/>
      <c r="BO1122" s="4"/>
      <c r="BP1122">
        <v>168154</v>
      </c>
      <c r="BQ1122"/>
      <c r="BR1122"/>
      <c r="BS1122"/>
      <c r="BT1122"/>
      <c r="BU1122"/>
      <c r="BV1122">
        <v>2719557</v>
      </c>
      <c r="BW1122" t="inlineStr">
        <is>
          <t>Follow Up : Decision Pending</t>
        </is>
      </c>
      <c r="BX1122"/>
      <c r="BY1122"/>
      <c r="BZ1122" s="4"/>
      <c r="CA1122"/>
      <c r="CB1122"/>
      <c r="CC1122" s="4"/>
      <c r="CD1122" t="inlineStr">
        <is>
          <t>5</t>
        </is>
      </c>
      <c r="CE1122" t="inlineStr">
        <is>
          <t>0</t>
        </is>
      </c>
      <c r="CF1122" t="inlineStr">
        <is>
          <t>Q2-W03</t>
        </is>
      </c>
      <c r="CG1122"/>
      <c r="CH1122"/>
      <c r="CI1122"/>
      <c r="CJ1122" t="inlineStr">
        <is>
          <t>No Paid</t>
        </is>
      </c>
      <c r="CK1122" t="inlineStr">
        <is>
          <t>Not Eligible</t>
        </is>
      </c>
      <c r="CL1122"/>
      <c r="CM1122"/>
    </row>
    <row r="1123" ht="25.5" customHeight="1">
      <c r="A1123" t="inlineStr">
        <is>
          <t>203499</t>
        </is>
      </c>
      <c r="B1123" s="2"/>
      <c r="C1123"/>
      <c r="D1123" s="3">
        <v>46133.75078703704</v>
      </c>
      <c r="E1123" t="inlineStr">
        <is>
          <t>Q2-W03</t>
        </is>
      </c>
      <c r="F1123" t="inlineStr">
        <is>
          <t>Eugene</t>
        </is>
      </c>
      <c r="G1123" t="inlineStr">
        <is>
          <t>Customer</t>
        </is>
      </c>
      <c r="H1123" s="2" t="str">
        <f>=HYPERLINK("https://upbox.ajobthing.my/customer/203499", "https://upbox.ajobthing.my/customer/203499")</f>
        <v>https://upbox.ajobthing.my/customer/203499</v>
      </c>
      <c r="I1123" t="inlineStr">
        <is>
          <t>Kenspeckle Business Solutions Sdn.bhd</t>
        </is>
      </c>
      <c r="J1123" t="inlineStr">
        <is>
          <t>Small Fish</t>
        </is>
      </c>
      <c r="K1123" t="inlineStr">
        <is>
          <t>Eugene</t>
        </is>
      </c>
      <c r="L1123" s="4"/>
      <c r="M1123" s="4">
        <v>46133.7509375</v>
      </c>
      <c r="N1123"/>
      <c r="O1123">
        <v>1296</v>
      </c>
      <c r="P1123" s="4"/>
      <c r="Q1123" s="4"/>
      <c r="R1123"/>
      <c r="S1123"/>
      <c r="T1123" s="4"/>
      <c r="U1123" s="4"/>
      <c r="V1123"/>
      <c r="W1123"/>
      <c r="X1123"/>
      <c r="Y1123" t="inlineStr">
        <is>
          <t>Pending Appointment</t>
        </is>
      </c>
      <c r="Z1123" t="inlineStr">
        <is>
          <t>Hiring Now</t>
        </is>
      </c>
      <c r="AA1123">
        <v>1</v>
      </c>
      <c r="AB1123" t="inlineStr">
        <is>
          <t>No Appointment Made</t>
        </is>
      </c>
      <c r="AC1123"/>
      <c r="AD1123" t="inlineStr">
        <is>
          <t>1 admin, based in KL</t>
        </is>
      </c>
      <c r="AE1123"/>
      <c r="AF1123">
        <v>1200</v>
      </c>
      <c r="AG1123" s="4"/>
      <c r="AH1123" s="4"/>
      <c r="AI1123">
        <v>3000</v>
      </c>
      <c r="AJ1123">
        <v>1</v>
      </c>
      <c r="AK1123" t="inlineStr">
        <is>
          <t>No, I don't need at all</t>
        </is>
      </c>
      <c r="AL1123">
        <v>1</v>
      </c>
      <c r="AM1123" t="inlineStr">
        <is>
          <t>No, I don't need at all</t>
        </is>
      </c>
      <c r="AN1123"/>
      <c r="AO1123" t="inlineStr">
        <is>
          <t>No, I don't need at all</t>
        </is>
      </c>
      <c r="AP1123" t="inlineStr">
        <is>
          <t>Twice a year (50%)</t>
        </is>
      </c>
      <c r="AQ1123">
        <v>2</v>
      </c>
      <c r="AR1123" t="inlineStr">
        <is>
          <t>Free Job Portal</t>
        </is>
      </c>
      <c r="AS1123" t="inlineStr">
        <is>
          <t>- Headcount: 1
- Hiring Job Details: 1 admin, based in KL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2
- Hiring frequency: Twice a year (50%)
- External job portal: Free Job Portal</t>
        </is>
      </c>
      <c r="AT1123">
        <v>115</v>
      </c>
      <c r="AU1123" t="inlineStr">
        <is>
          <t>1.15</t>
        </is>
      </c>
      <c r="AV1123" t="inlineStr">
        <is>
          <t>15</t>
        </is>
      </c>
      <c r="AW1123" t="inlineStr">
        <is>
          <t>0</t>
        </is>
      </c>
      <c r="AX1123" t="inlineStr">
        <is>
          <t>Not Qualified</t>
        </is>
      </c>
      <c r="AY1123" s="4"/>
      <c r="AZ1123"/>
      <c r="BA1123"/>
      <c r="BB1123"/>
      <c r="BC1123" t="inlineStr">
        <is>
          <t>boss vacation...</t>
        </is>
      </c>
      <c r="BD1123" s="4">
        <v>46141.59512731482</v>
      </c>
      <c r="BE1123"/>
      <c r="BF1123"/>
      <c r="BG1123" t="inlineStr">
        <is>
          <t>Reschedule</t>
        </is>
      </c>
      <c r="BH1123" t="inlineStr">
        <is>
          <t>Edward Hoo</t>
        </is>
      </c>
      <c r="BI1123" t="inlineStr">
        <is>
          <t>Business / Mgmt Consulting</t>
        </is>
      </c>
      <c r="BJ1123" s="4">
        <v>46144.754328703704</v>
      </c>
      <c r="BK1123" s="4">
        <v>46133.72891203704</v>
      </c>
      <c r="BL1123" t="inlineStr">
        <is>
          <t>0.0</t>
        </is>
      </c>
      <c r="BM1123" t="inlineStr">
        <is>
          <t>0.0</t>
        </is>
      </c>
      <c r="BN1123" t="inlineStr">
        <is>
          <t>User Visit(Logged In)</t>
        </is>
      </c>
      <c r="BO1123" s="4">
        <v>46134.32162037037</v>
      </c>
      <c r="BP1123">
        <v>168156</v>
      </c>
      <c r="BQ1123"/>
      <c r="BR1123"/>
      <c r="BS1123"/>
      <c r="BT1123"/>
      <c r="BU1123"/>
      <c r="BV1123">
        <v>2735249</v>
      </c>
      <c r="BW1123" t="inlineStr">
        <is>
          <t>Follow Up : Decision Pending</t>
        </is>
      </c>
      <c r="BX1123"/>
      <c r="BY1123"/>
      <c r="BZ1123" s="4"/>
      <c r="CA1123"/>
      <c r="CB1123"/>
      <c r="CC1123" s="4"/>
      <c r="CD1123" t="inlineStr">
        <is>
          <t>20</t>
        </is>
      </c>
      <c r="CE1123" t="inlineStr">
        <is>
          <t>0</t>
        </is>
      </c>
      <c r="CF1123" t="inlineStr">
        <is>
          <t>Q2-W03</t>
        </is>
      </c>
      <c r="CG1123"/>
      <c r="CH1123"/>
      <c r="CI1123"/>
      <c r="CJ1123" t="inlineStr">
        <is>
          <t>No Paid</t>
        </is>
      </c>
      <c r="CK1123" t="inlineStr">
        <is>
          <t>Not Eligible</t>
        </is>
      </c>
      <c r="CL1123"/>
      <c r="CM1123"/>
    </row>
    <row r="1124" ht="25.5" customHeight="1">
      <c r="A1124" t="inlineStr">
        <is>
          <t>203485</t>
        </is>
      </c>
      <c r="B1124" s="2"/>
      <c r="C1124"/>
      <c r="D1124" s="3">
        <v>46134.383680555555</v>
      </c>
      <c r="E1124" t="inlineStr">
        <is>
          <t>Q2-W03</t>
        </is>
      </c>
      <c r="F1124" t="inlineStr">
        <is>
          <t>Carmen</t>
        </is>
      </c>
      <c r="G1124" t="inlineStr">
        <is>
          <t>Customer</t>
        </is>
      </c>
      <c r="H1124" s="2" t="str">
        <f>=HYPERLINK("https://upbox.ajobthing.my/customer/203485", "https://upbox.ajobthing.my/customer/203485")</f>
        <v>https://upbox.ajobthing.my/customer/203485</v>
      </c>
      <c r="I1124" t="inlineStr">
        <is>
          <t>Pusat Jagaan Marshmellow Angels</t>
        </is>
      </c>
      <c r="J1124" t="inlineStr">
        <is>
          <t>Small Fish</t>
        </is>
      </c>
      <c r="K1124" t="inlineStr">
        <is>
          <t>Carmen</t>
        </is>
      </c>
      <c r="L1124" s="4"/>
      <c r="M1124" s="4">
        <v>46134.3840162037</v>
      </c>
      <c r="N1124"/>
      <c r="O1124">
        <v>1296</v>
      </c>
      <c r="P1124" s="4"/>
      <c r="Q1124" s="4">
        <v>46133.63972222222</v>
      </c>
      <c r="R1124"/>
      <c r="S1124">
        <v>0</v>
      </c>
      <c r="T1124" s="4"/>
      <c r="U1124" s="4"/>
      <c r="V1124"/>
      <c r="W1124"/>
      <c r="X1124"/>
      <c r="Y1124" t="inlineStr">
        <is>
          <t>Pending Appointment</t>
        </is>
      </c>
      <c r="Z1124" t="inlineStr">
        <is>
          <t>Hiring Now</t>
        </is>
      </c>
      <c r="AA1124">
        <v>3</v>
      </c>
      <c r="AB1124" t="inlineStr">
        <is>
          <t>No Appointment Made</t>
        </is>
      </c>
      <c r="AC1124"/>
      <c r="AD1124" t="inlineStr">
        <is>
          <t>3 teachers</t>
        </is>
      </c>
      <c r="AE1124"/>
      <c r="AF1124">
        <v>0</v>
      </c>
      <c r="AG1124" s="4"/>
      <c r="AH1124" s="4"/>
      <c r="AI1124"/>
      <c r="AJ1124"/>
      <c r="AK1124"/>
      <c r="AL1124"/>
      <c r="AM1124"/>
      <c r="AN1124"/>
      <c r="AO1124"/>
      <c r="AP1124" t="inlineStr">
        <is>
          <t>Once a year (25%)</t>
        </is>
      </c>
      <c r="AQ1124"/>
      <c r="AR1124"/>
      <c r="AS1124" t="inlineStr">
        <is>
          <t>- Headcount: 3
- Hiring Job Details: 3 teachers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1124">
        <v>90</v>
      </c>
      <c r="AU1124" t="inlineStr">
        <is>
          <t>0.90</t>
        </is>
      </c>
      <c r="AV1124" t="inlineStr">
        <is>
          <t>15</t>
        </is>
      </c>
      <c r="AW1124" t="inlineStr">
        <is>
          <t>0</t>
        </is>
      </c>
      <c r="AX1124" t="inlineStr">
        <is>
          <t>Not Qualified</t>
        </is>
      </c>
      <c r="AY1124" s="4"/>
      <c r="AZ1124"/>
      <c r="BA1124"/>
      <c r="BB1124"/>
      <c r="BC1124" t="inlineStr">
        <is>
          <t>- Headcount: 3
- Hiring Job Details: 3 teachers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BD1124" s="4">
        <v>46134.41679398148</v>
      </c>
      <c r="BE1124" t="inlineStr">
        <is>
          <t>paid</t>
        </is>
      </c>
      <c r="BF1124"/>
      <c r="BG1124" t="inlineStr">
        <is>
          <t>Reschedule</t>
        </is>
      </c>
      <c r="BH1124" t="inlineStr">
        <is>
          <t>Reagen</t>
        </is>
      </c>
      <c r="BI1124"/>
      <c r="BJ1124" s="4">
        <v>46144.754328703704</v>
      </c>
      <c r="BK1124" s="4">
        <v>46133.63815972222</v>
      </c>
      <c r="BL1124" t="inlineStr">
        <is>
          <t>0.0</t>
        </is>
      </c>
      <c r="BM1124" t="inlineStr">
        <is>
          <t>0.0</t>
        </is>
      </c>
      <c r="BN1124" t="inlineStr">
        <is>
          <t>View Company Page</t>
        </is>
      </c>
      <c r="BO1124" s="4">
        <v>46133.71047453704</v>
      </c>
      <c r="BP1124">
        <v>168164</v>
      </c>
      <c r="BQ1124">
        <v>123450</v>
      </c>
      <c r="BR1124" t="inlineStr">
        <is>
          <t>Proforma</t>
        </is>
      </c>
      <c r="BS1124" t="inlineStr">
        <is>
          <t>Free Part-Time Job</t>
        </is>
      </c>
      <c r="BT1124"/>
      <c r="BU1124"/>
      <c r="BV1124">
        <v>2719533</v>
      </c>
      <c r="BW1124" t="inlineStr">
        <is>
          <t>Customer Inquiry</t>
        </is>
      </c>
      <c r="BX1124"/>
      <c r="BY1124"/>
      <c r="BZ1124" s="4"/>
      <c r="CA1124"/>
      <c r="CB1124"/>
      <c r="CC1124" s="4"/>
      <c r="CD1124" t="inlineStr">
        <is>
          <t>20</t>
        </is>
      </c>
      <c r="CE1124" t="inlineStr">
        <is>
          <t>0</t>
        </is>
      </c>
      <c r="CF1124" t="inlineStr">
        <is>
          <t>Q2-W03</t>
        </is>
      </c>
      <c r="CG1124" t="inlineStr">
        <is>
          <t>Q2-W03</t>
        </is>
      </c>
      <c r="CH1124"/>
      <c r="CI1124"/>
      <c r="CJ1124" t="inlineStr">
        <is>
          <t>No Paid</t>
        </is>
      </c>
      <c r="CK1124" t="inlineStr">
        <is>
          <t>Not Eligible</t>
        </is>
      </c>
      <c r="CL1124"/>
      <c r="CM1124"/>
    </row>
    <row r="1125" ht="25.5" customHeight="1">
      <c r="A1125" t="inlineStr">
        <is>
          <t>203513</t>
        </is>
      </c>
      <c r="B1125" s="2"/>
      <c r="C1125"/>
      <c r="D1125" s="3">
        <v>46134.389699074076</v>
      </c>
      <c r="E1125" t="inlineStr">
        <is>
          <t>Q2-W03</t>
        </is>
      </c>
      <c r="F1125" t="inlineStr">
        <is>
          <t>Ken Yi</t>
        </is>
      </c>
      <c r="G1125" t="inlineStr">
        <is>
          <t>Customer</t>
        </is>
      </c>
      <c r="H1125" s="2" t="str">
        <f>=HYPERLINK("https://upbox.ajobthing.my/customer/203513", "https://upbox.ajobthing.my/customer/203513")</f>
        <v>https://upbox.ajobthing.my/customer/203513</v>
      </c>
      <c r="I1125" t="inlineStr">
        <is>
          <t>United Logistics Sdn Bhd</t>
        </is>
      </c>
      <c r="J1125" t="inlineStr">
        <is>
          <t>Small Fish</t>
        </is>
      </c>
      <c r="K1125" t="inlineStr">
        <is>
          <t>Kenyi</t>
        </is>
      </c>
      <c r="L1125" s="4"/>
      <c r="M1125" s="4">
        <v>46134.48355324074</v>
      </c>
      <c r="N1125"/>
      <c r="O1125">
        <v>5722.88</v>
      </c>
      <c r="P1125" s="4"/>
      <c r="Q1125" s="4"/>
      <c r="R1125"/>
      <c r="S1125"/>
      <c r="T1125" s="4"/>
      <c r="U1125" s="4"/>
      <c r="V1125"/>
      <c r="W1125"/>
      <c r="X1125"/>
      <c r="Y1125" t="inlineStr">
        <is>
          <t>Pending Appointment</t>
        </is>
      </c>
      <c r="Z1125" t="inlineStr">
        <is>
          <t>Hiring Now</t>
        </is>
      </c>
      <c r="AA1125">
        <v>4</v>
      </c>
      <c r="AB1125" t="inlineStr">
        <is>
          <t>No Appointment Made</t>
        </is>
      </c>
      <c r="AC1125"/>
      <c r="AD1125" t="inlineStr">
        <is>
          <t>Logistic Warehouse manager, admin, finance, HR</t>
        </is>
      </c>
      <c r="AE1125"/>
      <c r="AF1125">
        <v>6000</v>
      </c>
      <c r="AG1125" s="4"/>
      <c r="AH1125" s="4"/>
      <c r="AI1125">
        <v>0</v>
      </c>
      <c r="AJ1125">
        <v>1</v>
      </c>
      <c r="AK1125" t="inlineStr">
        <is>
          <t>Yes, I have</t>
        </is>
      </c>
      <c r="AL1125">
        <v>1</v>
      </c>
      <c r="AM1125" t="inlineStr">
        <is>
          <t>No, I don't need at all</t>
        </is>
      </c>
      <c r="AN1125"/>
      <c r="AO1125" t="inlineStr">
        <is>
          <t>No, I don't need at all</t>
        </is>
      </c>
      <c r="AP1125" t="inlineStr">
        <is>
          <t>Every month (100%)</t>
        </is>
      </c>
      <c r="AQ1125">
        <v>5</v>
      </c>
      <c r="AR1125" t="inlineStr">
        <is>
          <t>Did not use any job portal</t>
        </is>
      </c>
      <c r="AS1125" t="inlineStr">
        <is>
          <t>- Headcount: 4
- Hiring Job Details: Logistic Warehouse manager, admin, finance, HR
- Hiring Urgency: Hiring Now
- Number of outlets: 1
- Have recruiter team: Yes
- Number of recruiter in company: 1
- Have ATS system: No, I don't need at all
- Have career website: No, I don't need at all
- Current hiring budget: RM6,000
- Whole year budget: RM0.00
- Whole year number of vacancies: 5
- Hiring frequency: Every month (100%)
- External job portal: Did not use any job portal</t>
        </is>
      </c>
      <c r="AT1125">
        <v>75</v>
      </c>
      <c r="AU1125" t="inlineStr">
        <is>
          <t>0.75</t>
        </is>
      </c>
      <c r="AV1125" t="inlineStr">
        <is>
          <t>15</t>
        </is>
      </c>
      <c r="AW1125" t="inlineStr">
        <is>
          <t>0</t>
        </is>
      </c>
      <c r="AX1125" t="inlineStr">
        <is>
          <t>Not Qualified</t>
        </is>
      </c>
      <c r="AY1125" s="4"/>
      <c r="AZ1125"/>
      <c r="BA1125"/>
      <c r="BB1125"/>
      <c r="BC1125" t="inlineStr">
        <is>
          <t>Connect with their HR and ask if is they have paid for the service.</t>
        </is>
      </c>
      <c r="BD1125" s="4">
        <v>46141.713912037034</v>
      </c>
      <c r="BE1125"/>
      <c r="BF1125"/>
      <c r="BG1125" t="inlineStr">
        <is>
          <t>Reschedule</t>
        </is>
      </c>
      <c r="BH1125" t="inlineStr">
        <is>
          <t>Fauziah Maharan</t>
        </is>
      </c>
      <c r="BI1125"/>
      <c r="BJ1125" s="4">
        <v>46144.754328703704</v>
      </c>
      <c r="BK1125" s="4">
        <v>46134.38752314815</v>
      </c>
      <c r="BL1125" t="inlineStr">
        <is>
          <t>0.0</t>
        </is>
      </c>
      <c r="BM1125" t="inlineStr">
        <is>
          <t>0.0</t>
        </is>
      </c>
      <c r="BN1125"/>
      <c r="BO1125" s="4"/>
      <c r="BP1125">
        <v>168257</v>
      </c>
      <c r="BQ1125"/>
      <c r="BR1125"/>
      <c r="BS1125"/>
      <c r="BT1125"/>
      <c r="BU1125"/>
      <c r="BV1125">
        <v>2736107</v>
      </c>
      <c r="BW1125" t="inlineStr">
        <is>
          <t>Follow Up : Decision Pending</t>
        </is>
      </c>
      <c r="BX1125"/>
      <c r="BY1125"/>
      <c r="BZ1125" s="4"/>
      <c r="CA1125"/>
      <c r="CB1125"/>
      <c r="CC1125" s="4"/>
      <c r="CD1125" t="inlineStr">
        <is>
          <t>20</t>
        </is>
      </c>
      <c r="CE1125" t="inlineStr">
        <is>
          <t>0</t>
        </is>
      </c>
      <c r="CF1125" t="inlineStr">
        <is>
          <t>Q2-W03</t>
        </is>
      </c>
      <c r="CG1125"/>
      <c r="CH1125"/>
      <c r="CI1125"/>
      <c r="CJ1125" t="inlineStr">
        <is>
          <t>No Paid</t>
        </is>
      </c>
      <c r="CK1125" t="inlineStr">
        <is>
          <t>Not Eligible</t>
        </is>
      </c>
      <c r="CL1125"/>
      <c r="CM1125"/>
    </row>
    <row r="1126" ht="25.5" customHeight="1">
      <c r="A1126" t="inlineStr">
        <is>
          <t>4310479</t>
        </is>
      </c>
      <c r="B1126" s="2"/>
      <c r="C1126"/>
      <c r="D1126" s="3">
        <v>46134.39733796296</v>
      </c>
      <c r="E1126" t="inlineStr">
        <is>
          <t>Q2-W03</t>
        </is>
      </c>
      <c r="F1126" t="inlineStr">
        <is>
          <t>Derek Lim</t>
        </is>
      </c>
      <c r="G1126" t="inlineStr">
        <is>
          <t>Lead</t>
        </is>
      </c>
      <c r="H1126" s="2" t="str">
        <f>=HYPERLINK("https://upbox.ajobthing.my/leads/4310479", "https://upbox.ajobthing.my/leads/4310479")</f>
        <v>https://upbox.ajobthing.my/leads/4310479</v>
      </c>
      <c r="I1126" t="inlineStr">
        <is>
          <t>EAGLE EIDA INTERNATIONAL SDN BHD</t>
        </is>
      </c>
      <c r="J1126" t="inlineStr">
        <is>
          <t>Small Fish</t>
        </is>
      </c>
      <c r="K1126" t="inlineStr">
        <is>
          <t>Derek Lim</t>
        </is>
      </c>
      <c r="L1126" s="4"/>
      <c r="M1126" s="4">
        <v>46134.39780092592</v>
      </c>
      <c r="N1126"/>
      <c r="O1126">
        <v>6048</v>
      </c>
      <c r="P1126" s="4"/>
      <c r="Q1126" s="4"/>
      <c r="R1126"/>
      <c r="S1126"/>
      <c r="T1126" s="4"/>
      <c r="U1126" s="4"/>
      <c r="V1126"/>
      <c r="W1126"/>
      <c r="X1126"/>
      <c r="Y1126" t="inlineStr">
        <is>
          <t>Pending Appointment</t>
        </is>
      </c>
      <c r="Z1126" t="inlineStr">
        <is>
          <t>Hiring Now</t>
        </is>
      </c>
      <c r="AA1126">
        <v>2</v>
      </c>
      <c r="AB1126" t="inlineStr">
        <is>
          <t>No Appointment Made</t>
        </is>
      </c>
      <c r="AC1126"/>
      <c r="AD1126" t="inlineStr">
        <is>
          <t>Sales - 2</t>
        </is>
      </c>
      <c r="AE1126"/>
      <c r="AF1126">
        <v>0</v>
      </c>
      <c r="AG1126" s="4"/>
      <c r="AH1126" s="4"/>
      <c r="AI1126">
        <v>0</v>
      </c>
      <c r="AJ1126">
        <v>1</v>
      </c>
      <c r="AK1126" t="inlineStr">
        <is>
          <t>No, I don't need at all</t>
        </is>
      </c>
      <c r="AL1126">
        <v>0</v>
      </c>
      <c r="AM1126" t="inlineStr">
        <is>
          <t>No, I don't need at all</t>
        </is>
      </c>
      <c r="AN1126"/>
      <c r="AO1126" t="inlineStr">
        <is>
          <t>No, but I want in future</t>
        </is>
      </c>
      <c r="AP1126" t="inlineStr">
        <is>
          <t>Once a year (25%)</t>
        </is>
      </c>
      <c r="AQ1126">
        <v>2</v>
      </c>
      <c r="AR1126" t="inlineStr">
        <is>
          <t>Free Job Portal</t>
        </is>
      </c>
      <c r="AS1126" t="inlineStr">
        <is>
          <t>- Headcount: 2
- Hiring Job Details: Sales - 2
- Hiring Urgency: Hiring Now
- Number of outlets: 1
- Have recruiter team: No, I don't need at all
- Number of recruiter in company: 0
- Have ATS system: No, I don't need at all
- Have career website: No, but I want in future
- Current hiring budget: RM0
- Whole year budget: RM0.00
- Whole year number of vacancies: 2
- Hiring frequency: Once a year (25%)
- External job portal: Free Job Portal</t>
        </is>
      </c>
      <c r="AT1126">
        <v>110</v>
      </c>
      <c r="AU1126" t="inlineStr">
        <is>
          <t>1.10</t>
        </is>
      </c>
      <c r="AV1126" t="inlineStr">
        <is>
          <t>15</t>
        </is>
      </c>
      <c r="AW1126" t="inlineStr">
        <is>
          <t>0</t>
        </is>
      </c>
      <c r="AX1126" t="inlineStr">
        <is>
          <t>Not Qualified</t>
        </is>
      </c>
      <c r="AY1126" s="4"/>
      <c r="AZ1126"/>
      <c r="BA1126"/>
      <c r="BB1126"/>
      <c r="BC1126"/>
      <c r="BD1126" s="4"/>
      <c r="BE1126"/>
      <c r="BF1126"/>
      <c r="BG1126" t="inlineStr">
        <is>
          <t>Reschedule</t>
        </is>
      </c>
      <c r="BH1126" t="inlineStr">
        <is>
          <t>Edward Hoo</t>
        </is>
      </c>
      <c r="BI1126"/>
      <c r="BJ1126" s="4">
        <v>46144.75587962963</v>
      </c>
      <c r="BK1126" s="4">
        <v>46133.74726851852</v>
      </c>
      <c r="BL1126" t="inlineStr">
        <is>
          <t>0.0</t>
        </is>
      </c>
      <c r="BM1126" t="inlineStr">
        <is>
          <t>0.0</t>
        </is>
      </c>
      <c r="BN1126"/>
      <c r="BO1126" s="4"/>
      <c r="BP1126">
        <v>168179</v>
      </c>
      <c r="BQ1126"/>
      <c r="BR1126"/>
      <c r="BS1126"/>
      <c r="BT1126"/>
      <c r="BU1126"/>
      <c r="BV1126"/>
      <c r="BW1126"/>
      <c r="BX1126"/>
      <c r="BY1126"/>
      <c r="BZ1126" s="4"/>
      <c r="CA1126"/>
      <c r="CB1126"/>
      <c r="CC1126" s="4"/>
      <c r="CD1126" t="inlineStr">
        <is>
          <t>20</t>
        </is>
      </c>
      <c r="CE1126" t="inlineStr">
        <is>
          <t>0</t>
        </is>
      </c>
      <c r="CF1126" t="inlineStr">
        <is>
          <t>Q2-W03</t>
        </is>
      </c>
      <c r="CG1126"/>
      <c r="CH1126"/>
      <c r="CI1126"/>
      <c r="CJ1126" t="inlineStr">
        <is>
          <t>No Paid</t>
        </is>
      </c>
      <c r="CK1126" t="inlineStr">
        <is>
          <t>Not Eligible</t>
        </is>
      </c>
      <c r="CL1126"/>
      <c r="CM1126"/>
    </row>
    <row r="1127" ht="25.5" customHeight="1">
      <c r="A1127" t="inlineStr">
        <is>
          <t>4310680</t>
        </is>
      </c>
      <c r="B1127" s="2"/>
      <c r="C1127"/>
      <c r="D1127" s="3">
        <v>46134.40164351852</v>
      </c>
      <c r="E1127" t="inlineStr">
        <is>
          <t>Q2-W03</t>
        </is>
      </c>
      <c r="F1127" t="inlineStr">
        <is>
          <t>Josh</t>
        </is>
      </c>
      <c r="G1127" t="inlineStr">
        <is>
          <t>Lead</t>
        </is>
      </c>
      <c r="H1127" s="2" t="str">
        <f>=HYPERLINK("https://upbox.ajobthing.my/leads/4310680", "https://upbox.ajobthing.my/leads/4310680")</f>
        <v>https://upbox.ajobthing.my/leads/4310680</v>
      </c>
      <c r="I1127" t="inlineStr">
        <is>
          <t>Abayalubnaa</t>
        </is>
      </c>
      <c r="J1127" t="inlineStr">
        <is>
          <t>Small Fish</t>
        </is>
      </c>
      <c r="K1127" t="inlineStr">
        <is>
          <t>Josh</t>
        </is>
      </c>
      <c r="L1127" s="4"/>
      <c r="M1127" s="4">
        <v>46134.402337962965</v>
      </c>
      <c r="N1127"/>
      <c r="O1127">
        <v>3672</v>
      </c>
      <c r="P1127" s="4"/>
      <c r="Q1127" s="4"/>
      <c r="R1127"/>
      <c r="S1127"/>
      <c r="T1127" s="4"/>
      <c r="U1127" s="4"/>
      <c r="V1127"/>
      <c r="W1127"/>
      <c r="X1127"/>
      <c r="Y1127" t="inlineStr">
        <is>
          <t>Pending Appointment</t>
        </is>
      </c>
      <c r="Z1127" t="inlineStr">
        <is>
          <t>Hiring Now</t>
        </is>
      </c>
      <c r="AA1127">
        <v>1</v>
      </c>
      <c r="AB1127" t="inlineStr">
        <is>
          <t>No Appointment Made</t>
        </is>
      </c>
      <c r="AC1127"/>
      <c r="AD1127" t="inlineStr">
        <is>
          <t xml:space="preserve">1 hr, 1 finance </t>
        </is>
      </c>
      <c r="AE1127"/>
      <c r="AF1127">
        <v>3000</v>
      </c>
      <c r="AG1127" s="4"/>
      <c r="AH1127" s="4"/>
      <c r="AI1127"/>
      <c r="AJ1127"/>
      <c r="AK1127" t="inlineStr">
        <is>
          <t>Yes, I have</t>
        </is>
      </c>
      <c r="AL1127"/>
      <c r="AM1127"/>
      <c r="AN1127"/>
      <c r="AO1127"/>
      <c r="AP1127" t="inlineStr">
        <is>
          <t>Once a year (25%)</t>
        </is>
      </c>
      <c r="AQ1127"/>
      <c r="AR1127"/>
      <c r="AS1127" t="inlineStr">
        <is>
          <t>- Headcount: 1
- Hiring Job Details: 1 hr, 1 finance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1127">
        <v>85</v>
      </c>
      <c r="AU1127" t="inlineStr">
        <is>
          <t>0.85</t>
        </is>
      </c>
      <c r="AV1127" t="inlineStr">
        <is>
          <t>15</t>
        </is>
      </c>
      <c r="AW1127" t="inlineStr">
        <is>
          <t>0</t>
        </is>
      </c>
      <c r="AX1127" t="inlineStr">
        <is>
          <t>Not Qualified</t>
        </is>
      </c>
      <c r="AY1127" s="4"/>
      <c r="AZ1127"/>
      <c r="BA1127"/>
      <c r="BB1127"/>
      <c r="BC1127"/>
      <c r="BD1127" s="4"/>
      <c r="BE1127"/>
      <c r="BF1127"/>
      <c r="BG1127" t="inlineStr">
        <is>
          <t>Reschedule</t>
        </is>
      </c>
      <c r="BH1127" t="inlineStr">
        <is>
          <t>Fauziah Maharan</t>
        </is>
      </c>
      <c r="BI1127"/>
      <c r="BJ1127" s="4">
        <v>46144.75587962963</v>
      </c>
      <c r="BK1127" s="4">
        <v>46133.78</v>
      </c>
      <c r="BL1127" t="inlineStr">
        <is>
          <t>0.0</t>
        </is>
      </c>
      <c r="BM1127" t="inlineStr">
        <is>
          <t>600.0</t>
        </is>
      </c>
      <c r="BN1127"/>
      <c r="BO1127" s="4"/>
      <c r="BP1127">
        <v>168180</v>
      </c>
      <c r="BQ1127"/>
      <c r="BR1127"/>
      <c r="BS1127"/>
      <c r="BT1127"/>
      <c r="BU1127"/>
      <c r="BV1127"/>
      <c r="BW1127"/>
      <c r="BX1127"/>
      <c r="BY1127"/>
      <c r="BZ1127" s="4"/>
      <c r="CA1127"/>
      <c r="CB1127"/>
      <c r="CC1127" s="4"/>
      <c r="CD1127" t="inlineStr">
        <is>
          <t>20</t>
        </is>
      </c>
      <c r="CE1127" t="inlineStr">
        <is>
          <t>0</t>
        </is>
      </c>
      <c r="CF1127" t="inlineStr">
        <is>
          <t>Q2-W03</t>
        </is>
      </c>
      <c r="CG1127"/>
      <c r="CH1127"/>
      <c r="CI1127"/>
      <c r="CJ1127" t="inlineStr">
        <is>
          <t>No Paid</t>
        </is>
      </c>
      <c r="CK1127" t="inlineStr">
        <is>
          <t>Not Eligible</t>
        </is>
      </c>
      <c r="CL1127"/>
      <c r="CM1127"/>
    </row>
    <row r="1128" ht="25.5" customHeight="1">
      <c r="A1128" t="inlineStr">
        <is>
          <t>175114</t>
        </is>
      </c>
      <c r="B1128" s="2"/>
      <c r="C1128"/>
      <c r="D1128" s="3">
        <v>46134.40261574074</v>
      </c>
      <c r="E1128" t="inlineStr">
        <is>
          <t>Q2-W03</t>
        </is>
      </c>
      <c r="F1128" t="inlineStr">
        <is>
          <t>Fariz</t>
        </is>
      </c>
      <c r="G1128" t="inlineStr">
        <is>
          <t>Customer</t>
        </is>
      </c>
      <c r="H1128" s="2" t="str">
        <f>=HYPERLINK("https://upbox.ajobthing.my/customer/175114", "https://upbox.ajobthing.my/customer/175114")</f>
        <v>https://upbox.ajobthing.my/customer/175114</v>
      </c>
      <c r="I1128" t="inlineStr">
        <is>
          <t>Hafidz Zawawi Resources</t>
        </is>
      </c>
      <c r="J1128" t="inlineStr">
        <is>
          <t>Small Fish</t>
        </is>
      </c>
      <c r="K1128" t="inlineStr">
        <is>
          <t>Fariz</t>
        </is>
      </c>
      <c r="L1128" s="4"/>
      <c r="M1128" s="4">
        <v>46134.40387731481</v>
      </c>
      <c r="N1128"/>
      <c r="O1128">
        <v>3888</v>
      </c>
      <c r="P1128" s="4"/>
      <c r="Q1128" s="4"/>
      <c r="R1128"/>
      <c r="S1128"/>
      <c r="T1128" s="4"/>
      <c r="U1128" s="4"/>
      <c r="V1128"/>
      <c r="W1128"/>
      <c r="X1128"/>
      <c r="Y1128" t="inlineStr">
        <is>
          <t>Pending Appointment</t>
        </is>
      </c>
      <c r="Z1128" t="inlineStr">
        <is>
          <t>Hiring Later</t>
        </is>
      </c>
      <c r="AA1128">
        <v>1</v>
      </c>
      <c r="AB1128" t="inlineStr">
        <is>
          <t>No Appointment Made</t>
        </is>
      </c>
      <c r="AC1128"/>
      <c r="AD1128" t="inlineStr">
        <is>
          <t>1. teacher</t>
        </is>
      </c>
      <c r="AE1128"/>
      <c r="AF1128">
        <v>3600</v>
      </c>
      <c r="AG1128" s="4"/>
      <c r="AH1128" s="4"/>
      <c r="AI1128">
        <v>3600</v>
      </c>
      <c r="AJ1128"/>
      <c r="AK1128" t="inlineStr">
        <is>
          <t>No, I don't need at all</t>
        </is>
      </c>
      <c r="AL1128">
        <v>1</v>
      </c>
      <c r="AM1128" t="inlineStr">
        <is>
          <t>No, I don't need at all</t>
        </is>
      </c>
      <c r="AN1128"/>
      <c r="AO1128" t="inlineStr">
        <is>
          <t>No, but I want in future</t>
        </is>
      </c>
      <c r="AP1128" t="inlineStr">
        <is>
          <t>Once a year (25%)</t>
        </is>
      </c>
      <c r="AQ1128">
        <v>1</v>
      </c>
      <c r="AR1128" t="inlineStr">
        <is>
          <t>Free Job Portal</t>
        </is>
      </c>
      <c r="AS1128" t="inlineStr">
        <is>
          <t>- Headcount: 1
- Hiring Job Details: 1 teacher
- Hiring Urgency: Hiring Later
- Number of outlets: 
- Have recruiter team: No, I don't need at all
- Number of recruiter in company: 1
- Have ATS system: No, I don't need at all
- Have career website: No, but I want in future
- Current hiring budget: RM3,600
- Whole year budget: RM3,600.00
- Whole year number of vacancies: 1
- Hiring frequency: Once a year (25%)
- External job portal: Free Job Portal</t>
        </is>
      </c>
      <c r="AT1128">
        <v>110</v>
      </c>
      <c r="AU1128" t="inlineStr">
        <is>
          <t>1.10</t>
        </is>
      </c>
      <c r="AV1128" t="inlineStr">
        <is>
          <t>15</t>
        </is>
      </c>
      <c r="AW1128" t="inlineStr">
        <is>
          <t>0</t>
        </is>
      </c>
      <c r="AX1128" t="inlineStr">
        <is>
          <t>Not Qualified</t>
        </is>
      </c>
      <c r="AY1128" s="4"/>
      <c r="AZ1128"/>
      <c r="BA1128"/>
      <c r="BB1128"/>
      <c r="BC1128" t="inlineStr">
        <is>
          <t>- Headcount: 1
- Hiring Job Details: 1 teacher
- Hiring Urgency: Hiring Later
- Number of outlets: 
- Have recruiter team: No, I don't need at all
- Number of recruiter in company: 1
- Have ATS system: No, I don't need at all
- Have career website: No, but I want in future
- Current hiring budget: RM3,600
- Whole year budget: RM3,600.00
- Whole year number of vacancies: 1
- Hiring frequency: Once a year (25%)
- External job portal: Free Job Portal</t>
        </is>
      </c>
      <c r="BD1128" s="4">
        <v>46134.41680555556</v>
      </c>
      <c r="BE1128"/>
      <c r="BF1128"/>
      <c r="BG1128" t="inlineStr">
        <is>
          <t>Reschedule</t>
        </is>
      </c>
      <c r="BH1128" t="inlineStr">
        <is>
          <t>Edward Hoo</t>
        </is>
      </c>
      <c r="BI1128" t="inlineStr">
        <is>
          <t>Education / Training</t>
        </is>
      </c>
      <c r="BJ1128" s="4">
        <v>46144.75158564815</v>
      </c>
      <c r="BK1128" s="4">
        <v>45323.388645833336</v>
      </c>
      <c r="BL1128" t="inlineStr">
        <is>
          <t>0.0</t>
        </is>
      </c>
      <c r="BM1128" t="inlineStr">
        <is>
          <t>0.0</t>
        </is>
      </c>
      <c r="BN1128" t="inlineStr">
        <is>
          <t>View Create Job Page</t>
        </is>
      </c>
      <c r="BO1128" s="4">
        <v>45686.69420138889</v>
      </c>
      <c r="BP1128">
        <v>168181</v>
      </c>
      <c r="BQ1128"/>
      <c r="BR1128"/>
      <c r="BS1128"/>
      <c r="BT1128"/>
      <c r="BU1128"/>
      <c r="BV1128">
        <v>2719539</v>
      </c>
      <c r="BW1128" t="inlineStr">
        <is>
          <t>Customer Inquiry</t>
        </is>
      </c>
      <c r="BX1128"/>
      <c r="BY1128"/>
      <c r="BZ1128" s="4"/>
      <c r="CA1128"/>
      <c r="CB1128"/>
      <c r="CC1128" s="4"/>
      <c r="CD1128" t="inlineStr">
        <is>
          <t>20</t>
        </is>
      </c>
      <c r="CE1128" t="inlineStr">
        <is>
          <t>0</t>
        </is>
      </c>
      <c r="CF1128" t="inlineStr">
        <is>
          <t>Q2-W03</t>
        </is>
      </c>
      <c r="CG1128"/>
      <c r="CH1128"/>
      <c r="CI1128"/>
      <c r="CJ1128" t="inlineStr">
        <is>
          <t>No Paid</t>
        </is>
      </c>
      <c r="CK1128" t="inlineStr">
        <is>
          <t>Not Eligible</t>
        </is>
      </c>
      <c r="CL1128"/>
      <c r="CM1128"/>
    </row>
    <row r="1129" ht="25.5" customHeight="1">
      <c r="A1129" t="inlineStr">
        <is>
          <t>33547</t>
        </is>
      </c>
      <c r="B1129" s="2"/>
      <c r="C1129"/>
      <c r="D1129" s="3">
        <v>46134.40636574074</v>
      </c>
      <c r="E1129" t="inlineStr">
        <is>
          <t>Q2-W03</t>
        </is>
      </c>
      <c r="F1129" t="inlineStr">
        <is>
          <t>Chia Yee</t>
        </is>
      </c>
      <c r="G1129" t="inlineStr">
        <is>
          <t>Customer</t>
        </is>
      </c>
      <c r="H1129" s="2" t="str">
        <f>=HYPERLINK("https://upbox.ajobthing.my/customer/33547", "https://upbox.ajobthing.my/customer/33547")</f>
        <v>https://upbox.ajobthing.my/customer/33547</v>
      </c>
      <c r="I1129" t="inlineStr">
        <is>
          <t>Granby Construction Sdn. Bhd.</t>
        </is>
      </c>
      <c r="J1129" t="inlineStr">
        <is>
          <t>Small Fish</t>
        </is>
      </c>
      <c r="K1129" t="inlineStr">
        <is>
          <t>Chia Yee</t>
        </is>
      </c>
      <c r="L1129" s="4"/>
      <c r="M1129" s="4">
        <v>46134.406481481485</v>
      </c>
      <c r="N1129"/>
      <c r="O1129">
        <v>3672</v>
      </c>
      <c r="P1129" s="4"/>
      <c r="Q1129" s="4">
        <v>45424.04226851852</v>
      </c>
      <c r="R1129"/>
      <c r="S1129">
        <v>648</v>
      </c>
      <c r="T1129" s="4">
        <v>45424.04226851852</v>
      </c>
      <c r="U1129" s="4"/>
      <c r="V1129"/>
      <c r="W1129">
        <v>648</v>
      </c>
      <c r="X1129"/>
      <c r="Y1129" t="inlineStr">
        <is>
          <t>Pending Appointment</t>
        </is>
      </c>
      <c r="Z1129" t="inlineStr">
        <is>
          <t>Hiring Now</t>
        </is>
      </c>
      <c r="AA1129">
        <v>2</v>
      </c>
      <c r="AB1129" t="inlineStr">
        <is>
          <t>No Appointment Made</t>
        </is>
      </c>
      <c r="AC1129"/>
      <c r="AD1129" t="inlineStr">
        <is>
          <t>1 Purchasing, 1 Site supervisor</t>
        </is>
      </c>
      <c r="AE1129"/>
      <c r="AF1129">
        <v>600</v>
      </c>
      <c r="AG1129" s="4"/>
      <c r="AH1129" s="4"/>
      <c r="AI1129">
        <v>0</v>
      </c>
      <c r="AJ1129">
        <v>1</v>
      </c>
      <c r="AK1129" t="inlineStr">
        <is>
          <t>No, I don't need at all</t>
        </is>
      </c>
      <c r="AL1129">
        <v>1</v>
      </c>
      <c r="AM1129" t="inlineStr">
        <is>
          <t>No, I don't need at all</t>
        </is>
      </c>
      <c r="AN1129"/>
      <c r="AO1129" t="inlineStr">
        <is>
          <t>No, I don't need at all</t>
        </is>
      </c>
      <c r="AP1129" t="inlineStr">
        <is>
          <t>Once a year (25%)</t>
        </is>
      </c>
      <c r="AQ1129">
        <v>2</v>
      </c>
      <c r="AR1129" t="inlineStr">
        <is>
          <t>Did not use any job portal</t>
        </is>
      </c>
      <c r="AS1129" t="inlineStr">
        <is>
          <t>- Headcount: 2
- Hiring Job Details: 1 Purchasing, 1 Site supervisor
- Hiring Urgency: Hiring Now
- Number of outlets: 1
- Have recruiter team: No, I don't need at all
- Number of recruiter in company: 1
- Have ATS system: No, I don't need at all
- Have career website: No, I don't need at all
- Current hiring budget: RM600
- Whole year budget: RM0.00
- Whole year number of vacancies: 2
- Hiring frequency: Once a year (25%)
- External job portal: Did not use any job portal</t>
        </is>
      </c>
      <c r="AT1129">
        <v>115</v>
      </c>
      <c r="AU1129" t="inlineStr">
        <is>
          <t>1.15</t>
        </is>
      </c>
      <c r="AV1129" t="inlineStr">
        <is>
          <t>15</t>
        </is>
      </c>
      <c r="AW1129" t="inlineStr">
        <is>
          <t>0</t>
        </is>
      </c>
      <c r="AX1129" t="inlineStr">
        <is>
          <t>Not Qualified</t>
        </is>
      </c>
      <c r="AY1129" s="4"/>
      <c r="AZ1129"/>
      <c r="BA1129"/>
      <c r="BB1129"/>
      <c r="BC1129" t="inlineStr">
        <is>
          <t>Called, if need will call u. Inform promo. WA</t>
        </is>
      </c>
      <c r="BD1129" s="4">
        <v>46140.498194444444</v>
      </c>
      <c r="BE1129" t="inlineStr">
        <is>
          <t>paid</t>
        </is>
      </c>
      <c r="BF1129"/>
      <c r="BG1129" t="inlineStr">
        <is>
          <t>Reschedule</t>
        </is>
      </c>
      <c r="BH1129" t="inlineStr">
        <is>
          <t>Reagen</t>
        </is>
      </c>
      <c r="BI1129" t="inlineStr">
        <is>
          <t>Construction / Building</t>
        </is>
      </c>
      <c r="BJ1129" s="4">
        <v>46144.75457175926</v>
      </c>
      <c r="BK1129" s="4">
        <v>42776.518645833334</v>
      </c>
      <c r="BL1129" t="inlineStr">
        <is>
          <t>0.0</t>
        </is>
      </c>
      <c r="BM1129" t="inlineStr">
        <is>
          <t>600.0</t>
        </is>
      </c>
      <c r="BN1129" t="inlineStr">
        <is>
          <t>PA Visit - Applicant Manager</t>
        </is>
      </c>
      <c r="BO1129" s="4">
        <v>45477.44157407407</v>
      </c>
      <c r="BP1129">
        <v>168182</v>
      </c>
      <c r="BQ1129">
        <v>69001</v>
      </c>
      <c r="BR1129" t="inlineStr">
        <is>
          <t>Online</t>
        </is>
      </c>
      <c r="BS1129"/>
      <c r="BT1129">
        <v>69001</v>
      </c>
      <c r="BU1129"/>
      <c r="BV1129">
        <v>2732289</v>
      </c>
      <c r="BW1129" t="inlineStr">
        <is>
          <t>Follow Up : Budget Concern</t>
        </is>
      </c>
      <c r="BX1129"/>
      <c r="BY1129"/>
      <c r="BZ1129" s="4"/>
      <c r="CA1129"/>
      <c r="CB1129"/>
      <c r="CC1129" s="4"/>
      <c r="CD1129" t="inlineStr">
        <is>
          <t>20</t>
        </is>
      </c>
      <c r="CE1129" t="inlineStr">
        <is>
          <t>0</t>
        </is>
      </c>
      <c r="CF1129" t="inlineStr">
        <is>
          <t>Q2-W03</t>
        </is>
      </c>
      <c r="CG1129"/>
      <c r="CH1129"/>
      <c r="CI1129"/>
      <c r="CJ1129" t="inlineStr">
        <is>
          <t>Paid</t>
        </is>
      </c>
      <c r="CK1129" t="inlineStr">
        <is>
          <t>Not Eligible</t>
        </is>
      </c>
      <c r="CL1129"/>
      <c r="CM1129"/>
    </row>
    <row r="1130" ht="25.5" customHeight="1">
      <c r="A1130" t="inlineStr">
        <is>
          <t>185100</t>
        </is>
      </c>
      <c r="B1130" s="2"/>
      <c r="C1130"/>
      <c r="D1130" s="3">
        <v>46134.4090625</v>
      </c>
      <c r="E1130" t="inlineStr">
        <is>
          <t>Q2-W03</t>
        </is>
      </c>
      <c r="F1130" t="inlineStr">
        <is>
          <t>Dickson</t>
        </is>
      </c>
      <c r="G1130" t="inlineStr">
        <is>
          <t>Customer</t>
        </is>
      </c>
      <c r="H1130" s="2" t="str">
        <f>=HYPERLINK("https://upbox.ajobthing.my/customer/185100", "https://upbox.ajobthing.my/customer/185100")</f>
        <v>https://upbox.ajobthing.my/customer/185100</v>
      </c>
      <c r="I1130" t="inlineStr">
        <is>
          <t>A.C.E. Engineering and Industrial Supplies Sdn. Bhd.</t>
        </is>
      </c>
      <c r="J1130" t="inlineStr">
        <is>
          <t>Small Fish</t>
        </is>
      </c>
      <c r="K1130" t="inlineStr">
        <is>
          <t>Dickson</t>
        </is>
      </c>
      <c r="L1130" s="4"/>
      <c r="M1130" s="4">
        <v>46134.41336805555</v>
      </c>
      <c r="N1130"/>
      <c r="O1130">
        <v>3888</v>
      </c>
      <c r="P1130" s="4"/>
      <c r="Q1130" s="4">
        <v>45618.57591435185</v>
      </c>
      <c r="R1130"/>
      <c r="S1130">
        <v>972</v>
      </c>
      <c r="T1130" s="4">
        <v>45618</v>
      </c>
      <c r="U1130" s="4"/>
      <c r="V1130"/>
      <c r="W1130">
        <v>972</v>
      </c>
      <c r="X1130"/>
      <c r="Y1130" t="inlineStr">
        <is>
          <t>Pending Appointment</t>
        </is>
      </c>
      <c r="Z1130" t="inlineStr">
        <is>
          <t>Hiring Now</t>
        </is>
      </c>
      <c r="AA1130">
        <v>2</v>
      </c>
      <c r="AB1130" t="inlineStr">
        <is>
          <t>No Appointment Made</t>
        </is>
      </c>
      <c r="AC1130"/>
      <c r="AD1130" t="inlineStr">
        <is>
          <t>1 sales engineer, 1 sales executive</t>
        </is>
      </c>
      <c r="AE1130"/>
      <c r="AF1130"/>
      <c r="AG1130" s="4"/>
      <c r="AH1130" s="4"/>
      <c r="AI1130"/>
      <c r="AJ1130">
        <v>1</v>
      </c>
      <c r="AK1130" t="inlineStr">
        <is>
          <t>No, I don't need at all</t>
        </is>
      </c>
      <c r="AL1130"/>
      <c r="AM1130" t="inlineStr">
        <is>
          <t>No, I don't need at all</t>
        </is>
      </c>
      <c r="AN1130"/>
      <c r="AO1130" t="inlineStr">
        <is>
          <t>No, I don't need at all</t>
        </is>
      </c>
      <c r="AP1130" t="inlineStr">
        <is>
          <t>Once per quarter (75%)</t>
        </is>
      </c>
      <c r="AQ1130"/>
      <c r="AR1130"/>
      <c r="AS1130" t="inlineStr">
        <is>
          <t>- Headcount: 2
- Hiring Job Details: 1 sales engineer, 1 sales executive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AT1130">
        <v>95</v>
      </c>
      <c r="AU1130" t="inlineStr">
        <is>
          <t>0.95</t>
        </is>
      </c>
      <c r="AV1130" t="inlineStr">
        <is>
          <t>5</t>
        </is>
      </c>
      <c r="AW1130" t="inlineStr">
        <is>
          <t>0</t>
        </is>
      </c>
      <c r="AX1130" t="inlineStr">
        <is>
          <t>Not Qualified</t>
        </is>
      </c>
      <c r="AY1130" s="4"/>
      <c r="AZ1130"/>
      <c r="BA1130"/>
      <c r="BB1130"/>
      <c r="BC1130" t="inlineStr">
        <is>
          <t>hiring 2 positions. sent quo</t>
        </is>
      </c>
      <c r="BD1130" s="4">
        <v>46134.42188657408</v>
      </c>
      <c r="BE1130" t="inlineStr">
        <is>
          <t>paid</t>
        </is>
      </c>
      <c r="BF1130"/>
      <c r="BG1130" t="inlineStr">
        <is>
          <t>Reschedule</t>
        </is>
      </c>
      <c r="BH1130" t="inlineStr">
        <is>
          <t>Edward Hoo</t>
        </is>
      </c>
      <c r="BI1130" t="inlineStr">
        <is>
          <t>Engineering / Technical Consulting</t>
        </is>
      </c>
      <c r="BJ1130" s="4">
        <v>46144.75204861111</v>
      </c>
      <c r="BK1130" s="4">
        <v>45618.57256944444</v>
      </c>
      <c r="BL1130" t="inlineStr">
        <is>
          <t>0.0</t>
        </is>
      </c>
      <c r="BM1130" t="inlineStr">
        <is>
          <t>0.0</t>
        </is>
      </c>
      <c r="BN1130" t="inlineStr">
        <is>
          <t>View Candidate Search Page</t>
        </is>
      </c>
      <c r="BO1130" s="4">
        <v>45693.454097222224</v>
      </c>
      <c r="BP1130">
        <v>168188</v>
      </c>
      <c r="BQ1130">
        <v>97850</v>
      </c>
      <c r="BR1130" t="inlineStr">
        <is>
          <t>Proforma</t>
        </is>
      </c>
      <c r="BS1130" t="inlineStr">
        <is>
          <t>Beginner Plus</t>
        </is>
      </c>
      <c r="BT1130">
        <v>74889</v>
      </c>
      <c r="BU1130"/>
      <c r="BV1130">
        <v>2719582</v>
      </c>
      <c r="BW1130" t="inlineStr">
        <is>
          <t>Inquire for Hiring Needs : Quotation Sent 50%</t>
        </is>
      </c>
      <c r="BX1130"/>
      <c r="BY1130"/>
      <c r="BZ1130" s="4"/>
      <c r="CA1130"/>
      <c r="CB1130"/>
      <c r="CC1130" s="4"/>
      <c r="CD1130" t="inlineStr">
        <is>
          <t>5</t>
        </is>
      </c>
      <c r="CE1130" t="inlineStr">
        <is>
          <t>0</t>
        </is>
      </c>
      <c r="CF1130" t="inlineStr">
        <is>
          <t>Q2-W03</t>
        </is>
      </c>
      <c r="CG1130"/>
      <c r="CH1130"/>
      <c r="CI1130"/>
      <c r="CJ1130" t="inlineStr">
        <is>
          <t>Paid</t>
        </is>
      </c>
      <c r="CK1130" t="inlineStr">
        <is>
          <t>Not Eligible</t>
        </is>
      </c>
      <c r="CL1130"/>
      <c r="CM1130"/>
    </row>
    <row r="1131" ht="25.5" customHeight="1">
      <c r="A1131" t="inlineStr">
        <is>
          <t>4312463</t>
        </is>
      </c>
      <c r="B1131" s="2"/>
      <c r="C1131"/>
      <c r="D1131" s="3">
        <v>46134.419699074075</v>
      </c>
      <c r="E1131" t="inlineStr">
        <is>
          <t>Q2-W03</t>
        </is>
      </c>
      <c r="F1131" t="inlineStr">
        <is>
          <t>Lucas</t>
        </is>
      </c>
      <c r="G1131" t="inlineStr">
        <is>
          <t>Lead</t>
        </is>
      </c>
      <c r="H1131" s="2" t="str">
        <f>=HYPERLINK("https://upbox.ajobthing.my/leads/4312463", "https://upbox.ajobthing.my/leads/4312463")</f>
        <v>https://upbox.ajobthing.my/leads/4312463</v>
      </c>
      <c r="I1131" t="inlineStr">
        <is>
          <t>KIMASON GROUP (KL) SDN BHD</t>
        </is>
      </c>
      <c r="J1131" t="inlineStr">
        <is>
          <t>Small Fish</t>
        </is>
      </c>
      <c r="K1131" t="inlineStr">
        <is>
          <t>Lucas</t>
        </is>
      </c>
      <c r="L1131" s="4"/>
      <c r="M1131" s="4">
        <v>46134.418761574074</v>
      </c>
      <c r="N1131"/>
      <c r="O1131">
        <v>3888</v>
      </c>
      <c r="P1131" s="4"/>
      <c r="Q1131" s="4"/>
      <c r="R1131"/>
      <c r="S1131"/>
      <c r="T1131" s="4"/>
      <c r="U1131" s="4"/>
      <c r="V1131"/>
      <c r="W1131"/>
      <c r="X1131"/>
      <c r="Y1131" t="inlineStr">
        <is>
          <t>Pending Appointment</t>
        </is>
      </c>
      <c r="Z1131" t="inlineStr">
        <is>
          <t>Hiring Now</t>
        </is>
      </c>
      <c r="AA1131">
        <v>1</v>
      </c>
      <c r="AB1131" t="inlineStr">
        <is>
          <t>No Appointment Made</t>
        </is>
      </c>
      <c r="AC1131"/>
      <c r="AD1131" t="inlineStr">
        <is>
          <t xml:space="preserve">1 customer management executive , mandarin candidate </t>
        </is>
      </c>
      <c r="AE1131"/>
      <c r="AF1131">
        <v>0</v>
      </c>
      <c r="AG1131" s="4"/>
      <c r="AH1131" s="4"/>
      <c r="AI1131">
        <v>0</v>
      </c>
      <c r="AJ1131">
        <v>0</v>
      </c>
      <c r="AK1131" t="inlineStr">
        <is>
          <t>No, I don't need at all</t>
        </is>
      </c>
      <c r="AL1131">
        <v>0</v>
      </c>
      <c r="AM1131" t="inlineStr">
        <is>
          <t>No, I don't need at all</t>
        </is>
      </c>
      <c r="AN1131"/>
      <c r="AO1131" t="inlineStr">
        <is>
          <t>No, I don't need at all</t>
        </is>
      </c>
      <c r="AP1131" t="inlineStr">
        <is>
          <t>Once a year (25%)</t>
        </is>
      </c>
      <c r="AQ1131">
        <v>1</v>
      </c>
      <c r="AR1131" t="inlineStr">
        <is>
          <t>Did not use any job portal</t>
        </is>
      </c>
      <c r="AS1131" t="inlineStr">
        <is>
          <t>- Headcount: 1
- Hiring Job Details: 1 customer management executive, mandarin candidate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131">
        <v>100</v>
      </c>
      <c r="AU1131" t="inlineStr">
        <is>
          <t>1.00</t>
        </is>
      </c>
      <c r="AV1131" t="inlineStr">
        <is>
          <t>15</t>
        </is>
      </c>
      <c r="AW1131" t="inlineStr">
        <is>
          <t>0</t>
        </is>
      </c>
      <c r="AX1131" t="inlineStr">
        <is>
          <t>Not Qualified</t>
        </is>
      </c>
      <c r="AY1131" s="4"/>
      <c r="AZ1131"/>
      <c r="BA1131"/>
      <c r="BB1131"/>
      <c r="BC1131"/>
      <c r="BD1131" s="4"/>
      <c r="BE1131"/>
      <c r="BF1131"/>
      <c r="BG1131" t="inlineStr">
        <is>
          <t>Reschedule</t>
        </is>
      </c>
      <c r="BH1131" t="inlineStr">
        <is>
          <t>Yee Hang</t>
        </is>
      </c>
      <c r="BI1131"/>
      <c r="BJ1131" s="4">
        <v>46144.755902777775</v>
      </c>
      <c r="BK1131" s="4">
        <v>46134.40771990741</v>
      </c>
      <c r="BL1131" t="inlineStr">
        <is>
          <t>0.0</t>
        </is>
      </c>
      <c r="BM1131" t="inlineStr">
        <is>
          <t>0.0</t>
        </is>
      </c>
      <c r="BN1131"/>
      <c r="BO1131" s="4"/>
      <c r="BP1131">
        <v>168195</v>
      </c>
      <c r="BQ1131"/>
      <c r="BR1131"/>
      <c r="BS1131"/>
      <c r="BT1131"/>
      <c r="BU1131"/>
      <c r="BV1131"/>
      <c r="BW1131"/>
      <c r="BX1131"/>
      <c r="BY1131"/>
      <c r="BZ1131" s="4"/>
      <c r="CA1131"/>
      <c r="CB1131"/>
      <c r="CC1131" s="4"/>
      <c r="CD1131" t="inlineStr">
        <is>
          <t>20</t>
        </is>
      </c>
      <c r="CE1131" t="inlineStr">
        <is>
          <t>0</t>
        </is>
      </c>
      <c r="CF1131" t="inlineStr">
        <is>
          <t>Q2-W03</t>
        </is>
      </c>
      <c r="CG1131"/>
      <c r="CH1131"/>
      <c r="CI1131"/>
      <c r="CJ1131" t="inlineStr">
        <is>
          <t>No Paid</t>
        </is>
      </c>
      <c r="CK1131" t="inlineStr">
        <is>
          <t>Not Eligible</t>
        </is>
      </c>
      <c r="CL1131"/>
      <c r="CM1131"/>
    </row>
    <row r="1132" ht="25.5" customHeight="1">
      <c r="A1132" t="inlineStr">
        <is>
          <t>4312438</t>
        </is>
      </c>
      <c r="B1132" s="2"/>
      <c r="C1132"/>
      <c r="D1132" s="3">
        <v>46134.42891203704</v>
      </c>
      <c r="E1132" t="inlineStr">
        <is>
          <t>Q2-W03</t>
        </is>
      </c>
      <c r="F1132" t="inlineStr">
        <is>
          <t>Janice Yap</t>
        </is>
      </c>
      <c r="G1132" t="inlineStr">
        <is>
          <t>Lead</t>
        </is>
      </c>
      <c r="H1132" s="2" t="str">
        <f>=HYPERLINK("https://upbox.ajobthing.my/leads/4312438", "https://upbox.ajobthing.my/leads/4312438")</f>
        <v>https://upbox.ajobthing.my/leads/4312438</v>
      </c>
      <c r="I1132" t="inlineStr">
        <is>
          <t>YFL (MALAYSIA) SDN BHD</t>
        </is>
      </c>
      <c r="J1132" t="inlineStr">
        <is>
          <t>Small Fish</t>
        </is>
      </c>
      <c r="K1132" t="inlineStr">
        <is>
          <t>Janice</t>
        </is>
      </c>
      <c r="L1132" s="4"/>
      <c r="M1132" s="4">
        <v>46135.39072916667</v>
      </c>
      <c r="N1132"/>
      <c r="O1132">
        <v>3888</v>
      </c>
      <c r="P1132" s="4"/>
      <c r="Q1132" s="4"/>
      <c r="R1132"/>
      <c r="S1132"/>
      <c r="T1132" s="4"/>
      <c r="U1132" s="4"/>
      <c r="V1132"/>
      <c r="W1132"/>
      <c r="X1132"/>
      <c r="Y1132" t="inlineStr">
        <is>
          <t>Pending Appointment</t>
        </is>
      </c>
      <c r="Z1132" t="inlineStr">
        <is>
          <t>Hiring Now</t>
        </is>
      </c>
      <c r="AA1132">
        <v>4</v>
      </c>
      <c r="AB1132" t="inlineStr">
        <is>
          <t>No Appointment Made</t>
        </is>
      </c>
      <c r="AC1132"/>
      <c r="AD1132" t="inlineStr">
        <is>
          <t>operation admin // intern // account assist // manager</t>
        </is>
      </c>
      <c r="AE1132"/>
      <c r="AF1132">
        <v>0</v>
      </c>
      <c r="AG1132" s="4"/>
      <c r="AH1132" s="4"/>
      <c r="AI1132">
        <v>0</v>
      </c>
      <c r="AJ1132"/>
      <c r="AK1132" t="inlineStr">
        <is>
          <t>No, I don't need at all</t>
        </is>
      </c>
      <c r="AL1132">
        <v>0</v>
      </c>
      <c r="AM1132" t="inlineStr">
        <is>
          <t>No, I don't need at all</t>
        </is>
      </c>
      <c r="AN1132"/>
      <c r="AO1132" t="inlineStr">
        <is>
          <t>No, I don't need at all</t>
        </is>
      </c>
      <c r="AP1132" t="inlineStr">
        <is>
          <t>Once a year (25%)</t>
        </is>
      </c>
      <c r="AQ1132">
        <v>4</v>
      </c>
      <c r="AR1132" t="inlineStr">
        <is>
          <t>Jobstreet, Indeed (Paid)</t>
        </is>
      </c>
      <c r="AS1132" t="inlineStr">
        <is>
          <t>- Headcount: 4
- Hiring Job Details: operation admin, intern, account assist, manager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4
- Hiring frequency: Once a year (25%)
- External job portal: Jobstreet, Indeed (Paid)</t>
        </is>
      </c>
      <c r="AT1132">
        <v>85</v>
      </c>
      <c r="AU1132" t="inlineStr">
        <is>
          <t>0.85</t>
        </is>
      </c>
      <c r="AV1132" t="inlineStr">
        <is>
          <t>15</t>
        </is>
      </c>
      <c r="AW1132" t="inlineStr">
        <is>
          <t>0</t>
        </is>
      </c>
      <c r="AX1132" t="inlineStr">
        <is>
          <t>Not Qualified</t>
        </is>
      </c>
      <c r="AY1132" s="4"/>
      <c r="AZ1132"/>
      <c r="BA1132"/>
      <c r="BB1132"/>
      <c r="BC1132"/>
      <c r="BD1132" s="4"/>
      <c r="BE1132"/>
      <c r="BF1132"/>
      <c r="BG1132" t="inlineStr">
        <is>
          <t>Reschedule</t>
        </is>
      </c>
      <c r="BH1132" t="inlineStr">
        <is>
          <t>Yee Hang</t>
        </is>
      </c>
      <c r="BI1132"/>
      <c r="BJ1132" s="4">
        <v>46144.755902777775</v>
      </c>
      <c r="BK1132" s="4">
        <v>46134.40315972222</v>
      </c>
      <c r="BL1132" t="inlineStr">
        <is>
          <t>0.0</t>
        </is>
      </c>
      <c r="BM1132" t="inlineStr">
        <is>
          <t>0.0</t>
        </is>
      </c>
      <c r="BN1132"/>
      <c r="BO1132" s="4"/>
      <c r="BP1132">
        <v>168426</v>
      </c>
      <c r="BQ1132"/>
      <c r="BR1132"/>
      <c r="BS1132"/>
      <c r="BT1132"/>
      <c r="BU1132"/>
      <c r="BV1132"/>
      <c r="BW1132"/>
      <c r="BX1132"/>
      <c r="BY1132"/>
      <c r="BZ1132" s="4"/>
      <c r="CA1132"/>
      <c r="CB1132"/>
      <c r="CC1132" s="4"/>
      <c r="CD1132" t="inlineStr">
        <is>
          <t>20</t>
        </is>
      </c>
      <c r="CE1132" t="inlineStr">
        <is>
          <t>0</t>
        </is>
      </c>
      <c r="CF1132" t="inlineStr">
        <is>
          <t>Q2-W03</t>
        </is>
      </c>
      <c r="CG1132"/>
      <c r="CH1132"/>
      <c r="CI1132"/>
      <c r="CJ1132" t="inlineStr">
        <is>
          <t>No Paid</t>
        </is>
      </c>
      <c r="CK1132" t="inlineStr">
        <is>
          <t>Not Eligible</t>
        </is>
      </c>
      <c r="CL1132"/>
      <c r="CM1132"/>
    </row>
    <row r="1133" ht="25.5" customHeight="1">
      <c r="A1133" t="inlineStr">
        <is>
          <t>146264</t>
        </is>
      </c>
      <c r="B1133" s="2"/>
      <c r="C1133"/>
      <c r="D1133" s="3">
        <v>46134.43125</v>
      </c>
      <c r="E1133" t="inlineStr">
        <is>
          <t>Q2-W03</t>
        </is>
      </c>
      <c r="F1133" t="inlineStr">
        <is>
          <t>Xin Hui</t>
        </is>
      </c>
      <c r="G1133" t="inlineStr">
        <is>
          <t>Customer</t>
        </is>
      </c>
      <c r="H1133" s="2" t="str">
        <f>=HYPERLINK("https://upbox.ajobthing.my/customer/146264", "https://upbox.ajobthing.my/customer/146264")</f>
        <v>https://upbox.ajobthing.my/customer/146264</v>
      </c>
      <c r="I1133" t="inlineStr">
        <is>
          <t>Enlinea Wholesale Enterprise</t>
        </is>
      </c>
      <c r="J1133" t="inlineStr">
        <is>
          <t>Small Fish</t>
        </is>
      </c>
      <c r="K1133" t="inlineStr">
        <is>
          <t>Xin Hui</t>
        </is>
      </c>
      <c r="L1133" s="4"/>
      <c r="M1133" s="4">
        <v>46134.41668981482</v>
      </c>
      <c r="N1133"/>
      <c r="O1133">
        <v>3888</v>
      </c>
      <c r="P1133" s="4"/>
      <c r="Q1133" s="4">
        <v>45287.75146990741</v>
      </c>
      <c r="R1133"/>
      <c r="S1133">
        <v>954</v>
      </c>
      <c r="T1133" s="4">
        <v>45287.75146990741</v>
      </c>
      <c r="U1133" s="4"/>
      <c r="V1133"/>
      <c r="W1133">
        <v>954</v>
      </c>
      <c r="X1133"/>
      <c r="Y1133" t="inlineStr">
        <is>
          <t>Pending Appointment</t>
        </is>
      </c>
      <c r="Z1133" t="inlineStr">
        <is>
          <t>Hiring Now</t>
        </is>
      </c>
      <c r="AA1133">
        <v>3</v>
      </c>
      <c r="AB1133" t="inlineStr">
        <is>
          <t>No Appointment Made</t>
        </is>
      </c>
      <c r="AC1133"/>
      <c r="AD1133" t="inlineStr">
        <is>
          <t xml:space="preserve">QS / Accountant / content creator </t>
        </is>
      </c>
      <c r="AE1133"/>
      <c r="AF1133"/>
      <c r="AG1133" s="4"/>
      <c r="AH1133" s="4"/>
      <c r="AI1133"/>
      <c r="AJ1133"/>
      <c r="AK1133" t="inlineStr">
        <is>
          <t>No, I don't need at all</t>
        </is>
      </c>
      <c r="AL1133"/>
      <c r="AM1133" t="inlineStr">
        <is>
          <t>No, I don't need at all</t>
        </is>
      </c>
      <c r="AN1133"/>
      <c r="AO1133" t="inlineStr">
        <is>
          <t>No, I don't need at all</t>
        </is>
      </c>
      <c r="AP1133" t="inlineStr">
        <is>
          <t>Once a year (25%)</t>
        </is>
      </c>
      <c r="AQ1133"/>
      <c r="AR1133"/>
      <c r="AS1133" t="inlineStr">
        <is>
          <t>- Headcount: 3
- Hiring Job Details: QS / Accountant / content creator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133">
        <v>75</v>
      </c>
      <c r="AU1133" t="inlineStr">
        <is>
          <t>0.75</t>
        </is>
      </c>
      <c r="AV1133" t="inlineStr">
        <is>
          <t>5</t>
        </is>
      </c>
      <c r="AW1133" t="inlineStr">
        <is>
          <t>0</t>
        </is>
      </c>
      <c r="AX1133" t="inlineStr">
        <is>
          <t>Not Qualified</t>
        </is>
      </c>
      <c r="AY1133" s="4"/>
      <c r="AZ1133"/>
      <c r="BA1133"/>
      <c r="BB1133"/>
      <c r="BC1133" t="inlineStr">
        <is>
          <t>- Headcount: 3
- Hiring Job Details: QS / Accountant / content creator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BD1133" s="4">
        <v>46134.45835648148</v>
      </c>
      <c r="BE1133" t="inlineStr">
        <is>
          <t>paid</t>
        </is>
      </c>
      <c r="BF1133"/>
      <c r="BG1133" t="inlineStr">
        <is>
          <t>Reschedule</t>
        </is>
      </c>
      <c r="BH1133" t="inlineStr">
        <is>
          <t>Yee Hang</t>
        </is>
      </c>
      <c r="BI1133" t="inlineStr">
        <is>
          <t>Retail / Merchandise</t>
        </is>
      </c>
      <c r="BJ1133" s="4">
        <v>46144.75077546296</v>
      </c>
      <c r="BK1133" s="4">
        <v>44560.50409722222</v>
      </c>
      <c r="BL1133" t="inlineStr">
        <is>
          <t>0.0</t>
        </is>
      </c>
      <c r="BM1133" t="inlineStr">
        <is>
          <t>0.0</t>
        </is>
      </c>
      <c r="BN1133" t="inlineStr">
        <is>
          <t>PA Visit - Applicant Manager</t>
        </is>
      </c>
      <c r="BO1133" s="4">
        <v>45421.47519675926</v>
      </c>
      <c r="BP1133">
        <v>168194</v>
      </c>
      <c r="BQ1133">
        <v>64823</v>
      </c>
      <c r="BR1133" t="inlineStr">
        <is>
          <t>Online</t>
        </is>
      </c>
      <c r="BS1133"/>
      <c r="BT1133">
        <v>64823</v>
      </c>
      <c r="BU1133"/>
      <c r="BV1133">
        <v>2719871</v>
      </c>
      <c r="BW1133" t="inlineStr">
        <is>
          <t>Customer Inquiry</t>
        </is>
      </c>
      <c r="BX1133"/>
      <c r="BY1133"/>
      <c r="BZ1133" s="4"/>
      <c r="CA1133"/>
      <c r="CB1133"/>
      <c r="CC1133" s="4"/>
      <c r="CD1133" t="inlineStr">
        <is>
          <t>5</t>
        </is>
      </c>
      <c r="CE1133" t="inlineStr">
        <is>
          <t>0</t>
        </is>
      </c>
      <c r="CF1133" t="inlineStr">
        <is>
          <t>Q2-W03</t>
        </is>
      </c>
      <c r="CG1133"/>
      <c r="CH1133"/>
      <c r="CI1133"/>
      <c r="CJ1133" t="inlineStr">
        <is>
          <t>Paid</t>
        </is>
      </c>
      <c r="CK1133" t="inlineStr">
        <is>
          <t>Not Eligible</t>
        </is>
      </c>
      <c r="CL1133"/>
      <c r="CM1133"/>
    </row>
    <row r="1134" ht="25.5" customHeight="1">
      <c r="A1134" t="inlineStr">
        <is>
          <t>196686</t>
        </is>
      </c>
      <c r="B1134" s="2"/>
      <c r="C1134"/>
      <c r="D1134" s="3">
        <v>46134.43435185185</v>
      </c>
      <c r="E1134" t="inlineStr">
        <is>
          <t>Q2-W03</t>
        </is>
      </c>
      <c r="F1134" t="inlineStr">
        <is>
          <t>Dickson</t>
        </is>
      </c>
      <c r="G1134" t="inlineStr">
        <is>
          <t>Customer</t>
        </is>
      </c>
      <c r="H1134" s="2" t="str">
        <f>=HYPERLINK("https://upbox.ajobthing.my/customer/196686", "https://upbox.ajobthing.my/customer/196686")</f>
        <v>https://upbox.ajobthing.my/customer/196686</v>
      </c>
      <c r="I1134" t="inlineStr">
        <is>
          <t xml:space="preserve">Lifkon Swk Enterprises Sdn Bhd </t>
        </is>
      </c>
      <c r="J1134" t="inlineStr">
        <is>
          <t>Small Fish</t>
        </is>
      </c>
      <c r="K1134" t="inlineStr">
        <is>
          <t>Dickson</t>
        </is>
      </c>
      <c r="L1134" s="4"/>
      <c r="M1134" s="4">
        <v>46134.43444444444</v>
      </c>
      <c r="N1134"/>
      <c r="O1134">
        <v>3888</v>
      </c>
      <c r="P1134" s="4"/>
      <c r="Q1134" s="4"/>
      <c r="R1134"/>
      <c r="S1134"/>
      <c r="T1134" s="4"/>
      <c r="U1134" s="4"/>
      <c r="V1134"/>
      <c r="W1134"/>
      <c r="X1134"/>
      <c r="Y1134" t="inlineStr">
        <is>
          <t>Pending Appointment</t>
        </is>
      </c>
      <c r="Z1134" t="inlineStr">
        <is>
          <t>Hiring Now</t>
        </is>
      </c>
      <c r="AA1134">
        <v>2</v>
      </c>
      <c r="AB1134" t="inlineStr">
        <is>
          <t>No Appointment Made</t>
        </is>
      </c>
      <c r="AC1134"/>
      <c r="AD1134" t="inlineStr">
        <is>
          <t>project engineer - 1 entry level (fresh grad)
sales consultant -1 (prefer to have sales background)</t>
        </is>
      </c>
      <c r="AE1134"/>
      <c r="AF1134"/>
      <c r="AG1134" s="4"/>
      <c r="AH1134" s="4"/>
      <c r="AI1134"/>
      <c r="AJ1134">
        <v>1</v>
      </c>
      <c r="AK1134" t="inlineStr">
        <is>
          <t>No, I don't need at all</t>
        </is>
      </c>
      <c r="AL1134"/>
      <c r="AM1134" t="inlineStr">
        <is>
          <t>No, I don't need at all</t>
        </is>
      </c>
      <c r="AN1134"/>
      <c r="AO1134" t="inlineStr">
        <is>
          <t>No, I don't need at all</t>
        </is>
      </c>
      <c r="AP1134" t="inlineStr">
        <is>
          <t>Once per quarter (75%)</t>
        </is>
      </c>
      <c r="AQ1134"/>
      <c r="AR1134" t="inlineStr">
        <is>
          <t>Jobstreet</t>
        </is>
      </c>
      <c r="AS1134" t="inlineStr">
        <is>
          <t>- Headcount: 2
- Hiring Job Details: 1 entry level project engineer (fresh grad), 1 sales consultant (prefer sales background)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134">
        <v>95</v>
      </c>
      <c r="AU1134" t="inlineStr">
        <is>
          <t>0.95</t>
        </is>
      </c>
      <c r="AV1134" t="inlineStr">
        <is>
          <t>5</t>
        </is>
      </c>
      <c r="AW1134" t="inlineStr">
        <is>
          <t>0</t>
        </is>
      </c>
      <c r="AX1134" t="inlineStr">
        <is>
          <t>Not Qualified</t>
        </is>
      </c>
      <c r="AY1134" s="4"/>
      <c r="AZ1134"/>
      <c r="BA1134"/>
      <c r="BB1134"/>
      <c r="BC1134" t="inlineStr">
        <is>
          <t>no response</t>
        </is>
      </c>
      <c r="BD1134" s="4">
        <v>46139.79313657407</v>
      </c>
      <c r="BE1134"/>
      <c r="BF1134"/>
      <c r="BG1134" t="inlineStr">
        <is>
          <t>Reschedule</t>
        </is>
      </c>
      <c r="BH1134" t="inlineStr">
        <is>
          <t>Edward Hoo</t>
        </is>
      </c>
      <c r="BI1134"/>
      <c r="BJ1134" s="4">
        <v>46144.75283564815</v>
      </c>
      <c r="BK1134" s="4">
        <v>45930.00944444445</v>
      </c>
      <c r="BL1134" t="inlineStr">
        <is>
          <t>0.0</t>
        </is>
      </c>
      <c r="BM1134" t="inlineStr">
        <is>
          <t>0.0</t>
        </is>
      </c>
      <c r="BN1134" t="inlineStr">
        <is>
          <t>Instant Register</t>
        </is>
      </c>
      <c r="BO1134" s="4">
        <v>45930.00945601852</v>
      </c>
      <c r="BP1134">
        <v>168208</v>
      </c>
      <c r="BQ1134"/>
      <c r="BR1134"/>
      <c r="BS1134"/>
      <c r="BT1134"/>
      <c r="BU1134"/>
      <c r="BV1134">
        <v>2731637</v>
      </c>
      <c r="BW1134" t="inlineStr">
        <is>
          <t>No Answer : Voicemail - WA sent to customer</t>
        </is>
      </c>
      <c r="BX1134"/>
      <c r="BY1134"/>
      <c r="BZ1134" s="4"/>
      <c r="CA1134"/>
      <c r="CB1134"/>
      <c r="CC1134" s="4"/>
      <c r="CD1134" t="inlineStr">
        <is>
          <t>5</t>
        </is>
      </c>
      <c r="CE1134" t="inlineStr">
        <is>
          <t>0</t>
        </is>
      </c>
      <c r="CF1134" t="inlineStr">
        <is>
          <t>Q2-W03</t>
        </is>
      </c>
      <c r="CG1134"/>
      <c r="CH1134"/>
      <c r="CI1134"/>
      <c r="CJ1134" t="inlineStr">
        <is>
          <t>No Paid</t>
        </is>
      </c>
      <c r="CK1134" t="inlineStr">
        <is>
          <t>Not Eligible</t>
        </is>
      </c>
      <c r="CL1134"/>
      <c r="CM1134"/>
    </row>
    <row r="1135" ht="25.5" customHeight="1">
      <c r="A1135" t="inlineStr">
        <is>
          <t>203502</t>
        </is>
      </c>
      <c r="B1135" s="2"/>
      <c r="C1135"/>
      <c r="D1135" s="3">
        <v>46134.43854166667</v>
      </c>
      <c r="E1135" t="inlineStr">
        <is>
          <t>Q2-W03</t>
        </is>
      </c>
      <c r="F1135" t="inlineStr">
        <is>
          <t>Chia Yee</t>
        </is>
      </c>
      <c r="G1135" t="inlineStr">
        <is>
          <t>Customer</t>
        </is>
      </c>
      <c r="H1135" s="2" t="str">
        <f>=HYPERLINK("https://upbox.ajobthing.my/customer/203502", "https://upbox.ajobthing.my/customer/203502")</f>
        <v>https://upbox.ajobthing.my/customer/203502</v>
      </c>
      <c r="I1135" t="inlineStr">
        <is>
          <t>SSD Projects Sdn Bhd</t>
        </is>
      </c>
      <c r="J1135" t="inlineStr">
        <is>
          <t>Small Fish</t>
        </is>
      </c>
      <c r="K1135" t="inlineStr">
        <is>
          <t>Chia Yee</t>
        </is>
      </c>
      <c r="L1135" s="4"/>
      <c r="M1135" s="4">
        <v>46134.43865740741</v>
      </c>
      <c r="N1135"/>
      <c r="O1135">
        <v>3888</v>
      </c>
      <c r="P1135" s="4"/>
      <c r="Q1135" s="4"/>
      <c r="R1135"/>
      <c r="S1135"/>
      <c r="T1135" s="4"/>
      <c r="U1135" s="4"/>
      <c r="V1135"/>
      <c r="W1135"/>
      <c r="X1135"/>
      <c r="Y1135" t="inlineStr">
        <is>
          <t>Pending Appointment</t>
        </is>
      </c>
      <c r="Z1135" t="inlineStr">
        <is>
          <t>Hiring Now</t>
        </is>
      </c>
      <c r="AA1135">
        <v>1</v>
      </c>
      <c r="AB1135" t="inlineStr">
        <is>
          <t>No Appointment Made</t>
        </is>
      </c>
      <c r="AC1135"/>
      <c r="AD1135" t="inlineStr">
        <is>
          <t>1 Personal Assistant</t>
        </is>
      </c>
      <c r="AE1135"/>
      <c r="AF1135">
        <v>0</v>
      </c>
      <c r="AG1135" s="4"/>
      <c r="AH1135" s="4"/>
      <c r="AI1135">
        <v>0</v>
      </c>
      <c r="AJ1135">
        <v>1</v>
      </c>
      <c r="AK1135" t="inlineStr">
        <is>
          <t>No, I don't need at all</t>
        </is>
      </c>
      <c r="AL1135">
        <v>1</v>
      </c>
      <c r="AM1135" t="inlineStr">
        <is>
          <t>No, I don't need at all</t>
        </is>
      </c>
      <c r="AN1135"/>
      <c r="AO1135" t="inlineStr">
        <is>
          <t>Yes, I have</t>
        </is>
      </c>
      <c r="AP1135" t="inlineStr">
        <is>
          <t>Once a year (25%)</t>
        </is>
      </c>
      <c r="AQ1135">
        <v>1</v>
      </c>
      <c r="AR1135" t="inlineStr">
        <is>
          <t>Did not use any job portal</t>
        </is>
      </c>
      <c r="AS1135" t="inlineStr">
        <is>
          <t>- Headcount: 1
- Hiring Job Details: 1 Personal Assistant
- Hiring Urgency: Hiring Now
- Number of outlets: 1
- Have recruiter team: No, I don't need at all
- Number of recruiter in company: 1
- Have ATS system: No, I don't need at all
- Have career website: Yes
- Current hiring budget: RM0
- Whole year budget: RM0.00
- Whole year number of vacancies: 1
- Hiring frequency: Once a year (25%)
- External job portal: Did not use any job portal</t>
        </is>
      </c>
      <c r="AT1135">
        <v>115</v>
      </c>
      <c r="AU1135" t="inlineStr">
        <is>
          <t>1.15</t>
        </is>
      </c>
      <c r="AV1135" t="inlineStr">
        <is>
          <t>15</t>
        </is>
      </c>
      <c r="AW1135" t="inlineStr">
        <is>
          <t>0</t>
        </is>
      </c>
      <c r="AX1135" t="inlineStr">
        <is>
          <t>Not Qualified</t>
        </is>
      </c>
      <c r="AY1135" s="4"/>
      <c r="AZ1135"/>
      <c r="BA1135"/>
      <c r="BB1135"/>
      <c r="BC1135" t="inlineStr">
        <is>
          <t>Replied: we already have the person for this position so we would not need any job posting.</t>
        </is>
      </c>
      <c r="BD1135" s="4">
        <v>46140.556875</v>
      </c>
      <c r="BE1135"/>
      <c r="BF1135"/>
      <c r="BG1135" t="inlineStr">
        <is>
          <t>Reschedule</t>
        </is>
      </c>
      <c r="BH1135" t="inlineStr">
        <is>
          <t>Reagen</t>
        </is>
      </c>
      <c r="BI1135"/>
      <c r="BJ1135" s="4">
        <v>46144.754328703704</v>
      </c>
      <c r="BK1135" s="4">
        <v>46133.79020833333</v>
      </c>
      <c r="BL1135" t="inlineStr">
        <is>
          <t>0.0</t>
        </is>
      </c>
      <c r="BM1135" t="inlineStr">
        <is>
          <t>0.0</t>
        </is>
      </c>
      <c r="BN1135" t="inlineStr">
        <is>
          <t>View Candidate Search Page</t>
        </is>
      </c>
      <c r="BO1135" s="4">
        <v>46133.82408564815</v>
      </c>
      <c r="BP1135">
        <v>168211</v>
      </c>
      <c r="BQ1135"/>
      <c r="BR1135"/>
      <c r="BS1135"/>
      <c r="BT1135"/>
      <c r="BU1135"/>
      <c r="BV1135">
        <v>2732542</v>
      </c>
      <c r="BW1135" t="inlineStr">
        <is>
          <t>Inquire for Hiring Needs : No Hiring</t>
        </is>
      </c>
      <c r="BX1135"/>
      <c r="BY1135"/>
      <c r="BZ1135" s="4"/>
      <c r="CA1135"/>
      <c r="CB1135"/>
      <c r="CC1135" s="4"/>
      <c r="CD1135" t="inlineStr">
        <is>
          <t>20</t>
        </is>
      </c>
      <c r="CE1135" t="inlineStr">
        <is>
          <t>0</t>
        </is>
      </c>
      <c r="CF1135" t="inlineStr">
        <is>
          <t>Q2-W03</t>
        </is>
      </c>
      <c r="CG1135"/>
      <c r="CH1135"/>
      <c r="CI1135"/>
      <c r="CJ1135" t="inlineStr">
        <is>
          <t>No Paid</t>
        </is>
      </c>
      <c r="CK1135" t="inlineStr">
        <is>
          <t>Not Eligible</t>
        </is>
      </c>
      <c r="CL1135"/>
      <c r="CM1135"/>
    </row>
    <row r="1136" ht="25.5" customHeight="1">
      <c r="A1136" t="inlineStr">
        <is>
          <t>161863</t>
        </is>
      </c>
      <c r="B1136" s="2"/>
      <c r="C1136"/>
      <c r="D1136" s="3">
        <v>46134.450208333335</v>
      </c>
      <c r="E1136" t="inlineStr">
        <is>
          <t>Q2-W03</t>
        </is>
      </c>
      <c r="F1136" t="inlineStr">
        <is>
          <t>Luqman</t>
        </is>
      </c>
      <c r="G1136" t="inlineStr">
        <is>
          <t>Customer</t>
        </is>
      </c>
      <c r="H1136" s="2" t="str">
        <f>=HYPERLINK("https://upbox.ajobthing.my/customer/161863", "https://upbox.ajobthing.my/customer/161863")</f>
        <v>https://upbox.ajobthing.my/customer/161863</v>
      </c>
      <c r="I1136" t="inlineStr">
        <is>
          <t>AZ Interior Design Sdn Bhd</t>
        </is>
      </c>
      <c r="J1136" t="inlineStr">
        <is>
          <t>Small Fish</t>
        </is>
      </c>
      <c r="K1136" t="inlineStr">
        <is>
          <t>Luqman</t>
        </is>
      </c>
      <c r="L1136" s="4"/>
      <c r="M1136" s="4">
        <v>46139.61368055556</v>
      </c>
      <c r="N1136"/>
      <c r="O1136">
        <v>3888</v>
      </c>
      <c r="P1136" s="4"/>
      <c r="Q1136" s="4">
        <v>45069.31046296296</v>
      </c>
      <c r="R1136"/>
      <c r="S1136">
        <v>636</v>
      </c>
      <c r="T1136" s="4">
        <v>45068.00001157408</v>
      </c>
      <c r="U1136" s="4"/>
      <c r="V1136"/>
      <c r="W1136">
        <v>636</v>
      </c>
      <c r="X1136"/>
      <c r="Y1136" t="inlineStr">
        <is>
          <t>Pending Appointment</t>
        </is>
      </c>
      <c r="Z1136" t="inlineStr">
        <is>
          <t>Hiring Later</t>
        </is>
      </c>
      <c r="AA1136">
        <v>1</v>
      </c>
      <c r="AB1136" t="inlineStr">
        <is>
          <t>No Appointment Made</t>
        </is>
      </c>
      <c r="AC1136"/>
      <c r="AD1136" t="inlineStr">
        <is>
          <t xml:space="preserve">1. Graphic Designer </t>
        </is>
      </c>
      <c r="AE1136"/>
      <c r="AF1136">
        <v>1200</v>
      </c>
      <c r="AG1136" s="4"/>
      <c r="AH1136" s="4"/>
      <c r="AI1136">
        <v>1200</v>
      </c>
      <c r="AJ1136"/>
      <c r="AK1136" t="inlineStr">
        <is>
          <t>Yes, I have</t>
        </is>
      </c>
      <c r="AL1136">
        <v>2</v>
      </c>
      <c r="AM1136" t="inlineStr">
        <is>
          <t>No, I don't need at all</t>
        </is>
      </c>
      <c r="AN1136"/>
      <c r="AO1136" t="inlineStr">
        <is>
          <t>Yes, I have</t>
        </is>
      </c>
      <c r="AP1136" t="inlineStr">
        <is>
          <t>Once a year (25%)</t>
        </is>
      </c>
      <c r="AQ1136">
        <v>2</v>
      </c>
      <c r="AR1136" t="inlineStr">
        <is>
          <t>Free Job Portal</t>
        </is>
      </c>
      <c r="AS1136" t="inlineStr">
        <is>
          <t>- Headcount: 1
- Hiring Job Details: 1 Graphic Designer
- Hiring Urgency: Hiring Later
- Number of outlets: Not provided
- Have recruiter team: Yes
- Number of recruiter in company: 2
- Have ATS system: No, I don't need at all
- Have career website: Yes
- Current hiring budget: RM1,200
- Whole year budget: RM1,200.00
- Whole year number of vacancies: 2
- Hiring frequency: Once a year (25%)
- External job portal: Free Job Portal</t>
        </is>
      </c>
      <c r="AT1136">
        <v>115</v>
      </c>
      <c r="AU1136" t="inlineStr">
        <is>
          <t>1.15</t>
        </is>
      </c>
      <c r="AV1136" t="inlineStr">
        <is>
          <t>15</t>
        </is>
      </c>
      <c r="AW1136" t="inlineStr">
        <is>
          <t>0</t>
        </is>
      </c>
      <c r="AX1136" t="inlineStr">
        <is>
          <t>Not Qualified</t>
        </is>
      </c>
      <c r="AY1136" s="4"/>
      <c r="AZ1136"/>
      <c r="BA1136"/>
      <c r="BB1136"/>
      <c r="BC1136" t="inlineStr">
        <is>
          <t>Business hiring on hold</t>
        </is>
      </c>
      <c r="BD1136" s="4">
        <v>46142.58159722222</v>
      </c>
      <c r="BE1136" t="inlineStr">
        <is>
          <t>paid</t>
        </is>
      </c>
      <c r="BF1136"/>
      <c r="BG1136" t="inlineStr">
        <is>
          <t>Reschedule</t>
        </is>
      </c>
      <c r="BH1136" t="inlineStr">
        <is>
          <t>Edward Hoo</t>
        </is>
      </c>
      <c r="BI1136" t="inlineStr">
        <is>
          <t>Architecture / Interior Design</t>
        </is>
      </c>
      <c r="BJ1136" s="4">
        <v>46144.751122685186</v>
      </c>
      <c r="BK1136" s="4">
        <v>44873.44702546296</v>
      </c>
      <c r="BL1136" t="inlineStr">
        <is>
          <t>0.0</t>
        </is>
      </c>
      <c r="BM1136" t="inlineStr">
        <is>
          <t>600.0</t>
        </is>
      </c>
      <c r="BN1136" t="inlineStr">
        <is>
          <t>User Login</t>
        </is>
      </c>
      <c r="BO1136" s="4">
        <v>45253.63686342593</v>
      </c>
      <c r="BP1136">
        <v>169041</v>
      </c>
      <c r="BQ1136">
        <v>76191</v>
      </c>
      <c r="BR1136" t="inlineStr">
        <is>
          <t>Proforma</t>
        </is>
      </c>
      <c r="BS1136" t="inlineStr">
        <is>
          <t>A-May-Zing-Deal - Beginner Package</t>
        </is>
      </c>
      <c r="BT1136">
        <v>58847</v>
      </c>
      <c r="BU1136"/>
      <c r="BV1136">
        <v>2737580</v>
      </c>
      <c r="BW1136" t="inlineStr">
        <is>
          <t>Follow Up : Lost - Free Portal</t>
        </is>
      </c>
      <c r="BX1136"/>
      <c r="BY1136"/>
      <c r="BZ1136" s="4"/>
      <c r="CA1136"/>
      <c r="CB1136"/>
      <c r="CC1136" s="4"/>
      <c r="CD1136" t="inlineStr">
        <is>
          <t>20</t>
        </is>
      </c>
      <c r="CE1136" t="inlineStr">
        <is>
          <t>0</t>
        </is>
      </c>
      <c r="CF1136" t="inlineStr">
        <is>
          <t>Q2-W04</t>
        </is>
      </c>
      <c r="CG1136"/>
      <c r="CH1136"/>
      <c r="CI1136"/>
      <c r="CJ1136" t="inlineStr">
        <is>
          <t>Paid</t>
        </is>
      </c>
      <c r="CK1136" t="inlineStr">
        <is>
          <t>Not Eligible</t>
        </is>
      </c>
      <c r="CL1136"/>
      <c r="CM1136"/>
    </row>
    <row r="1137" ht="25.5" customHeight="1">
      <c r="A1137" t="inlineStr">
        <is>
          <t>200487</t>
        </is>
      </c>
      <c r="B1137" s="2"/>
      <c r="C1137"/>
      <c r="D1137" s="3">
        <v>46134.45438657407</v>
      </c>
      <c r="E1137" t="inlineStr">
        <is>
          <t>Q2-W03</t>
        </is>
      </c>
      <c r="F1137" t="inlineStr">
        <is>
          <t>Chia Yee</t>
        </is>
      </c>
      <c r="G1137" t="inlineStr">
        <is>
          <t>Customer</t>
        </is>
      </c>
      <c r="H1137" s="2" t="str">
        <f>=HYPERLINK("https://upbox.ajobthing.my/customer/200487", "https://upbox.ajobthing.my/customer/200487")</f>
        <v>https://upbox.ajobthing.my/customer/200487</v>
      </c>
      <c r="I1137" t="inlineStr">
        <is>
          <t>Chulop!</t>
        </is>
      </c>
      <c r="J1137" t="inlineStr">
        <is>
          <t>Small Fish</t>
        </is>
      </c>
      <c r="K1137" t="inlineStr">
        <is>
          <t>Chia Yee</t>
        </is>
      </c>
      <c r="L1137" s="4"/>
      <c r="M1137" s="4">
        <v>46134.454513888886</v>
      </c>
      <c r="N1137"/>
      <c r="O1137">
        <v>3888</v>
      </c>
      <c r="P1137" s="4"/>
      <c r="Q1137" s="4">
        <v>46042.64855324074</v>
      </c>
      <c r="R1137"/>
      <c r="S1137">
        <v>0</v>
      </c>
      <c r="T1137" s="4"/>
      <c r="U1137" s="4"/>
      <c r="V1137"/>
      <c r="W1137"/>
      <c r="X1137"/>
      <c r="Y1137" t="inlineStr">
        <is>
          <t>Pending Appointment</t>
        </is>
      </c>
      <c r="Z1137" t="inlineStr">
        <is>
          <t>Hiring Now</t>
        </is>
      </c>
      <c r="AA1137">
        <v>2</v>
      </c>
      <c r="AB1137" t="inlineStr">
        <is>
          <t>No Appointment Made</t>
        </is>
      </c>
      <c r="AC1137"/>
      <c r="AD1137" t="inlineStr">
        <is>
          <t xml:space="preserve"> 2 Churro Cook</t>
        </is>
      </c>
      <c r="AE1137"/>
      <c r="AF1137">
        <v>0</v>
      </c>
      <c r="AG1137" s="4"/>
      <c r="AH1137" s="4"/>
      <c r="AI1137">
        <v>0</v>
      </c>
      <c r="AJ1137">
        <v>1</v>
      </c>
      <c r="AK1137" t="inlineStr">
        <is>
          <t>No, I don't need at all</t>
        </is>
      </c>
      <c r="AL1137">
        <v>1</v>
      </c>
      <c r="AM1137" t="inlineStr">
        <is>
          <t>No, I don't need at all</t>
        </is>
      </c>
      <c r="AN1137"/>
      <c r="AO1137" t="inlineStr">
        <is>
          <t>Yes, I have</t>
        </is>
      </c>
      <c r="AP1137" t="inlineStr">
        <is>
          <t>Once a year (25%)</t>
        </is>
      </c>
      <c r="AQ1137">
        <v>2</v>
      </c>
      <c r="AR1137" t="inlineStr">
        <is>
          <t>Did not use any job portal</t>
        </is>
      </c>
      <c r="AS1137" t="inlineStr">
        <is>
          <t>- Headcount: 2
- Hiring Job Details: 2 Churro Cook
- Hiring Urgency: Hiring Now
- Number of outlets: 1
- Have recruiter team: No, I don't need at all
- Number of recruiter in company: 1
- Have ATS system: No, I don't need at all
- Have career website: Yes
- Current hiring budget: RM0.00
- Whole year budget: RM0.00
- Whole year number of vacancies: 2
- Hiring frequency: Once a year (25%)
- External job portal: Did not use any job portal</t>
        </is>
      </c>
      <c r="AT1137">
        <v>110</v>
      </c>
      <c r="AU1137" t="inlineStr">
        <is>
          <t>1.10</t>
        </is>
      </c>
      <c r="AV1137" t="inlineStr">
        <is>
          <t>15</t>
        </is>
      </c>
      <c r="AW1137" t="inlineStr">
        <is>
          <t>0</t>
        </is>
      </c>
      <c r="AX1137" t="inlineStr">
        <is>
          <t>Not Qualified</t>
        </is>
      </c>
      <c r="AY1137" s="4"/>
      <c r="AZ1137"/>
      <c r="BA1137"/>
      <c r="BB1137"/>
      <c r="BC1137" t="inlineStr">
        <is>
          <t>WA</t>
        </is>
      </c>
      <c r="BD1137" s="4">
        <v>46140.47826388889</v>
      </c>
      <c r="BE1137" t="inlineStr">
        <is>
          <t>paid</t>
        </is>
      </c>
      <c r="BF1137"/>
      <c r="BG1137" t="inlineStr">
        <is>
          <t>Reschedule</t>
        </is>
      </c>
      <c r="BH1137" t="inlineStr">
        <is>
          <t>Reagen</t>
        </is>
      </c>
      <c r="BI1137"/>
      <c r="BJ1137" s="4">
        <v>46144.75357638889</v>
      </c>
      <c r="BK1137" s="4">
        <v>46042.64854166667</v>
      </c>
      <c r="BL1137" t="inlineStr">
        <is>
          <t>0.0</t>
        </is>
      </c>
      <c r="BM1137" t="inlineStr">
        <is>
          <t>0.0</t>
        </is>
      </c>
      <c r="BN1137" t="inlineStr">
        <is>
          <t>View Jobmanager Page</t>
        </is>
      </c>
      <c r="BO1137" s="4">
        <v>46135.388773148145</v>
      </c>
      <c r="BP1137">
        <v>168225</v>
      </c>
      <c r="BQ1137">
        <v>114015</v>
      </c>
      <c r="BR1137" t="inlineStr">
        <is>
          <t>Proforma</t>
        </is>
      </c>
      <c r="BS1137" t="inlineStr">
        <is>
          <t>Free Part-Time Job</t>
        </is>
      </c>
      <c r="BT1137"/>
      <c r="BU1137"/>
      <c r="BV1137">
        <v>2732127</v>
      </c>
      <c r="BW1137" t="inlineStr">
        <is>
          <t>No Answer : Voicemail - WA sent to customer</t>
        </is>
      </c>
      <c r="BX1137"/>
      <c r="BY1137"/>
      <c r="BZ1137" s="4"/>
      <c r="CA1137"/>
      <c r="CB1137"/>
      <c r="CC1137" s="4"/>
      <c r="CD1137" t="inlineStr">
        <is>
          <t>20</t>
        </is>
      </c>
      <c r="CE1137" t="inlineStr">
        <is>
          <t>0</t>
        </is>
      </c>
      <c r="CF1137" t="inlineStr">
        <is>
          <t>Q2-W03</t>
        </is>
      </c>
      <c r="CG1137" t="inlineStr">
        <is>
          <t>Q1-W03</t>
        </is>
      </c>
      <c r="CH1137"/>
      <c r="CI1137"/>
      <c r="CJ1137" t="inlineStr">
        <is>
          <t>No Paid</t>
        </is>
      </c>
      <c r="CK1137" t="inlineStr">
        <is>
          <t>Not Eligible</t>
        </is>
      </c>
      <c r="CL1137"/>
      <c r="CM1137"/>
    </row>
    <row r="1138" ht="25.5" customHeight="1">
      <c r="A1138" t="inlineStr">
        <is>
          <t>197509</t>
        </is>
      </c>
      <c r="B1138" s="2"/>
      <c r="C1138"/>
      <c r="D1138" s="3">
        <v>46134.4553125</v>
      </c>
      <c r="E1138" t="inlineStr">
        <is>
          <t>Q2-W03</t>
        </is>
      </c>
      <c r="F1138" t="inlineStr">
        <is>
          <t>Keegan</t>
        </is>
      </c>
      <c r="G1138" t="inlineStr">
        <is>
          <t>Customer</t>
        </is>
      </c>
      <c r="H1138" s="2" t="str">
        <f>=HYPERLINK("https://upbox.ajobthing.my/customer/197509", "https://upbox.ajobthing.my/customer/197509")</f>
        <v>https://upbox.ajobthing.my/customer/197509</v>
      </c>
      <c r="I1138" t="inlineStr">
        <is>
          <t xml:space="preserve">Mediquine Healthcare Sdn. Bhd. </t>
        </is>
      </c>
      <c r="J1138" t="inlineStr">
        <is>
          <t>Small Fish</t>
        </is>
      </c>
      <c r="K1138" t="inlineStr">
        <is>
          <t>Keegan</t>
        </is>
      </c>
      <c r="L1138" s="4"/>
      <c r="M1138" s="4">
        <v>46134.45552083333</v>
      </c>
      <c r="N1138"/>
      <c r="O1138">
        <v>6048</v>
      </c>
      <c r="P1138" s="4"/>
      <c r="Q1138" s="4">
        <v>46119.71074074074</v>
      </c>
      <c r="R1138"/>
      <c r="S1138">
        <v>0</v>
      </c>
      <c r="T1138" s="4"/>
      <c r="U1138" s="4"/>
      <c r="V1138"/>
      <c r="W1138"/>
      <c r="X1138"/>
      <c r="Y1138" t="inlineStr">
        <is>
          <t>Pending Appointment</t>
        </is>
      </c>
      <c r="Z1138" t="inlineStr">
        <is>
          <t>Hiring Now</t>
        </is>
      </c>
      <c r="AA1138">
        <v>2</v>
      </c>
      <c r="AB1138" t="inlineStr">
        <is>
          <t>No Appointment Made</t>
        </is>
      </c>
      <c r="AC1138"/>
      <c r="AD1138" t="inlineStr">
        <is>
          <t>1. Nurse 
2. Admin 
</t>
        </is>
      </c>
      <c r="AE1138"/>
      <c r="AF1138"/>
      <c r="AG1138" s="4"/>
      <c r="AH1138" s="4"/>
      <c r="AI1138"/>
      <c r="AJ1138">
        <v>1</v>
      </c>
      <c r="AK1138" t="inlineStr">
        <is>
          <t>No, I don't need at all</t>
        </is>
      </c>
      <c r="AL1138">
        <v>0</v>
      </c>
      <c r="AM1138" t="inlineStr">
        <is>
          <t>No, I don't need at all</t>
        </is>
      </c>
      <c r="AN1138"/>
      <c r="AO1138" t="inlineStr">
        <is>
          <t>No, I don't need at all</t>
        </is>
      </c>
      <c r="AP1138" t="inlineStr">
        <is>
          <t>Once per quarter (75%)</t>
        </is>
      </c>
      <c r="AQ1138"/>
      <c r="AR1138" t="inlineStr">
        <is>
          <t>Did not use any job portal</t>
        </is>
      </c>
      <c r="AS1138" t="inlineStr">
        <is>
          <t>- Headcount: 2
- Hiring Job Details: 1. Nurse 2. Admin
- Hiring Urgency: Hiring Now
- Number of outlets: 1
- Have recruiter team: No, I don't need at all
- Number of recruiter in company: 0
- Have ATS system: No, I don't need at all
- Have career website: No, I don't need at all
- Current hiring budget: Not provided
- Whole year budget: Not provided
- Whole year number of vacancies: Not provided
- Hiring frequency: Once per quarter (75%)
- External job portal: Did not use any job portal</t>
        </is>
      </c>
      <c r="AT1138">
        <v>65</v>
      </c>
      <c r="AU1138" t="inlineStr">
        <is>
          <t>0.65</t>
        </is>
      </c>
      <c r="AV1138" t="inlineStr">
        <is>
          <t>5</t>
        </is>
      </c>
      <c r="AW1138" t="inlineStr">
        <is>
          <t>0</t>
        </is>
      </c>
      <c r="AX1138" t="inlineStr">
        <is>
          <t>Not Qualified</t>
        </is>
      </c>
      <c r="AY1138" s="4"/>
      <c r="AZ1138"/>
      <c r="BA1138"/>
      <c r="BB1138"/>
      <c r="BC1138" t="inlineStr">
        <is>
          <t>Lost due to hiring plan postponed already</t>
        </is>
      </c>
      <c r="BD1138" s="4">
        <v>46136.70046296297</v>
      </c>
      <c r="BE1138" t="inlineStr">
        <is>
          <t>paid</t>
        </is>
      </c>
      <c r="BF1138"/>
      <c r="BG1138" t="inlineStr">
        <is>
          <t>Reschedule</t>
        </is>
      </c>
      <c r="BH1138" t="inlineStr">
        <is>
          <t>Edward Hoo</t>
        </is>
      </c>
      <c r="BI1138" t="inlineStr">
        <is>
          <t>Healthcare / Medical</t>
        </is>
      </c>
      <c r="BJ1138" s="4">
        <v>46144.752905092595</v>
      </c>
      <c r="BK1138" s="4">
        <v>45953.51445601852</v>
      </c>
      <c r="BL1138" t="inlineStr">
        <is>
          <t>0.0</t>
        </is>
      </c>
      <c r="BM1138" t="inlineStr">
        <is>
          <t>0.0</t>
        </is>
      </c>
      <c r="BN1138" t="inlineStr">
        <is>
          <t>View Jobmanager Page</t>
        </is>
      </c>
      <c r="BO1138" s="4">
        <v>45957.42680555556</v>
      </c>
      <c r="BP1138">
        <v>168226</v>
      </c>
      <c r="BQ1138">
        <v>120577</v>
      </c>
      <c r="BR1138" t="inlineStr">
        <is>
          <t>Proforma</t>
        </is>
      </c>
      <c r="BS1138" t="inlineStr">
        <is>
          <t>Free Internship Job</t>
        </is>
      </c>
      <c r="BT1138"/>
      <c r="BU1138"/>
      <c r="BV1138">
        <v>2727137</v>
      </c>
      <c r="BW1138" t="inlineStr">
        <is>
          <t>Follow Up : Lost - Free Portal</t>
        </is>
      </c>
      <c r="BX1138"/>
      <c r="BY1138"/>
      <c r="BZ1138" s="4"/>
      <c r="CA1138"/>
      <c r="CB1138"/>
      <c r="CC1138" s="4"/>
      <c r="CD1138" t="inlineStr">
        <is>
          <t>5</t>
        </is>
      </c>
      <c r="CE1138" t="inlineStr">
        <is>
          <t>0</t>
        </is>
      </c>
      <c r="CF1138" t="inlineStr">
        <is>
          <t>Q2-W03</t>
        </is>
      </c>
      <c r="CG1138" t="inlineStr">
        <is>
          <t>Q2-W01</t>
        </is>
      </c>
      <c r="CH1138"/>
      <c r="CI1138"/>
      <c r="CJ1138" t="inlineStr">
        <is>
          <t>No Paid</t>
        </is>
      </c>
      <c r="CK1138" t="inlineStr">
        <is>
          <t>Not Eligible</t>
        </is>
      </c>
      <c r="CL1138"/>
      <c r="CM1138"/>
    </row>
    <row r="1139" ht="25.5" customHeight="1">
      <c r="A1139" t="inlineStr">
        <is>
          <t>203390</t>
        </is>
      </c>
      <c r="B1139" s="2"/>
      <c r="C1139"/>
      <c r="D1139" s="3">
        <v>46134.46975694445</v>
      </c>
      <c r="E1139" t="inlineStr">
        <is>
          <t>Q2-W03</t>
        </is>
      </c>
      <c r="F1139" t="inlineStr">
        <is>
          <t>Chia Yee</t>
        </is>
      </c>
      <c r="G1139" t="inlineStr">
        <is>
          <t>Customer</t>
        </is>
      </c>
      <c r="H1139" s="2" t="str">
        <f>=HYPERLINK("https://upbox.ajobthing.my/customer/203390", "https://upbox.ajobthing.my/customer/203390")</f>
        <v>https://upbox.ajobthing.my/customer/203390</v>
      </c>
      <c r="I1139" t="inlineStr">
        <is>
          <t>Iegv Cryo &amp; Lpg (M) Sdn Bhd</t>
        </is>
      </c>
      <c r="J1139" t="inlineStr">
        <is>
          <t>Small Fish</t>
        </is>
      </c>
      <c r="K1139" t="inlineStr">
        <is>
          <t>Chia Yee</t>
        </is>
      </c>
      <c r="L1139" s="4"/>
      <c r="M1139" s="4">
        <v>46134.47002314815</v>
      </c>
      <c r="N1139"/>
      <c r="O1139">
        <v>8208</v>
      </c>
      <c r="P1139" s="4"/>
      <c r="Q1139" s="4"/>
      <c r="R1139"/>
      <c r="S1139"/>
      <c r="T1139" s="4"/>
      <c r="U1139" s="4"/>
      <c r="V1139"/>
      <c r="W1139"/>
      <c r="X1139"/>
      <c r="Y1139" t="inlineStr">
        <is>
          <t>Pending Appointment</t>
        </is>
      </c>
      <c r="Z1139" t="inlineStr">
        <is>
          <t>Hiring Now</t>
        </is>
      </c>
      <c r="AA1139">
        <v>6</v>
      </c>
      <c r="AB1139" t="inlineStr">
        <is>
          <t>No Appointment Made</t>
        </is>
      </c>
      <c r="AC1139"/>
      <c r="AD1139" t="inlineStr">
        <is>
          <t>2 Hairstylist, 2 Nail Tech &amp; 2 Salon Assistant</t>
        </is>
      </c>
      <c r="AE1139"/>
      <c r="AF1139">
        <v>0</v>
      </c>
      <c r="AG1139" s="4"/>
      <c r="AH1139" s="4"/>
      <c r="AI1139">
        <v>0</v>
      </c>
      <c r="AJ1139">
        <v>1</v>
      </c>
      <c r="AK1139" t="inlineStr">
        <is>
          <t>No, I don't need at all</t>
        </is>
      </c>
      <c r="AL1139">
        <v>1</v>
      </c>
      <c r="AM1139" t="inlineStr">
        <is>
          <t>No, I don't need at all</t>
        </is>
      </c>
      <c r="AN1139"/>
      <c r="AO1139" t="inlineStr">
        <is>
          <t>No, I don't need at all</t>
        </is>
      </c>
      <c r="AP1139" t="inlineStr">
        <is>
          <t>Once a year (25%)</t>
        </is>
      </c>
      <c r="AQ1139">
        <v>5</v>
      </c>
      <c r="AR1139" t="inlineStr">
        <is>
          <t>Did not use any job portal</t>
        </is>
      </c>
      <c r="AS1139" t="inlineStr">
        <is>
          <t>- Headcount: 6
- Hiring Job Details: 2 Hairstylist, 2 Nail Tech &amp; 2 Salon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is>
      </c>
      <c r="AT1139">
        <v>95</v>
      </c>
      <c r="AU1139" t="inlineStr">
        <is>
          <t>0.95</t>
        </is>
      </c>
      <c r="AV1139" t="inlineStr">
        <is>
          <t>20</t>
        </is>
      </c>
      <c r="AW1139" t="inlineStr">
        <is>
          <t>0</t>
        </is>
      </c>
      <c r="AX1139" t="inlineStr">
        <is>
          <t>Not Qualified</t>
        </is>
      </c>
      <c r="AY1139" s="4"/>
      <c r="AZ1139"/>
      <c r="BA1139"/>
      <c r="BB1139"/>
      <c r="BC1139" t="inlineStr">
        <is>
          <t>Called, not reached. WA</t>
        </is>
      </c>
      <c r="BD1139" s="4">
        <v>46142.50053240741</v>
      </c>
      <c r="BE1139"/>
      <c r="BF1139"/>
      <c r="BG1139" t="inlineStr">
        <is>
          <t>Reschedule</t>
        </is>
      </c>
      <c r="BH1139" t="inlineStr">
        <is>
          <t>Reagen</t>
        </is>
      </c>
      <c r="BI1139"/>
      <c r="BJ1139" s="4">
        <v>46144.75430555556</v>
      </c>
      <c r="BK1139" s="4">
        <v>46130.72789351852</v>
      </c>
      <c r="BL1139" t="inlineStr">
        <is>
          <t>0.0</t>
        </is>
      </c>
      <c r="BM1139" t="inlineStr">
        <is>
          <t>0.0</t>
        </is>
      </c>
      <c r="BN1139" t="inlineStr">
        <is>
          <t>View Company Page</t>
        </is>
      </c>
      <c r="BO1139" s="4">
        <v>46130.72934027778</v>
      </c>
      <c r="BP1139">
        <v>168237</v>
      </c>
      <c r="BQ1139"/>
      <c r="BR1139"/>
      <c r="BS1139"/>
      <c r="BT1139"/>
      <c r="BU1139"/>
      <c r="BV1139">
        <v>2737316</v>
      </c>
      <c r="BW1139" t="inlineStr">
        <is>
          <t>No Answer : 3 Days No Response</t>
        </is>
      </c>
      <c r="BX1139"/>
      <c r="BY1139"/>
      <c r="BZ1139" s="4"/>
      <c r="CA1139"/>
      <c r="CB1139"/>
      <c r="CC1139" s="4"/>
      <c r="CD1139" t="inlineStr">
        <is>
          <t>30</t>
        </is>
      </c>
      <c r="CE1139" t="inlineStr">
        <is>
          <t>0</t>
        </is>
      </c>
      <c r="CF1139" t="inlineStr">
        <is>
          <t>Q2-W03</t>
        </is>
      </c>
      <c r="CG1139"/>
      <c r="CH1139"/>
      <c r="CI1139"/>
      <c r="CJ1139" t="inlineStr">
        <is>
          <t>No Paid</t>
        </is>
      </c>
      <c r="CK1139" t="inlineStr">
        <is>
          <t>Not Eligible</t>
        </is>
      </c>
      <c r="CL1139"/>
      <c r="CM1139"/>
    </row>
    <row r="1140" ht="25.5" customHeight="1">
      <c r="A1140" t="inlineStr">
        <is>
          <t>4308360</t>
        </is>
      </c>
      <c r="B1140" s="2"/>
      <c r="C1140"/>
      <c r="D1140" s="3">
        <v>46134.47130787037</v>
      </c>
      <c r="E1140" t="inlineStr">
        <is>
          <t>Q2-W03</t>
        </is>
      </c>
      <c r="F1140" t="inlineStr">
        <is>
          <t>Evan</t>
        </is>
      </c>
      <c r="G1140" t="inlineStr">
        <is>
          <t>Lead</t>
        </is>
      </c>
      <c r="H1140" s="2" t="str">
        <f>=HYPERLINK("https://upbox.ajobthing.my/leads/4308360", "https://upbox.ajobthing.my/leads/4308360")</f>
        <v>https://upbox.ajobthing.my/leads/4308360</v>
      </c>
      <c r="I1140" t="inlineStr">
        <is>
          <t>Happy Sear</t>
        </is>
      </c>
      <c r="J1140" t="inlineStr">
        <is>
          <t>Small Fish</t>
        </is>
      </c>
      <c r="K1140" t="inlineStr">
        <is>
          <t>Evan</t>
        </is>
      </c>
      <c r="L1140" s="4"/>
      <c r="M1140" s="4">
        <v>46134.46821759259</v>
      </c>
      <c r="N1140"/>
      <c r="O1140">
        <v>3888</v>
      </c>
      <c r="P1140" s="4"/>
      <c r="Q1140" s="4"/>
      <c r="R1140"/>
      <c r="S1140"/>
      <c r="T1140" s="4"/>
      <c r="U1140" s="4"/>
      <c r="V1140"/>
      <c r="W1140"/>
      <c r="X1140"/>
      <c r="Y1140" t="inlineStr">
        <is>
          <t>Pending Appointment</t>
        </is>
      </c>
      <c r="Z1140" t="inlineStr">
        <is>
          <t>Hiring Now</t>
        </is>
      </c>
      <c r="AA1140">
        <v>1</v>
      </c>
      <c r="AB1140" t="inlineStr">
        <is>
          <t>No Appointment Made</t>
        </is>
      </c>
      <c r="AC1140"/>
      <c r="AD1140" t="inlineStr">
        <is>
          <t>1 chef, all base in KL</t>
        </is>
      </c>
      <c r="AE1140"/>
      <c r="AF1140">
        <v>1</v>
      </c>
      <c r="AG1140" s="4"/>
      <c r="AH1140" s="4"/>
      <c r="AI1140">
        <v>1</v>
      </c>
      <c r="AJ1140">
        <v>1</v>
      </c>
      <c r="AK1140" t="inlineStr">
        <is>
          <t>No, I don't need at all</t>
        </is>
      </c>
      <c r="AL1140">
        <v>0</v>
      </c>
      <c r="AM1140" t="inlineStr">
        <is>
          <t>No, I don't need at all</t>
        </is>
      </c>
      <c r="AN1140"/>
      <c r="AO1140" t="inlineStr">
        <is>
          <t>No, I don't need at all</t>
        </is>
      </c>
      <c r="AP1140" t="inlineStr">
        <is>
          <t>Once a year (25%)</t>
        </is>
      </c>
      <c r="AQ1140">
        <v>1</v>
      </c>
      <c r="AR1140" t="inlineStr">
        <is>
          <t>Did not use any job portal</t>
        </is>
      </c>
      <c r="AS1140" t="inlineStr">
        <is>
          <t>- Headcount: 1
- Hiring Job Details: 1 chef, all based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140">
        <v>115</v>
      </c>
      <c r="AU1140" t="inlineStr">
        <is>
          <t>1.15</t>
        </is>
      </c>
      <c r="AV1140" t="inlineStr">
        <is>
          <t>15</t>
        </is>
      </c>
      <c r="AW1140" t="inlineStr">
        <is>
          <t>0</t>
        </is>
      </c>
      <c r="AX1140" t="inlineStr">
        <is>
          <t>Not Qualified</t>
        </is>
      </c>
      <c r="AY1140" s="4"/>
      <c r="AZ1140"/>
      <c r="BA1140"/>
      <c r="BB1140"/>
      <c r="BC1140"/>
      <c r="BD1140" s="4"/>
      <c r="BE1140"/>
      <c r="BF1140"/>
      <c r="BG1140" t="inlineStr">
        <is>
          <t>Reschedule</t>
        </is>
      </c>
      <c r="BH1140" t="inlineStr">
        <is>
          <t>Edward Hoo</t>
        </is>
      </c>
      <c r="BI1140"/>
      <c r="BJ1140" s="4">
        <v>46144.75587962963</v>
      </c>
      <c r="BK1140" s="4">
        <v>46133.38145833334</v>
      </c>
      <c r="BL1140" t="inlineStr">
        <is>
          <t>0.0</t>
        </is>
      </c>
      <c r="BM1140" t="inlineStr">
        <is>
          <t>0.0</t>
        </is>
      </c>
      <c r="BN1140"/>
      <c r="BO1140" s="4"/>
      <c r="BP1140">
        <v>168233</v>
      </c>
      <c r="BQ1140"/>
      <c r="BR1140"/>
      <c r="BS1140"/>
      <c r="BT1140"/>
      <c r="BU1140"/>
      <c r="BV1140"/>
      <c r="BW1140"/>
      <c r="BX1140"/>
      <c r="BY1140"/>
      <c r="BZ1140" s="4"/>
      <c r="CA1140"/>
      <c r="CB1140"/>
      <c r="CC1140" s="4"/>
      <c r="CD1140" t="inlineStr">
        <is>
          <t>20</t>
        </is>
      </c>
      <c r="CE1140" t="inlineStr">
        <is>
          <t>0</t>
        </is>
      </c>
      <c r="CF1140" t="inlineStr">
        <is>
          <t>Q2-W03</t>
        </is>
      </c>
      <c r="CG1140"/>
      <c r="CH1140"/>
      <c r="CI1140"/>
      <c r="CJ1140" t="inlineStr">
        <is>
          <t>No Paid</t>
        </is>
      </c>
      <c r="CK1140" t="inlineStr">
        <is>
          <t>Not Eligible</t>
        </is>
      </c>
      <c r="CL1140"/>
      <c r="CM1140"/>
    </row>
    <row r="1141" ht="25.5" customHeight="1">
      <c r="A1141" t="inlineStr">
        <is>
          <t>192956</t>
        </is>
      </c>
      <c r="B1141" s="2"/>
      <c r="C1141"/>
      <c r="D1141" s="3">
        <v>46134.47657407408</v>
      </c>
      <c r="E1141" t="inlineStr">
        <is>
          <t>Q2-W03</t>
        </is>
      </c>
      <c r="F1141" t="inlineStr">
        <is>
          <t>Janice Yap</t>
        </is>
      </c>
      <c r="G1141" t="inlineStr">
        <is>
          <t>Customer</t>
        </is>
      </c>
      <c r="H1141" s="2" t="str">
        <f>=HYPERLINK("https://upbox.ajobthing.my/customer/192956", "https://upbox.ajobthing.my/customer/192956")</f>
        <v>https://upbox.ajobthing.my/customer/192956</v>
      </c>
      <c r="I1141" t="inlineStr">
        <is>
          <t>Aix Global</t>
        </is>
      </c>
      <c r="J1141" t="inlineStr">
        <is>
          <t>Small Fish</t>
        </is>
      </c>
      <c r="K1141" t="inlineStr">
        <is>
          <t>Janice</t>
        </is>
      </c>
      <c r="L1141" s="4"/>
      <c r="M1141" s="4">
        <v>46134.47009259259</v>
      </c>
      <c r="N1141"/>
      <c r="O1141">
        <v>3888</v>
      </c>
      <c r="P1141" s="4"/>
      <c r="Q1141" s="4"/>
      <c r="R1141"/>
      <c r="S1141"/>
      <c r="T1141" s="4"/>
      <c r="U1141" s="4"/>
      <c r="V1141"/>
      <c r="W1141"/>
      <c r="X1141"/>
      <c r="Y1141" t="inlineStr">
        <is>
          <t>Pending Appointment</t>
        </is>
      </c>
      <c r="Z1141" t="inlineStr">
        <is>
          <t>Hiring Now</t>
        </is>
      </c>
      <c r="AA1141">
        <v>1</v>
      </c>
      <c r="AB1141" t="inlineStr">
        <is>
          <t>No Appointment Made</t>
        </is>
      </c>
      <c r="AC1141"/>
      <c r="AD1141" t="inlineStr">
        <is>
          <t>1 editor</t>
        </is>
      </c>
      <c r="AE1141"/>
      <c r="AF1141">
        <v>0</v>
      </c>
      <c r="AG1141" s="4"/>
      <c r="AH1141" s="4"/>
      <c r="AI1141">
        <v>0</v>
      </c>
      <c r="AJ1141"/>
      <c r="AK1141" t="inlineStr">
        <is>
          <t>No, I don't need at all</t>
        </is>
      </c>
      <c r="AL1141">
        <v>0</v>
      </c>
      <c r="AM1141" t="inlineStr">
        <is>
          <t>No, I don't need at all</t>
        </is>
      </c>
      <c r="AN1141"/>
      <c r="AO1141" t="inlineStr">
        <is>
          <t>No, I don't need at all</t>
        </is>
      </c>
      <c r="AP1141" t="inlineStr">
        <is>
          <t>Once a year (25%)</t>
        </is>
      </c>
      <c r="AQ1141">
        <v>1</v>
      </c>
      <c r="AR1141" t="inlineStr">
        <is>
          <t>Free Job Portal</t>
        </is>
      </c>
      <c r="AS1141" t="inlineStr">
        <is>
          <t>- Headcount: 1
- Hiring Job Details: 1 editor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is>
      </c>
      <c r="AT1141">
        <v>105</v>
      </c>
      <c r="AU1141" t="inlineStr">
        <is>
          <t>1.05</t>
        </is>
      </c>
      <c r="AV1141" t="inlineStr">
        <is>
          <t>15</t>
        </is>
      </c>
      <c r="AW1141" t="inlineStr">
        <is>
          <t>0</t>
        </is>
      </c>
      <c r="AX1141" t="inlineStr">
        <is>
          <t>Not Qualified</t>
        </is>
      </c>
      <c r="AY1141" s="4"/>
      <c r="AZ1141"/>
      <c r="BA1141"/>
      <c r="BB1141"/>
      <c r="BC1141" t="inlineStr">
        <is>
          <t>Pending // hang up call</t>
        </is>
      </c>
      <c r="BD1141" s="4">
        <v>46142.698229166665</v>
      </c>
      <c r="BE1141"/>
      <c r="BF1141"/>
      <c r="BG1141" t="inlineStr">
        <is>
          <t>Reschedule</t>
        </is>
      </c>
      <c r="BH1141" t="inlineStr">
        <is>
          <t>Yee Hang</t>
        </is>
      </c>
      <c r="BI1141"/>
      <c r="BJ1141" s="4">
        <v>46144.752592592595</v>
      </c>
      <c r="BK1141" s="4">
        <v>45831.75858796296</v>
      </c>
      <c r="BL1141" t="inlineStr">
        <is>
          <t>0.0</t>
        </is>
      </c>
      <c r="BM1141" t="inlineStr">
        <is>
          <t>0.0</t>
        </is>
      </c>
      <c r="BN1141" t="inlineStr">
        <is>
          <t>View Company Page</t>
        </is>
      </c>
      <c r="BO1141" s="4">
        <v>45831.76587962963</v>
      </c>
      <c r="BP1141">
        <v>168238</v>
      </c>
      <c r="BQ1141"/>
      <c r="BR1141"/>
      <c r="BS1141"/>
      <c r="BT1141"/>
      <c r="BU1141"/>
      <c r="BV1141">
        <v>2738232</v>
      </c>
      <c r="BW1141" t="inlineStr">
        <is>
          <t>Follow Up : Decision Pending</t>
        </is>
      </c>
      <c r="BX1141"/>
      <c r="BY1141"/>
      <c r="BZ1141" s="4"/>
      <c r="CA1141"/>
      <c r="CB1141"/>
      <c r="CC1141" s="4"/>
      <c r="CD1141" t="inlineStr">
        <is>
          <t>20</t>
        </is>
      </c>
      <c r="CE1141" t="inlineStr">
        <is>
          <t>0</t>
        </is>
      </c>
      <c r="CF1141" t="inlineStr">
        <is>
          <t>Q2-W03</t>
        </is>
      </c>
      <c r="CG1141"/>
      <c r="CH1141"/>
      <c r="CI1141"/>
      <c r="CJ1141" t="inlineStr">
        <is>
          <t>No Paid</t>
        </is>
      </c>
      <c r="CK1141" t="inlineStr">
        <is>
          <t>Not Eligible</t>
        </is>
      </c>
      <c r="CL1141"/>
      <c r="CM1141"/>
    </row>
    <row r="1142" ht="25.5" customHeight="1">
      <c r="A1142" t="inlineStr">
        <is>
          <t>169734</t>
        </is>
      </c>
      <c r="B1142" s="2"/>
      <c r="C1142"/>
      <c r="D1142" s="3">
        <v>46134.47734953704</v>
      </c>
      <c r="E1142" t="inlineStr">
        <is>
          <t>Q2-W03</t>
        </is>
      </c>
      <c r="F1142" t="inlineStr">
        <is>
          <t>Chia Yee</t>
        </is>
      </c>
      <c r="G1142" t="inlineStr">
        <is>
          <t>Customer</t>
        </is>
      </c>
      <c r="H1142" s="2" t="str">
        <f>=HYPERLINK("https://upbox.ajobthing.my/customer/169734", "https://upbox.ajobthing.my/customer/169734")</f>
        <v>https://upbox.ajobthing.my/customer/169734</v>
      </c>
      <c r="I1142" t="inlineStr">
        <is>
          <t>Curtain Avenue</t>
        </is>
      </c>
      <c r="J1142" t="inlineStr">
        <is>
          <t>Small Fish</t>
        </is>
      </c>
      <c r="K1142" t="inlineStr">
        <is>
          <t>Chia Yee</t>
        </is>
      </c>
      <c r="L1142" s="4"/>
      <c r="M1142" s="4">
        <v>46134.47746527778</v>
      </c>
      <c r="N1142"/>
      <c r="O1142">
        <v>3888</v>
      </c>
      <c r="P1142" s="4"/>
      <c r="Q1142" s="4">
        <v>46116.66767361111</v>
      </c>
      <c r="R1142"/>
      <c r="S1142">
        <v>0</v>
      </c>
      <c r="T1142" s="4"/>
      <c r="U1142" s="4"/>
      <c r="V1142"/>
      <c r="W1142"/>
      <c r="X1142"/>
      <c r="Y1142" t="inlineStr">
        <is>
          <t>Pending Appointment</t>
        </is>
      </c>
      <c r="Z1142" t="inlineStr">
        <is>
          <t>Hiring Now</t>
        </is>
      </c>
      <c r="AA1142">
        <v>1</v>
      </c>
      <c r="AB1142" t="inlineStr">
        <is>
          <t>No Appointment Made</t>
        </is>
      </c>
      <c r="AC1142"/>
      <c r="AD1142" t="inlineStr">
        <is>
          <t>1 Sales</t>
        </is>
      </c>
      <c r="AE1142"/>
      <c r="AF1142">
        <v>0</v>
      </c>
      <c r="AG1142" s="4"/>
      <c r="AH1142" s="4"/>
      <c r="AI1142">
        <v>0</v>
      </c>
      <c r="AJ1142">
        <v>1</v>
      </c>
      <c r="AK1142" t="inlineStr">
        <is>
          <t>No, I don't need at all</t>
        </is>
      </c>
      <c r="AL1142">
        <v>1</v>
      </c>
      <c r="AM1142" t="inlineStr">
        <is>
          <t>No, I don't need at all</t>
        </is>
      </c>
      <c r="AN1142"/>
      <c r="AO1142" t="inlineStr">
        <is>
          <t>Yes, I have</t>
        </is>
      </c>
      <c r="AP1142" t="inlineStr">
        <is>
          <t>Once a year (25%)</t>
        </is>
      </c>
      <c r="AQ1142">
        <v>1</v>
      </c>
      <c r="AR1142" t="inlineStr">
        <is>
          <t>Did not use any job portal</t>
        </is>
      </c>
      <c r="AS1142" t="inlineStr">
        <is>
          <t>- Headcount: 1
- Hiring Job Details: 1 Sales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is>
      </c>
      <c r="AT1142">
        <v>115</v>
      </c>
      <c r="AU1142" t="inlineStr">
        <is>
          <t>1.15</t>
        </is>
      </c>
      <c r="AV1142" t="inlineStr">
        <is>
          <t>15</t>
        </is>
      </c>
      <c r="AW1142" t="inlineStr">
        <is>
          <t>0</t>
        </is>
      </c>
      <c r="AX1142" t="inlineStr">
        <is>
          <t>Not Qualified</t>
        </is>
      </c>
      <c r="AY1142" s="4"/>
      <c r="AZ1142"/>
      <c r="BA1142"/>
      <c r="BB1142"/>
      <c r="BC1142" t="inlineStr">
        <is>
          <t>Called Jenny, said not first as budget</t>
        </is>
      </c>
      <c r="BD1142" s="4">
        <v>46141.42537037037</v>
      </c>
      <c r="BE1142" t="inlineStr">
        <is>
          <t>paid</t>
        </is>
      </c>
      <c r="BF1142"/>
      <c r="BG1142" t="inlineStr">
        <is>
          <t>Reschedule</t>
        </is>
      </c>
      <c r="BH1142" t="inlineStr">
        <is>
          <t>Reagen</t>
        </is>
      </c>
      <c r="BI1142"/>
      <c r="BJ1142" s="4">
        <v>46144.75140046296</v>
      </c>
      <c r="BK1142" s="4">
        <v>45139.74555555556</v>
      </c>
      <c r="BL1142" t="inlineStr">
        <is>
          <t>0.0</t>
        </is>
      </c>
      <c r="BM1142" t="inlineStr">
        <is>
          <t>0.0</t>
        </is>
      </c>
      <c r="BN1142" t="inlineStr">
        <is>
          <t>View Company Page</t>
        </is>
      </c>
      <c r="BO1142" s="4">
        <v>45139.74559027778</v>
      </c>
      <c r="BP1142">
        <v>168248</v>
      </c>
      <c r="BQ1142">
        <v>120039</v>
      </c>
      <c r="BR1142" t="inlineStr">
        <is>
          <t>Proforma</t>
        </is>
      </c>
      <c r="BS1142" t="inlineStr">
        <is>
          <t>Free Part-Time Job</t>
        </is>
      </c>
      <c r="BT1142"/>
      <c r="BU1142"/>
      <c r="BV1142">
        <v>2734324</v>
      </c>
      <c r="BW1142" t="inlineStr">
        <is>
          <t>Follow Up : Budget Concern</t>
        </is>
      </c>
      <c r="BX1142"/>
      <c r="BY1142"/>
      <c r="BZ1142" s="4"/>
      <c r="CA1142"/>
      <c r="CB1142"/>
      <c r="CC1142" s="4"/>
      <c r="CD1142" t="inlineStr">
        <is>
          <t>20</t>
        </is>
      </c>
      <c r="CE1142" t="inlineStr">
        <is>
          <t>0</t>
        </is>
      </c>
      <c r="CF1142" t="inlineStr">
        <is>
          <t>Q2-W03</t>
        </is>
      </c>
      <c r="CG1142" t="inlineStr">
        <is>
          <t>Q2-W01</t>
        </is>
      </c>
      <c r="CH1142"/>
      <c r="CI1142"/>
      <c r="CJ1142" t="inlineStr">
        <is>
          <t>No Paid</t>
        </is>
      </c>
      <c r="CK1142" t="inlineStr">
        <is>
          <t>Not Eligible</t>
        </is>
      </c>
      <c r="CL1142"/>
      <c r="CM1142"/>
    </row>
    <row r="1143" ht="25.5" customHeight="1">
      <c r="A1143" t="inlineStr">
        <is>
          <t>6331</t>
        </is>
      </c>
      <c r="B1143" s="2"/>
      <c r="C1143"/>
      <c r="D1143" s="3">
        <v>46134.48081018519</v>
      </c>
      <c r="E1143" t="inlineStr">
        <is>
          <t>Q2-W03</t>
        </is>
      </c>
      <c r="F1143" t="inlineStr">
        <is>
          <t>Keegan</t>
        </is>
      </c>
      <c r="G1143" t="inlineStr">
        <is>
          <t>Customer</t>
        </is>
      </c>
      <c r="H1143" s="2" t="str">
        <f>=HYPERLINK("https://upbox.ajobthing.my/customer/6331", "https://upbox.ajobthing.my/customer/6331")</f>
        <v>https://upbox.ajobthing.my/customer/6331</v>
      </c>
      <c r="I1143" t="inlineStr">
        <is>
          <t>Probook Management Services</t>
        </is>
      </c>
      <c r="J1143" t="inlineStr">
        <is>
          <t>Small Fish</t>
        </is>
      </c>
      <c r="K1143" t="inlineStr">
        <is>
          <t>Keegan</t>
        </is>
      </c>
      <c r="L1143" s="4"/>
      <c r="M1143" s="4">
        <v>46134.48101851852</v>
      </c>
      <c r="N1143"/>
      <c r="O1143">
        <v>3888</v>
      </c>
      <c r="P1143" s="4"/>
      <c r="Q1143" s="4"/>
      <c r="R1143"/>
      <c r="S1143"/>
      <c r="T1143" s="4"/>
      <c r="U1143" s="4"/>
      <c r="V1143"/>
      <c r="W1143"/>
      <c r="X1143"/>
      <c r="Y1143" t="inlineStr">
        <is>
          <t>Pending Appointment</t>
        </is>
      </c>
      <c r="Z1143" t="inlineStr">
        <is>
          <t>Hiring Now</t>
        </is>
      </c>
      <c r="AA1143">
        <v>1</v>
      </c>
      <c r="AB1143" t="inlineStr">
        <is>
          <t>No Appointment Made</t>
        </is>
      </c>
      <c r="AC1143"/>
      <c r="AD1143" t="inlineStr">
        <is>
          <t xml:space="preserve">1. Admin </t>
        </is>
      </c>
      <c r="AE1143"/>
      <c r="AF1143"/>
      <c r="AG1143" s="4"/>
      <c r="AH1143" s="4"/>
      <c r="AI1143"/>
      <c r="AJ1143">
        <v>1</v>
      </c>
      <c r="AK1143" t="inlineStr">
        <is>
          <t>No, I don't need at all</t>
        </is>
      </c>
      <c r="AL1143">
        <v>0</v>
      </c>
      <c r="AM1143" t="inlineStr">
        <is>
          <t>No, I don't need at all</t>
        </is>
      </c>
      <c r="AN1143"/>
      <c r="AO1143" t="inlineStr">
        <is>
          <t>No, I don't need at all</t>
        </is>
      </c>
      <c r="AP1143" t="inlineStr">
        <is>
          <t>Once per quarter (75%)</t>
        </is>
      </c>
      <c r="AQ1143"/>
      <c r="AR1143" t="inlineStr">
        <is>
          <t>Did not use any job portal</t>
        </is>
      </c>
      <c r="AS1143"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143">
        <v>95</v>
      </c>
      <c r="AU1143" t="inlineStr">
        <is>
          <t>0.95</t>
        </is>
      </c>
      <c r="AV1143" t="inlineStr">
        <is>
          <t>5</t>
        </is>
      </c>
      <c r="AW1143" t="inlineStr">
        <is>
          <t>0</t>
        </is>
      </c>
      <c r="AX1143" t="inlineStr">
        <is>
          <t>Not Qualified</t>
        </is>
      </c>
      <c r="AY1143" s="4"/>
      <c r="AZ1143"/>
      <c r="BA1143"/>
      <c r="BB1143"/>
      <c r="BC1143"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143" s="4">
        <v>46134.50003472222</v>
      </c>
      <c r="BE1143"/>
      <c r="BF1143"/>
      <c r="BG1143" t="inlineStr">
        <is>
          <t>Reschedule</t>
        </is>
      </c>
      <c r="BH1143" t="inlineStr">
        <is>
          <t>Edward Hoo</t>
        </is>
      </c>
      <c r="BI1143"/>
      <c r="BJ1143" s="4">
        <v>46144.75612268518</v>
      </c>
      <c r="BK1143" s="4">
        <v>42424.43966435185</v>
      </c>
      <c r="BL1143" t="inlineStr">
        <is>
          <t>0.0</t>
        </is>
      </c>
      <c r="BM1143" t="inlineStr">
        <is>
          <t>0.0</t>
        </is>
      </c>
      <c r="BN1143"/>
      <c r="BO1143" s="4"/>
      <c r="BP1143">
        <v>168252</v>
      </c>
      <c r="BQ1143"/>
      <c r="BR1143"/>
      <c r="BS1143"/>
      <c r="BT1143"/>
      <c r="BU1143"/>
      <c r="BV1143">
        <v>2720215</v>
      </c>
      <c r="BW1143" t="inlineStr">
        <is>
          <t>Customer Inquiry</t>
        </is>
      </c>
      <c r="BX1143"/>
      <c r="BY1143"/>
      <c r="BZ1143" s="4"/>
      <c r="CA1143"/>
      <c r="CB1143"/>
      <c r="CC1143" s="4"/>
      <c r="CD1143" t="inlineStr">
        <is>
          <t>5</t>
        </is>
      </c>
      <c r="CE1143" t="inlineStr">
        <is>
          <t>0</t>
        </is>
      </c>
      <c r="CF1143" t="inlineStr">
        <is>
          <t>Q2-W03</t>
        </is>
      </c>
      <c r="CG1143"/>
      <c r="CH1143"/>
      <c r="CI1143"/>
      <c r="CJ1143" t="inlineStr">
        <is>
          <t>No Paid</t>
        </is>
      </c>
      <c r="CK1143" t="inlineStr">
        <is>
          <t>Not Eligible</t>
        </is>
      </c>
      <c r="CL1143"/>
      <c r="CM1143"/>
    </row>
    <row r="1144" ht="25.5" customHeight="1">
      <c r="A1144" t="inlineStr">
        <is>
          <t>4305521</t>
        </is>
      </c>
      <c r="B1144" s="2"/>
      <c r="C1144"/>
      <c r="D1144" s="3">
        <v>46134.482199074075</v>
      </c>
      <c r="E1144" t="inlineStr">
        <is>
          <t>Q2-W03</t>
        </is>
      </c>
      <c r="F1144" t="inlineStr">
        <is>
          <t>Carmen</t>
        </is>
      </c>
      <c r="G1144" t="inlineStr">
        <is>
          <t>Lead</t>
        </is>
      </c>
      <c r="H1144" s="2" t="str">
        <f>=HYPERLINK("https://upbox.ajobthing.my/leads/4305521", "https://upbox.ajobthing.my/leads/4305521")</f>
        <v>https://upbox.ajobthing.my/leads/4305521</v>
      </c>
      <c r="I1144" t="inlineStr">
        <is>
          <t>Ninamaju Sdn Bhd</t>
        </is>
      </c>
      <c r="J1144" t="inlineStr">
        <is>
          <t>Small Fish</t>
        </is>
      </c>
      <c r="K1144" t="inlineStr">
        <is>
          <t>Carmen</t>
        </is>
      </c>
      <c r="L1144" s="4"/>
      <c r="M1144" s="4">
        <v>46134.48280092593</v>
      </c>
      <c r="N1144"/>
      <c r="O1144">
        <v>3888</v>
      </c>
      <c r="P1144" s="4"/>
      <c r="Q1144" s="4"/>
      <c r="R1144"/>
      <c r="S1144"/>
      <c r="T1144" s="4"/>
      <c r="U1144" s="4"/>
      <c r="V1144"/>
      <c r="W1144"/>
      <c r="X1144"/>
      <c r="Y1144" t="inlineStr">
        <is>
          <t>Pending Appointment</t>
        </is>
      </c>
      <c r="Z1144" t="inlineStr">
        <is>
          <t>Hiring Now</t>
        </is>
      </c>
      <c r="AA1144">
        <v>2</v>
      </c>
      <c r="AB1144" t="inlineStr">
        <is>
          <t>No Appointment Made</t>
        </is>
      </c>
      <c r="AC1144"/>
      <c r="AD1144" t="inlineStr">
        <is>
          <t>driver lorry x 1 ;  promoter x 1</t>
        </is>
      </c>
      <c r="AE1144"/>
      <c r="AF1144">
        <v>0</v>
      </c>
      <c r="AG1144" s="4"/>
      <c r="AH1144" s="4"/>
      <c r="AI1144"/>
      <c r="AJ1144"/>
      <c r="AK1144"/>
      <c r="AL1144"/>
      <c r="AM1144"/>
      <c r="AN1144"/>
      <c r="AO1144"/>
      <c r="AP1144" t="inlineStr">
        <is>
          <t>Once a year (25%)</t>
        </is>
      </c>
      <c r="AQ1144"/>
      <c r="AR1144" t="inlineStr">
        <is>
          <t>Free Job Portal</t>
        </is>
      </c>
      <c r="AS1144" t="inlineStr">
        <is>
          <t>- Headcount: 2
- Hiring Job Details: 1 lorry driver, 1 promoter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Free Job Portal</t>
        </is>
      </c>
      <c r="AT1144">
        <v>75</v>
      </c>
      <c r="AU1144" t="inlineStr">
        <is>
          <t>0.75</t>
        </is>
      </c>
      <c r="AV1144" t="inlineStr">
        <is>
          <t>15</t>
        </is>
      </c>
      <c r="AW1144" t="inlineStr">
        <is>
          <t>0</t>
        </is>
      </c>
      <c r="AX1144" t="inlineStr">
        <is>
          <t>Not Qualified</t>
        </is>
      </c>
      <c r="AY1144" s="4"/>
      <c r="AZ1144"/>
      <c r="BA1144"/>
      <c r="BB1144"/>
      <c r="BC1144"/>
      <c r="BD1144" s="4"/>
      <c r="BE1144"/>
      <c r="BF1144"/>
      <c r="BG1144" t="inlineStr">
        <is>
          <t>Reschedule</t>
        </is>
      </c>
      <c r="BH1144" t="inlineStr">
        <is>
          <t>Reagen</t>
        </is>
      </c>
      <c r="BI1144"/>
      <c r="BJ1144" s="4">
        <v>46144.75587962963</v>
      </c>
      <c r="BK1144" s="4">
        <v>46132.6384837963</v>
      </c>
      <c r="BL1144" t="inlineStr">
        <is>
          <t>0.0</t>
        </is>
      </c>
      <c r="BM1144" t="inlineStr">
        <is>
          <t>0.0</t>
        </is>
      </c>
      <c r="BN1144"/>
      <c r="BO1144" s="4"/>
      <c r="BP1144">
        <v>168255</v>
      </c>
      <c r="BQ1144"/>
      <c r="BR1144"/>
      <c r="BS1144"/>
      <c r="BT1144"/>
      <c r="BU1144"/>
      <c r="BV1144"/>
      <c r="BW1144"/>
      <c r="BX1144"/>
      <c r="BY1144"/>
      <c r="BZ1144" s="4"/>
      <c r="CA1144"/>
      <c r="CB1144"/>
      <c r="CC1144" s="4"/>
      <c r="CD1144" t="inlineStr">
        <is>
          <t>20</t>
        </is>
      </c>
      <c r="CE1144" t="inlineStr">
        <is>
          <t>0</t>
        </is>
      </c>
      <c r="CF1144" t="inlineStr">
        <is>
          <t>Q2-W03</t>
        </is>
      </c>
      <c r="CG1144"/>
      <c r="CH1144"/>
      <c r="CI1144"/>
      <c r="CJ1144" t="inlineStr">
        <is>
          <t>No Paid</t>
        </is>
      </c>
      <c r="CK1144" t="inlineStr">
        <is>
          <t>Not Eligible</t>
        </is>
      </c>
      <c r="CL1144"/>
      <c r="CM1144"/>
    </row>
    <row r="1145" ht="25.5" customHeight="1">
      <c r="A1145" t="inlineStr">
        <is>
          <t>203525</t>
        </is>
      </c>
      <c r="B1145" s="2"/>
      <c r="C1145"/>
      <c r="D1145" s="3">
        <v>46134.49061342593</v>
      </c>
      <c r="E1145" t="inlineStr">
        <is>
          <t>Q2-W03</t>
        </is>
      </c>
      <c r="F1145" t="inlineStr">
        <is>
          <t>Keegan</t>
        </is>
      </c>
      <c r="G1145" t="inlineStr">
        <is>
          <t>Customer</t>
        </is>
      </c>
      <c r="H1145" s="2" t="str">
        <f>=HYPERLINK("https://upbox.ajobthing.my/customer/203525", "https://upbox.ajobthing.my/customer/203525")</f>
        <v>https://upbox.ajobthing.my/customer/203525</v>
      </c>
      <c r="I1145" t="inlineStr">
        <is>
          <t>APEX SUPPLY</t>
        </is>
      </c>
      <c r="J1145" t="inlineStr">
        <is>
          <t>Small Fish</t>
        </is>
      </c>
      <c r="K1145" t="inlineStr">
        <is>
          <t>Keegan</t>
        </is>
      </c>
      <c r="L1145" s="4"/>
      <c r="M1145" s="4">
        <v>46134.490902777776</v>
      </c>
      <c r="N1145"/>
      <c r="O1145">
        <v>3888</v>
      </c>
      <c r="P1145" s="4"/>
      <c r="Q1145" s="4"/>
      <c r="R1145"/>
      <c r="S1145"/>
      <c r="T1145" s="4"/>
      <c r="U1145" s="4"/>
      <c r="V1145"/>
      <c r="W1145"/>
      <c r="X1145"/>
      <c r="Y1145" t="inlineStr">
        <is>
          <t>Pending Appointment</t>
        </is>
      </c>
      <c r="Z1145" t="inlineStr">
        <is>
          <t>Hiring Now</t>
        </is>
      </c>
      <c r="AA1145">
        <v>2</v>
      </c>
      <c r="AB1145" t="inlineStr">
        <is>
          <t>No Appointment Made</t>
        </is>
      </c>
      <c r="AC1145"/>
      <c r="AD1145" t="inlineStr">
        <is>
          <t xml:space="preserve">1. Admin   
2. Account </t>
        </is>
      </c>
      <c r="AE1145"/>
      <c r="AF1145"/>
      <c r="AG1145" s="4"/>
      <c r="AH1145" s="4"/>
      <c r="AI1145"/>
      <c r="AJ1145">
        <v>1</v>
      </c>
      <c r="AK1145" t="inlineStr">
        <is>
          <t>No, I don't need at all</t>
        </is>
      </c>
      <c r="AL1145">
        <v>0</v>
      </c>
      <c r="AM1145" t="inlineStr">
        <is>
          <t>No, I don't need at all</t>
        </is>
      </c>
      <c r="AN1145"/>
      <c r="AO1145" t="inlineStr">
        <is>
          <t>No, I don't need at all</t>
        </is>
      </c>
      <c r="AP1145" t="inlineStr">
        <is>
          <t>Once per quarter (75%)</t>
        </is>
      </c>
      <c r="AQ1145"/>
      <c r="AR1145" t="inlineStr">
        <is>
          <t>Did not use any job portal</t>
        </is>
      </c>
      <c r="AS1145" t="inlineStr">
        <is>
          <t>- Headcount: 2
- Hiring Job Details: 1. Admin 2. Account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145">
        <v>75</v>
      </c>
      <c r="AU1145" t="inlineStr">
        <is>
          <t>0.75</t>
        </is>
      </c>
      <c r="AV1145" t="inlineStr">
        <is>
          <t>5</t>
        </is>
      </c>
      <c r="AW1145" t="inlineStr">
        <is>
          <t>0</t>
        </is>
      </c>
      <c r="AX1145" t="inlineStr">
        <is>
          <t>Not Qualified</t>
        </is>
      </c>
      <c r="AY1145" s="4"/>
      <c r="AZ1145"/>
      <c r="BA1145"/>
      <c r="BB1145"/>
      <c r="BC1145" t="inlineStr">
        <is>
          <t>Already managed to hire</t>
        </is>
      </c>
      <c r="BD1145" s="4">
        <v>46142.643854166665</v>
      </c>
      <c r="BE1145"/>
      <c r="BF1145"/>
      <c r="BG1145" t="inlineStr">
        <is>
          <t>Reschedule</t>
        </is>
      </c>
      <c r="BH1145" t="inlineStr">
        <is>
          <t>Edward Hoo</t>
        </is>
      </c>
      <c r="BI1145"/>
      <c r="BJ1145" s="4">
        <v>46144.754328703704</v>
      </c>
      <c r="BK1145" s="4">
        <v>46134.488020833334</v>
      </c>
      <c r="BL1145" t="inlineStr">
        <is>
          <t>0.0</t>
        </is>
      </c>
      <c r="BM1145" t="inlineStr">
        <is>
          <t>0.0</t>
        </is>
      </c>
      <c r="BN1145"/>
      <c r="BO1145" s="4"/>
      <c r="BP1145">
        <v>168264</v>
      </c>
      <c r="BQ1145"/>
      <c r="BR1145"/>
      <c r="BS1145"/>
      <c r="BT1145"/>
      <c r="BU1145"/>
      <c r="BV1145">
        <v>2737964</v>
      </c>
      <c r="BW1145" t="inlineStr">
        <is>
          <t>Follow Up : Lost - Free Portal</t>
        </is>
      </c>
      <c r="BX1145"/>
      <c r="BY1145"/>
      <c r="BZ1145" s="4"/>
      <c r="CA1145"/>
      <c r="CB1145"/>
      <c r="CC1145" s="4"/>
      <c r="CD1145" t="inlineStr">
        <is>
          <t>5</t>
        </is>
      </c>
      <c r="CE1145" t="inlineStr">
        <is>
          <t>0</t>
        </is>
      </c>
      <c r="CF1145" t="inlineStr">
        <is>
          <t>Q2-W03</t>
        </is>
      </c>
      <c r="CG1145"/>
      <c r="CH1145"/>
      <c r="CI1145"/>
      <c r="CJ1145" t="inlineStr">
        <is>
          <t>No Paid</t>
        </is>
      </c>
      <c r="CK1145" t="inlineStr">
        <is>
          <t>Not Eligible</t>
        </is>
      </c>
      <c r="CL1145"/>
      <c r="CM1145"/>
    </row>
    <row r="1146" ht="25.5" customHeight="1">
      <c r="A1146" t="inlineStr">
        <is>
          <t>4312675</t>
        </is>
      </c>
      <c r="B1146" s="2"/>
      <c r="C1146"/>
      <c r="D1146" s="3">
        <v>46134.495208333334</v>
      </c>
      <c r="E1146" t="inlineStr">
        <is>
          <t>Q2-W03</t>
        </is>
      </c>
      <c r="F1146" t="inlineStr">
        <is>
          <t>Luqman</t>
        </is>
      </c>
      <c r="G1146" t="inlineStr">
        <is>
          <t>Lead</t>
        </is>
      </c>
      <c r="H1146" s="2" t="str">
        <f>=HYPERLINK("https://upbox.ajobthing.my/leads/4312675", "https://upbox.ajobthing.my/leads/4312675")</f>
        <v>https://upbox.ajobthing.my/leads/4312675</v>
      </c>
      <c r="I1146" t="inlineStr">
        <is>
          <t>601111129094</t>
        </is>
      </c>
      <c r="J1146" t="inlineStr">
        <is>
          <t>Small Fish</t>
        </is>
      </c>
      <c r="K1146" t="inlineStr">
        <is>
          <t>Luqman</t>
        </is>
      </c>
      <c r="L1146" s="4"/>
      <c r="M1146" s="4">
        <v>46134.495416666665</v>
      </c>
      <c r="N1146"/>
      <c r="O1146">
        <v>1296</v>
      </c>
      <c r="P1146" s="4"/>
      <c r="Q1146" s="4"/>
      <c r="R1146"/>
      <c r="S1146"/>
      <c r="T1146" s="4"/>
      <c r="U1146" s="4"/>
      <c r="V1146"/>
      <c r="W1146"/>
      <c r="X1146"/>
      <c r="Y1146" t="inlineStr">
        <is>
          <t>Pending Appointment</t>
        </is>
      </c>
      <c r="Z1146" t="inlineStr">
        <is>
          <t>Hiring Later</t>
        </is>
      </c>
      <c r="AA1146">
        <v>1</v>
      </c>
      <c r="AB1146" t="inlineStr">
        <is>
          <t>No Appointment Made</t>
        </is>
      </c>
      <c r="AC1146"/>
      <c r="AD1146" t="inlineStr">
        <is>
          <t xml:space="preserve">1. Driver </t>
        </is>
      </c>
      <c r="AE1146"/>
      <c r="AF1146">
        <v>1200</v>
      </c>
      <c r="AG1146" s="4"/>
      <c r="AH1146" s="4"/>
      <c r="AI1146">
        <v>1200</v>
      </c>
      <c r="AJ1146"/>
      <c r="AK1146" t="inlineStr">
        <is>
          <t>No, I don't need at all</t>
        </is>
      </c>
      <c r="AL1146">
        <v>3</v>
      </c>
      <c r="AM1146" t="inlineStr">
        <is>
          <t>No, I don't need at all</t>
        </is>
      </c>
      <c r="AN1146"/>
      <c r="AO1146" t="inlineStr">
        <is>
          <t>Yes, I have</t>
        </is>
      </c>
      <c r="AP1146" t="inlineStr">
        <is>
          <t>Once a year (25%)</t>
        </is>
      </c>
      <c r="AQ1146">
        <v>1</v>
      </c>
      <c r="AR1146" t="inlineStr">
        <is>
          <t>Free Job Portal</t>
        </is>
      </c>
      <c r="AS1146" t="inlineStr">
        <is>
          <t>- Headcount: 1
- Hiring Job Details: 1 Driver
- Hiring Urgency: Hiring Later
- Number of outlets: 
- Have recruiter team: No, I don't need at all
- Number of recruiter in company: 3
- Have ATS system: No, I don't need at all
- Have career website: Yes, I have
- Current hiring budget: RM1,200
- Whole year budget: RM1,200.00
- Whole year number of vacancies: 1
- Hiring frequency: Once a year (25%)
- External job portal: Free Job Portal</t>
        </is>
      </c>
      <c r="AT1146">
        <v>115</v>
      </c>
      <c r="AU1146" t="inlineStr">
        <is>
          <t>1.15</t>
        </is>
      </c>
      <c r="AV1146" t="inlineStr">
        <is>
          <t>15</t>
        </is>
      </c>
      <c r="AW1146" t="inlineStr">
        <is>
          <t>0</t>
        </is>
      </c>
      <c r="AX1146" t="inlineStr">
        <is>
          <t>Not Qualified</t>
        </is>
      </c>
      <c r="AY1146" s="4"/>
      <c r="AZ1146"/>
      <c r="BA1146"/>
      <c r="BB1146"/>
      <c r="BC1146"/>
      <c r="BD1146" s="4"/>
      <c r="BE1146"/>
      <c r="BF1146"/>
      <c r="BG1146" t="inlineStr">
        <is>
          <t>Reschedule</t>
        </is>
      </c>
      <c r="BH1146" t="inlineStr">
        <is>
          <t>Edward Hoo</t>
        </is>
      </c>
      <c r="BI1146"/>
      <c r="BJ1146" s="4">
        <v>46144.755902777775</v>
      </c>
      <c r="BK1146" s="4">
        <v>46134.440347222226</v>
      </c>
      <c r="BL1146" t="inlineStr">
        <is>
          <t>0.0</t>
        </is>
      </c>
      <c r="BM1146" t="inlineStr">
        <is>
          <t>0.0</t>
        </is>
      </c>
      <c r="BN1146"/>
      <c r="BO1146" s="4"/>
      <c r="BP1146">
        <v>168270</v>
      </c>
      <c r="BQ1146"/>
      <c r="BR1146"/>
      <c r="BS1146"/>
      <c r="BT1146"/>
      <c r="BU1146"/>
      <c r="BV1146"/>
      <c r="BW1146"/>
      <c r="BX1146"/>
      <c r="BY1146"/>
      <c r="BZ1146" s="4"/>
      <c r="CA1146"/>
      <c r="CB1146"/>
      <c r="CC1146" s="4"/>
      <c r="CD1146" t="inlineStr">
        <is>
          <t>20</t>
        </is>
      </c>
      <c r="CE1146" t="inlineStr">
        <is>
          <t>0</t>
        </is>
      </c>
      <c r="CF1146" t="inlineStr">
        <is>
          <t>Q2-W03</t>
        </is>
      </c>
      <c r="CG1146"/>
      <c r="CH1146"/>
      <c r="CI1146"/>
      <c r="CJ1146" t="inlineStr">
        <is>
          <t>No Paid</t>
        </is>
      </c>
      <c r="CK1146" t="inlineStr">
        <is>
          <t>Not Eligible</t>
        </is>
      </c>
      <c r="CL1146"/>
      <c r="CM1146"/>
    </row>
    <row r="1147" ht="25.5" customHeight="1">
      <c r="A1147" t="inlineStr">
        <is>
          <t>203523</t>
        </is>
      </c>
      <c r="B1147" s="2"/>
      <c r="C1147"/>
      <c r="D1147" s="3">
        <v>46134.49804398148</v>
      </c>
      <c r="E1147" t="inlineStr">
        <is>
          <t>Q2-W03</t>
        </is>
      </c>
      <c r="F1147" t="inlineStr">
        <is>
          <t>Jeff Lee</t>
        </is>
      </c>
      <c r="G1147" t="inlineStr">
        <is>
          <t>Customer</t>
        </is>
      </c>
      <c r="H1147" s="2" t="str">
        <f>=HYPERLINK("https://upbox.ajobthing.my/customer/203523", "https://upbox.ajobthing.my/customer/203523")</f>
        <v>https://upbox.ajobthing.my/customer/203523</v>
      </c>
      <c r="I1147" t="inlineStr">
        <is>
          <t>SolveIT Consultants</t>
        </is>
      </c>
      <c r="J1147" t="inlineStr">
        <is>
          <t>Small Fish</t>
        </is>
      </c>
      <c r="K1147" t="inlineStr">
        <is>
          <t>Jeff Lee</t>
        </is>
      </c>
      <c r="L1147" s="4"/>
      <c r="M1147" s="4">
        <v>46134.47662037037</v>
      </c>
      <c r="N1147"/>
      <c r="O1147">
        <v>14256</v>
      </c>
      <c r="P1147" s="4"/>
      <c r="Q1147" s="4"/>
      <c r="R1147"/>
      <c r="S1147"/>
      <c r="T1147" s="4"/>
      <c r="U1147" s="4"/>
      <c r="V1147"/>
      <c r="W1147"/>
      <c r="X1147"/>
      <c r="Y1147" t="inlineStr">
        <is>
          <t>Pending Appointment</t>
        </is>
      </c>
      <c r="Z1147" t="inlineStr">
        <is>
          <t>Hiring Now</t>
        </is>
      </c>
      <c r="AA1147">
        <v>3</v>
      </c>
      <c r="AB1147" t="inlineStr">
        <is>
          <t>No Appointment Made</t>
        </is>
      </c>
      <c r="AC1147"/>
      <c r="AD1147" t="inlineStr">
        <is>
          <t>- 1 SAP, 1 Customer support, ⁠1 Tech roles based in KL and cyber Jaya 
</t>
        </is>
      </c>
      <c r="AE1147"/>
      <c r="AF1147">
        <v>7000</v>
      </c>
      <c r="AG1147" s="4"/>
      <c r="AH1147" s="4"/>
      <c r="AI1147">
        <v>7000</v>
      </c>
      <c r="AJ1147">
        <v>0</v>
      </c>
      <c r="AK1147" t="inlineStr">
        <is>
          <t>No, I don't need at all</t>
        </is>
      </c>
      <c r="AL1147">
        <v>0</v>
      </c>
      <c r="AM1147" t="inlineStr">
        <is>
          <t>No, I don't need at all</t>
        </is>
      </c>
      <c r="AN1147"/>
      <c r="AO1147" t="inlineStr">
        <is>
          <t>No, I don't need at all</t>
        </is>
      </c>
      <c r="AP1147" t="inlineStr">
        <is>
          <t>Twice a year (50%)</t>
        </is>
      </c>
      <c r="AQ1147">
        <v>100</v>
      </c>
      <c r="AR1147" t="inlineStr">
        <is>
          <t>Did not use any job portal</t>
        </is>
      </c>
      <c r="AS1147" t="inlineStr">
        <is>
          <t>- Headcount: 3
- Hiring Job Details: 1 SAP, 1 Customer support, 1 Tech roles based in KL and cyber Jaya
- Hiring Urgency: Hiring Now
- Number of outlets: 0
- Have recruiter team: No, I don't need at all
- Number of recruiter in company: 0
- Have ATS system: No, I don't need at all
- Have career website: No, I don't need at all
- Current hiring budget: RM7,000
- Whole year budget: RM7,000.00
- Whole year number of vacancies: 100
- Hiring frequency: Twice a year (50%)
- External job portal: Did not use any job portal</t>
        </is>
      </c>
      <c r="AT1147">
        <v>95</v>
      </c>
      <c r="AU1147" t="inlineStr">
        <is>
          <t>0.95</t>
        </is>
      </c>
      <c r="AV1147" t="inlineStr">
        <is>
          <t>15</t>
        </is>
      </c>
      <c r="AW1147" t="inlineStr">
        <is>
          <t>0</t>
        </is>
      </c>
      <c r="AX1147" t="inlineStr">
        <is>
          <t>Not Qualified</t>
        </is>
      </c>
      <c r="AY1147" s="4"/>
      <c r="AZ1147"/>
      <c r="BA1147"/>
      <c r="BB1147"/>
      <c r="BC1147" t="inlineStr">
        <is>
          <t>- Headcount: 3
- Hiring Job Details: 1 SAP, 1 Customer support, 1 Tech roles based in KL and cyber Jaya
- Hiring Urgency: Hiring Now
- Number of outlets: 0
- Have recruiter team: No, I don't need at all
- Number of recruiter in company: 0
- Have ATS system: No, I don't need at all
- Have career website: No, I don't need at all
- Current hiring budget: RM7,000
- Whole year budget: RM7,000.00
- Whole year number of vacancies: 100
- Hiring frequency: Twice a year (50%)
- External job portal: Did not use any job portal</t>
        </is>
      </c>
      <c r="BD1147" s="4">
        <v>46134.5000462963</v>
      </c>
      <c r="BE1147"/>
      <c r="BF1147"/>
      <c r="BG1147" t="inlineStr">
        <is>
          <t>Reschedule</t>
        </is>
      </c>
      <c r="BH1147" t="inlineStr">
        <is>
          <t>Yee Hang</t>
        </is>
      </c>
      <c r="BI1147"/>
      <c r="BJ1147" s="4">
        <v>46144.754328703704</v>
      </c>
      <c r="BK1147" s="4">
        <v>46134.459398148145</v>
      </c>
      <c r="BL1147" t="inlineStr">
        <is>
          <t>0.0</t>
        </is>
      </c>
      <c r="BM1147" t="inlineStr">
        <is>
          <t>0.0</t>
        </is>
      </c>
      <c r="BN1147" t="inlineStr">
        <is>
          <t>User Visit(Logged In)</t>
        </is>
      </c>
      <c r="BO1147" s="4">
        <v>46134.47319444444</v>
      </c>
      <c r="BP1147">
        <v>168245</v>
      </c>
      <c r="BQ1147"/>
      <c r="BR1147"/>
      <c r="BS1147"/>
      <c r="BT1147"/>
      <c r="BU1147"/>
      <c r="BV1147">
        <v>2720228</v>
      </c>
      <c r="BW1147" t="inlineStr">
        <is>
          <t>Customer Inquiry</t>
        </is>
      </c>
      <c r="BX1147"/>
      <c r="BY1147"/>
      <c r="BZ1147" s="4"/>
      <c r="CA1147"/>
      <c r="CB1147"/>
      <c r="CC1147" s="4"/>
      <c r="CD1147" t="inlineStr">
        <is>
          <t>20</t>
        </is>
      </c>
      <c r="CE1147" t="inlineStr">
        <is>
          <t>0</t>
        </is>
      </c>
      <c r="CF1147" t="inlineStr">
        <is>
          <t>Q2-W03</t>
        </is>
      </c>
      <c r="CG1147"/>
      <c r="CH1147"/>
      <c r="CI1147"/>
      <c r="CJ1147" t="inlineStr">
        <is>
          <t>No Paid</t>
        </is>
      </c>
      <c r="CK1147" t="inlineStr">
        <is>
          <t>Not Eligible</t>
        </is>
      </c>
      <c r="CL1147"/>
      <c r="CM1147"/>
    </row>
    <row r="1148" ht="25.5" customHeight="1">
      <c r="A1148" t="inlineStr">
        <is>
          <t>4305521</t>
        </is>
      </c>
      <c r="B1148" s="2"/>
      <c r="C1148"/>
      <c r="D1148" s="3">
        <v>46134.49862268518</v>
      </c>
      <c r="E1148" t="inlineStr">
        <is>
          <t>Q2-W03</t>
        </is>
      </c>
      <c r="F1148" t="inlineStr">
        <is>
          <t>Carmen</t>
        </is>
      </c>
      <c r="G1148" t="inlineStr">
        <is>
          <t>Lead</t>
        </is>
      </c>
      <c r="H1148" s="2" t="str">
        <f>=HYPERLINK("https://upbox.ajobthing.my/leads/4305521", "https://upbox.ajobthing.my/leads/4305521")</f>
        <v>https://upbox.ajobthing.my/leads/4305521</v>
      </c>
      <c r="I1148" t="inlineStr">
        <is>
          <t>Ninamaju Sdn Bhd</t>
        </is>
      </c>
      <c r="J1148" t="inlineStr">
        <is>
          <t>Small Fish</t>
        </is>
      </c>
      <c r="K1148" t="inlineStr">
        <is>
          <t>Carmen</t>
        </is>
      </c>
      <c r="L1148" s="4"/>
      <c r="M1148" s="4">
        <v>46134.48280092593</v>
      </c>
      <c r="N1148"/>
      <c r="O1148">
        <v>3888</v>
      </c>
      <c r="P1148" s="4"/>
      <c r="Q1148" s="4"/>
      <c r="R1148"/>
      <c r="S1148"/>
      <c r="T1148" s="4"/>
      <c r="U1148" s="4"/>
      <c r="V1148"/>
      <c r="W1148"/>
      <c r="X1148"/>
      <c r="Y1148" t="inlineStr">
        <is>
          <t>Pending Appointment</t>
        </is>
      </c>
      <c r="Z1148" t="inlineStr">
        <is>
          <t>Hiring Now</t>
        </is>
      </c>
      <c r="AA1148">
        <v>2</v>
      </c>
      <c r="AB1148" t="inlineStr">
        <is>
          <t>No Appointment Made</t>
        </is>
      </c>
      <c r="AC1148"/>
      <c r="AD1148" t="inlineStr">
        <is>
          <t>driver lorry 1 ; promoter 1</t>
        </is>
      </c>
      <c r="AE1148"/>
      <c r="AF1148">
        <v>0</v>
      </c>
      <c r="AG1148" s="4"/>
      <c r="AH1148" s="4"/>
      <c r="AI1148"/>
      <c r="AJ1148"/>
      <c r="AK1148"/>
      <c r="AL1148"/>
      <c r="AM1148"/>
      <c r="AN1148"/>
      <c r="AO1148"/>
      <c r="AP1148"/>
      <c r="AQ1148"/>
      <c r="AR1148"/>
      <c r="AS1148" t="inlineStr">
        <is>
          <t>- Headcount: 2 (1 lorry driver, 1 promoter).
- Hiring Job Details: 1 lorry driver ; 1 promoter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1148">
        <v>85</v>
      </c>
      <c r="AU1148" t="inlineStr">
        <is>
          <t>0.85</t>
        </is>
      </c>
      <c r="AV1148" t="inlineStr">
        <is>
          <t>15</t>
        </is>
      </c>
      <c r="AW1148" t="inlineStr">
        <is>
          <t>0</t>
        </is>
      </c>
      <c r="AX1148" t="inlineStr">
        <is>
          <t>Not Qualified</t>
        </is>
      </c>
      <c r="AY1148" s="4"/>
      <c r="AZ1148"/>
      <c r="BA1148"/>
      <c r="BB1148"/>
      <c r="BC1148"/>
      <c r="BD1148" s="4"/>
      <c r="BE1148"/>
      <c r="BF1148"/>
      <c r="BG1148" t="inlineStr">
        <is>
          <t>Reschedule</t>
        </is>
      </c>
      <c r="BH1148" t="inlineStr">
        <is>
          <t>Reagen</t>
        </is>
      </c>
      <c r="BI1148"/>
      <c r="BJ1148" s="4">
        <v>46144.75587962963</v>
      </c>
      <c r="BK1148" s="4">
        <v>46132.6384837963</v>
      </c>
      <c r="BL1148" t="inlineStr">
        <is>
          <t>0.0</t>
        </is>
      </c>
      <c r="BM1148" t="inlineStr">
        <is>
          <t>0.0</t>
        </is>
      </c>
      <c r="BN1148"/>
      <c r="BO1148" s="4"/>
      <c r="BP1148">
        <v>168255</v>
      </c>
      <c r="BQ1148"/>
      <c r="BR1148"/>
      <c r="BS1148"/>
      <c r="BT1148"/>
      <c r="BU1148"/>
      <c r="BV1148"/>
      <c r="BW1148"/>
      <c r="BX1148"/>
      <c r="BY1148"/>
      <c r="BZ1148" s="4"/>
      <c r="CA1148"/>
      <c r="CB1148"/>
      <c r="CC1148" s="4"/>
      <c r="CD1148" t="inlineStr">
        <is>
          <t>20</t>
        </is>
      </c>
      <c r="CE1148" t="inlineStr">
        <is>
          <t>0</t>
        </is>
      </c>
      <c r="CF1148" t="inlineStr">
        <is>
          <t>Q2-W03</t>
        </is>
      </c>
      <c r="CG1148"/>
      <c r="CH1148"/>
      <c r="CI1148"/>
      <c r="CJ1148" t="inlineStr">
        <is>
          <t>No Paid</t>
        </is>
      </c>
      <c r="CK1148" t="inlineStr">
        <is>
          <t>Not Eligible</t>
        </is>
      </c>
      <c r="CL1148"/>
      <c r="CM1148"/>
    </row>
    <row r="1149" ht="25.5" customHeight="1">
      <c r="A1149" t="inlineStr">
        <is>
          <t>203528</t>
        </is>
      </c>
      <c r="B1149" s="2"/>
      <c r="C1149"/>
      <c r="D1149" s="3">
        <v>46134.5027662037</v>
      </c>
      <c r="E1149" t="inlineStr">
        <is>
          <t>Q2-W03</t>
        </is>
      </c>
      <c r="F1149" t="inlineStr">
        <is>
          <t>Xin Quan</t>
        </is>
      </c>
      <c r="G1149" t="inlineStr">
        <is>
          <t>Customer</t>
        </is>
      </c>
      <c r="H1149" s="2" t="str">
        <f>=HYPERLINK("https://upbox.ajobthing.my/customer/203528", "https://upbox.ajobthing.my/customer/203528")</f>
        <v>https://upbox.ajobthing.my/customer/203528</v>
      </c>
      <c r="I1149" t="inlineStr">
        <is>
          <t>PEST SCIENCES (KL) SDN BHD</t>
        </is>
      </c>
      <c r="J1149" t="inlineStr">
        <is>
          <t>Small Fish</t>
        </is>
      </c>
      <c r="K1149" t="inlineStr">
        <is>
          <t>Xin Quan</t>
        </is>
      </c>
      <c r="L1149" s="4"/>
      <c r="M1149" s="4">
        <v>46134.50288194444</v>
      </c>
      <c r="N1149"/>
      <c r="O1149">
        <v>3888</v>
      </c>
      <c r="P1149" s="4"/>
      <c r="Q1149" s="4"/>
      <c r="R1149"/>
      <c r="S1149"/>
      <c r="T1149" s="4"/>
      <c r="U1149" s="4"/>
      <c r="V1149"/>
      <c r="W1149"/>
      <c r="X1149"/>
      <c r="Y1149" t="inlineStr">
        <is>
          <t>Pending Appointment</t>
        </is>
      </c>
      <c r="Z1149" t="inlineStr">
        <is>
          <t>Hiring Now</t>
        </is>
      </c>
      <c r="AA1149">
        <v>2</v>
      </c>
      <c r="AB1149" t="inlineStr">
        <is>
          <t>No Appointment Made</t>
        </is>
      </c>
      <c r="AC1149"/>
      <c r="AD1149" t="inlineStr">
        <is>
          <t>1Admin 1 Assitance , Base in KL</t>
        </is>
      </c>
      <c r="AE1149"/>
      <c r="AF1149">
        <v>4000</v>
      </c>
      <c r="AG1149" s="4"/>
      <c r="AH1149" s="4"/>
      <c r="AI1149">
        <v>48000</v>
      </c>
      <c r="AJ1149">
        <v>1</v>
      </c>
      <c r="AK1149" t="inlineStr">
        <is>
          <t>No, I don't need at all</t>
        </is>
      </c>
      <c r="AL1149">
        <v>1</v>
      </c>
      <c r="AM1149" t="inlineStr">
        <is>
          <t>No, I don't need at all</t>
        </is>
      </c>
      <c r="AN1149"/>
      <c r="AO1149" t="inlineStr">
        <is>
          <t>No, I don't need at all</t>
        </is>
      </c>
      <c r="AP1149" t="inlineStr">
        <is>
          <t>Once a year (25%)</t>
        </is>
      </c>
      <c r="AQ1149">
        <v>2</v>
      </c>
      <c r="AR1149"/>
      <c r="AS1149" t="inlineStr">
        <is>
          <t>- Headcount: 2
- Hiring Job Details: 1 Admin, 1 Assistant,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is>
      </c>
      <c r="AT1149">
        <v>110</v>
      </c>
      <c r="AU1149" t="inlineStr">
        <is>
          <t>1.10</t>
        </is>
      </c>
      <c r="AV1149" t="inlineStr">
        <is>
          <t>15</t>
        </is>
      </c>
      <c r="AW1149" t="inlineStr">
        <is>
          <t>0</t>
        </is>
      </c>
      <c r="AX1149" t="inlineStr">
        <is>
          <t>Not Qualified</t>
        </is>
      </c>
      <c r="AY1149" s="4"/>
      <c r="AZ1149"/>
      <c r="BA1149"/>
      <c r="BB1149"/>
      <c r="BC1149" t="inlineStr">
        <is>
          <t>MIA</t>
        </is>
      </c>
      <c r="BD1149" s="4">
        <v>46140.43796296296</v>
      </c>
      <c r="BE1149"/>
      <c r="BF1149"/>
      <c r="BG1149" t="inlineStr">
        <is>
          <t>Reschedule</t>
        </is>
      </c>
      <c r="BH1149" t="inlineStr">
        <is>
          <t>Edward Hoo</t>
        </is>
      </c>
      <c r="BI1149"/>
      <c r="BJ1149" s="4">
        <v>46144.754328703704</v>
      </c>
      <c r="BK1149" s="4">
        <v>46134.50111111111</v>
      </c>
      <c r="BL1149" t="inlineStr">
        <is>
          <t>0.0</t>
        </is>
      </c>
      <c r="BM1149" t="inlineStr">
        <is>
          <t>0.0</t>
        </is>
      </c>
      <c r="BN1149"/>
      <c r="BO1149" s="4"/>
      <c r="BP1149">
        <v>168277</v>
      </c>
      <c r="BQ1149"/>
      <c r="BR1149"/>
      <c r="BS1149"/>
      <c r="BT1149"/>
      <c r="BU1149"/>
      <c r="BV1149">
        <v>2731841</v>
      </c>
      <c r="BW1149" t="inlineStr">
        <is>
          <t>Inquire for Hiring Needs : No Hiring</t>
        </is>
      </c>
      <c r="BX1149"/>
      <c r="BY1149"/>
      <c r="BZ1149" s="4"/>
      <c r="CA1149"/>
      <c r="CB1149"/>
      <c r="CC1149" s="4"/>
      <c r="CD1149" t="inlineStr">
        <is>
          <t>20</t>
        </is>
      </c>
      <c r="CE1149" t="inlineStr">
        <is>
          <t>0</t>
        </is>
      </c>
      <c r="CF1149" t="inlineStr">
        <is>
          <t>Q2-W03</t>
        </is>
      </c>
      <c r="CG1149"/>
      <c r="CH1149"/>
      <c r="CI1149"/>
      <c r="CJ1149" t="inlineStr">
        <is>
          <t>No Paid</t>
        </is>
      </c>
      <c r="CK1149" t="inlineStr">
        <is>
          <t>Not Eligible</t>
        </is>
      </c>
      <c r="CL1149"/>
      <c r="CM1149"/>
    </row>
    <row r="1150" ht="25.5" customHeight="1">
      <c r="A1150" t="inlineStr">
        <is>
          <t>203529</t>
        </is>
      </c>
      <c r="B1150" s="2"/>
      <c r="C1150"/>
      <c r="D1150" s="3">
        <v>46134.50561342593</v>
      </c>
      <c r="E1150" t="inlineStr">
        <is>
          <t>Q2-W03</t>
        </is>
      </c>
      <c r="F1150" t="inlineStr">
        <is>
          <t>Fariz</t>
        </is>
      </c>
      <c r="G1150" t="inlineStr">
        <is>
          <t>Customer</t>
        </is>
      </c>
      <c r="H1150" s="2" t="str">
        <f>=HYPERLINK("https://upbox.ajobthing.my/customer/203529", "https://upbox.ajobthing.my/customer/203529")</f>
        <v>https://upbox.ajobthing.my/customer/203529</v>
      </c>
      <c r="I1150" t="inlineStr">
        <is>
          <t>Finesse Clinic</t>
        </is>
      </c>
      <c r="J1150" t="inlineStr">
        <is>
          <t>Small Fish</t>
        </is>
      </c>
      <c r="K1150" t="inlineStr">
        <is>
          <t>Fariz</t>
        </is>
      </c>
      <c r="L1150" s="4"/>
      <c r="M1150" s="4">
        <v>46134.50638888889</v>
      </c>
      <c r="N1150"/>
      <c r="O1150">
        <v>6048</v>
      </c>
      <c r="P1150" s="4"/>
      <c r="Q1150" s="4"/>
      <c r="R1150"/>
      <c r="S1150"/>
      <c r="T1150" s="4"/>
      <c r="U1150" s="4"/>
      <c r="V1150"/>
      <c r="W1150"/>
      <c r="X1150"/>
      <c r="Y1150" t="inlineStr">
        <is>
          <t>Pending Appointment</t>
        </is>
      </c>
      <c r="Z1150" t="inlineStr">
        <is>
          <t>Hiring Later</t>
        </is>
      </c>
      <c r="AA1150">
        <v>5</v>
      </c>
      <c r="AB1150" t="inlineStr">
        <is>
          <t>No Appointment Made</t>
        </is>
      </c>
      <c r="AC1150"/>
      <c r="AD1150" t="inlineStr">
        <is>
          <t>Clinic asst 
Sales 
PA
Content Marketing 
Beautician</t>
        </is>
      </c>
      <c r="AE1150"/>
      <c r="AF1150">
        <v>5600</v>
      </c>
      <c r="AG1150" s="4"/>
      <c r="AH1150" s="4"/>
      <c r="AI1150">
        <v>5600</v>
      </c>
      <c r="AJ1150"/>
      <c r="AK1150" t="inlineStr">
        <is>
          <t>No, I don't need at all</t>
        </is>
      </c>
      <c r="AL1150">
        <v>1</v>
      </c>
      <c r="AM1150" t="inlineStr">
        <is>
          <t>No, I don't need at all</t>
        </is>
      </c>
      <c r="AN1150"/>
      <c r="AO1150" t="inlineStr">
        <is>
          <t>No, but I want in future</t>
        </is>
      </c>
      <c r="AP1150" t="inlineStr">
        <is>
          <t>Twice a year (50%)</t>
        </is>
      </c>
      <c r="AQ1150">
        <v>5</v>
      </c>
      <c r="AR1150" t="inlineStr">
        <is>
          <t>Free Job Portal</t>
        </is>
      </c>
      <c r="AS1150" t="inlineStr">
        <is>
          <t>- Headcount: 5
- Hiring Job Details: Clinic asst, Sales, PA, Content Marketing, Beautician
- Hiring Urgency: Hiring Later
- Number of outlets: Not specified
- Have recruiter team: No, I don't need at all
- Number of recruiter in company: 1
- Have ATS system: No, I don't need at all
- Have career website: No, but I want in future
- Current hiring budget: RM5,600
- Whole year budget: RM5,600.00
- Whole year number of vacancies: 5
- Hiring frequency: Twice a year (50%)
- External job portal: Free Job Portal</t>
        </is>
      </c>
      <c r="AT1150">
        <v>75</v>
      </c>
      <c r="AU1150" t="inlineStr">
        <is>
          <t>0.75</t>
        </is>
      </c>
      <c r="AV1150" t="inlineStr">
        <is>
          <t>20</t>
        </is>
      </c>
      <c r="AW1150" t="inlineStr">
        <is>
          <t>0</t>
        </is>
      </c>
      <c r="AX1150" t="inlineStr">
        <is>
          <t>Not Qualified</t>
        </is>
      </c>
      <c r="AY1150" s="4"/>
      <c r="AZ1150"/>
      <c r="BA1150"/>
      <c r="BB1150"/>
      <c r="BC1150" t="inlineStr">
        <is>
          <t>customer havent give any decision yet, still pending</t>
        </is>
      </c>
      <c r="BD1150" s="4">
        <v>46141.600590277776</v>
      </c>
      <c r="BE1150"/>
      <c r="BF1150"/>
      <c r="BG1150" t="inlineStr">
        <is>
          <t>Reschedule</t>
        </is>
      </c>
      <c r="BH1150" t="inlineStr">
        <is>
          <t>Edward Hoo</t>
        </is>
      </c>
      <c r="BI1150"/>
      <c r="BJ1150" s="4">
        <v>46144.754328703704</v>
      </c>
      <c r="BK1150" s="4">
        <v>46134.502534722225</v>
      </c>
      <c r="BL1150" t="inlineStr">
        <is>
          <t>0.0</t>
        </is>
      </c>
      <c r="BM1150" t="inlineStr">
        <is>
          <t>0.0</t>
        </is>
      </c>
      <c r="BN1150"/>
      <c r="BO1150" s="4"/>
      <c r="BP1150">
        <v>168278</v>
      </c>
      <c r="BQ1150"/>
      <c r="BR1150"/>
      <c r="BS1150"/>
      <c r="BT1150"/>
      <c r="BU1150"/>
      <c r="BV1150">
        <v>2735301</v>
      </c>
      <c r="BW1150" t="inlineStr">
        <is>
          <t>Follow Up : Decision Pending</t>
        </is>
      </c>
      <c r="BX1150"/>
      <c r="BY1150"/>
      <c r="BZ1150" s="4"/>
      <c r="CA1150"/>
      <c r="CB1150"/>
      <c r="CC1150" s="4"/>
      <c r="CD1150" t="inlineStr">
        <is>
          <t>30</t>
        </is>
      </c>
      <c r="CE1150" t="inlineStr">
        <is>
          <t>0</t>
        </is>
      </c>
      <c r="CF1150" t="inlineStr">
        <is>
          <t>Q2-W03</t>
        </is>
      </c>
      <c r="CG1150"/>
      <c r="CH1150"/>
      <c r="CI1150"/>
      <c r="CJ1150" t="inlineStr">
        <is>
          <t>No Paid</t>
        </is>
      </c>
      <c r="CK1150" t="inlineStr">
        <is>
          <t>Not Eligible</t>
        </is>
      </c>
      <c r="CL1150"/>
      <c r="CM1150"/>
    </row>
    <row r="1151" ht="25.5" customHeight="1">
      <c r="A1151" t="inlineStr">
        <is>
          <t>4313076</t>
        </is>
      </c>
      <c r="B1151" s="2"/>
      <c r="C1151"/>
      <c r="D1151" s="3">
        <v>46134.56582175926</v>
      </c>
      <c r="E1151" t="inlineStr">
        <is>
          <t>Q2-W03</t>
        </is>
      </c>
      <c r="F1151" t="inlineStr">
        <is>
          <t>Lucas</t>
        </is>
      </c>
      <c r="G1151" t="inlineStr">
        <is>
          <t>Lead</t>
        </is>
      </c>
      <c r="H1151" s="2" t="str">
        <f>=HYPERLINK("https://upbox.ajobthing.my/leads/4313076", "https://upbox.ajobthing.my/leads/4313076")</f>
        <v>https://upbox.ajobthing.my/leads/4313076</v>
      </c>
      <c r="I1151" t="inlineStr">
        <is>
          <t>Factory Avenue Resources</t>
        </is>
      </c>
      <c r="J1151" t="inlineStr">
        <is>
          <t>Small Fish</t>
        </is>
      </c>
      <c r="K1151" t="inlineStr">
        <is>
          <t>Lucas</t>
        </is>
      </c>
      <c r="L1151" s="4"/>
      <c r="M1151" s="4">
        <v>46134.56465277778</v>
      </c>
      <c r="N1151"/>
      <c r="O1151">
        <v>3888</v>
      </c>
      <c r="P1151" s="4"/>
      <c r="Q1151" s="4"/>
      <c r="R1151"/>
      <c r="S1151"/>
      <c r="T1151" s="4"/>
      <c r="U1151" s="4"/>
      <c r="V1151"/>
      <c r="W1151"/>
      <c r="X1151"/>
      <c r="Y1151" t="inlineStr">
        <is>
          <t>Pending Appointment</t>
        </is>
      </c>
      <c r="Z1151" t="inlineStr">
        <is>
          <t>Hiring Now</t>
        </is>
      </c>
      <c r="AA1151">
        <v>1</v>
      </c>
      <c r="AB1151" t="inlineStr">
        <is>
          <t>No Appointment Made</t>
        </is>
      </c>
      <c r="AC1151"/>
      <c r="AD1151" t="inlineStr">
        <is>
          <t xml:space="preserve">1 sale executive </t>
        </is>
      </c>
      <c r="AE1151"/>
      <c r="AF1151">
        <v>0</v>
      </c>
      <c r="AG1151" s="4"/>
      <c r="AH1151" s="4"/>
      <c r="AI1151">
        <v>0</v>
      </c>
      <c r="AJ1151">
        <v>0</v>
      </c>
      <c r="AK1151" t="inlineStr">
        <is>
          <t>No, I don't need at all</t>
        </is>
      </c>
      <c r="AL1151">
        <v>0</v>
      </c>
      <c r="AM1151" t="inlineStr">
        <is>
          <t>No, I don't need at all</t>
        </is>
      </c>
      <c r="AN1151"/>
      <c r="AO1151" t="inlineStr">
        <is>
          <t>No, I don't need at all</t>
        </is>
      </c>
      <c r="AP1151" t="inlineStr">
        <is>
          <t>Once a year (25%)</t>
        </is>
      </c>
      <c r="AQ1151">
        <v>1</v>
      </c>
      <c r="AR1151" t="inlineStr">
        <is>
          <t>Did not use any job portal</t>
        </is>
      </c>
      <c r="AS1151" t="inlineStr">
        <is>
          <t>- Headcount: 1
- Hiring Job Details: 1 sale executive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151">
        <v>110</v>
      </c>
      <c r="AU1151" t="inlineStr">
        <is>
          <t>1.10</t>
        </is>
      </c>
      <c r="AV1151" t="inlineStr">
        <is>
          <t>15</t>
        </is>
      </c>
      <c r="AW1151" t="inlineStr">
        <is>
          <t>0</t>
        </is>
      </c>
      <c r="AX1151" t="inlineStr">
        <is>
          <t>Not Qualified</t>
        </is>
      </c>
      <c r="AY1151" s="4"/>
      <c r="AZ1151"/>
      <c r="BA1151"/>
      <c r="BB1151"/>
      <c r="BC1151"/>
      <c r="BD1151" s="4"/>
      <c r="BE1151"/>
      <c r="BF1151"/>
      <c r="BG1151" t="inlineStr">
        <is>
          <t>Reschedule</t>
        </is>
      </c>
      <c r="BH1151" t="inlineStr">
        <is>
          <t>Yee Hang</t>
        </is>
      </c>
      <c r="BI1151"/>
      <c r="BJ1151" s="4">
        <v>46144.755902777775</v>
      </c>
      <c r="BK1151" s="4">
        <v>46134.50351851852</v>
      </c>
      <c r="BL1151" t="inlineStr">
        <is>
          <t>0.0</t>
        </is>
      </c>
      <c r="BM1151" t="inlineStr">
        <is>
          <t>0.0</t>
        </is>
      </c>
      <c r="BN1151"/>
      <c r="BO1151" s="4"/>
      <c r="BP1151">
        <v>168290</v>
      </c>
      <c r="BQ1151"/>
      <c r="BR1151"/>
      <c r="BS1151"/>
      <c r="BT1151"/>
      <c r="BU1151"/>
      <c r="BV1151"/>
      <c r="BW1151"/>
      <c r="BX1151"/>
      <c r="BY1151"/>
      <c r="BZ1151" s="4"/>
      <c r="CA1151"/>
      <c r="CB1151"/>
      <c r="CC1151" s="4"/>
      <c r="CD1151" t="inlineStr">
        <is>
          <t>20</t>
        </is>
      </c>
      <c r="CE1151" t="inlineStr">
        <is>
          <t>0</t>
        </is>
      </c>
      <c r="CF1151" t="inlineStr">
        <is>
          <t>Q2-W03</t>
        </is>
      </c>
      <c r="CG1151"/>
      <c r="CH1151"/>
      <c r="CI1151"/>
      <c r="CJ1151" t="inlineStr">
        <is>
          <t>No Paid</t>
        </is>
      </c>
      <c r="CK1151" t="inlineStr">
        <is>
          <t>Not Eligible</t>
        </is>
      </c>
      <c r="CL1151"/>
      <c r="CM1151"/>
    </row>
    <row r="1152" ht="25.5" customHeight="1">
      <c r="A1152" t="inlineStr">
        <is>
          <t>146137</t>
        </is>
      </c>
      <c r="B1152" s="2"/>
      <c r="C1152"/>
      <c r="D1152" s="3">
        <v>46134.572534722225</v>
      </c>
      <c r="E1152" t="inlineStr">
        <is>
          <t>Q2-W03</t>
        </is>
      </c>
      <c r="F1152" t="inlineStr">
        <is>
          <t>Luqman</t>
        </is>
      </c>
      <c r="G1152" t="inlineStr">
        <is>
          <t>Customer</t>
        </is>
      </c>
      <c r="H1152" s="2" t="str">
        <f>=HYPERLINK("https://upbox.ajobthing.my/customer/146137", "https://upbox.ajobthing.my/customer/146137")</f>
        <v>https://upbox.ajobthing.my/customer/146137</v>
      </c>
      <c r="I1152" t="inlineStr">
        <is>
          <t>Big Party World Sdn Bhd</t>
        </is>
      </c>
      <c r="J1152" t="inlineStr">
        <is>
          <t>Small Fish</t>
        </is>
      </c>
      <c r="K1152" t="inlineStr">
        <is>
          <t>Luqman</t>
        </is>
      </c>
      <c r="L1152" s="4"/>
      <c r="M1152" s="4">
        <v>46134.57261574074</v>
      </c>
      <c r="N1152"/>
      <c r="O1152">
        <v>1296</v>
      </c>
      <c r="P1152" s="4"/>
      <c r="Q1152" s="4">
        <v>44558.59357638889</v>
      </c>
      <c r="R1152"/>
      <c r="S1152">
        <v>636</v>
      </c>
      <c r="T1152" s="4">
        <v>44558.59357638889</v>
      </c>
      <c r="U1152" s="4"/>
      <c r="V1152"/>
      <c r="W1152">
        <v>636</v>
      </c>
      <c r="X1152"/>
      <c r="Y1152" t="inlineStr">
        <is>
          <t>Pending Appointment</t>
        </is>
      </c>
      <c r="Z1152" t="inlineStr">
        <is>
          <t>Hiring Later</t>
        </is>
      </c>
      <c r="AA1152">
        <v>1</v>
      </c>
      <c r="AB1152" t="inlineStr">
        <is>
          <t>No Appointment Made</t>
        </is>
      </c>
      <c r="AC1152"/>
      <c r="AD1152" t="inlineStr">
        <is>
          <t xml:space="preserve">1. Operator </t>
        </is>
      </c>
      <c r="AE1152"/>
      <c r="AF1152">
        <v>1200</v>
      </c>
      <c r="AG1152" s="4"/>
      <c r="AH1152" s="4"/>
      <c r="AI1152">
        <v>1200</v>
      </c>
      <c r="AJ1152"/>
      <c r="AK1152" t="inlineStr">
        <is>
          <t>Yes, I have</t>
        </is>
      </c>
      <c r="AL1152">
        <v>1</v>
      </c>
      <c r="AM1152" t="inlineStr">
        <is>
          <t>No, I don't need at all</t>
        </is>
      </c>
      <c r="AN1152"/>
      <c r="AO1152" t="inlineStr">
        <is>
          <t>No, I don't need at all</t>
        </is>
      </c>
      <c r="AP1152" t="inlineStr">
        <is>
          <t>Once a year (25%)</t>
        </is>
      </c>
      <c r="AQ1152">
        <v>1</v>
      </c>
      <c r="AR1152" t="inlineStr">
        <is>
          <t>Free Job Portal</t>
        </is>
      </c>
      <c r="AS1152" t="inlineStr">
        <is>
          <t>- Headcount: 1
- Hiring Job Details: 1 Operator
- Hiring Urgency: Hiring Later
- Number of outlets: 
- Have recruiter team: Yes, I have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1152">
        <v>110</v>
      </c>
      <c r="AU1152" t="inlineStr">
        <is>
          <t>1.10</t>
        </is>
      </c>
      <c r="AV1152" t="inlineStr">
        <is>
          <t>15</t>
        </is>
      </c>
      <c r="AW1152" t="inlineStr">
        <is>
          <t>0</t>
        </is>
      </c>
      <c r="AX1152" t="inlineStr">
        <is>
          <t>Not Qualified</t>
        </is>
      </c>
      <c r="AY1152" s="4"/>
      <c r="AZ1152"/>
      <c r="BA1152"/>
      <c r="BB1152"/>
      <c r="BC1152" t="inlineStr">
        <is>
          <t>Position filled</t>
        </is>
      </c>
      <c r="BD1152" s="4">
        <v>46141.61420138889</v>
      </c>
      <c r="BE1152" t="inlineStr">
        <is>
          <t>paid</t>
        </is>
      </c>
      <c r="BF1152"/>
      <c r="BG1152" t="inlineStr">
        <is>
          <t>Reschedule</t>
        </is>
      </c>
      <c r="BH1152" t="inlineStr">
        <is>
          <t>Edward Hoo</t>
        </is>
      </c>
      <c r="BI1152" t="inlineStr">
        <is>
          <t>Retail / Merchandise</t>
        </is>
      </c>
      <c r="BJ1152" s="4">
        <v>46144.75077546296</v>
      </c>
      <c r="BK1152" s="4">
        <v>44558.588530092595</v>
      </c>
      <c r="BL1152" t="inlineStr">
        <is>
          <t>0.0</t>
        </is>
      </c>
      <c r="BM1152" t="inlineStr">
        <is>
          <t>0.0</t>
        </is>
      </c>
      <c r="BN1152" t="inlineStr">
        <is>
          <t>View Jobmanager Page</t>
        </is>
      </c>
      <c r="BO1152" s="4">
        <v>44651.38837962963</v>
      </c>
      <c r="BP1152">
        <v>168292</v>
      </c>
      <c r="BQ1152">
        <v>39122</v>
      </c>
      <c r="BR1152" t="inlineStr">
        <is>
          <t>Online</t>
        </is>
      </c>
      <c r="BS1152"/>
      <c r="BT1152">
        <v>39122</v>
      </c>
      <c r="BU1152"/>
      <c r="BV1152">
        <v>2735403</v>
      </c>
      <c r="BW1152" t="inlineStr">
        <is>
          <t>Follow Up : Lost - Free Portal</t>
        </is>
      </c>
      <c r="BX1152"/>
      <c r="BY1152"/>
      <c r="BZ1152" s="4"/>
      <c r="CA1152"/>
      <c r="CB1152"/>
      <c r="CC1152" s="4"/>
      <c r="CD1152" t="inlineStr">
        <is>
          <t>20</t>
        </is>
      </c>
      <c r="CE1152" t="inlineStr">
        <is>
          <t>0</t>
        </is>
      </c>
      <c r="CF1152" t="inlineStr">
        <is>
          <t>Q2-W03</t>
        </is>
      </c>
      <c r="CG1152"/>
      <c r="CH1152"/>
      <c r="CI1152"/>
      <c r="CJ1152" t="inlineStr">
        <is>
          <t>Paid</t>
        </is>
      </c>
      <c r="CK1152" t="inlineStr">
        <is>
          <t>Not Eligible</t>
        </is>
      </c>
      <c r="CL1152"/>
      <c r="CM1152"/>
    </row>
    <row r="1153" ht="25.5" customHeight="1">
      <c r="A1153" t="inlineStr">
        <is>
          <t>203508</t>
        </is>
      </c>
      <c r="B1153" s="2"/>
      <c r="C1153"/>
      <c r="D1153" s="3">
        <v>46134.578310185185</v>
      </c>
      <c r="E1153" t="inlineStr">
        <is>
          <t>Q2-W03</t>
        </is>
      </c>
      <c r="F1153" t="inlineStr">
        <is>
          <t>Yvonne Lee</t>
        </is>
      </c>
      <c r="G1153" t="inlineStr">
        <is>
          <t>Customer</t>
        </is>
      </c>
      <c r="H1153" s="2" t="str">
        <f>=HYPERLINK("https://upbox.ajobthing.my/customer/203508", "https://upbox.ajobthing.my/customer/203508")</f>
        <v>https://upbox.ajobthing.my/customer/203508</v>
      </c>
      <c r="I1153" t="inlineStr">
        <is>
          <t>Versatile Creation</t>
        </is>
      </c>
      <c r="J1153" t="inlineStr">
        <is>
          <t>Small Fish</t>
        </is>
      </c>
      <c r="K1153" t="inlineStr">
        <is>
          <t>Yvonne</t>
        </is>
      </c>
      <c r="L1153" s="4"/>
      <c r="M1153" s="4">
        <v>46134.58739583333</v>
      </c>
      <c r="N1153"/>
      <c r="O1153">
        <v>12960</v>
      </c>
      <c r="P1153" s="4"/>
      <c r="Q1153" s="4">
        <v>46134.34261574074</v>
      </c>
      <c r="R1153"/>
      <c r="S1153">
        <v>0</v>
      </c>
      <c r="T1153" s="4">
        <v>45800.71296296296</v>
      </c>
      <c r="U1153" s="4"/>
      <c r="V1153"/>
      <c r="W1153">
        <v>648</v>
      </c>
      <c r="X1153"/>
      <c r="Y1153" t="inlineStr">
        <is>
          <t>Pending Appointment</t>
        </is>
      </c>
      <c r="Z1153" t="inlineStr">
        <is>
          <t>Hiring Now</t>
        </is>
      </c>
      <c r="AA1153">
        <v>5</v>
      </c>
      <c r="AB1153" t="inlineStr">
        <is>
          <t>No Appointment Made</t>
        </is>
      </c>
      <c r="AC1153"/>
      <c r="AD1153" t="inlineStr">
        <is>
          <t>1) Warehouse supervisor
2) Prcoess Engineer
3) Safety Officer
4) Procurement Executive
5) Planning Executive</t>
        </is>
      </c>
      <c r="AE1153"/>
      <c r="AF1153">
        <v>15000</v>
      </c>
      <c r="AG1153" s="4"/>
      <c r="AH1153" s="4"/>
      <c r="AI1153">
        <v>15000</v>
      </c>
      <c r="AJ1153">
        <v>1</v>
      </c>
      <c r="AK1153" t="inlineStr">
        <is>
          <t>Yes, I have</t>
        </is>
      </c>
      <c r="AL1153">
        <v>20</v>
      </c>
      <c r="AM1153" t="inlineStr">
        <is>
          <t>No, I don't need at all</t>
        </is>
      </c>
      <c r="AN1153"/>
      <c r="AO1153" t="inlineStr">
        <is>
          <t>No, but I want in future</t>
        </is>
      </c>
      <c r="AP1153" t="inlineStr">
        <is>
          <t>Every month (100%)</t>
        </is>
      </c>
      <c r="AQ1153">
        <v>120</v>
      </c>
      <c r="AR1153" t="inlineStr">
        <is>
          <t>Jobstreet, Indeed (Paid), Jobstore, Free Job Portal</t>
        </is>
      </c>
      <c r="AS1153" t="inlineStr">
        <is>
          <t>- Headcount: 5
- Hiring Job Details: 1 warehouse supervisor, 1 process engineer, 1 safety officer, 1 procurement executive, 1 planning executive
- Hiring Urgency: Hiring Now
- Number of outlets: 1
- Have recruiter team: Yes
- Number of recruiter in company: 20
- Have ATS system: No, I don't need at all
- Have career website: No, but I want in future
- Current hiring budget: RM15,000
- Whole year budget: RM15,000.00
- Whole year number of vacancies: 120
- Hiring frequency: Every month (100%)
- External job portal: Jobstreet, Indeed (Paid), Jobstore, Free Job Portal</t>
        </is>
      </c>
      <c r="AT1153">
        <v>115</v>
      </c>
      <c r="AU1153" t="inlineStr">
        <is>
          <t>1.15</t>
        </is>
      </c>
      <c r="AV1153" t="inlineStr">
        <is>
          <t>25</t>
        </is>
      </c>
      <c r="AW1153" t="inlineStr">
        <is>
          <t>0</t>
        </is>
      </c>
      <c r="AX1153" t="inlineStr">
        <is>
          <t>Not Qualified</t>
        </is>
      </c>
      <c r="AY1153" s="4"/>
      <c r="AZ1153"/>
      <c r="BA1153"/>
      <c r="BB1153"/>
      <c r="BC1153" t="inlineStr">
        <is>
          <t>Spoken with Ms Heng found our packages slightly expensive will consider in future and normally for chinese mostly will use Linkedin and Jobstreet.</t>
        </is>
      </c>
      <c r="BD1153" s="4">
        <v>46139.474594907406</v>
      </c>
      <c r="BE1153" t="inlineStr">
        <is>
          <t>paid</t>
        </is>
      </c>
      <c r="BF1153"/>
      <c r="BG1153" t="inlineStr">
        <is>
          <t>Reschedule</t>
        </is>
      </c>
      <c r="BH1153" t="inlineStr">
        <is>
          <t>andy@ajobthing.com</t>
        </is>
      </c>
      <c r="BI1153" t="inlineStr">
        <is>
          <t>HR Mgmt / Consulting</t>
        </is>
      </c>
      <c r="BJ1153" s="4">
        <v>46144.754328703704</v>
      </c>
      <c r="BK1153" s="4">
        <v>46134.34138888889</v>
      </c>
      <c r="BL1153" t="inlineStr">
        <is>
          <t>648.0</t>
        </is>
      </c>
      <c r="BM1153" t="inlineStr">
        <is>
          <t>0.0</t>
        </is>
      </c>
      <c r="BN1153" t="inlineStr">
        <is>
          <t>View Company Page</t>
        </is>
      </c>
      <c r="BO1153" s="4">
        <v>46142.45868055556</v>
      </c>
      <c r="BP1153">
        <v>168304</v>
      </c>
      <c r="BQ1153">
        <v>123492</v>
      </c>
      <c r="BR1153" t="inlineStr">
        <is>
          <t>Proforma</t>
        </is>
      </c>
      <c r="BS1153" t="inlineStr">
        <is>
          <t>Free Part-Time Job</t>
        </is>
      </c>
      <c r="BT1153">
        <v>79525</v>
      </c>
      <c r="BU1153"/>
      <c r="BV1153">
        <v>2728622</v>
      </c>
      <c r="BW1153" t="inlineStr">
        <is>
          <t>Follow Up : Budget Concern</t>
        </is>
      </c>
      <c r="BX1153"/>
      <c r="BY1153"/>
      <c r="BZ1153" s="4"/>
      <c r="CA1153"/>
      <c r="CB1153"/>
      <c r="CC1153" s="4"/>
      <c r="CD1153" t="inlineStr">
        <is>
          <t>35</t>
        </is>
      </c>
      <c r="CE1153" t="inlineStr">
        <is>
          <t>0</t>
        </is>
      </c>
      <c r="CF1153" t="inlineStr">
        <is>
          <t>Q2-W03</t>
        </is>
      </c>
      <c r="CG1153" t="inlineStr">
        <is>
          <t>Q2-W03</t>
        </is>
      </c>
      <c r="CH1153"/>
      <c r="CI1153"/>
      <c r="CJ1153" t="inlineStr">
        <is>
          <t>Paid</t>
        </is>
      </c>
      <c r="CK1153" t="inlineStr">
        <is>
          <t>Not Eligible</t>
        </is>
      </c>
      <c r="CL1153"/>
      <c r="CM1153"/>
    </row>
    <row r="1154" ht="25.5" customHeight="1">
      <c r="A1154" t="inlineStr">
        <is>
          <t>188734</t>
        </is>
      </c>
      <c r="B1154" s="2"/>
      <c r="C1154"/>
      <c r="D1154" s="3">
        <v>46134.57891203704</v>
      </c>
      <c r="E1154" t="inlineStr">
        <is>
          <t>Q2-W03</t>
        </is>
      </c>
      <c r="F1154" t="inlineStr">
        <is>
          <t>Jeff Lee</t>
        </is>
      </c>
      <c r="G1154" t="inlineStr">
        <is>
          <t>Customer</t>
        </is>
      </c>
      <c r="H1154" s="2" t="str">
        <f>=HYPERLINK("https://upbox.ajobthing.my/customer/188734", "https://upbox.ajobthing.my/customer/188734")</f>
        <v>https://upbox.ajobthing.my/customer/188734</v>
      </c>
      <c r="I1154" t="inlineStr">
        <is>
          <t>Analytical Scientific Sdn Bhd</t>
        </is>
      </c>
      <c r="J1154" t="inlineStr">
        <is>
          <t>Small Fish</t>
        </is>
      </c>
      <c r="K1154" t="inlineStr">
        <is>
          <t>Jeff Lee</t>
        </is>
      </c>
      <c r="L1154" s="4"/>
      <c r="M1154" s="4">
        <v>46134.57800925926</v>
      </c>
      <c r="N1154"/>
      <c r="O1154">
        <v>3888</v>
      </c>
      <c r="P1154" s="4"/>
      <c r="Q1154" s="4">
        <v>46122.002916666665</v>
      </c>
      <c r="R1154"/>
      <c r="S1154">
        <v>0</v>
      </c>
      <c r="T1154" s="4"/>
      <c r="U1154" s="4"/>
      <c r="V1154"/>
      <c r="W1154"/>
      <c r="X1154"/>
      <c r="Y1154" t="inlineStr">
        <is>
          <t>Pending Appointment</t>
        </is>
      </c>
      <c r="Z1154" t="inlineStr">
        <is>
          <t>Hiring Later</t>
        </is>
      </c>
      <c r="AA1154">
        <v>1</v>
      </c>
      <c r="AB1154" t="inlineStr">
        <is>
          <t>No Appointment Made</t>
        </is>
      </c>
      <c r="AC1154"/>
      <c r="AD1154" t="inlineStr">
        <is>
          <t>1 technician</t>
        </is>
      </c>
      <c r="AE1154"/>
      <c r="AF1154">
        <v>0</v>
      </c>
      <c r="AG1154" s="4"/>
      <c r="AH1154" s="4"/>
      <c r="AI1154">
        <v>0</v>
      </c>
      <c r="AJ1154">
        <v>0</v>
      </c>
      <c r="AK1154" t="inlineStr">
        <is>
          <t>No, I don't need at all</t>
        </is>
      </c>
      <c r="AL1154">
        <v>0</v>
      </c>
      <c r="AM1154" t="inlineStr">
        <is>
          <t>No, I don't need at all</t>
        </is>
      </c>
      <c r="AN1154"/>
      <c r="AO1154" t="inlineStr">
        <is>
          <t>No, I don't need at all</t>
        </is>
      </c>
      <c r="AP1154" t="inlineStr">
        <is>
          <t>Once a year (25%)</t>
        </is>
      </c>
      <c r="AQ1154">
        <v>1</v>
      </c>
      <c r="AR1154" t="inlineStr">
        <is>
          <t>Did not use any job portal</t>
        </is>
      </c>
      <c r="AS1154" t="inlineStr">
        <is>
          <t>- Headcount: 1
- Hiring Job Details: 1 technician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154">
        <v>95</v>
      </c>
      <c r="AU1154" t="inlineStr">
        <is>
          <t>0.95</t>
        </is>
      </c>
      <c r="AV1154" t="inlineStr">
        <is>
          <t>15</t>
        </is>
      </c>
      <c r="AW1154" t="inlineStr">
        <is>
          <t>0</t>
        </is>
      </c>
      <c r="AX1154" t="inlineStr">
        <is>
          <t>Not Qualified</t>
        </is>
      </c>
      <c r="AY1154" s="4"/>
      <c r="AZ1154"/>
      <c r="BA1154"/>
      <c r="BB1154"/>
      <c r="BC1154" t="inlineStr">
        <is>
          <t>pending</t>
        </is>
      </c>
      <c r="BD1154" s="4">
        <v>46140.43591435185</v>
      </c>
      <c r="BE1154" t="inlineStr">
        <is>
          <t>paid</t>
        </is>
      </c>
      <c r="BF1154"/>
      <c r="BG1154" t="inlineStr">
        <is>
          <t>Reschedule</t>
        </is>
      </c>
      <c r="BH1154" t="inlineStr">
        <is>
          <t>Yee Hang</t>
        </is>
      </c>
      <c r="BI1154"/>
      <c r="BJ1154" s="4">
        <v>46144.752280092594</v>
      </c>
      <c r="BK1154" s="4">
        <v>45727.7275</v>
      </c>
      <c r="BL1154" t="inlineStr">
        <is>
          <t>0.0</t>
        </is>
      </c>
      <c r="BM1154" t="inlineStr">
        <is>
          <t>0.0</t>
        </is>
      </c>
      <c r="BN1154"/>
      <c r="BO1154" s="4"/>
      <c r="BP1154">
        <v>168294</v>
      </c>
      <c r="BQ1154">
        <v>121474</v>
      </c>
      <c r="BR1154" t="inlineStr">
        <is>
          <t>Proforma</t>
        </is>
      </c>
      <c r="BS1154" t="inlineStr">
        <is>
          <t>Free Singapore Job</t>
        </is>
      </c>
      <c r="BT1154"/>
      <c r="BU1154"/>
      <c r="BV1154">
        <v>2731822</v>
      </c>
      <c r="BW1154" t="inlineStr">
        <is>
          <t>Follow Up : Decision Pending</t>
        </is>
      </c>
      <c r="BX1154"/>
      <c r="BY1154"/>
      <c r="BZ1154" s="4"/>
      <c r="CA1154"/>
      <c r="CB1154"/>
      <c r="CC1154" s="4"/>
      <c r="CD1154" t="inlineStr">
        <is>
          <t>20</t>
        </is>
      </c>
      <c r="CE1154" t="inlineStr">
        <is>
          <t>0</t>
        </is>
      </c>
      <c r="CF1154" t="inlineStr">
        <is>
          <t>Q2-W03</t>
        </is>
      </c>
      <c r="CG1154" t="inlineStr">
        <is>
          <t>Q2-W02</t>
        </is>
      </c>
      <c r="CH1154"/>
      <c r="CI1154"/>
      <c r="CJ1154" t="inlineStr">
        <is>
          <t>No Paid</t>
        </is>
      </c>
      <c r="CK1154" t="inlineStr">
        <is>
          <t>Not Eligible</t>
        </is>
      </c>
      <c r="CL1154"/>
      <c r="CM1154"/>
    </row>
    <row r="1155" ht="25.5" customHeight="1">
      <c r="A1155" t="inlineStr">
        <is>
          <t>169368</t>
        </is>
      </c>
      <c r="B1155" s="2"/>
      <c r="C1155"/>
      <c r="D1155" s="3">
        <v>46134.58335648148</v>
      </c>
      <c r="E1155" t="inlineStr">
        <is>
          <t>Q2-W03</t>
        </is>
      </c>
      <c r="F1155" t="inlineStr">
        <is>
          <t>Derek Lim</t>
        </is>
      </c>
      <c r="G1155" t="inlineStr">
        <is>
          <t>Customer</t>
        </is>
      </c>
      <c r="H1155" s="2" t="str">
        <f>=HYPERLINK("https://upbox.ajobthing.my/customer/169368", "https://upbox.ajobthing.my/customer/169368")</f>
        <v>https://upbox.ajobthing.my/customer/169368</v>
      </c>
      <c r="I1155" t="inlineStr">
        <is>
          <t>VASDEV BAKSHANI AND ASSOCIATES</t>
        </is>
      </c>
      <c r="J1155" t="inlineStr">
        <is>
          <t>Small Fish</t>
        </is>
      </c>
      <c r="K1155" t="inlineStr">
        <is>
          <t>Derek Lim</t>
        </is>
      </c>
      <c r="L1155" s="4"/>
      <c r="M1155" s="4">
        <v>46134.5834837963</v>
      </c>
      <c r="N1155"/>
      <c r="O1155">
        <v>1296</v>
      </c>
      <c r="P1155" s="4"/>
      <c r="Q1155" s="4"/>
      <c r="R1155"/>
      <c r="S1155"/>
      <c r="T1155" s="4"/>
      <c r="U1155" s="4"/>
      <c r="V1155"/>
      <c r="W1155"/>
      <c r="X1155"/>
      <c r="Y1155" t="inlineStr">
        <is>
          <t>Pending Appointment</t>
        </is>
      </c>
      <c r="Z1155" t="inlineStr">
        <is>
          <t>Hiring Now</t>
        </is>
      </c>
      <c r="AA1155">
        <v>1</v>
      </c>
      <c r="AB1155" t="inlineStr">
        <is>
          <t>No Appointment Made</t>
        </is>
      </c>
      <c r="AC1155"/>
      <c r="AD1155" t="inlineStr">
        <is>
          <t>Secretary - 1</t>
        </is>
      </c>
      <c r="AE1155"/>
      <c r="AF1155">
        <v>700</v>
      </c>
      <c r="AG1155" s="4"/>
      <c r="AH1155" s="4"/>
      <c r="AI1155">
        <v>700</v>
      </c>
      <c r="AJ1155">
        <v>1</v>
      </c>
      <c r="AK1155" t="inlineStr">
        <is>
          <t>No, I don't need at all</t>
        </is>
      </c>
      <c r="AL1155">
        <v>0</v>
      </c>
      <c r="AM1155" t="inlineStr">
        <is>
          <t>No, I don't need at all</t>
        </is>
      </c>
      <c r="AN1155"/>
      <c r="AO1155" t="inlineStr">
        <is>
          <t>No, I don't need at all</t>
        </is>
      </c>
      <c r="AP1155" t="inlineStr">
        <is>
          <t>Once a year (25%)</t>
        </is>
      </c>
      <c r="AQ1155">
        <v>1</v>
      </c>
      <c r="AR1155" t="inlineStr">
        <is>
          <t>Jobstreet</t>
        </is>
      </c>
      <c r="AS1155" t="inlineStr">
        <is>
          <t>- Headcount: 1
- Hiring Job Details: 1 secretary
- Hiring Urgency: Hiring Now
- Number of outlets: 1
- Have recruiter team: No, I don't need at all
- Number of recruiter in company: 0
- Have ATS system: No, I don't need at all
- Have career website: No, I don't need at all
- Current hiring budget: RM700
- Whole year budget: RM700.00
- Whole year number of vacancies: 1
- Hiring frequency: Once a year (25%)
- External job portal: Jobstreet</t>
        </is>
      </c>
      <c r="AT1155">
        <v>115</v>
      </c>
      <c r="AU1155" t="inlineStr">
        <is>
          <t>1.15</t>
        </is>
      </c>
      <c r="AV1155" t="inlineStr">
        <is>
          <t>15</t>
        </is>
      </c>
      <c r="AW1155" t="inlineStr">
        <is>
          <t>0</t>
        </is>
      </c>
      <c r="AX1155" t="inlineStr">
        <is>
          <t>Not Qualified</t>
        </is>
      </c>
      <c r="AY1155" s="4"/>
      <c r="AZ1155"/>
      <c r="BA1155"/>
      <c r="BB1155"/>
      <c r="BC1155" t="inlineStr">
        <is>
          <t>NO ANSWER, WHATSAPP</t>
        </is>
      </c>
      <c r="BD1155" s="4">
        <v>46141.589583333334</v>
      </c>
      <c r="BE1155"/>
      <c r="BF1155"/>
      <c r="BG1155" t="inlineStr">
        <is>
          <t>Reschedule</t>
        </is>
      </c>
      <c r="BH1155" t="inlineStr">
        <is>
          <t>Edward Hoo</t>
        </is>
      </c>
      <c r="BI1155"/>
      <c r="BJ1155" s="4">
        <v>46144.75136574074</v>
      </c>
      <c r="BK1155" s="4">
        <v>45127.557071759256</v>
      </c>
      <c r="BL1155" t="inlineStr">
        <is>
          <t>0.0</t>
        </is>
      </c>
      <c r="BM1155" t="inlineStr">
        <is>
          <t>0.0</t>
        </is>
      </c>
      <c r="BN1155" t="inlineStr">
        <is>
          <t>View Create Job Page</t>
        </is>
      </c>
      <c r="BO1155" s="4">
        <v>45127.55761574074</v>
      </c>
      <c r="BP1155">
        <v>168295</v>
      </c>
      <c r="BQ1155"/>
      <c r="BR1155"/>
      <c r="BS1155"/>
      <c r="BT1155"/>
      <c r="BU1155"/>
      <c r="BV1155">
        <v>2735205</v>
      </c>
      <c r="BW1155" t="inlineStr">
        <is>
          <t>No Answer : Voicemail - WA sent to customer</t>
        </is>
      </c>
      <c r="BX1155"/>
      <c r="BY1155"/>
      <c r="BZ1155" s="4"/>
      <c r="CA1155"/>
      <c r="CB1155"/>
      <c r="CC1155" s="4"/>
      <c r="CD1155" t="inlineStr">
        <is>
          <t>20</t>
        </is>
      </c>
      <c r="CE1155" t="inlineStr">
        <is>
          <t>0</t>
        </is>
      </c>
      <c r="CF1155" t="inlineStr">
        <is>
          <t>Q2-W03</t>
        </is>
      </c>
      <c r="CG1155"/>
      <c r="CH1155"/>
      <c r="CI1155"/>
      <c r="CJ1155" t="inlineStr">
        <is>
          <t>No Paid</t>
        </is>
      </c>
      <c r="CK1155" t="inlineStr">
        <is>
          <t>Not Eligible</t>
        </is>
      </c>
      <c r="CL1155"/>
      <c r="CM1155"/>
    </row>
    <row r="1156" ht="25.5" customHeight="1">
      <c r="A1156" t="inlineStr">
        <is>
          <t>133300</t>
        </is>
      </c>
      <c r="B1156" s="2"/>
      <c r="C1156"/>
      <c r="D1156" s="3">
        <v>46134.583969907406</v>
      </c>
      <c r="E1156" t="inlineStr">
        <is>
          <t>Q2-W03</t>
        </is>
      </c>
      <c r="F1156" t="inlineStr">
        <is>
          <t>Luqman</t>
        </is>
      </c>
      <c r="G1156" t="inlineStr">
        <is>
          <t>Customer</t>
        </is>
      </c>
      <c r="H1156" s="2" t="str">
        <f>=HYPERLINK("https://upbox.ajobthing.my/customer/133300", "https://upbox.ajobthing.my/customer/133300")</f>
        <v>https://upbox.ajobthing.my/customer/133300</v>
      </c>
      <c r="I1156" t="inlineStr">
        <is>
          <t>Nurnaira Enterprise</t>
        </is>
      </c>
      <c r="J1156" t="inlineStr">
        <is>
          <t>Small Fish</t>
        </is>
      </c>
      <c r="K1156" t="inlineStr">
        <is>
          <t>Luqman</t>
        </is>
      </c>
      <c r="L1156" s="4"/>
      <c r="M1156" s="4">
        <v>46134.58409722222</v>
      </c>
      <c r="N1156"/>
      <c r="O1156">
        <v>3888</v>
      </c>
      <c r="P1156" s="4"/>
      <c r="Q1156" s="4">
        <v>44461.52072916667</v>
      </c>
      <c r="R1156"/>
      <c r="S1156">
        <v>159</v>
      </c>
      <c r="T1156" s="4">
        <v>44461.52072916667</v>
      </c>
      <c r="U1156" s="4"/>
      <c r="V1156"/>
      <c r="W1156">
        <v>159</v>
      </c>
      <c r="X1156"/>
      <c r="Y1156" t="inlineStr">
        <is>
          <t>Pending Appointment</t>
        </is>
      </c>
      <c r="Z1156" t="inlineStr">
        <is>
          <t>Hiring Later</t>
        </is>
      </c>
      <c r="AA1156">
        <v>2</v>
      </c>
      <c r="AB1156" t="inlineStr">
        <is>
          <t>No Appointment Made</t>
        </is>
      </c>
      <c r="AC1156"/>
      <c r="AD1156" t="inlineStr">
        <is>
          <t>1. Service Crew 
2. Kitchen Crew</t>
        </is>
      </c>
      <c r="AE1156"/>
      <c r="AF1156">
        <v>1200</v>
      </c>
      <c r="AG1156" s="4"/>
      <c r="AH1156" s="4"/>
      <c r="AI1156">
        <v>1200</v>
      </c>
      <c r="AJ1156"/>
      <c r="AK1156" t="inlineStr">
        <is>
          <t>Yes, I have</t>
        </is>
      </c>
      <c r="AL1156">
        <v>2</v>
      </c>
      <c r="AM1156" t="inlineStr">
        <is>
          <t>No, I don't need at all</t>
        </is>
      </c>
      <c r="AN1156"/>
      <c r="AO1156" t="inlineStr">
        <is>
          <t>No, I don't need at all</t>
        </is>
      </c>
      <c r="AP1156" t="inlineStr">
        <is>
          <t>Once a year (25%)</t>
        </is>
      </c>
      <c r="AQ1156">
        <v>2</v>
      </c>
      <c r="AR1156" t="inlineStr">
        <is>
          <t>Free Job Portal</t>
        </is>
      </c>
      <c r="AS1156" t="inlineStr">
        <is>
          <t>- Headcount: 2
- Hiring Job Details: 1. Service Crew 2. Kitchen Crew
- Hiring Urgency: Hiring Later
- Number of outlets: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is>
      </c>
      <c r="AT1156">
        <v>95</v>
      </c>
      <c r="AU1156" t="inlineStr">
        <is>
          <t>0.95</t>
        </is>
      </c>
      <c r="AV1156" t="inlineStr">
        <is>
          <t>15</t>
        </is>
      </c>
      <c r="AW1156" t="inlineStr">
        <is>
          <t>0</t>
        </is>
      </c>
      <c r="AX1156" t="inlineStr">
        <is>
          <t>Not Qualified</t>
        </is>
      </c>
      <c r="AY1156" s="4"/>
      <c r="AZ1156"/>
      <c r="BA1156"/>
      <c r="BB1156"/>
      <c r="BC1156" t="inlineStr">
        <is>
          <t>Business most likely to utilize free job portal as of now.</t>
        </is>
      </c>
      <c r="BD1156" s="4">
        <v>46139.67795138889</v>
      </c>
      <c r="BE1156" t="inlineStr">
        <is>
          <t>paid</t>
        </is>
      </c>
      <c r="BF1156"/>
      <c r="BG1156" t="inlineStr">
        <is>
          <t>Reschedule</t>
        </is>
      </c>
      <c r="BH1156" t="inlineStr">
        <is>
          <t>Edward Hoo</t>
        </is>
      </c>
      <c r="BI1156" t="inlineStr">
        <is>
          <t>Food / Beverage</t>
        </is>
      </c>
      <c r="BJ1156" s="4">
        <v>46144.75050925926</v>
      </c>
      <c r="BK1156" s="4">
        <v>44207.06680555556</v>
      </c>
      <c r="BL1156" t="inlineStr">
        <is>
          <t>0.0</t>
        </is>
      </c>
      <c r="BM1156" t="inlineStr">
        <is>
          <t>600.0</t>
        </is>
      </c>
      <c r="BN1156" t="inlineStr">
        <is>
          <t>View Job Applicants Page</t>
        </is>
      </c>
      <c r="BO1156" s="4">
        <v>44518.68298611111</v>
      </c>
      <c r="BP1156">
        <v>168296</v>
      </c>
      <c r="BQ1156">
        <v>35608</v>
      </c>
      <c r="BR1156" t="inlineStr">
        <is>
          <t>Online</t>
        </is>
      </c>
      <c r="BS1156"/>
      <c r="BT1156">
        <v>35608</v>
      </c>
      <c r="BU1156"/>
      <c r="BV1156">
        <v>2730968</v>
      </c>
      <c r="BW1156" t="inlineStr">
        <is>
          <t>Follow Up : Lost - Free Portal</t>
        </is>
      </c>
      <c r="BX1156"/>
      <c r="BY1156"/>
      <c r="BZ1156" s="4"/>
      <c r="CA1156"/>
      <c r="CB1156"/>
      <c r="CC1156" s="4"/>
      <c r="CD1156" t="inlineStr">
        <is>
          <t>20</t>
        </is>
      </c>
      <c r="CE1156" t="inlineStr">
        <is>
          <t>0</t>
        </is>
      </c>
      <c r="CF1156" t="inlineStr">
        <is>
          <t>Q2-W03</t>
        </is>
      </c>
      <c r="CG1156"/>
      <c r="CH1156"/>
      <c r="CI1156"/>
      <c r="CJ1156" t="inlineStr">
        <is>
          <t>Paid</t>
        </is>
      </c>
      <c r="CK1156" t="inlineStr">
        <is>
          <t>Not Eligible</t>
        </is>
      </c>
      <c r="CL1156"/>
      <c r="CM1156"/>
    </row>
    <row r="1157" ht="25.5" customHeight="1">
      <c r="A1157" t="inlineStr">
        <is>
          <t>153261</t>
        </is>
      </c>
      <c r="B1157" s="2"/>
      <c r="C1157"/>
      <c r="D1157" s="3">
        <v>46134.58425925926</v>
      </c>
      <c r="E1157" t="inlineStr">
        <is>
          <t>Q2-W03</t>
        </is>
      </c>
      <c r="F1157" t="inlineStr">
        <is>
          <t>Dickson</t>
        </is>
      </c>
      <c r="G1157" t="inlineStr">
        <is>
          <t>Customer</t>
        </is>
      </c>
      <c r="H1157" s="2" t="str">
        <f>=HYPERLINK("https://upbox.ajobthing.my/customer/153261", "https://upbox.ajobthing.my/customer/153261")</f>
        <v>https://upbox.ajobthing.my/customer/153261</v>
      </c>
      <c r="I1157" t="inlineStr">
        <is>
          <t>Winpix Photo Booth</t>
        </is>
      </c>
      <c r="J1157" t="inlineStr">
        <is>
          <t>Small Fish</t>
        </is>
      </c>
      <c r="K1157" t="inlineStr">
        <is>
          <t>Dickson</t>
        </is>
      </c>
      <c r="L1157" s="4"/>
      <c r="M1157" s="4">
        <v>46134.58443287037</v>
      </c>
      <c r="N1157"/>
      <c r="O1157">
        <v>1296</v>
      </c>
      <c r="P1157" s="4"/>
      <c r="Q1157" s="4"/>
      <c r="R1157"/>
      <c r="S1157"/>
      <c r="T1157" s="4"/>
      <c r="U1157" s="4"/>
      <c r="V1157"/>
      <c r="W1157"/>
      <c r="X1157"/>
      <c r="Y1157" t="inlineStr">
        <is>
          <t>Pending Appointment</t>
        </is>
      </c>
      <c r="Z1157" t="inlineStr">
        <is>
          <t>Hiring Now</t>
        </is>
      </c>
      <c r="AA1157">
        <v>3</v>
      </c>
      <c r="AB1157" t="inlineStr">
        <is>
          <t>No Appointment Made</t>
        </is>
      </c>
      <c r="AC1157"/>
      <c r="AD1157" t="inlineStr">
        <is>
          <t>3 event crew</t>
        </is>
      </c>
      <c r="AE1157"/>
      <c r="AF1157"/>
      <c r="AG1157" s="4"/>
      <c r="AH1157" s="4"/>
      <c r="AI1157"/>
      <c r="AJ1157">
        <v>1</v>
      </c>
      <c r="AK1157" t="inlineStr">
        <is>
          <t>No, I don't need at all</t>
        </is>
      </c>
      <c r="AL1157"/>
      <c r="AM1157" t="inlineStr">
        <is>
          <t>No, I don't need at all</t>
        </is>
      </c>
      <c r="AN1157"/>
      <c r="AO1157" t="inlineStr">
        <is>
          <t>No, I don't need at all</t>
        </is>
      </c>
      <c r="AP1157" t="inlineStr">
        <is>
          <t>Once per quarter (75%)</t>
        </is>
      </c>
      <c r="AQ1157"/>
      <c r="AR1157" t="inlineStr">
        <is>
          <t>Indeed (Paid)</t>
        </is>
      </c>
      <c r="AS1157" t="inlineStr">
        <is>
          <t>- Headcount: N/A
- Hiring Job Details: 3 event crew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Indeed (Paid)</t>
        </is>
      </c>
      <c r="AT1157">
        <v>95</v>
      </c>
      <c r="AU1157" t="inlineStr">
        <is>
          <t>0.95</t>
        </is>
      </c>
      <c r="AV1157" t="inlineStr">
        <is>
          <t>5</t>
        </is>
      </c>
      <c r="AW1157" t="inlineStr">
        <is>
          <t>0</t>
        </is>
      </c>
      <c r="AX1157" t="inlineStr">
        <is>
          <t>Not Qualified</t>
        </is>
      </c>
      <c r="AY1157" s="4"/>
      <c r="AZ1157"/>
      <c r="BA1157"/>
      <c r="BB1157"/>
      <c r="BC1157" t="inlineStr">
        <is>
          <t>hired from friend recommendation and free portal</t>
        </is>
      </c>
      <c r="BD1157" s="4">
        <v>46135.5871875</v>
      </c>
      <c r="BE1157"/>
      <c r="BF1157"/>
      <c r="BG1157" t="inlineStr">
        <is>
          <t>Reschedule</t>
        </is>
      </c>
      <c r="BH1157" t="inlineStr">
        <is>
          <t>Edward Hoo</t>
        </is>
      </c>
      <c r="BI1157"/>
      <c r="BJ1157" s="4">
        <v>46144.7509375</v>
      </c>
      <c r="BK1157" s="4">
        <v>44680.25013888889</v>
      </c>
      <c r="BL1157" t="inlineStr">
        <is>
          <t>0.0</t>
        </is>
      </c>
      <c r="BM1157" t="inlineStr">
        <is>
          <t>0.0</t>
        </is>
      </c>
      <c r="BN1157" t="inlineStr">
        <is>
          <t>View Create Job Page</t>
        </is>
      </c>
      <c r="BO1157" s="4">
        <v>44680.2602662037</v>
      </c>
      <c r="BP1157">
        <v>168298</v>
      </c>
      <c r="BQ1157"/>
      <c r="BR1157"/>
      <c r="BS1157"/>
      <c r="BT1157"/>
      <c r="BU1157"/>
      <c r="BV1157">
        <v>2723347</v>
      </c>
      <c r="BW1157" t="inlineStr">
        <is>
          <t>Follow Up : Lost - Free Portal</t>
        </is>
      </c>
      <c r="BX1157"/>
      <c r="BY1157"/>
      <c r="BZ1157" s="4"/>
      <c r="CA1157"/>
      <c r="CB1157"/>
      <c r="CC1157" s="4"/>
      <c r="CD1157" t="inlineStr">
        <is>
          <t>5</t>
        </is>
      </c>
      <c r="CE1157" t="inlineStr">
        <is>
          <t>0</t>
        </is>
      </c>
      <c r="CF1157" t="inlineStr">
        <is>
          <t>Q2-W03</t>
        </is>
      </c>
      <c r="CG1157"/>
      <c r="CH1157"/>
      <c r="CI1157"/>
      <c r="CJ1157" t="inlineStr">
        <is>
          <t>No Paid</t>
        </is>
      </c>
      <c r="CK1157" t="inlineStr">
        <is>
          <t>Not Eligible</t>
        </is>
      </c>
      <c r="CL1157"/>
      <c r="CM1157"/>
    </row>
    <row r="1158" ht="25.5" customHeight="1">
      <c r="A1158" t="inlineStr">
        <is>
          <t>176349</t>
        </is>
      </c>
      <c r="B1158" s="2"/>
      <c r="C1158"/>
      <c r="D1158" s="3">
        <v>46134.589108796295</v>
      </c>
      <c r="E1158" t="inlineStr">
        <is>
          <t>Q2-W03</t>
        </is>
      </c>
      <c r="F1158" t="inlineStr">
        <is>
          <t>Eugene</t>
        </is>
      </c>
      <c r="G1158" t="inlineStr">
        <is>
          <t>Customer</t>
        </is>
      </c>
      <c r="H1158" s="2" t="str">
        <f>=HYPERLINK("https://upbox.ajobthing.my/customer/176349", "https://upbox.ajobthing.my/customer/176349")</f>
        <v>https://upbox.ajobthing.my/customer/176349</v>
      </c>
      <c r="I1158" t="inlineStr">
        <is>
          <t>Ventrix Telecommunications.com.my</t>
        </is>
      </c>
      <c r="J1158" t="inlineStr">
        <is>
          <t>Small Fish</t>
        </is>
      </c>
      <c r="K1158" t="inlineStr">
        <is>
          <t>Eugene</t>
        </is>
      </c>
      <c r="L1158" s="4"/>
      <c r="M1158" s="4">
        <v>46141.60851851852</v>
      </c>
      <c r="N1158"/>
      <c r="O1158">
        <v>3576.96</v>
      </c>
      <c r="P1158" s="4"/>
      <c r="Q1158" s="4"/>
      <c r="R1158"/>
      <c r="S1158"/>
      <c r="T1158" s="4"/>
      <c r="U1158" s="4"/>
      <c r="V1158"/>
      <c r="W1158"/>
      <c r="X1158"/>
      <c r="Y1158" t="inlineStr">
        <is>
          <t>Pending Appointment</t>
        </is>
      </c>
      <c r="Z1158" t="inlineStr">
        <is>
          <t>Hiring Now</t>
        </is>
      </c>
      <c r="AA1158">
        <v>2</v>
      </c>
      <c r="AB1158" t="inlineStr">
        <is>
          <t>No Appointment Made</t>
        </is>
      </c>
      <c r="AC1158"/>
      <c r="AD1158" t="inlineStr">
        <is>
          <t>1 pa, 1 account admin, based in Shah Alam</t>
        </is>
      </c>
      <c r="AE1158"/>
      <c r="AF1158">
        <v>3000</v>
      </c>
      <c r="AG1158" s="4"/>
      <c r="AH1158" s="4"/>
      <c r="AI1158">
        <v>3000</v>
      </c>
      <c r="AJ1158">
        <v>1</v>
      </c>
      <c r="AK1158" t="inlineStr">
        <is>
          <t>No, I don't need at all</t>
        </is>
      </c>
      <c r="AL1158">
        <v>1</v>
      </c>
      <c r="AM1158" t="inlineStr">
        <is>
          <t>No, I don't need at all</t>
        </is>
      </c>
      <c r="AN1158"/>
      <c r="AO1158" t="inlineStr">
        <is>
          <t>No, I don't need at all</t>
        </is>
      </c>
      <c r="AP1158" t="inlineStr">
        <is>
          <t>Twice a year (50%)</t>
        </is>
      </c>
      <c r="AQ1158">
        <v>3</v>
      </c>
      <c r="AR1158" t="inlineStr">
        <is>
          <t>Free Job Portal</t>
        </is>
      </c>
      <c r="AS1158" t="inlineStr">
        <is>
          <t>- Headcount: 2
- Hiring Job Details: 1 pa, 1 account admin, based in Shah Alam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1158">
        <v>110</v>
      </c>
      <c r="AU1158" t="inlineStr">
        <is>
          <t>1.10</t>
        </is>
      </c>
      <c r="AV1158" t="inlineStr">
        <is>
          <t>15</t>
        </is>
      </c>
      <c r="AW1158" t="inlineStr">
        <is>
          <t>0</t>
        </is>
      </c>
      <c r="AX1158" t="inlineStr">
        <is>
          <t>Not Qualified</t>
        </is>
      </c>
      <c r="AY1158" s="4"/>
      <c r="AZ1158"/>
      <c r="BA1158"/>
      <c r="BB1158"/>
      <c r="BC1158" t="inlineStr">
        <is>
          <t>budget</t>
        </is>
      </c>
      <c r="BD1158" s="4">
        <v>46141.659525462965</v>
      </c>
      <c r="BE1158"/>
      <c r="BF1158"/>
      <c r="BG1158" t="inlineStr">
        <is>
          <t>Reschedule</t>
        </is>
      </c>
      <c r="BH1158" t="inlineStr">
        <is>
          <t>Edward Hoo</t>
        </is>
      </c>
      <c r="BI1158"/>
      <c r="BJ1158" s="4">
        <v>46144.75163194445</v>
      </c>
      <c r="BK1158" s="4">
        <v>45364.53533564815</v>
      </c>
      <c r="BL1158" t="inlineStr">
        <is>
          <t>0.0</t>
        </is>
      </c>
      <c r="BM1158" t="inlineStr">
        <is>
          <t>0.0</t>
        </is>
      </c>
      <c r="BN1158" t="inlineStr">
        <is>
          <t>User Visit(Logged In)</t>
        </is>
      </c>
      <c r="BO1158" s="4">
        <v>45875.50740740741</v>
      </c>
      <c r="BP1158">
        <v>169513</v>
      </c>
      <c r="BQ1158"/>
      <c r="BR1158"/>
      <c r="BS1158"/>
      <c r="BT1158"/>
      <c r="BU1158"/>
      <c r="BV1158">
        <v>2735723</v>
      </c>
      <c r="BW1158" t="inlineStr">
        <is>
          <t>Follow Up : Budget Concern</t>
        </is>
      </c>
      <c r="BX1158"/>
      <c r="BY1158"/>
      <c r="BZ1158" s="4"/>
      <c r="CA1158"/>
      <c r="CB1158"/>
      <c r="CC1158" s="4"/>
      <c r="CD1158" t="inlineStr">
        <is>
          <t>20</t>
        </is>
      </c>
      <c r="CE1158" t="inlineStr">
        <is>
          <t>0</t>
        </is>
      </c>
      <c r="CF1158" t="inlineStr">
        <is>
          <t>Q2-W04</t>
        </is>
      </c>
      <c r="CG1158"/>
      <c r="CH1158"/>
      <c r="CI1158"/>
      <c r="CJ1158" t="inlineStr">
        <is>
          <t>No Paid</t>
        </is>
      </c>
      <c r="CK1158" t="inlineStr">
        <is>
          <t>Not Eligible</t>
        </is>
      </c>
      <c r="CL1158"/>
      <c r="CM1158"/>
    </row>
    <row r="1159" ht="25.5" customHeight="1">
      <c r="A1159" t="inlineStr">
        <is>
          <t>203533</t>
        </is>
      </c>
      <c r="B1159" s="2"/>
      <c r="C1159"/>
      <c r="D1159" s="3">
        <v>46134.59013888889</v>
      </c>
      <c r="E1159" t="inlineStr">
        <is>
          <t>Q2-W03</t>
        </is>
      </c>
      <c r="F1159" t="inlineStr">
        <is>
          <t>Keegan</t>
        </is>
      </c>
      <c r="G1159" t="inlineStr">
        <is>
          <t>Customer</t>
        </is>
      </c>
      <c r="H1159" s="2" t="str">
        <f>=HYPERLINK("https://upbox.ajobthing.my/customer/203533", "https://upbox.ajobthing.my/customer/203533")</f>
        <v>https://upbox.ajobthing.my/customer/203533</v>
      </c>
      <c r="I1159" t="inlineStr">
        <is>
          <t>Lion Parcel Malaysia</t>
        </is>
      </c>
      <c r="J1159" t="inlineStr">
        <is>
          <t>Small Fish</t>
        </is>
      </c>
      <c r="K1159" t="inlineStr">
        <is>
          <t>Keegan</t>
        </is>
      </c>
      <c r="L1159" s="4"/>
      <c r="M1159" s="4">
        <v>46134.59096064815</v>
      </c>
      <c r="N1159"/>
      <c r="O1159">
        <v>6048</v>
      </c>
      <c r="P1159" s="4"/>
      <c r="Q1159" s="4"/>
      <c r="R1159"/>
      <c r="S1159"/>
      <c r="T1159" s="4"/>
      <c r="U1159" s="4"/>
      <c r="V1159"/>
      <c r="W1159"/>
      <c r="X1159"/>
      <c r="Y1159" t="inlineStr">
        <is>
          <t>Pending Appointment</t>
        </is>
      </c>
      <c r="Z1159" t="inlineStr">
        <is>
          <t>Hiring Now</t>
        </is>
      </c>
      <c r="AA1159">
        <v>3</v>
      </c>
      <c r="AB1159" t="inlineStr">
        <is>
          <t>No Appointment Made</t>
        </is>
      </c>
      <c r="AC1159"/>
      <c r="AD1159" t="inlineStr">
        <is>
          <t xml:space="preserve">1. Office Admin   
2. Retail    
3. Manager   </t>
        </is>
      </c>
      <c r="AE1159"/>
      <c r="AF1159"/>
      <c r="AG1159" s="4"/>
      <c r="AH1159" s="4"/>
      <c r="AI1159"/>
      <c r="AJ1159">
        <v>1</v>
      </c>
      <c r="AK1159" t="inlineStr">
        <is>
          <t>No, I don't need at all</t>
        </is>
      </c>
      <c r="AL1159">
        <v>0</v>
      </c>
      <c r="AM1159" t="inlineStr">
        <is>
          <t>No, I don't need at all</t>
        </is>
      </c>
      <c r="AN1159"/>
      <c r="AO1159" t="inlineStr">
        <is>
          <t>No, I don't need at all</t>
        </is>
      </c>
      <c r="AP1159" t="inlineStr">
        <is>
          <t>Once per quarter (75%)</t>
        </is>
      </c>
      <c r="AQ1159"/>
      <c r="AR1159" t="inlineStr">
        <is>
          <t>Did not use any job portal</t>
        </is>
      </c>
      <c r="AS1159" t="inlineStr">
        <is>
          <t>- Headcount: 3
- Hiring Job Details: 1. Office Admin 2. Retail 3. Manager
- Hiring Urgency: Hiring Now
- Number of outlets: 1
- Have recruiter team: No, I don't need at all
- Number of recruiter in company: 0
- Have ATS system: No, I don't need at all
- Have career website: No, I don't need at all
- Current hiring budget: No data
- Whole year budget: No data
- Whole year number of vacancies: No data
- Hiring frequency: Once per quarter (75%)
- External job portal: Did not use any job portal</t>
        </is>
      </c>
      <c r="AT1159">
        <v>55</v>
      </c>
      <c r="AU1159" t="inlineStr">
        <is>
          <t>0.55</t>
        </is>
      </c>
      <c r="AV1159" t="inlineStr">
        <is>
          <t>5</t>
        </is>
      </c>
      <c r="AW1159" t="inlineStr">
        <is>
          <t>0</t>
        </is>
      </c>
      <c r="AX1159" t="inlineStr">
        <is>
          <t>Not Qualified</t>
        </is>
      </c>
      <c r="AY1159" s="4"/>
      <c r="AZ1159"/>
      <c r="BA1159"/>
      <c r="BB1159"/>
      <c r="BC1159" t="inlineStr">
        <is>
          <t>Pending decision</t>
        </is>
      </c>
      <c r="BD1159" s="4">
        <v>46139.71517361111</v>
      </c>
      <c r="BE1159"/>
      <c r="BF1159"/>
      <c r="BG1159" t="inlineStr">
        <is>
          <t>Reschedule</t>
        </is>
      </c>
      <c r="BH1159" t="inlineStr">
        <is>
          <t>Edward Hoo</t>
        </is>
      </c>
      <c r="BI1159"/>
      <c r="BJ1159" s="4">
        <v>46144.754328703704</v>
      </c>
      <c r="BK1159" s="4">
        <v>46134.58813657407</v>
      </c>
      <c r="BL1159" t="inlineStr">
        <is>
          <t>0.0</t>
        </is>
      </c>
      <c r="BM1159" t="inlineStr">
        <is>
          <t>0.0</t>
        </is>
      </c>
      <c r="BN1159" t="inlineStr">
        <is>
          <t>View Candidate Search Page</t>
        </is>
      </c>
      <c r="BO1159" s="4">
        <v>46134.59824074074</v>
      </c>
      <c r="BP1159">
        <v>168308</v>
      </c>
      <c r="BQ1159"/>
      <c r="BR1159"/>
      <c r="BS1159"/>
      <c r="BT1159"/>
      <c r="BU1159"/>
      <c r="BV1159">
        <v>2731392</v>
      </c>
      <c r="BW1159" t="inlineStr">
        <is>
          <t>Follow Up : Decision Pending</t>
        </is>
      </c>
      <c r="BX1159"/>
      <c r="BY1159"/>
      <c r="BZ1159" s="4"/>
      <c r="CA1159"/>
      <c r="CB1159"/>
      <c r="CC1159" s="4"/>
      <c r="CD1159" t="inlineStr">
        <is>
          <t>5</t>
        </is>
      </c>
      <c r="CE1159" t="inlineStr">
        <is>
          <t>0</t>
        </is>
      </c>
      <c r="CF1159" t="inlineStr">
        <is>
          <t>Q2-W03</t>
        </is>
      </c>
      <c r="CG1159"/>
      <c r="CH1159"/>
      <c r="CI1159"/>
      <c r="CJ1159" t="inlineStr">
        <is>
          <t>No Paid</t>
        </is>
      </c>
      <c r="CK1159" t="inlineStr">
        <is>
          <t>Not Eligible</t>
        </is>
      </c>
      <c r="CL1159"/>
      <c r="CM1159"/>
    </row>
    <row r="1160" ht="25.5" customHeight="1">
      <c r="A1160" t="inlineStr">
        <is>
          <t>193548</t>
        </is>
      </c>
      <c r="B1160" s="2"/>
      <c r="C1160"/>
      <c r="D1160" s="3">
        <v>46134.590578703705</v>
      </c>
      <c r="E1160" t="inlineStr">
        <is>
          <t>Q2-W03</t>
        </is>
      </c>
      <c r="F1160" t="inlineStr">
        <is>
          <t>Lucas</t>
        </is>
      </c>
      <c r="G1160" t="inlineStr">
        <is>
          <t>Customer</t>
        </is>
      </c>
      <c r="H1160" s="2" t="str">
        <f>=HYPERLINK("https://upbox.ajobthing.my/customer/193548", "https://upbox.ajobthing.my/customer/193548")</f>
        <v>https://upbox.ajobthing.my/customer/193548</v>
      </c>
      <c r="I1160" t="inlineStr">
        <is>
          <t>Kwa Sdn Bhd</t>
        </is>
      </c>
      <c r="J1160" t="inlineStr">
        <is>
          <t>Small Fish</t>
        </is>
      </c>
      <c r="K1160" t="inlineStr">
        <is>
          <t>Lucas</t>
        </is>
      </c>
      <c r="L1160" s="4"/>
      <c r="M1160" s="4">
        <v>46134.58914351852</v>
      </c>
      <c r="N1160"/>
      <c r="O1160">
        <v>3888</v>
      </c>
      <c r="P1160" s="4"/>
      <c r="Q1160" s="4"/>
      <c r="R1160"/>
      <c r="S1160"/>
      <c r="T1160" s="4"/>
      <c r="U1160" s="4"/>
      <c r="V1160"/>
      <c r="W1160"/>
      <c r="X1160"/>
      <c r="Y1160" t="inlineStr">
        <is>
          <t>Pending Appointment</t>
        </is>
      </c>
      <c r="Z1160" t="inlineStr">
        <is>
          <t>Hiring Now</t>
        </is>
      </c>
      <c r="AA1160">
        <v>2</v>
      </c>
      <c r="AB1160" t="inlineStr">
        <is>
          <t>No Appointment Made</t>
        </is>
      </c>
      <c r="AC1160"/>
      <c r="AD1160" t="inlineStr">
        <is>
          <t xml:space="preserve">1 admin , 1 sale executive </t>
        </is>
      </c>
      <c r="AE1160"/>
      <c r="AF1160">
        <v>0</v>
      </c>
      <c r="AG1160" s="4"/>
      <c r="AH1160" s="4"/>
      <c r="AI1160">
        <v>0</v>
      </c>
      <c r="AJ1160">
        <v>0</v>
      </c>
      <c r="AK1160" t="inlineStr">
        <is>
          <t>No, I don't need at all</t>
        </is>
      </c>
      <c r="AL1160">
        <v>0</v>
      </c>
      <c r="AM1160" t="inlineStr">
        <is>
          <t>No, I don't need at all</t>
        </is>
      </c>
      <c r="AN1160"/>
      <c r="AO1160" t="inlineStr">
        <is>
          <t>No, I don't need at all</t>
        </is>
      </c>
      <c r="AP1160" t="inlineStr">
        <is>
          <t>Once a year (25%)</t>
        </is>
      </c>
      <c r="AQ1160">
        <v>1</v>
      </c>
      <c r="AR1160" t="inlineStr">
        <is>
          <t>Did not use any job portal</t>
        </is>
      </c>
      <c r="AS1160" t="inlineStr">
        <is>
          <t>- Headcount: 2
- Hiring Job Details: 1 admin, 1 sale executive
- Number of outlets: 0
- Have recruiter team: No, I don't need at all
- Number of recruiter in company: 0
- Have ATS system: No, I don't need at all
- Have career website: No, I don't need at all
- Current hiring budget: RM0
- Hiring frequency: Once a year (25%)
- Whole year budget: RM0.00
- Whole year number of vacancies: 1
- External job portal: Did not use any job portal
- Hiring Urgency: Hiring Now</t>
        </is>
      </c>
      <c r="AT1160">
        <v>95</v>
      </c>
      <c r="AU1160" t="inlineStr">
        <is>
          <t>0.95</t>
        </is>
      </c>
      <c r="AV1160" t="inlineStr">
        <is>
          <t>15</t>
        </is>
      </c>
      <c r="AW1160" t="inlineStr">
        <is>
          <t>0</t>
        </is>
      </c>
      <c r="AX1160" t="inlineStr">
        <is>
          <t>Not Qualified</t>
        </is>
      </c>
      <c r="AY1160" s="4"/>
      <c r="AZ1160"/>
      <c r="BA1160"/>
      <c r="BB1160"/>
      <c r="BC1160" t="inlineStr">
        <is>
          <t>nr</t>
        </is>
      </c>
      <c r="BD1160" s="4">
        <v>46141.62825231482</v>
      </c>
      <c r="BE1160"/>
      <c r="BF1160"/>
      <c r="BG1160" t="inlineStr">
        <is>
          <t>Reschedule</t>
        </is>
      </c>
      <c r="BH1160" t="inlineStr">
        <is>
          <t>Yee Hang</t>
        </is>
      </c>
      <c r="BI1160" t="inlineStr">
        <is>
          <t>Automobile / Automotive</t>
        </is>
      </c>
      <c r="BJ1160" s="4">
        <v>46144.75263888889</v>
      </c>
      <c r="BK1160" s="4">
        <v>45847.492743055554</v>
      </c>
      <c r="BL1160" t="inlineStr">
        <is>
          <t>0.0</t>
        </is>
      </c>
      <c r="BM1160" t="inlineStr">
        <is>
          <t>0.0</t>
        </is>
      </c>
      <c r="BN1160" t="inlineStr">
        <is>
          <t>View Company Page</t>
        </is>
      </c>
      <c r="BO1160" s="4">
        <v>46134.53019675926</v>
      </c>
      <c r="BP1160">
        <v>168306</v>
      </c>
      <c r="BQ1160"/>
      <c r="BR1160"/>
      <c r="BS1160"/>
      <c r="BT1160"/>
      <c r="BU1160"/>
      <c r="BV1160">
        <v>2735528</v>
      </c>
      <c r="BW1160" t="inlineStr">
        <is>
          <t>No Answer : 3 Days No Response</t>
        </is>
      </c>
      <c r="BX1160"/>
      <c r="BY1160"/>
      <c r="BZ1160" s="4"/>
      <c r="CA1160"/>
      <c r="CB1160"/>
      <c r="CC1160" s="4"/>
      <c r="CD1160" t="inlineStr">
        <is>
          <t>20</t>
        </is>
      </c>
      <c r="CE1160" t="inlineStr">
        <is>
          <t>0</t>
        </is>
      </c>
      <c r="CF1160" t="inlineStr">
        <is>
          <t>Q2-W03</t>
        </is>
      </c>
      <c r="CG1160"/>
      <c r="CH1160"/>
      <c r="CI1160"/>
      <c r="CJ1160" t="inlineStr">
        <is>
          <t>No Paid</t>
        </is>
      </c>
      <c r="CK1160" t="inlineStr">
        <is>
          <t>Not Eligible</t>
        </is>
      </c>
      <c r="CL1160"/>
      <c r="CM1160"/>
    </row>
    <row r="1161" ht="25.5" customHeight="1">
      <c r="A1161" t="inlineStr">
        <is>
          <t>172521</t>
        </is>
      </c>
      <c r="B1161" s="2"/>
      <c r="C1161"/>
      <c r="D1161" s="3">
        <v>46134.60450231482</v>
      </c>
      <c r="E1161" t="inlineStr">
        <is>
          <t>Q2-W03</t>
        </is>
      </c>
      <c r="F1161" t="inlineStr">
        <is>
          <t>Jeff Lee</t>
        </is>
      </c>
      <c r="G1161" t="inlineStr">
        <is>
          <t>Customer</t>
        </is>
      </c>
      <c r="H1161" s="2" t="str">
        <f>=HYPERLINK("https://upbox.ajobthing.my/customer/172521", "https://upbox.ajobthing.my/customer/172521")</f>
        <v>https://upbox.ajobthing.my/customer/172521</v>
      </c>
      <c r="I1161" t="inlineStr">
        <is>
          <t>Sri Binaman Sdn Bhd</t>
        </is>
      </c>
      <c r="J1161" t="inlineStr">
        <is>
          <t>Small Fish</t>
        </is>
      </c>
      <c r="K1161" t="inlineStr">
        <is>
          <t>Jeff Lee</t>
        </is>
      </c>
      <c r="L1161" s="4"/>
      <c r="M1161" s="4">
        <v>46134.60150462963</v>
      </c>
      <c r="N1161"/>
      <c r="O1161">
        <v>3888</v>
      </c>
      <c r="P1161" s="4"/>
      <c r="Q1161" s="4">
        <v>45231.38167824074</v>
      </c>
      <c r="R1161"/>
      <c r="S1161">
        <v>954</v>
      </c>
      <c r="T1161" s="4">
        <v>45231.38167824074</v>
      </c>
      <c r="U1161" s="4"/>
      <c r="V1161"/>
      <c r="W1161">
        <v>954</v>
      </c>
      <c r="X1161"/>
      <c r="Y1161" t="inlineStr">
        <is>
          <t>Pending Appointment</t>
        </is>
      </c>
      <c r="Z1161" t="inlineStr">
        <is>
          <t>Hiring Now</t>
        </is>
      </c>
      <c r="AA1161">
        <v>2</v>
      </c>
      <c r="AB1161" t="inlineStr">
        <is>
          <t>No Appointment Made</t>
        </is>
      </c>
      <c r="AC1161"/>
      <c r="AD1161" t="inlineStr">
        <is>
          <t xml:space="preserve">1 technician, 1 electrician </t>
        </is>
      </c>
      <c r="AE1161"/>
      <c r="AF1161">
        <v>0</v>
      </c>
      <c r="AG1161" s="4"/>
      <c r="AH1161" s="4"/>
      <c r="AI1161">
        <v>0</v>
      </c>
      <c r="AJ1161">
        <v>0</v>
      </c>
      <c r="AK1161" t="inlineStr">
        <is>
          <t>No, I don't need at all</t>
        </is>
      </c>
      <c r="AL1161">
        <v>0</v>
      </c>
      <c r="AM1161" t="inlineStr">
        <is>
          <t>No, I don't need at all</t>
        </is>
      </c>
      <c r="AN1161"/>
      <c r="AO1161" t="inlineStr">
        <is>
          <t>No, I don't need at all</t>
        </is>
      </c>
      <c r="AP1161" t="inlineStr">
        <is>
          <t>Once a year (25%)</t>
        </is>
      </c>
      <c r="AQ1161">
        <v>2</v>
      </c>
      <c r="AR1161" t="inlineStr">
        <is>
          <t>Jobstreet</t>
        </is>
      </c>
      <c r="AS1161" t="inlineStr">
        <is>
          <t>- Headcount: 2
- Hiring Job Details: 1 technician, 1 electrician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t>
        </is>
      </c>
      <c r="AT1161">
        <v>105</v>
      </c>
      <c r="AU1161" t="inlineStr">
        <is>
          <t>1.05</t>
        </is>
      </c>
      <c r="AV1161" t="inlineStr">
        <is>
          <t>15</t>
        </is>
      </c>
      <c r="AW1161" t="inlineStr">
        <is>
          <t>0</t>
        </is>
      </c>
      <c r="AX1161" t="inlineStr">
        <is>
          <t>Not Qualified</t>
        </is>
      </c>
      <c r="AY1161" s="4"/>
      <c r="AZ1161"/>
      <c r="BA1161"/>
      <c r="BB1161"/>
      <c r="BC1161" t="inlineStr">
        <is>
          <t>na</t>
        </is>
      </c>
      <c r="BD1161" s="4">
        <v>46139.436736111114</v>
      </c>
      <c r="BE1161" t="inlineStr">
        <is>
          <t>paid</t>
        </is>
      </c>
      <c r="BF1161"/>
      <c r="BG1161" t="inlineStr">
        <is>
          <t>Reschedule</t>
        </is>
      </c>
      <c r="BH1161" t="inlineStr">
        <is>
          <t>Yee Hang</t>
        </is>
      </c>
      <c r="BI1161" t="inlineStr">
        <is>
          <t>Repair / Maintenance</t>
        </is>
      </c>
      <c r="BJ1161" s="4">
        <v>46144.75148148148</v>
      </c>
      <c r="BK1161" s="4">
        <v>45231.362604166665</v>
      </c>
      <c r="BL1161" t="inlineStr">
        <is>
          <t>0.0</t>
        </is>
      </c>
      <c r="BM1161" t="inlineStr">
        <is>
          <t>0.0</t>
        </is>
      </c>
      <c r="BN1161" t="inlineStr">
        <is>
          <t>View Company Page</t>
        </is>
      </c>
      <c r="BO1161" s="4">
        <v>45231.44876157407</v>
      </c>
      <c r="BP1161">
        <v>168311</v>
      </c>
      <c r="BQ1161">
        <v>63424</v>
      </c>
      <c r="BR1161" t="inlineStr">
        <is>
          <t>Online</t>
        </is>
      </c>
      <c r="BS1161"/>
      <c r="BT1161">
        <v>63424</v>
      </c>
      <c r="BU1161"/>
      <c r="BV1161">
        <v>2728379</v>
      </c>
      <c r="BW1161" t="inlineStr">
        <is>
          <t>No Answer : Voicemail - WA sent to customer</t>
        </is>
      </c>
      <c r="BX1161"/>
      <c r="BY1161"/>
      <c r="BZ1161" s="4"/>
      <c r="CA1161"/>
      <c r="CB1161"/>
      <c r="CC1161" s="4"/>
      <c r="CD1161" t="inlineStr">
        <is>
          <t>20</t>
        </is>
      </c>
      <c r="CE1161" t="inlineStr">
        <is>
          <t>0</t>
        </is>
      </c>
      <c r="CF1161" t="inlineStr">
        <is>
          <t>Q2-W03</t>
        </is>
      </c>
      <c r="CG1161"/>
      <c r="CH1161"/>
      <c r="CI1161"/>
      <c r="CJ1161" t="inlineStr">
        <is>
          <t>Paid</t>
        </is>
      </c>
      <c r="CK1161" t="inlineStr">
        <is>
          <t>Not Eligible</t>
        </is>
      </c>
      <c r="CL1161"/>
      <c r="CM1161"/>
    </row>
    <row r="1162" ht="25.5" customHeight="1">
      <c r="A1162" t="inlineStr">
        <is>
          <t>172461</t>
        </is>
      </c>
      <c r="B1162" s="2"/>
      <c r="C1162"/>
      <c r="D1162" s="3">
        <v>46134.611354166664</v>
      </c>
      <c r="E1162" t="inlineStr">
        <is>
          <t>Q2-W03</t>
        </is>
      </c>
      <c r="F1162" t="inlineStr">
        <is>
          <t>Jeff Lee</t>
        </is>
      </c>
      <c r="G1162" t="inlineStr">
        <is>
          <t>Customer</t>
        </is>
      </c>
      <c r="H1162" s="2" t="str">
        <f>=HYPERLINK("https://upbox.ajobthing.my/customer/172461", "https://upbox.ajobthing.my/customer/172461")</f>
        <v>https://upbox.ajobthing.my/customer/172461</v>
      </c>
      <c r="I1162" t="inlineStr">
        <is>
          <t>Kenneth Foods &amp; Beverages Sdn Bhd</t>
        </is>
      </c>
      <c r="J1162" t="inlineStr">
        <is>
          <t>Small Fish</t>
        </is>
      </c>
      <c r="K1162" t="inlineStr">
        <is>
          <t>Jeff Lee</t>
        </is>
      </c>
      <c r="L1162" s="4"/>
      <c r="M1162" s="4">
        <v>46134.61195601852</v>
      </c>
      <c r="N1162"/>
      <c r="O1162">
        <v>3888</v>
      </c>
      <c r="P1162" s="4"/>
      <c r="Q1162" s="4">
        <v>45231.48795138889</v>
      </c>
      <c r="R1162"/>
      <c r="S1162">
        <v>636</v>
      </c>
      <c r="T1162" s="4">
        <v>45231.48795138889</v>
      </c>
      <c r="U1162" s="4"/>
      <c r="V1162"/>
      <c r="W1162">
        <v>636</v>
      </c>
      <c r="X1162"/>
      <c r="Y1162" t="inlineStr">
        <is>
          <t>Pending Appointment</t>
        </is>
      </c>
      <c r="Z1162" t="inlineStr">
        <is>
          <t>Hiring Later</t>
        </is>
      </c>
      <c r="AA1162">
        <v>2</v>
      </c>
      <c r="AB1162" t="inlineStr">
        <is>
          <t>No Appointment Made</t>
        </is>
      </c>
      <c r="AC1162"/>
      <c r="AD1162" t="inlineStr">
        <is>
          <t>1 Site Engineer, 1 Site Supervisor</t>
        </is>
      </c>
      <c r="AE1162"/>
      <c r="AF1162">
        <v>0</v>
      </c>
      <c r="AG1162" s="4"/>
      <c r="AH1162" s="4"/>
      <c r="AI1162">
        <v>0</v>
      </c>
      <c r="AJ1162">
        <v>0</v>
      </c>
      <c r="AK1162" t="inlineStr">
        <is>
          <t>No, I don't need at all</t>
        </is>
      </c>
      <c r="AL1162">
        <v>0</v>
      </c>
      <c r="AM1162" t="inlineStr">
        <is>
          <t>No, I don't need at all</t>
        </is>
      </c>
      <c r="AN1162"/>
      <c r="AO1162" t="inlineStr">
        <is>
          <t>No, I don't need at all</t>
        </is>
      </c>
      <c r="AP1162" t="inlineStr">
        <is>
          <t>Once a year (25%)</t>
        </is>
      </c>
      <c r="AQ1162">
        <v>2</v>
      </c>
      <c r="AR1162" t="inlineStr">
        <is>
          <t>Did not use any job portal</t>
        </is>
      </c>
      <c r="AS1162" t="inlineStr">
        <is>
          <t>- Headcount: 2 (1 Site Engineer, 1 Site Supervisor).
- Hiring Job Details: 1 Site Engineer, 1 Site Supervisor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162">
        <v>95</v>
      </c>
      <c r="AU1162" t="inlineStr">
        <is>
          <t>0.95</t>
        </is>
      </c>
      <c r="AV1162" t="inlineStr">
        <is>
          <t>15</t>
        </is>
      </c>
      <c r="AW1162" t="inlineStr">
        <is>
          <t>0</t>
        </is>
      </c>
      <c r="AX1162" t="inlineStr">
        <is>
          <t>Not Qualified</t>
        </is>
      </c>
      <c r="AY1162" s="4"/>
      <c r="AZ1162"/>
      <c r="BA1162"/>
      <c r="BB1162"/>
      <c r="BC1162" t="inlineStr">
        <is>
          <t>- Headcount: 2 (1 Site Engineer, 1 Site Supervisor).
- Hiring Job Details: 1 Site Engineer, 1 Site Supervisor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BD1162" s="4">
        <v>46134.6250462963</v>
      </c>
      <c r="BE1162" t="inlineStr">
        <is>
          <t>paid</t>
        </is>
      </c>
      <c r="BF1162"/>
      <c r="BG1162" t="inlineStr">
        <is>
          <t>Reschedule</t>
        </is>
      </c>
      <c r="BH1162" t="inlineStr">
        <is>
          <t>Yee Hang</t>
        </is>
      </c>
      <c r="BI1162"/>
      <c r="BJ1162" s="4">
        <v>46144.75148148148</v>
      </c>
      <c r="BK1162" s="4">
        <v>45229.57135416667</v>
      </c>
      <c r="BL1162" t="inlineStr">
        <is>
          <t>0.0</t>
        </is>
      </c>
      <c r="BM1162" t="inlineStr">
        <is>
          <t>0.0</t>
        </is>
      </c>
      <c r="BN1162" t="inlineStr">
        <is>
          <t>View PeopleSearch Page</t>
        </is>
      </c>
      <c r="BO1162" s="4">
        <v>45251.615266203706</v>
      </c>
      <c r="BP1162">
        <v>168317</v>
      </c>
      <c r="BQ1162">
        <v>63430</v>
      </c>
      <c r="BR1162" t="inlineStr">
        <is>
          <t>Online</t>
        </is>
      </c>
      <c r="BS1162"/>
      <c r="BT1162">
        <v>63430</v>
      </c>
      <c r="BU1162"/>
      <c r="BV1162">
        <v>2720961</v>
      </c>
      <c r="BW1162" t="inlineStr">
        <is>
          <t>Customer Inquiry</t>
        </is>
      </c>
      <c r="BX1162"/>
      <c r="BY1162"/>
      <c r="BZ1162" s="4"/>
      <c r="CA1162"/>
      <c r="CB1162"/>
      <c r="CC1162" s="4"/>
      <c r="CD1162" t="inlineStr">
        <is>
          <t>20</t>
        </is>
      </c>
      <c r="CE1162" t="inlineStr">
        <is>
          <t>0</t>
        </is>
      </c>
      <c r="CF1162" t="inlineStr">
        <is>
          <t>Q2-W03</t>
        </is>
      </c>
      <c r="CG1162"/>
      <c r="CH1162"/>
      <c r="CI1162"/>
      <c r="CJ1162" t="inlineStr">
        <is>
          <t>Paid</t>
        </is>
      </c>
      <c r="CK1162" t="inlineStr">
        <is>
          <t>Not Eligible</t>
        </is>
      </c>
      <c r="CL1162"/>
      <c r="CM1162"/>
    </row>
    <row r="1163" ht="25.5" customHeight="1">
      <c r="A1163" t="inlineStr">
        <is>
          <t>134026</t>
        </is>
      </c>
      <c r="B1163" s="2"/>
      <c r="C1163"/>
      <c r="D1163" s="3">
        <v>46134.61988425926</v>
      </c>
      <c r="E1163" t="inlineStr">
        <is>
          <t>Q2-W03</t>
        </is>
      </c>
      <c r="F1163" t="inlineStr">
        <is>
          <t>Xin Hui</t>
        </is>
      </c>
      <c r="G1163" t="inlineStr">
        <is>
          <t>Customer</t>
        </is>
      </c>
      <c r="H1163" s="2" t="str">
        <f>=HYPERLINK("https://upbox.ajobthing.my/customer/134026", "https://upbox.ajobthing.my/customer/134026")</f>
        <v>https://upbox.ajobthing.my/customer/134026</v>
      </c>
      <c r="I1163" t="inlineStr">
        <is>
          <t>Angelbell Kindergarten</t>
        </is>
      </c>
      <c r="J1163" t="inlineStr">
        <is>
          <t>Small Fish</t>
        </is>
      </c>
      <c r="K1163" t="inlineStr">
        <is>
          <t>Xin Hui</t>
        </is>
      </c>
      <c r="L1163" s="4"/>
      <c r="M1163" s="4">
        <v>46134.62100694444</v>
      </c>
      <c r="N1163"/>
      <c r="O1163">
        <v>3888</v>
      </c>
      <c r="P1163" s="4"/>
      <c r="Q1163" s="4">
        <v>44231.45348379629</v>
      </c>
      <c r="R1163"/>
      <c r="S1163">
        <v>53</v>
      </c>
      <c r="T1163" s="4">
        <v>44231.45348379629</v>
      </c>
      <c r="U1163" s="4"/>
      <c r="V1163"/>
      <c r="W1163">
        <v>53</v>
      </c>
      <c r="X1163"/>
      <c r="Y1163" t="inlineStr">
        <is>
          <t>Pending Appointment</t>
        </is>
      </c>
      <c r="Z1163" t="inlineStr">
        <is>
          <t>Hiring Now</t>
        </is>
      </c>
      <c r="AA1163">
        <v>1</v>
      </c>
      <c r="AB1163" t="inlineStr">
        <is>
          <t>No Appointment Made</t>
        </is>
      </c>
      <c r="AC1163"/>
      <c r="AD1163" t="inlineStr">
        <is>
          <t>teacher</t>
        </is>
      </c>
      <c r="AE1163"/>
      <c r="AF1163"/>
      <c r="AG1163" s="4"/>
      <c r="AH1163" s="4"/>
      <c r="AI1163"/>
      <c r="AJ1163"/>
      <c r="AK1163" t="inlineStr">
        <is>
          <t>No, I don't need at all</t>
        </is>
      </c>
      <c r="AL1163"/>
      <c r="AM1163" t="inlineStr">
        <is>
          <t>No, I don't need at all</t>
        </is>
      </c>
      <c r="AN1163"/>
      <c r="AO1163" t="inlineStr">
        <is>
          <t>No, I don't need at all</t>
        </is>
      </c>
      <c r="AP1163" t="inlineStr">
        <is>
          <t>Once a year (25%)</t>
        </is>
      </c>
      <c r="AQ1163"/>
      <c r="AR1163" t="inlineStr">
        <is>
          <t>Hiredly</t>
        </is>
      </c>
      <c r="AS1163" t="inlineStr">
        <is>
          <t>- Headcount: 1
- Hiring Job Details: teacher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Hiredly</t>
        </is>
      </c>
      <c r="AT1163">
        <v>75</v>
      </c>
      <c r="AU1163" t="inlineStr">
        <is>
          <t>0.75</t>
        </is>
      </c>
      <c r="AV1163" t="inlineStr">
        <is>
          <t>5</t>
        </is>
      </c>
      <c r="AW1163" t="inlineStr">
        <is>
          <t>0</t>
        </is>
      </c>
      <c r="AX1163" t="inlineStr">
        <is>
          <t>Not Qualified</t>
        </is>
      </c>
      <c r="AY1163" s="4"/>
      <c r="AZ1163"/>
      <c r="BA1163"/>
      <c r="BB1163"/>
      <c r="BC1163" t="inlineStr">
        <is>
          <t>ads still runing , expires on Feb 2027 , remain first</t>
        </is>
      </c>
      <c r="BD1163" s="4">
        <v>46135.407534722224</v>
      </c>
      <c r="BE1163" t="inlineStr">
        <is>
          <t>paid</t>
        </is>
      </c>
      <c r="BF1163"/>
      <c r="BG1163" t="inlineStr">
        <is>
          <t>Reschedule</t>
        </is>
      </c>
      <c r="BH1163" t="inlineStr">
        <is>
          <t>Yee Hang</t>
        </is>
      </c>
      <c r="BI1163" t="inlineStr">
        <is>
          <t>Education / Training</t>
        </is>
      </c>
      <c r="BJ1163" s="4">
        <v>46144.75053240741</v>
      </c>
      <c r="BK1163" s="4">
        <v>44231.44472222222</v>
      </c>
      <c r="BL1163" t="inlineStr">
        <is>
          <t>0.0</t>
        </is>
      </c>
      <c r="BM1163" t="inlineStr">
        <is>
          <t>0.0</t>
        </is>
      </c>
      <c r="BN1163" t="inlineStr">
        <is>
          <t xml:space="preserve"> PA Email Login Failed</t>
        </is>
      </c>
      <c r="BO1163" s="4">
        <v>45371.33826388889</v>
      </c>
      <c r="BP1163">
        <v>168324</v>
      </c>
      <c r="BQ1163">
        <v>30067</v>
      </c>
      <c r="BR1163" t="inlineStr">
        <is>
          <t>Online</t>
        </is>
      </c>
      <c r="BS1163"/>
      <c r="BT1163">
        <v>30067</v>
      </c>
      <c r="BU1163"/>
      <c r="BV1163">
        <v>2722277</v>
      </c>
      <c r="BW1163" t="inlineStr">
        <is>
          <t>Follow Up : Lost - Free Portal</t>
        </is>
      </c>
      <c r="BX1163"/>
      <c r="BY1163"/>
      <c r="BZ1163" s="4"/>
      <c r="CA1163"/>
      <c r="CB1163"/>
      <c r="CC1163" s="4"/>
      <c r="CD1163" t="inlineStr">
        <is>
          <t>5</t>
        </is>
      </c>
      <c r="CE1163" t="inlineStr">
        <is>
          <t>0</t>
        </is>
      </c>
      <c r="CF1163" t="inlineStr">
        <is>
          <t>Q2-W03</t>
        </is>
      </c>
      <c r="CG1163"/>
      <c r="CH1163"/>
      <c r="CI1163"/>
      <c r="CJ1163" t="inlineStr">
        <is>
          <t>Paid</t>
        </is>
      </c>
      <c r="CK1163" t="inlineStr">
        <is>
          <t>Not Eligible</t>
        </is>
      </c>
      <c r="CL1163"/>
      <c r="CM1163"/>
    </row>
    <row r="1164" ht="25.5" customHeight="1">
      <c r="A1164" t="inlineStr">
        <is>
          <t>203078</t>
        </is>
      </c>
      <c r="B1164" s="2"/>
      <c r="C1164"/>
      <c r="D1164" s="3">
        <v>46134.620358796295</v>
      </c>
      <c r="E1164" t="inlineStr">
        <is>
          <t>Q2-W03</t>
        </is>
      </c>
      <c r="F1164" t="inlineStr">
        <is>
          <t>Carmen</t>
        </is>
      </c>
      <c r="G1164" t="inlineStr">
        <is>
          <t>Customer</t>
        </is>
      </c>
      <c r="H1164" s="2" t="str">
        <f>=HYPERLINK("https://upbox.ajobthing.my/customer/203078", "https://upbox.ajobthing.my/customer/203078")</f>
        <v>https://upbox.ajobthing.my/customer/203078</v>
      </c>
      <c r="I1164" t="inlineStr">
        <is>
          <t>Private</t>
        </is>
      </c>
      <c r="J1164" t="inlineStr">
        <is>
          <t>Small Fish</t>
        </is>
      </c>
      <c r="K1164" t="inlineStr">
        <is>
          <t>Carmen</t>
        </is>
      </c>
      <c r="L1164" s="4"/>
      <c r="M1164" s="4">
        <v>46134.62050925926</v>
      </c>
      <c r="N1164"/>
      <c r="O1164">
        <v>11448</v>
      </c>
      <c r="P1164" s="4"/>
      <c r="Q1164" s="4">
        <v>46122.48832175926</v>
      </c>
      <c r="R1164"/>
      <c r="S1164">
        <v>0</v>
      </c>
      <c r="T1164" s="4"/>
      <c r="U1164" s="4"/>
      <c r="V1164"/>
      <c r="W1164"/>
      <c r="X1164"/>
      <c r="Y1164" t="inlineStr">
        <is>
          <t>Pending Appointment</t>
        </is>
      </c>
      <c r="Z1164" t="inlineStr">
        <is>
          <t>Continuous Hiring</t>
        </is>
      </c>
      <c r="AA1164">
        <v>10</v>
      </c>
      <c r="AB1164" t="inlineStr">
        <is>
          <t>No Appointment Made</t>
        </is>
      </c>
      <c r="AC1164"/>
      <c r="AD1164" t="inlineStr">
        <is>
          <t>10 position</t>
        </is>
      </c>
      <c r="AE1164"/>
      <c r="AF1164">
        <v>1000</v>
      </c>
      <c r="AG1164" s="4"/>
      <c r="AH1164" s="4"/>
      <c r="AI1164"/>
      <c r="AJ1164"/>
      <c r="AK1164" t="inlineStr">
        <is>
          <t>Yes, I have</t>
        </is>
      </c>
      <c r="AL1164"/>
      <c r="AM1164"/>
      <c r="AN1164"/>
      <c r="AO1164"/>
      <c r="AP1164" t="inlineStr">
        <is>
          <t>Every month (100%)</t>
        </is>
      </c>
      <c r="AQ1164"/>
      <c r="AR1164"/>
      <c r="AS1164" t="inlineStr">
        <is>
          <t>- Headcount: 10
- Hiring Job Details: 10 positions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Every month (100%)
- External job portal: Not available
- Hiring Urgency: Continuous Hiring</t>
        </is>
      </c>
      <c r="AT1164">
        <v>95</v>
      </c>
      <c r="AU1164" t="inlineStr">
        <is>
          <t>0.95</t>
        </is>
      </c>
      <c r="AV1164" t="inlineStr">
        <is>
          <t>20</t>
        </is>
      </c>
      <c r="AW1164" t="inlineStr">
        <is>
          <t>0</t>
        </is>
      </c>
      <c r="AX1164" t="inlineStr">
        <is>
          <t>Not Qualified</t>
        </is>
      </c>
      <c r="AY1164" s="4"/>
      <c r="AZ1164"/>
      <c r="BA1164"/>
      <c r="BB1164"/>
      <c r="BC1164" t="inlineStr">
        <is>
          <t>she said maybe cant do long</t>
        </is>
      </c>
      <c r="BD1164" s="4">
        <v>46135.547951388886</v>
      </c>
      <c r="BE1164" t="inlineStr">
        <is>
          <t>paid</t>
        </is>
      </c>
      <c r="BF1164"/>
      <c r="BG1164" t="inlineStr">
        <is>
          <t>Reschedule</t>
        </is>
      </c>
      <c r="BH1164" t="inlineStr">
        <is>
          <t>Reagen</t>
        </is>
      </c>
      <c r="BI1164" t="inlineStr">
        <is>
          <t>HR Mgmt / Consulting</t>
        </is>
      </c>
      <c r="BJ1164" s="4">
        <v>46144.754212962966</v>
      </c>
      <c r="BK1164" s="4">
        <v>46122.48643518519</v>
      </c>
      <c r="BL1164" t="inlineStr">
        <is>
          <t>0.0</t>
        </is>
      </c>
      <c r="BM1164" t="inlineStr">
        <is>
          <t>0.0</t>
        </is>
      </c>
      <c r="BN1164" t="inlineStr">
        <is>
          <t>View Company Page</t>
        </is>
      </c>
      <c r="BO1164" s="4">
        <v>46123.6183912037</v>
      </c>
      <c r="BP1164">
        <v>168323</v>
      </c>
      <c r="BQ1164">
        <v>121622</v>
      </c>
      <c r="BR1164" t="inlineStr">
        <is>
          <t>Proforma</t>
        </is>
      </c>
      <c r="BS1164" t="inlineStr">
        <is>
          <t>Free Part-Time Job</t>
        </is>
      </c>
      <c r="BT1164"/>
      <c r="BU1164"/>
      <c r="BV1164">
        <v>2723176</v>
      </c>
      <c r="BW1164" t="inlineStr">
        <is>
          <t>Follow Up : Decision Pending</t>
        </is>
      </c>
      <c r="BX1164"/>
      <c r="BY1164"/>
      <c r="BZ1164" s="4"/>
      <c r="CA1164"/>
      <c r="CB1164"/>
      <c r="CC1164" s="4"/>
      <c r="CD1164" t="inlineStr">
        <is>
          <t>30</t>
        </is>
      </c>
      <c r="CE1164" t="inlineStr">
        <is>
          <t>0</t>
        </is>
      </c>
      <c r="CF1164" t="inlineStr">
        <is>
          <t>Q2-W03</t>
        </is>
      </c>
      <c r="CG1164" t="inlineStr">
        <is>
          <t>Q2-W02</t>
        </is>
      </c>
      <c r="CH1164"/>
      <c r="CI1164"/>
      <c r="CJ1164" t="inlineStr">
        <is>
          <t>No Paid</t>
        </is>
      </c>
      <c r="CK1164" t="inlineStr">
        <is>
          <t>Eligible</t>
        </is>
      </c>
      <c r="CL1164"/>
      <c r="CM1164"/>
    </row>
    <row r="1165" ht="25.5" customHeight="1">
      <c r="A1165" t="inlineStr">
        <is>
          <t>133097</t>
        </is>
      </c>
      <c r="B1165" s="2"/>
      <c r="C1165"/>
      <c r="D1165" s="3">
        <v>46134.621932870374</v>
      </c>
      <c r="E1165" t="inlineStr">
        <is>
          <t>Q2-W03</t>
        </is>
      </c>
      <c r="F1165" t="inlineStr">
        <is>
          <t>Luqman</t>
        </is>
      </c>
      <c r="G1165" t="inlineStr">
        <is>
          <t>Customer</t>
        </is>
      </c>
      <c r="H1165" s="2" t="str">
        <f>=HYPERLINK("https://upbox.ajobthing.my/customer/133097", "https://upbox.ajobthing.my/customer/133097")</f>
        <v>https://upbox.ajobthing.my/customer/133097</v>
      </c>
      <c r="I1165" t="inlineStr">
        <is>
          <t>Power Wealth Consultancy Sdn Bhd</t>
        </is>
      </c>
      <c r="J1165" t="inlineStr">
        <is>
          <t>Small Fish</t>
        </is>
      </c>
      <c r="K1165" t="inlineStr">
        <is>
          <t>Luqman</t>
        </is>
      </c>
      <c r="L1165" s="4"/>
      <c r="M1165" s="4">
        <v>46134.622708333336</v>
      </c>
      <c r="N1165"/>
      <c r="O1165">
        <v>1296</v>
      </c>
      <c r="P1165" s="4"/>
      <c r="Q1165" s="4">
        <v>44979.48385416667</v>
      </c>
      <c r="R1165"/>
      <c r="S1165">
        <v>954</v>
      </c>
      <c r="T1165" s="4">
        <v>44979.48385416667</v>
      </c>
      <c r="U1165" s="4"/>
      <c r="V1165"/>
      <c r="W1165">
        <v>954</v>
      </c>
      <c r="X1165"/>
      <c r="Y1165" t="inlineStr">
        <is>
          <t>Pending Appointment</t>
        </is>
      </c>
      <c r="Z1165" t="inlineStr">
        <is>
          <t>Hiring Later</t>
        </is>
      </c>
      <c r="AA1165">
        <v>1</v>
      </c>
      <c r="AB1165" t="inlineStr">
        <is>
          <t>No Appointment Made</t>
        </is>
      </c>
      <c r="AC1165"/>
      <c r="AD1165" t="inlineStr">
        <is>
          <t xml:space="preserve">Agent </t>
        </is>
      </c>
      <c r="AE1165"/>
      <c r="AF1165">
        <v>1200</v>
      </c>
      <c r="AG1165" s="4"/>
      <c r="AH1165" s="4"/>
      <c r="AI1165">
        <v>1200</v>
      </c>
      <c r="AJ1165"/>
      <c r="AK1165" t="inlineStr">
        <is>
          <t>Yes, I have</t>
        </is>
      </c>
      <c r="AL1165">
        <v>4</v>
      </c>
      <c r="AM1165" t="inlineStr">
        <is>
          <t>No, I don't need at all</t>
        </is>
      </c>
      <c r="AN1165"/>
      <c r="AO1165" t="inlineStr">
        <is>
          <t>Yes, I have</t>
        </is>
      </c>
      <c r="AP1165" t="inlineStr">
        <is>
          <t>Once a year (25%)</t>
        </is>
      </c>
      <c r="AQ1165">
        <v>2</v>
      </c>
      <c r="AR1165" t="inlineStr">
        <is>
          <t>Jobstreet, Free Job Portal</t>
        </is>
      </c>
      <c r="AS1165" t="inlineStr">
        <is>
          <t>- Headcount: 1
- Hiring Job Details: Agent
- Hiring Urgency: Hiring Later
- Number of outlets: 
- Have recruiter team: Yes, I have
- Number of recruiter in company: 4
- Have ATS system: No, I don't need at all
- Have career website: Yes, I have
- Current hiring budget: RM1,200
- Whole year budget: RM1,200.00
- Whole year number of vacancies: 2
- Hiring frequency: Once a year (25%)
- External job portal: Jobstreet,Free Job Portal</t>
        </is>
      </c>
      <c r="AT1165">
        <v>110</v>
      </c>
      <c r="AU1165" t="inlineStr">
        <is>
          <t>1.10</t>
        </is>
      </c>
      <c r="AV1165" t="inlineStr">
        <is>
          <t>15</t>
        </is>
      </c>
      <c r="AW1165" t="inlineStr">
        <is>
          <t>0</t>
        </is>
      </c>
      <c r="AX1165" t="inlineStr">
        <is>
          <t>Not Qualified</t>
        </is>
      </c>
      <c r="AY1165" s="4"/>
      <c r="AZ1165"/>
      <c r="BA1165"/>
      <c r="BB1165"/>
      <c r="BC1165" t="inlineStr">
        <is>
          <t>Lost</t>
        </is>
      </c>
      <c r="BD1165" s="4">
        <v>46139.68111111111</v>
      </c>
      <c r="BE1165" t="inlineStr">
        <is>
          <t>paid</t>
        </is>
      </c>
      <c r="BF1165"/>
      <c r="BG1165" t="inlineStr">
        <is>
          <t>Reschedule</t>
        </is>
      </c>
      <c r="BH1165" t="inlineStr">
        <is>
          <t>Edward Hoo</t>
        </is>
      </c>
      <c r="BI1165" t="inlineStr">
        <is>
          <t>Insurance</t>
        </is>
      </c>
      <c r="BJ1165" s="4">
        <v>46144.75050925926</v>
      </c>
      <c r="BK1165" s="4">
        <v>44201.69835648148</v>
      </c>
      <c r="BL1165" t="inlineStr">
        <is>
          <t>0.0</t>
        </is>
      </c>
      <c r="BM1165" t="inlineStr">
        <is>
          <t>150.0</t>
        </is>
      </c>
      <c r="BN1165" t="inlineStr">
        <is>
          <t>View Company Page</t>
        </is>
      </c>
      <c r="BO1165" s="4">
        <v>45183.447488425925</v>
      </c>
      <c r="BP1165">
        <v>168326</v>
      </c>
      <c r="BQ1165">
        <v>55813</v>
      </c>
      <c r="BR1165" t="inlineStr">
        <is>
          <t>Online</t>
        </is>
      </c>
      <c r="BS1165"/>
      <c r="BT1165">
        <v>55813</v>
      </c>
      <c r="BU1165"/>
      <c r="BV1165">
        <v>2730981</v>
      </c>
      <c r="BW1165" t="inlineStr">
        <is>
          <t>Follow Up : Lost - Free Portal</t>
        </is>
      </c>
      <c r="BX1165"/>
      <c r="BY1165"/>
      <c r="BZ1165" s="4"/>
      <c r="CA1165"/>
      <c r="CB1165"/>
      <c r="CC1165" s="4"/>
      <c r="CD1165" t="inlineStr">
        <is>
          <t>20</t>
        </is>
      </c>
      <c r="CE1165" t="inlineStr">
        <is>
          <t>0</t>
        </is>
      </c>
      <c r="CF1165" t="inlineStr">
        <is>
          <t>Q2-W03</t>
        </is>
      </c>
      <c r="CG1165"/>
      <c r="CH1165"/>
      <c r="CI1165"/>
      <c r="CJ1165" t="inlineStr">
        <is>
          <t>Paid</t>
        </is>
      </c>
      <c r="CK1165" t="inlineStr">
        <is>
          <t>Not Eligible</t>
        </is>
      </c>
      <c r="CL1165"/>
      <c r="CM1165"/>
    </row>
    <row r="1166" ht="25.5" customHeight="1">
      <c r="A1166" t="inlineStr">
        <is>
          <t>203530</t>
        </is>
      </c>
      <c r="B1166" s="2"/>
      <c r="C1166"/>
      <c r="D1166" s="3">
        <v>46134.62702546296</v>
      </c>
      <c r="E1166" t="inlineStr">
        <is>
          <t>Q2-W03</t>
        </is>
      </c>
      <c r="F1166" t="inlineStr">
        <is>
          <t>Clover</t>
        </is>
      </c>
      <c r="G1166" t="inlineStr">
        <is>
          <t>Customer</t>
        </is>
      </c>
      <c r="H1166" s="2" t="str">
        <f>=HYPERLINK("https://upbox.ajobthing.my/customer/203530", "https://upbox.ajobthing.my/customer/203530")</f>
        <v>https://upbox.ajobthing.my/customer/203530</v>
      </c>
      <c r="I1166" t="inlineStr">
        <is>
          <t>Maneh Dessert Enterprise</t>
        </is>
      </c>
      <c r="J1166" t="inlineStr">
        <is>
          <t>Small Fish</t>
        </is>
      </c>
      <c r="K1166" t="inlineStr">
        <is>
          <t>Clover</t>
        </is>
      </c>
      <c r="L1166" s="4"/>
      <c r="M1166" s="4">
        <v>46134.62721064815</v>
      </c>
      <c r="N1166"/>
      <c r="O1166">
        <v>3888</v>
      </c>
      <c r="P1166" s="4"/>
      <c r="Q1166" s="4"/>
      <c r="R1166"/>
      <c r="S1166"/>
      <c r="T1166" s="4"/>
      <c r="U1166" s="4"/>
      <c r="V1166"/>
      <c r="W1166"/>
      <c r="X1166"/>
      <c r="Y1166" t="inlineStr">
        <is>
          <t>Pending Appointment</t>
        </is>
      </c>
      <c r="Z1166" t="inlineStr">
        <is>
          <t>Hiring Now</t>
        </is>
      </c>
      <c r="AA1166">
        <v>3</v>
      </c>
      <c r="AB1166" t="inlineStr">
        <is>
          <t>No Appointment Made</t>
        </is>
      </c>
      <c r="AC1166"/>
      <c r="AD1166" t="inlineStr">
        <is>
          <t>Hire cafe crewx1-2,  baristax1, all races, bakery, rawang selangor, office 0188704227 /  016-314 3790 npu, call pic and wa 013, suggest stand</t>
        </is>
      </c>
      <c r="AE1166"/>
      <c r="AF1166">
        <v>3000</v>
      </c>
      <c r="AG1166" s="4"/>
      <c r="AH1166" s="4"/>
      <c r="AI1166">
        <v>3000</v>
      </c>
      <c r="AJ1166">
        <v>1</v>
      </c>
      <c r="AK1166" t="inlineStr">
        <is>
          <t>No, but I want in future</t>
        </is>
      </c>
      <c r="AL1166">
        <v>1</v>
      </c>
      <c r="AM1166" t="inlineStr">
        <is>
          <t>No, but I want in future</t>
        </is>
      </c>
      <c r="AN1166"/>
      <c r="AO1166" t="inlineStr">
        <is>
          <t>No, but I want in future</t>
        </is>
      </c>
      <c r="AP1166" t="inlineStr">
        <is>
          <t>Twice a year (50%)</t>
        </is>
      </c>
      <c r="AQ1166">
        <v>3</v>
      </c>
      <c r="AR1166" t="inlineStr">
        <is>
          <t>Did not use any job portal</t>
        </is>
      </c>
      <c r="AS1166" t="inlineStr">
        <is>
          <t>- Headcount: 3
- Hiring Job Details: Hire cafe crewx1-2, baristax1, all races, bakery, rawang selangor, office 0188704227/016-314 3790 npu, call pic and wa 013,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t>
        </is>
      </c>
      <c r="AT1166">
        <v>85</v>
      </c>
      <c r="AU1166" t="inlineStr">
        <is>
          <t>0.85</t>
        </is>
      </c>
      <c r="AV1166" t="inlineStr">
        <is>
          <t>15</t>
        </is>
      </c>
      <c r="AW1166" t="inlineStr">
        <is>
          <t>0</t>
        </is>
      </c>
      <c r="AX1166" t="inlineStr">
        <is>
          <t>Not Qualified</t>
        </is>
      </c>
      <c r="AY1166" s="4"/>
      <c r="AZ1166"/>
      <c r="BA1166"/>
      <c r="BB1166"/>
      <c r="BC1166" t="inlineStr">
        <is>
          <t>On hold first, if start hiring will contact</t>
        </is>
      </c>
      <c r="BD1166" s="4">
        <v>46136.6603125</v>
      </c>
      <c r="BE1166"/>
      <c r="BF1166"/>
      <c r="BG1166" t="inlineStr">
        <is>
          <t>Reschedule</t>
        </is>
      </c>
      <c r="BH1166" t="inlineStr">
        <is>
          <t>Reagen</t>
        </is>
      </c>
      <c r="BI1166"/>
      <c r="BJ1166" s="4">
        <v>46144.754328703704</v>
      </c>
      <c r="BK1166" s="4">
        <v>46134.527141203704</v>
      </c>
      <c r="BL1166" t="inlineStr">
        <is>
          <t>0.0</t>
        </is>
      </c>
      <c r="BM1166" t="inlineStr">
        <is>
          <t>0.0</t>
        </is>
      </c>
      <c r="BN1166" t="inlineStr">
        <is>
          <t>View Account User</t>
        </is>
      </c>
      <c r="BO1166" s="4">
        <v>46134.52893518518</v>
      </c>
      <c r="BP1166">
        <v>168330</v>
      </c>
      <c r="BQ1166"/>
      <c r="BR1166"/>
      <c r="BS1166"/>
      <c r="BT1166"/>
      <c r="BU1166"/>
      <c r="BV1166">
        <v>2726917</v>
      </c>
      <c r="BW1166" t="inlineStr">
        <is>
          <t>Follow Up : Lost - Free Portal</t>
        </is>
      </c>
      <c r="BX1166"/>
      <c r="BY1166"/>
      <c r="BZ1166" s="4"/>
      <c r="CA1166"/>
      <c r="CB1166"/>
      <c r="CC1166" s="4"/>
      <c r="CD1166" t="inlineStr">
        <is>
          <t>20</t>
        </is>
      </c>
      <c r="CE1166" t="inlineStr">
        <is>
          <t>0</t>
        </is>
      </c>
      <c r="CF1166" t="inlineStr">
        <is>
          <t>Q2-W03</t>
        </is>
      </c>
      <c r="CG1166"/>
      <c r="CH1166"/>
      <c r="CI1166"/>
      <c r="CJ1166" t="inlineStr">
        <is>
          <t>No Paid</t>
        </is>
      </c>
      <c r="CK1166" t="inlineStr">
        <is>
          <t>Not Eligible</t>
        </is>
      </c>
      <c r="CL1166"/>
      <c r="CM1166"/>
    </row>
    <row r="1167" ht="25.5" customHeight="1">
      <c r="A1167" t="inlineStr">
        <is>
          <t>4312873</t>
        </is>
      </c>
      <c r="B1167" s="2"/>
      <c r="C1167"/>
      <c r="D1167" s="3">
        <v>46134.62862268519</v>
      </c>
      <c r="E1167" t="inlineStr">
        <is>
          <t>Q2-W03</t>
        </is>
      </c>
      <c r="F1167" t="inlineStr">
        <is>
          <t>Ken Yi</t>
        </is>
      </c>
      <c r="G1167" t="inlineStr">
        <is>
          <t>Lead</t>
        </is>
      </c>
      <c r="H1167" s="2" t="str">
        <f>=HYPERLINK("https://upbox.ajobthing.my/leads/4312873", "https://upbox.ajobthing.my/leads/4312873")</f>
        <v>https://upbox.ajobthing.my/leads/4312873</v>
      </c>
      <c r="I1167" t="inlineStr">
        <is>
          <t>TuneUp Asia Group</t>
        </is>
      </c>
      <c r="J1167" t="inlineStr">
        <is>
          <t>Small Fish</t>
        </is>
      </c>
      <c r="K1167" t="inlineStr">
        <is>
          <t>Kenyi</t>
        </is>
      </c>
      <c r="L1167" s="4"/>
      <c r="M1167" s="4">
        <v>46139.4325</v>
      </c>
      <c r="N1167"/>
      <c r="O1167">
        <v>6048</v>
      </c>
      <c r="P1167" s="4"/>
      <c r="Q1167" s="4"/>
      <c r="R1167"/>
      <c r="S1167"/>
      <c r="T1167" s="4"/>
      <c r="U1167" s="4"/>
      <c r="V1167"/>
      <c r="W1167"/>
      <c r="X1167"/>
      <c r="Y1167" t="inlineStr">
        <is>
          <t>Pending Appointment</t>
        </is>
      </c>
      <c r="Z1167" t="inlineStr">
        <is>
          <t>Hiring Now</t>
        </is>
      </c>
      <c r="AA1167">
        <v>2</v>
      </c>
      <c r="AB1167" t="inlineStr">
        <is>
          <t>No Appointment Made</t>
        </is>
      </c>
      <c r="AC1167"/>
      <c r="AD1167" t="inlineStr">
        <is>
          <t>Finance 1 , Operation 1</t>
        </is>
      </c>
      <c r="AE1167"/>
      <c r="AF1167">
        <v>3888</v>
      </c>
      <c r="AG1167" s="4"/>
      <c r="AH1167" s="4"/>
      <c r="AI1167">
        <v>0</v>
      </c>
      <c r="AJ1167">
        <v>1</v>
      </c>
      <c r="AK1167" t="inlineStr">
        <is>
          <t>Yes, I have</t>
        </is>
      </c>
      <c r="AL1167">
        <v>1</v>
      </c>
      <c r="AM1167" t="inlineStr">
        <is>
          <t>No, I don't need at all</t>
        </is>
      </c>
      <c r="AN1167"/>
      <c r="AO1167" t="inlineStr">
        <is>
          <t>No, I don't need at all</t>
        </is>
      </c>
      <c r="AP1167" t="inlineStr">
        <is>
          <t>Every month (100%)</t>
        </is>
      </c>
      <c r="AQ1167">
        <v>2</v>
      </c>
      <c r="AR1167" t="inlineStr">
        <is>
          <t>Did not use any job portal</t>
        </is>
      </c>
      <c r="AS1167" t="inlineStr">
        <is>
          <t>- Headcount: 2
- Hiring Job Details: 1 Finance, 1 Operation
- Hiring Urgency: Hiring Now
- Number of outlets: 1
- Have recruiter team: Yes
- Number of recruiter in company: 1
- Have ATS system: No, I don't need at all
- Have career website: No, I don't need at all
- Current hiring budget: RM3,888
- Whole year budget: RM0.00
- Whole year number of vacancies: 2
- Hiring frequency: Every month (100%)
- External job portal: Did not use any job portal</t>
        </is>
      </c>
      <c r="AT1167">
        <v>115</v>
      </c>
      <c r="AU1167" t="inlineStr">
        <is>
          <t>1.15</t>
        </is>
      </c>
      <c r="AV1167" t="inlineStr">
        <is>
          <t>15</t>
        </is>
      </c>
      <c r="AW1167" t="inlineStr">
        <is>
          <t>0</t>
        </is>
      </c>
      <c r="AX1167" t="inlineStr">
        <is>
          <t>Not Qualified</t>
        </is>
      </c>
      <c r="AY1167" s="4"/>
      <c r="AZ1167"/>
      <c r="BA1167"/>
      <c r="BB1167"/>
      <c r="BC1167"/>
      <c r="BD1167" s="4"/>
      <c r="BE1167"/>
      <c r="BF1167"/>
      <c r="BG1167" t="inlineStr">
        <is>
          <t>Reschedule</t>
        </is>
      </c>
      <c r="BH1167" t="inlineStr">
        <is>
          <t>Fauziah Maharan</t>
        </is>
      </c>
      <c r="BI1167"/>
      <c r="BJ1167" s="4">
        <v>46144.755902777775</v>
      </c>
      <c r="BK1167" s="4">
        <v>46134.471238425926</v>
      </c>
      <c r="BL1167" t="inlineStr">
        <is>
          <t>0.0</t>
        </is>
      </c>
      <c r="BM1167" t="inlineStr">
        <is>
          <t>0.0</t>
        </is>
      </c>
      <c r="BN1167"/>
      <c r="BO1167" s="4"/>
      <c r="BP1167">
        <v>168944</v>
      </c>
      <c r="BQ1167"/>
      <c r="BR1167"/>
      <c r="BS1167"/>
      <c r="BT1167"/>
      <c r="BU1167"/>
      <c r="BV1167"/>
      <c r="BW1167"/>
      <c r="BX1167"/>
      <c r="BY1167"/>
      <c r="BZ1167" s="4"/>
      <c r="CA1167"/>
      <c r="CB1167"/>
      <c r="CC1167" s="4"/>
      <c r="CD1167" t="inlineStr">
        <is>
          <t>20</t>
        </is>
      </c>
      <c r="CE1167" t="inlineStr">
        <is>
          <t>0</t>
        </is>
      </c>
      <c r="CF1167" t="inlineStr">
        <is>
          <t>Q2-W04</t>
        </is>
      </c>
      <c r="CG1167"/>
      <c r="CH1167"/>
      <c r="CI1167"/>
      <c r="CJ1167" t="inlineStr">
        <is>
          <t>No Paid</t>
        </is>
      </c>
      <c r="CK1167" t="inlineStr">
        <is>
          <t>Not Eligible</t>
        </is>
      </c>
      <c r="CL1167"/>
      <c r="CM1167"/>
    </row>
    <row r="1168" ht="25.5" customHeight="1">
      <c r="A1168" t="inlineStr">
        <is>
          <t>132341</t>
        </is>
      </c>
      <c r="B1168" s="2"/>
      <c r="C1168"/>
      <c r="D1168" s="3">
        <v>46134.630520833336</v>
      </c>
      <c r="E1168" t="inlineStr">
        <is>
          <t>Q2-W03</t>
        </is>
      </c>
      <c r="F1168" t="inlineStr">
        <is>
          <t>Luqman</t>
        </is>
      </c>
      <c r="G1168" t="inlineStr">
        <is>
          <t>Customer</t>
        </is>
      </c>
      <c r="H1168" s="2" t="str">
        <f>=HYPERLINK("https://upbox.ajobthing.my/customer/132341", "https://upbox.ajobthing.my/customer/132341")</f>
        <v>https://upbox.ajobthing.my/customer/132341</v>
      </c>
      <c r="I1168" t="inlineStr">
        <is>
          <t>Ki To Wellness Sdn Bhd</t>
        </is>
      </c>
      <c r="J1168" t="inlineStr">
        <is>
          <t>Small Fish</t>
        </is>
      </c>
      <c r="K1168" t="inlineStr">
        <is>
          <t>Luqman</t>
        </is>
      </c>
      <c r="L1168" s="4"/>
      <c r="M1168" s="4">
        <v>46134.63128472222</v>
      </c>
      <c r="N1168"/>
      <c r="O1168">
        <v>1296</v>
      </c>
      <c r="P1168" s="4"/>
      <c r="Q1168" s="4">
        <v>44179.629016203704</v>
      </c>
      <c r="R1168"/>
      <c r="S1168">
        <v>318</v>
      </c>
      <c r="T1168" s="4">
        <v>44179.629016203704</v>
      </c>
      <c r="U1168" s="4"/>
      <c r="V1168"/>
      <c r="W1168">
        <v>318</v>
      </c>
      <c r="X1168"/>
      <c r="Y1168" t="inlineStr">
        <is>
          <t>Pending Appointment</t>
        </is>
      </c>
      <c r="Z1168" t="inlineStr">
        <is>
          <t>Hiring Later</t>
        </is>
      </c>
      <c r="AA1168">
        <v>1</v>
      </c>
      <c r="AB1168" t="inlineStr">
        <is>
          <t>No Appointment Made</t>
        </is>
      </c>
      <c r="AC1168"/>
      <c r="AD1168" t="inlineStr">
        <is>
          <t xml:space="preserve">1. Therapist </t>
        </is>
      </c>
      <c r="AE1168"/>
      <c r="AF1168">
        <v>1200</v>
      </c>
      <c r="AG1168" s="4"/>
      <c r="AH1168" s="4"/>
      <c r="AI1168">
        <v>1200</v>
      </c>
      <c r="AJ1168"/>
      <c r="AK1168" t="inlineStr">
        <is>
          <t>No, I don't need at all</t>
        </is>
      </c>
      <c r="AL1168">
        <v>3</v>
      </c>
      <c r="AM1168" t="inlineStr">
        <is>
          <t>No, I don't need at all</t>
        </is>
      </c>
      <c r="AN1168"/>
      <c r="AO1168" t="inlineStr">
        <is>
          <t>Yes, I have</t>
        </is>
      </c>
      <c r="AP1168" t="inlineStr">
        <is>
          <t>Once a year (25%)</t>
        </is>
      </c>
      <c r="AQ1168">
        <v>1</v>
      </c>
      <c r="AR1168" t="inlineStr">
        <is>
          <t>Free Job Portal</t>
        </is>
      </c>
      <c r="AS1168" t="inlineStr">
        <is>
          <t>- Headcount: 1
- Hiring Job Details: 1 therapist
- Hiring Urgency: Hiring Later
- Number of outlets: 
- Have recruiter team: No, I don't need at all
- Number of recruiter in company: 3
- Have ATS system: No, I don't need at all
- Have career website: Yes
- Current hiring budget: RM1,200
- Whole year budget: RM1,200.00
- Whole year number of vacancies: 1
- Hiring frequency: Once a year (25%)
- External job portal: Free Job Portal</t>
        </is>
      </c>
      <c r="AT1168">
        <v>115</v>
      </c>
      <c r="AU1168" t="inlineStr">
        <is>
          <t>1.15</t>
        </is>
      </c>
      <c r="AV1168" t="inlineStr">
        <is>
          <t>15</t>
        </is>
      </c>
      <c r="AW1168" t="inlineStr">
        <is>
          <t>0</t>
        </is>
      </c>
      <c r="AX1168" t="inlineStr">
        <is>
          <t>Not Qualified</t>
        </is>
      </c>
      <c r="AY1168" s="4"/>
      <c r="AZ1168"/>
      <c r="BA1168"/>
      <c r="BB1168"/>
      <c r="BC1168" t="inlineStr">
        <is>
          <t>NA Dropped an email</t>
        </is>
      </c>
      <c r="BD1168" s="4">
        <v>46139.68519675926</v>
      </c>
      <c r="BE1168" t="inlineStr">
        <is>
          <t>paid</t>
        </is>
      </c>
      <c r="BF1168"/>
      <c r="BG1168" t="inlineStr">
        <is>
          <t>Reschedule</t>
        </is>
      </c>
      <c r="BH1168" t="inlineStr">
        <is>
          <t>Edward Hoo</t>
        </is>
      </c>
      <c r="BI1168" t="inlineStr">
        <is>
          <t>Beauty / Fitness</t>
        </is>
      </c>
      <c r="BJ1168" s="4">
        <v>46144.75050925926</v>
      </c>
      <c r="BK1168" s="4">
        <v>44173.64528935185</v>
      </c>
      <c r="BL1168" t="inlineStr">
        <is>
          <t>0.0</t>
        </is>
      </c>
      <c r="BM1168" t="inlineStr">
        <is>
          <t>150.0</t>
        </is>
      </c>
      <c r="BN1168" t="inlineStr">
        <is>
          <t>View Job Applicants Page</t>
        </is>
      </c>
      <c r="BO1168" s="4">
        <v>44357.68534722222</v>
      </c>
      <c r="BP1168">
        <v>168332</v>
      </c>
      <c r="BQ1168">
        <v>28894</v>
      </c>
      <c r="BR1168" t="inlineStr">
        <is>
          <t>Online</t>
        </is>
      </c>
      <c r="BS1168"/>
      <c r="BT1168">
        <v>28894</v>
      </c>
      <c r="BU1168"/>
      <c r="BV1168">
        <v>2731005</v>
      </c>
      <c r="BW1168" t="inlineStr">
        <is>
          <t>No Answer : Voicemail - Email sent to customer</t>
        </is>
      </c>
      <c r="BX1168"/>
      <c r="BY1168"/>
      <c r="BZ1168" s="4"/>
      <c r="CA1168"/>
      <c r="CB1168"/>
      <c r="CC1168" s="4"/>
      <c r="CD1168" t="inlineStr">
        <is>
          <t>20</t>
        </is>
      </c>
      <c r="CE1168" t="inlineStr">
        <is>
          <t>0</t>
        </is>
      </c>
      <c r="CF1168" t="inlineStr">
        <is>
          <t>Q2-W03</t>
        </is>
      </c>
      <c r="CG1168"/>
      <c r="CH1168"/>
      <c r="CI1168"/>
      <c r="CJ1168" t="inlineStr">
        <is>
          <t>Paid</t>
        </is>
      </c>
      <c r="CK1168" t="inlineStr">
        <is>
          <t>Not Eligible</t>
        </is>
      </c>
      <c r="CL1168"/>
      <c r="CM1168"/>
    </row>
    <row r="1169" ht="25.5" customHeight="1">
      <c r="A1169" t="inlineStr">
        <is>
          <t>178639</t>
        </is>
      </c>
      <c r="B1169" s="2"/>
      <c r="C1169"/>
      <c r="D1169" s="3">
        <v>46134.63438657407</v>
      </c>
      <c r="E1169" t="inlineStr">
        <is>
          <t>Q2-W03</t>
        </is>
      </c>
      <c r="F1169" t="inlineStr">
        <is>
          <t>Clover</t>
        </is>
      </c>
      <c r="G1169" t="inlineStr">
        <is>
          <t>Customer</t>
        </is>
      </c>
      <c r="H1169" s="2" t="str">
        <f>=HYPERLINK("https://upbox.ajobthing.my/customer/178639", "https://upbox.ajobthing.my/customer/178639")</f>
        <v>https://upbox.ajobthing.my/customer/178639</v>
      </c>
      <c r="I1169" t="inlineStr">
        <is>
          <t>Kekgalore</t>
        </is>
      </c>
      <c r="J1169" t="inlineStr">
        <is>
          <t>Small Fish</t>
        </is>
      </c>
      <c r="K1169" t="inlineStr">
        <is>
          <t>Clover</t>
        </is>
      </c>
      <c r="L1169" s="4"/>
      <c r="M1169" s="4">
        <v>46134.63471064815</v>
      </c>
      <c r="N1169"/>
      <c r="O1169">
        <v>3888</v>
      </c>
      <c r="P1169" s="4"/>
      <c r="Q1169" s="4"/>
      <c r="R1169"/>
      <c r="S1169"/>
      <c r="T1169" s="4"/>
      <c r="U1169" s="4"/>
      <c r="V1169"/>
      <c r="W1169"/>
      <c r="X1169"/>
      <c r="Y1169" t="inlineStr">
        <is>
          <t>Pending Appointment</t>
        </is>
      </c>
      <c r="Z1169" t="inlineStr">
        <is>
          <t>Hiring Now</t>
        </is>
      </c>
      <c r="AA1169">
        <v>2</v>
      </c>
      <c r="AB1169" t="inlineStr">
        <is>
          <t>No Appointment Made</t>
        </is>
      </c>
      <c r="AC1169"/>
      <c r="AD1169" t="inlineStr">
        <is>
          <t>Hire bakerx1-2, bakery studio, melawati KL, suggest stand</t>
        </is>
      </c>
      <c r="AE1169"/>
      <c r="AF1169">
        <v>3000</v>
      </c>
      <c r="AG1169" s="4"/>
      <c r="AH1169" s="4"/>
      <c r="AI1169">
        <v>3000</v>
      </c>
      <c r="AJ1169">
        <v>1</v>
      </c>
      <c r="AK1169" t="inlineStr">
        <is>
          <t>No, but I want in future</t>
        </is>
      </c>
      <c r="AL1169">
        <v>1</v>
      </c>
      <c r="AM1169" t="inlineStr">
        <is>
          <t>No, but I want in future</t>
        </is>
      </c>
      <c r="AN1169"/>
      <c r="AO1169" t="inlineStr">
        <is>
          <t>No, but I want in future</t>
        </is>
      </c>
      <c r="AP1169" t="inlineStr">
        <is>
          <t>Twice a year (50%)</t>
        </is>
      </c>
      <c r="AQ1169">
        <v>2</v>
      </c>
      <c r="AR1169" t="inlineStr">
        <is>
          <t>Did not use any job portal</t>
        </is>
      </c>
      <c r="AS1169" t="inlineStr">
        <is>
          <t>- Headcount: 2
- Hiring Job Details: Hire bakerx1-2, bakery studio, melawati KL,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1169">
        <v>115</v>
      </c>
      <c r="AU1169" t="inlineStr">
        <is>
          <t>1.15</t>
        </is>
      </c>
      <c r="AV1169" t="inlineStr">
        <is>
          <t>15</t>
        </is>
      </c>
      <c r="AW1169" t="inlineStr">
        <is>
          <t>0</t>
        </is>
      </c>
      <c r="AX1169" t="inlineStr">
        <is>
          <t>Not Qualified</t>
        </is>
      </c>
      <c r="AY1169" s="4"/>
      <c r="AZ1169"/>
      <c r="BA1169"/>
      <c r="BB1169"/>
      <c r="BC1169" t="inlineStr">
        <is>
          <t>Call npu</t>
        </is>
      </c>
      <c r="BD1169" s="4">
        <v>46136.67685185185</v>
      </c>
      <c r="BE1169"/>
      <c r="BF1169"/>
      <c r="BG1169" t="inlineStr">
        <is>
          <t>Reschedule</t>
        </is>
      </c>
      <c r="BH1169" t="inlineStr">
        <is>
          <t>Reagen</t>
        </is>
      </c>
      <c r="BI1169" t="inlineStr">
        <is>
          <t>Food / Beverage</t>
        </is>
      </c>
      <c r="BJ1169" s="4">
        <v>46144.751759259256</v>
      </c>
      <c r="BK1169" s="4">
        <v>45432.710439814815</v>
      </c>
      <c r="BL1169" t="inlineStr">
        <is>
          <t>0.0</t>
        </is>
      </c>
      <c r="BM1169" t="inlineStr">
        <is>
          <t>0.0</t>
        </is>
      </c>
      <c r="BN1169" t="inlineStr">
        <is>
          <t>View Company Page</t>
        </is>
      </c>
      <c r="BO1169" s="4">
        <v>45432.74369212963</v>
      </c>
      <c r="BP1169">
        <v>168336</v>
      </c>
      <c r="BQ1169"/>
      <c r="BR1169"/>
      <c r="BS1169"/>
      <c r="BT1169"/>
      <c r="BU1169"/>
      <c r="BV1169">
        <v>2727007</v>
      </c>
      <c r="BW1169" t="inlineStr">
        <is>
          <t>No Answer : Voicemail - WA sent to customer</t>
        </is>
      </c>
      <c r="BX1169"/>
      <c r="BY1169"/>
      <c r="BZ1169" s="4"/>
      <c r="CA1169"/>
      <c r="CB1169"/>
      <c r="CC1169" s="4"/>
      <c r="CD1169" t="inlineStr">
        <is>
          <t>20</t>
        </is>
      </c>
      <c r="CE1169" t="inlineStr">
        <is>
          <t>0</t>
        </is>
      </c>
      <c r="CF1169" t="inlineStr">
        <is>
          <t>Q2-W03</t>
        </is>
      </c>
      <c r="CG1169"/>
      <c r="CH1169"/>
      <c r="CI1169"/>
      <c r="CJ1169" t="inlineStr">
        <is>
          <t>No Paid</t>
        </is>
      </c>
      <c r="CK1169" t="inlineStr">
        <is>
          <t>Not Eligible</t>
        </is>
      </c>
      <c r="CL1169"/>
      <c r="CM1169"/>
    </row>
    <row r="1170" ht="25.5" customHeight="1">
      <c r="A1170" t="inlineStr">
        <is>
          <t>203539</t>
        </is>
      </c>
      <c r="B1170" s="2"/>
      <c r="C1170"/>
      <c r="D1170" s="3">
        <v>46134.64171296296</v>
      </c>
      <c r="E1170" t="inlineStr">
        <is>
          <t>Q2-W03</t>
        </is>
      </c>
      <c r="F1170" t="inlineStr">
        <is>
          <t>Clover</t>
        </is>
      </c>
      <c r="G1170" t="inlineStr">
        <is>
          <t>Customer</t>
        </is>
      </c>
      <c r="H1170" s="2" t="str">
        <f>=HYPERLINK("https://upbox.ajobthing.my/customer/203539", "https://upbox.ajobthing.my/customer/203539")</f>
        <v>https://upbox.ajobthing.my/customer/203539</v>
      </c>
      <c r="I1170" t="inlineStr">
        <is>
          <t>Speciale Eyewear Sdn Bhd</t>
        </is>
      </c>
      <c r="J1170" t="inlineStr">
        <is>
          <t>Small Fish</t>
        </is>
      </c>
      <c r="K1170" t="inlineStr">
        <is>
          <t>Clover</t>
        </is>
      </c>
      <c r="L1170" s="4"/>
      <c r="M1170" s="4">
        <v>46134.64134259259</v>
      </c>
      <c r="N1170"/>
      <c r="O1170">
        <v>3888</v>
      </c>
      <c r="P1170" s="4"/>
      <c r="Q1170" s="4"/>
      <c r="R1170"/>
      <c r="S1170"/>
      <c r="T1170" s="4"/>
      <c r="U1170" s="4"/>
      <c r="V1170"/>
      <c r="W1170"/>
      <c r="X1170"/>
      <c r="Y1170" t="inlineStr">
        <is>
          <t>Pending Appointment</t>
        </is>
      </c>
      <c r="Z1170" t="inlineStr">
        <is>
          <t>Hiring Now</t>
        </is>
      </c>
      <c r="AA1170">
        <v>1</v>
      </c>
      <c r="AB1170" t="inlineStr">
        <is>
          <t>No Appointment Made</t>
        </is>
      </c>
      <c r="AC1170"/>
      <c r="AD1170" t="inlineStr">
        <is>
          <t>Hire personal driver x1, all races, fetch director, wholesale eyewear, KL, future not sure, suggest stand</t>
        </is>
      </c>
      <c r="AE1170"/>
      <c r="AF1170">
        <v>3000</v>
      </c>
      <c r="AG1170" s="4"/>
      <c r="AH1170" s="4"/>
      <c r="AI1170">
        <v>3000</v>
      </c>
      <c r="AJ1170">
        <v>1</v>
      </c>
      <c r="AK1170" t="inlineStr">
        <is>
          <t>No, but I want in future</t>
        </is>
      </c>
      <c r="AL1170">
        <v>1</v>
      </c>
      <c r="AM1170" t="inlineStr">
        <is>
          <t>No, but I want in future</t>
        </is>
      </c>
      <c r="AN1170"/>
      <c r="AO1170" t="inlineStr">
        <is>
          <t>No, but I want in future</t>
        </is>
      </c>
      <c r="AP1170" t="inlineStr">
        <is>
          <t>Twice a year (50%)</t>
        </is>
      </c>
      <c r="AQ1170">
        <v>1</v>
      </c>
      <c r="AR1170" t="inlineStr">
        <is>
          <t>Did not use any job portal</t>
        </is>
      </c>
      <c r="AS1170" t="inlineStr">
        <is>
          <t>- Headcount: 1
- Hiring Job Details: 1 personal driver (all races, fetch director, wholesale eyewear, KL, future not sure,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1170">
        <v>110</v>
      </c>
      <c r="AU1170" t="inlineStr">
        <is>
          <t>1.10</t>
        </is>
      </c>
      <c r="AV1170" t="inlineStr">
        <is>
          <t>15</t>
        </is>
      </c>
      <c r="AW1170" t="inlineStr">
        <is>
          <t>0</t>
        </is>
      </c>
      <c r="AX1170" t="inlineStr">
        <is>
          <t>Not Qualified</t>
        </is>
      </c>
      <c r="AY1170" s="4"/>
      <c r="AZ1170"/>
      <c r="BA1170"/>
      <c r="BB1170"/>
      <c r="BC1170" t="inlineStr">
        <is>
          <t>Bos got friend referral staff, on hold first</t>
        </is>
      </c>
      <c r="BD1170" s="4">
        <v>46136.6640162037</v>
      </c>
      <c r="BE1170"/>
      <c r="BF1170"/>
      <c r="BG1170" t="inlineStr">
        <is>
          <t>Reschedule</t>
        </is>
      </c>
      <c r="BH1170" t="inlineStr">
        <is>
          <t>Reagen</t>
        </is>
      </c>
      <c r="BI1170"/>
      <c r="BJ1170" s="4">
        <v>46144.754328703704</v>
      </c>
      <c r="BK1170" s="4">
        <v>46134.616273148145</v>
      </c>
      <c r="BL1170" t="inlineStr">
        <is>
          <t>0.0</t>
        </is>
      </c>
      <c r="BM1170" t="inlineStr">
        <is>
          <t>600.0</t>
        </is>
      </c>
      <c r="BN1170" t="inlineStr">
        <is>
          <t>View Company Page</t>
        </is>
      </c>
      <c r="BO1170" s="4">
        <v>46134.62148148148</v>
      </c>
      <c r="BP1170">
        <v>168341</v>
      </c>
      <c r="BQ1170"/>
      <c r="BR1170"/>
      <c r="BS1170"/>
      <c r="BT1170"/>
      <c r="BU1170"/>
      <c r="BV1170">
        <v>2726935</v>
      </c>
      <c r="BW1170" t="inlineStr">
        <is>
          <t>Follow Up : Lost - Free Portal</t>
        </is>
      </c>
      <c r="BX1170"/>
      <c r="BY1170"/>
      <c r="BZ1170" s="4"/>
      <c r="CA1170"/>
      <c r="CB1170"/>
      <c r="CC1170" s="4"/>
      <c r="CD1170" t="inlineStr">
        <is>
          <t>20</t>
        </is>
      </c>
      <c r="CE1170" t="inlineStr">
        <is>
          <t>0</t>
        </is>
      </c>
      <c r="CF1170" t="inlineStr">
        <is>
          <t>Q2-W03</t>
        </is>
      </c>
      <c r="CG1170"/>
      <c r="CH1170"/>
      <c r="CI1170"/>
      <c r="CJ1170" t="inlineStr">
        <is>
          <t>No Paid</t>
        </is>
      </c>
      <c r="CK1170" t="inlineStr">
        <is>
          <t>Not Eligible</t>
        </is>
      </c>
      <c r="CL1170"/>
      <c r="CM1170"/>
    </row>
    <row r="1171" ht="25.5" customHeight="1">
      <c r="A1171" t="inlineStr">
        <is>
          <t>4294369</t>
        </is>
      </c>
      <c r="B1171" s="2"/>
      <c r="C1171"/>
      <c r="D1171" s="3">
        <v>46134.64335648148</v>
      </c>
      <c r="E1171" t="inlineStr">
        <is>
          <t>Q2-W03</t>
        </is>
      </c>
      <c r="F1171" t="inlineStr">
        <is>
          <t>Dickson</t>
        </is>
      </c>
      <c r="G1171" t="inlineStr">
        <is>
          <t>Lead</t>
        </is>
      </c>
      <c r="H1171" s="2" t="str">
        <f>=HYPERLINK("https://upbox.ajobthing.my/leads/4294369", "https://upbox.ajobthing.my/leads/4294369")</f>
        <v>https://upbox.ajobthing.my/leads/4294369</v>
      </c>
      <c r="I1171" t="inlineStr">
        <is>
          <t>Epic travel</t>
        </is>
      </c>
      <c r="J1171" t="inlineStr">
        <is>
          <t>Small Fish</t>
        </is>
      </c>
      <c r="K1171" t="inlineStr">
        <is>
          <t>Dickson</t>
        </is>
      </c>
      <c r="L1171" s="4"/>
      <c r="M1171" s="4">
        <v>46134.64372685185</v>
      </c>
      <c r="N1171"/>
      <c r="O1171">
        <v>3888</v>
      </c>
      <c r="P1171" s="4"/>
      <c r="Q1171" s="4"/>
      <c r="R1171"/>
      <c r="S1171"/>
      <c r="T1171" s="4"/>
      <c r="U1171" s="4"/>
      <c r="V1171"/>
      <c r="W1171"/>
      <c r="X1171"/>
      <c r="Y1171" t="inlineStr">
        <is>
          <t>Pending Appointment</t>
        </is>
      </c>
      <c r="Z1171" t="inlineStr">
        <is>
          <t>Hiring Now</t>
        </is>
      </c>
      <c r="AA1171">
        <v>2</v>
      </c>
      <c r="AB1171" t="inlineStr">
        <is>
          <t>No Appointment Made</t>
        </is>
      </c>
      <c r="AC1171"/>
      <c r="AD1171" t="inlineStr">
        <is>
          <t>1 personal assistant, 1 marketing executive</t>
        </is>
      </c>
      <c r="AE1171"/>
      <c r="AF1171"/>
      <c r="AG1171" s="4"/>
      <c r="AH1171" s="4"/>
      <c r="AI1171"/>
      <c r="AJ1171">
        <v>1</v>
      </c>
      <c r="AK1171" t="inlineStr">
        <is>
          <t>No, I don't need at all</t>
        </is>
      </c>
      <c r="AL1171"/>
      <c r="AM1171" t="inlineStr">
        <is>
          <t>No, I don't need at all</t>
        </is>
      </c>
      <c r="AN1171"/>
      <c r="AO1171" t="inlineStr">
        <is>
          <t>No, I don't need at all</t>
        </is>
      </c>
      <c r="AP1171" t="inlineStr">
        <is>
          <t>Once per quarter (75%)</t>
        </is>
      </c>
      <c r="AQ1171"/>
      <c r="AR1171"/>
      <c r="AS1171" t="inlineStr">
        <is>
          <t>- Headcount: 2
- Hiring Job Details: 1 personal assistant, 1 marketing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1171">
        <v>95</v>
      </c>
      <c r="AU1171" t="inlineStr">
        <is>
          <t>0.95</t>
        </is>
      </c>
      <c r="AV1171" t="inlineStr">
        <is>
          <t>5</t>
        </is>
      </c>
      <c r="AW1171" t="inlineStr">
        <is>
          <t>0</t>
        </is>
      </c>
      <c r="AX1171" t="inlineStr">
        <is>
          <t>Not Qualified</t>
        </is>
      </c>
      <c r="AY1171" s="4"/>
      <c r="AZ1171"/>
      <c r="BA1171"/>
      <c r="BB1171"/>
      <c r="BC1171"/>
      <c r="BD1171" s="4"/>
      <c r="BE1171"/>
      <c r="BF1171"/>
      <c r="BG1171" t="inlineStr">
        <is>
          <t>Reschedule</t>
        </is>
      </c>
      <c r="BH1171" t="inlineStr">
        <is>
          <t>Edward Hoo</t>
        </is>
      </c>
      <c r="BI1171"/>
      <c r="BJ1171" s="4">
        <v>46144.75585648148</v>
      </c>
      <c r="BK1171" s="4">
        <v>46129.562476851854</v>
      </c>
      <c r="BL1171" t="inlineStr">
        <is>
          <t>0.0</t>
        </is>
      </c>
      <c r="BM1171" t="inlineStr">
        <is>
          <t>0.0</t>
        </is>
      </c>
      <c r="BN1171"/>
      <c r="BO1171" s="4"/>
      <c r="BP1171">
        <v>168344</v>
      </c>
      <c r="BQ1171"/>
      <c r="BR1171"/>
      <c r="BS1171"/>
      <c r="BT1171"/>
      <c r="BU1171"/>
      <c r="BV1171"/>
      <c r="BW1171"/>
      <c r="BX1171"/>
      <c r="BY1171"/>
      <c r="BZ1171" s="4"/>
      <c r="CA1171"/>
      <c r="CB1171"/>
      <c r="CC1171" s="4"/>
      <c r="CD1171" t="inlineStr">
        <is>
          <t>5</t>
        </is>
      </c>
      <c r="CE1171" t="inlineStr">
        <is>
          <t>0</t>
        </is>
      </c>
      <c r="CF1171" t="inlineStr">
        <is>
          <t>Q2-W03</t>
        </is>
      </c>
      <c r="CG1171"/>
      <c r="CH1171"/>
      <c r="CI1171"/>
      <c r="CJ1171" t="inlineStr">
        <is>
          <t>No Paid</t>
        </is>
      </c>
      <c r="CK1171" t="inlineStr">
        <is>
          <t>Not Eligible</t>
        </is>
      </c>
      <c r="CL1171"/>
      <c r="CM1171"/>
    </row>
    <row r="1172" ht="25.5" customHeight="1">
      <c r="A1172" t="inlineStr">
        <is>
          <t>203487</t>
        </is>
      </c>
      <c r="B1172" s="2"/>
      <c r="C1172"/>
      <c r="D1172" s="3">
        <v>46134.64606481481</v>
      </c>
      <c r="E1172" t="inlineStr">
        <is>
          <t>Q2-W03</t>
        </is>
      </c>
      <c r="F1172" t="inlineStr">
        <is>
          <t>Carmen</t>
        </is>
      </c>
      <c r="G1172" t="inlineStr">
        <is>
          <t>Customer</t>
        </is>
      </c>
      <c r="H1172" s="2" t="str">
        <f>=HYPERLINK("https://upbox.ajobthing.my/customer/203487", "https://upbox.ajobthing.my/customer/203487")</f>
        <v>https://upbox.ajobthing.my/customer/203487</v>
      </c>
      <c r="I1172" t="inlineStr">
        <is>
          <t>Smooth Wellness</t>
        </is>
      </c>
      <c r="J1172" t="inlineStr">
        <is>
          <t>Small Fish</t>
        </is>
      </c>
      <c r="K1172" t="inlineStr">
        <is>
          <t>Carmen</t>
        </is>
      </c>
      <c r="L1172" s="4"/>
      <c r="M1172" s="4">
        <v>46134.64616898148</v>
      </c>
      <c r="N1172"/>
      <c r="O1172">
        <v>1296</v>
      </c>
      <c r="P1172" s="4"/>
      <c r="Q1172" s="4"/>
      <c r="R1172"/>
      <c r="S1172"/>
      <c r="T1172" s="4"/>
      <c r="U1172" s="4"/>
      <c r="V1172"/>
      <c r="W1172"/>
      <c r="X1172"/>
      <c r="Y1172" t="inlineStr">
        <is>
          <t>Pending Appointment</t>
        </is>
      </c>
      <c r="Z1172" t="inlineStr">
        <is>
          <t>Hiring Now</t>
        </is>
      </c>
      <c r="AA1172">
        <v>1</v>
      </c>
      <c r="AB1172" t="inlineStr">
        <is>
          <t>No Appointment Made</t>
        </is>
      </c>
      <c r="AC1172"/>
      <c r="AD1172" t="inlineStr">
        <is>
          <t>1 Facial Therapists</t>
        </is>
      </c>
      <c r="AE1172"/>
      <c r="AF1172">
        <v>1200</v>
      </c>
      <c r="AG1172" s="4"/>
      <c r="AH1172" s="4"/>
      <c r="AI1172"/>
      <c r="AJ1172"/>
      <c r="AK1172"/>
      <c r="AL1172"/>
      <c r="AM1172"/>
      <c r="AN1172"/>
      <c r="AO1172"/>
      <c r="AP1172" t="inlineStr">
        <is>
          <t>Once a year (25%)</t>
        </is>
      </c>
      <c r="AQ1172"/>
      <c r="AR1172"/>
      <c r="AS1172" t="inlineStr">
        <is>
          <t>- Headcount: 1
- Hiring Job Details: 1 Facial Therapists
- Hiring Urgency: Hiring Now
- Number of outlets: Not provided
- Have recruiter team: Not provided
- Number of recruiter in company: Not provided
- Have ATS system: Not provided
- Have career website: Not provided
- Current hiring budget: RM1,200.00
- Whole year budget: Not provided
- Whole year number of vacancies: Not provided
- Hiring frequency: Once a year (25%)
- External job portal: Not provided</t>
        </is>
      </c>
      <c r="AT1172">
        <v>75</v>
      </c>
      <c r="AU1172" t="inlineStr">
        <is>
          <t>0.75</t>
        </is>
      </c>
      <c r="AV1172" t="inlineStr">
        <is>
          <t>15</t>
        </is>
      </c>
      <c r="AW1172" t="inlineStr">
        <is>
          <t>0</t>
        </is>
      </c>
      <c r="AX1172" t="inlineStr">
        <is>
          <t>Not Qualified</t>
        </is>
      </c>
      <c r="AY1172" s="4"/>
      <c r="AZ1172"/>
      <c r="BA1172"/>
      <c r="BB1172"/>
      <c r="BC1172" t="inlineStr">
        <is>
          <t>no reply</t>
        </is>
      </c>
      <c r="BD1172" s="4">
        <v>46135.7284375</v>
      </c>
      <c r="BE1172"/>
      <c r="BF1172"/>
      <c r="BG1172" t="inlineStr">
        <is>
          <t>Reschedule</t>
        </is>
      </c>
      <c r="BH1172" t="inlineStr">
        <is>
          <t>Reagen</t>
        </is>
      </c>
      <c r="BI1172" t="inlineStr">
        <is>
          <t>Beauty / Fitness</t>
        </is>
      </c>
      <c r="BJ1172" s="4">
        <v>46144.754328703704</v>
      </c>
      <c r="BK1172" s="4">
        <v>46133.64796296296</v>
      </c>
      <c r="BL1172" t="inlineStr">
        <is>
          <t>0.0</t>
        </is>
      </c>
      <c r="BM1172" t="inlineStr">
        <is>
          <t>0.0</t>
        </is>
      </c>
      <c r="BN1172" t="inlineStr">
        <is>
          <t>View Create Job Page V4</t>
        </is>
      </c>
      <c r="BO1172" s="4">
        <v>46134.61168981482</v>
      </c>
      <c r="BP1172">
        <v>168346</v>
      </c>
      <c r="BQ1172"/>
      <c r="BR1172"/>
      <c r="BS1172"/>
      <c r="BT1172"/>
      <c r="BU1172"/>
      <c r="BV1172">
        <v>2725055</v>
      </c>
      <c r="BW1172" t="inlineStr">
        <is>
          <t>Follow Up : Callback Request</t>
        </is>
      </c>
      <c r="BX1172"/>
      <c r="BY1172"/>
      <c r="BZ1172" s="4"/>
      <c r="CA1172"/>
      <c r="CB1172"/>
      <c r="CC1172" s="4"/>
      <c r="CD1172" t="inlineStr">
        <is>
          <t>20</t>
        </is>
      </c>
      <c r="CE1172" t="inlineStr">
        <is>
          <t>0</t>
        </is>
      </c>
      <c r="CF1172" t="inlineStr">
        <is>
          <t>Q2-W03</t>
        </is>
      </c>
      <c r="CG1172"/>
      <c r="CH1172"/>
      <c r="CI1172"/>
      <c r="CJ1172" t="inlineStr">
        <is>
          <t>No Paid</t>
        </is>
      </c>
      <c r="CK1172" t="inlineStr">
        <is>
          <t>Not Eligible</t>
        </is>
      </c>
      <c r="CL1172"/>
      <c r="CM1172"/>
    </row>
    <row r="1173" ht="25.5" customHeight="1">
      <c r="A1173" t="inlineStr">
        <is>
          <t>203536</t>
        </is>
      </c>
      <c r="B1173" s="2"/>
      <c r="C1173"/>
      <c r="D1173" s="3">
        <v>46134.646828703706</v>
      </c>
      <c r="E1173" t="inlineStr">
        <is>
          <t>Q2-W03</t>
        </is>
      </c>
      <c r="F1173" t="inlineStr">
        <is>
          <t>Ken Yi</t>
        </is>
      </c>
      <c r="G1173" t="inlineStr">
        <is>
          <t>Customer</t>
        </is>
      </c>
      <c r="H1173" s="2" t="str">
        <f>=HYPERLINK("https://upbox.ajobthing.my/customer/203536", "https://upbox.ajobthing.my/customer/203536")</f>
        <v>https://upbox.ajobthing.my/customer/203536</v>
      </c>
      <c r="I1173" t="inlineStr">
        <is>
          <t>KOPI AIS MAMU IKAT TEPI</t>
        </is>
      </c>
      <c r="J1173" t="inlineStr">
        <is>
          <t>Small Fish</t>
        </is>
      </c>
      <c r="K1173" t="inlineStr">
        <is>
          <t>Kenyi</t>
        </is>
      </c>
      <c r="L1173" s="4"/>
      <c r="M1173" s="4">
        <v>46134.649201388886</v>
      </c>
      <c r="N1173"/>
      <c r="O1173">
        <v>3888</v>
      </c>
      <c r="P1173" s="4"/>
      <c r="Q1173" s="4"/>
      <c r="R1173"/>
      <c r="S1173"/>
      <c r="T1173" s="4"/>
      <c r="U1173" s="4"/>
      <c r="V1173"/>
      <c r="W1173"/>
      <c r="X1173"/>
      <c r="Y1173" t="inlineStr">
        <is>
          <t>Pending Appointment</t>
        </is>
      </c>
      <c r="Z1173" t="inlineStr">
        <is>
          <t>Hiring Now</t>
        </is>
      </c>
      <c r="AA1173">
        <v>1</v>
      </c>
      <c r="AB1173" t="inlineStr">
        <is>
          <t>No Appointment Made</t>
        </is>
      </c>
      <c r="AC1173"/>
      <c r="AD1173" t="inlineStr">
        <is>
          <t>Content Creator 2</t>
        </is>
      </c>
      <c r="AE1173"/>
      <c r="AF1173">
        <v>0</v>
      </c>
      <c r="AG1173" s="4"/>
      <c r="AH1173" s="4"/>
      <c r="AI1173">
        <v>0</v>
      </c>
      <c r="AJ1173">
        <v>1</v>
      </c>
      <c r="AK1173" t="inlineStr">
        <is>
          <t>Yes, I have</t>
        </is>
      </c>
      <c r="AL1173">
        <v>1</v>
      </c>
      <c r="AM1173" t="inlineStr">
        <is>
          <t>No, I don't need at all</t>
        </is>
      </c>
      <c r="AN1173"/>
      <c r="AO1173" t="inlineStr">
        <is>
          <t>No, I don't need at all</t>
        </is>
      </c>
      <c r="AP1173" t="inlineStr">
        <is>
          <t>Every month (100%)</t>
        </is>
      </c>
      <c r="AQ1173">
        <v>3</v>
      </c>
      <c r="AR1173" t="inlineStr">
        <is>
          <t>Did not use any job portal</t>
        </is>
      </c>
      <c r="AS1173" t="inlineStr">
        <is>
          <t>- Headcount: 1
- Hiring Job Details: Content Creator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Did not use any job portal</t>
        </is>
      </c>
      <c r="AT1173">
        <v>100</v>
      </c>
      <c r="AU1173" t="inlineStr">
        <is>
          <t>1.00</t>
        </is>
      </c>
      <c r="AV1173" t="inlineStr">
        <is>
          <t>15</t>
        </is>
      </c>
      <c r="AW1173" t="inlineStr">
        <is>
          <t>0</t>
        </is>
      </c>
      <c r="AX1173" t="inlineStr">
        <is>
          <t>Not Qualified</t>
        </is>
      </c>
      <c r="AY1173" s="4"/>
      <c r="AZ1173"/>
      <c r="BA1173"/>
      <c r="BB1173"/>
      <c r="BC1173" t="inlineStr">
        <is>
          <t>- Headcount: 1
- Hiring Job Details: Content Creator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Did not use any job portal</t>
        </is>
      </c>
      <c r="BD1173" s="4">
        <v>46134.66675925926</v>
      </c>
      <c r="BE1173"/>
      <c r="BF1173"/>
      <c r="BG1173" t="inlineStr">
        <is>
          <t>Reschedule</t>
        </is>
      </c>
      <c r="BH1173" t="inlineStr">
        <is>
          <t>Fauziah Maharan</t>
        </is>
      </c>
      <c r="BI1173"/>
      <c r="BJ1173" s="4">
        <v>46144.754328703704</v>
      </c>
      <c r="BK1173" s="4">
        <v>46134.601168981484</v>
      </c>
      <c r="BL1173" t="inlineStr">
        <is>
          <t>0.0</t>
        </is>
      </c>
      <c r="BM1173" t="inlineStr">
        <is>
          <t>0.0</t>
        </is>
      </c>
      <c r="BN1173" t="inlineStr">
        <is>
          <t>View Company Page</t>
        </is>
      </c>
      <c r="BO1173" s="4">
        <v>46134.656875</v>
      </c>
      <c r="BP1173">
        <v>168350</v>
      </c>
      <c r="BQ1173"/>
      <c r="BR1173"/>
      <c r="BS1173"/>
      <c r="BT1173"/>
      <c r="BU1173"/>
      <c r="BV1173">
        <v>2721324</v>
      </c>
      <c r="BW1173" t="inlineStr">
        <is>
          <t>Customer Inquiry</t>
        </is>
      </c>
      <c r="BX1173"/>
      <c r="BY1173"/>
      <c r="BZ1173" s="4"/>
      <c r="CA1173"/>
      <c r="CB1173"/>
      <c r="CC1173" s="4"/>
      <c r="CD1173" t="inlineStr">
        <is>
          <t>20</t>
        </is>
      </c>
      <c r="CE1173" t="inlineStr">
        <is>
          <t>0</t>
        </is>
      </c>
      <c r="CF1173" t="inlineStr">
        <is>
          <t>Q2-W03</t>
        </is>
      </c>
      <c r="CG1173"/>
      <c r="CH1173"/>
      <c r="CI1173"/>
      <c r="CJ1173" t="inlineStr">
        <is>
          <t>No Paid</t>
        </is>
      </c>
      <c r="CK1173" t="inlineStr">
        <is>
          <t>Not Eligible</t>
        </is>
      </c>
      <c r="CL1173"/>
      <c r="CM1173"/>
    </row>
    <row r="1174" ht="25.5" customHeight="1">
      <c r="A1174" t="inlineStr">
        <is>
          <t>200156</t>
        </is>
      </c>
      <c r="B1174" s="2"/>
      <c r="C1174"/>
      <c r="D1174" s="3">
        <v>46134.64690972222</v>
      </c>
      <c r="E1174" t="inlineStr">
        <is>
          <t>Q2-W03</t>
        </is>
      </c>
      <c r="F1174" t="inlineStr">
        <is>
          <t>Eugene</t>
        </is>
      </c>
      <c r="G1174" t="inlineStr">
        <is>
          <t>Customer</t>
        </is>
      </c>
      <c r="H1174" s="2" t="str">
        <f>=HYPERLINK("https://upbox.ajobthing.my/customer/200156", "https://upbox.ajobthing.my/customer/200156")</f>
        <v>https://upbox.ajobthing.my/customer/200156</v>
      </c>
      <c r="I1174" t="inlineStr">
        <is>
          <t xml:space="preserve">Cplus Digital Sdn Bhd </t>
        </is>
      </c>
      <c r="J1174" t="inlineStr">
        <is>
          <t>Small Fish</t>
        </is>
      </c>
      <c r="K1174" t="inlineStr">
        <is>
          <t>Eugene</t>
        </is>
      </c>
      <c r="L1174" s="4"/>
      <c r="M1174" s="4">
        <v>46134.647881944446</v>
      </c>
      <c r="N1174"/>
      <c r="O1174">
        <v>2592</v>
      </c>
      <c r="P1174" s="4"/>
      <c r="Q1174" s="4">
        <v>46125.54851851852</v>
      </c>
      <c r="R1174"/>
      <c r="S1174">
        <v>0</v>
      </c>
      <c r="T1174" s="4"/>
      <c r="U1174" s="4"/>
      <c r="V1174"/>
      <c r="W1174"/>
      <c r="X1174"/>
      <c r="Y1174" t="inlineStr">
        <is>
          <t>Pending Appointment</t>
        </is>
      </c>
      <c r="Z1174" t="inlineStr">
        <is>
          <t>Hiring Now</t>
        </is>
      </c>
      <c r="AA1174">
        <v>2</v>
      </c>
      <c r="AB1174" t="inlineStr">
        <is>
          <t>No Appointment Made</t>
        </is>
      </c>
      <c r="AC1174"/>
      <c r="AD1174" t="inlineStr">
        <is>
          <t>2 positions, based in KL</t>
        </is>
      </c>
      <c r="AE1174"/>
      <c r="AF1174">
        <v>3000</v>
      </c>
      <c r="AG1174" s="4"/>
      <c r="AH1174" s="4"/>
      <c r="AI1174">
        <v>3000</v>
      </c>
      <c r="AJ1174">
        <v>1</v>
      </c>
      <c r="AK1174" t="inlineStr">
        <is>
          <t>No, I don't need at all</t>
        </is>
      </c>
      <c r="AL1174">
        <v>1</v>
      </c>
      <c r="AM1174" t="inlineStr">
        <is>
          <t>No, I don't need at all</t>
        </is>
      </c>
      <c r="AN1174"/>
      <c r="AO1174" t="inlineStr">
        <is>
          <t>No, I don't need at all</t>
        </is>
      </c>
      <c r="AP1174" t="inlineStr">
        <is>
          <t>Twice a year (50%)</t>
        </is>
      </c>
      <c r="AQ1174">
        <v>2</v>
      </c>
      <c r="AR1174" t="inlineStr">
        <is>
          <t>Free Job Portal</t>
        </is>
      </c>
      <c r="AS1174"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is>
      </c>
      <c r="AT1174">
        <v>95</v>
      </c>
      <c r="AU1174" t="inlineStr">
        <is>
          <t>0.95</t>
        </is>
      </c>
      <c r="AV1174" t="inlineStr">
        <is>
          <t>15</t>
        </is>
      </c>
      <c r="AW1174" t="inlineStr">
        <is>
          <t>0</t>
        </is>
      </c>
      <c r="AX1174" t="inlineStr">
        <is>
          <t>Not Qualified</t>
        </is>
      </c>
      <c r="AY1174" s="4"/>
      <c r="AZ1174"/>
      <c r="BA1174"/>
      <c r="BB1174"/>
      <c r="BC1174" t="inlineStr">
        <is>
          <t>pending</t>
        </is>
      </c>
      <c r="BD1174" s="4">
        <v>46139.67767361111</v>
      </c>
      <c r="BE1174" t="inlineStr">
        <is>
          <t>paid</t>
        </is>
      </c>
      <c r="BF1174"/>
      <c r="BG1174" t="inlineStr">
        <is>
          <t>Reschedule</t>
        </is>
      </c>
      <c r="BH1174" t="inlineStr">
        <is>
          <t>Edward Hoo</t>
        </is>
      </c>
      <c r="BI1174" t="inlineStr">
        <is>
          <t>Retail / Merchandise</t>
        </is>
      </c>
      <c r="BJ1174" s="4">
        <v>46144.75347222222</v>
      </c>
      <c r="BK1174" s="4">
        <v>46033.520787037036</v>
      </c>
      <c r="BL1174" t="inlineStr">
        <is>
          <t>0.0</t>
        </is>
      </c>
      <c r="BM1174" t="inlineStr">
        <is>
          <t>600.0</t>
        </is>
      </c>
      <c r="BN1174" t="inlineStr">
        <is>
          <t>View Company Page</t>
        </is>
      </c>
      <c r="BO1174" s="4">
        <v>46139.66527777778</v>
      </c>
      <c r="BP1174">
        <v>168348</v>
      </c>
      <c r="BQ1174">
        <v>121999</v>
      </c>
      <c r="BR1174" t="inlineStr">
        <is>
          <t>Proforma</t>
        </is>
      </c>
      <c r="BS1174" t="inlineStr">
        <is>
          <t>Free Internship Job</t>
        </is>
      </c>
      <c r="BT1174"/>
      <c r="BU1174"/>
      <c r="BV1174">
        <v>2730967</v>
      </c>
      <c r="BW1174" t="inlineStr">
        <is>
          <t>Follow Up : Decision Pending</t>
        </is>
      </c>
      <c r="BX1174"/>
      <c r="BY1174"/>
      <c r="BZ1174" s="4"/>
      <c r="CA1174"/>
      <c r="CB1174"/>
      <c r="CC1174" s="4"/>
      <c r="CD1174" t="inlineStr">
        <is>
          <t>20</t>
        </is>
      </c>
      <c r="CE1174" t="inlineStr">
        <is>
          <t>0</t>
        </is>
      </c>
      <c r="CF1174" t="inlineStr">
        <is>
          <t>Q2-W03</t>
        </is>
      </c>
      <c r="CG1174" t="inlineStr">
        <is>
          <t>Q2-W02</t>
        </is>
      </c>
      <c r="CH1174"/>
      <c r="CI1174"/>
      <c r="CJ1174" t="inlineStr">
        <is>
          <t>No Paid</t>
        </is>
      </c>
      <c r="CK1174" t="inlineStr">
        <is>
          <t>Not Eligible</t>
        </is>
      </c>
      <c r="CL1174"/>
      <c r="CM1174"/>
    </row>
    <row r="1175" ht="25.5" customHeight="1">
      <c r="A1175" t="inlineStr">
        <is>
          <t>4305008</t>
        </is>
      </c>
      <c r="B1175" s="2"/>
      <c r="C1175"/>
      <c r="D1175" s="3">
        <v>46134.6609837963</v>
      </c>
      <c r="E1175" t="inlineStr">
        <is>
          <t>Q2-W03</t>
        </is>
      </c>
      <c r="F1175" t="inlineStr">
        <is>
          <t>Janice Yap</t>
        </is>
      </c>
      <c r="G1175" t="inlineStr">
        <is>
          <t>Lead</t>
        </is>
      </c>
      <c r="H1175" s="2" t="str">
        <f>=HYPERLINK("https://upbox.ajobthing.my/leads/4305008", "https://upbox.ajobthing.my/leads/4305008")</f>
        <v>https://upbox.ajobthing.my/leads/4305008</v>
      </c>
      <c r="I1175" t="inlineStr">
        <is>
          <t>QMS PONTIAN SDN BHD</t>
        </is>
      </c>
      <c r="J1175" t="inlineStr">
        <is>
          <t>Small Fish</t>
        </is>
      </c>
      <c r="K1175" t="inlineStr">
        <is>
          <t>Janice</t>
        </is>
      </c>
      <c r="L1175" s="4"/>
      <c r="M1175" s="4">
        <v>46134.658483796295</v>
      </c>
      <c r="N1175"/>
      <c r="O1175">
        <v>3888</v>
      </c>
      <c r="P1175" s="4"/>
      <c r="Q1175" s="4"/>
      <c r="R1175"/>
      <c r="S1175"/>
      <c r="T1175" s="4"/>
      <c r="U1175" s="4"/>
      <c r="V1175"/>
      <c r="W1175"/>
      <c r="X1175"/>
      <c r="Y1175" t="inlineStr">
        <is>
          <t>Pending Appointment</t>
        </is>
      </c>
      <c r="Z1175" t="inlineStr">
        <is>
          <t>Hiring Now</t>
        </is>
      </c>
      <c r="AA1175">
        <v>2</v>
      </c>
      <c r="AB1175" t="inlineStr">
        <is>
          <t>No Appointment Made</t>
        </is>
      </c>
      <c r="AC1175"/>
      <c r="AD1175" t="inlineStr">
        <is>
          <t xml:space="preserve">clean assist // videographer </t>
        </is>
      </c>
      <c r="AE1175"/>
      <c r="AF1175">
        <v>0</v>
      </c>
      <c r="AG1175" s="4"/>
      <c r="AH1175" s="4"/>
      <c r="AI1175">
        <v>0</v>
      </c>
      <c r="AJ1175"/>
      <c r="AK1175" t="inlineStr">
        <is>
          <t>No, I don't need at all</t>
        </is>
      </c>
      <c r="AL1175">
        <v>0</v>
      </c>
      <c r="AM1175" t="inlineStr">
        <is>
          <t>No, I don't need at all</t>
        </is>
      </c>
      <c r="AN1175"/>
      <c r="AO1175" t="inlineStr">
        <is>
          <t>No, I don't need at all</t>
        </is>
      </c>
      <c r="AP1175" t="inlineStr">
        <is>
          <t>Once a year (25%)</t>
        </is>
      </c>
      <c r="AQ1175">
        <v>2</v>
      </c>
      <c r="AR1175" t="inlineStr">
        <is>
          <t>Did not use any job portal</t>
        </is>
      </c>
      <c r="AS1175" t="inlineStr">
        <is>
          <t>- Headcount: 2
- Hiring Job Details: clean assist, videographer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175">
        <v>95</v>
      </c>
      <c r="AU1175" t="inlineStr">
        <is>
          <t>0.95</t>
        </is>
      </c>
      <c r="AV1175" t="inlineStr">
        <is>
          <t>15</t>
        </is>
      </c>
      <c r="AW1175" t="inlineStr">
        <is>
          <t>0</t>
        </is>
      </c>
      <c r="AX1175" t="inlineStr">
        <is>
          <t>Not Qualified</t>
        </is>
      </c>
      <c r="AY1175" s="4"/>
      <c r="AZ1175"/>
      <c r="BA1175"/>
      <c r="BB1175"/>
      <c r="BC1175"/>
      <c r="BD1175" s="4"/>
      <c r="BE1175"/>
      <c r="BF1175"/>
      <c r="BG1175" t="inlineStr">
        <is>
          <t>Reschedule</t>
        </is>
      </c>
      <c r="BH1175" t="inlineStr">
        <is>
          <t>Yee Hang</t>
        </is>
      </c>
      <c r="BI1175"/>
      <c r="BJ1175" s="4">
        <v>46144.75587962963</v>
      </c>
      <c r="BK1175" s="4">
        <v>46132.52972222222</v>
      </c>
      <c r="BL1175" t="inlineStr">
        <is>
          <t>0.0</t>
        </is>
      </c>
      <c r="BM1175" t="inlineStr">
        <is>
          <t>0.0</t>
        </is>
      </c>
      <c r="BN1175"/>
      <c r="BO1175" s="4"/>
      <c r="BP1175">
        <v>168358</v>
      </c>
      <c r="BQ1175"/>
      <c r="BR1175"/>
      <c r="BS1175"/>
      <c r="BT1175"/>
      <c r="BU1175"/>
      <c r="BV1175"/>
      <c r="BW1175"/>
      <c r="BX1175"/>
      <c r="BY1175"/>
      <c r="BZ1175" s="4"/>
      <c r="CA1175"/>
      <c r="CB1175"/>
      <c r="CC1175" s="4"/>
      <c r="CD1175" t="inlineStr">
        <is>
          <t>20</t>
        </is>
      </c>
      <c r="CE1175" t="inlineStr">
        <is>
          <t>0</t>
        </is>
      </c>
      <c r="CF1175" t="inlineStr">
        <is>
          <t>Q2-W03</t>
        </is>
      </c>
      <c r="CG1175"/>
      <c r="CH1175"/>
      <c r="CI1175"/>
      <c r="CJ1175" t="inlineStr">
        <is>
          <t>No Paid</t>
        </is>
      </c>
      <c r="CK1175" t="inlineStr">
        <is>
          <t>Not Eligible</t>
        </is>
      </c>
      <c r="CL1175"/>
      <c r="CM1175"/>
    </row>
    <row r="1176" ht="25.5" customHeight="1">
      <c r="A1176" t="inlineStr">
        <is>
          <t>4299805</t>
        </is>
      </c>
      <c r="B1176" s="2"/>
      <c r="C1176"/>
      <c r="D1176" s="3">
        <v>46134.66122685185</v>
      </c>
      <c r="E1176" t="inlineStr">
        <is>
          <t>Q2-W03</t>
        </is>
      </c>
      <c r="F1176" t="inlineStr">
        <is>
          <t>Chia Yee</t>
        </is>
      </c>
      <c r="G1176" t="inlineStr">
        <is>
          <t>Lead</t>
        </is>
      </c>
      <c r="H1176" s="2" t="str">
        <f>=HYPERLINK("https://upbox.ajobthing.my/leads/4299805", "https://upbox.ajobthing.my/leads/4299805")</f>
        <v>https://upbox.ajobthing.my/leads/4299805</v>
      </c>
      <c r="I1176" t="inlineStr">
        <is>
          <t>SS Translink Sdn. Bhd.</t>
        </is>
      </c>
      <c r="J1176" t="inlineStr">
        <is>
          <t>Small Fish</t>
        </is>
      </c>
      <c r="K1176" t="inlineStr">
        <is>
          <t>Chia Yee</t>
        </is>
      </c>
      <c r="L1176" s="4"/>
      <c r="M1176" s="4">
        <v>46134.66189814815</v>
      </c>
      <c r="N1176"/>
      <c r="O1176">
        <v>3888</v>
      </c>
      <c r="P1176" s="4"/>
      <c r="Q1176" s="4"/>
      <c r="R1176"/>
      <c r="S1176"/>
      <c r="T1176" s="4"/>
      <c r="U1176" s="4"/>
      <c r="V1176"/>
      <c r="W1176"/>
      <c r="X1176"/>
      <c r="Y1176" t="inlineStr">
        <is>
          <t>Pending Appointment</t>
        </is>
      </c>
      <c r="Z1176" t="inlineStr">
        <is>
          <t>Hiring Now</t>
        </is>
      </c>
      <c r="AA1176">
        <v>1</v>
      </c>
      <c r="AB1176" t="inlineStr">
        <is>
          <t>No Appointment Made</t>
        </is>
      </c>
      <c r="AC1176"/>
      <c r="AD1176" t="inlineStr">
        <is>
          <t>1 HR Cum clerk</t>
        </is>
      </c>
      <c r="AE1176"/>
      <c r="AF1176">
        <v>0</v>
      </c>
      <c r="AG1176" s="4"/>
      <c r="AH1176" s="4"/>
      <c r="AI1176">
        <v>0</v>
      </c>
      <c r="AJ1176">
        <v>1</v>
      </c>
      <c r="AK1176" t="inlineStr">
        <is>
          <t>No, I don't need at all</t>
        </is>
      </c>
      <c r="AL1176">
        <v>1</v>
      </c>
      <c r="AM1176" t="inlineStr">
        <is>
          <t>No, I don't need at all</t>
        </is>
      </c>
      <c r="AN1176"/>
      <c r="AO1176" t="inlineStr">
        <is>
          <t>No, I don't need at all</t>
        </is>
      </c>
      <c r="AP1176" t="inlineStr">
        <is>
          <t>Once a year (25%)</t>
        </is>
      </c>
      <c r="AQ1176">
        <v>1</v>
      </c>
      <c r="AR1176" t="inlineStr">
        <is>
          <t>Did not use any job portal</t>
        </is>
      </c>
      <c r="AS1176" t="inlineStr">
        <is>
          <t>- Headcount: 1
- Hiring Job Details: 1 HR Cum clerk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1176">
        <v>110</v>
      </c>
      <c r="AU1176" t="inlineStr">
        <is>
          <t>1.10</t>
        </is>
      </c>
      <c r="AV1176" t="inlineStr">
        <is>
          <t>15</t>
        </is>
      </c>
      <c r="AW1176" t="inlineStr">
        <is>
          <t>0</t>
        </is>
      </c>
      <c r="AX1176" t="inlineStr">
        <is>
          <t>Not Qualified</t>
        </is>
      </c>
      <c r="AY1176" s="4"/>
      <c r="AZ1176"/>
      <c r="BA1176"/>
      <c r="BB1176"/>
      <c r="BC1176"/>
      <c r="BD1176" s="4"/>
      <c r="BE1176"/>
      <c r="BF1176"/>
      <c r="BG1176" t="inlineStr">
        <is>
          <t>Reschedule</t>
        </is>
      </c>
      <c r="BH1176" t="inlineStr">
        <is>
          <t>Reagen</t>
        </is>
      </c>
      <c r="BI1176"/>
      <c r="BJ1176" s="4">
        <v>46144.75585648148</v>
      </c>
      <c r="BK1176" s="4">
        <v>46130.821747685186</v>
      </c>
      <c r="BL1176" t="inlineStr">
        <is>
          <t>0.0</t>
        </is>
      </c>
      <c r="BM1176" t="inlineStr">
        <is>
          <t>0.0</t>
        </is>
      </c>
      <c r="BN1176"/>
      <c r="BO1176" s="4"/>
      <c r="BP1176">
        <v>168361</v>
      </c>
      <c r="BQ1176"/>
      <c r="BR1176"/>
      <c r="BS1176"/>
      <c r="BT1176"/>
      <c r="BU1176"/>
      <c r="BV1176"/>
      <c r="BW1176"/>
      <c r="BX1176"/>
      <c r="BY1176"/>
      <c r="BZ1176" s="4"/>
      <c r="CA1176"/>
      <c r="CB1176"/>
      <c r="CC1176" s="4"/>
      <c r="CD1176" t="inlineStr">
        <is>
          <t>20</t>
        </is>
      </c>
      <c r="CE1176" t="inlineStr">
        <is>
          <t>0</t>
        </is>
      </c>
      <c r="CF1176" t="inlineStr">
        <is>
          <t>Q2-W03</t>
        </is>
      </c>
      <c r="CG1176"/>
      <c r="CH1176"/>
      <c r="CI1176"/>
      <c r="CJ1176" t="inlineStr">
        <is>
          <t>No Paid</t>
        </is>
      </c>
      <c r="CK1176" t="inlineStr">
        <is>
          <t>Not Eligible</t>
        </is>
      </c>
      <c r="CL1176"/>
      <c r="CM1176"/>
    </row>
    <row r="1177" ht="25.5" customHeight="1">
      <c r="A1177" t="inlineStr">
        <is>
          <t>200277</t>
        </is>
      </c>
      <c r="B1177" s="2"/>
      <c r="C1177"/>
      <c r="D1177" s="3">
        <v>46134.661875</v>
      </c>
      <c r="E1177" t="inlineStr">
        <is>
          <t>Q2-W03</t>
        </is>
      </c>
      <c r="F1177" t="inlineStr">
        <is>
          <t>Angel  Low</t>
        </is>
      </c>
      <c r="G1177" t="inlineStr">
        <is>
          <t>Customer</t>
        </is>
      </c>
      <c r="H1177" s="2" t="str">
        <f>=HYPERLINK("https://upbox.ajobthing.my/customer/200277", "https://upbox.ajobthing.my/customer/200277")</f>
        <v>https://upbox.ajobthing.my/customer/200277</v>
      </c>
      <c r="I1177" t="inlineStr">
        <is>
          <t>Ajwa Capital Sdn Bhd</t>
        </is>
      </c>
      <c r="J1177" t="inlineStr">
        <is>
          <t>Small Fish</t>
        </is>
      </c>
      <c r="K1177" t="inlineStr">
        <is>
          <t>Angel Low</t>
        </is>
      </c>
      <c r="L1177" s="4"/>
      <c r="M1177" s="4">
        <v>46134.662569444445</v>
      </c>
      <c r="N1177"/>
      <c r="O1177">
        <v>3672</v>
      </c>
      <c r="P1177" s="4"/>
      <c r="Q1177" s="4">
        <v>46120.614282407405</v>
      </c>
      <c r="R1177"/>
      <c r="S1177">
        <v>0</v>
      </c>
      <c r="T1177" s="4"/>
      <c r="U1177" s="4"/>
      <c r="V1177"/>
      <c r="W1177"/>
      <c r="X1177"/>
      <c r="Y1177" t="inlineStr">
        <is>
          <t>Pending Appointment</t>
        </is>
      </c>
      <c r="Z1177"/>
      <c r="AA1177">
        <v>1</v>
      </c>
      <c r="AB1177" t="inlineStr">
        <is>
          <t>No Appointment Made</t>
        </is>
      </c>
      <c r="AC1177"/>
      <c r="AD1177" t="inlineStr">
        <is>
          <t xml:space="preserve">admin </t>
        </is>
      </c>
      <c r="AE1177"/>
      <c r="AF1177"/>
      <c r="AG1177" s="4"/>
      <c r="AH1177" s="4"/>
      <c r="AI1177"/>
      <c r="AJ1177"/>
      <c r="AK1177"/>
      <c r="AL1177"/>
      <c r="AM1177"/>
      <c r="AN1177"/>
      <c r="AO1177"/>
      <c r="AP1177"/>
      <c r="AQ1177"/>
      <c r="AR1177"/>
      <c r="AS1177" t="inlineStr">
        <is>
          <t>- Headcount: 1
- Hiring Job Details: admin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177">
        <v>60</v>
      </c>
      <c r="AU1177" t="inlineStr">
        <is>
          <t>0.60</t>
        </is>
      </c>
      <c r="AV1177" t="inlineStr">
        <is>
          <t>5</t>
        </is>
      </c>
      <c r="AW1177" t="inlineStr">
        <is>
          <t>0</t>
        </is>
      </c>
      <c r="AX1177" t="inlineStr">
        <is>
          <t>Not Qualified</t>
        </is>
      </c>
      <c r="AY1177" s="4"/>
      <c r="AZ1177"/>
      <c r="BA1177"/>
      <c r="BB1177"/>
      <c r="BC1177" t="inlineStr">
        <is>
          <t>- Headcount: 1
- Hiring Job Details: admin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1177" s="4">
        <v>46134.66675925926</v>
      </c>
      <c r="BE1177" t="inlineStr">
        <is>
          <t>paid</t>
        </is>
      </c>
      <c r="BF1177"/>
      <c r="BG1177" t="inlineStr">
        <is>
          <t>Reschedule</t>
        </is>
      </c>
      <c r="BH1177" t="inlineStr">
        <is>
          <t>Fauziah Maharan</t>
        </is>
      </c>
      <c r="BI1177" t="inlineStr">
        <is>
          <t>Banking / Finance</t>
        </is>
      </c>
      <c r="BJ1177" s="4">
        <v>46144.75351851852</v>
      </c>
      <c r="BK1177" s="4">
        <v>46036.48763888889</v>
      </c>
      <c r="BL1177" t="inlineStr">
        <is>
          <t>0.0</t>
        </is>
      </c>
      <c r="BM1177" t="inlineStr">
        <is>
          <t>0.0</t>
        </is>
      </c>
      <c r="BN1177" t="inlineStr">
        <is>
          <t>View Company Page</t>
        </is>
      </c>
      <c r="BO1177" s="4">
        <v>46120.618680555555</v>
      </c>
      <c r="BP1177">
        <v>168362</v>
      </c>
      <c r="BQ1177">
        <v>120972</v>
      </c>
      <c r="BR1177" t="inlineStr">
        <is>
          <t>Proforma</t>
        </is>
      </c>
      <c r="BS1177" t="inlineStr">
        <is>
          <t>Free Part-Time Job</t>
        </is>
      </c>
      <c r="BT1177"/>
      <c r="BU1177"/>
      <c r="BV1177">
        <v>2721336</v>
      </c>
      <c r="BW1177" t="inlineStr">
        <is>
          <t>Customer Inquiry</t>
        </is>
      </c>
      <c r="BX1177"/>
      <c r="BY1177"/>
      <c r="BZ1177" s="4"/>
      <c r="CA1177"/>
      <c r="CB1177"/>
      <c r="CC1177" s="4"/>
      <c r="CD1177" t="inlineStr">
        <is>
          <t>5</t>
        </is>
      </c>
      <c r="CE1177" t="inlineStr">
        <is>
          <t>0</t>
        </is>
      </c>
      <c r="CF1177" t="inlineStr">
        <is>
          <t>Q2-W03</t>
        </is>
      </c>
      <c r="CG1177" t="inlineStr">
        <is>
          <t>Q2-W01</t>
        </is>
      </c>
      <c r="CH1177"/>
      <c r="CI1177"/>
      <c r="CJ1177" t="inlineStr">
        <is>
          <t>No Paid</t>
        </is>
      </c>
      <c r="CK1177" t="inlineStr">
        <is>
          <t>Not Eligible</t>
        </is>
      </c>
      <c r="CL1177"/>
      <c r="CM1177"/>
    </row>
    <row r="1178" ht="25.5" customHeight="1">
      <c r="A1178" t="inlineStr">
        <is>
          <t>131962</t>
        </is>
      </c>
      <c r="B1178" s="2"/>
      <c r="C1178"/>
      <c r="D1178" s="3">
        <v>46134.66490740741</v>
      </c>
      <c r="E1178" t="inlineStr">
        <is>
          <t>Q2-W03</t>
        </is>
      </c>
      <c r="F1178" t="inlineStr">
        <is>
          <t>Luqman</t>
        </is>
      </c>
      <c r="G1178" t="inlineStr">
        <is>
          <t>Customer</t>
        </is>
      </c>
      <c r="H1178" s="2" t="str">
        <f>=HYPERLINK("https://upbox.ajobthing.my/customer/131962", "https://upbox.ajobthing.my/customer/131962")</f>
        <v>https://upbox.ajobthing.my/customer/131962</v>
      </c>
      <c r="I1178" t="inlineStr">
        <is>
          <t>Oribe Creative Dining Sdn. Bhd.</t>
        </is>
      </c>
      <c r="J1178" t="inlineStr">
        <is>
          <t>Small Fish</t>
        </is>
      </c>
      <c r="K1178" t="inlineStr">
        <is>
          <t>Luqman</t>
        </is>
      </c>
      <c r="L1178" s="4"/>
      <c r="M1178" s="4">
        <v>46134.72849537037</v>
      </c>
      <c r="N1178"/>
      <c r="O1178">
        <v>3888</v>
      </c>
      <c r="P1178" s="4"/>
      <c r="Q1178" s="4">
        <v>44158.6641087963</v>
      </c>
      <c r="R1178"/>
      <c r="S1178">
        <v>583</v>
      </c>
      <c r="T1178" s="4">
        <v>44158.6641087963</v>
      </c>
      <c r="U1178" s="4"/>
      <c r="V1178"/>
      <c r="W1178">
        <v>583</v>
      </c>
      <c r="X1178"/>
      <c r="Y1178" t="inlineStr">
        <is>
          <t>Pending Appointment</t>
        </is>
      </c>
      <c r="Z1178" t="inlineStr">
        <is>
          <t>Hiring Later</t>
        </is>
      </c>
      <c r="AA1178">
        <v>1</v>
      </c>
      <c r="AB1178" t="inlineStr">
        <is>
          <t>No Appointment Made</t>
        </is>
      </c>
      <c r="AC1178"/>
      <c r="AD1178" t="inlineStr">
        <is>
          <t xml:space="preserve">1. Service Crew </t>
        </is>
      </c>
      <c r="AE1178"/>
      <c r="AF1178">
        <v>3600</v>
      </c>
      <c r="AG1178" s="4"/>
      <c r="AH1178" s="4"/>
      <c r="AI1178">
        <v>1200</v>
      </c>
      <c r="AJ1178"/>
      <c r="AK1178" t="inlineStr">
        <is>
          <t>No, I don't need at all</t>
        </is>
      </c>
      <c r="AL1178">
        <v>2</v>
      </c>
      <c r="AM1178" t="inlineStr">
        <is>
          <t>No, I don't need at all</t>
        </is>
      </c>
      <c r="AN1178"/>
      <c r="AO1178" t="inlineStr">
        <is>
          <t>No, I don't need at all</t>
        </is>
      </c>
      <c r="AP1178" t="inlineStr">
        <is>
          <t>Twice a year (50%)</t>
        </is>
      </c>
      <c r="AQ1178">
        <v>3</v>
      </c>
      <c r="AR1178" t="inlineStr">
        <is>
          <t>Jobstreet</t>
        </is>
      </c>
      <c r="AS1178" t="inlineStr">
        <is>
          <t>- Headcount: 1
- Hiring Job Details: 1 Service Crew
- Hiring Urgency: Hiring Later
- Number of outlets: N/A
- Have recruiter team: No, I don't need at all
- Number of recruiter in company: 2
- Have ATS system: No, I don't need at all
- Have career website: No, I don't need at all
- Current hiring budget: RM3,600
- Whole year budget: RM1,200.00
- Whole year number of vacancies: 3
- Hiring frequency: Twice a year (50%)
- External job portal: Jobstreet</t>
        </is>
      </c>
      <c r="AT1178">
        <v>95</v>
      </c>
      <c r="AU1178" t="inlineStr">
        <is>
          <t>0.95</t>
        </is>
      </c>
      <c r="AV1178" t="inlineStr">
        <is>
          <t>15</t>
        </is>
      </c>
      <c r="AW1178" t="inlineStr">
        <is>
          <t>0</t>
        </is>
      </c>
      <c r="AX1178" t="inlineStr">
        <is>
          <t>Not Qualified</t>
        </is>
      </c>
      <c r="AY1178" s="4"/>
      <c r="AZ1178"/>
      <c r="BA1178"/>
      <c r="BB1178"/>
      <c r="BC1178" t="inlineStr">
        <is>
          <t>Business will stick with indeed</t>
        </is>
      </c>
      <c r="BD1178" s="4">
        <v>46141.61665509259</v>
      </c>
      <c r="BE1178" t="inlineStr">
        <is>
          <t>paid</t>
        </is>
      </c>
      <c r="BF1178"/>
      <c r="BG1178" t="inlineStr">
        <is>
          <t>Reschedule</t>
        </is>
      </c>
      <c r="BH1178" t="inlineStr">
        <is>
          <t>Edward Hoo</t>
        </is>
      </c>
      <c r="BI1178" t="inlineStr">
        <is>
          <t>Food / Beverage</t>
        </is>
      </c>
      <c r="BJ1178" s="4">
        <v>46144.75047453704</v>
      </c>
      <c r="BK1178" s="4">
        <v>44158.64329861111</v>
      </c>
      <c r="BL1178" t="inlineStr">
        <is>
          <t>0.0</t>
        </is>
      </c>
      <c r="BM1178" t="inlineStr">
        <is>
          <t>600.0</t>
        </is>
      </c>
      <c r="BN1178" t="inlineStr">
        <is>
          <t>View Job Applicants Page</t>
        </is>
      </c>
      <c r="BO1178" s="4">
        <v>44160.42774305555</v>
      </c>
      <c r="BP1178">
        <v>168398</v>
      </c>
      <c r="BQ1178">
        <v>28334</v>
      </c>
      <c r="BR1178" t="inlineStr">
        <is>
          <t>Online</t>
        </is>
      </c>
      <c r="BS1178"/>
      <c r="BT1178">
        <v>28334</v>
      </c>
      <c r="BU1178"/>
      <c r="BV1178">
        <v>2735419</v>
      </c>
      <c r="BW1178" t="inlineStr">
        <is>
          <t>Follow Up : Lost - Free Portal</t>
        </is>
      </c>
      <c r="BX1178"/>
      <c r="BY1178"/>
      <c r="BZ1178" s="4"/>
      <c r="CA1178"/>
      <c r="CB1178"/>
      <c r="CC1178" s="4"/>
      <c r="CD1178" t="inlineStr">
        <is>
          <t>20</t>
        </is>
      </c>
      <c r="CE1178" t="inlineStr">
        <is>
          <t>0</t>
        </is>
      </c>
      <c r="CF1178" t="inlineStr">
        <is>
          <t>Q2-W03</t>
        </is>
      </c>
      <c r="CG1178"/>
      <c r="CH1178"/>
      <c r="CI1178"/>
      <c r="CJ1178" t="inlineStr">
        <is>
          <t>Paid</t>
        </is>
      </c>
      <c r="CK1178" t="inlineStr">
        <is>
          <t>Not Eligible</t>
        </is>
      </c>
      <c r="CL1178"/>
      <c r="CM1178"/>
    </row>
    <row r="1179" ht="25.5" customHeight="1">
      <c r="A1179" t="inlineStr">
        <is>
          <t>4313441</t>
        </is>
      </c>
      <c r="B1179" s="2"/>
      <c r="C1179"/>
      <c r="D1179" s="3">
        <v>46134.67806712963</v>
      </c>
      <c r="E1179" t="inlineStr">
        <is>
          <t>Q2-W03</t>
        </is>
      </c>
      <c r="F1179" t="inlineStr">
        <is>
          <t>Alan KY</t>
        </is>
      </c>
      <c r="G1179" t="inlineStr">
        <is>
          <t>Lead</t>
        </is>
      </c>
      <c r="H1179" s="2" t="str">
        <f>=HYPERLINK("https://upbox.ajobthing.my/leads/4313441", "https://upbox.ajobthing.my/leads/4313441")</f>
        <v>https://upbox.ajobthing.my/leads/4313441</v>
      </c>
      <c r="I1179" t="inlineStr">
        <is>
          <t>Kisha Blush And Shop</t>
        </is>
      </c>
      <c r="J1179" t="inlineStr">
        <is>
          <t>Small Fish</t>
        </is>
      </c>
      <c r="K1179" t="inlineStr">
        <is>
          <t>Alan KY</t>
        </is>
      </c>
      <c r="L1179" s="4"/>
      <c r="M1179" s="4">
        <v>46134.674155092594</v>
      </c>
      <c r="N1179"/>
      <c r="O1179">
        <v>3888</v>
      </c>
      <c r="P1179" s="4"/>
      <c r="Q1179" s="4"/>
      <c r="R1179"/>
      <c r="S1179"/>
      <c r="T1179" s="4"/>
      <c r="U1179" s="4"/>
      <c r="V1179"/>
      <c r="W1179"/>
      <c r="X1179"/>
      <c r="Y1179" t="inlineStr">
        <is>
          <t>Pending Appointment</t>
        </is>
      </c>
      <c r="Z1179" t="inlineStr">
        <is>
          <t>Hiring Now</t>
        </is>
      </c>
      <c r="AA1179">
        <v>8</v>
      </c>
      <c r="AB1179" t="inlineStr">
        <is>
          <t>No Appointment Made</t>
        </is>
      </c>
      <c r="AC1179"/>
      <c r="AD1179" t="inlineStr">
        <is>
          <t xml:space="preserve">5-6 CS, 1 Marketing, 1 Designer, in Subang Selangor </t>
        </is>
      </c>
      <c r="AE1179"/>
      <c r="AF1179"/>
      <c r="AG1179" s="4"/>
      <c r="AH1179" s="4"/>
      <c r="AI1179"/>
      <c r="AJ1179"/>
      <c r="AK1179" t="inlineStr">
        <is>
          <t>No, I don't need at all</t>
        </is>
      </c>
      <c r="AL1179"/>
      <c r="AM1179" t="inlineStr">
        <is>
          <t>No, I don't need at all</t>
        </is>
      </c>
      <c r="AN1179"/>
      <c r="AO1179" t="inlineStr">
        <is>
          <t>No, I don't need at all</t>
        </is>
      </c>
      <c r="AP1179" t="inlineStr">
        <is>
          <t>Once per quarter (75%)</t>
        </is>
      </c>
      <c r="AQ1179"/>
      <c r="AR1179" t="inlineStr">
        <is>
          <t>Jobstreet</t>
        </is>
      </c>
      <c r="AS1179" t="inlineStr">
        <is>
          <t>- Headcount: 8
- Hiring Job Details: 5-6 CS, 1 Marketing, 1 Designer, in Subang Selangor
- Hiring Urgency: Hiring Now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Jobstreet</t>
        </is>
      </c>
      <c r="AT1179">
        <v>75</v>
      </c>
      <c r="AU1179" t="inlineStr">
        <is>
          <t>0.75</t>
        </is>
      </c>
      <c r="AV1179" t="inlineStr">
        <is>
          <t>10</t>
        </is>
      </c>
      <c r="AW1179" t="inlineStr">
        <is>
          <t>0</t>
        </is>
      </c>
      <c r="AX1179" t="inlineStr">
        <is>
          <t>Not Qualified</t>
        </is>
      </c>
      <c r="AY1179" s="4"/>
      <c r="AZ1179"/>
      <c r="BA1179"/>
      <c r="BB1179"/>
      <c r="BC1179"/>
      <c r="BD1179" s="4"/>
      <c r="BE1179"/>
      <c r="BF1179"/>
      <c r="BG1179" t="inlineStr">
        <is>
          <t>Reschedule</t>
        </is>
      </c>
      <c r="BH1179" t="inlineStr">
        <is>
          <t>Reagen</t>
        </is>
      </c>
      <c r="BI1179"/>
      <c r="BJ1179" s="4">
        <v>46144.755902777775</v>
      </c>
      <c r="BK1179" s="4">
        <v>46134.56886574074</v>
      </c>
      <c r="BL1179" t="inlineStr">
        <is>
          <t>0.0</t>
        </is>
      </c>
      <c r="BM1179" t="inlineStr">
        <is>
          <t>0.0</t>
        </is>
      </c>
      <c r="BN1179"/>
      <c r="BO1179" s="4"/>
      <c r="BP1179">
        <v>168368</v>
      </c>
      <c r="BQ1179"/>
      <c r="BR1179"/>
      <c r="BS1179"/>
      <c r="BT1179"/>
      <c r="BU1179"/>
      <c r="BV1179"/>
      <c r="BW1179"/>
      <c r="BX1179"/>
      <c r="BY1179"/>
      <c r="BZ1179" s="4"/>
      <c r="CA1179"/>
      <c r="CB1179"/>
      <c r="CC1179" s="4"/>
      <c r="CD1179" t="inlineStr">
        <is>
          <t>15</t>
        </is>
      </c>
      <c r="CE1179" t="inlineStr">
        <is>
          <t>0</t>
        </is>
      </c>
      <c r="CF1179" t="inlineStr">
        <is>
          <t>Q2-W03</t>
        </is>
      </c>
      <c r="CG1179"/>
      <c r="CH1179"/>
      <c r="CI1179"/>
      <c r="CJ1179" t="inlineStr">
        <is>
          <t>No Paid</t>
        </is>
      </c>
      <c r="CK1179" t="inlineStr">
        <is>
          <t>Eligible</t>
        </is>
      </c>
      <c r="CL1179"/>
      <c r="CM1179"/>
    </row>
    <row r="1180" ht="25.5" customHeight="1">
      <c r="A1180" t="inlineStr">
        <is>
          <t>170538</t>
        </is>
      </c>
      <c r="B1180" s="2"/>
      <c r="C1180"/>
      <c r="D1180" s="3">
        <v>46134.68219907407</v>
      </c>
      <c r="E1180" t="inlineStr">
        <is>
          <t>Q2-W03</t>
        </is>
      </c>
      <c r="F1180" t="inlineStr">
        <is>
          <t>Jeff Lee</t>
        </is>
      </c>
      <c r="G1180" t="inlineStr">
        <is>
          <t>Customer</t>
        </is>
      </c>
      <c r="H1180" s="2" t="str">
        <f>=HYPERLINK("https://upbox.ajobthing.my/customer/170538", "https://upbox.ajobthing.my/customer/170538")</f>
        <v>https://upbox.ajobthing.my/customer/170538</v>
      </c>
      <c r="I1180" t="inlineStr">
        <is>
          <t>See U Now Holidays Sdn Bhd</t>
        </is>
      </c>
      <c r="J1180" t="inlineStr">
        <is>
          <t>Small Fish</t>
        </is>
      </c>
      <c r="K1180" t="inlineStr">
        <is>
          <t>Jeff Lee</t>
        </is>
      </c>
      <c r="L1180" s="4"/>
      <c r="M1180" s="4">
        <v>46134.681180555555</v>
      </c>
      <c r="N1180"/>
      <c r="O1180">
        <v>3888</v>
      </c>
      <c r="P1180" s="4"/>
      <c r="Q1180" s="4">
        <v>45164.00001157408</v>
      </c>
      <c r="R1180"/>
      <c r="S1180">
        <v>954</v>
      </c>
      <c r="T1180" s="4">
        <v>45164.00001157408</v>
      </c>
      <c r="U1180" s="4"/>
      <c r="V1180"/>
      <c r="W1180">
        <v>954</v>
      </c>
      <c r="X1180"/>
      <c r="Y1180" t="inlineStr">
        <is>
          <t>Pending Appointment</t>
        </is>
      </c>
      <c r="Z1180" t="inlineStr">
        <is>
          <t>Hiring Later</t>
        </is>
      </c>
      <c r="AA1180">
        <v>1</v>
      </c>
      <c r="AB1180" t="inlineStr">
        <is>
          <t>No Appointment Made</t>
        </is>
      </c>
      <c r="AC1180"/>
      <c r="AD1180" t="inlineStr">
        <is>
          <t>1 operator</t>
        </is>
      </c>
      <c r="AE1180"/>
      <c r="AF1180">
        <v>0</v>
      </c>
      <c r="AG1180" s="4"/>
      <c r="AH1180" s="4"/>
      <c r="AI1180">
        <v>0</v>
      </c>
      <c r="AJ1180">
        <v>0</v>
      </c>
      <c r="AK1180" t="inlineStr">
        <is>
          <t>No, I don't need at all</t>
        </is>
      </c>
      <c r="AL1180">
        <v>0</v>
      </c>
      <c r="AM1180" t="inlineStr">
        <is>
          <t>No, I don't need at all</t>
        </is>
      </c>
      <c r="AN1180"/>
      <c r="AO1180" t="inlineStr">
        <is>
          <t>No, I don't need at all</t>
        </is>
      </c>
      <c r="AP1180" t="inlineStr">
        <is>
          <t>Once a year (25%)</t>
        </is>
      </c>
      <c r="AQ1180">
        <v>1</v>
      </c>
      <c r="AR1180" t="inlineStr">
        <is>
          <t>Did not use any job portal</t>
        </is>
      </c>
      <c r="AS1180" t="inlineStr">
        <is>
          <t>- Headcount: 1
- Hiring Job Details: 1 operator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180">
        <v>95</v>
      </c>
      <c r="AU1180" t="inlineStr">
        <is>
          <t>0.95</t>
        </is>
      </c>
      <c r="AV1180" t="inlineStr">
        <is>
          <t>15</t>
        </is>
      </c>
      <c r="AW1180" t="inlineStr">
        <is>
          <t>0</t>
        </is>
      </c>
      <c r="AX1180" t="inlineStr">
        <is>
          <t>Not Qualified</t>
        </is>
      </c>
      <c r="AY1180" s="4"/>
      <c r="AZ1180"/>
      <c r="BA1180"/>
      <c r="BB1180"/>
      <c r="BC1180" t="inlineStr">
        <is>
          <t>not urgent first, will call me back when he want to do job post</t>
        </is>
      </c>
      <c r="BD1180" s="4">
        <v>46139.43498842593</v>
      </c>
      <c r="BE1180" t="inlineStr">
        <is>
          <t>paid</t>
        </is>
      </c>
      <c r="BF1180"/>
      <c r="BG1180" t="inlineStr">
        <is>
          <t>Reschedule</t>
        </is>
      </c>
      <c r="BH1180" t="inlineStr">
        <is>
          <t>Yee Hang</t>
        </is>
      </c>
      <c r="BI1180"/>
      <c r="BJ1180" s="4">
        <v>46144.75142361111</v>
      </c>
      <c r="BK1180" s="4">
        <v>45163.7215162037</v>
      </c>
      <c r="BL1180" t="inlineStr">
        <is>
          <t>0.0</t>
        </is>
      </c>
      <c r="BM1180" t="inlineStr">
        <is>
          <t>0.0</t>
        </is>
      </c>
      <c r="BN1180" t="inlineStr">
        <is>
          <t>View Jobmanager Page</t>
        </is>
      </c>
      <c r="BO1180" s="4">
        <v>45170.7166087963</v>
      </c>
      <c r="BP1180">
        <v>168371</v>
      </c>
      <c r="BQ1180">
        <v>61721</v>
      </c>
      <c r="BR1180" t="inlineStr">
        <is>
          <t>Online</t>
        </is>
      </c>
      <c r="BS1180"/>
      <c r="BT1180">
        <v>61721</v>
      </c>
      <c r="BU1180"/>
      <c r="BV1180">
        <v>2728365</v>
      </c>
      <c r="BW1180" t="inlineStr">
        <is>
          <t>Follow Up : Decision Pending</t>
        </is>
      </c>
      <c r="BX1180"/>
      <c r="BY1180"/>
      <c r="BZ1180" s="4"/>
      <c r="CA1180"/>
      <c r="CB1180"/>
      <c r="CC1180" s="4"/>
      <c r="CD1180" t="inlineStr">
        <is>
          <t>20</t>
        </is>
      </c>
      <c r="CE1180" t="inlineStr">
        <is>
          <t>0</t>
        </is>
      </c>
      <c r="CF1180" t="inlineStr">
        <is>
          <t>Q2-W03</t>
        </is>
      </c>
      <c r="CG1180"/>
      <c r="CH1180"/>
      <c r="CI1180"/>
      <c r="CJ1180" t="inlineStr">
        <is>
          <t>Paid</t>
        </is>
      </c>
      <c r="CK1180" t="inlineStr">
        <is>
          <t>Not Eligible</t>
        </is>
      </c>
      <c r="CL1180"/>
      <c r="CM1180"/>
    </row>
    <row r="1181" ht="25.5" customHeight="1">
      <c r="A1181" t="inlineStr">
        <is>
          <t>173064</t>
        </is>
      </c>
      <c r="B1181" s="2"/>
      <c r="C1181"/>
      <c r="D1181" s="3">
        <v>46134.696238425924</v>
      </c>
      <c r="E1181" t="inlineStr">
        <is>
          <t>Q2-W03</t>
        </is>
      </c>
      <c r="F1181" t="inlineStr">
        <is>
          <t>Xin Hui</t>
        </is>
      </c>
      <c r="G1181" t="inlineStr">
        <is>
          <t>Customer</t>
        </is>
      </c>
      <c r="H1181" s="2" t="str">
        <f>=HYPERLINK("https://upbox.ajobthing.my/customer/173064", "https://upbox.ajobthing.my/customer/173064")</f>
        <v>https://upbox.ajobthing.my/customer/173064</v>
      </c>
      <c r="I1181" t="inlineStr">
        <is>
          <t>G5 Marketing Sdn Bhd</t>
        </is>
      </c>
      <c r="J1181" t="inlineStr">
        <is>
          <t>Small Fish</t>
        </is>
      </c>
      <c r="K1181" t="inlineStr">
        <is>
          <t>Xin Hui</t>
        </is>
      </c>
      <c r="L1181" s="4"/>
      <c r="M1181" s="4">
        <v>46134.69700231482</v>
      </c>
      <c r="N1181"/>
      <c r="O1181">
        <v>3888</v>
      </c>
      <c r="P1181" s="4"/>
      <c r="Q1181" s="4">
        <v>45294.676712962966</v>
      </c>
      <c r="R1181"/>
      <c r="S1181">
        <v>636</v>
      </c>
      <c r="T1181" s="4">
        <v>45294.676712962966</v>
      </c>
      <c r="U1181" s="4"/>
      <c r="V1181"/>
      <c r="W1181">
        <v>636</v>
      </c>
      <c r="X1181"/>
      <c r="Y1181" t="inlineStr">
        <is>
          <t>Pending Appointment</t>
        </is>
      </c>
      <c r="Z1181" t="inlineStr">
        <is>
          <t>Hiring Now</t>
        </is>
      </c>
      <c r="AA1181">
        <v>1</v>
      </c>
      <c r="AB1181" t="inlineStr">
        <is>
          <t>No Appointment Made</t>
        </is>
      </c>
      <c r="AC1181"/>
      <c r="AD1181" t="inlineStr">
        <is>
          <t>admin</t>
        </is>
      </c>
      <c r="AE1181"/>
      <c r="AF1181"/>
      <c r="AG1181" s="4"/>
      <c r="AH1181" s="4"/>
      <c r="AI1181"/>
      <c r="AJ1181"/>
      <c r="AK1181" t="inlineStr">
        <is>
          <t>No, I don't need at all</t>
        </is>
      </c>
      <c r="AL1181"/>
      <c r="AM1181" t="inlineStr">
        <is>
          <t>No, I don't need at all</t>
        </is>
      </c>
      <c r="AN1181"/>
      <c r="AO1181" t="inlineStr">
        <is>
          <t>No, I don't need at all</t>
        </is>
      </c>
      <c r="AP1181" t="inlineStr">
        <is>
          <t>Once a year (25%)</t>
        </is>
      </c>
      <c r="AQ1181"/>
      <c r="AR1181" t="inlineStr">
        <is>
          <t>Jobstreet</t>
        </is>
      </c>
      <c r="AS1181" t="inlineStr">
        <is>
          <t>- Headcount: 1
- Hiring Job Details: admin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is>
      </c>
      <c r="AT1181">
        <v>75</v>
      </c>
      <c r="AU1181" t="inlineStr">
        <is>
          <t>0.75</t>
        </is>
      </c>
      <c r="AV1181" t="inlineStr">
        <is>
          <t>5</t>
        </is>
      </c>
      <c r="AW1181" t="inlineStr">
        <is>
          <t>0</t>
        </is>
      </c>
      <c r="AX1181" t="inlineStr">
        <is>
          <t>Not Qualified</t>
        </is>
      </c>
      <c r="AY1181" s="4"/>
      <c r="AZ1181"/>
      <c r="BA1181"/>
      <c r="BB1181"/>
      <c r="BC1181" t="inlineStr">
        <is>
          <t>- Headcount: 1
- Hiring Job Details: admin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is>
      </c>
      <c r="BD1181" s="4">
        <v>46134.70837962963</v>
      </c>
      <c r="BE1181" t="inlineStr">
        <is>
          <t>paid</t>
        </is>
      </c>
      <c r="BF1181"/>
      <c r="BG1181" t="inlineStr">
        <is>
          <t>Reschedule</t>
        </is>
      </c>
      <c r="BH1181" t="inlineStr">
        <is>
          <t>Yee Hang</t>
        </is>
      </c>
      <c r="BI1181" t="inlineStr">
        <is>
          <t>Automobile / Automotive</t>
        </is>
      </c>
      <c r="BJ1181" s="4">
        <v>46144.75150462963</v>
      </c>
      <c r="BK1181" s="4">
        <v>45250.46365740741</v>
      </c>
      <c r="BL1181" t="inlineStr">
        <is>
          <t>0.0</t>
        </is>
      </c>
      <c r="BM1181" t="inlineStr">
        <is>
          <t>0.0</t>
        </is>
      </c>
      <c r="BN1181" t="inlineStr">
        <is>
          <t>User Visit(Logged In)</t>
        </is>
      </c>
      <c r="BO1181" s="4">
        <v>45355.38349537037</v>
      </c>
      <c r="BP1181">
        <v>168377</v>
      </c>
      <c r="BQ1181">
        <v>64961</v>
      </c>
      <c r="BR1181" t="inlineStr">
        <is>
          <t>Online</t>
        </is>
      </c>
      <c r="BS1181"/>
      <c r="BT1181">
        <v>64961</v>
      </c>
      <c r="BU1181"/>
      <c r="BV1181">
        <v>2721668</v>
      </c>
      <c r="BW1181" t="inlineStr">
        <is>
          <t>Customer Inquiry</t>
        </is>
      </c>
      <c r="BX1181"/>
      <c r="BY1181"/>
      <c r="BZ1181" s="4"/>
      <c r="CA1181"/>
      <c r="CB1181"/>
      <c r="CC1181" s="4"/>
      <c r="CD1181" t="inlineStr">
        <is>
          <t>5</t>
        </is>
      </c>
      <c r="CE1181" t="inlineStr">
        <is>
          <t>0</t>
        </is>
      </c>
      <c r="CF1181" t="inlineStr">
        <is>
          <t>Q2-W03</t>
        </is>
      </c>
      <c r="CG1181"/>
      <c r="CH1181"/>
      <c r="CI1181"/>
      <c r="CJ1181" t="inlineStr">
        <is>
          <t>Paid</t>
        </is>
      </c>
      <c r="CK1181" t="inlineStr">
        <is>
          <t>Not Eligible</t>
        </is>
      </c>
      <c r="CL1181"/>
      <c r="CM1181"/>
    </row>
    <row r="1182" ht="25.5" customHeight="1">
      <c r="A1182" t="inlineStr">
        <is>
          <t>155263</t>
        </is>
      </c>
      <c r="B1182" s="2"/>
      <c r="C1182"/>
      <c r="D1182" s="3">
        <v>46134.70476851852</v>
      </c>
      <c r="E1182" t="inlineStr">
        <is>
          <t>Q2-W03</t>
        </is>
      </c>
      <c r="F1182" t="inlineStr">
        <is>
          <t>Xin Quan</t>
        </is>
      </c>
      <c r="G1182" t="inlineStr">
        <is>
          <t>Customer</t>
        </is>
      </c>
      <c r="H1182" s="2" t="str">
        <f>=HYPERLINK("https://upbox.ajobthing.my/customer/155263", "https://upbox.ajobthing.my/customer/155263")</f>
        <v>https://upbox.ajobthing.my/customer/155263</v>
      </c>
      <c r="I1182" t="inlineStr">
        <is>
          <t>Bersatu Integrated Logistics Sdn Bhd</t>
        </is>
      </c>
      <c r="J1182" t="inlineStr">
        <is>
          <t>Small Fish</t>
        </is>
      </c>
      <c r="K1182" t="inlineStr">
        <is>
          <t>Xin Quan</t>
        </is>
      </c>
      <c r="L1182" s="4"/>
      <c r="M1182" s="4">
        <v>46134.70486111111</v>
      </c>
      <c r="N1182"/>
      <c r="O1182">
        <v>6048</v>
      </c>
      <c r="P1182" s="4"/>
      <c r="Q1182" s="4">
        <v>44720.130162037036</v>
      </c>
      <c r="R1182"/>
      <c r="S1182">
        <v>636</v>
      </c>
      <c r="T1182" s="4">
        <v>44719.00001157408</v>
      </c>
      <c r="U1182" s="4"/>
      <c r="V1182"/>
      <c r="W1182">
        <v>636</v>
      </c>
      <c r="X1182"/>
      <c r="Y1182" t="inlineStr">
        <is>
          <t>Pending Appointment</t>
        </is>
      </c>
      <c r="Z1182" t="inlineStr">
        <is>
          <t>Hiring Now</t>
        </is>
      </c>
      <c r="AA1182">
        <v>5</v>
      </c>
      <c r="AB1182" t="inlineStr">
        <is>
          <t>No Appointment Made</t>
        </is>
      </c>
      <c r="AC1182"/>
      <c r="AD1182" t="inlineStr">
        <is>
          <t>5 Office Support , Base in KL</t>
        </is>
      </c>
      <c r="AE1182"/>
      <c r="AF1182">
        <v>10000</v>
      </c>
      <c r="AG1182" s="4"/>
      <c r="AH1182" s="4"/>
      <c r="AI1182">
        <v>120000</v>
      </c>
      <c r="AJ1182">
        <v>1</v>
      </c>
      <c r="AK1182" t="inlineStr">
        <is>
          <t>No, I don't need at all</t>
        </is>
      </c>
      <c r="AL1182">
        <v>1</v>
      </c>
      <c r="AM1182" t="inlineStr">
        <is>
          <t>No, I don't need at all</t>
        </is>
      </c>
      <c r="AN1182"/>
      <c r="AO1182" t="inlineStr">
        <is>
          <t>No, I don't need at all</t>
        </is>
      </c>
      <c r="AP1182" t="inlineStr">
        <is>
          <t>Once a year (25%)</t>
        </is>
      </c>
      <c r="AQ1182">
        <v>15</v>
      </c>
      <c r="AR1182"/>
      <c r="AS1182" t="inlineStr">
        <is>
          <t>- Headcount: 5
- Hiring Job Details: 5 Office Support, Base in KL
- Hiring Urgency: Hiring Now
- Number of outlets: 1
- Have recruiter team: No, I don't need at all
- Number of recruiter in company: 1
- Have ATS system: No, I don't need at all
- Have career website: No, I don't need at all
- Current hiring budget: RM10,000
- Whole year budget: RM120,000.00
- Whole year number of vacancies: 15
- Hiring frequency: Once a year (25%)
- External job portal: None</t>
        </is>
      </c>
      <c r="AT1182">
        <v>110</v>
      </c>
      <c r="AU1182" t="inlineStr">
        <is>
          <t>1.10</t>
        </is>
      </c>
      <c r="AV1182" t="inlineStr">
        <is>
          <t>20</t>
        </is>
      </c>
      <c r="AW1182" t="inlineStr">
        <is>
          <t>0</t>
        </is>
      </c>
      <c r="AX1182" t="inlineStr">
        <is>
          <t>Not Qualified</t>
        </is>
      </c>
      <c r="AY1182" s="4"/>
      <c r="AZ1182"/>
      <c r="BA1182"/>
      <c r="BB1182"/>
      <c r="BC1182" t="inlineStr">
        <is>
          <t>If management no reply = x mao</t>
        </is>
      </c>
      <c r="BD1182" s="4">
        <v>46135.64644675926</v>
      </c>
      <c r="BE1182" t="inlineStr">
        <is>
          <t>pending</t>
        </is>
      </c>
      <c r="BF1182"/>
      <c r="BG1182" t="inlineStr">
        <is>
          <t>Reschedule</t>
        </is>
      </c>
      <c r="BH1182" t="inlineStr">
        <is>
          <t>Edward Hoo</t>
        </is>
      </c>
      <c r="BI1182" t="inlineStr">
        <is>
          <t>Transportation / Logistics</t>
        </is>
      </c>
      <c r="BJ1182" s="4">
        <v>46144.75096064815</v>
      </c>
      <c r="BK1182" s="4">
        <v>44720.458865740744</v>
      </c>
      <c r="BL1182" t="inlineStr">
        <is>
          <t>0.0</t>
        </is>
      </c>
      <c r="BM1182" t="inlineStr">
        <is>
          <t>600.0</t>
        </is>
      </c>
      <c r="BN1182" t="inlineStr">
        <is>
          <t>View Company Page</t>
        </is>
      </c>
      <c r="BO1182" s="4">
        <v>45524.543287037035</v>
      </c>
      <c r="BP1182">
        <v>168381</v>
      </c>
      <c r="BQ1182">
        <v>60993</v>
      </c>
      <c r="BR1182" t="inlineStr">
        <is>
          <t>Proforma</t>
        </is>
      </c>
      <c r="BS1182" t="inlineStr">
        <is>
          <t>GLFB Gold Package</t>
        </is>
      </c>
      <c r="BT1182">
        <v>46050</v>
      </c>
      <c r="BU1182"/>
      <c r="BV1182">
        <v>2724422</v>
      </c>
      <c r="BW1182" t="inlineStr">
        <is>
          <t>Inquire for Hiring Needs : No Hiring</t>
        </is>
      </c>
      <c r="BX1182"/>
      <c r="BY1182"/>
      <c r="BZ1182" s="4"/>
      <c r="CA1182"/>
      <c r="CB1182"/>
      <c r="CC1182" s="4"/>
      <c r="CD1182" t="inlineStr">
        <is>
          <t>30</t>
        </is>
      </c>
      <c r="CE1182" t="inlineStr">
        <is>
          <t>0</t>
        </is>
      </c>
      <c r="CF1182" t="inlineStr">
        <is>
          <t>Q2-W03</t>
        </is>
      </c>
      <c r="CG1182"/>
      <c r="CH1182"/>
      <c r="CI1182"/>
      <c r="CJ1182" t="inlineStr">
        <is>
          <t>Paid</t>
        </is>
      </c>
      <c r="CK1182" t="inlineStr">
        <is>
          <t>Not Eligible</t>
        </is>
      </c>
      <c r="CL1182"/>
      <c r="CM1182"/>
    </row>
    <row r="1183" ht="25.5" customHeight="1">
      <c r="A1183" t="inlineStr">
        <is>
          <t>158608</t>
        </is>
      </c>
      <c r="B1183" s="2"/>
      <c r="C1183"/>
      <c r="D1183" s="3">
        <v>46134.70516203704</v>
      </c>
      <c r="E1183" t="inlineStr">
        <is>
          <t>Q2-W03</t>
        </is>
      </c>
      <c r="F1183" t="inlineStr">
        <is>
          <t>Fariz</t>
        </is>
      </c>
      <c r="G1183" t="inlineStr">
        <is>
          <t>Customer</t>
        </is>
      </c>
      <c r="H1183" s="2" t="str">
        <f>=HYPERLINK("https://upbox.ajobthing.my/customer/158608", "https://upbox.ajobthing.my/customer/158608")</f>
        <v>https://upbox.ajobthing.my/customer/158608</v>
      </c>
      <c r="I1183" t="inlineStr">
        <is>
          <t>Renth &amp; Co</t>
        </is>
      </c>
      <c r="J1183" t="inlineStr">
        <is>
          <t>Small Fish</t>
        </is>
      </c>
      <c r="K1183" t="inlineStr">
        <is>
          <t>Fariz</t>
        </is>
      </c>
      <c r="L1183" s="4"/>
      <c r="M1183" s="4">
        <v>46134.70533564815</v>
      </c>
      <c r="N1183"/>
      <c r="O1183">
        <v>1296</v>
      </c>
      <c r="P1183" s="4"/>
      <c r="Q1183" s="4">
        <v>45103.42456018519</v>
      </c>
      <c r="R1183"/>
      <c r="S1183">
        <v>954</v>
      </c>
      <c r="T1183" s="4">
        <v>45103.00001157408</v>
      </c>
      <c r="U1183" s="4"/>
      <c r="V1183"/>
      <c r="W1183">
        <v>954</v>
      </c>
      <c r="X1183"/>
      <c r="Y1183" t="inlineStr">
        <is>
          <t>Pending Appointment</t>
        </is>
      </c>
      <c r="Z1183" t="inlineStr">
        <is>
          <t>Hiring Later</t>
        </is>
      </c>
      <c r="AA1183">
        <v>1</v>
      </c>
      <c r="AB1183" t="inlineStr">
        <is>
          <t>No Appointment Made</t>
        </is>
      </c>
      <c r="AC1183"/>
      <c r="AD1183" t="inlineStr">
        <is>
          <t>1 account</t>
        </is>
      </c>
      <c r="AE1183"/>
      <c r="AF1183">
        <v>1200</v>
      </c>
      <c r="AG1183" s="4"/>
      <c r="AH1183" s="4"/>
      <c r="AI1183">
        <v>1200</v>
      </c>
      <c r="AJ1183"/>
      <c r="AK1183" t="inlineStr">
        <is>
          <t>No, I don't need at all</t>
        </is>
      </c>
      <c r="AL1183">
        <v>1</v>
      </c>
      <c r="AM1183" t="inlineStr">
        <is>
          <t>No, but I want in future</t>
        </is>
      </c>
      <c r="AN1183"/>
      <c r="AO1183" t="inlineStr">
        <is>
          <t>No, but I want in future</t>
        </is>
      </c>
      <c r="AP1183" t="inlineStr">
        <is>
          <t>Once a year (25%)</t>
        </is>
      </c>
      <c r="AQ1183">
        <v>2</v>
      </c>
      <c r="AR1183" t="inlineStr">
        <is>
          <t>Free Job Portal</t>
        </is>
      </c>
      <c r="AS1183" t="inlineStr">
        <is>
          <t>- Headcount: 1
- Hiring Job Details: 1 account
- Hiring Urgency: Hiring Later
- Number of outlets: 
- Have recruiter team: No, I don't need at all
- Number of recruiter in company: 1
- Have ATS system: No, but I want in future
- Have career website: No, but I want in future
- Current hiring budget: RM1,200
- Whole year budget: RM1,200.00
- Whole year number of vacancies: 2
- Hiring frequency: Once a year (25%)
- External job portal: Free Job Portal</t>
        </is>
      </c>
      <c r="AT1183">
        <v>75</v>
      </c>
      <c r="AU1183" t="inlineStr">
        <is>
          <t>0.75</t>
        </is>
      </c>
      <c r="AV1183" t="inlineStr">
        <is>
          <t>15</t>
        </is>
      </c>
      <c r="AW1183" t="inlineStr">
        <is>
          <t>0</t>
        </is>
      </c>
      <c r="AX1183" t="inlineStr">
        <is>
          <t>Not Qualified</t>
        </is>
      </c>
      <c r="AY1183" s="4"/>
      <c r="AZ1183"/>
      <c r="BA1183"/>
      <c r="BB1183"/>
      <c r="BC1183" t="inlineStr">
        <is>
          <t>- Headcount: 1
- Hiring Job Details: 1 account
- Hiring Urgency: Hiring Later
- Number of outlets: 
- Have recruiter team: No, I don't need at all
- Number of recruiter in company: 1
- Have ATS system: No, but I want in future
- Have career website: No, but I want in future
- Current hiring budget: RM1,200
- Whole year budget: RM1,200.00
- Whole year number of vacancies: 2
- Hiring frequency: Once a year (25%)
- External job portal: Free Job Portal</t>
        </is>
      </c>
      <c r="BD1183" s="4">
        <v>46134.70837962963</v>
      </c>
      <c r="BE1183" t="inlineStr">
        <is>
          <t>paid</t>
        </is>
      </c>
      <c r="BF1183"/>
      <c r="BG1183" t="inlineStr">
        <is>
          <t>Reschedule</t>
        </is>
      </c>
      <c r="BH1183" t="inlineStr">
        <is>
          <t>Edward Hoo</t>
        </is>
      </c>
      <c r="BI1183" t="inlineStr">
        <is>
          <t>Accounting / Tax Services</t>
        </is>
      </c>
      <c r="BJ1183" s="4">
        <v>46144.75104166667</v>
      </c>
      <c r="BK1183" s="4">
        <v>44789.61712962963</v>
      </c>
      <c r="BL1183" t="inlineStr">
        <is>
          <t>0.0</t>
        </is>
      </c>
      <c r="BM1183" t="inlineStr">
        <is>
          <t>0.0</t>
        </is>
      </c>
      <c r="BN1183" t="inlineStr">
        <is>
          <t>View Jobmanager Page</t>
        </is>
      </c>
      <c r="BO1183" s="4">
        <v>45394.66465277778</v>
      </c>
      <c r="BP1183">
        <v>168385</v>
      </c>
      <c r="BQ1183">
        <v>77513</v>
      </c>
      <c r="BR1183" t="inlineStr">
        <is>
          <t>Proforma</t>
        </is>
      </c>
      <c r="BS1183" t="inlineStr">
        <is>
          <t>Instant Job Ad - Beginner PLUS Package</t>
        </is>
      </c>
      <c r="BT1183">
        <v>59995</v>
      </c>
      <c r="BU1183"/>
      <c r="BV1183">
        <v>2721673</v>
      </c>
      <c r="BW1183" t="inlineStr">
        <is>
          <t>Customer Inquiry</t>
        </is>
      </c>
      <c r="BX1183"/>
      <c r="BY1183"/>
      <c r="BZ1183" s="4"/>
      <c r="CA1183"/>
      <c r="CB1183"/>
      <c r="CC1183" s="4"/>
      <c r="CD1183" t="inlineStr">
        <is>
          <t>20</t>
        </is>
      </c>
      <c r="CE1183" t="inlineStr">
        <is>
          <t>0</t>
        </is>
      </c>
      <c r="CF1183" t="inlineStr">
        <is>
          <t>Q2-W03</t>
        </is>
      </c>
      <c r="CG1183"/>
      <c r="CH1183"/>
      <c r="CI1183"/>
      <c r="CJ1183" t="inlineStr">
        <is>
          <t>Paid</t>
        </is>
      </c>
      <c r="CK1183" t="inlineStr">
        <is>
          <t>Not Eligible</t>
        </is>
      </c>
      <c r="CL1183"/>
      <c r="CM1183"/>
    </row>
    <row r="1184" ht="25.5" customHeight="1">
      <c r="A1184" t="inlineStr">
        <is>
          <t>124279</t>
        </is>
      </c>
      <c r="B1184" s="2"/>
      <c r="C1184"/>
      <c r="D1184" s="3">
        <v>46134.71009259259</v>
      </c>
      <c r="E1184" t="inlineStr">
        <is>
          <t>Q2-W03</t>
        </is>
      </c>
      <c r="F1184" t="inlineStr">
        <is>
          <t>Lucas</t>
        </is>
      </c>
      <c r="G1184" t="inlineStr">
        <is>
          <t>Customer</t>
        </is>
      </c>
      <c r="H1184" s="2" t="str">
        <f>=HYPERLINK("https://upbox.ajobthing.my/customer/124279", "https://upbox.ajobthing.my/customer/124279")</f>
        <v>https://upbox.ajobthing.my/customer/124279</v>
      </c>
      <c r="I1184" t="inlineStr">
        <is>
          <t>Syarikat Ubat Ching Ann Sdn Bhd</t>
        </is>
      </c>
      <c r="J1184" t="inlineStr">
        <is>
          <t>Small Fish</t>
        </is>
      </c>
      <c r="K1184" t="inlineStr">
        <is>
          <t>Lucas</t>
        </is>
      </c>
      <c r="L1184" s="4"/>
      <c r="M1184" s="4">
        <v>46134.7075</v>
      </c>
      <c r="N1184"/>
      <c r="O1184">
        <v>3888</v>
      </c>
      <c r="P1184" s="4"/>
      <c r="Q1184" s="4">
        <v>43839.3696412037</v>
      </c>
      <c r="R1184"/>
      <c r="S1184">
        <v>583</v>
      </c>
      <c r="T1184" s="4">
        <v>43839.00001157408</v>
      </c>
      <c r="U1184" s="4"/>
      <c r="V1184"/>
      <c r="W1184">
        <v>583</v>
      </c>
      <c r="X1184"/>
      <c r="Y1184" t="inlineStr">
        <is>
          <t>Pending Appointment</t>
        </is>
      </c>
      <c r="Z1184" t="inlineStr">
        <is>
          <t>Hiring Now</t>
        </is>
      </c>
      <c r="AA1184">
        <v>3</v>
      </c>
      <c r="AB1184" t="inlineStr">
        <is>
          <t>No Appointment Made</t>
        </is>
      </c>
      <c r="AC1184"/>
      <c r="AD1184" t="inlineStr">
        <is>
          <t xml:space="preserve">1 content creator , 1 sale , 1 customer service </t>
        </is>
      </c>
      <c r="AE1184"/>
      <c r="AF1184">
        <v>0</v>
      </c>
      <c r="AG1184" s="4"/>
      <c r="AH1184" s="4"/>
      <c r="AI1184">
        <v>0</v>
      </c>
      <c r="AJ1184">
        <v>0</v>
      </c>
      <c r="AK1184" t="inlineStr">
        <is>
          <t>No, I don't need at all</t>
        </is>
      </c>
      <c r="AL1184">
        <v>0</v>
      </c>
      <c r="AM1184" t="inlineStr">
        <is>
          <t>No, I don't need at all</t>
        </is>
      </c>
      <c r="AN1184"/>
      <c r="AO1184" t="inlineStr">
        <is>
          <t>No, I don't need at all</t>
        </is>
      </c>
      <c r="AP1184" t="inlineStr">
        <is>
          <t>Once a year (25%)</t>
        </is>
      </c>
      <c r="AQ1184">
        <v>3</v>
      </c>
      <c r="AR1184" t="inlineStr">
        <is>
          <t>Did not use any job portal</t>
        </is>
      </c>
      <c r="AS1184" t="inlineStr">
        <is>
          <t>- Headcount: 3
- Hiring Job Details: 1 content creator, 1 sale, 1 customer service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is>
      </c>
      <c r="AT1184">
        <v>110</v>
      </c>
      <c r="AU1184" t="inlineStr">
        <is>
          <t>1.10</t>
        </is>
      </c>
      <c r="AV1184" t="inlineStr">
        <is>
          <t>15</t>
        </is>
      </c>
      <c r="AW1184" t="inlineStr">
        <is>
          <t>0</t>
        </is>
      </c>
      <c r="AX1184" t="inlineStr">
        <is>
          <t>Not Qualified</t>
        </is>
      </c>
      <c r="AY1184" s="4"/>
      <c r="AZ1184"/>
      <c r="BA1184"/>
      <c r="BB1184"/>
      <c r="BC1184" t="inlineStr">
        <is>
          <t>nr</t>
        </is>
      </c>
      <c r="BD1184" s="4">
        <v>46141.62940972222</v>
      </c>
      <c r="BE1184" t="inlineStr">
        <is>
          <t>failed</t>
        </is>
      </c>
      <c r="BF1184"/>
      <c r="BG1184" t="inlineStr">
        <is>
          <t>Reschedule</t>
        </is>
      </c>
      <c r="BH1184" t="inlineStr">
        <is>
          <t>Yee Hang</t>
        </is>
      </c>
      <c r="BI1184"/>
      <c r="BJ1184" s="4">
        <v>46144.7503125</v>
      </c>
      <c r="BK1184" s="4">
        <v>43834.70452546296</v>
      </c>
      <c r="BL1184" t="inlineStr">
        <is>
          <t>0.0</t>
        </is>
      </c>
      <c r="BM1184" t="inlineStr">
        <is>
          <t>0.0</t>
        </is>
      </c>
      <c r="BN1184" t="inlineStr">
        <is>
          <t>View Jobmanager Page</t>
        </is>
      </c>
      <c r="BO1184" s="4">
        <v>43990.474907407406</v>
      </c>
      <c r="BP1184">
        <v>168388</v>
      </c>
      <c r="BQ1184">
        <v>30837</v>
      </c>
      <c r="BR1184" t="inlineStr">
        <is>
          <t>Proforma</t>
        </is>
      </c>
      <c r="BS1184" t="inlineStr">
        <is>
          <t>A la carte</t>
        </is>
      </c>
      <c r="BT1184">
        <v>22666</v>
      </c>
      <c r="BU1184"/>
      <c r="BV1184">
        <v>2735536</v>
      </c>
      <c r="BW1184" t="inlineStr">
        <is>
          <t>No Answer : Voicemail - WA sent to customer</t>
        </is>
      </c>
      <c r="BX1184"/>
      <c r="BY1184"/>
      <c r="BZ1184" s="4"/>
      <c r="CA1184"/>
      <c r="CB1184"/>
      <c r="CC1184" s="4"/>
      <c r="CD1184" t="inlineStr">
        <is>
          <t>20</t>
        </is>
      </c>
      <c r="CE1184" t="inlineStr">
        <is>
          <t>0</t>
        </is>
      </c>
      <c r="CF1184" t="inlineStr">
        <is>
          <t>Q2-W03</t>
        </is>
      </c>
      <c r="CG1184"/>
      <c r="CH1184"/>
      <c r="CI1184"/>
      <c r="CJ1184" t="inlineStr">
        <is>
          <t>Paid</t>
        </is>
      </c>
      <c r="CK1184" t="inlineStr">
        <is>
          <t>Not Eligible</t>
        </is>
      </c>
      <c r="CL1184"/>
      <c r="CM1184"/>
    </row>
    <row r="1185" ht="25.5" customHeight="1">
      <c r="A1185" t="inlineStr">
        <is>
          <t>4313889</t>
        </is>
      </c>
      <c r="B1185" s="2"/>
      <c r="C1185"/>
      <c r="D1185" s="3">
        <v>46134.720034722224</v>
      </c>
      <c r="E1185" t="inlineStr">
        <is>
          <t>Q2-W03</t>
        </is>
      </c>
      <c r="F1185" t="inlineStr">
        <is>
          <t>Dickson</t>
        </is>
      </c>
      <c r="G1185" t="inlineStr">
        <is>
          <t>Lead</t>
        </is>
      </c>
      <c r="H1185" s="2" t="str">
        <f>=HYPERLINK("https://upbox.ajobthing.my/leads/4313889", "https://upbox.ajobthing.my/leads/4313889")</f>
        <v>https://upbox.ajobthing.my/leads/4313889</v>
      </c>
      <c r="I1185" t="inlineStr">
        <is>
          <t>Petbuddy Nutrition Sdn Bhd</t>
        </is>
      </c>
      <c r="J1185" t="inlineStr">
        <is>
          <t>Small Fish</t>
        </is>
      </c>
      <c r="K1185" t="inlineStr">
        <is>
          <t>Dickson</t>
        </is>
      </c>
      <c r="L1185" s="4"/>
      <c r="M1185" s="4">
        <v>46134.72665509259</v>
      </c>
      <c r="N1185"/>
      <c r="O1185">
        <v>1296</v>
      </c>
      <c r="P1185" s="4"/>
      <c r="Q1185" s="4"/>
      <c r="R1185"/>
      <c r="S1185"/>
      <c r="T1185" s="4"/>
      <c r="U1185" s="4"/>
      <c r="V1185"/>
      <c r="W1185"/>
      <c r="X1185"/>
      <c r="Y1185" t="inlineStr">
        <is>
          <t>Pending Appointment</t>
        </is>
      </c>
      <c r="Z1185" t="inlineStr">
        <is>
          <t>Hiring Now</t>
        </is>
      </c>
      <c r="AA1185">
        <v>2</v>
      </c>
      <c r="AB1185" t="inlineStr">
        <is>
          <t>No Appointment Made</t>
        </is>
      </c>
      <c r="AC1185"/>
      <c r="AD1185" t="inlineStr">
        <is>
          <t>2 internship for marketing and account</t>
        </is>
      </c>
      <c r="AE1185"/>
      <c r="AF1185"/>
      <c r="AG1185" s="4"/>
      <c r="AH1185" s="4"/>
      <c r="AI1185"/>
      <c r="AJ1185">
        <v>1</v>
      </c>
      <c r="AK1185" t="inlineStr">
        <is>
          <t>No, I don't need at all</t>
        </is>
      </c>
      <c r="AL1185"/>
      <c r="AM1185" t="inlineStr">
        <is>
          <t>No, I don't need at all</t>
        </is>
      </c>
      <c r="AN1185"/>
      <c r="AO1185" t="inlineStr">
        <is>
          <t>No, I don't need at all</t>
        </is>
      </c>
      <c r="AP1185" t="inlineStr">
        <is>
          <t>Once per quarter (75%)</t>
        </is>
      </c>
      <c r="AQ1185"/>
      <c r="AR1185" t="inlineStr">
        <is>
          <t>Did not use any job portal</t>
        </is>
      </c>
      <c r="AS1185" t="inlineStr">
        <is>
          <t>- Headcount: 2
- Hiring Job Details: 2 internship for marketing and account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Did not use any job portal</t>
        </is>
      </c>
      <c r="AT1185">
        <v>95</v>
      </c>
      <c r="AU1185" t="inlineStr">
        <is>
          <t>0.95</t>
        </is>
      </c>
      <c r="AV1185" t="inlineStr">
        <is>
          <t>5</t>
        </is>
      </c>
      <c r="AW1185" t="inlineStr">
        <is>
          <t>0</t>
        </is>
      </c>
      <c r="AX1185" t="inlineStr">
        <is>
          <t>Not Qualified</t>
        </is>
      </c>
      <c r="AY1185" s="4"/>
      <c r="AZ1185"/>
      <c r="BA1185"/>
      <c r="BB1185"/>
      <c r="BC1185"/>
      <c r="BD1185" s="4"/>
      <c r="BE1185"/>
      <c r="BF1185"/>
      <c r="BG1185" t="inlineStr">
        <is>
          <t>Reschedule</t>
        </is>
      </c>
      <c r="BH1185" t="inlineStr">
        <is>
          <t>Edward Hoo</t>
        </is>
      </c>
      <c r="BI1185"/>
      <c r="BJ1185" s="4">
        <v>46144.755902777775</v>
      </c>
      <c r="BK1185" s="4">
        <v>46134.71074074074</v>
      </c>
      <c r="BL1185" t="inlineStr">
        <is>
          <t>0.0</t>
        </is>
      </c>
      <c r="BM1185" t="inlineStr">
        <is>
          <t>0.0</t>
        </is>
      </c>
      <c r="BN1185"/>
      <c r="BO1185" s="4"/>
      <c r="BP1185">
        <v>168394</v>
      </c>
      <c r="BQ1185"/>
      <c r="BR1185"/>
      <c r="BS1185"/>
      <c r="BT1185"/>
      <c r="BU1185"/>
      <c r="BV1185"/>
      <c r="BW1185"/>
      <c r="BX1185"/>
      <c r="BY1185"/>
      <c r="BZ1185" s="4"/>
      <c r="CA1185"/>
      <c r="CB1185"/>
      <c r="CC1185" s="4"/>
      <c r="CD1185" t="inlineStr">
        <is>
          <t>5</t>
        </is>
      </c>
      <c r="CE1185" t="inlineStr">
        <is>
          <t>0</t>
        </is>
      </c>
      <c r="CF1185" t="inlineStr">
        <is>
          <t>Q2-W03</t>
        </is>
      </c>
      <c r="CG1185"/>
      <c r="CH1185"/>
      <c r="CI1185"/>
      <c r="CJ1185" t="inlineStr">
        <is>
          <t>No Paid</t>
        </is>
      </c>
      <c r="CK1185" t="inlineStr">
        <is>
          <t>Not Eligible</t>
        </is>
      </c>
      <c r="CL1185"/>
      <c r="CM1185"/>
    </row>
    <row r="1186" ht="25.5" customHeight="1">
      <c r="A1186" t="inlineStr">
        <is>
          <t>171218</t>
        </is>
      </c>
      <c r="B1186" s="2"/>
      <c r="C1186"/>
      <c r="D1186" s="3">
        <v>46134.72689814815</v>
      </c>
      <c r="E1186" t="inlineStr">
        <is>
          <t>Q2-W03</t>
        </is>
      </c>
      <c r="F1186" t="inlineStr">
        <is>
          <t>Xin Hui</t>
        </is>
      </c>
      <c r="G1186" t="inlineStr">
        <is>
          <t>Customer</t>
        </is>
      </c>
      <c r="H1186" s="2" t="str">
        <f>=HYPERLINK("https://upbox.ajobthing.my/customer/171218", "https://upbox.ajobthing.my/customer/171218")</f>
        <v>https://upbox.ajobthing.my/customer/171218</v>
      </c>
      <c r="I1186" t="inlineStr">
        <is>
          <t>Contaq Advisory Sdn Bhd</t>
        </is>
      </c>
      <c r="J1186" t="inlineStr">
        <is>
          <t>Small Fish</t>
        </is>
      </c>
      <c r="K1186" t="inlineStr">
        <is>
          <t>Xin Hui</t>
        </is>
      </c>
      <c r="L1186" s="4"/>
      <c r="M1186" s="4">
        <v>46134.7283912037</v>
      </c>
      <c r="N1186"/>
      <c r="O1186">
        <v>3888</v>
      </c>
      <c r="P1186" s="4"/>
      <c r="Q1186" s="4">
        <v>45189.59416666667</v>
      </c>
      <c r="R1186"/>
      <c r="S1186">
        <v>636</v>
      </c>
      <c r="T1186" s="4">
        <v>45189.00001157408</v>
      </c>
      <c r="U1186" s="4"/>
      <c r="V1186"/>
      <c r="W1186">
        <v>636</v>
      </c>
      <c r="X1186"/>
      <c r="Y1186" t="inlineStr">
        <is>
          <t>Pending Appointment</t>
        </is>
      </c>
      <c r="Z1186" t="inlineStr">
        <is>
          <t>Hiring Later</t>
        </is>
      </c>
      <c r="AA1186">
        <v>1</v>
      </c>
      <c r="AB1186" t="inlineStr">
        <is>
          <t>No Appointment Made</t>
        </is>
      </c>
      <c r="AC1186"/>
      <c r="AD1186" t="inlineStr">
        <is>
          <t>account exec</t>
        </is>
      </c>
      <c r="AE1186"/>
      <c r="AF1186"/>
      <c r="AG1186" s="4"/>
      <c r="AH1186" s="4"/>
      <c r="AI1186"/>
      <c r="AJ1186"/>
      <c r="AK1186" t="inlineStr">
        <is>
          <t>No, I don't need at all</t>
        </is>
      </c>
      <c r="AL1186"/>
      <c r="AM1186" t="inlineStr">
        <is>
          <t>No, I don't need at all</t>
        </is>
      </c>
      <c r="AN1186"/>
      <c r="AO1186" t="inlineStr">
        <is>
          <t>No, I don't need at all</t>
        </is>
      </c>
      <c r="AP1186" t="inlineStr">
        <is>
          <t>Once a year (25%)</t>
        </is>
      </c>
      <c r="AQ1186"/>
      <c r="AR1186"/>
      <c r="AS1186" t="inlineStr">
        <is>
          <t>- Headcount: 1
- Hiring Job Details: account exec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186">
        <v>75</v>
      </c>
      <c r="AU1186" t="inlineStr">
        <is>
          <t>0.75</t>
        </is>
      </c>
      <c r="AV1186" t="inlineStr">
        <is>
          <t>5</t>
        </is>
      </c>
      <c r="AW1186" t="inlineStr">
        <is>
          <t>0</t>
        </is>
      </c>
      <c r="AX1186" t="inlineStr">
        <is>
          <t>Not Qualified</t>
        </is>
      </c>
      <c r="AY1186" s="4"/>
      <c r="AZ1186"/>
      <c r="BA1186"/>
      <c r="BB1186"/>
      <c r="BC1186" t="inlineStr">
        <is>
          <t>boss outstation, decision pending</t>
        </is>
      </c>
      <c r="BD1186" s="4">
        <v>46140.74966435185</v>
      </c>
      <c r="BE1186" t="inlineStr">
        <is>
          <t>paid</t>
        </is>
      </c>
      <c r="BF1186"/>
      <c r="BG1186" t="inlineStr">
        <is>
          <t>Reschedule</t>
        </is>
      </c>
      <c r="BH1186" t="inlineStr">
        <is>
          <t>Yee Hang</t>
        </is>
      </c>
      <c r="BI1186" t="inlineStr">
        <is>
          <t>Accounting / Tax Services</t>
        </is>
      </c>
      <c r="BJ1186" s="4">
        <v>46144.75142361111</v>
      </c>
      <c r="BK1186" s="4">
        <v>45189.58969907407</v>
      </c>
      <c r="BL1186" t="inlineStr">
        <is>
          <t>0.0</t>
        </is>
      </c>
      <c r="BM1186" t="inlineStr">
        <is>
          <t>0.0</t>
        </is>
      </c>
      <c r="BN1186" t="inlineStr">
        <is>
          <t>View Jobmanager Page</t>
        </is>
      </c>
      <c r="BO1186" s="4">
        <v>45348.72373842593</v>
      </c>
      <c r="BP1186">
        <v>168397</v>
      </c>
      <c r="BQ1186">
        <v>80635</v>
      </c>
      <c r="BR1186" t="inlineStr">
        <is>
          <t>Proforma</t>
        </is>
      </c>
      <c r="BS1186" t="inlineStr">
        <is>
          <t>Instant Job Ad Beginner</t>
        </is>
      </c>
      <c r="BT1186">
        <v>62312</v>
      </c>
      <c r="BU1186"/>
      <c r="BV1186">
        <v>2733932</v>
      </c>
      <c r="BW1186" t="inlineStr">
        <is>
          <t>Follow Up : Decision Pending</t>
        </is>
      </c>
      <c r="BX1186"/>
      <c r="BY1186"/>
      <c r="BZ1186" s="4"/>
      <c r="CA1186"/>
      <c r="CB1186"/>
      <c r="CC1186" s="4"/>
      <c r="CD1186" t="inlineStr">
        <is>
          <t>5</t>
        </is>
      </c>
      <c r="CE1186" t="inlineStr">
        <is>
          <t>0</t>
        </is>
      </c>
      <c r="CF1186" t="inlineStr">
        <is>
          <t>Q2-W03</t>
        </is>
      </c>
      <c r="CG1186"/>
      <c r="CH1186"/>
      <c r="CI1186"/>
      <c r="CJ1186" t="inlineStr">
        <is>
          <t>Paid</t>
        </is>
      </c>
      <c r="CK1186" t="inlineStr">
        <is>
          <t>Not Eligible</t>
        </is>
      </c>
      <c r="CL1186"/>
      <c r="CM1186"/>
    </row>
    <row r="1187" ht="25.5" customHeight="1">
      <c r="A1187" t="inlineStr">
        <is>
          <t>4313869</t>
        </is>
      </c>
      <c r="B1187" s="2"/>
      <c r="C1187"/>
      <c r="D1187" s="3">
        <v>46134.72719907408</v>
      </c>
      <c r="E1187" t="inlineStr">
        <is>
          <t>Q2-W03</t>
        </is>
      </c>
      <c r="F1187" t="inlineStr">
        <is>
          <t>Janice Yap</t>
        </is>
      </c>
      <c r="G1187" t="inlineStr">
        <is>
          <t>Lead</t>
        </is>
      </c>
      <c r="H1187" s="2" t="str">
        <f>=HYPERLINK("https://upbox.ajobthing.my/leads/4313869", "https://upbox.ajobthing.my/leads/4313869")</f>
        <v>https://upbox.ajobthing.my/leads/4313869</v>
      </c>
      <c r="I1187" t="inlineStr">
        <is>
          <t>Film Edge Sdn Bhd</t>
        </is>
      </c>
      <c r="J1187" t="inlineStr">
        <is>
          <t>Small Fish</t>
        </is>
      </c>
      <c r="K1187" t="inlineStr">
        <is>
          <t>Janice</t>
        </is>
      </c>
      <c r="L1187" s="4"/>
      <c r="M1187" s="4">
        <v>46134.70327546296</v>
      </c>
      <c r="N1187"/>
      <c r="O1187">
        <v>3888</v>
      </c>
      <c r="P1187" s="4"/>
      <c r="Q1187" s="4"/>
      <c r="R1187"/>
      <c r="S1187"/>
      <c r="T1187" s="4"/>
      <c r="U1187" s="4"/>
      <c r="V1187"/>
      <c r="W1187"/>
      <c r="X1187"/>
      <c r="Y1187" t="inlineStr">
        <is>
          <t>Pending Appointment</t>
        </is>
      </c>
      <c r="Z1187" t="inlineStr">
        <is>
          <t>Hiring Now</t>
        </is>
      </c>
      <c r="AA1187">
        <v>1</v>
      </c>
      <c r="AB1187" t="inlineStr">
        <is>
          <t>No Appointment Made</t>
        </is>
      </c>
      <c r="AC1187"/>
      <c r="AD1187" t="inlineStr">
        <is>
          <t>1 admin</t>
        </is>
      </c>
      <c r="AE1187"/>
      <c r="AF1187">
        <v>0</v>
      </c>
      <c r="AG1187" s="4"/>
      <c r="AH1187" s="4"/>
      <c r="AI1187">
        <v>0</v>
      </c>
      <c r="AJ1187"/>
      <c r="AK1187" t="inlineStr">
        <is>
          <t>No, I don't need at all</t>
        </is>
      </c>
      <c r="AL1187">
        <v>0</v>
      </c>
      <c r="AM1187" t="inlineStr">
        <is>
          <t>No, I don't need at all</t>
        </is>
      </c>
      <c r="AN1187"/>
      <c r="AO1187" t="inlineStr">
        <is>
          <t>No, I don't need at all</t>
        </is>
      </c>
      <c r="AP1187" t="inlineStr">
        <is>
          <t>Once a year (25%)</t>
        </is>
      </c>
      <c r="AQ1187">
        <v>1</v>
      </c>
      <c r="AR1187" t="inlineStr">
        <is>
          <t>Did not use any job portal</t>
        </is>
      </c>
      <c r="AS1187" t="inlineStr">
        <is>
          <t>- Headcount: 1
- Hiring Job Details: 1 admin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187">
        <v>110</v>
      </c>
      <c r="AU1187" t="inlineStr">
        <is>
          <t>1.10</t>
        </is>
      </c>
      <c r="AV1187" t="inlineStr">
        <is>
          <t>15</t>
        </is>
      </c>
      <c r="AW1187" t="inlineStr">
        <is>
          <t>0</t>
        </is>
      </c>
      <c r="AX1187" t="inlineStr">
        <is>
          <t>Not Qualified</t>
        </is>
      </c>
      <c r="AY1187" s="4"/>
      <c r="AZ1187"/>
      <c r="BA1187"/>
      <c r="BB1187"/>
      <c r="BC1187"/>
      <c r="BD1187" s="4"/>
      <c r="BE1187"/>
      <c r="BF1187"/>
      <c r="BG1187" t="inlineStr">
        <is>
          <t>Reschedule</t>
        </is>
      </c>
      <c r="BH1187" t="inlineStr">
        <is>
          <t>Yee Hang</t>
        </is>
      </c>
      <c r="BI1187"/>
      <c r="BJ1187" s="4">
        <v>46144.755902777775</v>
      </c>
      <c r="BK1187" s="4">
        <v>46134.69143518519</v>
      </c>
      <c r="BL1187" t="inlineStr">
        <is>
          <t>0.0</t>
        </is>
      </c>
      <c r="BM1187" t="inlineStr">
        <is>
          <t>0.0</t>
        </is>
      </c>
      <c r="BN1187"/>
      <c r="BO1187" s="4"/>
      <c r="BP1187">
        <v>168380</v>
      </c>
      <c r="BQ1187"/>
      <c r="BR1187"/>
      <c r="BS1187"/>
      <c r="BT1187"/>
      <c r="BU1187"/>
      <c r="BV1187"/>
      <c r="BW1187"/>
      <c r="BX1187"/>
      <c r="BY1187"/>
      <c r="BZ1187" s="4"/>
      <c r="CA1187"/>
      <c r="CB1187"/>
      <c r="CC1187" s="4"/>
      <c r="CD1187" t="inlineStr">
        <is>
          <t>20</t>
        </is>
      </c>
      <c r="CE1187" t="inlineStr">
        <is>
          <t>0</t>
        </is>
      </c>
      <c r="CF1187" t="inlineStr">
        <is>
          <t>Q2-W03</t>
        </is>
      </c>
      <c r="CG1187"/>
      <c r="CH1187"/>
      <c r="CI1187"/>
      <c r="CJ1187" t="inlineStr">
        <is>
          <t>No Paid</t>
        </is>
      </c>
      <c r="CK1187" t="inlineStr">
        <is>
          <t>Not Eligible</t>
        </is>
      </c>
      <c r="CL1187"/>
      <c r="CM1187"/>
    </row>
    <row r="1188" ht="25.5" customHeight="1">
      <c r="A1188" t="inlineStr">
        <is>
          <t>170078</t>
        </is>
      </c>
      <c r="B1188" s="2"/>
      <c r="C1188"/>
      <c r="D1188" s="3">
        <v>46134.73798611111</v>
      </c>
      <c r="E1188" t="inlineStr">
        <is>
          <t>Q2-W03</t>
        </is>
      </c>
      <c r="F1188" t="inlineStr">
        <is>
          <t>Jeff Lee</t>
        </is>
      </c>
      <c r="G1188" t="inlineStr">
        <is>
          <t>Customer</t>
        </is>
      </c>
      <c r="H1188" s="2" t="str">
        <f>=HYPERLINK("https://upbox.ajobthing.my/customer/170078", "https://upbox.ajobthing.my/customer/170078")</f>
        <v>https://upbox.ajobthing.my/customer/170078</v>
      </c>
      <c r="I1188" t="inlineStr">
        <is>
          <t>Tai Seng Plantation</t>
        </is>
      </c>
      <c r="J1188" t="inlineStr">
        <is>
          <t>Small Fish</t>
        </is>
      </c>
      <c r="K1188" t="inlineStr">
        <is>
          <t>Jeff Lee</t>
        </is>
      </c>
      <c r="L1188" s="4"/>
      <c r="M1188" s="4">
        <v>46134.73668981482</v>
      </c>
      <c r="N1188"/>
      <c r="O1188">
        <v>3888</v>
      </c>
      <c r="P1188" s="4"/>
      <c r="Q1188" s="4">
        <v>45149.725069444445</v>
      </c>
      <c r="R1188"/>
      <c r="S1188">
        <v>954</v>
      </c>
      <c r="T1188" s="4">
        <v>45149.725069444445</v>
      </c>
      <c r="U1188" s="4"/>
      <c r="V1188"/>
      <c r="W1188">
        <v>954</v>
      </c>
      <c r="X1188"/>
      <c r="Y1188" t="inlineStr">
        <is>
          <t>Pending Appointment</t>
        </is>
      </c>
      <c r="Z1188" t="inlineStr">
        <is>
          <t>Hiring Later</t>
        </is>
      </c>
      <c r="AA1188">
        <v>2</v>
      </c>
      <c r="AB1188" t="inlineStr">
        <is>
          <t>No Appointment Made</t>
        </is>
      </c>
      <c r="AC1188"/>
      <c r="AD1188" t="inlineStr">
        <is>
          <t>1Construction Worker , 1site supervisor</t>
        </is>
      </c>
      <c r="AE1188"/>
      <c r="AF1188">
        <v>0</v>
      </c>
      <c r="AG1188" s="4"/>
      <c r="AH1188" s="4"/>
      <c r="AI1188">
        <v>0</v>
      </c>
      <c r="AJ1188">
        <v>0</v>
      </c>
      <c r="AK1188" t="inlineStr">
        <is>
          <t>No, I don't need at all</t>
        </is>
      </c>
      <c r="AL1188">
        <v>0</v>
      </c>
      <c r="AM1188" t="inlineStr">
        <is>
          <t>No, I don't need at all</t>
        </is>
      </c>
      <c r="AN1188"/>
      <c r="AO1188" t="inlineStr">
        <is>
          <t>No, I don't need at all</t>
        </is>
      </c>
      <c r="AP1188" t="inlineStr">
        <is>
          <t>Once a year (25%)</t>
        </is>
      </c>
      <c r="AQ1188">
        <v>2</v>
      </c>
      <c r="AR1188" t="inlineStr">
        <is>
          <t>Did not use any job portal</t>
        </is>
      </c>
      <c r="AS1188" t="inlineStr">
        <is>
          <t>- Headcount: 2 (1 Construction Worker, 1 site supervisor).
- Hiring Job Details: 1 Construction Worker, 1 site supervisor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188">
        <v>115</v>
      </c>
      <c r="AU1188" t="inlineStr">
        <is>
          <t>1.15</t>
        </is>
      </c>
      <c r="AV1188" t="inlineStr">
        <is>
          <t>15</t>
        </is>
      </c>
      <c r="AW1188" t="inlineStr">
        <is>
          <t>0</t>
        </is>
      </c>
      <c r="AX1188" t="inlineStr">
        <is>
          <t>Not Qualified</t>
        </is>
      </c>
      <c r="AY1188" s="4"/>
      <c r="AZ1188"/>
      <c r="BA1188"/>
      <c r="BB1188"/>
      <c r="BC1188" t="inlineStr">
        <is>
          <t>pending from his boss, he can't make decision</t>
        </is>
      </c>
      <c r="BD1188" s="4">
        <v>46140.43278935185</v>
      </c>
      <c r="BE1188" t="inlineStr">
        <is>
          <t>paid</t>
        </is>
      </c>
      <c r="BF1188"/>
      <c r="BG1188" t="inlineStr">
        <is>
          <t>Reschedule</t>
        </is>
      </c>
      <c r="BH1188" t="inlineStr">
        <is>
          <t>Yee Hang</t>
        </is>
      </c>
      <c r="BI1188"/>
      <c r="BJ1188" s="4">
        <v>46144.75140046296</v>
      </c>
      <c r="BK1188" s="4">
        <v>45149.71436342593</v>
      </c>
      <c r="BL1188" t="inlineStr">
        <is>
          <t>0.0</t>
        </is>
      </c>
      <c r="BM1188" t="inlineStr">
        <is>
          <t>0.0</t>
        </is>
      </c>
      <c r="BN1188" t="inlineStr">
        <is>
          <t>View Applicant Page</t>
        </is>
      </c>
      <c r="BO1188" s="4">
        <v>45159.505266203705</v>
      </c>
      <c r="BP1188">
        <v>168406</v>
      </c>
      <c r="BQ1188">
        <v>61328</v>
      </c>
      <c r="BR1188" t="inlineStr">
        <is>
          <t>Online</t>
        </is>
      </c>
      <c r="BS1188"/>
      <c r="BT1188">
        <v>61328</v>
      </c>
      <c r="BU1188"/>
      <c r="BV1188">
        <v>2731809</v>
      </c>
      <c r="BW1188" t="inlineStr">
        <is>
          <t>Follow Up : Decision Pending</t>
        </is>
      </c>
      <c r="BX1188"/>
      <c r="BY1188"/>
      <c r="BZ1188" s="4"/>
      <c r="CA1188"/>
      <c r="CB1188"/>
      <c r="CC1188" s="4"/>
      <c r="CD1188" t="inlineStr">
        <is>
          <t>20</t>
        </is>
      </c>
      <c r="CE1188" t="inlineStr">
        <is>
          <t>0</t>
        </is>
      </c>
      <c r="CF1188" t="inlineStr">
        <is>
          <t>Q2-W03</t>
        </is>
      </c>
      <c r="CG1188"/>
      <c r="CH1188"/>
      <c r="CI1188"/>
      <c r="CJ1188" t="inlineStr">
        <is>
          <t>Paid</t>
        </is>
      </c>
      <c r="CK1188" t="inlineStr">
        <is>
          <t>Not Eligible</t>
        </is>
      </c>
      <c r="CL1188"/>
      <c r="CM1188"/>
    </row>
    <row r="1189" ht="25.5" customHeight="1">
      <c r="A1189" t="inlineStr">
        <is>
          <t>142392</t>
        </is>
      </c>
      <c r="B1189" s="2"/>
      <c r="C1189"/>
      <c r="D1189" s="3">
        <v>46134.739016203705</v>
      </c>
      <c r="E1189" t="inlineStr">
        <is>
          <t>Q2-W03</t>
        </is>
      </c>
      <c r="F1189" t="inlineStr">
        <is>
          <t>Keegan</t>
        </is>
      </c>
      <c r="G1189" t="inlineStr">
        <is>
          <t>Customer</t>
        </is>
      </c>
      <c r="H1189" s="2" t="str">
        <f>=HYPERLINK("https://upbox.ajobthing.my/customer/142392", "https://upbox.ajobthing.my/customer/142392")</f>
        <v>https://upbox.ajobthing.my/customer/142392</v>
      </c>
      <c r="I1189" t="inlineStr">
        <is>
          <t>Vision Business Consultants (m) Sdn Bhd</t>
        </is>
      </c>
      <c r="J1189" t="inlineStr">
        <is>
          <t>Small Fish</t>
        </is>
      </c>
      <c r="K1189" t="inlineStr">
        <is>
          <t>Keegan</t>
        </is>
      </c>
      <c r="L1189" s="4"/>
      <c r="M1189" s="4">
        <v>46134.739074074074</v>
      </c>
      <c r="N1189"/>
      <c r="O1189">
        <v>6048</v>
      </c>
      <c r="P1189" s="4"/>
      <c r="Q1189" s="4">
        <v>46134.75200231482</v>
      </c>
      <c r="R1189"/>
      <c r="S1189">
        <v>0</v>
      </c>
      <c r="T1189" s="4"/>
      <c r="U1189" s="4"/>
      <c r="V1189"/>
      <c r="W1189"/>
      <c r="X1189"/>
      <c r="Y1189" t="inlineStr">
        <is>
          <t>Pending Appointment</t>
        </is>
      </c>
      <c r="Z1189" t="inlineStr">
        <is>
          <t>Hiring Now</t>
        </is>
      </c>
      <c r="AA1189">
        <v>3</v>
      </c>
      <c r="AB1189" t="inlineStr">
        <is>
          <t>No Appointment Made</t>
        </is>
      </c>
      <c r="AC1189"/>
      <c r="AD1189" t="inlineStr">
        <is>
          <t xml:space="preserve">1. BD 
2. Sales and Marketing 
3. Admin </t>
        </is>
      </c>
      <c r="AE1189"/>
      <c r="AF1189"/>
      <c r="AG1189" s="4"/>
      <c r="AH1189" s="4"/>
      <c r="AI1189"/>
      <c r="AJ1189">
        <v>1</v>
      </c>
      <c r="AK1189" t="inlineStr">
        <is>
          <t>No, I don't need at all</t>
        </is>
      </c>
      <c r="AL1189">
        <v>0</v>
      </c>
      <c r="AM1189" t="inlineStr">
        <is>
          <t>No, I don't need at all</t>
        </is>
      </c>
      <c r="AN1189"/>
      <c r="AO1189" t="inlineStr">
        <is>
          <t>No, I don't need at all</t>
        </is>
      </c>
      <c r="AP1189" t="inlineStr">
        <is>
          <t>Once per quarter (75%)</t>
        </is>
      </c>
      <c r="AQ1189"/>
      <c r="AR1189" t="inlineStr">
        <is>
          <t>Did not use any job portal</t>
        </is>
      </c>
      <c r="AS1189" t="inlineStr">
        <is>
          <t>- Headcount: 3
- Hiring Job Details: 1. BD 2. Sales and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189">
        <v>75</v>
      </c>
      <c r="AU1189" t="inlineStr">
        <is>
          <t>0.75</t>
        </is>
      </c>
      <c r="AV1189" t="inlineStr">
        <is>
          <t>5</t>
        </is>
      </c>
      <c r="AW1189" t="inlineStr">
        <is>
          <t>0</t>
        </is>
      </c>
      <c r="AX1189" t="inlineStr">
        <is>
          <t>Not Qualified</t>
        </is>
      </c>
      <c r="AY1189" s="4"/>
      <c r="AZ1189"/>
      <c r="BA1189"/>
      <c r="BB1189"/>
      <c r="BC1189" t="inlineStr">
        <is>
          <t>- Headcount: 3
- Hiring Job Details: 1. BD 2. Sales and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189" s="4">
        <v>46134.75005787037</v>
      </c>
      <c r="BE1189" t="inlineStr">
        <is>
          <t>paid</t>
        </is>
      </c>
      <c r="BF1189"/>
      <c r="BG1189" t="inlineStr">
        <is>
          <t>Reschedule</t>
        </is>
      </c>
      <c r="BH1189" t="inlineStr">
        <is>
          <t>Edward Hoo</t>
        </is>
      </c>
      <c r="BI1189" t="inlineStr">
        <is>
          <t>Admin / Clerical</t>
        </is>
      </c>
      <c r="BJ1189" s="4">
        <v>46144.75069444445</v>
      </c>
      <c r="BK1189" s="4">
        <v>44487.599490740744</v>
      </c>
      <c r="BL1189" t="inlineStr">
        <is>
          <t>0.0</t>
        </is>
      </c>
      <c r="BM1189" t="inlineStr">
        <is>
          <t>0.0</t>
        </is>
      </c>
      <c r="BN1189" t="inlineStr">
        <is>
          <t>View Account User</t>
        </is>
      </c>
      <c r="BO1189" s="4">
        <v>44487.603113425925</v>
      </c>
      <c r="BP1189">
        <v>168408</v>
      </c>
      <c r="BQ1189">
        <v>123566</v>
      </c>
      <c r="BR1189" t="inlineStr">
        <is>
          <t>Proforma</t>
        </is>
      </c>
      <c r="BS1189" t="inlineStr">
        <is>
          <t>Free Part-Time Job</t>
        </is>
      </c>
      <c r="BT1189"/>
      <c r="BU1189"/>
      <c r="BV1189">
        <v>2722067</v>
      </c>
      <c r="BW1189" t="inlineStr">
        <is>
          <t>Customer Inquiry</t>
        </is>
      </c>
      <c r="BX1189"/>
      <c r="BY1189"/>
      <c r="BZ1189" s="4"/>
      <c r="CA1189"/>
      <c r="CB1189"/>
      <c r="CC1189" s="4"/>
      <c r="CD1189" t="inlineStr">
        <is>
          <t>5</t>
        </is>
      </c>
      <c r="CE1189" t="inlineStr">
        <is>
          <t>0</t>
        </is>
      </c>
      <c r="CF1189" t="inlineStr">
        <is>
          <t>Q2-W03</t>
        </is>
      </c>
      <c r="CG1189" t="inlineStr">
        <is>
          <t>Q2-W03</t>
        </is>
      </c>
      <c r="CH1189"/>
      <c r="CI1189"/>
      <c r="CJ1189" t="inlineStr">
        <is>
          <t>No Paid</t>
        </is>
      </c>
      <c r="CK1189" t="inlineStr">
        <is>
          <t>Not Eligible</t>
        </is>
      </c>
      <c r="CL1189"/>
      <c r="CM1189"/>
    </row>
    <row r="1190" ht="25.5" customHeight="1">
      <c r="A1190" t="inlineStr">
        <is>
          <t>4055909</t>
        </is>
      </c>
      <c r="B1190" s="2"/>
      <c r="C1190"/>
      <c r="D1190" s="3">
        <v>46134.73976851852</v>
      </c>
      <c r="E1190" t="inlineStr">
        <is>
          <t>Q2-W03</t>
        </is>
      </c>
      <c r="F1190" t="inlineStr">
        <is>
          <t>Josh</t>
        </is>
      </c>
      <c r="G1190" t="inlineStr">
        <is>
          <t>Lead</t>
        </is>
      </c>
      <c r="H1190" s="2" t="str">
        <f>=HYPERLINK("https://upbox.ajobthing.my/leads/4055909", "https://upbox.ajobthing.my/leads/4055909")</f>
        <v>https://upbox.ajobthing.my/leads/4055909</v>
      </c>
      <c r="I1190" t="inlineStr">
        <is>
          <t>George Town Conservation &amp; Development Corporation</t>
        </is>
      </c>
      <c r="J1190" t="inlineStr">
        <is>
          <t>Small Fish</t>
        </is>
      </c>
      <c r="K1190" t="inlineStr">
        <is>
          <t>Josh</t>
        </is>
      </c>
      <c r="L1190" s="4"/>
      <c r="M1190" s="4">
        <v>46134.739953703705</v>
      </c>
      <c r="N1190"/>
      <c r="O1190">
        <v>6048</v>
      </c>
      <c r="P1190" s="4"/>
      <c r="Q1190" s="4"/>
      <c r="R1190"/>
      <c r="S1190"/>
      <c r="T1190" s="4"/>
      <c r="U1190" s="4"/>
      <c r="V1190"/>
      <c r="W1190"/>
      <c r="X1190"/>
      <c r="Y1190" t="inlineStr">
        <is>
          <t>Pending Appointment</t>
        </is>
      </c>
      <c r="Z1190" t="inlineStr">
        <is>
          <t>Hiring Later</t>
        </is>
      </c>
      <c r="AA1190">
        <v>1</v>
      </c>
      <c r="AB1190" t="inlineStr">
        <is>
          <t>No Appointment Made</t>
        </is>
      </c>
      <c r="AC1190"/>
      <c r="AD1190" t="inlineStr">
        <is>
          <t xml:space="preserve">1 Project manager </t>
        </is>
      </c>
      <c r="AE1190"/>
      <c r="AF1190">
        <v>5000</v>
      </c>
      <c r="AG1190" s="4"/>
      <c r="AH1190" s="4"/>
      <c r="AI1190"/>
      <c r="AJ1190"/>
      <c r="AK1190" t="inlineStr">
        <is>
          <t>Yes, I have</t>
        </is>
      </c>
      <c r="AL1190"/>
      <c r="AM1190"/>
      <c r="AN1190"/>
      <c r="AO1190"/>
      <c r="AP1190" t="inlineStr">
        <is>
          <t>Once a year (25%)</t>
        </is>
      </c>
      <c r="AQ1190"/>
      <c r="AR1190"/>
      <c r="AS1190" t="inlineStr">
        <is>
          <t>- Headcount: 1
- Hiring Job Details: 1 Project manager
- Hiring Urgency: Hiring Later
- Number of outlets: Not provided
- Have recruiter team: Yes
- Number of recruiter in company: Not provided
- Have ATS system: Not provided
- Have career website: Not provided
- Current hiring budget: RM5,000.00
- Whole year budget: Not provided
- Whole year number of vacancies: Not provided
- Hiring frequency: Once a year (25%)
- External job portal: Not provided</t>
        </is>
      </c>
      <c r="AT1190">
        <v>75</v>
      </c>
      <c r="AU1190" t="inlineStr">
        <is>
          <t>0.75</t>
        </is>
      </c>
      <c r="AV1190" t="inlineStr">
        <is>
          <t>15</t>
        </is>
      </c>
      <c r="AW1190" t="inlineStr">
        <is>
          <t>0</t>
        </is>
      </c>
      <c r="AX1190" t="inlineStr">
        <is>
          <t>Not Qualified</t>
        </is>
      </c>
      <c r="AY1190" s="4"/>
      <c r="AZ1190"/>
      <c r="BA1190"/>
      <c r="BB1190"/>
      <c r="BC1190"/>
      <c r="BD1190" s="4"/>
      <c r="BE1190"/>
      <c r="BF1190"/>
      <c r="BG1190" t="inlineStr">
        <is>
          <t>Reschedule</t>
        </is>
      </c>
      <c r="BH1190" t="inlineStr">
        <is>
          <t>Fauziah Maharan</t>
        </is>
      </c>
      <c r="BI1190"/>
      <c r="BJ1190" s="4">
        <v>46144.75530092593</v>
      </c>
      <c r="BK1190" s="4">
        <v>46063.44775462963</v>
      </c>
      <c r="BL1190" t="inlineStr">
        <is>
          <t>0.0</t>
        </is>
      </c>
      <c r="BM1190" t="inlineStr">
        <is>
          <t>0.0</t>
        </is>
      </c>
      <c r="BN1190"/>
      <c r="BO1190" s="4"/>
      <c r="BP1190">
        <v>168410</v>
      </c>
      <c r="BQ1190"/>
      <c r="BR1190"/>
      <c r="BS1190"/>
      <c r="BT1190"/>
      <c r="BU1190"/>
      <c r="BV1190"/>
      <c r="BW1190"/>
      <c r="BX1190"/>
      <c r="BY1190"/>
      <c r="BZ1190" s="4"/>
      <c r="CA1190"/>
      <c r="CB1190"/>
      <c r="CC1190" s="4"/>
      <c r="CD1190" t="inlineStr">
        <is>
          <t>20</t>
        </is>
      </c>
      <c r="CE1190" t="inlineStr">
        <is>
          <t>0</t>
        </is>
      </c>
      <c r="CF1190" t="inlineStr">
        <is>
          <t>Q2-W03</t>
        </is>
      </c>
      <c r="CG1190"/>
      <c r="CH1190"/>
      <c r="CI1190"/>
      <c r="CJ1190" t="inlineStr">
        <is>
          <t>No Paid</t>
        </is>
      </c>
      <c r="CK1190" t="inlineStr">
        <is>
          <t>Not Eligible</t>
        </is>
      </c>
      <c r="CL1190"/>
      <c r="CM1190"/>
    </row>
    <row r="1191" ht="25.5" customHeight="1">
      <c r="A1191" t="inlineStr">
        <is>
          <t>4052967</t>
        </is>
      </c>
      <c r="B1191" s="2"/>
      <c r="C1191"/>
      <c r="D1191" s="3">
        <v>46134.7421412037</v>
      </c>
      <c r="E1191" t="inlineStr">
        <is>
          <t>Q2-W03</t>
        </is>
      </c>
      <c r="F1191" t="inlineStr">
        <is>
          <t>Josh</t>
        </is>
      </c>
      <c r="G1191" t="inlineStr">
        <is>
          <t>Lead</t>
        </is>
      </c>
      <c r="H1191" s="2" t="str">
        <f>=HYPERLINK("https://upbox.ajobthing.my/leads/4052967", "https://upbox.ajobthing.my/leads/4052967")</f>
        <v>https://upbox.ajobthing.my/leads/4052967</v>
      </c>
      <c r="I1191" t="inlineStr">
        <is>
          <t>ALSAI ENGINEERING SDN BHD</t>
        </is>
      </c>
      <c r="J1191" t="inlineStr">
        <is>
          <t>Small Fish</t>
        </is>
      </c>
      <c r="K1191" t="inlineStr">
        <is>
          <t>Josh</t>
        </is>
      </c>
      <c r="L1191" s="4"/>
      <c r="M1191" s="4">
        <v>46134.742418981485</v>
      </c>
      <c r="N1191"/>
      <c r="O1191">
        <v>6048</v>
      </c>
      <c r="P1191" s="4"/>
      <c r="Q1191" s="4"/>
      <c r="R1191"/>
      <c r="S1191"/>
      <c r="T1191" s="4"/>
      <c r="U1191" s="4"/>
      <c r="V1191"/>
      <c r="W1191"/>
      <c r="X1191"/>
      <c r="Y1191" t="inlineStr">
        <is>
          <t>Pending Appointment</t>
        </is>
      </c>
      <c r="Z1191" t="inlineStr">
        <is>
          <t>Hiring Later</t>
        </is>
      </c>
      <c r="AA1191">
        <v>1</v>
      </c>
      <c r="AB1191" t="inlineStr">
        <is>
          <t>No Appointment Made</t>
        </is>
      </c>
      <c r="AC1191"/>
      <c r="AD1191" t="inlineStr">
        <is>
          <t xml:space="preserve">1 admin </t>
        </is>
      </c>
      <c r="AE1191"/>
      <c r="AF1191">
        <v>3000</v>
      </c>
      <c r="AG1191" s="4"/>
      <c r="AH1191" s="4"/>
      <c r="AI1191"/>
      <c r="AJ1191"/>
      <c r="AK1191"/>
      <c r="AL1191"/>
      <c r="AM1191"/>
      <c r="AN1191"/>
      <c r="AO1191"/>
      <c r="AP1191" t="inlineStr">
        <is>
          <t>Once a year (25%)</t>
        </is>
      </c>
      <c r="AQ1191"/>
      <c r="AR1191"/>
      <c r="AS1191" t="inlineStr">
        <is>
          <t>- Headcount: 1
- Hiring Job Details: 1 admin
- Hiring Urgency: Hiring Later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191">
        <v>65</v>
      </c>
      <c r="AU1191" t="inlineStr">
        <is>
          <t>0.65</t>
        </is>
      </c>
      <c r="AV1191" t="inlineStr">
        <is>
          <t>15</t>
        </is>
      </c>
      <c r="AW1191" t="inlineStr">
        <is>
          <t>0</t>
        </is>
      </c>
      <c r="AX1191" t="inlineStr">
        <is>
          <t>Not Qualified</t>
        </is>
      </c>
      <c r="AY1191" s="4"/>
      <c r="AZ1191"/>
      <c r="BA1191"/>
      <c r="BB1191"/>
      <c r="BC1191"/>
      <c r="BD1191" s="4"/>
      <c r="BE1191"/>
      <c r="BF1191"/>
      <c r="BG1191" t="inlineStr">
        <is>
          <t>Reschedule</t>
        </is>
      </c>
      <c r="BH1191" t="inlineStr">
        <is>
          <t>Fauziah Maharan</t>
        </is>
      </c>
      <c r="BI1191"/>
      <c r="BJ1191" s="4">
        <v>46144.755277777775</v>
      </c>
      <c r="BK1191" s="4">
        <v>46062.72896990741</v>
      </c>
      <c r="BL1191" t="inlineStr">
        <is>
          <t>0.0</t>
        </is>
      </c>
      <c r="BM1191" t="inlineStr">
        <is>
          <t>0.0</t>
        </is>
      </c>
      <c r="BN1191"/>
      <c r="BO1191" s="4"/>
      <c r="BP1191">
        <v>168412</v>
      </c>
      <c r="BQ1191"/>
      <c r="BR1191"/>
      <c r="BS1191"/>
      <c r="BT1191"/>
      <c r="BU1191"/>
      <c r="BV1191"/>
      <c r="BW1191"/>
      <c r="BX1191"/>
      <c r="BY1191"/>
      <c r="BZ1191" s="4"/>
      <c r="CA1191"/>
      <c r="CB1191"/>
      <c r="CC1191" s="4"/>
      <c r="CD1191" t="inlineStr">
        <is>
          <t>20</t>
        </is>
      </c>
      <c r="CE1191" t="inlineStr">
        <is>
          <t>0</t>
        </is>
      </c>
      <c r="CF1191" t="inlineStr">
        <is>
          <t>Q2-W03</t>
        </is>
      </c>
      <c r="CG1191"/>
      <c r="CH1191"/>
      <c r="CI1191"/>
      <c r="CJ1191" t="inlineStr">
        <is>
          <t>No Paid</t>
        </is>
      </c>
      <c r="CK1191" t="inlineStr">
        <is>
          <t>Not Eligible</t>
        </is>
      </c>
      <c r="CL1191"/>
      <c r="CM1191"/>
    </row>
    <row r="1192" ht="25.5" customHeight="1">
      <c r="A1192" t="inlineStr">
        <is>
          <t>201266</t>
        </is>
      </c>
      <c r="B1192" s="2"/>
      <c r="C1192"/>
      <c r="D1192" s="3">
        <v>46134.745150462964</v>
      </c>
      <c r="E1192" t="inlineStr">
        <is>
          <t>Q2-W03</t>
        </is>
      </c>
      <c r="F1192" t="inlineStr">
        <is>
          <t>Janice Yap</t>
        </is>
      </c>
      <c r="G1192" t="inlineStr">
        <is>
          <t>Customer</t>
        </is>
      </c>
      <c r="H1192" s="2" t="str">
        <f>=HYPERLINK("https://upbox.ajobthing.my/customer/201266", "https://upbox.ajobthing.my/customer/201266")</f>
        <v>https://upbox.ajobthing.my/customer/201266</v>
      </c>
      <c r="I1192" t="inlineStr">
        <is>
          <t>Insightasia Research Group M Sdn Bhd</t>
        </is>
      </c>
      <c r="J1192" t="inlineStr">
        <is>
          <t>Small Fish</t>
        </is>
      </c>
      <c r="K1192" t="inlineStr">
        <is>
          <t>Janice</t>
        </is>
      </c>
      <c r="L1192" s="4"/>
      <c r="M1192" s="4">
        <v>46134.737025462964</v>
      </c>
      <c r="N1192"/>
      <c r="O1192">
        <v>3888</v>
      </c>
      <c r="P1192" s="4"/>
      <c r="Q1192" s="4"/>
      <c r="R1192"/>
      <c r="S1192"/>
      <c r="T1192" s="4"/>
      <c r="U1192" s="4"/>
      <c r="V1192"/>
      <c r="W1192"/>
      <c r="X1192"/>
      <c r="Y1192" t="inlineStr">
        <is>
          <t>Pending Appointment</t>
        </is>
      </c>
      <c r="Z1192" t="inlineStr">
        <is>
          <t>Hiring Now</t>
        </is>
      </c>
      <c r="AA1192">
        <v>1</v>
      </c>
      <c r="AB1192" t="inlineStr">
        <is>
          <t>No Appointment Made</t>
        </is>
      </c>
      <c r="AC1192"/>
      <c r="AD1192" t="inlineStr">
        <is>
          <t>1 manager</t>
        </is>
      </c>
      <c r="AE1192"/>
      <c r="AF1192">
        <v>0</v>
      </c>
      <c r="AG1192" s="4"/>
      <c r="AH1192" s="4"/>
      <c r="AI1192">
        <v>0</v>
      </c>
      <c r="AJ1192"/>
      <c r="AK1192"/>
      <c r="AL1192">
        <v>0</v>
      </c>
      <c r="AM1192" t="inlineStr">
        <is>
          <t>No, I don't need at all</t>
        </is>
      </c>
      <c r="AN1192"/>
      <c r="AO1192" t="inlineStr">
        <is>
          <t>No, I don't need at all</t>
        </is>
      </c>
      <c r="AP1192" t="inlineStr">
        <is>
          <t>Once a year (25%)</t>
        </is>
      </c>
      <c r="AQ1192">
        <v>1</v>
      </c>
      <c r="AR1192"/>
      <c r="AS1192" t="inlineStr">
        <is>
          <t>- Headcount: 1
- Hiring Job Details: 1 manager
- Hiring Urgency: Hiring Now
- Number of outlets: N/A
- Have recruiter team: N/A
- Number of recruiter in company: 0
- Have ATS system: No, I don't need at all
- Have career website: No, I don't need at all
- Current hiring budget: RM0.00
- Whole year budget: RM0.00
- Whole year number of vacancies: 1
- Hiring frequency: Once a year (25%)
- External job portal: N/A</t>
        </is>
      </c>
      <c r="AT1192">
        <v>110</v>
      </c>
      <c r="AU1192" t="inlineStr">
        <is>
          <t>1.10</t>
        </is>
      </c>
      <c r="AV1192" t="inlineStr">
        <is>
          <t>15</t>
        </is>
      </c>
      <c r="AW1192" t="inlineStr">
        <is>
          <t>0</t>
        </is>
      </c>
      <c r="AX1192" t="inlineStr">
        <is>
          <t>Not Qualified</t>
        </is>
      </c>
      <c r="AY1192" s="4"/>
      <c r="AZ1192"/>
      <c r="BA1192"/>
      <c r="BB1192"/>
      <c r="BC1192" t="inlineStr">
        <is>
          <t>Pending // follow up</t>
        </is>
      </c>
      <c r="BD1192" s="4">
        <v>46141.59605324074</v>
      </c>
      <c r="BE1192"/>
      <c r="BF1192"/>
      <c r="BG1192" t="inlineStr">
        <is>
          <t>Reschedule</t>
        </is>
      </c>
      <c r="BH1192" t="inlineStr">
        <is>
          <t>Yee Hang</t>
        </is>
      </c>
      <c r="BI1192"/>
      <c r="BJ1192" s="4">
        <v>46144.75377314815</v>
      </c>
      <c r="BK1192" s="4">
        <v>46068.53055555555</v>
      </c>
      <c r="BL1192" t="inlineStr">
        <is>
          <t>0.0</t>
        </is>
      </c>
      <c r="BM1192" t="inlineStr">
        <is>
          <t>0.0</t>
        </is>
      </c>
      <c r="BN1192" t="inlineStr">
        <is>
          <t>View Company Page</t>
        </is>
      </c>
      <c r="BO1192" s="4">
        <v>46068.543854166666</v>
      </c>
      <c r="BP1192">
        <v>168407</v>
      </c>
      <c r="BQ1192"/>
      <c r="BR1192"/>
      <c r="BS1192"/>
      <c r="BT1192"/>
      <c r="BU1192"/>
      <c r="BV1192">
        <v>2735253</v>
      </c>
      <c r="BW1192" t="inlineStr">
        <is>
          <t>Follow Up : Decision Pending</t>
        </is>
      </c>
      <c r="BX1192"/>
      <c r="BY1192"/>
      <c r="BZ1192" s="4"/>
      <c r="CA1192"/>
      <c r="CB1192"/>
      <c r="CC1192" s="4"/>
      <c r="CD1192" t="inlineStr">
        <is>
          <t>20</t>
        </is>
      </c>
      <c r="CE1192" t="inlineStr">
        <is>
          <t>0</t>
        </is>
      </c>
      <c r="CF1192" t="inlineStr">
        <is>
          <t>Q2-W03</t>
        </is>
      </c>
      <c r="CG1192"/>
      <c r="CH1192"/>
      <c r="CI1192"/>
      <c r="CJ1192" t="inlineStr">
        <is>
          <t>No Paid</t>
        </is>
      </c>
      <c r="CK1192" t="inlineStr">
        <is>
          <t>Not Eligible</t>
        </is>
      </c>
      <c r="CL1192"/>
      <c r="CM1192"/>
    </row>
    <row r="1193" ht="25.5" customHeight="1">
      <c r="A1193" t="inlineStr">
        <is>
          <t>26978</t>
        </is>
      </c>
      <c r="B1193" s="2"/>
      <c r="C1193"/>
      <c r="D1193" s="3">
        <v>46134.74978009259</v>
      </c>
      <c r="E1193" t="inlineStr">
        <is>
          <t>Q2-W03</t>
        </is>
      </c>
      <c r="F1193" t="inlineStr">
        <is>
          <t>Jia Hui</t>
        </is>
      </c>
      <c r="G1193" t="inlineStr">
        <is>
          <t>Customer</t>
        </is>
      </c>
      <c r="H1193" s="2" t="str">
        <f>=HYPERLINK("https://upbox.ajobthing.my/customer/26978", "https://upbox.ajobthing.my/customer/26978")</f>
        <v>https://upbox.ajobthing.my/customer/26978</v>
      </c>
      <c r="I1193" t="inlineStr">
        <is>
          <t>Dscaff Engineering Sdn Bhd</t>
        </is>
      </c>
      <c r="J1193" t="inlineStr">
        <is>
          <t>Small Fish</t>
        </is>
      </c>
      <c r="K1193" t="inlineStr">
        <is>
          <t>Jia Hui</t>
        </is>
      </c>
      <c r="L1193" s="4"/>
      <c r="M1193" s="4">
        <v>46134.74986111111</v>
      </c>
      <c r="N1193"/>
      <c r="O1193">
        <v>6048</v>
      </c>
      <c r="P1193" s="4"/>
      <c r="Q1193" s="4">
        <v>42732.07251157407</v>
      </c>
      <c r="R1193"/>
      <c r="S1193">
        <v>15.9</v>
      </c>
      <c r="T1193" s="4">
        <v>42714.638020833336</v>
      </c>
      <c r="U1193" s="4"/>
      <c r="V1193"/>
      <c r="W1193">
        <v>6.36</v>
      </c>
      <c r="X1193"/>
      <c r="Y1193" t="inlineStr">
        <is>
          <t>Pending Appointment</t>
        </is>
      </c>
      <c r="Z1193" t="inlineStr">
        <is>
          <t>Hiring Later</t>
        </is>
      </c>
      <c r="AA1193">
        <v>2</v>
      </c>
      <c r="AB1193" t="inlineStr">
        <is>
          <t>No Appointment Made</t>
        </is>
      </c>
      <c r="AC1193"/>
      <c r="AD1193" t="inlineStr">
        <is>
          <t>1 engineering, 1 operator</t>
        </is>
      </c>
      <c r="AE1193"/>
      <c r="AF1193">
        <v>500</v>
      </c>
      <c r="AG1193" s="4"/>
      <c r="AH1193" s="4"/>
      <c r="AI1193"/>
      <c r="AJ1193"/>
      <c r="AK1193" t="inlineStr">
        <is>
          <t>No, but I want in future</t>
        </is>
      </c>
      <c r="AL1193"/>
      <c r="AM1193"/>
      <c r="AN1193"/>
      <c r="AO1193"/>
      <c r="AP1193" t="inlineStr">
        <is>
          <t>Once a year (25%)</t>
        </is>
      </c>
      <c r="AQ1193"/>
      <c r="AR1193"/>
      <c r="AS1193" t="inlineStr">
        <is>
          <t>- Headcount: 2
- Hiring Job Details: 1 engineering, 1 operator
- Hiring Urgency: Hiring Later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193">
        <v>75</v>
      </c>
      <c r="AU1193" t="inlineStr">
        <is>
          <t>0.75</t>
        </is>
      </c>
      <c r="AV1193" t="inlineStr">
        <is>
          <t>15</t>
        </is>
      </c>
      <c r="AW1193" t="inlineStr">
        <is>
          <t>0</t>
        </is>
      </c>
      <c r="AX1193" t="inlineStr">
        <is>
          <t>Not Qualified</t>
        </is>
      </c>
      <c r="AY1193" s="4"/>
      <c r="AZ1193"/>
      <c r="BA1193"/>
      <c r="BB1193"/>
      <c r="BC1193" t="inlineStr">
        <is>
          <t>already fulfilled the position</t>
        </is>
      </c>
      <c r="BD1193" s="4">
        <v>46141.59483796296</v>
      </c>
      <c r="BE1193" t="inlineStr">
        <is>
          <t>failed</t>
        </is>
      </c>
      <c r="BF1193"/>
      <c r="BG1193" t="inlineStr">
        <is>
          <t>Reschedule</t>
        </is>
      </c>
      <c r="BH1193" t="inlineStr">
        <is>
          <t>Reagen</t>
        </is>
      </c>
      <c r="BI1193" t="inlineStr">
        <is>
          <t>Oil / Gas / Petroleum</t>
        </is>
      </c>
      <c r="BJ1193" s="4">
        <v>46144.75449074074</v>
      </c>
      <c r="BK1193" s="4">
        <v>42593.38707175926</v>
      </c>
      <c r="BL1193" t="inlineStr">
        <is>
          <t>0.0</t>
        </is>
      </c>
      <c r="BM1193" t="inlineStr">
        <is>
          <t>0.0</t>
        </is>
      </c>
      <c r="BN1193"/>
      <c r="BO1193" s="4"/>
      <c r="BP1193">
        <v>168417</v>
      </c>
      <c r="BQ1193">
        <v>6710</v>
      </c>
      <c r="BR1193" t="inlineStr">
        <is>
          <t>Proforma</t>
        </is>
      </c>
      <c r="BS1193" t="inlineStr">
        <is>
          <t>A la carte</t>
        </is>
      </c>
      <c r="BT1193">
        <v>5062</v>
      </c>
      <c r="BU1193"/>
      <c r="BV1193">
        <v>2735245</v>
      </c>
      <c r="BW1193" t="inlineStr">
        <is>
          <t>Follow Up : Lost - Free Portal</t>
        </is>
      </c>
      <c r="BX1193"/>
      <c r="BY1193"/>
      <c r="BZ1193" s="4"/>
      <c r="CA1193"/>
      <c r="CB1193"/>
      <c r="CC1193" s="4"/>
      <c r="CD1193" t="inlineStr">
        <is>
          <t>20</t>
        </is>
      </c>
      <c r="CE1193" t="inlineStr">
        <is>
          <t>0</t>
        </is>
      </c>
      <c r="CF1193" t="inlineStr">
        <is>
          <t>Q2-W03</t>
        </is>
      </c>
      <c r="CG1193"/>
      <c r="CH1193"/>
      <c r="CI1193"/>
      <c r="CJ1193" t="inlineStr">
        <is>
          <t>Paid</t>
        </is>
      </c>
      <c r="CK1193" t="inlineStr">
        <is>
          <t>Not Eligible</t>
        </is>
      </c>
      <c r="CL1193"/>
      <c r="CM1193"/>
    </row>
    <row r="1194" ht="25.5" customHeight="1">
      <c r="A1194" t="inlineStr">
        <is>
          <t>43712</t>
        </is>
      </c>
      <c r="B1194" s="2"/>
      <c r="C1194"/>
      <c r="D1194" s="3">
        <v>46134.77211805555</v>
      </c>
      <c r="E1194" t="inlineStr">
        <is>
          <t>Q2-W03</t>
        </is>
      </c>
      <c r="F1194" t="inlineStr">
        <is>
          <t>Fariz</t>
        </is>
      </c>
      <c r="G1194" t="inlineStr">
        <is>
          <t>Customer</t>
        </is>
      </c>
      <c r="H1194" s="2" t="str">
        <f>=HYPERLINK("https://upbox.ajobthing.my/customer/43712", "https://upbox.ajobthing.my/customer/43712")</f>
        <v>https://upbox.ajobthing.my/customer/43712</v>
      </c>
      <c r="I1194" t="inlineStr">
        <is>
          <t>Klinik Pakar Wanita Kepong Sdn Bhd</t>
        </is>
      </c>
      <c r="J1194" t="inlineStr">
        <is>
          <t>Small Fish</t>
        </is>
      </c>
      <c r="K1194" t="inlineStr">
        <is>
          <t>Fariz</t>
        </is>
      </c>
      <c r="L1194" s="4"/>
      <c r="M1194" s="4">
        <v>46134.77229166667</v>
      </c>
      <c r="N1194"/>
      <c r="O1194">
        <v>3888</v>
      </c>
      <c r="P1194" s="4"/>
      <c r="Q1194" s="4">
        <v>45650.54655092592</v>
      </c>
      <c r="R1194"/>
      <c r="S1194">
        <v>648</v>
      </c>
      <c r="T1194" s="4">
        <v>45650.54655092592</v>
      </c>
      <c r="U1194" s="4"/>
      <c r="V1194"/>
      <c r="W1194">
        <v>648</v>
      </c>
      <c r="X1194"/>
      <c r="Y1194" t="inlineStr">
        <is>
          <t>Pending Appointment</t>
        </is>
      </c>
      <c r="Z1194" t="inlineStr">
        <is>
          <t>Hiring Later</t>
        </is>
      </c>
      <c r="AA1194">
        <v>2</v>
      </c>
      <c r="AB1194" t="inlineStr">
        <is>
          <t>No Appointment Made</t>
        </is>
      </c>
      <c r="AC1194"/>
      <c r="AD1194" t="inlineStr">
        <is>
          <t>2 CLINIC ASSISTANT</t>
        </is>
      </c>
      <c r="AE1194"/>
      <c r="AF1194">
        <v>3600</v>
      </c>
      <c r="AG1194" s="4"/>
      <c r="AH1194" s="4"/>
      <c r="AI1194">
        <v>3000</v>
      </c>
      <c r="AJ1194"/>
      <c r="AK1194" t="inlineStr">
        <is>
          <t>No, but I want in future</t>
        </is>
      </c>
      <c r="AL1194">
        <v>1</v>
      </c>
      <c r="AM1194" t="inlineStr">
        <is>
          <t>No, I don't need at all</t>
        </is>
      </c>
      <c r="AN1194"/>
      <c r="AO1194" t="inlineStr">
        <is>
          <t>No, but I want in future</t>
        </is>
      </c>
      <c r="AP1194" t="inlineStr">
        <is>
          <t>Twice a year (50%)</t>
        </is>
      </c>
      <c r="AQ1194">
        <v>2</v>
      </c>
      <c r="AR1194" t="inlineStr">
        <is>
          <t>Free Job Portal</t>
        </is>
      </c>
      <c r="AS1194" t="inlineStr">
        <is>
          <t>- Headcount: 2
- Hiring Job Details: 2 CLINIC ASSISTANT
- Hiring Urgency: Hiring Later
- Number of outlets: N/A
- Have recruiter team: No, but want in future
- Number of recruiter in company: 1
- Have ATS system: No, don't need at all
- Have career website: No, but want in future
- Current hiring budget: RM3,600
- Whole year budget: RM3,000.00
- Whole year number of vacancies: 2
- Hiring frequency: Twice a year (50%)
- External job portal: Free Job Portal</t>
        </is>
      </c>
      <c r="AT1194">
        <v>115</v>
      </c>
      <c r="AU1194" t="inlineStr">
        <is>
          <t>1.15</t>
        </is>
      </c>
      <c r="AV1194" t="inlineStr">
        <is>
          <t>15</t>
        </is>
      </c>
      <c r="AW1194" t="inlineStr">
        <is>
          <t>0</t>
        </is>
      </c>
      <c r="AX1194" t="inlineStr">
        <is>
          <t>Not Qualified</t>
        </is>
      </c>
      <c r="AY1194" s="4"/>
      <c r="AZ1194"/>
      <c r="BA1194"/>
      <c r="BB1194"/>
      <c r="BC1194" t="inlineStr">
        <is>
          <t>Voiemail  -  followup</t>
        </is>
      </c>
      <c r="BD1194" s="4">
        <v>46139.60591435185</v>
      </c>
      <c r="BE1194" t="inlineStr">
        <is>
          <t>paid</t>
        </is>
      </c>
      <c r="BF1194"/>
      <c r="BG1194" t="inlineStr">
        <is>
          <t>Reschedule</t>
        </is>
      </c>
      <c r="BH1194" t="inlineStr">
        <is>
          <t>Edward Hoo</t>
        </is>
      </c>
      <c r="BI1194" t="inlineStr">
        <is>
          <t>Healthcare / Medical</t>
        </is>
      </c>
      <c r="BJ1194" s="4">
        <v>46144.755949074075</v>
      </c>
      <c r="BK1194" s="4">
        <v>43054.914988425924</v>
      </c>
      <c r="BL1194" t="inlineStr">
        <is>
          <t>0.0</t>
        </is>
      </c>
      <c r="BM1194" t="inlineStr">
        <is>
          <t>0.0</t>
        </is>
      </c>
      <c r="BN1194" t="inlineStr">
        <is>
          <t>View Jobmanager Page</t>
        </is>
      </c>
      <c r="BO1194" s="4">
        <v>45715.716215277775</v>
      </c>
      <c r="BP1194">
        <v>168418</v>
      </c>
      <c r="BQ1194">
        <v>75601</v>
      </c>
      <c r="BR1194" t="inlineStr">
        <is>
          <t>Online</t>
        </is>
      </c>
      <c r="BS1194"/>
      <c r="BT1194">
        <v>75601</v>
      </c>
      <c r="BU1194"/>
      <c r="BV1194">
        <v>2729890</v>
      </c>
      <c r="BW1194" t="inlineStr">
        <is>
          <t>No Answer : Voicemail - WA sent to customer</t>
        </is>
      </c>
      <c r="BX1194"/>
      <c r="BY1194"/>
      <c r="BZ1194" s="4"/>
      <c r="CA1194"/>
      <c r="CB1194"/>
      <c r="CC1194" s="4"/>
      <c r="CD1194" t="inlineStr">
        <is>
          <t>20</t>
        </is>
      </c>
      <c r="CE1194" t="inlineStr">
        <is>
          <t>0</t>
        </is>
      </c>
      <c r="CF1194" t="inlineStr">
        <is>
          <t>Q2-W03</t>
        </is>
      </c>
      <c r="CG1194"/>
      <c r="CH1194"/>
      <c r="CI1194"/>
      <c r="CJ1194" t="inlineStr">
        <is>
          <t>Paid</t>
        </is>
      </c>
      <c r="CK1194" t="inlineStr">
        <is>
          <t>Not Eligible</t>
        </is>
      </c>
      <c r="CL1194"/>
      <c r="CM1194"/>
    </row>
    <row r="1195" ht="25.5" customHeight="1">
      <c r="A1195" t="inlineStr">
        <is>
          <t>4044440</t>
        </is>
      </c>
      <c r="B1195" s="2"/>
      <c r="C1195"/>
      <c r="D1195" s="3">
        <v>46134.90940972222</v>
      </c>
      <c r="E1195" t="inlineStr">
        <is>
          <t>Q2-W03</t>
        </is>
      </c>
      <c r="F1195" t="inlineStr">
        <is>
          <t>Angel  Low</t>
        </is>
      </c>
      <c r="G1195" t="inlineStr">
        <is>
          <t>Lead</t>
        </is>
      </c>
      <c r="H1195" s="2" t="str">
        <f>=HYPERLINK("https://upbox.ajobthing.my/leads/4044440", "https://upbox.ajobthing.my/leads/4044440")</f>
        <v>https://upbox.ajobthing.my/leads/4044440</v>
      </c>
      <c r="I1195" t="inlineStr">
        <is>
          <t>Mountmedia</t>
        </is>
      </c>
      <c r="J1195" t="inlineStr">
        <is>
          <t>Small Fish</t>
        </is>
      </c>
      <c r="K1195" t="inlineStr">
        <is>
          <t>Angel Low</t>
        </is>
      </c>
      <c r="L1195" s="4"/>
      <c r="M1195" s="4">
        <v>46134.909895833334</v>
      </c>
      <c r="N1195"/>
      <c r="O1195">
        <v>6048</v>
      </c>
      <c r="P1195" s="4"/>
      <c r="Q1195" s="4"/>
      <c r="R1195"/>
      <c r="S1195"/>
      <c r="T1195" s="4"/>
      <c r="U1195" s="4"/>
      <c r="V1195"/>
      <c r="W1195"/>
      <c r="X1195"/>
      <c r="Y1195" t="inlineStr">
        <is>
          <t>Pending Appointment</t>
        </is>
      </c>
      <c r="Z1195"/>
      <c r="AA1195">
        <v>1</v>
      </c>
      <c r="AB1195" t="inlineStr">
        <is>
          <t>No Appointment Made</t>
        </is>
      </c>
      <c r="AC1195"/>
      <c r="AD1195" t="inlineStr">
        <is>
          <t xml:space="preserve">marketing </t>
        </is>
      </c>
      <c r="AE1195"/>
      <c r="AF1195"/>
      <c r="AG1195" s="4"/>
      <c r="AH1195" s="4"/>
      <c r="AI1195"/>
      <c r="AJ1195"/>
      <c r="AK1195"/>
      <c r="AL1195"/>
      <c r="AM1195"/>
      <c r="AN1195"/>
      <c r="AO1195"/>
      <c r="AP1195"/>
      <c r="AQ1195"/>
      <c r="AR1195"/>
      <c r="AS1195" t="inlineStr">
        <is>
          <t>- Headcount: 1
- Hiring Job Details: marketing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is>
      </c>
      <c r="AT1195">
        <v>60</v>
      </c>
      <c r="AU1195" t="inlineStr">
        <is>
          <t>0.60</t>
        </is>
      </c>
      <c r="AV1195" t="inlineStr">
        <is>
          <t>5</t>
        </is>
      </c>
      <c r="AW1195" t="inlineStr">
        <is>
          <t>0</t>
        </is>
      </c>
      <c r="AX1195" t="inlineStr">
        <is>
          <t>Not Qualified</t>
        </is>
      </c>
      <c r="AY1195" s="4"/>
      <c r="AZ1195"/>
      <c r="BA1195"/>
      <c r="BB1195"/>
      <c r="BC1195"/>
      <c r="BD1195" s="4"/>
      <c r="BE1195"/>
      <c r="BF1195"/>
      <c r="BG1195" t="inlineStr">
        <is>
          <t>Reschedule</t>
        </is>
      </c>
      <c r="BH1195" t="inlineStr">
        <is>
          <t>Fauziah Maharan</t>
        </is>
      </c>
      <c r="BI1195"/>
      <c r="BJ1195" s="4">
        <v>46144.755277777775</v>
      </c>
      <c r="BK1195" s="4">
        <v>46059.96650462963</v>
      </c>
      <c r="BL1195" t="inlineStr">
        <is>
          <t>0.0</t>
        </is>
      </c>
      <c r="BM1195" t="inlineStr">
        <is>
          <t>0.0</t>
        </is>
      </c>
      <c r="BN1195"/>
      <c r="BO1195" s="4"/>
      <c r="BP1195">
        <v>168419</v>
      </c>
      <c r="BQ1195"/>
      <c r="BR1195"/>
      <c r="BS1195"/>
      <c r="BT1195"/>
      <c r="BU1195"/>
      <c r="BV1195"/>
      <c r="BW1195"/>
      <c r="BX1195"/>
      <c r="BY1195"/>
      <c r="BZ1195" s="4"/>
      <c r="CA1195"/>
      <c r="CB1195"/>
      <c r="CC1195" s="4"/>
      <c r="CD1195" t="inlineStr">
        <is>
          <t>5</t>
        </is>
      </c>
      <c r="CE1195" t="inlineStr">
        <is>
          <t>0</t>
        </is>
      </c>
      <c r="CF1195" t="inlineStr">
        <is>
          <t>Q2-W03</t>
        </is>
      </c>
      <c r="CG1195"/>
      <c r="CH1195"/>
      <c r="CI1195"/>
      <c r="CJ1195" t="inlineStr">
        <is>
          <t>No Paid</t>
        </is>
      </c>
      <c r="CK1195" t="inlineStr">
        <is>
          <t>Not Eligible</t>
        </is>
      </c>
      <c r="CL1195"/>
      <c r="CM1195"/>
    </row>
    <row r="1196" ht="25.5" customHeight="1">
      <c r="A1196" t="inlineStr">
        <is>
          <t>202832</t>
        </is>
      </c>
      <c r="B1196" s="2"/>
      <c r="C1196"/>
      <c r="D1196" s="3">
        <v>46135.38340277778</v>
      </c>
      <c r="E1196" t="inlineStr">
        <is>
          <t>Q2-W03</t>
        </is>
      </c>
      <c r="F1196" t="inlineStr">
        <is>
          <t>Chia Yee</t>
        </is>
      </c>
      <c r="G1196" t="inlineStr">
        <is>
          <t>Customer</t>
        </is>
      </c>
      <c r="H1196" s="2" t="str">
        <f>=HYPERLINK("https://upbox.ajobthing.my/customer/202832", "https://upbox.ajobthing.my/customer/202832")</f>
        <v>https://upbox.ajobthing.my/customer/202832</v>
      </c>
      <c r="I1196" t="inlineStr">
        <is>
          <t xml:space="preserve">Kleenson Marketing </t>
        </is>
      </c>
      <c r="J1196" t="inlineStr">
        <is>
          <t>Small Fish</t>
        </is>
      </c>
      <c r="K1196" t="inlineStr">
        <is>
          <t>Chia Yee</t>
        </is>
      </c>
      <c r="L1196" s="4"/>
      <c r="M1196" s="4">
        <v>46135.38350694445</v>
      </c>
      <c r="N1196"/>
      <c r="O1196">
        <v>3888</v>
      </c>
      <c r="P1196" s="4"/>
      <c r="Q1196" s="4"/>
      <c r="R1196"/>
      <c r="S1196"/>
      <c r="T1196" s="4"/>
      <c r="U1196" s="4"/>
      <c r="V1196"/>
      <c r="W1196"/>
      <c r="X1196"/>
      <c r="Y1196" t="inlineStr">
        <is>
          <t>Pending Appointment</t>
        </is>
      </c>
      <c r="Z1196" t="inlineStr">
        <is>
          <t>Hiring Now</t>
        </is>
      </c>
      <c r="AA1196">
        <v>1</v>
      </c>
      <c r="AB1196" t="inlineStr">
        <is>
          <t>No Appointment Made</t>
        </is>
      </c>
      <c r="AC1196"/>
      <c r="AD1196" t="inlineStr">
        <is>
          <t>1 social media backend crew</t>
        </is>
      </c>
      <c r="AE1196"/>
      <c r="AF1196">
        <v>0</v>
      </c>
      <c r="AG1196" s="4"/>
      <c r="AH1196" s="4"/>
      <c r="AI1196">
        <v>0</v>
      </c>
      <c r="AJ1196">
        <v>1</v>
      </c>
      <c r="AK1196" t="inlineStr">
        <is>
          <t>No, I don't need at all</t>
        </is>
      </c>
      <c r="AL1196">
        <v>1</v>
      </c>
      <c r="AM1196" t="inlineStr">
        <is>
          <t>No, I don't need at all</t>
        </is>
      </c>
      <c r="AN1196"/>
      <c r="AO1196" t="inlineStr">
        <is>
          <t>No, I don't need at all</t>
        </is>
      </c>
      <c r="AP1196" t="inlineStr">
        <is>
          <t>Once a year (25%)</t>
        </is>
      </c>
      <c r="AQ1196">
        <v>1</v>
      </c>
      <c r="AR1196" t="inlineStr">
        <is>
          <t>Did not use any job portal</t>
        </is>
      </c>
      <c r="AS1196" t="inlineStr">
        <is>
          <t>- Headcount: 1
- Hiring Job Details: 1 social media backend crew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1196">
        <v>110</v>
      </c>
      <c r="AU1196" t="inlineStr">
        <is>
          <t>1.10</t>
        </is>
      </c>
      <c r="AV1196" t="inlineStr">
        <is>
          <t>15</t>
        </is>
      </c>
      <c r="AW1196" t="inlineStr">
        <is>
          <t>0</t>
        </is>
      </c>
      <c r="AX1196" t="inlineStr">
        <is>
          <t>Not Qualified</t>
        </is>
      </c>
      <c r="AY1196" s="4"/>
      <c r="AZ1196"/>
      <c r="BA1196"/>
      <c r="BB1196"/>
      <c r="BC1196" t="inlineStr">
        <is>
          <t>Called Ms. Leong, not proceed as price too high, Choose others.</t>
        </is>
      </c>
      <c r="BD1196" s="4">
        <v>46139.55820601852</v>
      </c>
      <c r="BE1196"/>
      <c r="BF1196"/>
      <c r="BG1196" t="inlineStr">
        <is>
          <t>Reschedule</t>
        </is>
      </c>
      <c r="BH1196" t="inlineStr">
        <is>
          <t>Reagen</t>
        </is>
      </c>
      <c r="BI1196"/>
      <c r="BJ1196" s="4">
        <v>46144.75412037037</v>
      </c>
      <c r="BK1196" s="4">
        <v>46117.8453125</v>
      </c>
      <c r="BL1196" t="inlineStr">
        <is>
          <t>0.0</t>
        </is>
      </c>
      <c r="BM1196" t="inlineStr">
        <is>
          <t>0.0</t>
        </is>
      </c>
      <c r="BN1196" t="inlineStr">
        <is>
          <t>User Visit(Logged In)</t>
        </is>
      </c>
      <c r="BO1196" s="4">
        <v>46117.845347222225</v>
      </c>
      <c r="BP1196">
        <v>168422</v>
      </c>
      <c r="BQ1196"/>
      <c r="BR1196"/>
      <c r="BS1196"/>
      <c r="BT1196"/>
      <c r="BU1196"/>
      <c r="BV1196">
        <v>2729164</v>
      </c>
      <c r="BW1196" t="inlineStr">
        <is>
          <t>Follow Up : Budget Concern</t>
        </is>
      </c>
      <c r="BX1196"/>
      <c r="BY1196"/>
      <c r="BZ1196" s="4"/>
      <c r="CA1196"/>
      <c r="CB1196"/>
      <c r="CC1196" s="4"/>
      <c r="CD1196" t="inlineStr">
        <is>
          <t>20</t>
        </is>
      </c>
      <c r="CE1196" t="inlineStr">
        <is>
          <t>0</t>
        </is>
      </c>
      <c r="CF1196" t="inlineStr">
        <is>
          <t>Q2-W03</t>
        </is>
      </c>
      <c r="CG1196"/>
      <c r="CH1196"/>
      <c r="CI1196"/>
      <c r="CJ1196" t="inlineStr">
        <is>
          <t>No Paid</t>
        </is>
      </c>
      <c r="CK1196" t="inlineStr">
        <is>
          <t>Not Eligible</t>
        </is>
      </c>
      <c r="CL1196"/>
      <c r="CM1196"/>
    </row>
    <row r="1197" ht="25.5" customHeight="1">
      <c r="A1197" t="inlineStr">
        <is>
          <t>203395</t>
        </is>
      </c>
      <c r="B1197" s="2"/>
      <c r="C1197"/>
      <c r="D1197" s="3">
        <v>46135.38538194444</v>
      </c>
      <c r="E1197" t="inlineStr">
        <is>
          <t>Q2-W03</t>
        </is>
      </c>
      <c r="F1197" t="inlineStr">
        <is>
          <t>Chia Yee</t>
        </is>
      </c>
      <c r="G1197" t="inlineStr">
        <is>
          <t>Customer</t>
        </is>
      </c>
      <c r="H1197" s="2" t="str">
        <f>=HYPERLINK("https://upbox.ajobthing.my/customer/203395", "https://upbox.ajobthing.my/customer/203395")</f>
        <v>https://upbox.ajobthing.my/customer/203395</v>
      </c>
      <c r="I1197" t="inlineStr">
        <is>
          <t>Tots &amp; Trim Sdn Bhd</t>
        </is>
      </c>
      <c r="J1197" t="inlineStr">
        <is>
          <t>Small Fish</t>
        </is>
      </c>
      <c r="K1197" t="inlineStr">
        <is>
          <t>Chia Yee</t>
        </is>
      </c>
      <c r="L1197" s="4"/>
      <c r="M1197" s="4">
        <v>46136.523043981484</v>
      </c>
      <c r="N1197"/>
      <c r="O1197">
        <v>864</v>
      </c>
      <c r="P1197" s="4"/>
      <c r="Q1197" s="4"/>
      <c r="R1197"/>
      <c r="S1197"/>
      <c r="T1197" s="4"/>
      <c r="U1197" s="4"/>
      <c r="V1197"/>
      <c r="W1197"/>
      <c r="X1197"/>
      <c r="Y1197" t="inlineStr">
        <is>
          <t>Pending Appointment</t>
        </is>
      </c>
      <c r="Z1197" t="inlineStr">
        <is>
          <t>Hiring Now</t>
        </is>
      </c>
      <c r="AA1197">
        <v>2</v>
      </c>
      <c r="AB1197" t="inlineStr">
        <is>
          <t>No Appointment Made</t>
        </is>
      </c>
      <c r="AC1197"/>
      <c r="AD1197" t="inlineStr">
        <is>
          <t>2 hairstylist</t>
        </is>
      </c>
      <c r="AE1197"/>
      <c r="AF1197">
        <v>0</v>
      </c>
      <c r="AG1197" s="4"/>
      <c r="AH1197" s="4"/>
      <c r="AI1197">
        <v>0</v>
      </c>
      <c r="AJ1197">
        <v>1</v>
      </c>
      <c r="AK1197" t="inlineStr">
        <is>
          <t>No, I don't need at all</t>
        </is>
      </c>
      <c r="AL1197">
        <v>1</v>
      </c>
      <c r="AM1197" t="inlineStr">
        <is>
          <t>No, I don't need at all</t>
        </is>
      </c>
      <c r="AN1197"/>
      <c r="AO1197" t="inlineStr">
        <is>
          <t>Yes, I have</t>
        </is>
      </c>
      <c r="AP1197" t="inlineStr">
        <is>
          <t>Once a year (25%)</t>
        </is>
      </c>
      <c r="AQ1197">
        <v>1</v>
      </c>
      <c r="AR1197" t="inlineStr">
        <is>
          <t>Did not use any job portal</t>
        </is>
      </c>
      <c r="AS1197" t="inlineStr">
        <is>
          <t>- Headcount: 2
- Hiring Job Details: 2 hairstylist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is>
      </c>
      <c r="AT1197">
        <v>110</v>
      </c>
      <c r="AU1197" t="inlineStr">
        <is>
          <t>1.10</t>
        </is>
      </c>
      <c r="AV1197" t="inlineStr">
        <is>
          <t>15</t>
        </is>
      </c>
      <c r="AW1197" t="inlineStr">
        <is>
          <t>0</t>
        </is>
      </c>
      <c r="AX1197" t="inlineStr">
        <is>
          <t>Not Qualified</t>
        </is>
      </c>
      <c r="AY1197" s="4"/>
      <c r="AZ1197"/>
      <c r="BA1197"/>
      <c r="BB1197"/>
      <c r="BC1197" t="inlineStr">
        <is>
          <t>Called, no ans. WA</t>
        </is>
      </c>
      <c r="BD1197" s="4">
        <v>46142.489432870374</v>
      </c>
      <c r="BE1197"/>
      <c r="BF1197"/>
      <c r="BG1197" t="inlineStr">
        <is>
          <t>Reschedule</t>
        </is>
      </c>
      <c r="BH1197" t="inlineStr">
        <is>
          <t>Reagen</t>
        </is>
      </c>
      <c r="BI1197" t="inlineStr">
        <is>
          <t>Beauty / Fitness</t>
        </is>
      </c>
      <c r="BJ1197" s="4">
        <v>46144.75430555556</v>
      </c>
      <c r="BK1197" s="4">
        <v>46130.966215277775</v>
      </c>
      <c r="BL1197" t="inlineStr">
        <is>
          <t>0.0</t>
        </is>
      </c>
      <c r="BM1197" t="inlineStr">
        <is>
          <t>600.0</t>
        </is>
      </c>
      <c r="BN1197" t="inlineStr">
        <is>
          <t>View Company Page</t>
        </is>
      </c>
      <c r="BO1197" s="4">
        <v>46133.34946759259</v>
      </c>
      <c r="BP1197">
        <v>168783</v>
      </c>
      <c r="BQ1197"/>
      <c r="BR1197"/>
      <c r="BS1197"/>
      <c r="BT1197"/>
      <c r="BU1197"/>
      <c r="BV1197">
        <v>2737221</v>
      </c>
      <c r="BW1197" t="inlineStr">
        <is>
          <t>No Answer : Voicemail - WA sent to customer</t>
        </is>
      </c>
      <c r="BX1197"/>
      <c r="BY1197"/>
      <c r="BZ1197" s="4"/>
      <c r="CA1197"/>
      <c r="CB1197"/>
      <c r="CC1197" s="4"/>
      <c r="CD1197" t="inlineStr">
        <is>
          <t>20</t>
        </is>
      </c>
      <c r="CE1197" t="inlineStr">
        <is>
          <t>0</t>
        </is>
      </c>
      <c r="CF1197" t="inlineStr">
        <is>
          <t>Q2-W04</t>
        </is>
      </c>
      <c r="CG1197"/>
      <c r="CH1197"/>
      <c r="CI1197"/>
      <c r="CJ1197" t="inlineStr">
        <is>
          <t>No Paid</t>
        </is>
      </c>
      <c r="CK1197" t="inlineStr">
        <is>
          <t>Not Eligible</t>
        </is>
      </c>
      <c r="CL1197"/>
      <c r="CM1197"/>
    </row>
    <row r="1198" ht="25.5" customHeight="1">
      <c r="A1198" t="inlineStr">
        <is>
          <t>203551</t>
        </is>
      </c>
      <c r="B1198" s="2"/>
      <c r="C1198"/>
      <c r="D1198" s="3">
        <v>46135.409224537034</v>
      </c>
      <c r="E1198" t="inlineStr">
        <is>
          <t>Q2-W03</t>
        </is>
      </c>
      <c r="F1198" t="inlineStr">
        <is>
          <t>Chia Yee</t>
        </is>
      </c>
      <c r="G1198" t="inlineStr">
        <is>
          <t>Customer</t>
        </is>
      </c>
      <c r="H1198" s="2" t="str">
        <f>=HYPERLINK("https://upbox.ajobthing.my/customer/203551", "https://upbox.ajobthing.my/customer/203551")</f>
        <v>https://upbox.ajobthing.my/customer/203551</v>
      </c>
      <c r="I1198" t="inlineStr">
        <is>
          <t>Pulse Point Events</t>
        </is>
      </c>
      <c r="J1198" t="inlineStr">
        <is>
          <t>Small Fish</t>
        </is>
      </c>
      <c r="K1198" t="inlineStr">
        <is>
          <t>Chia Yee</t>
        </is>
      </c>
      <c r="L1198" s="4"/>
      <c r="M1198" s="4">
        <v>46135.40934027778</v>
      </c>
      <c r="N1198"/>
      <c r="O1198">
        <v>4968</v>
      </c>
      <c r="P1198" s="4"/>
      <c r="Q1198" s="4"/>
      <c r="R1198"/>
      <c r="S1198"/>
      <c r="T1198" s="4"/>
      <c r="U1198" s="4"/>
      <c r="V1198"/>
      <c r="W1198"/>
      <c r="X1198"/>
      <c r="Y1198" t="inlineStr">
        <is>
          <t>Pending Appointment</t>
        </is>
      </c>
      <c r="Z1198" t="inlineStr">
        <is>
          <t>Continuous Hiring</t>
        </is>
      </c>
      <c r="AA1198">
        <v>1</v>
      </c>
      <c r="AB1198" t="inlineStr">
        <is>
          <t>No Appointment Made</t>
        </is>
      </c>
      <c r="AC1198"/>
      <c r="AD1198" t="inlineStr">
        <is>
          <t>Sales &amp; Marketing executive</t>
        </is>
      </c>
      <c r="AE1198"/>
      <c r="AF1198">
        <v>0</v>
      </c>
      <c r="AG1198" s="4"/>
      <c r="AH1198" s="4"/>
      <c r="AI1198">
        <v>0</v>
      </c>
      <c r="AJ1198">
        <v>1</v>
      </c>
      <c r="AK1198" t="inlineStr">
        <is>
          <t>No, I don't need at all</t>
        </is>
      </c>
      <c r="AL1198">
        <v>1</v>
      </c>
      <c r="AM1198" t="inlineStr">
        <is>
          <t>No, I don't need at all</t>
        </is>
      </c>
      <c r="AN1198"/>
      <c r="AO1198" t="inlineStr">
        <is>
          <t>No, I don't need at all</t>
        </is>
      </c>
      <c r="AP1198" t="inlineStr">
        <is>
          <t>Once a year (25%)</t>
        </is>
      </c>
      <c r="AQ1198">
        <v>10</v>
      </c>
      <c r="AR1198" t="inlineStr">
        <is>
          <t>Did not use any job portal</t>
        </is>
      </c>
      <c r="AS1198" t="inlineStr">
        <is>
          <t>- Headcount: 1
- Hiring Job Details: 1 Sales &amp; Marketing executive
- Hiring Urgency: Continuous Hiring
- Number of outlets: 1
- Have recruiter team: No, I don't need at all
- Number of recruiter in company: 1
- Have ATS system: No, I don't need at all
- Have career website: No, I don't need at all
- Current hiring budget: RM0.00
- Whole year budget: RM0.00
- Whole year number of vacancies: 10
- Hiring frequency: Once a year (25%)
- External job portal: Did not use any job portal</t>
        </is>
      </c>
      <c r="AT1198">
        <v>95</v>
      </c>
      <c r="AU1198" t="inlineStr">
        <is>
          <t>0.95</t>
        </is>
      </c>
      <c r="AV1198" t="inlineStr">
        <is>
          <t>15</t>
        </is>
      </c>
      <c r="AW1198" t="inlineStr">
        <is>
          <t>0</t>
        </is>
      </c>
      <c r="AX1198" t="inlineStr">
        <is>
          <t>Not Qualified</t>
        </is>
      </c>
      <c r="AY1198" s="4"/>
      <c r="AZ1198"/>
      <c r="BA1198"/>
      <c r="BB1198"/>
      <c r="BC1198" t="inlineStr">
        <is>
          <t>Called, no ans. Look foir free only</t>
        </is>
      </c>
      <c r="BD1198" s="4">
        <v>46136.42759259259</v>
      </c>
      <c r="BE1198"/>
      <c r="BF1198"/>
      <c r="BG1198" t="inlineStr">
        <is>
          <t>Reschedule</t>
        </is>
      </c>
      <c r="BH1198" t="inlineStr">
        <is>
          <t>Reagen</t>
        </is>
      </c>
      <c r="BI1198"/>
      <c r="BJ1198" s="4">
        <v>46144.75435185185</v>
      </c>
      <c r="BK1198" s="4">
        <v>46134.82849537037</v>
      </c>
      <c r="BL1198" t="inlineStr">
        <is>
          <t>0.0</t>
        </is>
      </c>
      <c r="BM1198" t="inlineStr">
        <is>
          <t>0.0</t>
        </is>
      </c>
      <c r="BN1198" t="inlineStr">
        <is>
          <t>View Company Page</t>
        </is>
      </c>
      <c r="BO1198" s="4">
        <v>46134.87552083333</v>
      </c>
      <c r="BP1198">
        <v>168430</v>
      </c>
      <c r="BQ1198"/>
      <c r="BR1198"/>
      <c r="BS1198"/>
      <c r="BT1198"/>
      <c r="BU1198"/>
      <c r="BV1198">
        <v>2725547</v>
      </c>
      <c r="BW1198" t="inlineStr">
        <is>
          <t>No Answer : Voicemail - WA sent to customer</t>
        </is>
      </c>
      <c r="BX1198"/>
      <c r="BY1198"/>
      <c r="BZ1198" s="4"/>
      <c r="CA1198"/>
      <c r="CB1198"/>
      <c r="CC1198" s="4"/>
      <c r="CD1198" t="inlineStr">
        <is>
          <t>20</t>
        </is>
      </c>
      <c r="CE1198" t="inlineStr">
        <is>
          <t>0</t>
        </is>
      </c>
      <c r="CF1198" t="inlineStr">
        <is>
          <t>Q2-W03</t>
        </is>
      </c>
      <c r="CG1198"/>
      <c r="CH1198"/>
      <c r="CI1198"/>
      <c r="CJ1198" t="inlineStr">
        <is>
          <t>No Paid</t>
        </is>
      </c>
      <c r="CK1198" t="inlineStr">
        <is>
          <t>Not Eligible</t>
        </is>
      </c>
      <c r="CL1198"/>
      <c r="CM1198"/>
    </row>
    <row r="1199" ht="25.5" customHeight="1">
      <c r="A1199" t="inlineStr">
        <is>
          <t>203559</t>
        </is>
      </c>
      <c r="B1199" s="2"/>
      <c r="C1199"/>
      <c r="D1199" s="3">
        <v>46135.41033564815</v>
      </c>
      <c r="E1199" t="inlineStr">
        <is>
          <t>Q2-W03</t>
        </is>
      </c>
      <c r="F1199" t="inlineStr">
        <is>
          <t>Fariz</t>
        </is>
      </c>
      <c r="G1199" t="inlineStr">
        <is>
          <t>Customer</t>
        </is>
      </c>
      <c r="H1199" s="2" t="str">
        <f>=HYPERLINK("https://upbox.ajobthing.my/customer/203559", "https://upbox.ajobthing.my/customer/203559")</f>
        <v>https://upbox.ajobthing.my/customer/203559</v>
      </c>
      <c r="I1199" t="inlineStr">
        <is>
          <t>MCS Design &amp; Constrcut Sdn Bhd</t>
        </is>
      </c>
      <c r="J1199" t="inlineStr">
        <is>
          <t>Small Fish</t>
        </is>
      </c>
      <c r="K1199" t="inlineStr">
        <is>
          <t>Fariz</t>
        </is>
      </c>
      <c r="L1199" s="4"/>
      <c r="M1199" s="4">
        <v>46135.411261574074</v>
      </c>
      <c r="N1199"/>
      <c r="O1199">
        <v>1296</v>
      </c>
      <c r="P1199" s="4"/>
      <c r="Q1199" s="4"/>
      <c r="R1199"/>
      <c r="S1199"/>
      <c r="T1199" s="4"/>
      <c r="U1199" s="4"/>
      <c r="V1199"/>
      <c r="W1199"/>
      <c r="X1199"/>
      <c r="Y1199" t="inlineStr">
        <is>
          <t>Pending Appointment</t>
        </is>
      </c>
      <c r="Z1199" t="inlineStr">
        <is>
          <t>Hiring Now</t>
        </is>
      </c>
      <c r="AA1199">
        <v>1</v>
      </c>
      <c r="AB1199" t="inlineStr">
        <is>
          <t>No Appointment Made</t>
        </is>
      </c>
      <c r="AC1199"/>
      <c r="AD1199" t="inlineStr">
        <is>
          <t>1 site supervisor</t>
        </is>
      </c>
      <c r="AE1199"/>
      <c r="AF1199">
        <v>1200</v>
      </c>
      <c r="AG1199" s="4"/>
      <c r="AH1199" s="4"/>
      <c r="AI1199">
        <v>1200</v>
      </c>
      <c r="AJ1199"/>
      <c r="AK1199" t="inlineStr">
        <is>
          <t>No, I don't need at all</t>
        </is>
      </c>
      <c r="AL1199">
        <v>1</v>
      </c>
      <c r="AM1199" t="inlineStr">
        <is>
          <t>No, but I want in future</t>
        </is>
      </c>
      <c r="AN1199"/>
      <c r="AO1199" t="inlineStr">
        <is>
          <t>No, but I want in future</t>
        </is>
      </c>
      <c r="AP1199" t="inlineStr">
        <is>
          <t>Once a year (25%)</t>
        </is>
      </c>
      <c r="AQ1199">
        <v>1</v>
      </c>
      <c r="AR1199" t="inlineStr">
        <is>
          <t>Free Job Portal, Jobstreet</t>
        </is>
      </c>
      <c r="AS1199" t="inlineStr">
        <is>
          <t>- Headcount: 1
- Hiring Job Details: 1 site supervisor
- Hiring Urgency: Hiring Now
- Number of outlets: 
- Have recruiter team: No, I don't need at all
- Number of recruiter in company: 1
- Have ATS system: No, but I want in future
- Have career website: No, but I want in future
- Current hiring budget: RM1,200
- Whole year budget: RM1,200.00
- Whole year number of vacancies: 1
- Hiring frequency: Once a year (25%)
- External job portal: Free Job Portal,Jobstreet</t>
        </is>
      </c>
      <c r="AT1199">
        <v>105</v>
      </c>
      <c r="AU1199" t="inlineStr">
        <is>
          <t>1.05</t>
        </is>
      </c>
      <c r="AV1199" t="inlineStr">
        <is>
          <t>15</t>
        </is>
      </c>
      <c r="AW1199" t="inlineStr">
        <is>
          <t>0</t>
        </is>
      </c>
      <c r="AX1199" t="inlineStr">
        <is>
          <t>Not Qualified</t>
        </is>
      </c>
      <c r="AY1199" s="4"/>
      <c r="AZ1199"/>
      <c r="BA1199"/>
      <c r="BB1199"/>
      <c r="BC1199" t="inlineStr">
        <is>
          <t>havent decide yet.  cb</t>
        </is>
      </c>
      <c r="BD1199" s="4">
        <v>46141.41608796296</v>
      </c>
      <c r="BE1199"/>
      <c r="BF1199"/>
      <c r="BG1199" t="inlineStr">
        <is>
          <t>Reschedule</t>
        </is>
      </c>
      <c r="BH1199" t="inlineStr">
        <is>
          <t>Edward Hoo</t>
        </is>
      </c>
      <c r="BI1199"/>
      <c r="BJ1199" s="4">
        <v>46144.75435185185</v>
      </c>
      <c r="BK1199" s="4">
        <v>46135.408784722225</v>
      </c>
      <c r="BL1199" t="inlineStr">
        <is>
          <t>0.0</t>
        </is>
      </c>
      <c r="BM1199" t="inlineStr">
        <is>
          <t>0.0</t>
        </is>
      </c>
      <c r="BN1199"/>
      <c r="BO1199" s="4"/>
      <c r="BP1199">
        <v>168432</v>
      </c>
      <c r="BQ1199"/>
      <c r="BR1199"/>
      <c r="BS1199"/>
      <c r="BT1199"/>
      <c r="BU1199"/>
      <c r="BV1199">
        <v>2734258</v>
      </c>
      <c r="BW1199" t="inlineStr">
        <is>
          <t>Follow Up : Decision Pending</t>
        </is>
      </c>
      <c r="BX1199"/>
      <c r="BY1199"/>
      <c r="BZ1199" s="4"/>
      <c r="CA1199"/>
      <c r="CB1199"/>
      <c r="CC1199" s="4"/>
      <c r="CD1199" t="inlineStr">
        <is>
          <t>20</t>
        </is>
      </c>
      <c r="CE1199" t="inlineStr">
        <is>
          <t>0</t>
        </is>
      </c>
      <c r="CF1199" t="inlineStr">
        <is>
          <t>Q2-W03</t>
        </is>
      </c>
      <c r="CG1199"/>
      <c r="CH1199"/>
      <c r="CI1199"/>
      <c r="CJ1199" t="inlineStr">
        <is>
          <t>No Paid</t>
        </is>
      </c>
      <c r="CK1199" t="inlineStr">
        <is>
          <t>Not Eligible</t>
        </is>
      </c>
      <c r="CL1199"/>
      <c r="CM1199"/>
    </row>
    <row r="1200" ht="25.5" customHeight="1">
      <c r="A1200" t="inlineStr">
        <is>
          <t>203550</t>
        </is>
      </c>
      <c r="B1200" s="2"/>
      <c r="C1200"/>
      <c r="D1200" s="3">
        <v>46135.41505787037</v>
      </c>
      <c r="E1200" t="inlineStr">
        <is>
          <t>Q2-W03</t>
        </is>
      </c>
      <c r="F1200" t="inlineStr">
        <is>
          <t>Clover</t>
        </is>
      </c>
      <c r="G1200" t="inlineStr">
        <is>
          <t>Customer</t>
        </is>
      </c>
      <c r="H1200" s="2" t="str">
        <f>=HYPERLINK("https://upbox.ajobthing.my/customer/203550", "https://upbox.ajobthing.my/customer/203550")</f>
        <v>https://upbox.ajobthing.my/customer/203550</v>
      </c>
      <c r="I1200" t="inlineStr">
        <is>
          <t>Anas Fahmi Empire</t>
        </is>
      </c>
      <c r="J1200" t="inlineStr">
        <is>
          <t>Small Fish</t>
        </is>
      </c>
      <c r="K1200" t="inlineStr">
        <is>
          <t>Clover</t>
        </is>
      </c>
      <c r="L1200" s="4"/>
      <c r="M1200" s="4">
        <v>46140.48883101852</v>
      </c>
      <c r="N1200"/>
      <c r="O1200">
        <v>3576.96</v>
      </c>
      <c r="P1200" s="4"/>
      <c r="Q1200" s="4"/>
      <c r="R1200"/>
      <c r="S1200"/>
      <c r="T1200" s="4"/>
      <c r="U1200" s="4"/>
      <c r="V1200"/>
      <c r="W1200"/>
      <c r="X1200"/>
      <c r="Y1200" t="inlineStr">
        <is>
          <t>Pending Appointment</t>
        </is>
      </c>
      <c r="Z1200" t="inlineStr">
        <is>
          <t>Hiring Now</t>
        </is>
      </c>
      <c r="AA1200">
        <v>3</v>
      </c>
      <c r="AB1200" t="inlineStr">
        <is>
          <t>No Appointment Made</t>
        </is>
      </c>
      <c r="AC1200"/>
      <c r="AD1200" t="inlineStr">
        <is>
          <t>Want to hire Operation Cum Sales Assistant x3, all races, indoor races, fresh graduate,  urgent, electronic appliance retail, melaka, suggest stand</t>
        </is>
      </c>
      <c r="AE1200"/>
      <c r="AF1200">
        <v>3000</v>
      </c>
      <c r="AG1200" s="4"/>
      <c r="AH1200" s="4"/>
      <c r="AI1200">
        <v>3000</v>
      </c>
      <c r="AJ1200">
        <v>1</v>
      </c>
      <c r="AK1200" t="inlineStr">
        <is>
          <t>No, but I want in future</t>
        </is>
      </c>
      <c r="AL1200">
        <v>1</v>
      </c>
      <c r="AM1200" t="inlineStr">
        <is>
          <t>No, but I want in future</t>
        </is>
      </c>
      <c r="AN1200"/>
      <c r="AO1200" t="inlineStr">
        <is>
          <t>No, but I want in future</t>
        </is>
      </c>
      <c r="AP1200" t="inlineStr">
        <is>
          <t>Twice a year (50%)</t>
        </is>
      </c>
      <c r="AQ1200">
        <v>3</v>
      </c>
      <c r="AR1200" t="inlineStr">
        <is>
          <t>Free Job Portal</t>
        </is>
      </c>
      <c r="AS1200" t="inlineStr">
        <is>
          <t>- Headcount: 3
- Hiring Job Details: Operation Cum Sales Assistant x3, all races, indoor roles, fresh graduate, urgent, electronic appliance retail, melaka,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Free Job Portal</t>
        </is>
      </c>
      <c r="AT1200">
        <v>120</v>
      </c>
      <c r="AU1200" t="inlineStr">
        <is>
          <t>1.20</t>
        </is>
      </c>
      <c r="AV1200" t="inlineStr">
        <is>
          <t>15</t>
        </is>
      </c>
      <c r="AW1200" t="inlineStr">
        <is>
          <t>0</t>
        </is>
      </c>
      <c r="AX1200" t="inlineStr">
        <is>
          <t>Not Qualified</t>
        </is>
      </c>
      <c r="AY1200" s="4"/>
      <c r="AZ1200"/>
      <c r="BA1200"/>
      <c r="BB1200"/>
      <c r="BC1200" t="inlineStr">
        <is>
          <t>Still considering</t>
        </is>
      </c>
      <c r="BD1200" s="4">
        <v>46142.666666666664</v>
      </c>
      <c r="BE1200"/>
      <c r="BF1200"/>
      <c r="BG1200" t="inlineStr">
        <is>
          <t>Reschedule</t>
        </is>
      </c>
      <c r="BH1200" t="inlineStr">
        <is>
          <t>Reagen</t>
        </is>
      </c>
      <c r="BI1200"/>
      <c r="BJ1200" s="4">
        <v>46144.75435185185</v>
      </c>
      <c r="BK1200" s="4">
        <v>46134.73541666667</v>
      </c>
      <c r="BL1200" t="inlineStr">
        <is>
          <t>0.0</t>
        </is>
      </c>
      <c r="BM1200" t="inlineStr">
        <is>
          <t>0.0</t>
        </is>
      </c>
      <c r="BN1200" t="inlineStr">
        <is>
          <t>View Company Page</t>
        </is>
      </c>
      <c r="BO1200" s="4">
        <v>46134.803877314815</v>
      </c>
      <c r="BP1200">
        <v>169198</v>
      </c>
      <c r="BQ1200"/>
      <c r="BR1200"/>
      <c r="BS1200"/>
      <c r="BT1200"/>
      <c r="BU1200"/>
      <c r="BV1200">
        <v>2738072</v>
      </c>
      <c r="BW1200" t="inlineStr">
        <is>
          <t>Follow Up : Decision Pending</t>
        </is>
      </c>
      <c r="BX1200"/>
      <c r="BY1200"/>
      <c r="BZ1200" s="4"/>
      <c r="CA1200"/>
      <c r="CB1200"/>
      <c r="CC1200" s="4"/>
      <c r="CD1200" t="inlineStr">
        <is>
          <t>20</t>
        </is>
      </c>
      <c r="CE1200" t="inlineStr">
        <is>
          <t>0</t>
        </is>
      </c>
      <c r="CF1200" t="inlineStr">
        <is>
          <t>Q2-W04</t>
        </is>
      </c>
      <c r="CG1200"/>
      <c r="CH1200"/>
      <c r="CI1200"/>
      <c r="CJ1200" t="inlineStr">
        <is>
          <t>No Paid</t>
        </is>
      </c>
      <c r="CK1200" t="inlineStr">
        <is>
          <t>Not Eligible</t>
        </is>
      </c>
      <c r="CL1200"/>
      <c r="CM1200"/>
    </row>
    <row r="1201" ht="25.5" customHeight="1">
      <c r="A1201" t="inlineStr">
        <is>
          <t>27082</t>
        </is>
      </c>
      <c r="B1201" s="2"/>
      <c r="C1201"/>
      <c r="D1201" s="3">
        <v>46135.42304398148</v>
      </c>
      <c r="E1201" t="inlineStr">
        <is>
          <t>Q2-W03</t>
        </is>
      </c>
      <c r="F1201" t="inlineStr">
        <is>
          <t>Jia Hui</t>
        </is>
      </c>
      <c r="G1201" t="inlineStr">
        <is>
          <t>Customer</t>
        </is>
      </c>
      <c r="H1201" s="2" t="str">
        <f>=HYPERLINK("https://upbox.ajobthing.my/customer/27082", "https://upbox.ajobthing.my/customer/27082")</f>
        <v>https://upbox.ajobthing.my/customer/27082</v>
      </c>
      <c r="I1201" t="inlineStr">
        <is>
          <t>PDS Consulting Sdn Bhd</t>
        </is>
      </c>
      <c r="J1201" t="inlineStr">
        <is>
          <t>Small Fish</t>
        </is>
      </c>
      <c r="K1201" t="inlineStr">
        <is>
          <t>Jia Hui</t>
        </is>
      </c>
      <c r="L1201" s="4"/>
      <c r="M1201" s="4">
        <v>46135.423171296294</v>
      </c>
      <c r="N1201"/>
      <c r="O1201">
        <v>6048</v>
      </c>
      <c r="P1201" s="4"/>
      <c r="Q1201" s="4">
        <v>42787.71575231481</v>
      </c>
      <c r="R1201"/>
      <c r="S1201">
        <v>265</v>
      </c>
      <c r="T1201" s="4">
        <v>42787.71575231481</v>
      </c>
      <c r="U1201" s="4"/>
      <c r="V1201"/>
      <c r="W1201">
        <v>265</v>
      </c>
      <c r="X1201"/>
      <c r="Y1201" t="inlineStr">
        <is>
          <t>Pending Appointment</t>
        </is>
      </c>
      <c r="Z1201" t="inlineStr">
        <is>
          <t>Hiring Later</t>
        </is>
      </c>
      <c r="AA1201">
        <v>2</v>
      </c>
      <c r="AB1201" t="inlineStr">
        <is>
          <t>No Appointment Made</t>
        </is>
      </c>
      <c r="AC1201"/>
      <c r="AD1201" t="inlineStr">
        <is>
          <t xml:space="preserve">1 HR executive, 1 sales </t>
        </is>
      </c>
      <c r="AE1201"/>
      <c r="AF1201">
        <v>500</v>
      </c>
      <c r="AG1201" s="4"/>
      <c r="AH1201" s="4"/>
      <c r="AI1201"/>
      <c r="AJ1201"/>
      <c r="AK1201" t="inlineStr">
        <is>
          <t>No, but I want in future</t>
        </is>
      </c>
      <c r="AL1201"/>
      <c r="AM1201"/>
      <c r="AN1201"/>
      <c r="AO1201"/>
      <c r="AP1201" t="inlineStr">
        <is>
          <t>Once a year (25%)</t>
        </is>
      </c>
      <c r="AQ1201"/>
      <c r="AR1201"/>
      <c r="AS1201" t="inlineStr">
        <is>
          <t>- Headcount: 2
- Hiring Job Details: 1 HR executive, 1 sales
- Hiring Urgency: Hiring Later
- Number of outlets: Not specified
- Have recruiter team: No, but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1201">
        <v>75</v>
      </c>
      <c r="AU1201" t="inlineStr">
        <is>
          <t>0.75</t>
        </is>
      </c>
      <c r="AV1201" t="inlineStr">
        <is>
          <t>15</t>
        </is>
      </c>
      <c r="AW1201" t="inlineStr">
        <is>
          <t>0</t>
        </is>
      </c>
      <c r="AX1201" t="inlineStr">
        <is>
          <t>Not Qualified</t>
        </is>
      </c>
      <c r="AY1201" s="4"/>
      <c r="AZ1201"/>
      <c r="BA1201"/>
      <c r="BB1201"/>
      <c r="BC1201" t="inlineStr">
        <is>
          <t>already fulfilled the position, no hiring atm</t>
        </is>
      </c>
      <c r="BD1201" s="4">
        <v>46142.73310185185</v>
      </c>
      <c r="BE1201" t="inlineStr">
        <is>
          <t>paid</t>
        </is>
      </c>
      <c r="BF1201"/>
      <c r="BG1201" t="inlineStr">
        <is>
          <t>Reschedule</t>
        </is>
      </c>
      <c r="BH1201" t="inlineStr">
        <is>
          <t>Reagen</t>
        </is>
      </c>
      <c r="BI1201" t="inlineStr">
        <is>
          <t>General / Wholesale Trading</t>
        </is>
      </c>
      <c r="BJ1201" s="4">
        <v>46144.75449074074</v>
      </c>
      <c r="BK1201" s="4">
        <v>42594.4053587963</v>
      </c>
      <c r="BL1201" t="inlineStr">
        <is>
          <t>0.0</t>
        </is>
      </c>
      <c r="BM1201" t="inlineStr">
        <is>
          <t>600.0</t>
        </is>
      </c>
      <c r="BN1201" t="inlineStr">
        <is>
          <t>View Jobmanager Page</t>
        </is>
      </c>
      <c r="BO1201" s="4">
        <v>44111.46277777778</v>
      </c>
      <c r="BP1201">
        <v>168445</v>
      </c>
      <c r="BQ1201">
        <v>6268</v>
      </c>
      <c r="BR1201" t="inlineStr">
        <is>
          <t>Online</t>
        </is>
      </c>
      <c r="BS1201" t="inlineStr">
        <is>
          <t>A La Carte AI Job Ad
- A la carte for 2 AI Job Ad
- 2 AI Job Ad will be published on Maukerja, Ricebowl and our partner platforms
- 2 AI Job Ad will be published for 45 days
- 10 Free Candidate Profiles
- 10 Free Unlock Profiles
- Package valid for 1 month
- AI Capability
- AI Instant Match for 50 profiles
- AI Daily Talent Recommendation for 10 profiles daily
- AI 
- Open to Work
- Detector for 10 profiles for 10 days
- AI Smart Filter
- AI Post Job Assistant
- AI Pre-Call Notifier
- Ajobthing CARE</t>
        </is>
      </c>
      <c r="BT1201">
        <v>6268</v>
      </c>
      <c r="BU1201"/>
      <c r="BV1201">
        <v>2738431</v>
      </c>
      <c r="BW1201" t="inlineStr">
        <is>
          <t>Inquire for Hiring Needs : No Hiring</t>
        </is>
      </c>
      <c r="BX1201"/>
      <c r="BY1201"/>
      <c r="BZ1201" s="4"/>
      <c r="CA1201"/>
      <c r="CB1201"/>
      <c r="CC1201" s="4"/>
      <c r="CD1201" t="inlineStr">
        <is>
          <t>20</t>
        </is>
      </c>
      <c r="CE1201" t="inlineStr">
        <is>
          <t>0</t>
        </is>
      </c>
      <c r="CF1201" t="inlineStr">
        <is>
          <t>Q2-W03</t>
        </is>
      </c>
      <c r="CG1201"/>
      <c r="CH1201"/>
      <c r="CI1201"/>
      <c r="CJ1201" t="inlineStr">
        <is>
          <t>Paid</t>
        </is>
      </c>
      <c r="CK1201" t="inlineStr">
        <is>
          <t>Not Eligible</t>
        </is>
      </c>
      <c r="CL1201"/>
      <c r="CM1201"/>
    </row>
    <row r="1202" ht="25.5" customHeight="1">
      <c r="A1202" t="inlineStr">
        <is>
          <t>4315252</t>
        </is>
      </c>
      <c r="B1202" s="2"/>
      <c r="C1202"/>
      <c r="D1202" s="3">
        <v>46135.42836805555</v>
      </c>
      <c r="E1202" t="inlineStr">
        <is>
          <t>Q2-W03</t>
        </is>
      </c>
      <c r="F1202" t="inlineStr">
        <is>
          <t>Luqman</t>
        </is>
      </c>
      <c r="G1202" t="inlineStr">
        <is>
          <t>Lead</t>
        </is>
      </c>
      <c r="H1202" s="2" t="str">
        <f>=HYPERLINK("https://upbox.ajobthing.my/leads/4315252", "https://upbox.ajobthing.my/leads/4315252")</f>
        <v>https://upbox.ajobthing.my/leads/4315252</v>
      </c>
      <c r="I1202" t="inlineStr">
        <is>
          <t>COOLING PRECISION SERVICES SDN BHD</t>
        </is>
      </c>
      <c r="J1202" t="inlineStr">
        <is>
          <t>Small Fish</t>
        </is>
      </c>
      <c r="K1202" t="inlineStr">
        <is>
          <t>Luqman</t>
        </is>
      </c>
      <c r="L1202" s="4"/>
      <c r="M1202" s="4">
        <v>46135.4296412037</v>
      </c>
      <c r="N1202"/>
      <c r="O1202">
        <v>864</v>
      </c>
      <c r="P1202" s="4"/>
      <c r="Q1202" s="4"/>
      <c r="R1202"/>
      <c r="S1202"/>
      <c r="T1202" s="4"/>
      <c r="U1202" s="4"/>
      <c r="V1202"/>
      <c r="W1202"/>
      <c r="X1202"/>
      <c r="Y1202" t="inlineStr">
        <is>
          <t>Pending Appointment</t>
        </is>
      </c>
      <c r="Z1202" t="inlineStr">
        <is>
          <t>Hiring Now</t>
        </is>
      </c>
      <c r="AA1202">
        <v>1</v>
      </c>
      <c r="AB1202" t="inlineStr">
        <is>
          <t>No Appointment Made</t>
        </is>
      </c>
      <c r="AC1202"/>
      <c r="AD1202" t="inlineStr">
        <is>
          <t xml:space="preserve">1. Account Executive </t>
        </is>
      </c>
      <c r="AE1202"/>
      <c r="AF1202">
        <v>800</v>
      </c>
      <c r="AG1202" s="4"/>
      <c r="AH1202" s="4"/>
      <c r="AI1202">
        <v>800</v>
      </c>
      <c r="AJ1202"/>
      <c r="AK1202" t="inlineStr">
        <is>
          <t>Yes, I have</t>
        </is>
      </c>
      <c r="AL1202">
        <v>1</v>
      </c>
      <c r="AM1202" t="inlineStr">
        <is>
          <t>No, I don't need at all</t>
        </is>
      </c>
      <c r="AN1202"/>
      <c r="AO1202" t="inlineStr">
        <is>
          <t>No, but I want in future</t>
        </is>
      </c>
      <c r="AP1202" t="inlineStr">
        <is>
          <t>Once a year (25%)</t>
        </is>
      </c>
      <c r="AQ1202">
        <v>1</v>
      </c>
      <c r="AR1202" t="inlineStr">
        <is>
          <t>Free Job Portal</t>
        </is>
      </c>
      <c r="AS1202" t="inlineStr">
        <is>
          <t>- Headcount: 1
- Hiring Job Details: 1 Account Executive
- Hiring Urgency: Hiring Now
- Number of outlets: 
- Have recruiter team: Yes
- Number of recruiter in company: 1
- Have ATS system: No, I don't need at all
- Have career website: No, but I want in future
- Current hiring budget: RM800
- Whole year budget: RM800.00
- Whole year number of vacancies: 1
- Hiring frequency: Once a year (25%)
- External job portal: Free Job Portal</t>
        </is>
      </c>
      <c r="AT1202">
        <v>115</v>
      </c>
      <c r="AU1202" t="inlineStr">
        <is>
          <t>1.15</t>
        </is>
      </c>
      <c r="AV1202" t="inlineStr">
        <is>
          <t>15</t>
        </is>
      </c>
      <c r="AW1202" t="inlineStr">
        <is>
          <t>0</t>
        </is>
      </c>
      <c r="AX1202" t="inlineStr">
        <is>
          <t>Not Qualified</t>
        </is>
      </c>
      <c r="AY1202" s="4"/>
      <c r="AZ1202"/>
      <c r="BA1202"/>
      <c r="BB1202"/>
      <c r="BC1202"/>
      <c r="BD1202" s="4"/>
      <c r="BE1202"/>
      <c r="BF1202"/>
      <c r="BG1202" t="inlineStr">
        <is>
          <t>Reschedule</t>
        </is>
      </c>
      <c r="BH1202" t="inlineStr">
        <is>
          <t>Edward Hoo</t>
        </is>
      </c>
      <c r="BI1202"/>
      <c r="BJ1202" s="4">
        <v>46144.755902777775</v>
      </c>
      <c r="BK1202" s="4">
        <v>46135.41365740741</v>
      </c>
      <c r="BL1202" t="inlineStr">
        <is>
          <t>0.0</t>
        </is>
      </c>
      <c r="BM1202" t="inlineStr">
        <is>
          <t>0.0</t>
        </is>
      </c>
      <c r="BN1202"/>
      <c r="BO1202" s="4"/>
      <c r="BP1202">
        <v>168453</v>
      </c>
      <c r="BQ1202"/>
      <c r="BR1202"/>
      <c r="BS1202"/>
      <c r="BT1202"/>
      <c r="BU1202"/>
      <c r="BV1202"/>
      <c r="BW1202"/>
      <c r="BX1202"/>
      <c r="BY1202"/>
      <c r="BZ1202" s="4"/>
      <c r="CA1202"/>
      <c r="CB1202"/>
      <c r="CC1202" s="4"/>
      <c r="CD1202" t="inlineStr">
        <is>
          <t>20</t>
        </is>
      </c>
      <c r="CE1202" t="inlineStr">
        <is>
          <t>0</t>
        </is>
      </c>
      <c r="CF1202" t="inlineStr">
        <is>
          <t>Q2-W03</t>
        </is>
      </c>
      <c r="CG1202"/>
      <c r="CH1202"/>
      <c r="CI1202"/>
      <c r="CJ1202" t="inlineStr">
        <is>
          <t>No Paid</t>
        </is>
      </c>
      <c r="CK1202" t="inlineStr">
        <is>
          <t>Not Eligible</t>
        </is>
      </c>
      <c r="CL1202"/>
      <c r="CM1202"/>
    </row>
    <row r="1203" ht="25.5" customHeight="1">
      <c r="A1203" t="inlineStr">
        <is>
          <t>203553</t>
        </is>
      </c>
      <c r="B1203" s="2"/>
      <c r="C1203"/>
      <c r="D1203" s="3">
        <v>46135.442557870374</v>
      </c>
      <c r="E1203" t="inlineStr">
        <is>
          <t>Q2-W03</t>
        </is>
      </c>
      <c r="F1203" t="inlineStr">
        <is>
          <t>Josh</t>
        </is>
      </c>
      <c r="G1203" t="inlineStr">
        <is>
          <t>Customer</t>
        </is>
      </c>
      <c r="H1203" s="2" t="str">
        <f>=HYPERLINK("https://upbox.ajobthing.my/customer/203553", "https://upbox.ajobthing.my/customer/203553")</f>
        <v>https://upbox.ajobthing.my/customer/203553</v>
      </c>
      <c r="I1203" t="inlineStr">
        <is>
          <t>Janelite Resources Plt</t>
        </is>
      </c>
      <c r="J1203" t="inlineStr">
        <is>
          <t>Small Fish</t>
        </is>
      </c>
      <c r="K1203" t="inlineStr">
        <is>
          <t>Josh</t>
        </is>
      </c>
      <c r="L1203" s="4"/>
      <c r="M1203" s="4">
        <v>46135.44268518518</v>
      </c>
      <c r="N1203"/>
      <c r="O1203">
        <v>864</v>
      </c>
      <c r="P1203" s="4"/>
      <c r="Q1203" s="4"/>
      <c r="R1203"/>
      <c r="S1203"/>
      <c r="T1203" s="4"/>
      <c r="U1203" s="4"/>
      <c r="V1203"/>
      <c r="W1203"/>
      <c r="X1203"/>
      <c r="Y1203" t="inlineStr">
        <is>
          <t>Pending Appointment</t>
        </is>
      </c>
      <c r="Z1203" t="inlineStr">
        <is>
          <t>Hiring Now</t>
        </is>
      </c>
      <c r="AA1203">
        <v>1</v>
      </c>
      <c r="AB1203" t="inlineStr">
        <is>
          <t>No Appointment Made</t>
        </is>
      </c>
      <c r="AC1203"/>
      <c r="AD1203" t="inlineStr">
        <is>
          <t xml:space="preserve">1 agriculture executive </t>
        </is>
      </c>
      <c r="AE1203"/>
      <c r="AF1203">
        <v>1000</v>
      </c>
      <c r="AG1203" s="4"/>
      <c r="AH1203" s="4"/>
      <c r="AI1203"/>
      <c r="AJ1203"/>
      <c r="AK1203" t="inlineStr">
        <is>
          <t>Yes, I have</t>
        </is>
      </c>
      <c r="AL1203"/>
      <c r="AM1203"/>
      <c r="AN1203"/>
      <c r="AO1203"/>
      <c r="AP1203" t="inlineStr">
        <is>
          <t>Once a year (25%)</t>
        </is>
      </c>
      <c r="AQ1203"/>
      <c r="AR1203"/>
      <c r="AS1203" t="inlineStr">
        <is>
          <t>- Headcount: 1
- Hiring Job Details: 1 agriculture executive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1203">
        <v>95</v>
      </c>
      <c r="AU1203" t="inlineStr">
        <is>
          <t>0.95</t>
        </is>
      </c>
      <c r="AV1203" t="inlineStr">
        <is>
          <t>15</t>
        </is>
      </c>
      <c r="AW1203" t="inlineStr">
        <is>
          <t>0</t>
        </is>
      </c>
      <c r="AX1203" t="inlineStr">
        <is>
          <t>Not Qualified</t>
        </is>
      </c>
      <c r="AY1203" s="4"/>
      <c r="AZ1203"/>
      <c r="BA1203"/>
      <c r="BB1203"/>
      <c r="BC1203" t="inlineStr">
        <is>
          <t>- Headcount: 1
- Hiring Job Details: 1 agriculture executive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BD1203" s="4">
        <v>46135.45835648148</v>
      </c>
      <c r="BE1203"/>
      <c r="BF1203"/>
      <c r="BG1203" t="inlineStr">
        <is>
          <t>Reschedule</t>
        </is>
      </c>
      <c r="BH1203" t="inlineStr">
        <is>
          <t>Fauziah Maharan</t>
        </is>
      </c>
      <c r="BI1203" t="inlineStr">
        <is>
          <t>Agriculture / Poultry / Fisheries</t>
        </is>
      </c>
      <c r="BJ1203" s="4">
        <v>46144.75435185185</v>
      </c>
      <c r="BK1203" s="4">
        <v>46134.96261574074</v>
      </c>
      <c r="BL1203" t="inlineStr">
        <is>
          <t>0.0</t>
        </is>
      </c>
      <c r="BM1203" t="inlineStr">
        <is>
          <t>0.0</t>
        </is>
      </c>
      <c r="BN1203" t="inlineStr">
        <is>
          <t>View Company Page</t>
        </is>
      </c>
      <c r="BO1203" s="4">
        <v>46134.9906712963</v>
      </c>
      <c r="BP1203">
        <v>168468</v>
      </c>
      <c r="BQ1203"/>
      <c r="BR1203"/>
      <c r="BS1203"/>
      <c r="BT1203"/>
      <c r="BU1203"/>
      <c r="BV1203">
        <v>2722688</v>
      </c>
      <c r="BW1203" t="inlineStr">
        <is>
          <t>Customer Inquiry</t>
        </is>
      </c>
      <c r="BX1203"/>
      <c r="BY1203"/>
      <c r="BZ1203" s="4"/>
      <c r="CA1203"/>
      <c r="CB1203"/>
      <c r="CC1203" s="4"/>
      <c r="CD1203" t="inlineStr">
        <is>
          <t>20</t>
        </is>
      </c>
      <c r="CE1203" t="inlineStr">
        <is>
          <t>0</t>
        </is>
      </c>
      <c r="CF1203" t="inlineStr">
        <is>
          <t>Q2-W03</t>
        </is>
      </c>
      <c r="CG1203"/>
      <c r="CH1203"/>
      <c r="CI1203"/>
      <c r="CJ1203" t="inlineStr">
        <is>
          <t>No Paid</t>
        </is>
      </c>
      <c r="CK1203" t="inlineStr">
        <is>
          <t>Not Eligible</t>
        </is>
      </c>
      <c r="CL1203"/>
      <c r="CM1203"/>
    </row>
    <row r="1204" ht="25.5" customHeight="1">
      <c r="A1204" t="inlineStr">
        <is>
          <t>4315129</t>
        </is>
      </c>
      <c r="B1204" s="2"/>
      <c r="C1204"/>
      <c r="D1204" s="3">
        <v>46135.443819444445</v>
      </c>
      <c r="E1204" t="inlineStr">
        <is>
          <t>Q2-W03</t>
        </is>
      </c>
      <c r="F1204" t="inlineStr">
        <is>
          <t>Angel  Low</t>
        </is>
      </c>
      <c r="G1204" t="inlineStr">
        <is>
          <t>Lead</t>
        </is>
      </c>
      <c r="H1204" s="2" t="str">
        <f>=HYPERLINK("https://upbox.ajobthing.my/leads/4315129", "https://upbox.ajobthing.my/leads/4315129")</f>
        <v>https://upbox.ajobthing.my/leads/4315129</v>
      </c>
      <c r="I1204" t="inlineStr">
        <is>
          <t>TRAINOCATE (M) SDN BHD</t>
        </is>
      </c>
      <c r="J1204" t="inlineStr">
        <is>
          <t>Small Fish</t>
        </is>
      </c>
      <c r="K1204" t="inlineStr">
        <is>
          <t>Angel Low</t>
        </is>
      </c>
      <c r="L1204" s="4"/>
      <c r="M1204" s="4">
        <v>46135.44482638889</v>
      </c>
      <c r="N1204"/>
      <c r="O1204">
        <v>3672</v>
      </c>
      <c r="P1204" s="4"/>
      <c r="Q1204" s="4"/>
      <c r="R1204"/>
      <c r="S1204"/>
      <c r="T1204" s="4"/>
      <c r="U1204" s="4"/>
      <c r="V1204"/>
      <c r="W1204"/>
      <c r="X1204"/>
      <c r="Y1204" t="inlineStr">
        <is>
          <t>Pending Appointment</t>
        </is>
      </c>
      <c r="Z1204"/>
      <c r="AA1204">
        <v>2</v>
      </c>
      <c r="AB1204" t="inlineStr">
        <is>
          <t>No Appointment Made</t>
        </is>
      </c>
      <c r="AC1204"/>
      <c r="AD1204" t="inlineStr">
        <is>
          <t xml:space="preserve">1 sales 1 sales support </t>
        </is>
      </c>
      <c r="AE1204"/>
      <c r="AF1204"/>
      <c r="AG1204" s="4"/>
      <c r="AH1204" s="4"/>
      <c r="AI1204"/>
      <c r="AJ1204"/>
      <c r="AK1204"/>
      <c r="AL1204"/>
      <c r="AM1204"/>
      <c r="AN1204"/>
      <c r="AO1204"/>
      <c r="AP1204"/>
      <c r="AQ1204"/>
      <c r="AR1204"/>
      <c r="AS1204" t="inlineStr">
        <is>
          <t>- Headcount: 2
- Hiring Job Details: 1 sales, 1 sales support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204">
        <v>60</v>
      </c>
      <c r="AU1204" t="inlineStr">
        <is>
          <t>0.60</t>
        </is>
      </c>
      <c r="AV1204" t="inlineStr">
        <is>
          <t>5</t>
        </is>
      </c>
      <c r="AW1204" t="inlineStr">
        <is>
          <t>0</t>
        </is>
      </c>
      <c r="AX1204" t="inlineStr">
        <is>
          <t>Not Qualified</t>
        </is>
      </c>
      <c r="AY1204" s="4"/>
      <c r="AZ1204"/>
      <c r="BA1204"/>
      <c r="BB1204"/>
      <c r="BC1204"/>
      <c r="BD1204" s="4"/>
      <c r="BE1204"/>
      <c r="BF1204"/>
      <c r="BG1204" t="inlineStr">
        <is>
          <t>Reschedule</t>
        </is>
      </c>
      <c r="BH1204" t="inlineStr">
        <is>
          <t>Fauziah Maharan</t>
        </is>
      </c>
      <c r="BI1204"/>
      <c r="BJ1204" s="4">
        <v>46144.755902777775</v>
      </c>
      <c r="BK1204" s="4">
        <v>46135.37799768519</v>
      </c>
      <c r="BL1204" t="inlineStr">
        <is>
          <t>0.0</t>
        </is>
      </c>
      <c r="BM1204" t="inlineStr">
        <is>
          <t>0.0</t>
        </is>
      </c>
      <c r="BN1204"/>
      <c r="BO1204" s="4"/>
      <c r="BP1204">
        <v>168469</v>
      </c>
      <c r="BQ1204"/>
      <c r="BR1204"/>
      <c r="BS1204"/>
      <c r="BT1204"/>
      <c r="BU1204"/>
      <c r="BV1204"/>
      <c r="BW1204"/>
      <c r="BX1204"/>
      <c r="BY1204"/>
      <c r="BZ1204" s="4"/>
      <c r="CA1204"/>
      <c r="CB1204"/>
      <c r="CC1204" s="4"/>
      <c r="CD1204" t="inlineStr">
        <is>
          <t>5</t>
        </is>
      </c>
      <c r="CE1204" t="inlineStr">
        <is>
          <t>0</t>
        </is>
      </c>
      <c r="CF1204" t="inlineStr">
        <is>
          <t>Q2-W03</t>
        </is>
      </c>
      <c r="CG1204"/>
      <c r="CH1204"/>
      <c r="CI1204"/>
      <c r="CJ1204" t="inlineStr">
        <is>
          <t>No Paid</t>
        </is>
      </c>
      <c r="CK1204" t="inlineStr">
        <is>
          <t>Not Eligible</t>
        </is>
      </c>
      <c r="CL1204"/>
      <c r="CM1204"/>
    </row>
    <row r="1205" ht="25.5" customHeight="1">
      <c r="A1205" t="inlineStr">
        <is>
          <t>203562</t>
        </is>
      </c>
      <c r="B1205" s="2"/>
      <c r="C1205"/>
      <c r="D1205" s="3">
        <v>46135.446597222224</v>
      </c>
      <c r="E1205" t="inlineStr">
        <is>
          <t>Q2-W03</t>
        </is>
      </c>
      <c r="F1205" t="inlineStr">
        <is>
          <t>Jeff Lee</t>
        </is>
      </c>
      <c r="G1205" t="inlineStr">
        <is>
          <t>Customer</t>
        </is>
      </c>
      <c r="H1205" s="2" t="str">
        <f>=HYPERLINK("https://upbox.ajobthing.my/customer/203562", "https://upbox.ajobthing.my/customer/203562")</f>
        <v>https://upbox.ajobthing.my/customer/203562</v>
      </c>
      <c r="I1205" t="inlineStr">
        <is>
          <t>Yong Guan Sauce Manutacturer (M) Sdn Bhd</t>
        </is>
      </c>
      <c r="J1205" t="inlineStr">
        <is>
          <t>Small Fish</t>
        </is>
      </c>
      <c r="K1205" t="inlineStr">
        <is>
          <t>Jeff Lee</t>
        </is>
      </c>
      <c r="L1205" s="4"/>
      <c r="M1205" s="4">
        <v>46135.44496527778</v>
      </c>
      <c r="N1205"/>
      <c r="O1205">
        <v>3888</v>
      </c>
      <c r="P1205" s="4"/>
      <c r="Q1205" s="4">
        <v>46140.65042824074</v>
      </c>
      <c r="R1205"/>
      <c r="S1205">
        <v>1296</v>
      </c>
      <c r="T1205" s="4"/>
      <c r="U1205" s="4"/>
      <c r="V1205"/>
      <c r="W1205"/>
      <c r="X1205"/>
      <c r="Y1205" t="inlineStr">
        <is>
          <t>Pending Appointment</t>
        </is>
      </c>
      <c r="Z1205" t="inlineStr">
        <is>
          <t>Hiring Now</t>
        </is>
      </c>
      <c r="AA1205">
        <v>1</v>
      </c>
      <c r="AB1205" t="inlineStr">
        <is>
          <t>No Appointment Made</t>
        </is>
      </c>
      <c r="AC1205"/>
      <c r="AD1205" t="inlineStr">
        <is>
          <t>1 Lorry driver</t>
        </is>
      </c>
      <c r="AE1205"/>
      <c r="AF1205">
        <v>0</v>
      </c>
      <c r="AG1205" s="4"/>
      <c r="AH1205" s="4"/>
      <c r="AI1205">
        <v>0</v>
      </c>
      <c r="AJ1205">
        <v>0</v>
      </c>
      <c r="AK1205" t="inlineStr">
        <is>
          <t>No, I don't need at all</t>
        </is>
      </c>
      <c r="AL1205">
        <v>0</v>
      </c>
      <c r="AM1205" t="inlineStr">
        <is>
          <t>No, I don't need at all</t>
        </is>
      </c>
      <c r="AN1205"/>
      <c r="AO1205" t="inlineStr">
        <is>
          <t>No, I don't need at all</t>
        </is>
      </c>
      <c r="AP1205" t="inlineStr">
        <is>
          <t>Once a year (25%)</t>
        </is>
      </c>
      <c r="AQ1205">
        <v>1</v>
      </c>
      <c r="AR1205" t="inlineStr">
        <is>
          <t>Did not use any job portal</t>
        </is>
      </c>
      <c r="AS1205" t="inlineStr">
        <is>
          <t>- Headcount: 1
- Hiring Job Details: 1 Lorry driver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205">
        <v>105</v>
      </c>
      <c r="AU1205" t="inlineStr">
        <is>
          <t>1.05</t>
        </is>
      </c>
      <c r="AV1205" t="inlineStr">
        <is>
          <t>15</t>
        </is>
      </c>
      <c r="AW1205" t="inlineStr">
        <is>
          <t>0</t>
        </is>
      </c>
      <c r="AX1205" t="inlineStr">
        <is>
          <t>Not Qualified</t>
        </is>
      </c>
      <c r="AY1205" s="4"/>
      <c r="AZ1205"/>
      <c r="BA1205"/>
      <c r="BB1205"/>
      <c r="BC1205" t="inlineStr">
        <is>
          <t>- Headcount: 1
- Hiring Job Details: 1 Lorry Driver
- Hiring Urgency: Hiring Now
- Number of outlets: 0
- Have recruiter team: No, I don't need at all
- Number of recruiter in company: 0
- Have ATS system: No, I don't need at all
- Have career website: No, I don't need at all
- Current hiring budget: RM1,300
- Whole year budget: RM1,300.00
- Whole year number of vacancies: 1
- Hiring frequency: Once a year (25%)
- External job portal: Did not use any job portal</t>
        </is>
      </c>
      <c r="BD1205" s="4">
        <v>46140.666712962964</v>
      </c>
      <c r="BE1205" t="inlineStr">
        <is>
          <t>pending</t>
        </is>
      </c>
      <c r="BF1205"/>
      <c r="BG1205" t="inlineStr">
        <is>
          <t>Reschedule</t>
        </is>
      </c>
      <c r="BH1205" t="inlineStr">
        <is>
          <t>Yee Hang</t>
        </is>
      </c>
      <c r="BI1205"/>
      <c r="BJ1205" s="4">
        <v>46144.75435185185</v>
      </c>
      <c r="BK1205" s="4">
        <v>46135.44244212963</v>
      </c>
      <c r="BL1205" t="inlineStr">
        <is>
          <t>0.0</t>
        </is>
      </c>
      <c r="BM1205" t="inlineStr">
        <is>
          <t>0.0</t>
        </is>
      </c>
      <c r="BN1205"/>
      <c r="BO1205" s="4"/>
      <c r="BP1205">
        <v>168470</v>
      </c>
      <c r="BQ1205">
        <v>123933</v>
      </c>
      <c r="BR1205" t="inlineStr">
        <is>
          <t>Proforma</t>
        </is>
      </c>
      <c r="BS1205" t="inlineStr">
        <is>
          <t>AI Ala Carte (Jan 26) Plus</t>
        </is>
      </c>
      <c r="BT1205"/>
      <c r="BU1205"/>
      <c r="BV1205">
        <v>2733296</v>
      </c>
      <c r="BW1205" t="inlineStr">
        <is>
          <t>Customer Inquiry</t>
        </is>
      </c>
      <c r="BX1205"/>
      <c r="BY1205"/>
      <c r="BZ1205" s="4"/>
      <c r="CA1205"/>
      <c r="CB1205"/>
      <c r="CC1205" s="4"/>
      <c r="CD1205" t="inlineStr">
        <is>
          <t>20</t>
        </is>
      </c>
      <c r="CE1205" t="inlineStr">
        <is>
          <t>0</t>
        </is>
      </c>
      <c r="CF1205" t="inlineStr">
        <is>
          <t>Q2-W03</t>
        </is>
      </c>
      <c r="CG1205" t="inlineStr">
        <is>
          <t>Q2-W04</t>
        </is>
      </c>
      <c r="CH1205"/>
      <c r="CI1205"/>
      <c r="CJ1205" t="inlineStr">
        <is>
          <t>No Paid</t>
        </is>
      </c>
      <c r="CK1205" t="inlineStr">
        <is>
          <t>Not Eligible</t>
        </is>
      </c>
      <c r="CL1205"/>
      <c r="CM1205"/>
    </row>
    <row r="1206" ht="25.5" customHeight="1">
      <c r="A1206" t="inlineStr">
        <is>
          <t>4035518</t>
        </is>
      </c>
      <c r="B1206" s="2"/>
      <c r="C1206"/>
      <c r="D1206" s="3">
        <v>46135.44949074074</v>
      </c>
      <c r="E1206" t="inlineStr">
        <is>
          <t>Q2-W03</t>
        </is>
      </c>
      <c r="F1206" t="inlineStr">
        <is>
          <t>Josh</t>
        </is>
      </c>
      <c r="G1206" t="inlineStr">
        <is>
          <t>Lead</t>
        </is>
      </c>
      <c r="H1206" s="2" t="str">
        <f>=HYPERLINK("https://upbox.ajobthing.my/leads/4035518", "https://upbox.ajobthing.my/leads/4035518")</f>
        <v>https://upbox.ajobthing.my/leads/4035518</v>
      </c>
      <c r="I1206" t="inlineStr">
        <is>
          <t>ES FUSION</t>
        </is>
      </c>
      <c r="J1206" t="inlineStr">
        <is>
          <t>Small Fish</t>
        </is>
      </c>
      <c r="K1206" t="inlineStr">
        <is>
          <t>Josh</t>
        </is>
      </c>
      <c r="L1206" s="4"/>
      <c r="M1206" s="4">
        <v>46135.449895833335</v>
      </c>
      <c r="N1206"/>
      <c r="O1206">
        <v>4752</v>
      </c>
      <c r="P1206" s="4"/>
      <c r="Q1206" s="4"/>
      <c r="R1206"/>
      <c r="S1206"/>
      <c r="T1206" s="4"/>
      <c r="U1206" s="4"/>
      <c r="V1206"/>
      <c r="W1206"/>
      <c r="X1206"/>
      <c r="Y1206" t="inlineStr">
        <is>
          <t>Pending Appointment</t>
        </is>
      </c>
      <c r="Z1206" t="inlineStr">
        <is>
          <t>Hiring Later</t>
        </is>
      </c>
      <c r="AA1206">
        <v>1</v>
      </c>
      <c r="AB1206" t="inlineStr">
        <is>
          <t>No Appointment Made</t>
        </is>
      </c>
      <c r="AC1206"/>
      <c r="AD1206" t="inlineStr">
        <is>
          <t>1 retail</t>
        </is>
      </c>
      <c r="AE1206"/>
      <c r="AF1206">
        <v>4000</v>
      </c>
      <c r="AG1206" s="4"/>
      <c r="AH1206" s="4"/>
      <c r="AI1206"/>
      <c r="AJ1206"/>
      <c r="AK1206" t="inlineStr">
        <is>
          <t>Yes, I have</t>
        </is>
      </c>
      <c r="AL1206">
        <v>1</v>
      </c>
      <c r="AM1206"/>
      <c r="AN1206"/>
      <c r="AO1206"/>
      <c r="AP1206" t="inlineStr">
        <is>
          <t>Once a year (25%)</t>
        </is>
      </c>
      <c r="AQ1206"/>
      <c r="AR1206"/>
      <c r="AS1206" t="inlineStr">
        <is>
          <t>- Headcount: Not provided
- Hiring Job Details: 1 retail
- Number of outlets: Not provided
- Have recruiter team: Yes
- Number of recruiter in company: 1
- Have ATS system: Not provided
- Have career website: Not provided
- Current hiring budget: RM4,000.00
- Whole year budget: Not provided
- Whole year number of vacancies: Not provided
- Hiring frequency: Once a year (25%)
- External job portal: Not provided
- Hiring Urgency: Hiring Later</t>
        </is>
      </c>
      <c r="AT1206">
        <v>40</v>
      </c>
      <c r="AU1206" t="inlineStr">
        <is>
          <t>0.40</t>
        </is>
      </c>
      <c r="AV1206" t="inlineStr">
        <is>
          <t>15</t>
        </is>
      </c>
      <c r="AW1206" t="inlineStr">
        <is>
          <t>0</t>
        </is>
      </c>
      <c r="AX1206" t="inlineStr">
        <is>
          <t>Not Qualified</t>
        </is>
      </c>
      <c r="AY1206" s="4"/>
      <c r="AZ1206"/>
      <c r="BA1206"/>
      <c r="BB1206"/>
      <c r="BC1206"/>
      <c r="BD1206" s="4"/>
      <c r="BE1206"/>
      <c r="BF1206"/>
      <c r="BG1206" t="inlineStr">
        <is>
          <t>Reschedule</t>
        </is>
      </c>
      <c r="BH1206" t="inlineStr">
        <is>
          <t>Fauziah Maharan</t>
        </is>
      </c>
      <c r="BI1206"/>
      <c r="BJ1206" s="4">
        <v>46144.75525462963</v>
      </c>
      <c r="BK1206" s="4">
        <v>46057.623136574075</v>
      </c>
      <c r="BL1206" t="inlineStr">
        <is>
          <t>0.0</t>
        </is>
      </c>
      <c r="BM1206" t="inlineStr">
        <is>
          <t>0.0</t>
        </is>
      </c>
      <c r="BN1206"/>
      <c r="BO1206" s="4"/>
      <c r="BP1206">
        <v>168477</v>
      </c>
      <c r="BQ1206"/>
      <c r="BR1206"/>
      <c r="BS1206"/>
      <c r="BT1206"/>
      <c r="BU1206"/>
      <c r="BV1206"/>
      <c r="BW1206"/>
      <c r="BX1206"/>
      <c r="BY1206"/>
      <c r="BZ1206" s="4"/>
      <c r="CA1206"/>
      <c r="CB1206"/>
      <c r="CC1206" s="4"/>
      <c r="CD1206" t="inlineStr">
        <is>
          <t>20</t>
        </is>
      </c>
      <c r="CE1206" t="inlineStr">
        <is>
          <t>0</t>
        </is>
      </c>
      <c r="CF1206" t="inlineStr">
        <is>
          <t>Q2-W03</t>
        </is>
      </c>
      <c r="CG1206"/>
      <c r="CH1206"/>
      <c r="CI1206"/>
      <c r="CJ1206" t="inlineStr">
        <is>
          <t>No Paid</t>
        </is>
      </c>
      <c r="CK1206" t="inlineStr">
        <is>
          <t>Not Eligible</t>
        </is>
      </c>
      <c r="CL1206"/>
      <c r="CM1206"/>
    </row>
    <row r="1207" ht="25.5" customHeight="1">
      <c r="A1207" t="inlineStr">
        <is>
          <t>36192</t>
        </is>
      </c>
      <c r="B1207" s="2"/>
      <c r="C1207"/>
      <c r="D1207" s="3">
        <v>46135.450949074075</v>
      </c>
      <c r="E1207" t="inlineStr">
        <is>
          <t>Q2-W03</t>
        </is>
      </c>
      <c r="F1207" t="inlineStr">
        <is>
          <t>Carmen</t>
        </is>
      </c>
      <c r="G1207" t="inlineStr">
        <is>
          <t>Customer</t>
        </is>
      </c>
      <c r="H1207" s="2" t="str">
        <f>=HYPERLINK("https://upbox.ajobthing.my/customer/36192", "https://upbox.ajobthing.my/customer/36192")</f>
        <v>https://upbox.ajobthing.my/customer/36192</v>
      </c>
      <c r="I1207" t="inlineStr">
        <is>
          <t>Mediksoft Saintifik Sdn Bhd</t>
        </is>
      </c>
      <c r="J1207" t="inlineStr">
        <is>
          <t>Small Fish</t>
        </is>
      </c>
      <c r="K1207" t="inlineStr">
        <is>
          <t>Carmen</t>
        </is>
      </c>
      <c r="L1207" s="4"/>
      <c r="M1207" s="4">
        <v>46135.45186342593</v>
      </c>
      <c r="N1207"/>
      <c r="O1207">
        <v>6048</v>
      </c>
      <c r="P1207" s="4"/>
      <c r="Q1207" s="4">
        <v>46134.58508101852</v>
      </c>
      <c r="R1207"/>
      <c r="S1207">
        <v>0</v>
      </c>
      <c r="T1207" s="4"/>
      <c r="U1207" s="4"/>
      <c r="V1207"/>
      <c r="W1207"/>
      <c r="X1207"/>
      <c r="Y1207" t="inlineStr">
        <is>
          <t>Pending Appointment</t>
        </is>
      </c>
      <c r="Z1207" t="inlineStr">
        <is>
          <t>Hiring Now</t>
        </is>
      </c>
      <c r="AA1207">
        <v>5</v>
      </c>
      <c r="AB1207" t="inlineStr">
        <is>
          <t>No Appointment Made</t>
        </is>
      </c>
      <c r="AC1207"/>
      <c r="AD1207" t="inlineStr">
        <is>
          <t>3 IT life science, and 1technical support ; 1 intern help in admin and operation</t>
        </is>
      </c>
      <c r="AE1207"/>
      <c r="AF1207">
        <v>0</v>
      </c>
      <c r="AG1207" s="4"/>
      <c r="AH1207" s="4"/>
      <c r="AI1207"/>
      <c r="AJ1207"/>
      <c r="AK1207"/>
      <c r="AL1207"/>
      <c r="AM1207"/>
      <c r="AN1207"/>
      <c r="AO1207"/>
      <c r="AP1207" t="inlineStr">
        <is>
          <t>Once a year (25%)</t>
        </is>
      </c>
      <c r="AQ1207"/>
      <c r="AR1207"/>
      <c r="AS1207" t="inlineStr">
        <is>
          <t>- Headcount: 5
- Hiring Job Details: 3 IT life science, 1 technical support, 1 intern (admin and operation help)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1207">
        <v>75</v>
      </c>
      <c r="AU1207" t="inlineStr">
        <is>
          <t>0.75</t>
        </is>
      </c>
      <c r="AV1207" t="inlineStr">
        <is>
          <t>20</t>
        </is>
      </c>
      <c r="AW1207" t="inlineStr">
        <is>
          <t>0</t>
        </is>
      </c>
      <c r="AX1207" t="inlineStr">
        <is>
          <t>Not Qualified</t>
        </is>
      </c>
      <c r="AY1207" s="4"/>
      <c r="AZ1207"/>
      <c r="BA1207"/>
      <c r="BB1207"/>
      <c r="BC1207" t="inlineStr">
        <is>
          <t>- Headcount: 5
- Hiring Job Details: 3 IT life science, 1 technical support, 1 intern (admin and operation help)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BD1207" s="4">
        <v>46135.45835648148</v>
      </c>
      <c r="BE1207" t="inlineStr">
        <is>
          <t>paid</t>
        </is>
      </c>
      <c r="BF1207"/>
      <c r="BG1207" t="inlineStr">
        <is>
          <t>Reschedule</t>
        </is>
      </c>
      <c r="BH1207" t="inlineStr">
        <is>
          <t>Reagen</t>
        </is>
      </c>
      <c r="BI1207" t="inlineStr">
        <is>
          <t>IT / Software</t>
        </is>
      </c>
      <c r="BJ1207" s="4">
        <v>46144.75461805556</v>
      </c>
      <c r="BK1207" s="4">
        <v>42840.913622685184</v>
      </c>
      <c r="BL1207" t="inlineStr">
        <is>
          <t>0.0</t>
        </is>
      </c>
      <c r="BM1207" t="inlineStr">
        <is>
          <t>0.0</t>
        </is>
      </c>
      <c r="BN1207"/>
      <c r="BO1207" s="4"/>
      <c r="BP1207">
        <v>168478</v>
      </c>
      <c r="BQ1207">
        <v>123526</v>
      </c>
      <c r="BR1207" t="inlineStr">
        <is>
          <t>Proforma</t>
        </is>
      </c>
      <c r="BS1207" t="inlineStr">
        <is>
          <t>Free Part-Time Job</t>
        </is>
      </c>
      <c r="BT1207"/>
      <c r="BU1207"/>
      <c r="BV1207">
        <v>2722695</v>
      </c>
      <c r="BW1207" t="inlineStr">
        <is>
          <t>Customer Inquiry</t>
        </is>
      </c>
      <c r="BX1207"/>
      <c r="BY1207"/>
      <c r="BZ1207" s="4"/>
      <c r="CA1207"/>
      <c r="CB1207"/>
      <c r="CC1207" s="4"/>
      <c r="CD1207" t="inlineStr">
        <is>
          <t>30</t>
        </is>
      </c>
      <c r="CE1207" t="inlineStr">
        <is>
          <t>0</t>
        </is>
      </c>
      <c r="CF1207" t="inlineStr">
        <is>
          <t>Q2-W03</t>
        </is>
      </c>
      <c r="CG1207" t="inlineStr">
        <is>
          <t>Q2-W03</t>
        </is>
      </c>
      <c r="CH1207"/>
      <c r="CI1207"/>
      <c r="CJ1207" t="inlineStr">
        <is>
          <t>No Paid</t>
        </is>
      </c>
      <c r="CK1207" t="inlineStr">
        <is>
          <t>Not Eligible</t>
        </is>
      </c>
      <c r="CL1207"/>
      <c r="CM1207"/>
    </row>
    <row r="1208" ht="25.5" customHeight="1">
      <c r="A1208" t="inlineStr">
        <is>
          <t>136003</t>
        </is>
      </c>
      <c r="B1208" s="2"/>
      <c r="C1208"/>
      <c r="D1208" s="3">
        <v>46135.45340277778</v>
      </c>
      <c r="E1208" t="inlineStr">
        <is>
          <t>Q2-W03</t>
        </is>
      </c>
      <c r="F1208" t="inlineStr">
        <is>
          <t>Jeff Lee</t>
        </is>
      </c>
      <c r="G1208" t="inlineStr">
        <is>
          <t>Customer</t>
        </is>
      </c>
      <c r="H1208" s="2" t="str">
        <f>=HYPERLINK("https://upbox.ajobthing.my/customer/136003", "https://upbox.ajobthing.my/customer/136003")</f>
        <v>https://upbox.ajobthing.my/customer/136003</v>
      </c>
      <c r="I1208" t="inlineStr">
        <is>
          <t>Broadway Power Sdn Bhd</t>
        </is>
      </c>
      <c r="J1208" t="inlineStr">
        <is>
          <t>Small Fish</t>
        </is>
      </c>
      <c r="K1208" t="inlineStr">
        <is>
          <t>Jeff Lee</t>
        </is>
      </c>
      <c r="L1208" s="4"/>
      <c r="M1208" s="4">
        <v>46135.45248842592</v>
      </c>
      <c r="N1208"/>
      <c r="O1208">
        <v>1296</v>
      </c>
      <c r="P1208" s="4"/>
      <c r="Q1208" s="4">
        <v>45726.71625</v>
      </c>
      <c r="R1208"/>
      <c r="S1208">
        <v>1080</v>
      </c>
      <c r="T1208" s="4"/>
      <c r="U1208" s="4"/>
      <c r="V1208"/>
      <c r="W1208"/>
      <c r="X1208"/>
      <c r="Y1208" t="inlineStr">
        <is>
          <t>Pending Appointment</t>
        </is>
      </c>
      <c r="Z1208" t="inlineStr">
        <is>
          <t>Hiring Now</t>
        </is>
      </c>
      <c r="AA1208">
        <v>1</v>
      </c>
      <c r="AB1208" t="inlineStr">
        <is>
          <t>No Appointment Made</t>
        </is>
      </c>
      <c r="AC1208"/>
      <c r="AD1208" t="inlineStr">
        <is>
          <t>1 general clerk</t>
        </is>
      </c>
      <c r="AE1208"/>
      <c r="AF1208">
        <v>0</v>
      </c>
      <c r="AG1208" s="4"/>
      <c r="AH1208" s="4"/>
      <c r="AI1208">
        <v>0</v>
      </c>
      <c r="AJ1208">
        <v>0</v>
      </c>
      <c r="AK1208" t="inlineStr">
        <is>
          <t>No, I don't need at all</t>
        </is>
      </c>
      <c r="AL1208">
        <v>0</v>
      </c>
      <c r="AM1208" t="inlineStr">
        <is>
          <t>No, I don't need at all</t>
        </is>
      </c>
      <c r="AN1208"/>
      <c r="AO1208" t="inlineStr">
        <is>
          <t>No, I don't need at all</t>
        </is>
      </c>
      <c r="AP1208" t="inlineStr">
        <is>
          <t>Once a year (25%)</t>
        </is>
      </c>
      <c r="AQ1208">
        <v>1</v>
      </c>
      <c r="AR1208" t="inlineStr">
        <is>
          <t>Did not use any job portal</t>
        </is>
      </c>
      <c r="AS1208" t="inlineStr">
        <is>
          <t>- Headcount: 1
- Hiring Job Details: 1 general clerk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208">
        <v>105</v>
      </c>
      <c r="AU1208" t="inlineStr">
        <is>
          <t>1.05</t>
        </is>
      </c>
      <c r="AV1208" t="inlineStr">
        <is>
          <t>15</t>
        </is>
      </c>
      <c r="AW1208" t="inlineStr">
        <is>
          <t>0</t>
        </is>
      </c>
      <c r="AX1208" t="inlineStr">
        <is>
          <t>Not Qualified</t>
        </is>
      </c>
      <c r="AY1208" s="4"/>
      <c r="AZ1208"/>
      <c r="BA1208"/>
      <c r="BB1208"/>
      <c r="BC1208" t="inlineStr">
        <is>
          <t>na</t>
        </is>
      </c>
      <c r="BD1208" s="4">
        <v>46139.416979166665</v>
      </c>
      <c r="BE1208" t="inlineStr">
        <is>
          <t>pending</t>
        </is>
      </c>
      <c r="BF1208"/>
      <c r="BG1208" t="inlineStr">
        <is>
          <t>Reschedule</t>
        </is>
      </c>
      <c r="BH1208" t="inlineStr">
        <is>
          <t>Yee Hang</t>
        </is>
      </c>
      <c r="BI1208"/>
      <c r="BJ1208" s="4">
        <v>46144.750555555554</v>
      </c>
      <c r="BK1208" s="4">
        <v>44278.48774305556</v>
      </c>
      <c r="BL1208" t="inlineStr">
        <is>
          <t>0.0</t>
        </is>
      </c>
      <c r="BM1208" t="inlineStr">
        <is>
          <t>0.0</t>
        </is>
      </c>
      <c r="BN1208" t="inlineStr">
        <is>
          <t>View Create Job Page</t>
        </is>
      </c>
      <c r="BO1208" s="4">
        <v>45728.510717592595</v>
      </c>
      <c r="BP1208">
        <v>168479</v>
      </c>
      <c r="BQ1208">
        <v>101972</v>
      </c>
      <c r="BR1208" t="inlineStr">
        <is>
          <t>Proforma</t>
        </is>
      </c>
      <c r="BS1208" t="inlineStr">
        <is>
          <t>Ala Carte Single Plus</t>
        </is>
      </c>
      <c r="BT1208"/>
      <c r="BU1208"/>
      <c r="BV1208">
        <v>2728250</v>
      </c>
      <c r="BW1208" t="inlineStr">
        <is>
          <t>No Answer : Voicemail - WA sent to customer</t>
        </is>
      </c>
      <c r="BX1208"/>
      <c r="BY1208"/>
      <c r="BZ1208" s="4"/>
      <c r="CA1208"/>
      <c r="CB1208"/>
      <c r="CC1208" s="4"/>
      <c r="CD1208" t="inlineStr">
        <is>
          <t>20</t>
        </is>
      </c>
      <c r="CE1208" t="inlineStr">
        <is>
          <t>0</t>
        </is>
      </c>
      <c r="CF1208" t="inlineStr">
        <is>
          <t>Q2-W03</t>
        </is>
      </c>
      <c r="CG1208"/>
      <c r="CH1208"/>
      <c r="CI1208"/>
      <c r="CJ1208" t="inlineStr">
        <is>
          <t>No Paid</t>
        </is>
      </c>
      <c r="CK1208" t="inlineStr">
        <is>
          <t>Not Eligible</t>
        </is>
      </c>
      <c r="CL1208"/>
      <c r="CM1208"/>
    </row>
    <row r="1209" ht="25.5" customHeight="1">
      <c r="A1209" t="inlineStr">
        <is>
          <t>203564</t>
        </is>
      </c>
      <c r="B1209" s="2"/>
      <c r="C1209"/>
      <c r="D1209" s="3">
        <v>46135.464166666665</v>
      </c>
      <c r="E1209" t="inlineStr">
        <is>
          <t>Q2-W03</t>
        </is>
      </c>
      <c r="F1209" t="inlineStr">
        <is>
          <t>Chia Yee</t>
        </is>
      </c>
      <c r="G1209" t="inlineStr">
        <is>
          <t>Customer</t>
        </is>
      </c>
      <c r="H1209" s="2" t="str">
        <f>=HYPERLINK("https://upbox.ajobthing.my/customer/203564", "https://upbox.ajobthing.my/customer/203564")</f>
        <v>https://upbox.ajobthing.my/customer/203564</v>
      </c>
      <c r="I1209" t="inlineStr">
        <is>
          <t>Gigih Solid Resources</t>
        </is>
      </c>
      <c r="J1209" t="inlineStr">
        <is>
          <t>Small Fish</t>
        </is>
      </c>
      <c r="K1209" t="inlineStr">
        <is>
          <t>Chia Yee</t>
        </is>
      </c>
      <c r="L1209" s="4"/>
      <c r="M1209" s="4">
        <v>46135.464525462965</v>
      </c>
      <c r="N1209"/>
      <c r="O1209">
        <v>4968</v>
      </c>
      <c r="P1209" s="4"/>
      <c r="Q1209" s="4"/>
      <c r="R1209"/>
      <c r="S1209"/>
      <c r="T1209" s="4"/>
      <c r="U1209" s="4"/>
      <c r="V1209"/>
      <c r="W1209"/>
      <c r="X1209"/>
      <c r="Y1209" t="inlineStr">
        <is>
          <t>Pending Appointment</t>
        </is>
      </c>
      <c r="Z1209" t="inlineStr">
        <is>
          <t>Continuous Hiring</t>
        </is>
      </c>
      <c r="AA1209">
        <v>5</v>
      </c>
      <c r="AB1209" t="inlineStr">
        <is>
          <t>No Appointment Made</t>
        </is>
      </c>
      <c r="AC1209"/>
      <c r="AD1209" t="inlineStr">
        <is>
          <t>5  customer service executive for english and bahasa speaker</t>
        </is>
      </c>
      <c r="AE1209"/>
      <c r="AF1209">
        <v>0</v>
      </c>
      <c r="AG1209" s="4"/>
      <c r="AH1209" s="4"/>
      <c r="AI1209">
        <v>0</v>
      </c>
      <c r="AJ1209">
        <v>1</v>
      </c>
      <c r="AK1209" t="inlineStr">
        <is>
          <t>No, I don't need at all</t>
        </is>
      </c>
      <c r="AL1209">
        <v>1</v>
      </c>
      <c r="AM1209" t="inlineStr">
        <is>
          <t>No, I don't need at all</t>
        </is>
      </c>
      <c r="AN1209"/>
      <c r="AO1209" t="inlineStr">
        <is>
          <t>No, I don't need at all</t>
        </is>
      </c>
      <c r="AP1209" t="inlineStr">
        <is>
          <t>Once a year (25%)</t>
        </is>
      </c>
      <c r="AQ1209">
        <v>5</v>
      </c>
      <c r="AR1209" t="inlineStr">
        <is>
          <t>Did not use any job portal</t>
        </is>
      </c>
      <c r="AS1209" t="inlineStr">
        <is>
          <t>- Headcount: 5
- Hiring Job Details: 5 customer service executive for english and bahasa speaker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is>
      </c>
      <c r="AT1209">
        <v>95</v>
      </c>
      <c r="AU1209" t="inlineStr">
        <is>
          <t>0.95</t>
        </is>
      </c>
      <c r="AV1209" t="inlineStr">
        <is>
          <t>20</t>
        </is>
      </c>
      <c r="AW1209" t="inlineStr">
        <is>
          <t>0</t>
        </is>
      </c>
      <c r="AX1209" t="inlineStr">
        <is>
          <t>Not Qualified</t>
        </is>
      </c>
      <c r="AY1209" s="4"/>
      <c r="AZ1209"/>
      <c r="BA1209"/>
      <c r="BB1209"/>
      <c r="BC1209" t="inlineStr">
        <is>
          <t>Called, just said from MK. She close again. WA no reply</t>
        </is>
      </c>
      <c r="BD1209" s="4">
        <v>46142.50172453704</v>
      </c>
      <c r="BE1209"/>
      <c r="BF1209"/>
      <c r="BG1209" t="inlineStr">
        <is>
          <t>Reschedule</t>
        </is>
      </c>
      <c r="BH1209" t="inlineStr">
        <is>
          <t>Reagen</t>
        </is>
      </c>
      <c r="BI1209"/>
      <c r="BJ1209" s="4">
        <v>46144.75435185185</v>
      </c>
      <c r="BK1209" s="4">
        <v>46135.453726851854</v>
      </c>
      <c r="BL1209" t="inlineStr">
        <is>
          <t>0.0</t>
        </is>
      </c>
      <c r="BM1209" t="inlineStr">
        <is>
          <t>0.0</t>
        </is>
      </c>
      <c r="BN1209" t="inlineStr">
        <is>
          <t>View Notifications</t>
        </is>
      </c>
      <c r="BO1209" s="4">
        <v>46135.492893518516</v>
      </c>
      <c r="BP1209">
        <v>168485</v>
      </c>
      <c r="BQ1209"/>
      <c r="BR1209"/>
      <c r="BS1209"/>
      <c r="BT1209"/>
      <c r="BU1209"/>
      <c r="BV1209">
        <v>2737324</v>
      </c>
      <c r="BW1209" t="inlineStr">
        <is>
          <t>No Answer : Voicemail - WA sent to customer</t>
        </is>
      </c>
      <c r="BX1209"/>
      <c r="BY1209"/>
      <c r="BZ1209" s="4"/>
      <c r="CA1209"/>
      <c r="CB1209"/>
      <c r="CC1209" s="4"/>
      <c r="CD1209" t="inlineStr">
        <is>
          <t>30</t>
        </is>
      </c>
      <c r="CE1209" t="inlineStr">
        <is>
          <t>0</t>
        </is>
      </c>
      <c r="CF1209" t="inlineStr">
        <is>
          <t>Q2-W03</t>
        </is>
      </c>
      <c r="CG1209"/>
      <c r="CH1209"/>
      <c r="CI1209"/>
      <c r="CJ1209" t="inlineStr">
        <is>
          <t>No Paid</t>
        </is>
      </c>
      <c r="CK1209" t="inlineStr">
        <is>
          <t>Not Eligible</t>
        </is>
      </c>
      <c r="CL1209"/>
      <c r="CM1209"/>
    </row>
    <row r="1210" ht="25.5" customHeight="1">
      <c r="A1210" t="inlineStr">
        <is>
          <t>203565</t>
        </is>
      </c>
      <c r="B1210" s="2"/>
      <c r="C1210"/>
      <c r="D1210" s="3">
        <v>46135.47315972222</v>
      </c>
      <c r="E1210" t="inlineStr">
        <is>
          <t>Q2-W03</t>
        </is>
      </c>
      <c r="F1210" t="inlineStr">
        <is>
          <t>Clover</t>
        </is>
      </c>
      <c r="G1210" t="inlineStr">
        <is>
          <t>Customer</t>
        </is>
      </c>
      <c r="H1210" s="2" t="str">
        <f>=HYPERLINK("https://upbox.ajobthing.my/customer/203565", "https://upbox.ajobthing.my/customer/203565")</f>
        <v>https://upbox.ajobthing.my/customer/203565</v>
      </c>
      <c r="I1210" t="inlineStr">
        <is>
          <t>Dez &amp; Co Auto Detailing Lounge</t>
        </is>
      </c>
      <c r="J1210" t="inlineStr">
        <is>
          <t>Small Fish</t>
        </is>
      </c>
      <c r="K1210" t="inlineStr">
        <is>
          <t>Clover</t>
        </is>
      </c>
      <c r="L1210" s="4"/>
      <c r="M1210" s="4">
        <v>46135.472233796296</v>
      </c>
      <c r="N1210"/>
      <c r="O1210">
        <v>3888</v>
      </c>
      <c r="P1210" s="4"/>
      <c r="Q1210" s="4"/>
      <c r="R1210"/>
      <c r="S1210"/>
      <c r="T1210" s="4"/>
      <c r="U1210" s="4"/>
      <c r="V1210"/>
      <c r="W1210"/>
      <c r="X1210"/>
      <c r="Y1210" t="inlineStr">
        <is>
          <t>Pending Appointment</t>
        </is>
      </c>
      <c r="Z1210" t="inlineStr">
        <is>
          <t>Hiring Now</t>
        </is>
      </c>
      <c r="AA1210">
        <v>3</v>
      </c>
      <c r="AB1210" t="inlineStr">
        <is>
          <t>No Appointment Made</t>
        </is>
      </c>
      <c r="AC1210"/>
      <c r="AD1210" t="inlineStr">
        <is>
          <t>Hire sales exec x1-2 chi, female &amp; male, ppf car window tint,  new car detailing shop rimbayau, opening on May,  deal with new car agent, send car for window tint, incoming calls, hire part time, work 2 days only,  already hire video editor, digital marketing for social media ads,   survey JS 600 but exp, prefer free, Mr Dez PIC</t>
        </is>
      </c>
      <c r="AE1210"/>
      <c r="AF1210">
        <v>3000</v>
      </c>
      <c r="AG1210" s="4"/>
      <c r="AH1210" s="4"/>
      <c r="AI1210">
        <v>3000</v>
      </c>
      <c r="AJ1210">
        <v>1</v>
      </c>
      <c r="AK1210" t="inlineStr">
        <is>
          <t>No, but I want in future</t>
        </is>
      </c>
      <c r="AL1210">
        <v>1</v>
      </c>
      <c r="AM1210" t="inlineStr">
        <is>
          <t>No, but I want in future</t>
        </is>
      </c>
      <c r="AN1210"/>
      <c r="AO1210" t="inlineStr">
        <is>
          <t>No, but I want in future</t>
        </is>
      </c>
      <c r="AP1210" t="inlineStr">
        <is>
          <t>Twice a year (50%)</t>
        </is>
      </c>
      <c r="AQ1210">
        <v>2</v>
      </c>
      <c r="AR1210" t="inlineStr">
        <is>
          <t>Free Job Portal</t>
        </is>
      </c>
      <c r="AS1210" t="inlineStr">
        <is>
          <t>- Headcount: 3
- Hiring Job Details: 1-2 Chinese sales execs (male/female), part-timers (2 days/week); tasks include new car agent dealings, car tinting coordination, calls, hiring; for Rimbayau new car detailing shop (May opening); other: video editor hired, social media ads, JS 600 survey (prefer free); Mr Dez PIC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1210">
        <v>110</v>
      </c>
      <c r="AU1210" t="inlineStr">
        <is>
          <t>1.10</t>
        </is>
      </c>
      <c r="AV1210" t="inlineStr">
        <is>
          <t>15</t>
        </is>
      </c>
      <c r="AW1210" t="inlineStr">
        <is>
          <t>0</t>
        </is>
      </c>
      <c r="AX1210" t="inlineStr">
        <is>
          <t>Not Qualified</t>
        </is>
      </c>
      <c r="AY1210" s="4"/>
      <c r="AZ1210"/>
      <c r="BA1210"/>
      <c r="BB1210"/>
      <c r="BC1210" t="inlineStr">
        <is>
          <t>Job filled now, future maybe grow business set up management</t>
        </is>
      </c>
      <c r="BD1210" s="4">
        <v>46141.45912037037</v>
      </c>
      <c r="BE1210"/>
      <c r="BF1210"/>
      <c r="BG1210" t="inlineStr">
        <is>
          <t>Reschedule</t>
        </is>
      </c>
      <c r="BH1210" t="inlineStr">
        <is>
          <t>Reagen</t>
        </is>
      </c>
      <c r="BI1210"/>
      <c r="BJ1210" s="4">
        <v>46144.75435185185</v>
      </c>
      <c r="BK1210" s="4">
        <v>46135.454409722224</v>
      </c>
      <c r="BL1210" t="inlineStr">
        <is>
          <t>0.0</t>
        </is>
      </c>
      <c r="BM1210" t="inlineStr">
        <is>
          <t>0.0</t>
        </is>
      </c>
      <c r="BN1210"/>
      <c r="BO1210" s="4"/>
      <c r="BP1210">
        <v>168491</v>
      </c>
      <c r="BQ1210"/>
      <c r="BR1210"/>
      <c r="BS1210"/>
      <c r="BT1210"/>
      <c r="BU1210"/>
      <c r="BV1210">
        <v>2734590</v>
      </c>
      <c r="BW1210" t="inlineStr">
        <is>
          <t>Follow Up : Lost - Free Portal</t>
        </is>
      </c>
      <c r="BX1210"/>
      <c r="BY1210"/>
      <c r="BZ1210" s="4"/>
      <c r="CA1210"/>
      <c r="CB1210"/>
      <c r="CC1210" s="4"/>
      <c r="CD1210" t="inlineStr">
        <is>
          <t>20</t>
        </is>
      </c>
      <c r="CE1210" t="inlineStr">
        <is>
          <t>0</t>
        </is>
      </c>
      <c r="CF1210" t="inlineStr">
        <is>
          <t>Q2-W03</t>
        </is>
      </c>
      <c r="CG1210"/>
      <c r="CH1210"/>
      <c r="CI1210"/>
      <c r="CJ1210" t="inlineStr">
        <is>
          <t>No Paid</t>
        </is>
      </c>
      <c r="CK1210" t="inlineStr">
        <is>
          <t>Not Eligible</t>
        </is>
      </c>
      <c r="CL1210"/>
      <c r="CM1210"/>
    </row>
    <row r="1211" ht="25.5" customHeight="1">
      <c r="A1211" t="inlineStr">
        <is>
          <t>173471</t>
        </is>
      </c>
      <c r="B1211" s="2"/>
      <c r="C1211"/>
      <c r="D1211" s="3">
        <v>46135.47771990741</v>
      </c>
      <c r="E1211" t="inlineStr">
        <is>
          <t>Q2-W03</t>
        </is>
      </c>
      <c r="F1211" t="inlineStr">
        <is>
          <t>Dickson</t>
        </is>
      </c>
      <c r="G1211" t="inlineStr">
        <is>
          <t>Customer</t>
        </is>
      </c>
      <c r="H1211" s="2" t="str">
        <f>=HYPERLINK("https://upbox.ajobthing.my/customer/173471", "https://upbox.ajobthing.my/customer/173471")</f>
        <v>https://upbox.ajobthing.my/customer/173471</v>
      </c>
      <c r="I1211" t="inlineStr">
        <is>
          <t>Code Capsule Sdn Bhd</t>
        </is>
      </c>
      <c r="J1211" t="inlineStr">
        <is>
          <t>Small Fish</t>
        </is>
      </c>
      <c r="K1211" t="inlineStr">
        <is>
          <t>Dickson</t>
        </is>
      </c>
      <c r="L1211" s="4"/>
      <c r="M1211" s="4">
        <v>46135.477800925924</v>
      </c>
      <c r="N1211"/>
      <c r="O1211">
        <v>3888</v>
      </c>
      <c r="P1211" s="4"/>
      <c r="Q1211" s="4"/>
      <c r="R1211"/>
      <c r="S1211"/>
      <c r="T1211" s="4"/>
      <c r="U1211" s="4"/>
      <c r="V1211"/>
      <c r="W1211"/>
      <c r="X1211"/>
      <c r="Y1211" t="inlineStr">
        <is>
          <t>Pending Appointment</t>
        </is>
      </c>
      <c r="Z1211" t="inlineStr">
        <is>
          <t>Hiring Later</t>
        </is>
      </c>
      <c r="AA1211">
        <v>2</v>
      </c>
      <c r="AB1211" t="inlineStr">
        <is>
          <t>No Appointment Made</t>
        </is>
      </c>
      <c r="AC1211"/>
      <c r="AD1211" t="inlineStr">
        <is>
          <t>1 sales executive (software), 1 project manager</t>
        </is>
      </c>
      <c r="AE1211"/>
      <c r="AF1211"/>
      <c r="AG1211" s="4"/>
      <c r="AH1211" s="4"/>
      <c r="AI1211"/>
      <c r="AJ1211">
        <v>1</v>
      </c>
      <c r="AK1211" t="inlineStr">
        <is>
          <t>No, I don't need at all</t>
        </is>
      </c>
      <c r="AL1211"/>
      <c r="AM1211" t="inlineStr">
        <is>
          <t>No, I don't need at all</t>
        </is>
      </c>
      <c r="AN1211"/>
      <c r="AO1211" t="inlineStr">
        <is>
          <t>No, I don't need at all</t>
        </is>
      </c>
      <c r="AP1211" t="inlineStr">
        <is>
          <t>Once per quarter (75%)</t>
        </is>
      </c>
      <c r="AQ1211"/>
      <c r="AR1211"/>
      <c r="AS1211" t="inlineStr">
        <is>
          <t>- Headcount: 2
- Hiring Job Details: 1 sales executive (software), 1 project manager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1211">
        <v>95</v>
      </c>
      <c r="AU1211" t="inlineStr">
        <is>
          <t>0.95</t>
        </is>
      </c>
      <c r="AV1211" t="inlineStr">
        <is>
          <t>5</t>
        </is>
      </c>
      <c r="AW1211" t="inlineStr">
        <is>
          <t>0</t>
        </is>
      </c>
      <c r="AX1211" t="inlineStr">
        <is>
          <t>Not Qualified</t>
        </is>
      </c>
      <c r="AY1211" s="4"/>
      <c r="AZ1211"/>
      <c r="BA1211"/>
      <c r="BB1211"/>
      <c r="BC1211" t="inlineStr">
        <is>
          <t>hiring only next quarter</t>
        </is>
      </c>
      <c r="BD1211" s="4">
        <v>46139.46449074074</v>
      </c>
      <c r="BE1211"/>
      <c r="BF1211"/>
      <c r="BG1211" t="inlineStr">
        <is>
          <t>Reschedule</t>
        </is>
      </c>
      <c r="BH1211" t="inlineStr">
        <is>
          <t>Edward Hoo</t>
        </is>
      </c>
      <c r="BI1211" t="inlineStr">
        <is>
          <t>IT / Software</t>
        </is>
      </c>
      <c r="BJ1211" s="4">
        <v>46144.75150462963</v>
      </c>
      <c r="BK1211" s="4">
        <v>45264.616956018515</v>
      </c>
      <c r="BL1211" t="inlineStr">
        <is>
          <t>0.0</t>
        </is>
      </c>
      <c r="BM1211" t="inlineStr">
        <is>
          <t>0.0</t>
        </is>
      </c>
      <c r="BN1211" t="inlineStr">
        <is>
          <t>View Company Page</t>
        </is>
      </c>
      <c r="BO1211" s="4">
        <v>46135.447604166664</v>
      </c>
      <c r="BP1211">
        <v>168492</v>
      </c>
      <c r="BQ1211"/>
      <c r="BR1211"/>
      <c r="BS1211"/>
      <c r="BT1211"/>
      <c r="BU1211"/>
      <c r="BV1211">
        <v>2728542</v>
      </c>
      <c r="BW1211" t="inlineStr">
        <is>
          <t>No Answer : Voicemail - WA sent to customer</t>
        </is>
      </c>
      <c r="BX1211"/>
      <c r="BY1211"/>
      <c r="BZ1211" s="4"/>
      <c r="CA1211"/>
      <c r="CB1211"/>
      <c r="CC1211" s="4"/>
      <c r="CD1211" t="inlineStr">
        <is>
          <t>5</t>
        </is>
      </c>
      <c r="CE1211" t="inlineStr">
        <is>
          <t>0</t>
        </is>
      </c>
      <c r="CF1211" t="inlineStr">
        <is>
          <t>Q2-W03</t>
        </is>
      </c>
      <c r="CG1211"/>
      <c r="CH1211"/>
      <c r="CI1211"/>
      <c r="CJ1211" t="inlineStr">
        <is>
          <t>No Paid</t>
        </is>
      </c>
      <c r="CK1211" t="inlineStr">
        <is>
          <t>Not Eligible</t>
        </is>
      </c>
      <c r="CL1211"/>
      <c r="CM1211"/>
    </row>
    <row r="1212" ht="25.5" customHeight="1">
      <c r="A1212" t="inlineStr">
        <is>
          <t>203493</t>
        </is>
      </c>
      <c r="B1212" s="2"/>
      <c r="C1212"/>
      <c r="D1212" s="3">
        <v>46135.478993055556</v>
      </c>
      <c r="E1212" t="inlineStr">
        <is>
          <t>Q2-W03</t>
        </is>
      </c>
      <c r="F1212" t="inlineStr">
        <is>
          <t>Xin Quan</t>
        </is>
      </c>
      <c r="G1212" t="inlineStr">
        <is>
          <t>Customer</t>
        </is>
      </c>
      <c r="H1212" s="2" t="str">
        <f>=HYPERLINK("https://upbox.ajobthing.my/customer/203493", "https://upbox.ajobthing.my/customer/203493")</f>
        <v>https://upbox.ajobthing.my/customer/203493</v>
      </c>
      <c r="I1212" t="inlineStr">
        <is>
          <t>Human resource management</t>
        </is>
      </c>
      <c r="J1212" t="inlineStr">
        <is>
          <t>Small Fish</t>
        </is>
      </c>
      <c r="K1212" t="inlineStr">
        <is>
          <t>Xin Quan</t>
        </is>
      </c>
      <c r="L1212" s="4"/>
      <c r="M1212" s="4">
        <v>46135.478634259256</v>
      </c>
      <c r="N1212"/>
      <c r="O1212">
        <v>3888</v>
      </c>
      <c r="P1212" s="4"/>
      <c r="Q1212" s="4"/>
      <c r="R1212"/>
      <c r="S1212"/>
      <c r="T1212" s="4"/>
      <c r="U1212" s="4"/>
      <c r="V1212"/>
      <c r="W1212"/>
      <c r="X1212"/>
      <c r="Y1212" t="inlineStr">
        <is>
          <t>Pending Appointment</t>
        </is>
      </c>
      <c r="Z1212" t="inlineStr">
        <is>
          <t>Hiring Now</t>
        </is>
      </c>
      <c r="AA1212">
        <v>1</v>
      </c>
      <c r="AB1212" t="inlineStr">
        <is>
          <t>No Appointment Made</t>
        </is>
      </c>
      <c r="AC1212"/>
      <c r="AD1212" t="inlineStr">
        <is>
          <t>1 Sales , Base in KL</t>
        </is>
      </c>
      <c r="AE1212"/>
      <c r="AF1212">
        <v>2000</v>
      </c>
      <c r="AG1212" s="4"/>
      <c r="AH1212" s="4"/>
      <c r="AI1212">
        <v>24000</v>
      </c>
      <c r="AJ1212">
        <v>1</v>
      </c>
      <c r="AK1212" t="inlineStr">
        <is>
          <t>No, I don't need at all</t>
        </is>
      </c>
      <c r="AL1212">
        <v>1</v>
      </c>
      <c r="AM1212" t="inlineStr">
        <is>
          <t>No, I don't need at all</t>
        </is>
      </c>
      <c r="AN1212"/>
      <c r="AO1212" t="inlineStr">
        <is>
          <t>No, I don't need at all</t>
        </is>
      </c>
      <c r="AP1212" t="inlineStr">
        <is>
          <t>Once a year (25%)</t>
        </is>
      </c>
      <c r="AQ1212">
        <v>2</v>
      </c>
      <c r="AR1212"/>
      <c r="AS1212" t="inlineStr">
        <is>
          <t>- Headcount: 1
- Hiring Job Details: 1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2
- Hiring frequency: Once a year (25%)
- External job portal: None</t>
        </is>
      </c>
      <c r="AT1212">
        <v>110</v>
      </c>
      <c r="AU1212" t="inlineStr">
        <is>
          <t>1.10</t>
        </is>
      </c>
      <c r="AV1212" t="inlineStr">
        <is>
          <t>15</t>
        </is>
      </c>
      <c r="AW1212" t="inlineStr">
        <is>
          <t>0</t>
        </is>
      </c>
      <c r="AX1212" t="inlineStr">
        <is>
          <t>Not Qualified</t>
        </is>
      </c>
      <c r="AY1212" s="4"/>
      <c r="AZ1212"/>
      <c r="BA1212"/>
      <c r="BB1212"/>
      <c r="BC1212" t="inlineStr">
        <is>
          <t>- Headcount: 1
- Hiring Job Details: 1 Sales,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2
- Hiring frequency: Once a year (25%)
- External job portal: None</t>
        </is>
      </c>
      <c r="BD1212" s="4">
        <v>46135.50003472222</v>
      </c>
      <c r="BE1212"/>
      <c r="BF1212"/>
      <c r="BG1212" t="inlineStr">
        <is>
          <t>Reschedule</t>
        </is>
      </c>
      <c r="BH1212" t="inlineStr">
        <is>
          <t>Edward Hoo</t>
        </is>
      </c>
      <c r="BI1212"/>
      <c r="BJ1212" s="4">
        <v>46144.754328703704</v>
      </c>
      <c r="BK1212" s="4">
        <v>46133.67900462963</v>
      </c>
      <c r="BL1212" t="inlineStr">
        <is>
          <t>0.0</t>
        </is>
      </c>
      <c r="BM1212" t="inlineStr">
        <is>
          <t>0.0</t>
        </is>
      </c>
      <c r="BN1212"/>
      <c r="BO1212" s="4"/>
      <c r="BP1212">
        <v>168493</v>
      </c>
      <c r="BQ1212"/>
      <c r="BR1212"/>
      <c r="BS1212"/>
      <c r="BT1212"/>
      <c r="BU1212"/>
      <c r="BV1212">
        <v>2723002</v>
      </c>
      <c r="BW1212" t="inlineStr">
        <is>
          <t>Customer Inquiry</t>
        </is>
      </c>
      <c r="BX1212"/>
      <c r="BY1212"/>
      <c r="BZ1212" s="4"/>
      <c r="CA1212"/>
      <c r="CB1212"/>
      <c r="CC1212" s="4"/>
      <c r="CD1212" t="inlineStr">
        <is>
          <t>20</t>
        </is>
      </c>
      <c r="CE1212" t="inlineStr">
        <is>
          <t>0</t>
        </is>
      </c>
      <c r="CF1212" t="inlineStr">
        <is>
          <t>Q2-W03</t>
        </is>
      </c>
      <c r="CG1212"/>
      <c r="CH1212"/>
      <c r="CI1212"/>
      <c r="CJ1212" t="inlineStr">
        <is>
          <t>No Paid</t>
        </is>
      </c>
      <c r="CK1212" t="inlineStr">
        <is>
          <t>Not Eligible</t>
        </is>
      </c>
      <c r="CL1212"/>
      <c r="CM1212"/>
    </row>
    <row r="1213" ht="25.5" customHeight="1">
      <c r="A1213" t="inlineStr">
        <is>
          <t>4303959</t>
        </is>
      </c>
      <c r="B1213" s="2"/>
      <c r="C1213"/>
      <c r="D1213" s="3">
        <v>46135.48420138889</v>
      </c>
      <c r="E1213" t="inlineStr">
        <is>
          <t>Q2-W03</t>
        </is>
      </c>
      <c r="F1213" t="inlineStr">
        <is>
          <t>Chia Yee</t>
        </is>
      </c>
      <c r="G1213" t="inlineStr">
        <is>
          <t>Lead</t>
        </is>
      </c>
      <c r="H1213" s="2" t="str">
        <f>=HYPERLINK("https://upbox.ajobthing.my/leads/4303959", "https://upbox.ajobthing.my/leads/4303959")</f>
        <v>https://upbox.ajobthing.my/leads/4303959</v>
      </c>
      <c r="I1213" t="inlineStr">
        <is>
          <t>excelent network and service enterprise</t>
        </is>
      </c>
      <c r="J1213" t="inlineStr">
        <is>
          <t>Small Fish</t>
        </is>
      </c>
      <c r="K1213" t="inlineStr">
        <is>
          <t>Chia Yee</t>
        </is>
      </c>
      <c r="L1213" s="4"/>
      <c r="M1213" s="4">
        <v>46135.48474537037</v>
      </c>
      <c r="N1213"/>
      <c r="O1213">
        <v>6048</v>
      </c>
      <c r="P1213" s="4"/>
      <c r="Q1213" s="4"/>
      <c r="R1213"/>
      <c r="S1213"/>
      <c r="T1213" s="4"/>
      <c r="U1213" s="4"/>
      <c r="V1213"/>
      <c r="W1213"/>
      <c r="X1213"/>
      <c r="Y1213" t="inlineStr">
        <is>
          <t>Pending Appointment</t>
        </is>
      </c>
      <c r="Z1213" t="inlineStr">
        <is>
          <t>Hiring Now</t>
        </is>
      </c>
      <c r="AA1213">
        <v>5</v>
      </c>
      <c r="AB1213" t="inlineStr">
        <is>
          <t>No Appointment Made</t>
        </is>
      </c>
      <c r="AC1213"/>
      <c r="AD1213" t="inlineStr">
        <is>
          <t>1 QS, 2 Site supervisor, 2 Site Engineer</t>
        </is>
      </c>
      <c r="AE1213"/>
      <c r="AF1213">
        <v>0</v>
      </c>
      <c r="AG1213" s="4"/>
      <c r="AH1213" s="4"/>
      <c r="AI1213">
        <v>0</v>
      </c>
      <c r="AJ1213">
        <v>1</v>
      </c>
      <c r="AK1213" t="inlineStr">
        <is>
          <t>No, I don't need at all</t>
        </is>
      </c>
      <c r="AL1213">
        <v>1</v>
      </c>
      <c r="AM1213" t="inlineStr">
        <is>
          <t>No, I don't need at all</t>
        </is>
      </c>
      <c r="AN1213"/>
      <c r="AO1213" t="inlineStr">
        <is>
          <t>Yes, I have</t>
        </is>
      </c>
      <c r="AP1213" t="inlineStr">
        <is>
          <t>Once a year (25%)</t>
        </is>
      </c>
      <c r="AQ1213">
        <v>5</v>
      </c>
      <c r="AR1213" t="inlineStr">
        <is>
          <t>Did not use any job portal</t>
        </is>
      </c>
      <c r="AS1213" t="inlineStr">
        <is>
          <t>- Headcount: 5
- Hiring Job Details: 1 QS, 2 Site supervisor, 2 Site Engineer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5
- Hiring frequency: Once a year (25%)
- External job portal: Did not use any job portal</t>
        </is>
      </c>
      <c r="AT1213">
        <v>110</v>
      </c>
      <c r="AU1213" t="inlineStr">
        <is>
          <t>1.10</t>
        </is>
      </c>
      <c r="AV1213" t="inlineStr">
        <is>
          <t>20</t>
        </is>
      </c>
      <c r="AW1213" t="inlineStr">
        <is>
          <t>0</t>
        </is>
      </c>
      <c r="AX1213" t="inlineStr">
        <is>
          <t>Not Qualified</t>
        </is>
      </c>
      <c r="AY1213" s="4"/>
      <c r="AZ1213"/>
      <c r="BA1213"/>
      <c r="BB1213"/>
      <c r="BC1213"/>
      <c r="BD1213" s="4"/>
      <c r="BE1213"/>
      <c r="BF1213"/>
      <c r="BG1213" t="inlineStr">
        <is>
          <t>Reschedule</t>
        </is>
      </c>
      <c r="BH1213" t="inlineStr">
        <is>
          <t>Reagen</t>
        </is>
      </c>
      <c r="BI1213"/>
      <c r="BJ1213" s="4">
        <v>46144.75585648148</v>
      </c>
      <c r="BK1213" s="4">
        <v>46132.34271990741</v>
      </c>
      <c r="BL1213" t="inlineStr">
        <is>
          <t>0.0</t>
        </is>
      </c>
      <c r="BM1213" t="inlineStr">
        <is>
          <t>0.0</t>
        </is>
      </c>
      <c r="BN1213"/>
      <c r="BO1213" s="4"/>
      <c r="BP1213">
        <v>168495</v>
      </c>
      <c r="BQ1213"/>
      <c r="BR1213"/>
      <c r="BS1213"/>
      <c r="BT1213"/>
      <c r="BU1213"/>
      <c r="BV1213"/>
      <c r="BW1213"/>
      <c r="BX1213"/>
      <c r="BY1213"/>
      <c r="BZ1213" s="4"/>
      <c r="CA1213"/>
      <c r="CB1213"/>
      <c r="CC1213" s="4"/>
      <c r="CD1213" t="inlineStr">
        <is>
          <t>30</t>
        </is>
      </c>
      <c r="CE1213" t="inlineStr">
        <is>
          <t>0</t>
        </is>
      </c>
      <c r="CF1213" t="inlineStr">
        <is>
          <t>Q2-W03</t>
        </is>
      </c>
      <c r="CG1213"/>
      <c r="CH1213"/>
      <c r="CI1213"/>
      <c r="CJ1213" t="inlineStr">
        <is>
          <t>No Paid</t>
        </is>
      </c>
      <c r="CK1213" t="inlineStr">
        <is>
          <t>Not Eligible</t>
        </is>
      </c>
      <c r="CL1213"/>
      <c r="CM1213"/>
    </row>
    <row r="1214" ht="25.5" customHeight="1">
      <c r="A1214" t="inlineStr">
        <is>
          <t>173929</t>
        </is>
      </c>
      <c r="B1214" s="2"/>
      <c r="C1214"/>
      <c r="D1214" s="3">
        <v>46135.49395833333</v>
      </c>
      <c r="E1214" t="inlineStr">
        <is>
          <t>Q2-W03</t>
        </is>
      </c>
      <c r="F1214" t="inlineStr">
        <is>
          <t>Keegan</t>
        </is>
      </c>
      <c r="G1214" t="inlineStr">
        <is>
          <t>Customer</t>
        </is>
      </c>
      <c r="H1214" s="2" t="str">
        <f>=HYPERLINK("https://upbox.ajobthing.my/customer/173929", "https://upbox.ajobthing.my/customer/173929")</f>
        <v>https://upbox.ajobthing.my/customer/173929</v>
      </c>
      <c r="I1214" t="inlineStr">
        <is>
          <t>Tesra Smart Home Sdn Bhd</t>
        </is>
      </c>
      <c r="J1214" t="inlineStr">
        <is>
          <t>Small Fish</t>
        </is>
      </c>
      <c r="K1214" t="inlineStr">
        <is>
          <t>Keegan</t>
        </is>
      </c>
      <c r="L1214" s="4"/>
      <c r="M1214" s="4">
        <v>46135.49451388889</v>
      </c>
      <c r="N1214"/>
      <c r="O1214">
        <v>11448</v>
      </c>
      <c r="P1214" s="4"/>
      <c r="Q1214" s="4"/>
      <c r="R1214"/>
      <c r="S1214"/>
      <c r="T1214" s="4"/>
      <c r="U1214" s="4"/>
      <c r="V1214"/>
      <c r="W1214"/>
      <c r="X1214"/>
      <c r="Y1214" t="inlineStr">
        <is>
          <t>Pending Appointment</t>
        </is>
      </c>
      <c r="Z1214" t="inlineStr">
        <is>
          <t>Hiring Now</t>
        </is>
      </c>
      <c r="AA1214">
        <v>4</v>
      </c>
      <c r="AB1214" t="inlineStr">
        <is>
          <t>No Appointment Made</t>
        </is>
      </c>
      <c r="AC1214"/>
      <c r="AD1214" t="inlineStr">
        <is>
          <t xml:space="preserve">1. Sales
2. Marketing
3. Driver 
4. Admin </t>
        </is>
      </c>
      <c r="AE1214"/>
      <c r="AF1214"/>
      <c r="AG1214" s="4"/>
      <c r="AH1214" s="4"/>
      <c r="AI1214"/>
      <c r="AJ1214">
        <v>1</v>
      </c>
      <c r="AK1214" t="inlineStr">
        <is>
          <t>No, I don't need at all</t>
        </is>
      </c>
      <c r="AL1214">
        <v>0</v>
      </c>
      <c r="AM1214" t="inlineStr">
        <is>
          <t>No, I don't need at all</t>
        </is>
      </c>
      <c r="AN1214"/>
      <c r="AO1214" t="inlineStr">
        <is>
          <t>No, I don't need at all</t>
        </is>
      </c>
      <c r="AP1214" t="inlineStr">
        <is>
          <t>Once per quarter (75%)</t>
        </is>
      </c>
      <c r="AQ1214"/>
      <c r="AR1214" t="inlineStr">
        <is>
          <t>Did not use any job portal</t>
        </is>
      </c>
      <c r="AS1214" t="inlineStr">
        <is>
          <t>- Headcount: 4
- Hiring Job Details: 1. Sales\n2. Marketing\n3. Driver \n4.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214">
        <v>55</v>
      </c>
      <c r="AU1214" t="inlineStr">
        <is>
          <t>0.55</t>
        </is>
      </c>
      <c r="AV1214" t="inlineStr">
        <is>
          <t>5</t>
        </is>
      </c>
      <c r="AW1214" t="inlineStr">
        <is>
          <t>0</t>
        </is>
      </c>
      <c r="AX1214" t="inlineStr">
        <is>
          <t>Not Qualified</t>
        </is>
      </c>
      <c r="AY1214" s="4"/>
      <c r="AZ1214"/>
      <c r="BA1214"/>
      <c r="BB1214"/>
      <c r="BC1214" t="inlineStr">
        <is>
          <t>- Headcount: 4
- Hiring Job Details: 1. Sales\n2. Marketing\n3. Driver \n4.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214" s="4">
        <v>46135.50003472222</v>
      </c>
      <c r="BE1214"/>
      <c r="BF1214"/>
      <c r="BG1214" t="inlineStr">
        <is>
          <t>Reschedule</t>
        </is>
      </c>
      <c r="BH1214" t="inlineStr">
        <is>
          <t>Edward Hoo</t>
        </is>
      </c>
      <c r="BI1214" t="inlineStr">
        <is>
          <t>General / Wholesale Trading</t>
        </is>
      </c>
      <c r="BJ1214" s="4">
        <v>46144.75152777778</v>
      </c>
      <c r="BK1214" s="4">
        <v>45280.64858796296</v>
      </c>
      <c r="BL1214" t="inlineStr">
        <is>
          <t>0.0</t>
        </is>
      </c>
      <c r="BM1214" t="inlineStr">
        <is>
          <t>0.0</t>
        </is>
      </c>
      <c r="BN1214" t="inlineStr">
        <is>
          <t>View Create Job Page</t>
        </is>
      </c>
      <c r="BO1214" s="4">
        <v>45607.65777777778</v>
      </c>
      <c r="BP1214">
        <v>168500</v>
      </c>
      <c r="BQ1214"/>
      <c r="BR1214"/>
      <c r="BS1214"/>
      <c r="BT1214"/>
      <c r="BU1214"/>
      <c r="BV1214">
        <v>2723006</v>
      </c>
      <c r="BW1214" t="inlineStr">
        <is>
          <t>Customer Inquiry</t>
        </is>
      </c>
      <c r="BX1214"/>
      <c r="BY1214"/>
      <c r="BZ1214" s="4"/>
      <c r="CA1214"/>
      <c r="CB1214"/>
      <c r="CC1214" s="4"/>
      <c r="CD1214" t="inlineStr">
        <is>
          <t>5</t>
        </is>
      </c>
      <c r="CE1214" t="inlineStr">
        <is>
          <t>0</t>
        </is>
      </c>
      <c r="CF1214" t="inlineStr">
        <is>
          <t>Q2-W03</t>
        </is>
      </c>
      <c r="CG1214"/>
      <c r="CH1214"/>
      <c r="CI1214"/>
      <c r="CJ1214" t="inlineStr">
        <is>
          <t>No Paid</t>
        </is>
      </c>
      <c r="CK1214" t="inlineStr">
        <is>
          <t>Not Eligible</t>
        </is>
      </c>
      <c r="CL1214"/>
      <c r="CM1214"/>
    </row>
    <row r="1215" ht="25.5" customHeight="1">
      <c r="A1215" t="inlineStr">
        <is>
          <t>4315343</t>
        </is>
      </c>
      <c r="B1215" s="2"/>
      <c r="C1215"/>
      <c r="D1215" s="3">
        <v>46135.49431712963</v>
      </c>
      <c r="E1215" t="inlineStr">
        <is>
          <t>Q2-W03</t>
        </is>
      </c>
      <c r="F1215" t="inlineStr">
        <is>
          <t>Carmen</t>
        </is>
      </c>
      <c r="G1215" t="inlineStr">
        <is>
          <t>Lead</t>
        </is>
      </c>
      <c r="H1215" s="2" t="str">
        <f>=HYPERLINK("https://upbox.ajobthing.my/leads/4315343", "https://upbox.ajobthing.my/leads/4315343")</f>
        <v>https://upbox.ajobthing.my/leads/4315343</v>
      </c>
      <c r="I1215" t="inlineStr">
        <is>
          <t>TRENDY BRAND HUB SDN. BHD.</t>
        </is>
      </c>
      <c r="J1215" t="inlineStr">
        <is>
          <t>Small Fish</t>
        </is>
      </c>
      <c r="K1215" t="inlineStr">
        <is>
          <t>Carmen</t>
        </is>
      </c>
      <c r="L1215" s="4"/>
      <c r="M1215" s="4">
        <v>46135.495462962965</v>
      </c>
      <c r="N1215"/>
      <c r="O1215">
        <v>6048</v>
      </c>
      <c r="P1215" s="4"/>
      <c r="Q1215" s="4"/>
      <c r="R1215"/>
      <c r="S1215"/>
      <c r="T1215" s="4"/>
      <c r="U1215" s="4"/>
      <c r="V1215"/>
      <c r="W1215"/>
      <c r="X1215"/>
      <c r="Y1215" t="inlineStr">
        <is>
          <t>Pending Appointment</t>
        </is>
      </c>
      <c r="Z1215" t="inlineStr">
        <is>
          <t>Continuous Hiring</t>
        </is>
      </c>
      <c r="AA1215">
        <v>5</v>
      </c>
      <c r="AB1215" t="inlineStr">
        <is>
          <t>No Appointment Made</t>
        </is>
      </c>
      <c r="AC1215"/>
      <c r="AD1215" t="inlineStr">
        <is>
          <t>1 finance exe ; 1 business development ; 3 retail executive ; parttimer</t>
        </is>
      </c>
      <c r="AE1215"/>
      <c r="AF1215">
        <v>5000</v>
      </c>
      <c r="AG1215" s="4"/>
      <c r="AH1215" s="4"/>
      <c r="AI1215"/>
      <c r="AJ1215"/>
      <c r="AK1215"/>
      <c r="AL1215"/>
      <c r="AM1215"/>
      <c r="AN1215"/>
      <c r="AO1215"/>
      <c r="AP1215" t="inlineStr">
        <is>
          <t>Every month (100%)</t>
        </is>
      </c>
      <c r="AQ1215"/>
      <c r="AR1215"/>
      <c r="AS1215" t="inlineStr">
        <is>
          <t>- Headcount: 5
- Hiring Job Details: 1 finance exe ; 1 business development ; 3 retail executive ; parttimer
- Hiring Urgency: Continuous Hiring
- Number of outlets: Not available
- Have recruiter team: Not available
- Number of recruiter in company: Not available
- Have ATS system: Not available
- Have career website: Not available
- Current hiring budget: RM5,000.00
- Whole year budget: Not available
- Whole year number of vacancies: Not available
- Hiring frequency: Every month (100%)
- External job portal: Not available</t>
        </is>
      </c>
      <c r="AT1215">
        <v>75</v>
      </c>
      <c r="AU1215" t="inlineStr">
        <is>
          <t>0.75</t>
        </is>
      </c>
      <c r="AV1215" t="inlineStr">
        <is>
          <t>20</t>
        </is>
      </c>
      <c r="AW1215" t="inlineStr">
        <is>
          <t>0</t>
        </is>
      </c>
      <c r="AX1215" t="inlineStr">
        <is>
          <t>Not Qualified</t>
        </is>
      </c>
      <c r="AY1215" s="4"/>
      <c r="AZ1215"/>
      <c r="BA1215"/>
      <c r="BB1215"/>
      <c r="BC1215"/>
      <c r="BD1215" s="4"/>
      <c r="BE1215"/>
      <c r="BF1215"/>
      <c r="BG1215" t="inlineStr">
        <is>
          <t>Reschedule</t>
        </is>
      </c>
      <c r="BH1215" t="inlineStr">
        <is>
          <t>Reagen</t>
        </is>
      </c>
      <c r="BI1215"/>
      <c r="BJ1215" s="4">
        <v>46144.755902777775</v>
      </c>
      <c r="BK1215" s="4">
        <v>46135.4380787037</v>
      </c>
      <c r="BL1215" t="inlineStr">
        <is>
          <t>0.0</t>
        </is>
      </c>
      <c r="BM1215" t="inlineStr">
        <is>
          <t>0.0</t>
        </is>
      </c>
      <c r="BN1215"/>
      <c r="BO1215" s="4"/>
      <c r="BP1215">
        <v>168504</v>
      </c>
      <c r="BQ1215"/>
      <c r="BR1215"/>
      <c r="BS1215"/>
      <c r="BT1215"/>
      <c r="BU1215"/>
      <c r="BV1215"/>
      <c r="BW1215"/>
      <c r="BX1215"/>
      <c r="BY1215"/>
      <c r="BZ1215" s="4"/>
      <c r="CA1215"/>
      <c r="CB1215"/>
      <c r="CC1215" s="4"/>
      <c r="CD1215" t="inlineStr">
        <is>
          <t>30</t>
        </is>
      </c>
      <c r="CE1215" t="inlineStr">
        <is>
          <t>0</t>
        </is>
      </c>
      <c r="CF1215" t="inlineStr">
        <is>
          <t>Q2-W03</t>
        </is>
      </c>
      <c r="CG1215"/>
      <c r="CH1215"/>
      <c r="CI1215"/>
      <c r="CJ1215" t="inlineStr">
        <is>
          <t>No Paid</t>
        </is>
      </c>
      <c r="CK1215" t="inlineStr">
        <is>
          <t>Not Eligible</t>
        </is>
      </c>
      <c r="CL1215"/>
      <c r="CM1215"/>
    </row>
    <row r="1216" ht="25.5" customHeight="1">
      <c r="A1216" t="inlineStr">
        <is>
          <t>28416</t>
        </is>
      </c>
      <c r="B1216" s="2"/>
      <c r="C1216"/>
      <c r="D1216" s="3">
        <v>46135.50069444445</v>
      </c>
      <c r="E1216" t="inlineStr">
        <is>
          <t>Q2-W03</t>
        </is>
      </c>
      <c r="F1216" t="inlineStr">
        <is>
          <t>Eugene</t>
        </is>
      </c>
      <c r="G1216" t="inlineStr">
        <is>
          <t>Customer</t>
        </is>
      </c>
      <c r="H1216" s="2" t="str">
        <f>=HYPERLINK("https://upbox.ajobthing.my/customer/28416", "https://upbox.ajobthing.my/customer/28416")</f>
        <v>https://upbox.ajobthing.my/customer/28416</v>
      </c>
      <c r="I1216" t="inlineStr">
        <is>
          <t>Saniplus Marketing</t>
        </is>
      </c>
      <c r="J1216" t="inlineStr">
        <is>
          <t>Small Fish</t>
        </is>
      </c>
      <c r="K1216" t="inlineStr">
        <is>
          <t>Eugene</t>
        </is>
      </c>
      <c r="L1216" s="4"/>
      <c r="M1216" s="4">
        <v>46135.50171296296</v>
      </c>
      <c r="N1216"/>
      <c r="O1216">
        <v>1728</v>
      </c>
      <c r="P1216" s="4"/>
      <c r="Q1216" s="4"/>
      <c r="R1216"/>
      <c r="S1216"/>
      <c r="T1216" s="4"/>
      <c r="U1216" s="4"/>
      <c r="V1216"/>
      <c r="W1216"/>
      <c r="X1216"/>
      <c r="Y1216" t="inlineStr">
        <is>
          <t>Pending Appointment</t>
        </is>
      </c>
      <c r="Z1216" t="inlineStr">
        <is>
          <t>Hiring Now</t>
        </is>
      </c>
      <c r="AA1216">
        <v>2</v>
      </c>
      <c r="AB1216" t="inlineStr">
        <is>
          <t>No Appointment Made</t>
        </is>
      </c>
      <c r="AC1216"/>
      <c r="AD1216" t="inlineStr">
        <is>
          <t>2 positions, based in KL</t>
        </is>
      </c>
      <c r="AE1216"/>
      <c r="AF1216">
        <v>2000</v>
      </c>
      <c r="AG1216" s="4"/>
      <c r="AH1216" s="4"/>
      <c r="AI1216">
        <v>2000</v>
      </c>
      <c r="AJ1216">
        <v>1</v>
      </c>
      <c r="AK1216" t="inlineStr">
        <is>
          <t>No, I don't need at all</t>
        </is>
      </c>
      <c r="AL1216">
        <v>1</v>
      </c>
      <c r="AM1216" t="inlineStr">
        <is>
          <t>No, I don't need at all</t>
        </is>
      </c>
      <c r="AN1216"/>
      <c r="AO1216" t="inlineStr">
        <is>
          <t>No, I don't need at all</t>
        </is>
      </c>
      <c r="AP1216" t="inlineStr">
        <is>
          <t>Twice a year (50%)</t>
        </is>
      </c>
      <c r="AQ1216">
        <v>2</v>
      </c>
      <c r="AR1216" t="inlineStr">
        <is>
          <t>Free Job Portal</t>
        </is>
      </c>
      <c r="AS1216"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2
- Hiring frequency: Twice a year (50%)
- External job portal: Free Job Portal</t>
        </is>
      </c>
      <c r="AT1216">
        <v>95</v>
      </c>
      <c r="AU1216" t="inlineStr">
        <is>
          <t>0.95</t>
        </is>
      </c>
      <c r="AV1216" t="inlineStr">
        <is>
          <t>15</t>
        </is>
      </c>
      <c r="AW1216" t="inlineStr">
        <is>
          <t>0</t>
        </is>
      </c>
      <c r="AX1216" t="inlineStr">
        <is>
          <t>Not Qualified</t>
        </is>
      </c>
      <c r="AY1216" s="4"/>
      <c r="AZ1216"/>
      <c r="BA1216"/>
      <c r="BB1216"/>
      <c r="BC1216" t="inlineStr">
        <is>
          <t>pending</t>
        </is>
      </c>
      <c r="BD1216" s="4">
        <v>46141.73820601852</v>
      </c>
      <c r="BE1216"/>
      <c r="BF1216"/>
      <c r="BG1216" t="inlineStr">
        <is>
          <t>Reschedule</t>
        </is>
      </c>
      <c r="BH1216" t="inlineStr">
        <is>
          <t>Edward Hoo</t>
        </is>
      </c>
      <c r="BI1216" t="inlineStr">
        <is>
          <t>Manufacturing / Production</t>
        </is>
      </c>
      <c r="BJ1216" s="4">
        <v>46144.75451388889</v>
      </c>
      <c r="BK1216" s="4">
        <v>42622.53686342593</v>
      </c>
      <c r="BL1216" t="inlineStr">
        <is>
          <t>0.0</t>
        </is>
      </c>
      <c r="BM1216" t="inlineStr">
        <is>
          <t>0.0</t>
        </is>
      </c>
      <c r="BN1216"/>
      <c r="BO1216" s="4"/>
      <c r="BP1216">
        <v>168518</v>
      </c>
      <c r="BQ1216"/>
      <c r="BR1216"/>
      <c r="BS1216"/>
      <c r="BT1216"/>
      <c r="BU1216"/>
      <c r="BV1216">
        <v>2736274</v>
      </c>
      <c r="BW1216" t="inlineStr">
        <is>
          <t>Follow Up : Decision Pending</t>
        </is>
      </c>
      <c r="BX1216"/>
      <c r="BY1216"/>
      <c r="BZ1216" s="4"/>
      <c r="CA1216"/>
      <c r="CB1216"/>
      <c r="CC1216" s="4"/>
      <c r="CD1216" t="inlineStr">
        <is>
          <t>20</t>
        </is>
      </c>
      <c r="CE1216" t="inlineStr">
        <is>
          <t>0</t>
        </is>
      </c>
      <c r="CF1216" t="inlineStr">
        <is>
          <t>Q2-W03</t>
        </is>
      </c>
      <c r="CG1216"/>
      <c r="CH1216"/>
      <c r="CI1216"/>
      <c r="CJ1216" t="inlineStr">
        <is>
          <t>No Paid</t>
        </is>
      </c>
      <c r="CK1216" t="inlineStr">
        <is>
          <t>Not Eligible</t>
        </is>
      </c>
      <c r="CL1216"/>
      <c r="CM1216"/>
    </row>
    <row r="1217" ht="25.5" customHeight="1">
      <c r="A1217" t="inlineStr">
        <is>
          <t>122428</t>
        </is>
      </c>
      <c r="B1217" s="2"/>
      <c r="C1217"/>
      <c r="D1217" s="3">
        <v>46135.50369212963</v>
      </c>
      <c r="E1217" t="inlineStr">
        <is>
          <t>Q2-W03</t>
        </is>
      </c>
      <c r="F1217" t="inlineStr">
        <is>
          <t>Luqman</t>
        </is>
      </c>
      <c r="G1217" t="inlineStr">
        <is>
          <t>Customer</t>
        </is>
      </c>
      <c r="H1217" s="2" t="str">
        <f>=HYPERLINK("https://upbox.ajobthing.my/customer/122428", "https://upbox.ajobthing.my/customer/122428")</f>
        <v>https://upbox.ajobthing.my/customer/122428</v>
      </c>
      <c r="I1217" t="inlineStr">
        <is>
          <t>Greenevo Synergy Sdn Bhd</t>
        </is>
      </c>
      <c r="J1217" t="inlineStr">
        <is>
          <t>Small Fish</t>
        </is>
      </c>
      <c r="K1217" t="inlineStr">
        <is>
          <t>Luqman</t>
        </is>
      </c>
      <c r="L1217" s="4"/>
      <c r="M1217" s="4">
        <v>46135.50378472222</v>
      </c>
      <c r="N1217"/>
      <c r="O1217">
        <v>1296</v>
      </c>
      <c r="P1217" s="4"/>
      <c r="Q1217" s="4">
        <v>43753.58859953703</v>
      </c>
      <c r="R1217"/>
      <c r="S1217">
        <v>530</v>
      </c>
      <c r="T1217" s="4">
        <v>43753.58859953703</v>
      </c>
      <c r="U1217" s="4"/>
      <c r="V1217"/>
      <c r="W1217">
        <v>530</v>
      </c>
      <c r="X1217"/>
      <c r="Y1217" t="inlineStr">
        <is>
          <t>Pending Appointment</t>
        </is>
      </c>
      <c r="Z1217" t="inlineStr">
        <is>
          <t>Hiring Later</t>
        </is>
      </c>
      <c r="AA1217">
        <v>2</v>
      </c>
      <c r="AB1217" t="inlineStr">
        <is>
          <t>No Appointment Made</t>
        </is>
      </c>
      <c r="AC1217"/>
      <c r="AD1217" t="inlineStr">
        <is>
          <t xml:space="preserve">1. Account ass
2. Quality Executive </t>
        </is>
      </c>
      <c r="AE1217"/>
      <c r="AF1217">
        <v>1200</v>
      </c>
      <c r="AG1217" s="4"/>
      <c r="AH1217" s="4"/>
      <c r="AI1217">
        <v>1200</v>
      </c>
      <c r="AJ1217"/>
      <c r="AK1217" t="inlineStr">
        <is>
          <t>No, but I want in future</t>
        </is>
      </c>
      <c r="AL1217">
        <v>2</v>
      </c>
      <c r="AM1217" t="inlineStr">
        <is>
          <t>No, I don't need at all</t>
        </is>
      </c>
      <c r="AN1217"/>
      <c r="AO1217" t="inlineStr">
        <is>
          <t>Yes, I have</t>
        </is>
      </c>
      <c r="AP1217" t="inlineStr">
        <is>
          <t>Once a year (25%)</t>
        </is>
      </c>
      <c r="AQ1217">
        <v>2</v>
      </c>
      <c r="AR1217" t="inlineStr">
        <is>
          <t>Free Job Portal</t>
        </is>
      </c>
      <c r="AS1217" t="inlineStr">
        <is>
          <t>- Headcount: 2
- Hiring Job Details: 1. Account ass, 2. Quality Executive
- Hiring Urgency: Hiring Later
- Number of outlets: N/A
- Have recruiter team: No, but want in future
- Number of recruiter in company: 2
- Have ATS system: No, I don't need at all
- Have career website: Yes
- Current hiring budget: RM1,200
- Whole year budget: RM1,200.00
- Whole year number of vacancies: 2
- Hiring frequency: Once a year (25%)
- External job portal: Free Job Portal</t>
        </is>
      </c>
      <c r="AT1217">
        <v>95</v>
      </c>
      <c r="AU1217" t="inlineStr">
        <is>
          <t>0.95</t>
        </is>
      </c>
      <c r="AV1217" t="inlineStr">
        <is>
          <t>15</t>
        </is>
      </c>
      <c r="AW1217" t="inlineStr">
        <is>
          <t>0</t>
        </is>
      </c>
      <c r="AX1217" t="inlineStr">
        <is>
          <t>Not Qualified</t>
        </is>
      </c>
      <c r="AY1217" s="4"/>
      <c r="AZ1217"/>
      <c r="BA1217"/>
      <c r="BB1217"/>
      <c r="BC1217" t="inlineStr">
        <is>
          <t>Business currently utilize free job portal</t>
        </is>
      </c>
      <c r="BD1217" s="4">
        <v>46139.466157407405</v>
      </c>
      <c r="BE1217" t="inlineStr">
        <is>
          <t>paid</t>
        </is>
      </c>
      <c r="BF1217"/>
      <c r="BG1217" t="inlineStr">
        <is>
          <t>Reschedule</t>
        </is>
      </c>
      <c r="BH1217" t="inlineStr">
        <is>
          <t>Edward Hoo</t>
        </is>
      </c>
      <c r="BI1217" t="inlineStr">
        <is>
          <t>Manufacturing / Production</t>
        </is>
      </c>
      <c r="BJ1217" s="4">
        <v>46144.750289351854</v>
      </c>
      <c r="BK1217" s="4">
        <v>43753.52819444444</v>
      </c>
      <c r="BL1217" t="inlineStr">
        <is>
          <t>0.0</t>
        </is>
      </c>
      <c r="BM1217" t="inlineStr">
        <is>
          <t>600.0</t>
        </is>
      </c>
      <c r="BN1217" t="inlineStr">
        <is>
          <t>View Account User</t>
        </is>
      </c>
      <c r="BO1217" s="4">
        <v>45453.70775462963</v>
      </c>
      <c r="BP1217">
        <v>168521</v>
      </c>
      <c r="BQ1217">
        <v>20613</v>
      </c>
      <c r="BR1217" t="inlineStr">
        <is>
          <t>Online</t>
        </is>
      </c>
      <c r="BS1217"/>
      <c r="BT1217">
        <v>20613</v>
      </c>
      <c r="BU1217"/>
      <c r="BV1217">
        <v>2728556</v>
      </c>
      <c r="BW1217" t="inlineStr">
        <is>
          <t>Follow Up : Lost - Free Portal</t>
        </is>
      </c>
      <c r="BX1217"/>
      <c r="BY1217"/>
      <c r="BZ1217" s="4"/>
      <c r="CA1217"/>
      <c r="CB1217"/>
      <c r="CC1217" s="4"/>
      <c r="CD1217" t="inlineStr">
        <is>
          <t>20</t>
        </is>
      </c>
      <c r="CE1217" t="inlineStr">
        <is>
          <t>0</t>
        </is>
      </c>
      <c r="CF1217" t="inlineStr">
        <is>
          <t>Q2-W03</t>
        </is>
      </c>
      <c r="CG1217"/>
      <c r="CH1217"/>
      <c r="CI1217"/>
      <c r="CJ1217" t="inlineStr">
        <is>
          <t>Paid</t>
        </is>
      </c>
      <c r="CK1217" t="inlineStr">
        <is>
          <t>Not Eligible</t>
        </is>
      </c>
      <c r="CL1217"/>
      <c r="CM1217"/>
    </row>
    <row r="1218" ht="25.5" customHeight="1">
      <c r="A1218" t="inlineStr">
        <is>
          <t>4315491</t>
        </is>
      </c>
      <c r="B1218" s="2"/>
      <c r="C1218"/>
      <c r="D1218" s="3">
        <v>46135.50377314815</v>
      </c>
      <c r="E1218" t="inlineStr">
        <is>
          <t>Q2-W03</t>
        </is>
      </c>
      <c r="F1218" t="inlineStr">
        <is>
          <t>Dickson</t>
        </is>
      </c>
      <c r="G1218" t="inlineStr">
        <is>
          <t>Lead</t>
        </is>
      </c>
      <c r="H1218" s="2" t="str">
        <f>=HYPERLINK("https://upbox.ajobthing.my/leads/4315491", "https://upbox.ajobthing.my/leads/4315491")</f>
        <v>https://upbox.ajobthing.my/leads/4315491</v>
      </c>
      <c r="I1218" t="inlineStr">
        <is>
          <t>ELIZIAN WEALTH CONSULTANCY</t>
        </is>
      </c>
      <c r="J1218" t="inlineStr">
        <is>
          <t>Small Fish</t>
        </is>
      </c>
      <c r="K1218" t="inlineStr">
        <is>
          <t>Dickson</t>
        </is>
      </c>
      <c r="L1218" s="4"/>
      <c r="M1218" s="4">
        <v>46135.503969907404</v>
      </c>
      <c r="N1218"/>
      <c r="O1218">
        <v>1296</v>
      </c>
      <c r="P1218" s="4"/>
      <c r="Q1218" s="4"/>
      <c r="R1218"/>
      <c r="S1218"/>
      <c r="T1218" s="4"/>
      <c r="U1218" s="4"/>
      <c r="V1218"/>
      <c r="W1218"/>
      <c r="X1218"/>
      <c r="Y1218" t="inlineStr">
        <is>
          <t>Pending Appointment</t>
        </is>
      </c>
      <c r="Z1218" t="inlineStr">
        <is>
          <t>Hiring Now</t>
        </is>
      </c>
      <c r="AA1218">
        <v>3</v>
      </c>
      <c r="AB1218" t="inlineStr">
        <is>
          <t>No Appointment Made</t>
        </is>
      </c>
      <c r="AC1218"/>
      <c r="AD1218" t="inlineStr">
        <is>
          <t>3 insurance agent</t>
        </is>
      </c>
      <c r="AE1218"/>
      <c r="AF1218"/>
      <c r="AG1218" s="4"/>
      <c r="AH1218" s="4"/>
      <c r="AI1218"/>
      <c r="AJ1218">
        <v>1</v>
      </c>
      <c r="AK1218" t="inlineStr">
        <is>
          <t>No, I don't need at all</t>
        </is>
      </c>
      <c r="AL1218"/>
      <c r="AM1218" t="inlineStr">
        <is>
          <t>No, I don't need at all</t>
        </is>
      </c>
      <c r="AN1218"/>
      <c r="AO1218" t="inlineStr">
        <is>
          <t>No, I don't need at all</t>
        </is>
      </c>
      <c r="AP1218" t="inlineStr">
        <is>
          <t>Once per quarter (75%)</t>
        </is>
      </c>
      <c r="AQ1218"/>
      <c r="AR1218"/>
      <c r="AS1218" t="inlineStr">
        <is>
          <t>- Headcount: 3
- Hiring Job Details: 3 insurance agent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1218">
        <v>95</v>
      </c>
      <c r="AU1218" t="inlineStr">
        <is>
          <t>0.95</t>
        </is>
      </c>
      <c r="AV1218" t="inlineStr">
        <is>
          <t>5</t>
        </is>
      </c>
      <c r="AW1218" t="inlineStr">
        <is>
          <t>0</t>
        </is>
      </c>
      <c r="AX1218" t="inlineStr">
        <is>
          <t>Not Qualified</t>
        </is>
      </c>
      <c r="AY1218" s="4"/>
      <c r="AZ1218"/>
      <c r="BA1218"/>
      <c r="BB1218"/>
      <c r="BC1218"/>
      <c r="BD1218" s="4"/>
      <c r="BE1218"/>
      <c r="BF1218"/>
      <c r="BG1218" t="inlineStr">
        <is>
          <t>Reschedule</t>
        </is>
      </c>
      <c r="BH1218" t="inlineStr">
        <is>
          <t>Edward Hoo</t>
        </is>
      </c>
      <c r="BI1218"/>
      <c r="BJ1218" s="4">
        <v>46144.755902777775</v>
      </c>
      <c r="BK1218" s="4">
        <v>46135.487395833334</v>
      </c>
      <c r="BL1218" t="inlineStr">
        <is>
          <t>0.0</t>
        </is>
      </c>
      <c r="BM1218" t="inlineStr">
        <is>
          <t>0.0</t>
        </is>
      </c>
      <c r="BN1218"/>
      <c r="BO1218" s="4"/>
      <c r="BP1218">
        <v>168522</v>
      </c>
      <c r="BQ1218"/>
      <c r="BR1218"/>
      <c r="BS1218"/>
      <c r="BT1218"/>
      <c r="BU1218"/>
      <c r="BV1218"/>
      <c r="BW1218"/>
      <c r="BX1218"/>
      <c r="BY1218"/>
      <c r="BZ1218" s="4"/>
      <c r="CA1218"/>
      <c r="CB1218"/>
      <c r="CC1218" s="4"/>
      <c r="CD1218" t="inlineStr">
        <is>
          <t>5</t>
        </is>
      </c>
      <c r="CE1218" t="inlineStr">
        <is>
          <t>0</t>
        </is>
      </c>
      <c r="CF1218" t="inlineStr">
        <is>
          <t>Q2-W03</t>
        </is>
      </c>
      <c r="CG1218"/>
      <c r="CH1218"/>
      <c r="CI1218"/>
      <c r="CJ1218" t="inlineStr">
        <is>
          <t>No Paid</t>
        </is>
      </c>
      <c r="CK1218" t="inlineStr">
        <is>
          <t>Not Eligible</t>
        </is>
      </c>
      <c r="CL1218"/>
      <c r="CM1218"/>
    </row>
    <row r="1219" ht="25.5" customHeight="1">
      <c r="A1219" t="inlineStr">
        <is>
          <t>203569</t>
        </is>
      </c>
      <c r="B1219" s="2"/>
      <c r="C1219"/>
      <c r="D1219" s="3">
        <v>46135.51230324074</v>
      </c>
      <c r="E1219" t="inlineStr">
        <is>
          <t>Q2-W03</t>
        </is>
      </c>
      <c r="F1219" t="inlineStr">
        <is>
          <t>Josh</t>
        </is>
      </c>
      <c r="G1219" t="inlineStr">
        <is>
          <t>Customer</t>
        </is>
      </c>
      <c r="H1219" s="2" t="str">
        <f>=HYPERLINK("https://upbox.ajobthing.my/customer/203569", "https://upbox.ajobthing.my/customer/203569")</f>
        <v>https://upbox.ajobthing.my/customer/203569</v>
      </c>
      <c r="I1219" t="inlineStr">
        <is>
          <t xml:space="preserve">Infinite Reality Sdn Bhd </t>
        </is>
      </c>
      <c r="J1219" t="inlineStr">
        <is>
          <t>Small Fish</t>
        </is>
      </c>
      <c r="K1219" t="inlineStr">
        <is>
          <t>Josh</t>
        </is>
      </c>
      <c r="L1219" s="4"/>
      <c r="M1219" s="4">
        <v>46135.51253472222</v>
      </c>
      <c r="N1219"/>
      <c r="O1219">
        <v>3672</v>
      </c>
      <c r="P1219" s="4"/>
      <c r="Q1219" s="4"/>
      <c r="R1219"/>
      <c r="S1219"/>
      <c r="T1219" s="4"/>
      <c r="U1219" s="4"/>
      <c r="V1219"/>
      <c r="W1219"/>
      <c r="X1219"/>
      <c r="Y1219" t="inlineStr">
        <is>
          <t>Pending Appointment</t>
        </is>
      </c>
      <c r="Z1219" t="inlineStr">
        <is>
          <t>Hiring Now</t>
        </is>
      </c>
      <c r="AA1219">
        <v>2</v>
      </c>
      <c r="AB1219" t="inlineStr">
        <is>
          <t>No Appointment Made</t>
        </is>
      </c>
      <c r="AC1219"/>
      <c r="AD1219" t="inlineStr">
        <is>
          <t xml:space="preserve">1 intern mass comm, 1 digital marketing </t>
        </is>
      </c>
      <c r="AE1219"/>
      <c r="AF1219">
        <v>3000</v>
      </c>
      <c r="AG1219" s="4"/>
      <c r="AH1219" s="4"/>
      <c r="AI1219"/>
      <c r="AJ1219"/>
      <c r="AK1219" t="inlineStr">
        <is>
          <t>Yes, I have</t>
        </is>
      </c>
      <c r="AL1219"/>
      <c r="AM1219"/>
      <c r="AN1219"/>
      <c r="AO1219"/>
      <c r="AP1219" t="inlineStr">
        <is>
          <t>Once a year (25%)</t>
        </is>
      </c>
      <c r="AQ1219"/>
      <c r="AR1219"/>
      <c r="AS1219" t="inlineStr">
        <is>
          <t>- Headcount: 2
- Hiring Job Details: 1 intern mass comm, 1 digital marketing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1219">
        <v>95</v>
      </c>
      <c r="AU1219" t="inlineStr">
        <is>
          <t>0.95</t>
        </is>
      </c>
      <c r="AV1219" t="inlineStr">
        <is>
          <t>15</t>
        </is>
      </c>
      <c r="AW1219" t="inlineStr">
        <is>
          <t>0</t>
        </is>
      </c>
      <c r="AX1219" t="inlineStr">
        <is>
          <t>Not Qualified</t>
        </is>
      </c>
      <c r="AY1219" s="4"/>
      <c r="AZ1219"/>
      <c r="BA1219"/>
      <c r="BB1219"/>
      <c r="BC1219" t="inlineStr">
        <is>
          <t>hired</t>
        </is>
      </c>
      <c r="BD1219" s="4">
        <v>46140.667129629626</v>
      </c>
      <c r="BE1219"/>
      <c r="BF1219"/>
      <c r="BG1219" t="inlineStr">
        <is>
          <t>Reschedule</t>
        </is>
      </c>
      <c r="BH1219" t="inlineStr">
        <is>
          <t>Fauziah Maharan</t>
        </is>
      </c>
      <c r="BI1219"/>
      <c r="BJ1219" s="4">
        <v>46144.75435185185</v>
      </c>
      <c r="BK1219" s="4">
        <v>46135.50099537037</v>
      </c>
      <c r="BL1219" t="inlineStr">
        <is>
          <t>0.0</t>
        </is>
      </c>
      <c r="BM1219" t="inlineStr">
        <is>
          <t>600.0</t>
        </is>
      </c>
      <c r="BN1219" t="inlineStr">
        <is>
          <t>View Create Job Page V4</t>
        </is>
      </c>
      <c r="BO1219" s="4">
        <v>46135.58704861111</v>
      </c>
      <c r="BP1219">
        <v>168526</v>
      </c>
      <c r="BQ1219"/>
      <c r="BR1219"/>
      <c r="BS1219"/>
      <c r="BT1219"/>
      <c r="BU1219"/>
      <c r="BV1219">
        <v>2733305</v>
      </c>
      <c r="BW1219" t="inlineStr">
        <is>
          <t>Inquire for Hiring Needs : No Hiring</t>
        </is>
      </c>
      <c r="BX1219"/>
      <c r="BY1219"/>
      <c r="BZ1219" s="4"/>
      <c r="CA1219"/>
      <c r="CB1219"/>
      <c r="CC1219" s="4"/>
      <c r="CD1219" t="inlineStr">
        <is>
          <t>20</t>
        </is>
      </c>
      <c r="CE1219" t="inlineStr">
        <is>
          <t>0</t>
        </is>
      </c>
      <c r="CF1219" t="inlineStr">
        <is>
          <t>Q2-W03</t>
        </is>
      </c>
      <c r="CG1219"/>
      <c r="CH1219"/>
      <c r="CI1219"/>
      <c r="CJ1219" t="inlineStr">
        <is>
          <t>No Paid</t>
        </is>
      </c>
      <c r="CK1219" t="inlineStr">
        <is>
          <t>Not Eligible</t>
        </is>
      </c>
      <c r="CL1219"/>
      <c r="CM1219"/>
    </row>
    <row r="1220" ht="25.5" customHeight="1">
      <c r="A1220" t="inlineStr">
        <is>
          <t>203578</t>
        </is>
      </c>
      <c r="B1220" s="2"/>
      <c r="C1220"/>
      <c r="D1220" s="3">
        <v>46135.57069444445</v>
      </c>
      <c r="E1220" t="inlineStr">
        <is>
          <t>Q2-W03</t>
        </is>
      </c>
      <c r="F1220" t="inlineStr">
        <is>
          <t>Chia Yee</t>
        </is>
      </c>
      <c r="G1220" t="inlineStr">
        <is>
          <t>Customer</t>
        </is>
      </c>
      <c r="H1220" s="2" t="str">
        <f>=HYPERLINK("https://upbox.ajobthing.my/customer/203578", "https://upbox.ajobthing.my/customer/203578")</f>
        <v>https://upbox.ajobthing.my/customer/203578</v>
      </c>
      <c r="I1220" t="inlineStr">
        <is>
          <t>Cardboard Country Eterprise</t>
        </is>
      </c>
      <c r="J1220" t="inlineStr">
        <is>
          <t>Small Fish</t>
        </is>
      </c>
      <c r="K1220" t="inlineStr">
        <is>
          <t>Chia Yee</t>
        </is>
      </c>
      <c r="L1220" s="4"/>
      <c r="M1220" s="4">
        <v>46135.57079861111</v>
      </c>
      <c r="N1220"/>
      <c r="O1220">
        <v>6048</v>
      </c>
      <c r="P1220" s="4"/>
      <c r="Q1220" s="4"/>
      <c r="R1220"/>
      <c r="S1220"/>
      <c r="T1220" s="4"/>
      <c r="U1220" s="4"/>
      <c r="V1220"/>
      <c r="W1220"/>
      <c r="X1220"/>
      <c r="Y1220" t="inlineStr">
        <is>
          <t>Pending Appointment</t>
        </is>
      </c>
      <c r="Z1220" t="inlineStr">
        <is>
          <t>Hiring Now</t>
        </is>
      </c>
      <c r="AA1220">
        <v>2</v>
      </c>
      <c r="AB1220" t="inlineStr">
        <is>
          <t>No Appointment Made</t>
        </is>
      </c>
      <c r="AC1220"/>
      <c r="AD1220" t="inlineStr">
        <is>
          <t>1 Multimedia designer, 1 Graphic designer</t>
        </is>
      </c>
      <c r="AE1220"/>
      <c r="AF1220">
        <v>0</v>
      </c>
      <c r="AG1220" s="4"/>
      <c r="AH1220" s="4"/>
      <c r="AI1220">
        <v>0</v>
      </c>
      <c r="AJ1220">
        <v>1</v>
      </c>
      <c r="AK1220" t="inlineStr">
        <is>
          <t>No, I don't need at all</t>
        </is>
      </c>
      <c r="AL1220">
        <v>1</v>
      </c>
      <c r="AM1220" t="inlineStr">
        <is>
          <t>No, I don't need at all</t>
        </is>
      </c>
      <c r="AN1220"/>
      <c r="AO1220" t="inlineStr">
        <is>
          <t>Yes, I have</t>
        </is>
      </c>
      <c r="AP1220" t="inlineStr">
        <is>
          <t>Once a year (25%)</t>
        </is>
      </c>
      <c r="AQ1220">
        <v>2</v>
      </c>
      <c r="AR1220" t="inlineStr">
        <is>
          <t>Did not use any job portal</t>
        </is>
      </c>
      <c r="AS1220" t="inlineStr">
        <is>
          <t>- Headcount: 2
- Hiring Job Details: 1 Multimedia designer, 1 Graphic designer
- Hiring Urgency: Hiring Now
- Number of outlets: 1
- Have recruiter team: No, I don't need at all
- Number of recruiter in company: 1
- Have ATS system: No, I don't need at all
- Have career website: Yes, I have
- Current hiring budget: RM0.00
- Whole year budget: RM0.00
- Whole year number of vacancies: 2
- Hiring frequency: Once a year (25%)
- External job portal: Did not use any job portal</t>
        </is>
      </c>
      <c r="AT1220">
        <v>115</v>
      </c>
      <c r="AU1220" t="inlineStr">
        <is>
          <t>1.15</t>
        </is>
      </c>
      <c r="AV1220" t="inlineStr">
        <is>
          <t>15</t>
        </is>
      </c>
      <c r="AW1220" t="inlineStr">
        <is>
          <t>0</t>
        </is>
      </c>
      <c r="AX1220" t="inlineStr">
        <is>
          <t>Not Qualified</t>
        </is>
      </c>
      <c r="AY1220" s="4"/>
      <c r="AZ1220"/>
      <c r="BA1220"/>
      <c r="BB1220"/>
      <c r="BC1220" t="inlineStr">
        <is>
          <t>Replied: don't want to post</t>
        </is>
      </c>
      <c r="BD1220" s="4">
        <v>46139.58047453704</v>
      </c>
      <c r="BE1220"/>
      <c r="BF1220"/>
      <c r="BG1220" t="inlineStr">
        <is>
          <t>Reschedule</t>
        </is>
      </c>
      <c r="BH1220" t="inlineStr">
        <is>
          <t>Reagen</t>
        </is>
      </c>
      <c r="BI1220"/>
      <c r="BJ1220" s="4">
        <v>46144.75435185185</v>
      </c>
      <c r="BK1220" s="4">
        <v>46135.56072916667</v>
      </c>
      <c r="BL1220" t="inlineStr">
        <is>
          <t>0.0</t>
        </is>
      </c>
      <c r="BM1220" t="inlineStr">
        <is>
          <t>0.0</t>
        </is>
      </c>
      <c r="BN1220" t="inlineStr">
        <is>
          <t>View Company Page</t>
        </is>
      </c>
      <c r="BO1220" s="4">
        <v>46135.768796296295</v>
      </c>
      <c r="BP1220">
        <v>168533</v>
      </c>
      <c r="BQ1220"/>
      <c r="BR1220"/>
      <c r="BS1220"/>
      <c r="BT1220"/>
      <c r="BU1220"/>
      <c r="BV1220">
        <v>2729544</v>
      </c>
      <c r="BW1220" t="inlineStr">
        <is>
          <t>Follow Up : Lost - Free Portal</t>
        </is>
      </c>
      <c r="BX1220"/>
      <c r="BY1220"/>
      <c r="BZ1220" s="4"/>
      <c r="CA1220"/>
      <c r="CB1220"/>
      <c r="CC1220" s="4"/>
      <c r="CD1220" t="inlineStr">
        <is>
          <t>20</t>
        </is>
      </c>
      <c r="CE1220" t="inlineStr">
        <is>
          <t>0</t>
        </is>
      </c>
      <c r="CF1220" t="inlineStr">
        <is>
          <t>Q2-W03</t>
        </is>
      </c>
      <c r="CG1220"/>
      <c r="CH1220"/>
      <c r="CI1220"/>
      <c r="CJ1220" t="inlineStr">
        <is>
          <t>No Paid</t>
        </is>
      </c>
      <c r="CK1220" t="inlineStr">
        <is>
          <t>Not Eligible</t>
        </is>
      </c>
      <c r="CL1220"/>
      <c r="CM1220"/>
    </row>
    <row r="1221" ht="25.5" customHeight="1">
      <c r="A1221" t="inlineStr">
        <is>
          <t>203581</t>
        </is>
      </c>
      <c r="B1221" s="2"/>
      <c r="C1221"/>
      <c r="D1221" s="3">
        <v>46135.58493055555</v>
      </c>
      <c r="E1221" t="inlineStr">
        <is>
          <t>Q2-W03</t>
        </is>
      </c>
      <c r="F1221" t="inlineStr">
        <is>
          <t>Xin Quan</t>
        </is>
      </c>
      <c r="G1221" t="inlineStr">
        <is>
          <t>Customer</t>
        </is>
      </c>
      <c r="H1221" s="2" t="str">
        <f>=HYPERLINK("https://upbox.ajobthing.my/customer/203581", "https://upbox.ajobthing.my/customer/203581")</f>
        <v>https://upbox.ajobthing.my/customer/203581</v>
      </c>
      <c r="I1221" t="inlineStr">
        <is>
          <t>My-Soccer Online Sdn Bhd</t>
        </is>
      </c>
      <c r="J1221" t="inlineStr">
        <is>
          <t>Small Fish</t>
        </is>
      </c>
      <c r="K1221" t="inlineStr">
        <is>
          <t>Xin Quan</t>
        </is>
      </c>
      <c r="L1221" s="4"/>
      <c r="M1221" s="4">
        <v>46135.58789351852</v>
      </c>
      <c r="N1221"/>
      <c r="O1221">
        <v>864</v>
      </c>
      <c r="P1221" s="4"/>
      <c r="Q1221" s="4">
        <v>46135.58553240741</v>
      </c>
      <c r="R1221"/>
      <c r="S1221"/>
      <c r="T1221" s="4"/>
      <c r="U1221" s="4"/>
      <c r="V1221"/>
      <c r="W1221"/>
      <c r="X1221"/>
      <c r="Y1221" t="inlineStr">
        <is>
          <t>Pending Appointment</t>
        </is>
      </c>
      <c r="Z1221" t="inlineStr">
        <is>
          <t>Hiring Now</t>
        </is>
      </c>
      <c r="AA1221">
        <v>1</v>
      </c>
      <c r="AB1221" t="inlineStr">
        <is>
          <t>No Appointment Made</t>
        </is>
      </c>
      <c r="AC1221"/>
      <c r="AD1221" t="inlineStr">
        <is>
          <t>1 Admin Assistance , Base in PJ</t>
        </is>
      </c>
      <c r="AE1221"/>
      <c r="AF1221">
        <v>2000</v>
      </c>
      <c r="AG1221" s="4"/>
      <c r="AH1221" s="4"/>
      <c r="AI1221">
        <v>24000</v>
      </c>
      <c r="AJ1221">
        <v>1</v>
      </c>
      <c r="AK1221" t="inlineStr">
        <is>
          <t>No, I don't need at all</t>
        </is>
      </c>
      <c r="AL1221">
        <v>1</v>
      </c>
      <c r="AM1221" t="inlineStr">
        <is>
          <t>No, I don't need at all</t>
        </is>
      </c>
      <c r="AN1221"/>
      <c r="AO1221" t="inlineStr">
        <is>
          <t>No, I don't need at all</t>
        </is>
      </c>
      <c r="AP1221" t="inlineStr">
        <is>
          <t>Once a year (25%)</t>
        </is>
      </c>
      <c r="AQ1221">
        <v>1</v>
      </c>
      <c r="AR1221"/>
      <c r="AS1221" t="inlineStr">
        <is>
          <t>- Headcount: 1
- Hiring Job Details: 1 Admin Assistance, Base in PJ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1221">
        <v>110</v>
      </c>
      <c r="AU1221" t="inlineStr">
        <is>
          <t>1.10</t>
        </is>
      </c>
      <c r="AV1221" t="inlineStr">
        <is>
          <t>15</t>
        </is>
      </c>
      <c r="AW1221" t="inlineStr">
        <is>
          <t>0</t>
        </is>
      </c>
      <c r="AX1221" t="inlineStr">
        <is>
          <t>Not Qualified</t>
        </is>
      </c>
      <c r="AY1221" s="4"/>
      <c r="AZ1221"/>
      <c r="BA1221"/>
      <c r="BB1221"/>
      <c r="BC1221" t="inlineStr">
        <is>
          <t>800 also expensive , SABI</t>
        </is>
      </c>
      <c r="BD1221" s="4">
        <v>46142.40443287037</v>
      </c>
      <c r="BE1221" t="inlineStr">
        <is>
          <t>pending</t>
        </is>
      </c>
      <c r="BF1221"/>
      <c r="BG1221" t="inlineStr">
        <is>
          <t>Reschedule</t>
        </is>
      </c>
      <c r="BH1221" t="inlineStr">
        <is>
          <t>Edward Hoo</t>
        </is>
      </c>
      <c r="BI1221"/>
      <c r="BJ1221" s="4">
        <v>46144.75435185185</v>
      </c>
      <c r="BK1221" s="4">
        <v>46135.5831712963</v>
      </c>
      <c r="BL1221" t="inlineStr">
        <is>
          <t>0.0</t>
        </is>
      </c>
      <c r="BM1221" t="inlineStr">
        <is>
          <t>0.0</t>
        </is>
      </c>
      <c r="BN1221"/>
      <c r="BO1221" s="4"/>
      <c r="BP1221">
        <v>168543</v>
      </c>
      <c r="BQ1221">
        <v>7684</v>
      </c>
      <c r="BR1221" t="inlineStr">
        <is>
          <t>Manual</t>
        </is>
      </c>
      <c r="BS1221" t="inlineStr">
        <is>
          <t>AI Ala Carte
- A la carte for 1 AI Job Ad
- 1 AI Job Ad will be published on Maukerja, Ricebowl and our partner platforms
- 1 AI Job Ad will be published for 45 days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is>
      </c>
      <c r="BT1221"/>
      <c r="BU1221"/>
      <c r="BV1221">
        <v>2736563</v>
      </c>
      <c r="BW1221" t="inlineStr">
        <is>
          <t>Inquire for Hiring Needs : Budget Concern</t>
        </is>
      </c>
      <c r="BX1221"/>
      <c r="BY1221"/>
      <c r="BZ1221" s="4"/>
      <c r="CA1221"/>
      <c r="CB1221"/>
      <c r="CC1221" s="4"/>
      <c r="CD1221" t="inlineStr">
        <is>
          <t>20</t>
        </is>
      </c>
      <c r="CE1221" t="inlineStr">
        <is>
          <t>0</t>
        </is>
      </c>
      <c r="CF1221" t="inlineStr">
        <is>
          <t>Q2-W03</t>
        </is>
      </c>
      <c r="CG1221" t="inlineStr">
        <is>
          <t>Q2-W03</t>
        </is>
      </c>
      <c r="CH1221"/>
      <c r="CI1221"/>
      <c r="CJ1221" t="inlineStr">
        <is>
          <t>No Paid</t>
        </is>
      </c>
      <c r="CK1221" t="inlineStr">
        <is>
          <t>Not Eligible</t>
        </is>
      </c>
      <c r="CL1221"/>
      <c r="CM1221"/>
    </row>
    <row r="1222" ht="25.5" customHeight="1">
      <c r="A1222" t="inlineStr">
        <is>
          <t>203579</t>
        </is>
      </c>
      <c r="B1222" s="2"/>
      <c r="C1222"/>
      <c r="D1222" s="3">
        <v>46135.58988425926</v>
      </c>
      <c r="E1222" t="inlineStr">
        <is>
          <t>Q2-W03</t>
        </is>
      </c>
      <c r="F1222" t="inlineStr">
        <is>
          <t>Xin Hui</t>
        </is>
      </c>
      <c r="G1222" t="inlineStr">
        <is>
          <t>Customer</t>
        </is>
      </c>
      <c r="H1222" s="2" t="str">
        <f>=HYPERLINK("https://upbox.ajobthing.my/customer/203579", "https://upbox.ajobthing.my/customer/203579")</f>
        <v>https://upbox.ajobthing.my/customer/203579</v>
      </c>
      <c r="I1222" t="inlineStr">
        <is>
          <t>Changzhou Benji International Cultural Exchange Co., Ltd.</t>
        </is>
      </c>
      <c r="J1222" t="inlineStr">
        <is>
          <t>Small Fish</t>
        </is>
      </c>
      <c r="K1222" t="inlineStr">
        <is>
          <t>Xin Hui</t>
        </is>
      </c>
      <c r="L1222" s="4"/>
      <c r="M1222" s="4">
        <v>46135.59689814815</v>
      </c>
      <c r="N1222"/>
      <c r="O1222">
        <v>3888</v>
      </c>
      <c r="P1222" s="4"/>
      <c r="Q1222" s="4"/>
      <c r="R1222"/>
      <c r="S1222"/>
      <c r="T1222" s="4"/>
      <c r="U1222" s="4"/>
      <c r="V1222"/>
      <c r="W1222"/>
      <c r="X1222"/>
      <c r="Y1222" t="inlineStr">
        <is>
          <t>Pending Appointment</t>
        </is>
      </c>
      <c r="Z1222" t="inlineStr">
        <is>
          <t>Hiring Now</t>
        </is>
      </c>
      <c r="AA1222">
        <v>2</v>
      </c>
      <c r="AB1222" t="inlineStr">
        <is>
          <t>No Appointment Made</t>
        </is>
      </c>
      <c r="AC1222"/>
      <c r="AD1222" t="inlineStr">
        <is>
          <t>sales , bd</t>
        </is>
      </c>
      <c r="AE1222"/>
      <c r="AF1222"/>
      <c r="AG1222" s="4"/>
      <c r="AH1222" s="4"/>
      <c r="AI1222"/>
      <c r="AJ1222"/>
      <c r="AK1222" t="inlineStr">
        <is>
          <t>No, I don't need at all</t>
        </is>
      </c>
      <c r="AL1222"/>
      <c r="AM1222" t="inlineStr">
        <is>
          <t>No, I don't need at all</t>
        </is>
      </c>
      <c r="AN1222"/>
      <c r="AO1222" t="inlineStr">
        <is>
          <t>No, I don't need at all</t>
        </is>
      </c>
      <c r="AP1222" t="inlineStr">
        <is>
          <t>Once a year (25%)</t>
        </is>
      </c>
      <c r="AQ1222"/>
      <c r="AR1222"/>
      <c r="AS1222" t="inlineStr">
        <is>
          <t>- Headcount: 2
- Hiring Job Details: sales, bd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222">
        <v>75</v>
      </c>
      <c r="AU1222" t="inlineStr">
        <is>
          <t>0.75</t>
        </is>
      </c>
      <c r="AV1222" t="inlineStr">
        <is>
          <t>5</t>
        </is>
      </c>
      <c r="AW1222" t="inlineStr">
        <is>
          <t>0</t>
        </is>
      </c>
      <c r="AX1222" t="inlineStr">
        <is>
          <t>Not Qualified</t>
        </is>
      </c>
      <c r="AY1222" s="4"/>
      <c r="AZ1222"/>
      <c r="BA1222"/>
      <c r="BB1222"/>
      <c r="BC1222" t="inlineStr">
        <is>
          <t>- Headcount: 2
- Hiring Job Details: sales, bd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BD1222" s="4">
        <v>46135.62503472222</v>
      </c>
      <c r="BE1222"/>
      <c r="BF1222"/>
      <c r="BG1222" t="inlineStr">
        <is>
          <t>Reschedule</t>
        </is>
      </c>
      <c r="BH1222" t="inlineStr">
        <is>
          <t>Yee Hang</t>
        </is>
      </c>
      <c r="BI1222"/>
      <c r="BJ1222" s="4">
        <v>46144.75435185185</v>
      </c>
      <c r="BK1222" s="4">
        <v>46135.57611111111</v>
      </c>
      <c r="BL1222" t="inlineStr">
        <is>
          <t>0.0</t>
        </is>
      </c>
      <c r="BM1222" t="inlineStr">
        <is>
          <t>0.0</t>
        </is>
      </c>
      <c r="BN1222"/>
      <c r="BO1222" s="4"/>
      <c r="BP1222">
        <v>168550</v>
      </c>
      <c r="BQ1222"/>
      <c r="BR1222"/>
      <c r="BS1222"/>
      <c r="BT1222"/>
      <c r="BU1222"/>
      <c r="BV1222">
        <v>2723793</v>
      </c>
      <c r="BW1222" t="inlineStr">
        <is>
          <t>Customer Inquiry</t>
        </is>
      </c>
      <c r="BX1222"/>
      <c r="BY1222"/>
      <c r="BZ1222" s="4"/>
      <c r="CA1222"/>
      <c r="CB1222"/>
      <c r="CC1222" s="4"/>
      <c r="CD1222" t="inlineStr">
        <is>
          <t>5</t>
        </is>
      </c>
      <c r="CE1222" t="inlineStr">
        <is>
          <t>0</t>
        </is>
      </c>
      <c r="CF1222" t="inlineStr">
        <is>
          <t>Q2-W03</t>
        </is>
      </c>
      <c r="CG1222"/>
      <c r="CH1222"/>
      <c r="CI1222"/>
      <c r="CJ1222" t="inlineStr">
        <is>
          <t>No Paid</t>
        </is>
      </c>
      <c r="CK1222" t="inlineStr">
        <is>
          <t>Not Eligible</t>
        </is>
      </c>
      <c r="CL1222"/>
      <c r="CM1222"/>
    </row>
    <row r="1223" ht="25.5" customHeight="1">
      <c r="A1223" t="inlineStr">
        <is>
          <t>3976881</t>
        </is>
      </c>
      <c r="B1223" s="2"/>
      <c r="C1223"/>
      <c r="D1223" s="3">
        <v>46135.601018518515</v>
      </c>
      <c r="E1223" t="inlineStr">
        <is>
          <t>Q2-W03</t>
        </is>
      </c>
      <c r="F1223" t="inlineStr">
        <is>
          <t>Josh</t>
        </is>
      </c>
      <c r="G1223" t="inlineStr">
        <is>
          <t>Lead</t>
        </is>
      </c>
      <c r="H1223" s="2" t="str">
        <f>=HYPERLINK("https://upbox.ajobthing.my/leads/3976881", "https://upbox.ajobthing.my/leads/3976881")</f>
        <v>https://upbox.ajobthing.my/leads/3976881</v>
      </c>
      <c r="I1223" t="inlineStr">
        <is>
          <t>GENESIS DAIICHI SDN BHD</t>
        </is>
      </c>
      <c r="J1223" t="inlineStr">
        <is>
          <t>Small Fish</t>
        </is>
      </c>
      <c r="K1223" t="inlineStr">
        <is>
          <t>Josh</t>
        </is>
      </c>
      <c r="L1223" s="4"/>
      <c r="M1223" s="4">
        <v>46135.6040625</v>
      </c>
      <c r="N1223"/>
      <c r="O1223">
        <v>6048</v>
      </c>
      <c r="P1223" s="4"/>
      <c r="Q1223" s="4"/>
      <c r="R1223"/>
      <c r="S1223"/>
      <c r="T1223" s="4"/>
      <c r="U1223" s="4"/>
      <c r="V1223"/>
      <c r="W1223"/>
      <c r="X1223"/>
      <c r="Y1223" t="inlineStr">
        <is>
          <t>Pending Appointment</t>
        </is>
      </c>
      <c r="Z1223" t="inlineStr">
        <is>
          <t>Hiring Later</t>
        </is>
      </c>
      <c r="AA1223">
        <v>1</v>
      </c>
      <c r="AB1223" t="inlineStr">
        <is>
          <t>No Appointment Made</t>
        </is>
      </c>
      <c r="AC1223"/>
      <c r="AD1223" t="inlineStr">
        <is>
          <t xml:space="preserve">1 sales and marketing </t>
        </is>
      </c>
      <c r="AE1223"/>
      <c r="AF1223">
        <v>3000</v>
      </c>
      <c r="AG1223" s="4"/>
      <c r="AH1223" s="4"/>
      <c r="AI1223"/>
      <c r="AJ1223"/>
      <c r="AK1223" t="inlineStr">
        <is>
          <t>Yes, I have</t>
        </is>
      </c>
      <c r="AL1223">
        <v>1</v>
      </c>
      <c r="AM1223" t="inlineStr">
        <is>
          <t>Yes, I have</t>
        </is>
      </c>
      <c r="AN1223"/>
      <c r="AO1223"/>
      <c r="AP1223" t="inlineStr">
        <is>
          <t>Once a year (25%)</t>
        </is>
      </c>
      <c r="AQ1223"/>
      <c r="AR1223"/>
      <c r="AS1223" t="inlineStr">
        <is>
          <t>- Headcount: 1
- Hiring Job Details: 1 sales and marketing
- Hiring Urgency: Hiring Later
- Number of outlets: Not available
- Have recruiter team: Yes
- Number of recruiter in company: 1
- Have ATS system: Yes
- Have career website: Not available
- Current hiring budget: RM3,000.00
- Whole year budget: Not available
- Whole year number of vacancies: Not available
- Hiring frequency: Once a year (25%)
- External job portal: Not available</t>
        </is>
      </c>
      <c r="AT1223">
        <v>85</v>
      </c>
      <c r="AU1223" t="inlineStr">
        <is>
          <t>0.85</t>
        </is>
      </c>
      <c r="AV1223" t="inlineStr">
        <is>
          <t>15</t>
        </is>
      </c>
      <c r="AW1223" t="inlineStr">
        <is>
          <t>0</t>
        </is>
      </c>
      <c r="AX1223" t="inlineStr">
        <is>
          <t>Not Qualified</t>
        </is>
      </c>
      <c r="AY1223" s="4"/>
      <c r="AZ1223"/>
      <c r="BA1223"/>
      <c r="BB1223"/>
      <c r="BC1223"/>
      <c r="BD1223" s="4"/>
      <c r="BE1223"/>
      <c r="BF1223"/>
      <c r="BG1223" t="inlineStr">
        <is>
          <t>Reschedule</t>
        </is>
      </c>
      <c r="BH1223" t="inlineStr">
        <is>
          <t>Fauziah Maharan</t>
        </is>
      </c>
      <c r="BI1223"/>
      <c r="BJ1223" s="4">
        <v>46144.75511574074</v>
      </c>
      <c r="BK1223" s="4">
        <v>46041.540810185186</v>
      </c>
      <c r="BL1223" t="inlineStr">
        <is>
          <t>0.0</t>
        </is>
      </c>
      <c r="BM1223" t="inlineStr">
        <is>
          <t>0.0</t>
        </is>
      </c>
      <c r="BN1223"/>
      <c r="BO1223" s="4"/>
      <c r="BP1223">
        <v>168559</v>
      </c>
      <c r="BQ1223"/>
      <c r="BR1223"/>
      <c r="BS1223"/>
      <c r="BT1223"/>
      <c r="BU1223"/>
      <c r="BV1223"/>
      <c r="BW1223"/>
      <c r="BX1223"/>
      <c r="BY1223"/>
      <c r="BZ1223" s="4"/>
      <c r="CA1223"/>
      <c r="CB1223"/>
      <c r="CC1223" s="4"/>
      <c r="CD1223" t="inlineStr">
        <is>
          <t>20</t>
        </is>
      </c>
      <c r="CE1223" t="inlineStr">
        <is>
          <t>0</t>
        </is>
      </c>
      <c r="CF1223" t="inlineStr">
        <is>
          <t>Q2-W03</t>
        </is>
      </c>
      <c r="CG1223"/>
      <c r="CH1223"/>
      <c r="CI1223"/>
      <c r="CJ1223" t="inlineStr">
        <is>
          <t>No Paid</t>
        </is>
      </c>
      <c r="CK1223" t="inlineStr">
        <is>
          <t>Not Eligible</t>
        </is>
      </c>
      <c r="CL1223"/>
      <c r="CM1223"/>
    </row>
    <row r="1224" ht="25.5" customHeight="1">
      <c r="A1224" t="inlineStr">
        <is>
          <t>203584</t>
        </is>
      </c>
      <c r="B1224" s="2"/>
      <c r="C1224"/>
      <c r="D1224" s="3">
        <v>46135.60890046296</v>
      </c>
      <c r="E1224" t="inlineStr">
        <is>
          <t>Q2-W03</t>
        </is>
      </c>
      <c r="F1224" t="inlineStr">
        <is>
          <t>Keegan</t>
        </is>
      </c>
      <c r="G1224" t="inlineStr">
        <is>
          <t>Customer</t>
        </is>
      </c>
      <c r="H1224" s="2" t="str">
        <f>=HYPERLINK("https://upbox.ajobthing.my/customer/203584", "https://upbox.ajobthing.my/customer/203584")</f>
        <v>https://upbox.ajobthing.my/customer/203584</v>
      </c>
      <c r="I1224" t="inlineStr">
        <is>
          <t>RESTORAN DE OMAR</t>
        </is>
      </c>
      <c r="J1224" t="inlineStr">
        <is>
          <t>Small Fish</t>
        </is>
      </c>
      <c r="K1224" t="inlineStr">
        <is>
          <t>Keegan</t>
        </is>
      </c>
      <c r="L1224" s="4"/>
      <c r="M1224" s="4">
        <v>46135.608981481484</v>
      </c>
      <c r="N1224"/>
      <c r="O1224">
        <v>3888</v>
      </c>
      <c r="P1224" s="4"/>
      <c r="Q1224" s="4"/>
      <c r="R1224"/>
      <c r="S1224"/>
      <c r="T1224" s="4"/>
      <c r="U1224" s="4"/>
      <c r="V1224"/>
      <c r="W1224"/>
      <c r="X1224"/>
      <c r="Y1224" t="inlineStr">
        <is>
          <t>Pending Appointment</t>
        </is>
      </c>
      <c r="Z1224" t="inlineStr">
        <is>
          <t>Hiring Now</t>
        </is>
      </c>
      <c r="AA1224">
        <v>1</v>
      </c>
      <c r="AB1224" t="inlineStr">
        <is>
          <t>No Appointment Made</t>
        </is>
      </c>
      <c r="AC1224"/>
      <c r="AD1224" t="inlineStr">
        <is>
          <t xml:space="preserve">1. Cashier </t>
        </is>
      </c>
      <c r="AE1224"/>
      <c r="AF1224"/>
      <c r="AG1224" s="4"/>
      <c r="AH1224" s="4"/>
      <c r="AI1224"/>
      <c r="AJ1224">
        <v>1</v>
      </c>
      <c r="AK1224" t="inlineStr">
        <is>
          <t>No, I don't need at all</t>
        </is>
      </c>
      <c r="AL1224">
        <v>0</v>
      </c>
      <c r="AM1224" t="inlineStr">
        <is>
          <t>No, I don't need at all</t>
        </is>
      </c>
      <c r="AN1224"/>
      <c r="AO1224" t="inlineStr">
        <is>
          <t>No, I don't need at all</t>
        </is>
      </c>
      <c r="AP1224" t="inlineStr">
        <is>
          <t>Once per quarter (75%)</t>
        </is>
      </c>
      <c r="AQ1224"/>
      <c r="AR1224" t="inlineStr">
        <is>
          <t>Did not use any job portal</t>
        </is>
      </c>
      <c r="AS1224" t="inlineStr">
        <is>
          <t>- Headcount: 1
- Hiring Job Details: 1 Cashier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224">
        <v>95</v>
      </c>
      <c r="AU1224" t="inlineStr">
        <is>
          <t>0.95</t>
        </is>
      </c>
      <c r="AV1224" t="inlineStr">
        <is>
          <t>5</t>
        </is>
      </c>
      <c r="AW1224" t="inlineStr">
        <is>
          <t>0</t>
        </is>
      </c>
      <c r="AX1224" t="inlineStr">
        <is>
          <t>Not Qualified</t>
        </is>
      </c>
      <c r="AY1224" s="4"/>
      <c r="AZ1224"/>
      <c r="BA1224"/>
      <c r="BB1224"/>
      <c r="BC1224" t="inlineStr">
        <is>
          <t>- Headcount: 1
- Hiring Job Details: 1 Cashier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224" s="4">
        <v>46135.62503472222</v>
      </c>
      <c r="BE1224"/>
      <c r="BF1224"/>
      <c r="BG1224" t="inlineStr">
        <is>
          <t>Reschedule</t>
        </is>
      </c>
      <c r="BH1224" t="inlineStr">
        <is>
          <t>Edward Hoo</t>
        </is>
      </c>
      <c r="BI1224"/>
      <c r="BJ1224" s="4">
        <v>46144.75435185185</v>
      </c>
      <c r="BK1224" s="4">
        <v>46135.601793981485</v>
      </c>
      <c r="BL1224" t="inlineStr">
        <is>
          <t>0.0</t>
        </is>
      </c>
      <c r="BM1224" t="inlineStr">
        <is>
          <t>0.0</t>
        </is>
      </c>
      <c r="BN1224"/>
      <c r="BO1224" s="4"/>
      <c r="BP1224">
        <v>168562</v>
      </c>
      <c r="BQ1224"/>
      <c r="BR1224"/>
      <c r="BS1224"/>
      <c r="BT1224"/>
      <c r="BU1224"/>
      <c r="BV1224">
        <v>2723795</v>
      </c>
      <c r="BW1224" t="inlineStr">
        <is>
          <t>Customer Inquiry</t>
        </is>
      </c>
      <c r="BX1224"/>
      <c r="BY1224"/>
      <c r="BZ1224" s="4"/>
      <c r="CA1224"/>
      <c r="CB1224"/>
      <c r="CC1224" s="4"/>
      <c r="CD1224" t="inlineStr">
        <is>
          <t>5</t>
        </is>
      </c>
      <c r="CE1224" t="inlineStr">
        <is>
          <t>0</t>
        </is>
      </c>
      <c r="CF1224" t="inlineStr">
        <is>
          <t>Q2-W03</t>
        </is>
      </c>
      <c r="CG1224"/>
      <c r="CH1224"/>
      <c r="CI1224"/>
      <c r="CJ1224" t="inlineStr">
        <is>
          <t>No Paid</t>
        </is>
      </c>
      <c r="CK1224" t="inlineStr">
        <is>
          <t>Not Eligible</t>
        </is>
      </c>
      <c r="CL1224"/>
      <c r="CM1224"/>
    </row>
    <row r="1225" ht="25.5" customHeight="1">
      <c r="A1225" t="inlineStr">
        <is>
          <t>203515</t>
        </is>
      </c>
      <c r="B1225" s="2"/>
      <c r="C1225"/>
      <c r="D1225" s="3">
        <v>46135.61111111111</v>
      </c>
      <c r="E1225" t="inlineStr">
        <is>
          <t>Q2-W03</t>
        </is>
      </c>
      <c r="F1225" t="inlineStr">
        <is>
          <t>Carmen</t>
        </is>
      </c>
      <c r="G1225" t="inlineStr">
        <is>
          <t>Customer</t>
        </is>
      </c>
      <c r="H1225" s="2" t="str">
        <f>=HYPERLINK("https://upbox.ajobthing.my/customer/203515", "https://upbox.ajobthing.my/customer/203515")</f>
        <v>https://upbox.ajobthing.my/customer/203515</v>
      </c>
      <c r="I1225" t="inlineStr">
        <is>
          <t xml:space="preserve">Bangmang Outsourcing Sdn Bhd </t>
        </is>
      </c>
      <c r="J1225" t="inlineStr">
        <is>
          <t>Small Fish</t>
        </is>
      </c>
      <c r="K1225" t="inlineStr">
        <is>
          <t>Carmen</t>
        </is>
      </c>
      <c r="L1225" s="4"/>
      <c r="M1225" s="4">
        <v>46140.50140046296</v>
      </c>
      <c r="N1225"/>
      <c r="O1225">
        <v>22248</v>
      </c>
      <c r="P1225" s="4"/>
      <c r="Q1225" s="4"/>
      <c r="R1225"/>
      <c r="S1225"/>
      <c r="T1225" s="4"/>
      <c r="U1225" s="4"/>
      <c r="V1225"/>
      <c r="W1225"/>
      <c r="X1225" t="inlineStr">
        <is>
          <t>Dandy Liu</t>
        </is>
      </c>
      <c r="Y1225" t="inlineStr">
        <is>
          <t>Pending Appointment</t>
        </is>
      </c>
      <c r="Z1225" t="inlineStr">
        <is>
          <t>Continuous Hiring</t>
        </is>
      </c>
      <c r="AA1225">
        <v>100</v>
      </c>
      <c r="AB1225" t="inlineStr">
        <is>
          <t>Appointment Made</t>
        </is>
      </c>
      <c r="AC1225" t="inlineStr">
        <is>
          <t>Large (101-300 employees)</t>
        </is>
      </c>
      <c r="AD1225" t="inlineStr">
        <is>
          <t>2 hr, and hiring for client 100 staffs</t>
        </is>
      </c>
      <c r="AE1225" t="inlineStr">
        <is>
          <t>HR Manager / Talent Manager</t>
        </is>
      </c>
      <c r="AF1225">
        <v>10000</v>
      </c>
      <c r="AG1225" s="4">
        <v>46136.583333333336</v>
      </c>
      <c r="AH1225" s="4">
        <v>46136.604166666664</v>
      </c>
      <c r="AI1225"/>
      <c r="AJ1225"/>
      <c r="AK1225" t="inlineStr">
        <is>
          <t>Yes, I have</t>
        </is>
      </c>
      <c r="AL1225"/>
      <c r="AM1225"/>
      <c r="AN1225"/>
      <c r="AO1225"/>
      <c r="AP1225" t="inlineStr">
        <is>
          <t>Every month (100%)</t>
        </is>
      </c>
      <c r="AQ1225"/>
      <c r="AR1225"/>
      <c r="AS1225" t="inlineStr">
        <is>
          <t>- Headcount: 100
- Hiring Job Details: 2 hr, and hiring for client 100 staffs
- Hiring Urgency: Continuous Hiring
- Number of outlets: Not available
- Have recruiter team: Yes
- Number of recruiter in company: Not available
- Have ATS system: Not available
- Have career website: Not available
- Current hiring budget: RM10,000.00
- Whole year budget: Not available
- Whole year number of vacancies: Not available
- Hiring frequency: Every month (100%)
- External job portal: Not available</t>
        </is>
      </c>
      <c r="AT1225">
        <v>55</v>
      </c>
      <c r="AU1225" t="inlineStr">
        <is>
          <t>0.55</t>
        </is>
      </c>
      <c r="AV1225" t="inlineStr">
        <is>
          <t>60</t>
        </is>
      </c>
      <c r="AW1225" t="inlineStr">
        <is>
          <t>0.8</t>
        </is>
      </c>
      <c r="AX1225" t="inlineStr">
        <is>
          <t>Not Qualified</t>
        </is>
      </c>
      <c r="AY1225" s="4"/>
      <c r="AZ1225"/>
      <c r="BA1225"/>
      <c r="BB1225"/>
      <c r="BC1225" t="inlineStr">
        <is>
          <t>cosmo, ivy and thomas joining the meeting, they actually dont have the license for headhunting, they might hire for client also, current stage mostly providing payroll services ; he asked alot of questions for his services</t>
        </is>
      </c>
      <c r="BD1225" s="4">
        <v>46140.58288194444</v>
      </c>
      <c r="BE1225"/>
      <c r="BF1225"/>
      <c r="BG1225" t="inlineStr">
        <is>
          <t>Reschedule</t>
        </is>
      </c>
      <c r="BH1225" t="inlineStr">
        <is>
          <t>Reagen</t>
        </is>
      </c>
      <c r="BI1225" t="inlineStr">
        <is>
          <t>HR Mgmt / Consulting</t>
        </is>
      </c>
      <c r="BJ1225" s="4">
        <v>46144.754328703704</v>
      </c>
      <c r="BK1225" s="4">
        <v>46134.42162037037</v>
      </c>
      <c r="BL1225" t="inlineStr">
        <is>
          <t>0.0</t>
        </is>
      </c>
      <c r="BM1225" t="inlineStr">
        <is>
          <t>0.0</t>
        </is>
      </c>
      <c r="BN1225" t="inlineStr">
        <is>
          <t>View Company Page</t>
        </is>
      </c>
      <c r="BO1225" s="4">
        <v>46135.43703703704</v>
      </c>
      <c r="BP1225">
        <v>169215</v>
      </c>
      <c r="BQ1225"/>
      <c r="BR1225"/>
      <c r="BS1225"/>
      <c r="BT1225"/>
      <c r="BU1225"/>
      <c r="BV1225">
        <v>2732655</v>
      </c>
      <c r="BW1225" t="inlineStr">
        <is>
          <t>Inquire for Hiring Needs : Quotation Sent 50%</t>
        </is>
      </c>
      <c r="BX1225"/>
      <c r="BY1225"/>
      <c r="BZ1225" s="4"/>
      <c r="CA1225"/>
      <c r="CB1225"/>
      <c r="CC1225" s="4"/>
      <c r="CD1225" t="inlineStr">
        <is>
          <t>85</t>
        </is>
      </c>
      <c r="CE1225" t="inlineStr">
        <is>
          <t>0</t>
        </is>
      </c>
      <c r="CF1225" t="inlineStr">
        <is>
          <t>Q2-W04</t>
        </is>
      </c>
      <c r="CG1225"/>
      <c r="CH1225"/>
      <c r="CI1225"/>
      <c r="CJ1225" t="inlineStr">
        <is>
          <t>No Paid</t>
        </is>
      </c>
      <c r="CK1225" t="inlineStr">
        <is>
          <t>Eligible</t>
        </is>
      </c>
      <c r="CL1225"/>
      <c r="CM1225"/>
    </row>
    <row r="1226" ht="25.5" customHeight="1">
      <c r="A1226" t="inlineStr">
        <is>
          <t>4315626</t>
        </is>
      </c>
      <c r="B1226" s="2"/>
      <c r="C1226"/>
      <c r="D1226" s="3">
        <v>46135.61472222222</v>
      </c>
      <c r="E1226" t="inlineStr">
        <is>
          <t>Q2-W03</t>
        </is>
      </c>
      <c r="F1226" t="inlineStr">
        <is>
          <t>Chia Yee</t>
        </is>
      </c>
      <c r="G1226" t="inlineStr">
        <is>
          <t>Lead</t>
        </is>
      </c>
      <c r="H1226" s="2" t="str">
        <f>=HYPERLINK("https://upbox.ajobthing.my/leads/4315626", "https://upbox.ajobthing.my/leads/4315626")</f>
        <v>https://upbox.ajobthing.my/leads/4315626</v>
      </c>
      <c r="I1226" t="inlineStr">
        <is>
          <t>AHSN DYNAMIC SOLUTIONS SDN BHD</t>
        </is>
      </c>
      <c r="J1226" t="inlineStr">
        <is>
          <t>Small Fish</t>
        </is>
      </c>
      <c r="K1226" t="inlineStr">
        <is>
          <t>Chia Yee</t>
        </is>
      </c>
      <c r="L1226" s="4"/>
      <c r="M1226" s="4">
        <v>46135.614965277775</v>
      </c>
      <c r="N1226"/>
      <c r="O1226">
        <v>4968</v>
      </c>
      <c r="P1226" s="4"/>
      <c r="Q1226" s="4"/>
      <c r="R1226"/>
      <c r="S1226"/>
      <c r="T1226" s="4"/>
      <c r="U1226" s="4"/>
      <c r="V1226"/>
      <c r="W1226"/>
      <c r="X1226"/>
      <c r="Y1226" t="inlineStr">
        <is>
          <t>Pending Appointment</t>
        </is>
      </c>
      <c r="Z1226" t="inlineStr">
        <is>
          <t>Continuous Hiring</t>
        </is>
      </c>
      <c r="AA1226">
        <v>6</v>
      </c>
      <c r="AB1226" t="inlineStr">
        <is>
          <t>No Appointment Made</t>
        </is>
      </c>
      <c r="AC1226"/>
      <c r="AD1226" t="inlineStr">
        <is>
          <t>6 Recovery officer</t>
        </is>
      </c>
      <c r="AE1226"/>
      <c r="AF1226">
        <v>0</v>
      </c>
      <c r="AG1226" s="4"/>
      <c r="AH1226" s="4"/>
      <c r="AI1226">
        <v>0</v>
      </c>
      <c r="AJ1226">
        <v>1</v>
      </c>
      <c r="AK1226" t="inlineStr">
        <is>
          <t>No, I don't need at all</t>
        </is>
      </c>
      <c r="AL1226">
        <v>1</v>
      </c>
      <c r="AM1226" t="inlineStr">
        <is>
          <t>No, I don't need at all</t>
        </is>
      </c>
      <c r="AN1226"/>
      <c r="AO1226" t="inlineStr">
        <is>
          <t>Yes, I have</t>
        </is>
      </c>
      <c r="AP1226" t="inlineStr">
        <is>
          <t>Once a year (25%)</t>
        </is>
      </c>
      <c r="AQ1226">
        <v>6</v>
      </c>
      <c r="AR1226" t="inlineStr">
        <is>
          <t>Did not use any job portal</t>
        </is>
      </c>
      <c r="AS1226" t="inlineStr">
        <is>
          <t>- Headcount: 6
- Hiring Job Details: 6 Recovery officer
- Hiring Urgency: Continuous Hiring
- Number of outlets: 1
- Have recruiter team: No, I don't need at all
- Number of recruiter in company: 1
- Have ATS system: No, I don't need at all
- Have career website: Yes, I have
- Current hiring budget: RM0
- Whole year budget: RM0.00
- Whole year number of vacancies: 6
- Hiring frequency: Once a year (25%)
- External job portal: Did not use any job portal</t>
        </is>
      </c>
      <c r="AT1226">
        <v>115</v>
      </c>
      <c r="AU1226" t="inlineStr">
        <is>
          <t>1.15</t>
        </is>
      </c>
      <c r="AV1226" t="inlineStr">
        <is>
          <t>20</t>
        </is>
      </c>
      <c r="AW1226" t="inlineStr">
        <is>
          <t>0</t>
        </is>
      </c>
      <c r="AX1226" t="inlineStr">
        <is>
          <t>Not Qualified</t>
        </is>
      </c>
      <c r="AY1226" s="4"/>
      <c r="AZ1226"/>
      <c r="BA1226"/>
      <c r="BB1226"/>
      <c r="BC1226"/>
      <c r="BD1226" s="4"/>
      <c r="BE1226"/>
      <c r="BF1226"/>
      <c r="BG1226" t="inlineStr">
        <is>
          <t>Reschedule</t>
        </is>
      </c>
      <c r="BH1226" t="inlineStr">
        <is>
          <t>Reagen</t>
        </is>
      </c>
      <c r="BI1226"/>
      <c r="BJ1226" s="4">
        <v>46144.755902777775</v>
      </c>
      <c r="BK1226" s="4">
        <v>46135.54471064815</v>
      </c>
      <c r="BL1226" t="inlineStr">
        <is>
          <t>0.0</t>
        </is>
      </c>
      <c r="BM1226" t="inlineStr">
        <is>
          <t>0.0</t>
        </is>
      </c>
      <c r="BN1226"/>
      <c r="BO1226" s="4"/>
      <c r="BP1226">
        <v>168568</v>
      </c>
      <c r="BQ1226"/>
      <c r="BR1226"/>
      <c r="BS1226"/>
      <c r="BT1226"/>
      <c r="BU1226"/>
      <c r="BV1226"/>
      <c r="BW1226"/>
      <c r="BX1226"/>
      <c r="BY1226"/>
      <c r="BZ1226" s="4"/>
      <c r="CA1226"/>
      <c r="CB1226"/>
      <c r="CC1226" s="4"/>
      <c r="CD1226" t="inlineStr">
        <is>
          <t>30</t>
        </is>
      </c>
      <c r="CE1226" t="inlineStr">
        <is>
          <t>0</t>
        </is>
      </c>
      <c r="CF1226" t="inlineStr">
        <is>
          <t>Q2-W03</t>
        </is>
      </c>
      <c r="CG1226"/>
      <c r="CH1226"/>
      <c r="CI1226"/>
      <c r="CJ1226" t="inlineStr">
        <is>
          <t>No Paid</t>
        </is>
      </c>
      <c r="CK1226" t="inlineStr">
        <is>
          <t>Not Eligible</t>
        </is>
      </c>
      <c r="CL1226"/>
      <c r="CM1226"/>
    </row>
    <row r="1227" ht="25.5" customHeight="1">
      <c r="A1227" t="inlineStr">
        <is>
          <t>4127270</t>
        </is>
      </c>
      <c r="B1227" s="2"/>
      <c r="C1227"/>
      <c r="D1227" s="3">
        <v>46135.61547453704</v>
      </c>
      <c r="E1227" t="inlineStr">
        <is>
          <t>Q2-W03</t>
        </is>
      </c>
      <c r="F1227" t="inlineStr">
        <is>
          <t>Josh</t>
        </is>
      </c>
      <c r="G1227" t="inlineStr">
        <is>
          <t>Lead</t>
        </is>
      </c>
      <c r="H1227" s="2" t="str">
        <f>=HYPERLINK("https://upbox.ajobthing.my/leads/4127270", "https://upbox.ajobthing.my/leads/4127270")</f>
        <v>https://upbox.ajobthing.my/leads/4127270</v>
      </c>
      <c r="I1227" t="inlineStr">
        <is>
          <t>Chill Master Industries Sdn Bhd</t>
        </is>
      </c>
      <c r="J1227" t="inlineStr">
        <is>
          <t>Small Fish</t>
        </is>
      </c>
      <c r="K1227" t="inlineStr">
        <is>
          <t>Josh</t>
        </is>
      </c>
      <c r="L1227" s="4"/>
      <c r="M1227" s="4">
        <v>46135.615636574075</v>
      </c>
      <c r="N1227"/>
      <c r="O1227">
        <v>6048</v>
      </c>
      <c r="P1227" s="4"/>
      <c r="Q1227" s="4"/>
      <c r="R1227"/>
      <c r="S1227"/>
      <c r="T1227" s="4"/>
      <c r="U1227" s="4"/>
      <c r="V1227"/>
      <c r="W1227"/>
      <c r="X1227"/>
      <c r="Y1227" t="inlineStr">
        <is>
          <t>Pending Appointment</t>
        </is>
      </c>
      <c r="Z1227" t="inlineStr">
        <is>
          <t>Hiring Later</t>
        </is>
      </c>
      <c r="AA1227">
        <v>1</v>
      </c>
      <c r="AB1227" t="inlineStr">
        <is>
          <t>No Appointment Made</t>
        </is>
      </c>
      <c r="AC1227"/>
      <c r="AD1227" t="inlineStr">
        <is>
          <t xml:space="preserve">1 admin </t>
        </is>
      </c>
      <c r="AE1227"/>
      <c r="AF1227">
        <v>3000</v>
      </c>
      <c r="AG1227" s="4"/>
      <c r="AH1227" s="4"/>
      <c r="AI1227"/>
      <c r="AJ1227"/>
      <c r="AK1227" t="inlineStr">
        <is>
          <t>Yes, I have</t>
        </is>
      </c>
      <c r="AL1227"/>
      <c r="AM1227"/>
      <c r="AN1227"/>
      <c r="AO1227"/>
      <c r="AP1227" t="inlineStr">
        <is>
          <t>Once a year (25%)</t>
        </is>
      </c>
      <c r="AQ1227"/>
      <c r="AR1227"/>
      <c r="AS1227" t="inlineStr">
        <is>
          <t>- Headcount: 1
- Hiring Job Details: 1 admin
- Hiring Urgency: Hiring Later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1227">
        <v>75</v>
      </c>
      <c r="AU1227" t="inlineStr">
        <is>
          <t>0.75</t>
        </is>
      </c>
      <c r="AV1227" t="inlineStr">
        <is>
          <t>15</t>
        </is>
      </c>
      <c r="AW1227" t="inlineStr">
        <is>
          <t>0</t>
        </is>
      </c>
      <c r="AX1227" t="inlineStr">
        <is>
          <t>Not Qualified</t>
        </is>
      </c>
      <c r="AY1227" s="4"/>
      <c r="AZ1227"/>
      <c r="BA1227"/>
      <c r="BB1227"/>
      <c r="BC1227"/>
      <c r="BD1227" s="4"/>
      <c r="BE1227"/>
      <c r="BF1227"/>
      <c r="BG1227" t="inlineStr">
        <is>
          <t>Reschedule</t>
        </is>
      </c>
      <c r="BH1227" t="inlineStr">
        <is>
          <t>Fauziah Maharan</t>
        </is>
      </c>
      <c r="BI1227"/>
      <c r="BJ1227" s="4">
        <v>46144.75541666667</v>
      </c>
      <c r="BK1227" s="4">
        <v>46085.43680555555</v>
      </c>
      <c r="BL1227" t="inlineStr">
        <is>
          <t>0.0</t>
        </is>
      </c>
      <c r="BM1227" t="inlineStr">
        <is>
          <t>0.0</t>
        </is>
      </c>
      <c r="BN1227"/>
      <c r="BO1227" s="4"/>
      <c r="BP1227">
        <v>168571</v>
      </c>
      <c r="BQ1227"/>
      <c r="BR1227"/>
      <c r="BS1227"/>
      <c r="BT1227"/>
      <c r="BU1227"/>
      <c r="BV1227"/>
      <c r="BW1227"/>
      <c r="BX1227"/>
      <c r="BY1227"/>
      <c r="BZ1227" s="4"/>
      <c r="CA1227"/>
      <c r="CB1227"/>
      <c r="CC1227" s="4"/>
      <c r="CD1227" t="inlineStr">
        <is>
          <t>20</t>
        </is>
      </c>
      <c r="CE1227" t="inlineStr">
        <is>
          <t>0</t>
        </is>
      </c>
      <c r="CF1227" t="inlineStr">
        <is>
          <t>Q2-W03</t>
        </is>
      </c>
      <c r="CG1227"/>
      <c r="CH1227"/>
      <c r="CI1227"/>
      <c r="CJ1227" t="inlineStr">
        <is>
          <t>No Paid</t>
        </is>
      </c>
      <c r="CK1227" t="inlineStr">
        <is>
          <t>Not Eligible</t>
        </is>
      </c>
      <c r="CL1227"/>
      <c r="CM1227"/>
    </row>
    <row r="1228" ht="25.5" customHeight="1">
      <c r="A1228" t="inlineStr">
        <is>
          <t>4315697</t>
        </is>
      </c>
      <c r="B1228" s="2"/>
      <c r="C1228"/>
      <c r="D1228" s="3">
        <v>46135.620983796296</v>
      </c>
      <c r="E1228" t="inlineStr">
        <is>
          <t>Q2-W03</t>
        </is>
      </c>
      <c r="F1228" t="inlineStr">
        <is>
          <t>Dickson</t>
        </is>
      </c>
      <c r="G1228" t="inlineStr">
        <is>
          <t>Lead</t>
        </is>
      </c>
      <c r="H1228" s="2" t="str">
        <f>=HYPERLINK("https://upbox.ajobthing.my/leads/4315697", "https://upbox.ajobthing.my/leads/4315697")</f>
        <v>https://upbox.ajobthing.my/leads/4315697</v>
      </c>
      <c r="I1228" t="inlineStr">
        <is>
          <t>Coliseum Fitness Club</t>
        </is>
      </c>
      <c r="J1228" t="inlineStr">
        <is>
          <t>Small Fish</t>
        </is>
      </c>
      <c r="K1228" t="inlineStr">
        <is>
          <t>Dickson</t>
        </is>
      </c>
      <c r="L1228" s="4"/>
      <c r="M1228" s="4">
        <v>46135.62144675926</v>
      </c>
      <c r="N1228"/>
      <c r="O1228">
        <v>3888</v>
      </c>
      <c r="P1228" s="4"/>
      <c r="Q1228" s="4"/>
      <c r="R1228"/>
      <c r="S1228"/>
      <c r="T1228" s="4"/>
      <c r="U1228" s="4"/>
      <c r="V1228"/>
      <c r="W1228"/>
      <c r="X1228"/>
      <c r="Y1228" t="inlineStr">
        <is>
          <t>Pending Appointment</t>
        </is>
      </c>
      <c r="Z1228" t="inlineStr">
        <is>
          <t>Hiring Now</t>
        </is>
      </c>
      <c r="AA1228">
        <v>2</v>
      </c>
      <c r="AB1228" t="inlineStr">
        <is>
          <t>No Appointment Made</t>
        </is>
      </c>
      <c r="AC1228"/>
      <c r="AD1228" t="inlineStr">
        <is>
          <t>1 front desk cx, 1 personal trainer</t>
        </is>
      </c>
      <c r="AE1228"/>
      <c r="AF1228"/>
      <c r="AG1228" s="4"/>
      <c r="AH1228" s="4"/>
      <c r="AI1228"/>
      <c r="AJ1228">
        <v>1</v>
      </c>
      <c r="AK1228" t="inlineStr">
        <is>
          <t>No, I don't need at all</t>
        </is>
      </c>
      <c r="AL1228"/>
      <c r="AM1228" t="inlineStr">
        <is>
          <t>No, I don't need at all</t>
        </is>
      </c>
      <c r="AN1228"/>
      <c r="AO1228" t="inlineStr">
        <is>
          <t>No, I don't need at all</t>
        </is>
      </c>
      <c r="AP1228" t="inlineStr">
        <is>
          <t>Once per quarter (75%)</t>
        </is>
      </c>
      <c r="AQ1228"/>
      <c r="AR1228" t="inlineStr">
        <is>
          <t>Hiredly</t>
        </is>
      </c>
      <c r="AS1228" t="inlineStr">
        <is>
          <t>- Headcount: 2
- Hiring Job Details: 1 front desk cx, 1 personal trainer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Hiredly</t>
        </is>
      </c>
      <c r="AT1228">
        <v>95</v>
      </c>
      <c r="AU1228" t="inlineStr">
        <is>
          <t>0.95</t>
        </is>
      </c>
      <c r="AV1228" t="inlineStr">
        <is>
          <t>5</t>
        </is>
      </c>
      <c r="AW1228" t="inlineStr">
        <is>
          <t>0</t>
        </is>
      </c>
      <c r="AX1228" t="inlineStr">
        <is>
          <t>Not Qualified</t>
        </is>
      </c>
      <c r="AY1228" s="4"/>
      <c r="AZ1228"/>
      <c r="BA1228"/>
      <c r="BB1228"/>
      <c r="BC1228"/>
      <c r="BD1228" s="4"/>
      <c r="BE1228"/>
      <c r="BF1228"/>
      <c r="BG1228" t="inlineStr">
        <is>
          <t>Reschedule</t>
        </is>
      </c>
      <c r="BH1228" t="inlineStr">
        <is>
          <t>Edward Hoo</t>
        </is>
      </c>
      <c r="BI1228"/>
      <c r="BJ1228" s="4">
        <v>46144.755902777775</v>
      </c>
      <c r="BK1228" s="4">
        <v>46135.599756944444</v>
      </c>
      <c r="BL1228" t="inlineStr">
        <is>
          <t>0.0</t>
        </is>
      </c>
      <c r="BM1228" t="inlineStr">
        <is>
          <t>300.0</t>
        </is>
      </c>
      <c r="BN1228"/>
      <c r="BO1228" s="4"/>
      <c r="BP1228">
        <v>168577</v>
      </c>
      <c r="BQ1228"/>
      <c r="BR1228"/>
      <c r="BS1228"/>
      <c r="BT1228"/>
      <c r="BU1228"/>
      <c r="BV1228"/>
      <c r="BW1228"/>
      <c r="BX1228"/>
      <c r="BY1228"/>
      <c r="BZ1228" s="4"/>
      <c r="CA1228"/>
      <c r="CB1228"/>
      <c r="CC1228" s="4"/>
      <c r="CD1228" t="inlineStr">
        <is>
          <t>5</t>
        </is>
      </c>
      <c r="CE1228" t="inlineStr">
        <is>
          <t>0</t>
        </is>
      </c>
      <c r="CF1228" t="inlineStr">
        <is>
          <t>Q2-W03</t>
        </is>
      </c>
      <c r="CG1228"/>
      <c r="CH1228"/>
      <c r="CI1228"/>
      <c r="CJ1228" t="inlineStr">
        <is>
          <t>No Paid</t>
        </is>
      </c>
      <c r="CK1228" t="inlineStr">
        <is>
          <t>Not Eligible</t>
        </is>
      </c>
      <c r="CL1228"/>
      <c r="CM1228"/>
    </row>
    <row r="1229" ht="25.5" customHeight="1">
      <c r="A1229" t="inlineStr">
        <is>
          <t>203586</t>
        </is>
      </c>
      <c r="B1229" s="2"/>
      <c r="C1229"/>
      <c r="D1229" s="3">
        <v>46135.62702546296</v>
      </c>
      <c r="E1229" t="inlineStr">
        <is>
          <t>Q2-W03</t>
        </is>
      </c>
      <c r="F1229" t="inlineStr">
        <is>
          <t>Fariz</t>
        </is>
      </c>
      <c r="G1229" t="inlineStr">
        <is>
          <t>Customer</t>
        </is>
      </c>
      <c r="H1229" s="2" t="str">
        <f>=HYPERLINK("https://upbox.ajobthing.my/customer/203586", "https://upbox.ajobthing.my/customer/203586")</f>
        <v>https://upbox.ajobthing.my/customer/203586</v>
      </c>
      <c r="I1229" t="inlineStr">
        <is>
          <t>Destinasi Media Sdn Bhd</t>
        </is>
      </c>
      <c r="J1229" t="inlineStr">
        <is>
          <t>Small Fish</t>
        </is>
      </c>
      <c r="K1229" t="inlineStr">
        <is>
          <t>Fariz</t>
        </is>
      </c>
      <c r="L1229" s="4"/>
      <c r="M1229" s="4">
        <v>46135.62747685185</v>
      </c>
      <c r="N1229"/>
      <c r="O1229">
        <v>3888</v>
      </c>
      <c r="P1229" s="4"/>
      <c r="Q1229" s="4"/>
      <c r="R1229"/>
      <c r="S1229"/>
      <c r="T1229" s="4"/>
      <c r="U1229" s="4"/>
      <c r="V1229"/>
      <c r="W1229"/>
      <c r="X1229"/>
      <c r="Y1229" t="inlineStr">
        <is>
          <t>Pending Appointment</t>
        </is>
      </c>
      <c r="Z1229" t="inlineStr">
        <is>
          <t>Hiring Later</t>
        </is>
      </c>
      <c r="AA1229">
        <v>3</v>
      </c>
      <c r="AB1229" t="inlineStr">
        <is>
          <t>No Appointment Made</t>
        </is>
      </c>
      <c r="AC1229"/>
      <c r="AD1229" t="inlineStr">
        <is>
          <t>1 junior editor, 1 junior cameraman, 1 assistant producer</t>
        </is>
      </c>
      <c r="AE1229"/>
      <c r="AF1229">
        <v>3600</v>
      </c>
      <c r="AG1229" s="4"/>
      <c r="AH1229" s="4"/>
      <c r="AI1229">
        <v>4000</v>
      </c>
      <c r="AJ1229"/>
      <c r="AK1229" t="inlineStr">
        <is>
          <t>No, but I want in future</t>
        </is>
      </c>
      <c r="AL1229">
        <v>1</v>
      </c>
      <c r="AM1229" t="inlineStr">
        <is>
          <t>No, but I want in future</t>
        </is>
      </c>
      <c r="AN1229"/>
      <c r="AO1229" t="inlineStr">
        <is>
          <t>No, but I want in future</t>
        </is>
      </c>
      <c r="AP1229" t="inlineStr">
        <is>
          <t>Twice a year (50%)</t>
        </is>
      </c>
      <c r="AQ1229">
        <v>3</v>
      </c>
      <c r="AR1229" t="inlineStr">
        <is>
          <t>Did not use any job portal</t>
        </is>
      </c>
      <c r="AS1229" t="inlineStr">
        <is>
          <t>- Headcount: 3
- Hiring Job Details: 1 junior editor, 1 junior cameraman, 1 assistant producer
- Hiring Urgency: Hiring Later
- Number of outlets: 
- Have recruiter team: No, but want in future
- Number of recruiter in company: 1
- Have ATS system: No, but want in future
- Have career website: No, but want in future
- Current hiring budget: RM3,600
- Whole year budget: RM4,000.00
- Whole year number of vacancies: 3
- Hiring frequency: Twice a year (50%)
- External job portal: Did not use any job portal</t>
        </is>
      </c>
      <c r="AT1229">
        <v>105</v>
      </c>
      <c r="AU1229" t="inlineStr">
        <is>
          <t>1.05</t>
        </is>
      </c>
      <c r="AV1229" t="inlineStr">
        <is>
          <t>15</t>
        </is>
      </c>
      <c r="AW1229" t="inlineStr">
        <is>
          <t>0</t>
        </is>
      </c>
      <c r="AX1229" t="inlineStr">
        <is>
          <t>Not Qualified</t>
        </is>
      </c>
      <c r="AY1229" s="4"/>
      <c r="AZ1229"/>
      <c r="BA1229"/>
      <c r="BB1229"/>
      <c r="BC1229" t="inlineStr">
        <is>
          <t>update from her bos, said currently they not proceed as they dont need that kind of packages and the price are to high. maybe will need ala carte package in future.</t>
        </is>
      </c>
      <c r="BD1229" s="4">
        <v>46141.45761574074</v>
      </c>
      <c r="BE1229"/>
      <c r="BF1229"/>
      <c r="BG1229" t="inlineStr">
        <is>
          <t>Reschedule</t>
        </is>
      </c>
      <c r="BH1229" t="inlineStr">
        <is>
          <t>Edward Hoo</t>
        </is>
      </c>
      <c r="BI1229"/>
      <c r="BJ1229" s="4">
        <v>46144.75435185185</v>
      </c>
      <c r="BK1229" s="4">
        <v>46135.62328703704</v>
      </c>
      <c r="BL1229" t="inlineStr">
        <is>
          <t>0.0</t>
        </is>
      </c>
      <c r="BM1229" t="inlineStr">
        <is>
          <t>0.0</t>
        </is>
      </c>
      <c r="BN1229"/>
      <c r="BO1229" s="4"/>
      <c r="BP1229">
        <v>168588</v>
      </c>
      <c r="BQ1229"/>
      <c r="BR1229"/>
      <c r="BS1229"/>
      <c r="BT1229"/>
      <c r="BU1229"/>
      <c r="BV1229">
        <v>2734558</v>
      </c>
      <c r="BW1229" t="inlineStr">
        <is>
          <t>Follow Up : Budget Concern</t>
        </is>
      </c>
      <c r="BX1229"/>
      <c r="BY1229"/>
      <c r="BZ1229" s="4"/>
      <c r="CA1229"/>
      <c r="CB1229"/>
      <c r="CC1229" s="4"/>
      <c r="CD1229" t="inlineStr">
        <is>
          <t>20</t>
        </is>
      </c>
      <c r="CE1229" t="inlineStr">
        <is>
          <t>0</t>
        </is>
      </c>
      <c r="CF1229" t="inlineStr">
        <is>
          <t>Q2-W03</t>
        </is>
      </c>
      <c r="CG1229"/>
      <c r="CH1229"/>
      <c r="CI1229"/>
      <c r="CJ1229" t="inlineStr">
        <is>
          <t>No Paid</t>
        </is>
      </c>
      <c r="CK1229" t="inlineStr">
        <is>
          <t>Not Eligible</t>
        </is>
      </c>
      <c r="CL1229"/>
      <c r="CM1229"/>
    </row>
    <row r="1230" ht="25.5" customHeight="1">
      <c r="A1230" t="inlineStr">
        <is>
          <t>119407</t>
        </is>
      </c>
      <c r="B1230" s="2"/>
      <c r="C1230"/>
      <c r="D1230" s="3">
        <v>46135.627118055556</v>
      </c>
      <c r="E1230" t="inlineStr">
        <is>
          <t>Q2-W03</t>
        </is>
      </c>
      <c r="F1230" t="inlineStr">
        <is>
          <t>Luqman</t>
        </is>
      </c>
      <c r="G1230" t="inlineStr">
        <is>
          <t>Customer</t>
        </is>
      </c>
      <c r="H1230" s="2" t="str">
        <f>=HYPERLINK("https://upbox.ajobthing.my/customer/119407", "https://upbox.ajobthing.my/customer/119407")</f>
        <v>https://upbox.ajobthing.my/customer/119407</v>
      </c>
      <c r="I1230" t="inlineStr">
        <is>
          <t>Klinik Menara</t>
        </is>
      </c>
      <c r="J1230" t="inlineStr">
        <is>
          <t>Small Fish</t>
        </is>
      </c>
      <c r="K1230" t="inlineStr">
        <is>
          <t>Luqman</t>
        </is>
      </c>
      <c r="L1230" s="4"/>
      <c r="M1230" s="4">
        <v>46135.62725694444</v>
      </c>
      <c r="N1230"/>
      <c r="O1230">
        <v>6048</v>
      </c>
      <c r="P1230" s="4"/>
      <c r="Q1230" s="4">
        <v>43636.594247685185</v>
      </c>
      <c r="R1230"/>
      <c r="S1230">
        <v>530</v>
      </c>
      <c r="T1230" s="4">
        <v>43636.594247685185</v>
      </c>
      <c r="U1230" s="4"/>
      <c r="V1230"/>
      <c r="W1230">
        <v>530</v>
      </c>
      <c r="X1230"/>
      <c r="Y1230" t="inlineStr">
        <is>
          <t>Pending Appointment</t>
        </is>
      </c>
      <c r="Z1230" t="inlineStr">
        <is>
          <t>Hiring Later</t>
        </is>
      </c>
      <c r="AA1230">
        <v>1</v>
      </c>
      <c r="AB1230" t="inlineStr">
        <is>
          <t>No Appointment Made</t>
        </is>
      </c>
      <c r="AC1230"/>
      <c r="AD1230" t="inlineStr">
        <is>
          <t xml:space="preserve">1. Clinic assistant </t>
        </is>
      </c>
      <c r="AE1230"/>
      <c r="AF1230">
        <v>1200</v>
      </c>
      <c r="AG1230" s="4"/>
      <c r="AH1230" s="4"/>
      <c r="AI1230">
        <v>1200</v>
      </c>
      <c r="AJ1230"/>
      <c r="AK1230" t="inlineStr">
        <is>
          <t>Yes, I have</t>
        </is>
      </c>
      <c r="AL1230">
        <v>2</v>
      </c>
      <c r="AM1230" t="inlineStr">
        <is>
          <t>No, I don't need at all</t>
        </is>
      </c>
      <c r="AN1230"/>
      <c r="AO1230" t="inlineStr">
        <is>
          <t>Yes, I have</t>
        </is>
      </c>
      <c r="AP1230" t="inlineStr">
        <is>
          <t>Once a year (25%)</t>
        </is>
      </c>
      <c r="AQ1230">
        <v>3</v>
      </c>
      <c r="AR1230" t="inlineStr">
        <is>
          <t>Jobstreet, Free Job Portal</t>
        </is>
      </c>
      <c r="AS1230" t="inlineStr">
        <is>
          <t>- Headcount: 1
- Hiring Job Details: 1 clinic assistant
- Hiring Urgency: Hiring Later
- Number of outlets: 
- Have recruiter team: Yes
- Number of recruiter in company: 2
- Have ATS system: No, I don't need at all
- Have career website: Yes
- Current hiring budget: RM1,200
- Whole year budget: RM1,200.00
- Whole year number of vacancies: 3
- Hiring frequency: Once a year (25%)
- External job portal: Jobstreet, Free Job Portal</t>
        </is>
      </c>
      <c r="AT1230">
        <v>105</v>
      </c>
      <c r="AU1230" t="inlineStr">
        <is>
          <t>1.05</t>
        </is>
      </c>
      <c r="AV1230" t="inlineStr">
        <is>
          <t>15</t>
        </is>
      </c>
      <c r="AW1230" t="inlineStr">
        <is>
          <t>0</t>
        </is>
      </c>
      <c r="AX1230" t="inlineStr">
        <is>
          <t>Not Qualified</t>
        </is>
      </c>
      <c r="AY1230" s="4"/>
      <c r="AZ1230"/>
      <c r="BA1230"/>
      <c r="BB1230"/>
      <c r="BC1230" t="inlineStr">
        <is>
          <t>Business utilize indeed and free portal</t>
        </is>
      </c>
      <c r="BD1230" s="4">
        <v>46142.620625</v>
      </c>
      <c r="BE1230" t="inlineStr">
        <is>
          <t>paid</t>
        </is>
      </c>
      <c r="BF1230"/>
      <c r="BG1230" t="inlineStr">
        <is>
          <t>Reschedule</t>
        </is>
      </c>
      <c r="BH1230" t="inlineStr">
        <is>
          <t>Edward Hoo</t>
        </is>
      </c>
      <c r="BI1230" t="inlineStr">
        <is>
          <t>Healthcare / Medical</t>
        </is>
      </c>
      <c r="BJ1230" s="4">
        <v>46144.750231481485</v>
      </c>
      <c r="BK1230" s="4">
        <v>43636.42434027778</v>
      </c>
      <c r="BL1230" t="inlineStr">
        <is>
          <t>0.0</t>
        </is>
      </c>
      <c r="BM1230" t="inlineStr">
        <is>
          <t>600.0</t>
        </is>
      </c>
      <c r="BN1230" t="inlineStr">
        <is>
          <t>View Jobmanager Page</t>
        </is>
      </c>
      <c r="BO1230" s="4">
        <v>44000.43771990741</v>
      </c>
      <c r="BP1230">
        <v>168587</v>
      </c>
      <c r="BQ1230">
        <v>18454</v>
      </c>
      <c r="BR1230" t="inlineStr">
        <is>
          <t>Online</t>
        </is>
      </c>
      <c r="BS1230"/>
      <c r="BT1230">
        <v>18454</v>
      </c>
      <c r="BU1230"/>
      <c r="BV1230">
        <v>2737815</v>
      </c>
      <c r="BW1230" t="inlineStr">
        <is>
          <t>Follow Up : Lost - Free Portal</t>
        </is>
      </c>
      <c r="BX1230"/>
      <c r="BY1230"/>
      <c r="BZ1230" s="4"/>
      <c r="CA1230"/>
      <c r="CB1230"/>
      <c r="CC1230" s="4"/>
      <c r="CD1230" t="inlineStr">
        <is>
          <t>20</t>
        </is>
      </c>
      <c r="CE1230" t="inlineStr">
        <is>
          <t>0</t>
        </is>
      </c>
      <c r="CF1230" t="inlineStr">
        <is>
          <t>Q2-W03</t>
        </is>
      </c>
      <c r="CG1230"/>
      <c r="CH1230"/>
      <c r="CI1230"/>
      <c r="CJ1230" t="inlineStr">
        <is>
          <t>Paid</t>
        </is>
      </c>
      <c r="CK1230" t="inlineStr">
        <is>
          <t>Not Eligible</t>
        </is>
      </c>
      <c r="CL1230"/>
      <c r="CM1230"/>
    </row>
    <row r="1231" ht="25.5" customHeight="1">
      <c r="A1231" t="inlineStr">
        <is>
          <t>147848</t>
        </is>
      </c>
      <c r="B1231" s="2"/>
      <c r="C1231"/>
      <c r="D1231" s="3">
        <v>46135.62873842593</v>
      </c>
      <c r="E1231" t="inlineStr">
        <is>
          <t>Q2-W03</t>
        </is>
      </c>
      <c r="F1231" t="inlineStr">
        <is>
          <t>Alan KY</t>
        </is>
      </c>
      <c r="G1231" t="inlineStr">
        <is>
          <t>Customer</t>
        </is>
      </c>
      <c r="H1231" s="2" t="str">
        <f>=HYPERLINK("https://upbox.ajobthing.my/customer/147848", "https://upbox.ajobthing.my/customer/147848")</f>
        <v>https://upbox.ajobthing.my/customer/147848</v>
      </c>
      <c r="I1231" t="inlineStr">
        <is>
          <t>Auraprima Marketing Sdn Bhd</t>
        </is>
      </c>
      <c r="J1231" t="inlineStr">
        <is>
          <t>Small Fish</t>
        </is>
      </c>
      <c r="K1231" t="inlineStr">
        <is>
          <t>Alan KY</t>
        </is>
      </c>
      <c r="L1231" s="4"/>
      <c r="M1231" s="4">
        <v>46135.41960648148</v>
      </c>
      <c r="N1231"/>
      <c r="O1231">
        <v>3888</v>
      </c>
      <c r="P1231" s="4"/>
      <c r="Q1231" s="4"/>
      <c r="R1231"/>
      <c r="S1231"/>
      <c r="T1231" s="4"/>
      <c r="U1231" s="4"/>
      <c r="V1231"/>
      <c r="W1231"/>
      <c r="X1231"/>
      <c r="Y1231" t="inlineStr">
        <is>
          <t>Pending Appointment</t>
        </is>
      </c>
      <c r="Z1231" t="inlineStr">
        <is>
          <t>Hiring Now</t>
        </is>
      </c>
      <c r="AA1231">
        <v>1</v>
      </c>
      <c r="AB1231" t="inlineStr">
        <is>
          <t>No Appointment Made</t>
        </is>
      </c>
      <c r="AC1231"/>
      <c r="AD1231" t="inlineStr">
        <is>
          <t xml:space="preserve">1 live host , based in Johor </t>
        </is>
      </c>
      <c r="AE1231"/>
      <c r="AF1231"/>
      <c r="AG1231" s="4"/>
      <c r="AH1231" s="4"/>
      <c r="AI1231"/>
      <c r="AJ1231"/>
      <c r="AK1231" t="inlineStr">
        <is>
          <t>No, I don't need at all</t>
        </is>
      </c>
      <c r="AL1231"/>
      <c r="AM1231" t="inlineStr">
        <is>
          <t>No, I don't need at all</t>
        </is>
      </c>
      <c r="AN1231"/>
      <c r="AO1231" t="inlineStr">
        <is>
          <t>No, I don't need at all</t>
        </is>
      </c>
      <c r="AP1231" t="inlineStr">
        <is>
          <t>Once a year (25%)</t>
        </is>
      </c>
      <c r="AQ1231"/>
      <c r="AR1231" t="inlineStr">
        <is>
          <t>Jobstreet</t>
        </is>
      </c>
      <c r="AS1231" t="inlineStr">
        <is>
          <t>- Headcount: 1
- Hiring Job Details: 1 live host, based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is>
      </c>
      <c r="AT1231">
        <v>95</v>
      </c>
      <c r="AU1231" t="inlineStr">
        <is>
          <t>0.95</t>
        </is>
      </c>
      <c r="AV1231" t="inlineStr">
        <is>
          <t>5</t>
        </is>
      </c>
      <c r="AW1231" t="inlineStr">
        <is>
          <t>0</t>
        </is>
      </c>
      <c r="AX1231" t="inlineStr">
        <is>
          <t>Not Qualified</t>
        </is>
      </c>
      <c r="AY1231" s="4"/>
      <c r="AZ1231"/>
      <c r="BA1231"/>
      <c r="BB1231"/>
      <c r="BC1231" t="inlineStr">
        <is>
          <t>- Headcount: 1
- Hiring Job Details: 1 live host, based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Jobstreet</t>
        </is>
      </c>
      <c r="BD1231" s="4">
        <v>46135.66673611111</v>
      </c>
      <c r="BE1231"/>
      <c r="BF1231"/>
      <c r="BG1231" t="inlineStr">
        <is>
          <t>Reschedule</t>
        </is>
      </c>
      <c r="BH1231" t="inlineStr">
        <is>
          <t>Reagen</t>
        </is>
      </c>
      <c r="BI1231"/>
      <c r="BJ1231" s="4">
        <v>46144.75079861111</v>
      </c>
      <c r="BK1231" s="4">
        <v>44592.74328703704</v>
      </c>
      <c r="BL1231" t="inlineStr">
        <is>
          <t>0.0</t>
        </is>
      </c>
      <c r="BM1231" t="inlineStr">
        <is>
          <t>0.0</t>
        </is>
      </c>
      <c r="BN1231" t="inlineStr">
        <is>
          <t>View Create Job Page</t>
        </is>
      </c>
      <c r="BO1231" s="4">
        <v>44592.74885416667</v>
      </c>
      <c r="BP1231">
        <v>168441</v>
      </c>
      <c r="BQ1231"/>
      <c r="BR1231"/>
      <c r="BS1231"/>
      <c r="BT1231"/>
      <c r="BU1231"/>
      <c r="BV1231">
        <v>2724564</v>
      </c>
      <c r="BW1231" t="inlineStr">
        <is>
          <t>Customer Inquiry</t>
        </is>
      </c>
      <c r="BX1231"/>
      <c r="BY1231"/>
      <c r="BZ1231" s="4"/>
      <c r="CA1231"/>
      <c r="CB1231"/>
      <c r="CC1231" s="4"/>
      <c r="CD1231" t="inlineStr">
        <is>
          <t>5</t>
        </is>
      </c>
      <c r="CE1231" t="inlineStr">
        <is>
          <t>0</t>
        </is>
      </c>
      <c r="CF1231" t="inlineStr">
        <is>
          <t>Q2-W03</t>
        </is>
      </c>
      <c r="CG1231"/>
      <c r="CH1231"/>
      <c r="CI1231"/>
      <c r="CJ1231" t="inlineStr">
        <is>
          <t>No Paid</t>
        </is>
      </c>
      <c r="CK1231" t="inlineStr">
        <is>
          <t>Not Eligible</t>
        </is>
      </c>
      <c r="CL1231"/>
      <c r="CM1231"/>
    </row>
    <row r="1232" ht="25.5" customHeight="1">
      <c r="A1232" t="inlineStr">
        <is>
          <t>187200</t>
        </is>
      </c>
      <c r="B1232" s="2"/>
      <c r="C1232"/>
      <c r="D1232" s="3">
        <v>46135.63097222222</v>
      </c>
      <c r="E1232" t="inlineStr">
        <is>
          <t>Q2-W03</t>
        </is>
      </c>
      <c r="F1232" t="inlineStr">
        <is>
          <t>Carmen</t>
        </is>
      </c>
      <c r="G1232" t="inlineStr">
        <is>
          <t>Customer</t>
        </is>
      </c>
      <c r="H1232" s="2" t="str">
        <f>=HYPERLINK("https://upbox.ajobthing.my/customer/187200", "https://upbox.ajobthing.my/customer/187200")</f>
        <v>https://upbox.ajobthing.my/customer/187200</v>
      </c>
      <c r="I1232" t="inlineStr">
        <is>
          <t>Sas Auto @ Tyre Sdn Bhd</t>
        </is>
      </c>
      <c r="J1232" t="inlineStr">
        <is>
          <t>Small Fish</t>
        </is>
      </c>
      <c r="K1232" t="inlineStr">
        <is>
          <t>Carmen</t>
        </is>
      </c>
      <c r="L1232" s="4"/>
      <c r="M1232" s="4">
        <v>46135.63104166667</v>
      </c>
      <c r="N1232"/>
      <c r="O1232">
        <v>3888</v>
      </c>
      <c r="P1232" s="4"/>
      <c r="Q1232" s="4"/>
      <c r="R1232"/>
      <c r="S1232"/>
      <c r="T1232" s="4"/>
      <c r="U1232" s="4"/>
      <c r="V1232"/>
      <c r="W1232"/>
      <c r="X1232"/>
      <c r="Y1232" t="inlineStr">
        <is>
          <t>Pending Appointment</t>
        </is>
      </c>
      <c r="Z1232" t="inlineStr">
        <is>
          <t>Hiring Now</t>
        </is>
      </c>
      <c r="AA1232">
        <v>2.5</v>
      </c>
      <c r="AB1232" t="inlineStr">
        <is>
          <t>No Appointment Made</t>
        </is>
      </c>
      <c r="AC1232"/>
      <c r="AD1232" t="inlineStr">
        <is>
          <t>2-3 fees advisor</t>
        </is>
      </c>
      <c r="AE1232"/>
      <c r="AF1232">
        <v>0</v>
      </c>
      <c r="AG1232" s="4"/>
      <c r="AH1232" s="4"/>
      <c r="AI1232"/>
      <c r="AJ1232"/>
      <c r="AK1232"/>
      <c r="AL1232"/>
      <c r="AM1232"/>
      <c r="AN1232"/>
      <c r="AO1232"/>
      <c r="AP1232" t="inlineStr">
        <is>
          <t>Once a year (25%)</t>
        </is>
      </c>
      <c r="AQ1232"/>
      <c r="AR1232"/>
      <c r="AS1232" t="inlineStr">
        <is>
          <t>- Headcount: 2
- Hiring Job Details: 2-3 fees advisor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1232">
        <v>75</v>
      </c>
      <c r="AU1232" t="inlineStr">
        <is>
          <t>0.75</t>
        </is>
      </c>
      <c r="AV1232" t="inlineStr">
        <is>
          <t>15</t>
        </is>
      </c>
      <c r="AW1232" t="inlineStr">
        <is>
          <t>0</t>
        </is>
      </c>
      <c r="AX1232" t="inlineStr">
        <is>
          <t>Not Qualified</t>
        </is>
      </c>
      <c r="AY1232" s="4"/>
      <c r="AZ1232"/>
      <c r="BA1232"/>
      <c r="BB1232"/>
      <c r="BC1232" t="inlineStr">
        <is>
          <t>she said havent discuss with big boss, i share her the discount package</t>
        </is>
      </c>
      <c r="BD1232" s="4">
        <v>46140.713171296295</v>
      </c>
      <c r="BE1232"/>
      <c r="BF1232"/>
      <c r="BG1232" t="inlineStr">
        <is>
          <t>Reschedule</t>
        </is>
      </c>
      <c r="BH1232" t="inlineStr">
        <is>
          <t>Reagen</t>
        </is>
      </c>
      <c r="BI1232" t="inlineStr">
        <is>
          <t>Automobile / Automotive</t>
        </is>
      </c>
      <c r="BJ1232" s="4">
        <v>46144.75215277778</v>
      </c>
      <c r="BK1232" s="4">
        <v>45688.837430555555</v>
      </c>
      <c r="BL1232" t="inlineStr">
        <is>
          <t>0.0</t>
        </is>
      </c>
      <c r="BM1232" t="inlineStr">
        <is>
          <t>0.0</t>
        </is>
      </c>
      <c r="BN1232" t="inlineStr">
        <is>
          <t>View Company Page</t>
        </is>
      </c>
      <c r="BO1232" s="4">
        <v>46135.643738425926</v>
      </c>
      <c r="BP1232">
        <v>168589</v>
      </c>
      <c r="BQ1232"/>
      <c r="BR1232"/>
      <c r="BS1232"/>
      <c r="BT1232"/>
      <c r="BU1232"/>
      <c r="BV1232">
        <v>2733732</v>
      </c>
      <c r="BW1232" t="inlineStr">
        <is>
          <t>Follow Up : Decision Pending</t>
        </is>
      </c>
      <c r="BX1232"/>
      <c r="BY1232"/>
      <c r="BZ1232" s="4"/>
      <c r="CA1232"/>
      <c r="CB1232"/>
      <c r="CC1232" s="4"/>
      <c r="CD1232" t="inlineStr">
        <is>
          <t>20</t>
        </is>
      </c>
      <c r="CE1232" t="inlineStr">
        <is>
          <t>0</t>
        </is>
      </c>
      <c r="CF1232" t="inlineStr">
        <is>
          <t>Q2-W03</t>
        </is>
      </c>
      <c r="CG1232"/>
      <c r="CH1232"/>
      <c r="CI1232"/>
      <c r="CJ1232" t="inlineStr">
        <is>
          <t>No Paid</t>
        </is>
      </c>
      <c r="CK1232" t="inlineStr">
        <is>
          <t>Not Eligible</t>
        </is>
      </c>
      <c r="CL1232"/>
      <c r="CM1232"/>
    </row>
    <row r="1233" ht="25.5" customHeight="1">
      <c r="A1233" t="inlineStr">
        <is>
          <t>203589</t>
        </is>
      </c>
      <c r="B1233" s="2"/>
      <c r="C1233"/>
      <c r="D1233" s="3">
        <v>46135.64098379629</v>
      </c>
      <c r="E1233" t="inlineStr">
        <is>
          <t>Q2-W03</t>
        </is>
      </c>
      <c r="F1233" t="inlineStr">
        <is>
          <t>Fariz</t>
        </is>
      </c>
      <c r="G1233" t="inlineStr">
        <is>
          <t>Customer</t>
        </is>
      </c>
      <c r="H1233" s="2" t="str">
        <f>=HYPERLINK("https://upbox.ajobthing.my/customer/203589", "https://upbox.ajobthing.my/customer/203589")</f>
        <v>https://upbox.ajobthing.my/customer/203589</v>
      </c>
      <c r="I1233" t="inlineStr">
        <is>
          <t>SMV GLOBAL ACADEMY (M) SDN BHD</t>
        </is>
      </c>
      <c r="J1233" t="inlineStr">
        <is>
          <t>Small Fish</t>
        </is>
      </c>
      <c r="K1233" t="inlineStr">
        <is>
          <t>Fariz</t>
        </is>
      </c>
      <c r="L1233" s="4"/>
      <c r="M1233" s="4">
        <v>46135.64135416667</v>
      </c>
      <c r="N1233"/>
      <c r="O1233">
        <v>1296</v>
      </c>
      <c r="P1233" s="4"/>
      <c r="Q1233" s="4"/>
      <c r="R1233"/>
      <c r="S1233"/>
      <c r="T1233" s="4"/>
      <c r="U1233" s="4"/>
      <c r="V1233"/>
      <c r="W1233"/>
      <c r="X1233"/>
      <c r="Y1233" t="inlineStr">
        <is>
          <t>Pending Appointment</t>
        </is>
      </c>
      <c r="Z1233" t="inlineStr">
        <is>
          <t>Hiring Later</t>
        </is>
      </c>
      <c r="AA1233">
        <v>1</v>
      </c>
      <c r="AB1233" t="inlineStr">
        <is>
          <t>No Appointment Made</t>
        </is>
      </c>
      <c r="AC1233"/>
      <c r="AD1233" t="inlineStr">
        <is>
          <t>1 marketing</t>
        </is>
      </c>
      <c r="AE1233"/>
      <c r="AF1233">
        <v>1200</v>
      </c>
      <c r="AG1233" s="4"/>
      <c r="AH1233" s="4"/>
      <c r="AI1233">
        <v>1000</v>
      </c>
      <c r="AJ1233"/>
      <c r="AK1233" t="inlineStr">
        <is>
          <t>No, but I want in future</t>
        </is>
      </c>
      <c r="AL1233">
        <v>0</v>
      </c>
      <c r="AM1233" t="inlineStr">
        <is>
          <t>No, but I want in future</t>
        </is>
      </c>
      <c r="AN1233"/>
      <c r="AO1233" t="inlineStr">
        <is>
          <t>No, but I want in future</t>
        </is>
      </c>
      <c r="AP1233" t="inlineStr">
        <is>
          <t>Once a year (25%)</t>
        </is>
      </c>
      <c r="AQ1233">
        <v>1</v>
      </c>
      <c r="AR1233" t="inlineStr">
        <is>
          <t>Did not use any job portal</t>
        </is>
      </c>
      <c r="AS1233" t="inlineStr">
        <is>
          <t>- Headcount: 1
- Hiring Job Details: 1 marketing
- Hiring Urgency: Hiring Later
- Number of outlets: 
- Have recruiter team: No, but want in future
- Number of recruiter in company: 0
- Have ATS system: No, but want in future
- Have career website: No, but want in future
- Current hiring budget: RM1,200
- Whole year budget: RM1,000.00
- Whole year number of vacancies: 1
- Hiring frequency: Once a year (25%)
- External job portal: Did not use any job portal</t>
        </is>
      </c>
      <c r="AT1233">
        <v>105</v>
      </c>
      <c r="AU1233" t="inlineStr">
        <is>
          <t>1.05</t>
        </is>
      </c>
      <c r="AV1233" t="inlineStr">
        <is>
          <t>15</t>
        </is>
      </c>
      <c r="AW1233" t="inlineStr">
        <is>
          <t>0</t>
        </is>
      </c>
      <c r="AX1233" t="inlineStr">
        <is>
          <t>Not Qualified</t>
        </is>
      </c>
      <c r="AY1233" s="4"/>
      <c r="AZ1233"/>
      <c r="BA1233"/>
      <c r="BB1233"/>
      <c r="BC1233" t="inlineStr">
        <is>
          <t>she said on price part then busy. she drop call - cb</t>
        </is>
      </c>
      <c r="BD1233" s="4">
        <v>46142.63246527778</v>
      </c>
      <c r="BE1233"/>
      <c r="BF1233"/>
      <c r="BG1233" t="inlineStr">
        <is>
          <t>Reschedule</t>
        </is>
      </c>
      <c r="BH1233" t="inlineStr">
        <is>
          <t>Edward Hoo</t>
        </is>
      </c>
      <c r="BI1233"/>
      <c r="BJ1233" s="4">
        <v>46144.75435185185</v>
      </c>
      <c r="BK1233" s="4">
        <v>46135.63921296296</v>
      </c>
      <c r="BL1233" t="inlineStr">
        <is>
          <t>0.0</t>
        </is>
      </c>
      <c r="BM1233" t="inlineStr">
        <is>
          <t>0.0</t>
        </is>
      </c>
      <c r="BN1233"/>
      <c r="BO1233" s="4"/>
      <c r="BP1233">
        <v>168593</v>
      </c>
      <c r="BQ1233"/>
      <c r="BR1233"/>
      <c r="BS1233"/>
      <c r="BT1233"/>
      <c r="BU1233"/>
      <c r="BV1233">
        <v>2737905</v>
      </c>
      <c r="BW1233" t="inlineStr">
        <is>
          <t>Follow Up : Budget Concern</t>
        </is>
      </c>
      <c r="BX1233"/>
      <c r="BY1233"/>
      <c r="BZ1233" s="4"/>
      <c r="CA1233"/>
      <c r="CB1233"/>
      <c r="CC1233" s="4"/>
      <c r="CD1233" t="inlineStr">
        <is>
          <t>20</t>
        </is>
      </c>
      <c r="CE1233" t="inlineStr">
        <is>
          <t>0</t>
        </is>
      </c>
      <c r="CF1233" t="inlineStr">
        <is>
          <t>Q2-W03</t>
        </is>
      </c>
      <c r="CG1233"/>
      <c r="CH1233"/>
      <c r="CI1233"/>
      <c r="CJ1233" t="inlineStr">
        <is>
          <t>No Paid</t>
        </is>
      </c>
      <c r="CK1233" t="inlineStr">
        <is>
          <t>Not Eligible</t>
        </is>
      </c>
      <c r="CL1233"/>
      <c r="CM1233"/>
    </row>
    <row r="1234" ht="25.5" customHeight="1">
      <c r="A1234" t="inlineStr">
        <is>
          <t>202843</t>
        </is>
      </c>
      <c r="B1234" s="2"/>
      <c r="C1234"/>
      <c r="D1234" s="3">
        <v>46135.6472337963</v>
      </c>
      <c r="E1234" t="inlineStr">
        <is>
          <t>Q2-W03</t>
        </is>
      </c>
      <c r="F1234" t="inlineStr">
        <is>
          <t>Clover</t>
        </is>
      </c>
      <c r="G1234" t="inlineStr">
        <is>
          <t>Customer</t>
        </is>
      </c>
      <c r="H1234" s="2" t="str">
        <f>=HYPERLINK("https://upbox.ajobthing.my/customer/202843", "https://upbox.ajobthing.my/customer/202843")</f>
        <v>https://upbox.ajobthing.my/customer/202843</v>
      </c>
      <c r="I1234" t="inlineStr">
        <is>
          <t>AirPro Cooling System</t>
        </is>
      </c>
      <c r="J1234" t="inlineStr">
        <is>
          <t>Small Fish</t>
        </is>
      </c>
      <c r="K1234" t="inlineStr">
        <is>
          <t>Clover</t>
        </is>
      </c>
      <c r="L1234" s="4"/>
      <c r="M1234" s="4">
        <v>46140.68958333333</v>
      </c>
      <c r="N1234"/>
      <c r="O1234">
        <v>3576.96</v>
      </c>
      <c r="P1234" s="4"/>
      <c r="Q1234" s="4"/>
      <c r="R1234"/>
      <c r="S1234"/>
      <c r="T1234" s="4"/>
      <c r="U1234" s="4"/>
      <c r="V1234"/>
      <c r="W1234"/>
      <c r="X1234"/>
      <c r="Y1234" t="inlineStr">
        <is>
          <t>Pending Appointment</t>
        </is>
      </c>
      <c r="Z1234" t="inlineStr">
        <is>
          <t>Hiring Later</t>
        </is>
      </c>
      <c r="AA1234">
        <v>2</v>
      </c>
      <c r="AB1234" t="inlineStr">
        <is>
          <t>No Appointment Made</t>
        </is>
      </c>
      <c r="AC1234"/>
      <c r="AD1234" t="inlineStr">
        <is>
          <t>Call office 0105089010 Mr Ali staff,  ask call 201173023403 Ms Shahin Bos , future hire for lorry driver x1-2, all races, GDL license, future new branch Johor, suggest pro, wa 0105089010 Mr Ali staff</t>
        </is>
      </c>
      <c r="AE1234"/>
      <c r="AF1234">
        <v>3000</v>
      </c>
      <c r="AG1234" s="4"/>
      <c r="AH1234" s="4"/>
      <c r="AI1234">
        <v>3000</v>
      </c>
      <c r="AJ1234">
        <v>1</v>
      </c>
      <c r="AK1234" t="inlineStr">
        <is>
          <t>No, but I want in future</t>
        </is>
      </c>
      <c r="AL1234">
        <v>1</v>
      </c>
      <c r="AM1234" t="inlineStr">
        <is>
          <t>No, but I want in future</t>
        </is>
      </c>
      <c r="AN1234"/>
      <c r="AO1234" t="inlineStr">
        <is>
          <t>No, but I want in future</t>
        </is>
      </c>
      <c r="AP1234" t="inlineStr">
        <is>
          <t>Twice a year (50%)</t>
        </is>
      </c>
      <c r="AQ1234">
        <v>2</v>
      </c>
      <c r="AR1234" t="inlineStr">
        <is>
          <t>Did not use any job portal</t>
        </is>
      </c>
      <c r="AS1234" t="inlineStr">
        <is>
          <t>- Headcount: 2
- Hiring Job Details: Lorry driver (1-2), all races, GDL license, for future Johor branch; contact via Mr Ali (0105089010/WA) or Ms Shahin Bos (201173023403)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None used</t>
        </is>
      </c>
      <c r="AT1234">
        <v>115</v>
      </c>
      <c r="AU1234" t="inlineStr">
        <is>
          <t>1.15</t>
        </is>
      </c>
      <c r="AV1234" t="inlineStr">
        <is>
          <t>15</t>
        </is>
      </c>
      <c r="AW1234" t="inlineStr">
        <is>
          <t>0</t>
        </is>
      </c>
      <c r="AX1234" t="inlineStr">
        <is>
          <t>Not Qualified</t>
        </is>
      </c>
      <c r="AY1234" s="4"/>
      <c r="AZ1234"/>
      <c r="BA1234"/>
      <c r="BB1234"/>
      <c r="BC1234" t="inlineStr">
        <is>
          <t>Pending management update, share stand dis 288, create urgency</t>
        </is>
      </c>
      <c r="BD1234" s="4">
        <v>46140.69280092593</v>
      </c>
      <c r="BE1234"/>
      <c r="BF1234"/>
      <c r="BG1234" t="inlineStr">
        <is>
          <t>Reschedule</t>
        </is>
      </c>
      <c r="BH1234" t="inlineStr">
        <is>
          <t>Reagen</t>
        </is>
      </c>
      <c r="BI1234"/>
      <c r="BJ1234" s="4">
        <v>46144.75414351852</v>
      </c>
      <c r="BK1234" s="4">
        <v>46118.47883101852</v>
      </c>
      <c r="BL1234" t="inlineStr">
        <is>
          <t>0.0</t>
        </is>
      </c>
      <c r="BM1234" t="inlineStr">
        <is>
          <t>0.0</t>
        </is>
      </c>
      <c r="BN1234"/>
      <c r="BO1234" s="4"/>
      <c r="BP1234">
        <v>169329</v>
      </c>
      <c r="BQ1234"/>
      <c r="BR1234"/>
      <c r="BS1234"/>
      <c r="BT1234"/>
      <c r="BU1234"/>
      <c r="BV1234">
        <v>2733508</v>
      </c>
      <c r="BW1234" t="inlineStr">
        <is>
          <t>Follow Up : Quotation Sent 50%</t>
        </is>
      </c>
      <c r="BX1234"/>
      <c r="BY1234"/>
      <c r="BZ1234" s="4"/>
      <c r="CA1234"/>
      <c r="CB1234"/>
      <c r="CC1234" s="4"/>
      <c r="CD1234" t="inlineStr">
        <is>
          <t>20</t>
        </is>
      </c>
      <c r="CE1234" t="inlineStr">
        <is>
          <t>0</t>
        </is>
      </c>
      <c r="CF1234" t="inlineStr">
        <is>
          <t>Q2-W04</t>
        </is>
      </c>
      <c r="CG1234"/>
      <c r="CH1234"/>
      <c r="CI1234"/>
      <c r="CJ1234" t="inlineStr">
        <is>
          <t>No Paid</t>
        </is>
      </c>
      <c r="CK1234" t="inlineStr">
        <is>
          <t>Not Eligible</t>
        </is>
      </c>
      <c r="CL1234"/>
      <c r="CM1234"/>
    </row>
    <row r="1235" ht="25.5" customHeight="1">
      <c r="A1235" t="inlineStr">
        <is>
          <t>122452</t>
        </is>
      </c>
      <c r="B1235" s="2"/>
      <c r="C1235"/>
      <c r="D1235" s="3">
        <v>46135.654074074075</v>
      </c>
      <c r="E1235" t="inlineStr">
        <is>
          <t>Q2-W03</t>
        </is>
      </c>
      <c r="F1235" t="inlineStr">
        <is>
          <t>Keegan</t>
        </is>
      </c>
      <c r="G1235" t="inlineStr">
        <is>
          <t>Customer</t>
        </is>
      </c>
      <c r="H1235" s="2" t="str">
        <f>=HYPERLINK("https://upbox.ajobthing.my/customer/122452", "https://upbox.ajobthing.my/customer/122452")</f>
        <v>https://upbox.ajobthing.my/customer/122452</v>
      </c>
      <c r="I1235" t="inlineStr">
        <is>
          <t>Madex Group</t>
        </is>
      </c>
      <c r="J1235" t="inlineStr">
        <is>
          <t>Small Fish</t>
        </is>
      </c>
      <c r="K1235" t="inlineStr">
        <is>
          <t>Keegan</t>
        </is>
      </c>
      <c r="L1235" s="4"/>
      <c r="M1235" s="4">
        <v>46135.65416666667</v>
      </c>
      <c r="N1235"/>
      <c r="O1235">
        <v>6048</v>
      </c>
      <c r="P1235" s="4"/>
      <c r="Q1235" s="4">
        <v>45092.24023148148</v>
      </c>
      <c r="R1235"/>
      <c r="S1235">
        <v>318</v>
      </c>
      <c r="T1235" s="4">
        <v>44910.43079861111</v>
      </c>
      <c r="U1235" s="4"/>
      <c r="V1235"/>
      <c r="W1235">
        <v>212</v>
      </c>
      <c r="X1235"/>
      <c r="Y1235" t="inlineStr">
        <is>
          <t>Pending Appointment</t>
        </is>
      </c>
      <c r="Z1235" t="inlineStr">
        <is>
          <t>Hiring Now</t>
        </is>
      </c>
      <c r="AA1235">
        <v>3</v>
      </c>
      <c r="AB1235" t="inlineStr">
        <is>
          <t>No Appointment Made</t>
        </is>
      </c>
      <c r="AC1235"/>
      <c r="AD1235" t="inlineStr">
        <is>
          <t xml:space="preserve">1. Digital Marketing 
2. Admin
3. Editor </t>
        </is>
      </c>
      <c r="AE1235"/>
      <c r="AF1235"/>
      <c r="AG1235" s="4"/>
      <c r="AH1235" s="4"/>
      <c r="AI1235"/>
      <c r="AJ1235">
        <v>1</v>
      </c>
      <c r="AK1235" t="inlineStr">
        <is>
          <t>No, I don't need at all</t>
        </is>
      </c>
      <c r="AL1235">
        <v>0</v>
      </c>
      <c r="AM1235" t="inlineStr">
        <is>
          <t>No, I don't need at all</t>
        </is>
      </c>
      <c r="AN1235"/>
      <c r="AO1235" t="inlineStr">
        <is>
          <t>No, I don't need at all</t>
        </is>
      </c>
      <c r="AP1235" t="inlineStr">
        <is>
          <t>Once per quarter (75%)</t>
        </is>
      </c>
      <c r="AQ1235"/>
      <c r="AR1235" t="inlineStr">
        <is>
          <t>Did not use any job portal</t>
        </is>
      </c>
      <c r="AS1235" t="inlineStr">
        <is>
          <t>- Headcount: 3
- Hiring Job Details: 1. Digital Marketing 2. Admin 3. Editor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235">
        <v>65</v>
      </c>
      <c r="AU1235" t="inlineStr">
        <is>
          <t>0.65</t>
        </is>
      </c>
      <c r="AV1235" t="inlineStr">
        <is>
          <t>5</t>
        </is>
      </c>
      <c r="AW1235" t="inlineStr">
        <is>
          <t>0</t>
        </is>
      </c>
      <c r="AX1235" t="inlineStr">
        <is>
          <t>Not Qualified</t>
        </is>
      </c>
      <c r="AY1235" s="4"/>
      <c r="AZ1235"/>
      <c r="BA1235"/>
      <c r="BB1235"/>
      <c r="BC1235" t="inlineStr">
        <is>
          <t>no decision yet</t>
        </is>
      </c>
      <c r="BD1235" s="4">
        <v>46141.694548611114</v>
      </c>
      <c r="BE1235" t="inlineStr">
        <is>
          <t>pending</t>
        </is>
      </c>
      <c r="BF1235"/>
      <c r="BG1235" t="inlineStr">
        <is>
          <t>Reschedule</t>
        </is>
      </c>
      <c r="BH1235" t="inlineStr">
        <is>
          <t>Edward Hoo</t>
        </is>
      </c>
      <c r="BI1235" t="inlineStr">
        <is>
          <t>IT / Software</t>
        </is>
      </c>
      <c r="BJ1235" s="4">
        <v>46144.750289351854</v>
      </c>
      <c r="BK1235" s="4">
        <v>43753.943090277775</v>
      </c>
      <c r="BL1235" t="inlineStr">
        <is>
          <t>0.0</t>
        </is>
      </c>
      <c r="BM1235" t="inlineStr">
        <is>
          <t>0.0</t>
        </is>
      </c>
      <c r="BN1235" t="inlineStr">
        <is>
          <t>View Company Page</t>
        </is>
      </c>
      <c r="BO1235" s="4">
        <v>46059.307025462964</v>
      </c>
      <c r="BP1235">
        <v>168602</v>
      </c>
      <c r="BQ1235">
        <v>77120</v>
      </c>
      <c r="BR1235" t="inlineStr">
        <is>
          <t>Proforma</t>
        </is>
      </c>
      <c r="BS1235" t="inlineStr">
        <is>
          <t>A la carte</t>
        </is>
      </c>
      <c r="BT1235">
        <v>53663</v>
      </c>
      <c r="BU1235"/>
      <c r="BV1235">
        <v>2735955</v>
      </c>
      <c r="BW1235" t="inlineStr">
        <is>
          <t>Follow Up : Decision Pending</t>
        </is>
      </c>
      <c r="BX1235"/>
      <c r="BY1235"/>
      <c r="BZ1235" s="4"/>
      <c r="CA1235"/>
      <c r="CB1235"/>
      <c r="CC1235" s="4"/>
      <c r="CD1235" t="inlineStr">
        <is>
          <t>5</t>
        </is>
      </c>
      <c r="CE1235" t="inlineStr">
        <is>
          <t>0</t>
        </is>
      </c>
      <c r="CF1235" t="inlineStr">
        <is>
          <t>Q2-W03</t>
        </is>
      </c>
      <c r="CG1235"/>
      <c r="CH1235"/>
      <c r="CI1235"/>
      <c r="CJ1235" t="inlineStr">
        <is>
          <t>Paid</t>
        </is>
      </c>
      <c r="CK1235" t="inlineStr">
        <is>
          <t>Not Eligible</t>
        </is>
      </c>
      <c r="CL1235"/>
      <c r="CM1235"/>
    </row>
    <row r="1236" ht="25.5" customHeight="1">
      <c r="A1236" t="inlineStr">
        <is>
          <t>203582</t>
        </is>
      </c>
      <c r="B1236" s="2"/>
      <c r="C1236"/>
      <c r="D1236" s="3">
        <v>46135.659108796295</v>
      </c>
      <c r="E1236" t="inlineStr">
        <is>
          <t>Q2-W03</t>
        </is>
      </c>
      <c r="F1236" t="inlineStr">
        <is>
          <t>Alan KY</t>
        </is>
      </c>
      <c r="G1236" t="inlineStr">
        <is>
          <t>Customer</t>
        </is>
      </c>
      <c r="H1236" s="2" t="str">
        <f>=HYPERLINK("https://upbox.ajobthing.my/customer/203582", "https://upbox.ajobthing.my/customer/203582")</f>
        <v>https://upbox.ajobthing.my/customer/203582</v>
      </c>
      <c r="I1236" t="inlineStr">
        <is>
          <t xml:space="preserve">Inno Chem </t>
        </is>
      </c>
      <c r="J1236" t="inlineStr">
        <is>
          <t>Small Fish</t>
        </is>
      </c>
      <c r="K1236" t="inlineStr">
        <is>
          <t>Alan KY</t>
        </is>
      </c>
      <c r="L1236" s="4"/>
      <c r="M1236" s="4">
        <v>46135.65783564815</v>
      </c>
      <c r="N1236"/>
      <c r="O1236">
        <v>3888</v>
      </c>
      <c r="P1236" s="4"/>
      <c r="Q1236" s="4"/>
      <c r="R1236"/>
      <c r="S1236"/>
      <c r="T1236" s="4"/>
      <c r="U1236" s="4"/>
      <c r="V1236"/>
      <c r="W1236"/>
      <c r="X1236"/>
      <c r="Y1236" t="inlineStr">
        <is>
          <t>Pending Appointment</t>
        </is>
      </c>
      <c r="Z1236" t="inlineStr">
        <is>
          <t>Hiring Now</t>
        </is>
      </c>
      <c r="AA1236">
        <v>2</v>
      </c>
      <c r="AB1236" t="inlineStr">
        <is>
          <t>No Appointment Made</t>
        </is>
      </c>
      <c r="AC1236"/>
      <c r="AD1236" t="inlineStr">
        <is>
          <t xml:space="preserve">1 Admin , 1 Van Driver , all Selangor </t>
        </is>
      </c>
      <c r="AE1236"/>
      <c r="AF1236"/>
      <c r="AG1236" s="4"/>
      <c r="AH1236" s="4"/>
      <c r="AI1236"/>
      <c r="AJ1236">
        <v>1</v>
      </c>
      <c r="AK1236" t="inlineStr">
        <is>
          <t>No, I don't need at all</t>
        </is>
      </c>
      <c r="AL1236"/>
      <c r="AM1236" t="inlineStr">
        <is>
          <t>No, I don't need at all</t>
        </is>
      </c>
      <c r="AN1236"/>
      <c r="AO1236" t="inlineStr">
        <is>
          <t>No, I don't need at all</t>
        </is>
      </c>
      <c r="AP1236" t="inlineStr">
        <is>
          <t>Once per quarter (75%)</t>
        </is>
      </c>
      <c r="AQ1236"/>
      <c r="AR1236" t="inlineStr">
        <is>
          <t>Jobstreet</t>
        </is>
      </c>
      <c r="AS1236" t="inlineStr">
        <is>
          <t>- Headcount: 2
- Hiring Job Details: 1 Admin, 1 Van Driver, all Selangor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236">
        <v>105</v>
      </c>
      <c r="AU1236" t="inlineStr">
        <is>
          <t>1.05</t>
        </is>
      </c>
      <c r="AV1236" t="inlineStr">
        <is>
          <t>5</t>
        </is>
      </c>
      <c r="AW1236" t="inlineStr">
        <is>
          <t>0</t>
        </is>
      </c>
      <c r="AX1236" t="inlineStr">
        <is>
          <t>Not Qualified</t>
        </is>
      </c>
      <c r="AY1236" s="4"/>
      <c r="AZ1236"/>
      <c r="BA1236"/>
      <c r="BB1236"/>
      <c r="BC1236" t="inlineStr">
        <is>
          <t>no answer, ws follow up</t>
        </is>
      </c>
      <c r="BD1236" s="4">
        <v>46139.666354166664</v>
      </c>
      <c r="BE1236"/>
      <c r="BF1236"/>
      <c r="BG1236" t="inlineStr">
        <is>
          <t>Reschedule</t>
        </is>
      </c>
      <c r="BH1236" t="inlineStr">
        <is>
          <t>Reagen</t>
        </is>
      </c>
      <c r="BI1236"/>
      <c r="BJ1236" s="4">
        <v>46144.75435185185</v>
      </c>
      <c r="BK1236" s="4">
        <v>46135.59762731481</v>
      </c>
      <c r="BL1236" t="inlineStr">
        <is>
          <t>0.0</t>
        </is>
      </c>
      <c r="BM1236" t="inlineStr">
        <is>
          <t>0.0</t>
        </is>
      </c>
      <c r="BN1236" t="inlineStr">
        <is>
          <t>User Visit(Logged In)</t>
        </is>
      </c>
      <c r="BO1236" s="4">
        <v>46135.59767361111</v>
      </c>
      <c r="BP1236">
        <v>168604</v>
      </c>
      <c r="BQ1236"/>
      <c r="BR1236"/>
      <c r="BS1236"/>
      <c r="BT1236"/>
      <c r="BU1236"/>
      <c r="BV1236">
        <v>2730705</v>
      </c>
      <c r="BW1236" t="inlineStr">
        <is>
          <t>No Answer : Voicemail - WA sent to customer</t>
        </is>
      </c>
      <c r="BX1236"/>
      <c r="BY1236"/>
      <c r="BZ1236" s="4"/>
      <c r="CA1236"/>
      <c r="CB1236"/>
      <c r="CC1236" s="4"/>
      <c r="CD1236" t="inlineStr">
        <is>
          <t>5</t>
        </is>
      </c>
      <c r="CE1236" t="inlineStr">
        <is>
          <t>0</t>
        </is>
      </c>
      <c r="CF1236" t="inlineStr">
        <is>
          <t>Q2-W03</t>
        </is>
      </c>
      <c r="CG1236"/>
      <c r="CH1236"/>
      <c r="CI1236"/>
      <c r="CJ1236" t="inlineStr">
        <is>
          <t>No Paid</t>
        </is>
      </c>
      <c r="CK1236" t="inlineStr">
        <is>
          <t>Not Eligible</t>
        </is>
      </c>
      <c r="CL1236"/>
      <c r="CM1236"/>
    </row>
    <row r="1237" ht="25.5" customHeight="1">
      <c r="A1237" t="inlineStr">
        <is>
          <t>192696</t>
        </is>
      </c>
      <c r="B1237" s="2"/>
      <c r="C1237"/>
      <c r="D1237" s="3">
        <v>46135.661261574074</v>
      </c>
      <c r="E1237" t="inlineStr">
        <is>
          <t>Q2-W03</t>
        </is>
      </c>
      <c r="F1237" t="inlineStr">
        <is>
          <t>Janice Yap</t>
        </is>
      </c>
      <c r="G1237" t="inlineStr">
        <is>
          <t>Customer</t>
        </is>
      </c>
      <c r="H1237" s="2" t="str">
        <f>=HYPERLINK("https://upbox.ajobthing.my/customer/192696", "https://upbox.ajobthing.my/customer/192696")</f>
        <v>https://upbox.ajobthing.my/customer/192696</v>
      </c>
      <c r="I1237" t="inlineStr">
        <is>
          <t>Tipsy 9 Sdn Bhd</t>
        </is>
      </c>
      <c r="J1237" t="inlineStr">
        <is>
          <t>Small Fish</t>
        </is>
      </c>
      <c r="K1237" t="inlineStr">
        <is>
          <t>Janice</t>
        </is>
      </c>
      <c r="L1237" s="4"/>
      <c r="M1237" s="4">
        <v>46135.65696759259</v>
      </c>
      <c r="N1237"/>
      <c r="O1237">
        <v>3888</v>
      </c>
      <c r="P1237" s="4"/>
      <c r="Q1237" s="4">
        <v>45826.50173611111</v>
      </c>
      <c r="R1237"/>
      <c r="S1237">
        <v>648</v>
      </c>
      <c r="T1237" s="4">
        <v>45826.50173611111</v>
      </c>
      <c r="U1237" s="4"/>
      <c r="V1237"/>
      <c r="W1237">
        <v>648</v>
      </c>
      <c r="X1237"/>
      <c r="Y1237" t="inlineStr">
        <is>
          <t>Pending Appointment</t>
        </is>
      </c>
      <c r="Z1237" t="inlineStr">
        <is>
          <t>Hiring Now</t>
        </is>
      </c>
      <c r="AA1237">
        <v>1</v>
      </c>
      <c r="AB1237" t="inlineStr">
        <is>
          <t>No Appointment Made</t>
        </is>
      </c>
      <c r="AC1237"/>
      <c r="AD1237" t="inlineStr">
        <is>
          <t>1 service crew</t>
        </is>
      </c>
      <c r="AE1237"/>
      <c r="AF1237">
        <v>0</v>
      </c>
      <c r="AG1237" s="4"/>
      <c r="AH1237" s="4"/>
      <c r="AI1237">
        <v>0</v>
      </c>
      <c r="AJ1237"/>
      <c r="AK1237" t="inlineStr">
        <is>
          <t>No, I don't need at all</t>
        </is>
      </c>
      <c r="AL1237">
        <v>0</v>
      </c>
      <c r="AM1237" t="inlineStr">
        <is>
          <t>No, I don't need at all</t>
        </is>
      </c>
      <c r="AN1237"/>
      <c r="AO1237" t="inlineStr">
        <is>
          <t>No, I don't need at all</t>
        </is>
      </c>
      <c r="AP1237" t="inlineStr">
        <is>
          <t>Once a year (25%)</t>
        </is>
      </c>
      <c r="AQ1237">
        <v>1</v>
      </c>
      <c r="AR1237" t="inlineStr">
        <is>
          <t>Did not use any job portal</t>
        </is>
      </c>
      <c r="AS1237" t="inlineStr">
        <is>
          <t>- Headcount: 1
- Hiring Job Details: 1 service crew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237">
        <v>110</v>
      </c>
      <c r="AU1237" t="inlineStr">
        <is>
          <t>1.10</t>
        </is>
      </c>
      <c r="AV1237" t="inlineStr">
        <is>
          <t>15</t>
        </is>
      </c>
      <c r="AW1237" t="inlineStr">
        <is>
          <t>0</t>
        </is>
      </c>
      <c r="AX1237" t="inlineStr">
        <is>
          <t>Not Qualified</t>
        </is>
      </c>
      <c r="AY1237" s="4"/>
      <c r="AZ1237"/>
      <c r="BA1237"/>
      <c r="BB1237"/>
      <c r="BC1237" t="inlineStr">
        <is>
          <t>No need to post job atm // if needed in the furture will let me know</t>
        </is>
      </c>
      <c r="BD1237" s="4">
        <v>46139.60555555556</v>
      </c>
      <c r="BE1237" t="inlineStr">
        <is>
          <t>paid</t>
        </is>
      </c>
      <c r="BF1237"/>
      <c r="BG1237" t="inlineStr">
        <is>
          <t>Reschedule</t>
        </is>
      </c>
      <c r="BH1237" t="inlineStr">
        <is>
          <t>Yee Hang</t>
        </is>
      </c>
      <c r="BI1237" t="inlineStr">
        <is>
          <t>Food / Beverage</t>
        </is>
      </c>
      <c r="BJ1237" s="4">
        <v>46144.752592592595</v>
      </c>
      <c r="BK1237" s="4">
        <v>45825.66637731482</v>
      </c>
      <c r="BL1237" t="inlineStr">
        <is>
          <t>648.0</t>
        </is>
      </c>
      <c r="BM1237" t="inlineStr">
        <is>
          <t>0.0</t>
        </is>
      </c>
      <c r="BN1237" t="inlineStr">
        <is>
          <t>View Jobmanager Page</t>
        </is>
      </c>
      <c r="BO1237" s="4">
        <v>45951.44320601852</v>
      </c>
      <c r="BP1237">
        <v>168603</v>
      </c>
      <c r="BQ1237">
        <v>80179</v>
      </c>
      <c r="BR1237" t="inlineStr">
        <is>
          <t>Online</t>
        </is>
      </c>
      <c r="BS1237"/>
      <c r="BT1237">
        <v>80179</v>
      </c>
      <c r="BU1237"/>
      <c r="BV1237">
        <v>2729871</v>
      </c>
      <c r="BW1237" t="inlineStr">
        <is>
          <t>Follow Up : Lost - Free Portal</t>
        </is>
      </c>
      <c r="BX1237"/>
      <c r="BY1237"/>
      <c r="BZ1237" s="4"/>
      <c r="CA1237"/>
      <c r="CB1237"/>
      <c r="CC1237" s="4"/>
      <c r="CD1237" t="inlineStr">
        <is>
          <t>20</t>
        </is>
      </c>
      <c r="CE1237" t="inlineStr">
        <is>
          <t>0</t>
        </is>
      </c>
      <c r="CF1237" t="inlineStr">
        <is>
          <t>Q2-W03</t>
        </is>
      </c>
      <c r="CG1237"/>
      <c r="CH1237"/>
      <c r="CI1237"/>
      <c r="CJ1237" t="inlineStr">
        <is>
          <t>Paid</t>
        </is>
      </c>
      <c r="CK1237" t="inlineStr">
        <is>
          <t>Not Eligible</t>
        </is>
      </c>
      <c r="CL1237"/>
      <c r="CM1237"/>
    </row>
    <row r="1238" ht="25.5" customHeight="1">
      <c r="A1238" t="inlineStr">
        <is>
          <t>203593</t>
        </is>
      </c>
      <c r="B1238" s="2"/>
      <c r="C1238"/>
      <c r="D1238" s="3">
        <v>46135.66453703704</v>
      </c>
      <c r="E1238" t="inlineStr">
        <is>
          <t>Q2-W03</t>
        </is>
      </c>
      <c r="F1238" t="inlineStr">
        <is>
          <t>Clover</t>
        </is>
      </c>
      <c r="G1238" t="inlineStr">
        <is>
          <t>Customer</t>
        </is>
      </c>
      <c r="H1238" s="2" t="str">
        <f>=HYPERLINK("https://upbox.ajobthing.my/customer/203593", "https://upbox.ajobthing.my/customer/203593")</f>
        <v>https://upbox.ajobthing.my/customer/203593</v>
      </c>
      <c r="I1238" t="inlineStr">
        <is>
          <t>SP Maths Education Center</t>
        </is>
      </c>
      <c r="J1238" t="inlineStr">
        <is>
          <t>Small Fish</t>
        </is>
      </c>
      <c r="K1238" t="inlineStr">
        <is>
          <t>Clover</t>
        </is>
      </c>
      <c r="L1238" s="4"/>
      <c r="M1238" s="4">
        <v>46140.695335648146</v>
      </c>
      <c r="N1238"/>
      <c r="O1238">
        <v>3576.96</v>
      </c>
      <c r="P1238" s="4"/>
      <c r="Q1238" s="4"/>
      <c r="R1238"/>
      <c r="S1238"/>
      <c r="T1238" s="4"/>
      <c r="U1238" s="4"/>
      <c r="V1238"/>
      <c r="W1238"/>
      <c r="X1238"/>
      <c r="Y1238" t="inlineStr">
        <is>
          <t>Pending Appointment</t>
        </is>
      </c>
      <c r="Z1238" t="inlineStr">
        <is>
          <t>Hiring Now</t>
        </is>
      </c>
      <c r="AA1238">
        <v>2</v>
      </c>
      <c r="AB1238" t="inlineStr">
        <is>
          <t>No Appointment Made</t>
        </is>
      </c>
      <c r="AC1238"/>
      <c r="AD1238" t="inlineStr">
        <is>
          <t>Staff Mr Hazim, will discuss with bos, hire primary / secondary teacher x1-2, education center seremban, suggest stand</t>
        </is>
      </c>
      <c r="AE1238"/>
      <c r="AF1238">
        <v>3000</v>
      </c>
      <c r="AG1238" s="4"/>
      <c r="AH1238" s="4"/>
      <c r="AI1238">
        <v>3000</v>
      </c>
      <c r="AJ1238">
        <v>1</v>
      </c>
      <c r="AK1238" t="inlineStr">
        <is>
          <t>No, but I want in future</t>
        </is>
      </c>
      <c r="AL1238">
        <v>1</v>
      </c>
      <c r="AM1238" t="inlineStr">
        <is>
          <t>No, but I want in future</t>
        </is>
      </c>
      <c r="AN1238"/>
      <c r="AO1238" t="inlineStr">
        <is>
          <t>No, but I want in future</t>
        </is>
      </c>
      <c r="AP1238" t="inlineStr">
        <is>
          <t>Twice a year (50%)</t>
        </is>
      </c>
      <c r="AQ1238">
        <v>2</v>
      </c>
      <c r="AR1238" t="inlineStr">
        <is>
          <t>Free Job Portal</t>
        </is>
      </c>
      <c r="AS1238" t="inlineStr">
        <is>
          <t>- Headcount: 2
- Hiring Job Details: Staff Mr Hazim will discuss with bos, hire 1-2 primary/secondary teachers for Seremban education center,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1238">
        <v>110</v>
      </c>
      <c r="AU1238" t="inlineStr">
        <is>
          <t>1.10</t>
        </is>
      </c>
      <c r="AV1238" t="inlineStr">
        <is>
          <t>15</t>
        </is>
      </c>
      <c r="AW1238" t="inlineStr">
        <is>
          <t>0</t>
        </is>
      </c>
      <c r="AX1238" t="inlineStr">
        <is>
          <t>Not Qualified</t>
        </is>
      </c>
      <c r="AY1238" s="4"/>
      <c r="AZ1238"/>
      <c r="BA1238"/>
      <c r="BB1238"/>
      <c r="BC1238" t="inlineStr">
        <is>
          <t>Still considering, share stand dis 288</t>
        </is>
      </c>
      <c r="BD1238" s="4">
        <v>46140.69646990741</v>
      </c>
      <c r="BE1238"/>
      <c r="BF1238"/>
      <c r="BG1238" t="inlineStr">
        <is>
          <t>Reschedule</t>
        </is>
      </c>
      <c r="BH1238" t="inlineStr">
        <is>
          <t>Reagen</t>
        </is>
      </c>
      <c r="BI1238"/>
      <c r="BJ1238" s="4">
        <v>46144.75435185185</v>
      </c>
      <c r="BK1238" s="4">
        <v>46135.66060185185</v>
      </c>
      <c r="BL1238" t="inlineStr">
        <is>
          <t>0.0</t>
        </is>
      </c>
      <c r="BM1238" t="inlineStr">
        <is>
          <t>0.0</t>
        </is>
      </c>
      <c r="BN1238"/>
      <c r="BO1238" s="4"/>
      <c r="BP1238">
        <v>169335</v>
      </c>
      <c r="BQ1238"/>
      <c r="BR1238"/>
      <c r="BS1238"/>
      <c r="BT1238"/>
      <c r="BU1238"/>
      <c r="BV1238">
        <v>2733543</v>
      </c>
      <c r="BW1238" t="inlineStr">
        <is>
          <t>Follow Up : Decision Pending</t>
        </is>
      </c>
      <c r="BX1238"/>
      <c r="BY1238"/>
      <c r="BZ1238" s="4"/>
      <c r="CA1238"/>
      <c r="CB1238"/>
      <c r="CC1238" s="4"/>
      <c r="CD1238" t="inlineStr">
        <is>
          <t>20</t>
        </is>
      </c>
      <c r="CE1238" t="inlineStr">
        <is>
          <t>0</t>
        </is>
      </c>
      <c r="CF1238" t="inlineStr">
        <is>
          <t>Q2-W04</t>
        </is>
      </c>
      <c r="CG1238"/>
      <c r="CH1238"/>
      <c r="CI1238"/>
      <c r="CJ1238" t="inlineStr">
        <is>
          <t>No Paid</t>
        </is>
      </c>
      <c r="CK1238" t="inlineStr">
        <is>
          <t>Not Eligible</t>
        </is>
      </c>
      <c r="CL1238"/>
      <c r="CM1238"/>
    </row>
    <row r="1239" ht="25.5" customHeight="1">
      <c r="A1239" t="inlineStr">
        <is>
          <t>203592</t>
        </is>
      </c>
      <c r="B1239" s="2"/>
      <c r="C1239"/>
      <c r="D1239" s="3">
        <v>46135.669270833336</v>
      </c>
      <c r="E1239" t="inlineStr">
        <is>
          <t>Q2-W03</t>
        </is>
      </c>
      <c r="F1239" t="inlineStr">
        <is>
          <t>Jia Hui</t>
        </is>
      </c>
      <c r="G1239" t="inlineStr">
        <is>
          <t>Customer</t>
        </is>
      </c>
      <c r="H1239" s="2" t="str">
        <f>=HYPERLINK("https://upbox.ajobthing.my/customer/203592", "https://upbox.ajobthing.my/customer/203592")</f>
        <v>https://upbox.ajobthing.my/customer/203592</v>
      </c>
      <c r="I1239" t="inlineStr">
        <is>
          <t>Cn Focus Management Sdn Bhd</t>
        </is>
      </c>
      <c r="J1239" t="inlineStr">
        <is>
          <t>Small Fish</t>
        </is>
      </c>
      <c r="K1239" t="inlineStr">
        <is>
          <t>Jia Hui</t>
        </is>
      </c>
      <c r="L1239" s="4"/>
      <c r="M1239" s="4">
        <v>46135.66945601852</v>
      </c>
      <c r="N1239"/>
      <c r="O1239">
        <v>3888</v>
      </c>
      <c r="P1239" s="4"/>
      <c r="Q1239" s="4"/>
      <c r="R1239"/>
      <c r="S1239"/>
      <c r="T1239" s="4"/>
      <c r="U1239" s="4"/>
      <c r="V1239"/>
      <c r="W1239"/>
      <c r="X1239"/>
      <c r="Y1239" t="inlineStr">
        <is>
          <t>Pending Appointment</t>
        </is>
      </c>
      <c r="Z1239" t="inlineStr">
        <is>
          <t>Hiring Now</t>
        </is>
      </c>
      <c r="AA1239">
        <v>2</v>
      </c>
      <c r="AB1239" t="inlineStr">
        <is>
          <t>No Appointment Made</t>
        </is>
      </c>
      <c r="AC1239"/>
      <c r="AD1239" t="inlineStr">
        <is>
          <t>1 account, 1 admin</t>
        </is>
      </c>
      <c r="AE1239"/>
      <c r="AF1239">
        <v>500</v>
      </c>
      <c r="AG1239" s="4"/>
      <c r="AH1239" s="4"/>
      <c r="AI1239"/>
      <c r="AJ1239"/>
      <c r="AK1239" t="inlineStr">
        <is>
          <t>Yes, I have</t>
        </is>
      </c>
      <c r="AL1239"/>
      <c r="AM1239"/>
      <c r="AN1239"/>
      <c r="AO1239"/>
      <c r="AP1239" t="inlineStr">
        <is>
          <t>Once a year (25%)</t>
        </is>
      </c>
      <c r="AQ1239"/>
      <c r="AR1239"/>
      <c r="AS1239" t="inlineStr">
        <is>
          <t>- Headcount: 2
- Hiring Job Details: 1 account, 1 admin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
- Hiring Urgency: Hiring Now</t>
        </is>
      </c>
      <c r="AT1239">
        <v>75</v>
      </c>
      <c r="AU1239" t="inlineStr">
        <is>
          <t>0.75</t>
        </is>
      </c>
      <c r="AV1239" t="inlineStr">
        <is>
          <t>15</t>
        </is>
      </c>
      <c r="AW1239" t="inlineStr">
        <is>
          <t>0</t>
        </is>
      </c>
      <c r="AX1239" t="inlineStr">
        <is>
          <t>Not Qualified</t>
        </is>
      </c>
      <c r="AY1239" s="4"/>
      <c r="AZ1239"/>
      <c r="BA1239"/>
      <c r="BB1239"/>
      <c r="BC1239" t="inlineStr">
        <is>
          <t>not to proceed, out of budget, budget below RM500</t>
        </is>
      </c>
      <c r="BD1239" s="4">
        <v>46141.66855324074</v>
      </c>
      <c r="BE1239"/>
      <c r="BF1239"/>
      <c r="BG1239" t="inlineStr">
        <is>
          <t>Reschedule</t>
        </is>
      </c>
      <c r="BH1239" t="inlineStr">
        <is>
          <t>Reagen</t>
        </is>
      </c>
      <c r="BI1239"/>
      <c r="BJ1239" s="4">
        <v>46144.75435185185</v>
      </c>
      <c r="BK1239" s="4">
        <v>46135.65578703704</v>
      </c>
      <c r="BL1239" t="inlineStr">
        <is>
          <t>0.0</t>
        </is>
      </c>
      <c r="BM1239" t="inlineStr">
        <is>
          <t>0.0</t>
        </is>
      </c>
      <c r="BN1239" t="inlineStr">
        <is>
          <t>View Company Page</t>
        </is>
      </c>
      <c r="BO1239" s="4">
        <v>46135.668344907404</v>
      </c>
      <c r="BP1239">
        <v>168609</v>
      </c>
      <c r="BQ1239"/>
      <c r="BR1239"/>
      <c r="BS1239"/>
      <c r="BT1239"/>
      <c r="BU1239"/>
      <c r="BV1239">
        <v>2735811</v>
      </c>
      <c r="BW1239" t="inlineStr">
        <is>
          <t>Follow Up : Budget Concern</t>
        </is>
      </c>
      <c r="BX1239"/>
      <c r="BY1239"/>
      <c r="BZ1239" s="4"/>
      <c r="CA1239"/>
      <c r="CB1239"/>
      <c r="CC1239" s="4"/>
      <c r="CD1239" t="inlineStr">
        <is>
          <t>20</t>
        </is>
      </c>
      <c r="CE1239" t="inlineStr">
        <is>
          <t>0</t>
        </is>
      </c>
      <c r="CF1239" t="inlineStr">
        <is>
          <t>Q2-W03</t>
        </is>
      </c>
      <c r="CG1239"/>
      <c r="CH1239"/>
      <c r="CI1239"/>
      <c r="CJ1239" t="inlineStr">
        <is>
          <t>No Paid</t>
        </is>
      </c>
      <c r="CK1239" t="inlineStr">
        <is>
          <t>Not Eligible</t>
        </is>
      </c>
      <c r="CL1239"/>
      <c r="CM1239"/>
    </row>
    <row r="1240" ht="25.5" customHeight="1">
      <c r="A1240" t="inlineStr">
        <is>
          <t>203595</t>
        </is>
      </c>
      <c r="B1240" s="2"/>
      <c r="C1240"/>
      <c r="D1240" s="3">
        <v>46135.6805787037</v>
      </c>
      <c r="E1240" t="inlineStr">
        <is>
          <t>Q2-W03</t>
        </is>
      </c>
      <c r="F1240" t="inlineStr">
        <is>
          <t>Jia Hui</t>
        </is>
      </c>
      <c r="G1240" t="inlineStr">
        <is>
          <t>Customer</t>
        </is>
      </c>
      <c r="H1240" s="2" t="str">
        <f>=HYPERLINK("https://upbox.ajobthing.my/customer/203595", "https://upbox.ajobthing.my/customer/203595")</f>
        <v>https://upbox.ajobthing.my/customer/203595</v>
      </c>
      <c r="I1240" t="inlineStr">
        <is>
          <t>LEMANDI BATH &amp; LIGHT SDN. BHD.</t>
        </is>
      </c>
      <c r="J1240" t="inlineStr">
        <is>
          <t>Small Fish</t>
        </is>
      </c>
      <c r="K1240" t="inlineStr">
        <is>
          <t>Jia Hui</t>
        </is>
      </c>
      <c r="L1240" s="4"/>
      <c r="M1240" s="4">
        <v>46135.68070601852</v>
      </c>
      <c r="N1240"/>
      <c r="O1240">
        <v>6048</v>
      </c>
      <c r="P1240" s="4"/>
      <c r="Q1240" s="4"/>
      <c r="R1240"/>
      <c r="S1240"/>
      <c r="T1240" s="4"/>
      <c r="U1240" s="4"/>
      <c r="V1240"/>
      <c r="W1240"/>
      <c r="X1240"/>
      <c r="Y1240" t="inlineStr">
        <is>
          <t>Pending Appointment</t>
        </is>
      </c>
      <c r="Z1240" t="inlineStr">
        <is>
          <t>Hiring Now</t>
        </is>
      </c>
      <c r="AA1240">
        <v>5</v>
      </c>
      <c r="AB1240" t="inlineStr">
        <is>
          <t>No Appointment Made</t>
        </is>
      </c>
      <c r="AC1240"/>
      <c r="AD1240" t="inlineStr">
        <is>
          <t>5 positions</t>
        </is>
      </c>
      <c r="AE1240"/>
      <c r="AF1240">
        <v>500</v>
      </c>
      <c r="AG1240" s="4"/>
      <c r="AH1240" s="4"/>
      <c r="AI1240"/>
      <c r="AJ1240"/>
      <c r="AK1240" t="inlineStr">
        <is>
          <t>Yes, I have</t>
        </is>
      </c>
      <c r="AL1240"/>
      <c r="AM1240"/>
      <c r="AN1240"/>
      <c r="AO1240"/>
      <c r="AP1240" t="inlineStr">
        <is>
          <t>Twice a year (50%)</t>
        </is>
      </c>
      <c r="AQ1240"/>
      <c r="AR1240"/>
      <c r="AS1240" t="inlineStr">
        <is>
          <t>- Headcount: 5
- Hiring Job Details: 5 positions
- Hiring Urgency: Hiring Now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Twice a year (50%)
- External job portal: Not specified</t>
        </is>
      </c>
      <c r="AT1240">
        <v>75</v>
      </c>
      <c r="AU1240" t="inlineStr">
        <is>
          <t>0.75</t>
        </is>
      </c>
      <c r="AV1240" t="inlineStr">
        <is>
          <t>20</t>
        </is>
      </c>
      <c r="AW1240" t="inlineStr">
        <is>
          <t>0</t>
        </is>
      </c>
      <c r="AX1240" t="inlineStr">
        <is>
          <t>Not Qualified</t>
        </is>
      </c>
      <c r="AY1240" s="4"/>
      <c r="AZ1240"/>
      <c r="BA1240"/>
      <c r="BB1240"/>
      <c r="BC1240" t="inlineStr">
        <is>
          <t>pending decision from boss, update on the latest promo</t>
        </is>
      </c>
      <c r="BD1240" s="4">
        <v>46141.65614583333</v>
      </c>
      <c r="BE1240"/>
      <c r="BF1240"/>
      <c r="BG1240" t="inlineStr">
        <is>
          <t>Reschedule</t>
        </is>
      </c>
      <c r="BH1240" t="inlineStr">
        <is>
          <t>Reagen</t>
        </is>
      </c>
      <c r="BI1240"/>
      <c r="BJ1240" s="4">
        <v>46144.75435185185</v>
      </c>
      <c r="BK1240" s="4">
        <v>46135.67934027778</v>
      </c>
      <c r="BL1240" t="inlineStr">
        <is>
          <t>0.0</t>
        </is>
      </c>
      <c r="BM1240" t="inlineStr">
        <is>
          <t>0.0</t>
        </is>
      </c>
      <c r="BN1240"/>
      <c r="BO1240" s="4"/>
      <c r="BP1240">
        <v>168622</v>
      </c>
      <c r="BQ1240"/>
      <c r="BR1240"/>
      <c r="BS1240"/>
      <c r="BT1240"/>
      <c r="BU1240"/>
      <c r="BV1240">
        <v>2735703</v>
      </c>
      <c r="BW1240" t="inlineStr">
        <is>
          <t>Follow Up : Decision Pending</t>
        </is>
      </c>
      <c r="BX1240"/>
      <c r="BY1240"/>
      <c r="BZ1240" s="4"/>
      <c r="CA1240"/>
      <c r="CB1240"/>
      <c r="CC1240" s="4"/>
      <c r="CD1240" t="inlineStr">
        <is>
          <t>30</t>
        </is>
      </c>
      <c r="CE1240" t="inlineStr">
        <is>
          <t>0</t>
        </is>
      </c>
      <c r="CF1240" t="inlineStr">
        <is>
          <t>Q2-W03</t>
        </is>
      </c>
      <c r="CG1240"/>
      <c r="CH1240"/>
      <c r="CI1240"/>
      <c r="CJ1240" t="inlineStr">
        <is>
          <t>No Paid</t>
        </is>
      </c>
      <c r="CK1240" t="inlineStr">
        <is>
          <t>Not Eligible</t>
        </is>
      </c>
      <c r="CL1240"/>
      <c r="CM1240"/>
    </row>
    <row r="1241" ht="25.5" customHeight="1">
      <c r="A1241" t="inlineStr">
        <is>
          <t>4315642</t>
        </is>
      </c>
      <c r="B1241" s="2"/>
      <c r="C1241"/>
      <c r="D1241" s="3">
        <v>46135.68383101852</v>
      </c>
      <c r="E1241" t="inlineStr">
        <is>
          <t>Q2-W03</t>
        </is>
      </c>
      <c r="F1241" t="inlineStr">
        <is>
          <t>Alan KY</t>
        </is>
      </c>
      <c r="G1241" t="inlineStr">
        <is>
          <t>Lead</t>
        </is>
      </c>
      <c r="H1241" s="2" t="str">
        <f>=HYPERLINK("https://upbox.ajobthing.my/leads/4315642", "https://upbox.ajobthing.my/leads/4315642")</f>
        <v>https://upbox.ajobthing.my/leads/4315642</v>
      </c>
      <c r="I1241" t="inlineStr">
        <is>
          <t>Coszy Electrical S</t>
        </is>
      </c>
      <c r="J1241" t="inlineStr">
        <is>
          <t>Small Fish</t>
        </is>
      </c>
      <c r="K1241" t="inlineStr">
        <is>
          <t>Alan KY</t>
        </is>
      </c>
      <c r="L1241" s="4"/>
      <c r="M1241" s="4">
        <v>46135.62490740741</v>
      </c>
      <c r="N1241"/>
      <c r="O1241">
        <v>3672</v>
      </c>
      <c r="P1241" s="4"/>
      <c r="Q1241" s="4"/>
      <c r="R1241"/>
      <c r="S1241"/>
      <c r="T1241" s="4"/>
      <c r="U1241" s="4"/>
      <c r="V1241"/>
      <c r="W1241"/>
      <c r="X1241"/>
      <c r="Y1241" t="inlineStr">
        <is>
          <t>Pending Appointment</t>
        </is>
      </c>
      <c r="Z1241" t="inlineStr">
        <is>
          <t>Hiring Now</t>
        </is>
      </c>
      <c r="AA1241">
        <v>3</v>
      </c>
      <c r="AB1241" t="inlineStr">
        <is>
          <t>No Appointment Made</t>
        </is>
      </c>
      <c r="AC1241"/>
      <c r="AD1241" t="inlineStr">
        <is>
          <t xml:space="preserve">1 admin , 2 sales, in selangor </t>
        </is>
      </c>
      <c r="AE1241"/>
      <c r="AF1241"/>
      <c r="AG1241" s="4"/>
      <c r="AH1241" s="4"/>
      <c r="AI1241"/>
      <c r="AJ1241"/>
      <c r="AK1241" t="inlineStr">
        <is>
          <t>No, I don't need at all</t>
        </is>
      </c>
      <c r="AL1241">
        <v>0</v>
      </c>
      <c r="AM1241" t="inlineStr">
        <is>
          <t>No, I don't need at all</t>
        </is>
      </c>
      <c r="AN1241"/>
      <c r="AO1241" t="inlineStr">
        <is>
          <t>No, I don't need at all</t>
        </is>
      </c>
      <c r="AP1241" t="inlineStr">
        <is>
          <t>Once per quarter (75%)</t>
        </is>
      </c>
      <c r="AQ1241"/>
      <c r="AR1241" t="inlineStr">
        <is>
          <t>Jobstreet</t>
        </is>
      </c>
      <c r="AS1241" t="inlineStr">
        <is>
          <t>- Headcount: 3
- Hiring Job Details: 1 admin, 2 sales, in selangor
- Hiring Urgency: Hiring Now
- Number of outlets: N/A
- Have recruiter team: No, I don't need at all
- Number of recruiter in company: 0
- Have ATS system: No, I don't need at all
- Have career website: No, I don't need at all
- Current hiring budget: N/A
- Whole year budget: N/A
- Whole year number of vacancies: N/A
- Hiring frequency: Once per quarter (75%)
- External job portal: Jobstreet</t>
        </is>
      </c>
      <c r="AT1241">
        <v>95</v>
      </c>
      <c r="AU1241" t="inlineStr">
        <is>
          <t>0.95</t>
        </is>
      </c>
      <c r="AV1241" t="inlineStr">
        <is>
          <t>5</t>
        </is>
      </c>
      <c r="AW1241" t="inlineStr">
        <is>
          <t>0</t>
        </is>
      </c>
      <c r="AX1241" t="inlineStr">
        <is>
          <t>Not Qualified</t>
        </is>
      </c>
      <c r="AY1241" s="4"/>
      <c r="AZ1241"/>
      <c r="BA1241"/>
      <c r="BB1241"/>
      <c r="BC1241"/>
      <c r="BD1241" s="4"/>
      <c r="BE1241"/>
      <c r="BF1241"/>
      <c r="BG1241" t="inlineStr">
        <is>
          <t>Reschedule</t>
        </is>
      </c>
      <c r="BH1241" t="inlineStr">
        <is>
          <t>Reagen</t>
        </is>
      </c>
      <c r="BI1241"/>
      <c r="BJ1241" s="4">
        <v>46144.755902777775</v>
      </c>
      <c r="BK1241" s="4">
        <v>46135.571909722225</v>
      </c>
      <c r="BL1241" t="inlineStr">
        <is>
          <t>0.0</t>
        </is>
      </c>
      <c r="BM1241" t="inlineStr">
        <is>
          <t>0.0</t>
        </is>
      </c>
      <c r="BN1241"/>
      <c r="BO1241" s="4"/>
      <c r="BP1241">
        <v>168584</v>
      </c>
      <c r="BQ1241"/>
      <c r="BR1241"/>
      <c r="BS1241"/>
      <c r="BT1241"/>
      <c r="BU1241"/>
      <c r="BV1241"/>
      <c r="BW1241"/>
      <c r="BX1241"/>
      <c r="BY1241"/>
      <c r="BZ1241" s="4"/>
      <c r="CA1241"/>
      <c r="CB1241"/>
      <c r="CC1241" s="4"/>
      <c r="CD1241" t="inlineStr">
        <is>
          <t>5</t>
        </is>
      </c>
      <c r="CE1241" t="inlineStr">
        <is>
          <t>0</t>
        </is>
      </c>
      <c r="CF1241" t="inlineStr">
        <is>
          <t>Q2-W03</t>
        </is>
      </c>
      <c r="CG1241"/>
      <c r="CH1241"/>
      <c r="CI1241"/>
      <c r="CJ1241" t="inlineStr">
        <is>
          <t>No Paid</t>
        </is>
      </c>
      <c r="CK1241" t="inlineStr">
        <is>
          <t>Not Eligible</t>
        </is>
      </c>
      <c r="CL1241"/>
      <c r="CM1241"/>
    </row>
    <row r="1242" ht="25.5" customHeight="1">
      <c r="A1242" t="inlineStr">
        <is>
          <t>203596</t>
        </is>
      </c>
      <c r="B1242" s="2"/>
      <c r="C1242"/>
      <c r="D1242" s="3">
        <v>46135.69094907407</v>
      </c>
      <c r="E1242" t="inlineStr">
        <is>
          <t>Q2-W03</t>
        </is>
      </c>
      <c r="F1242" t="inlineStr">
        <is>
          <t>Keegan</t>
        </is>
      </c>
      <c r="G1242" t="inlineStr">
        <is>
          <t>Customer</t>
        </is>
      </c>
      <c r="H1242" s="2" t="str">
        <f>=HYPERLINK("https://upbox.ajobthing.my/customer/203596", "https://upbox.ajobthing.my/customer/203596")</f>
        <v>https://upbox.ajobthing.my/customer/203596</v>
      </c>
      <c r="I1242" t="inlineStr">
        <is>
          <t>Tong Ban Seng Motor Sdn Bhd</t>
        </is>
      </c>
      <c r="J1242" t="inlineStr">
        <is>
          <t>Small Fish</t>
        </is>
      </c>
      <c r="K1242" t="inlineStr">
        <is>
          <t>Keegan</t>
        </is>
      </c>
      <c r="L1242" s="4"/>
      <c r="M1242" s="4">
        <v>46135.69106481481</v>
      </c>
      <c r="N1242"/>
      <c r="O1242">
        <v>6048</v>
      </c>
      <c r="P1242" s="4"/>
      <c r="Q1242" s="4"/>
      <c r="R1242"/>
      <c r="S1242"/>
      <c r="T1242" s="4"/>
      <c r="U1242" s="4"/>
      <c r="V1242"/>
      <c r="W1242"/>
      <c r="X1242"/>
      <c r="Y1242" t="inlineStr">
        <is>
          <t>Pending Appointment</t>
        </is>
      </c>
      <c r="Z1242" t="inlineStr">
        <is>
          <t>Hiring Now</t>
        </is>
      </c>
      <c r="AA1242">
        <v>3</v>
      </c>
      <c r="AB1242" t="inlineStr">
        <is>
          <t>No Appointment Made</t>
        </is>
      </c>
      <c r="AC1242"/>
      <c r="AD1242" t="inlineStr">
        <is>
          <t xml:space="preserve">1. Sales 
2. Admin 
3. Store Manager </t>
        </is>
      </c>
      <c r="AE1242"/>
      <c r="AF1242"/>
      <c r="AG1242" s="4"/>
      <c r="AH1242" s="4"/>
      <c r="AI1242"/>
      <c r="AJ1242">
        <v>2</v>
      </c>
      <c r="AK1242" t="inlineStr">
        <is>
          <t>No, I don't need at all</t>
        </is>
      </c>
      <c r="AL1242">
        <v>0</v>
      </c>
      <c r="AM1242" t="inlineStr">
        <is>
          <t>No, I don't need at all</t>
        </is>
      </c>
      <c r="AN1242"/>
      <c r="AO1242" t="inlineStr">
        <is>
          <t>No, I don't need at all</t>
        </is>
      </c>
      <c r="AP1242" t="inlineStr">
        <is>
          <t>Once per quarter (75%)</t>
        </is>
      </c>
      <c r="AQ1242"/>
      <c r="AR1242" t="inlineStr">
        <is>
          <t>Did not use any job portal</t>
        </is>
      </c>
      <c r="AS1242" t="inlineStr">
        <is>
          <t>- Headcount: 3
- Hiring Job Details: 1. Sales 2. Admin 3. Store Manager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242">
        <v>75</v>
      </c>
      <c r="AU1242" t="inlineStr">
        <is>
          <t>0.75</t>
        </is>
      </c>
      <c r="AV1242" t="inlineStr">
        <is>
          <t>5</t>
        </is>
      </c>
      <c r="AW1242" t="inlineStr">
        <is>
          <t>0</t>
        </is>
      </c>
      <c r="AX1242" t="inlineStr">
        <is>
          <t>Not Qualified</t>
        </is>
      </c>
      <c r="AY1242" s="4"/>
      <c r="AZ1242"/>
      <c r="BA1242"/>
      <c r="BB1242"/>
      <c r="BC1242" t="inlineStr">
        <is>
          <t>- Headcount: 3
- Hiring Job Details: 1. Sales 2. Admin 3. Store Manager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242" s="4">
        <v>46135.70837962963</v>
      </c>
      <c r="BE1242"/>
      <c r="BF1242"/>
      <c r="BG1242" t="inlineStr">
        <is>
          <t>Reschedule</t>
        </is>
      </c>
      <c r="BH1242" t="inlineStr">
        <is>
          <t>Edward Hoo</t>
        </is>
      </c>
      <c r="BI1242"/>
      <c r="BJ1242" s="4">
        <v>46144.75435185185</v>
      </c>
      <c r="BK1242" s="4">
        <v>46135.680763888886</v>
      </c>
      <c r="BL1242" t="inlineStr">
        <is>
          <t>0.0</t>
        </is>
      </c>
      <c r="BM1242" t="inlineStr">
        <is>
          <t>0.0</t>
        </is>
      </c>
      <c r="BN1242" t="inlineStr">
        <is>
          <t>View Company Page</t>
        </is>
      </c>
      <c r="BO1242" s="4">
        <v>46135.684965277775</v>
      </c>
      <c r="BP1242">
        <v>168625</v>
      </c>
      <c r="BQ1242"/>
      <c r="BR1242"/>
      <c r="BS1242"/>
      <c r="BT1242"/>
      <c r="BU1242"/>
      <c r="BV1242">
        <v>2724922</v>
      </c>
      <c r="BW1242" t="inlineStr">
        <is>
          <t>Customer Inquiry</t>
        </is>
      </c>
      <c r="BX1242"/>
      <c r="BY1242"/>
      <c r="BZ1242" s="4"/>
      <c r="CA1242"/>
      <c r="CB1242"/>
      <c r="CC1242" s="4"/>
      <c r="CD1242" t="inlineStr">
        <is>
          <t>5</t>
        </is>
      </c>
      <c r="CE1242" t="inlineStr">
        <is>
          <t>0</t>
        </is>
      </c>
      <c r="CF1242" t="inlineStr">
        <is>
          <t>Q2-W03</t>
        </is>
      </c>
      <c r="CG1242"/>
      <c r="CH1242"/>
      <c r="CI1242"/>
      <c r="CJ1242" t="inlineStr">
        <is>
          <t>No Paid</t>
        </is>
      </c>
      <c r="CK1242" t="inlineStr">
        <is>
          <t>Not Eligible</t>
        </is>
      </c>
      <c r="CL1242"/>
      <c r="CM1242"/>
    </row>
    <row r="1243" ht="25.5" customHeight="1">
      <c r="A1243" t="inlineStr">
        <is>
          <t>201940</t>
        </is>
      </c>
      <c r="B1243" s="2"/>
      <c r="C1243"/>
      <c r="D1243" s="3">
        <v>46135.691342592596</v>
      </c>
      <c r="E1243" t="inlineStr">
        <is>
          <t>Q2-W03</t>
        </is>
      </c>
      <c r="F1243" t="inlineStr">
        <is>
          <t>Xin Hui</t>
        </is>
      </c>
      <c r="G1243" t="inlineStr">
        <is>
          <t>Customer</t>
        </is>
      </c>
      <c r="H1243" s="2" t="str">
        <f>=HYPERLINK("https://upbox.ajobthing.my/customer/201940", "https://upbox.ajobthing.my/customer/201940")</f>
        <v>https://upbox.ajobthing.my/customer/201940</v>
      </c>
      <c r="I1243" t="inlineStr">
        <is>
          <t>Alibaba Advisory Sdn Bhd</t>
        </is>
      </c>
      <c r="J1243" t="inlineStr">
        <is>
          <t>Small Fish</t>
        </is>
      </c>
      <c r="K1243" t="inlineStr">
        <is>
          <t>Xin Hui</t>
        </is>
      </c>
      <c r="L1243" s="4"/>
      <c r="M1243" s="4">
        <v>46135.691655092596</v>
      </c>
      <c r="N1243"/>
      <c r="O1243">
        <v>3888</v>
      </c>
      <c r="P1243" s="4"/>
      <c r="Q1243" s="4">
        <v>46091.85592592593</v>
      </c>
      <c r="R1243"/>
      <c r="S1243">
        <v>0</v>
      </c>
      <c r="T1243" s="4"/>
      <c r="U1243" s="4"/>
      <c r="V1243"/>
      <c r="W1243"/>
      <c r="X1243"/>
      <c r="Y1243" t="inlineStr">
        <is>
          <t>Pending Appointment</t>
        </is>
      </c>
      <c r="Z1243" t="inlineStr">
        <is>
          <t>Hiring Now</t>
        </is>
      </c>
      <c r="AA1243">
        <v>2</v>
      </c>
      <c r="AB1243" t="inlineStr">
        <is>
          <t>No Appointment Made</t>
        </is>
      </c>
      <c r="AC1243"/>
      <c r="AD1243" t="inlineStr">
        <is>
          <t>secretory admin / tax associates</t>
        </is>
      </c>
      <c r="AE1243"/>
      <c r="AF1243"/>
      <c r="AG1243" s="4"/>
      <c r="AH1243" s="4"/>
      <c r="AI1243"/>
      <c r="AJ1243"/>
      <c r="AK1243" t="inlineStr">
        <is>
          <t>No, I don't need at all</t>
        </is>
      </c>
      <c r="AL1243"/>
      <c r="AM1243" t="inlineStr">
        <is>
          <t>No, I don't need at all</t>
        </is>
      </c>
      <c r="AN1243"/>
      <c r="AO1243" t="inlineStr">
        <is>
          <t>No, I don't need at all</t>
        </is>
      </c>
      <c r="AP1243" t="inlineStr">
        <is>
          <t>Once a year (25%)</t>
        </is>
      </c>
      <c r="AQ1243"/>
      <c r="AR1243"/>
      <c r="AS1243" t="inlineStr">
        <is>
          <t>- Headcount: 2
- Hiring Job Details: secretory admin / tax associates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t>
        </is>
      </c>
      <c r="AT1243">
        <v>75</v>
      </c>
      <c r="AU1243" t="inlineStr">
        <is>
          <t>0.75</t>
        </is>
      </c>
      <c r="AV1243" t="inlineStr">
        <is>
          <t>5</t>
        </is>
      </c>
      <c r="AW1243" t="inlineStr">
        <is>
          <t>0</t>
        </is>
      </c>
      <c r="AX1243" t="inlineStr">
        <is>
          <t>Not Qualified</t>
        </is>
      </c>
      <c r="AY1243" s="4"/>
      <c r="AZ1243"/>
      <c r="BA1243"/>
      <c r="BB1243"/>
      <c r="BC1243" t="inlineStr">
        <is>
          <t>boss said not urgent/ no need first</t>
        </is>
      </c>
      <c r="BD1243" s="4">
        <v>46142.66290509259</v>
      </c>
      <c r="BE1243" t="inlineStr">
        <is>
          <t>paid</t>
        </is>
      </c>
      <c r="BF1243"/>
      <c r="BG1243" t="inlineStr">
        <is>
          <t>Reschedule</t>
        </is>
      </c>
      <c r="BH1243" t="inlineStr">
        <is>
          <t>Yee Hang</t>
        </is>
      </c>
      <c r="BI1243"/>
      <c r="BJ1243" s="4">
        <v>46144.753900462965</v>
      </c>
      <c r="BK1243" s="4">
        <v>46091.855474537035</v>
      </c>
      <c r="BL1243" t="inlineStr">
        <is>
          <t>0.0</t>
        </is>
      </c>
      <c r="BM1243" t="inlineStr">
        <is>
          <t>0.0</t>
        </is>
      </c>
      <c r="BN1243" t="inlineStr">
        <is>
          <t>View Account User</t>
        </is>
      </c>
      <c r="BO1243" s="4">
        <v>46091.8853125</v>
      </c>
      <c r="BP1243">
        <v>168629</v>
      </c>
      <c r="BQ1243">
        <v>116664</v>
      </c>
      <c r="BR1243" t="inlineStr">
        <is>
          <t>Proforma</t>
        </is>
      </c>
      <c r="BS1243" t="inlineStr">
        <is>
          <t>Free Part-Time Job</t>
        </is>
      </c>
      <c r="BT1243"/>
      <c r="BU1243"/>
      <c r="BV1243">
        <v>2738059</v>
      </c>
      <c r="BW1243" t="inlineStr">
        <is>
          <t>Follow Up : Lost - Free Portal</t>
        </is>
      </c>
      <c r="BX1243"/>
      <c r="BY1243"/>
      <c r="BZ1243" s="4"/>
      <c r="CA1243"/>
      <c r="CB1243"/>
      <c r="CC1243" s="4"/>
      <c r="CD1243" t="inlineStr">
        <is>
          <t>5</t>
        </is>
      </c>
      <c r="CE1243" t="inlineStr">
        <is>
          <t>0</t>
        </is>
      </c>
      <c r="CF1243" t="inlineStr">
        <is>
          <t>Q2-W03</t>
        </is>
      </c>
      <c r="CG1243" t="inlineStr">
        <is>
          <t>Q1-W10</t>
        </is>
      </c>
      <c r="CH1243"/>
      <c r="CI1243"/>
      <c r="CJ1243" t="inlineStr">
        <is>
          <t>No Paid</t>
        </is>
      </c>
      <c r="CK1243" t="inlineStr">
        <is>
          <t>Not Eligible</t>
        </is>
      </c>
      <c r="CL1243"/>
      <c r="CM1243"/>
    </row>
    <row r="1244" ht="25.5" customHeight="1">
      <c r="A1244" t="inlineStr">
        <is>
          <t>203597</t>
        </is>
      </c>
      <c r="B1244" s="2"/>
      <c r="C1244"/>
      <c r="D1244" s="3">
        <v>46135.69666666666</v>
      </c>
      <c r="E1244" t="inlineStr">
        <is>
          <t>Q2-W03</t>
        </is>
      </c>
      <c r="F1244" t="inlineStr">
        <is>
          <t>Janice Yap</t>
        </is>
      </c>
      <c r="G1244" t="inlineStr">
        <is>
          <t>Customer</t>
        </is>
      </c>
      <c r="H1244" s="2" t="str">
        <f>=HYPERLINK("https://upbox.ajobthing.my/customer/203597", "https://upbox.ajobthing.my/customer/203597")</f>
        <v>https://upbox.ajobthing.my/customer/203597</v>
      </c>
      <c r="I1244" t="inlineStr">
        <is>
          <t>Savoury Heaven Sdn Bhd</t>
        </is>
      </c>
      <c r="J1244" t="inlineStr">
        <is>
          <t>Small Fish</t>
        </is>
      </c>
      <c r="K1244" t="inlineStr">
        <is>
          <t>Janice</t>
        </is>
      </c>
      <c r="L1244" s="4"/>
      <c r="M1244" s="4">
        <v>46135.69568287037</v>
      </c>
      <c r="N1244"/>
      <c r="O1244">
        <v>3888</v>
      </c>
      <c r="P1244" s="4"/>
      <c r="Q1244" s="4"/>
      <c r="R1244"/>
      <c r="S1244"/>
      <c r="T1244" s="4"/>
      <c r="U1244" s="4"/>
      <c r="V1244"/>
      <c r="W1244"/>
      <c r="X1244"/>
      <c r="Y1244" t="inlineStr">
        <is>
          <t>Pending Appointment</t>
        </is>
      </c>
      <c r="Z1244" t="inlineStr">
        <is>
          <t>Hiring Now</t>
        </is>
      </c>
      <c r="AA1244">
        <v>2</v>
      </c>
      <c r="AB1244" t="inlineStr">
        <is>
          <t>No Appointment Made</t>
        </is>
      </c>
      <c r="AC1244"/>
      <c r="AD1244" t="inlineStr">
        <is>
          <t>2 chefs</t>
        </is>
      </c>
      <c r="AE1244"/>
      <c r="AF1244">
        <v>0</v>
      </c>
      <c r="AG1244" s="4"/>
      <c r="AH1244" s="4"/>
      <c r="AI1244">
        <v>0</v>
      </c>
      <c r="AJ1244"/>
      <c r="AK1244" t="inlineStr">
        <is>
          <t>No, I don't need at all</t>
        </is>
      </c>
      <c r="AL1244">
        <v>0</v>
      </c>
      <c r="AM1244" t="inlineStr">
        <is>
          <t>No, I don't need at all</t>
        </is>
      </c>
      <c r="AN1244"/>
      <c r="AO1244" t="inlineStr">
        <is>
          <t>No, I don't need at all</t>
        </is>
      </c>
      <c r="AP1244" t="inlineStr">
        <is>
          <t>Once a year (25%)</t>
        </is>
      </c>
      <c r="AQ1244">
        <v>2</v>
      </c>
      <c r="AR1244" t="inlineStr">
        <is>
          <t>Did not use any job portal</t>
        </is>
      </c>
      <c r="AS1244" t="inlineStr">
        <is>
          <t>- Headcount: 2
- Hiring Job Details: 2 chefs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244">
        <v>110</v>
      </c>
      <c r="AU1244" t="inlineStr">
        <is>
          <t>1.10</t>
        </is>
      </c>
      <c r="AV1244" t="inlineStr">
        <is>
          <t>15</t>
        </is>
      </c>
      <c r="AW1244" t="inlineStr">
        <is>
          <t>0</t>
        </is>
      </c>
      <c r="AX1244" t="inlineStr">
        <is>
          <t>Not Qualified</t>
        </is>
      </c>
      <c r="AY1244" s="4"/>
      <c r="AZ1244"/>
      <c r="BA1244"/>
      <c r="BB1244"/>
      <c r="BC1244" t="inlineStr">
        <is>
          <t>PIC mentioned on hold // reject to posting job</t>
        </is>
      </c>
      <c r="BD1244" s="4">
        <v>46141.63449074074</v>
      </c>
      <c r="BE1244"/>
      <c r="BF1244"/>
      <c r="BG1244" t="inlineStr">
        <is>
          <t>Reschedule</t>
        </is>
      </c>
      <c r="BH1244" t="inlineStr">
        <is>
          <t>Yee Hang</t>
        </is>
      </c>
      <c r="BI1244"/>
      <c r="BJ1244" s="4">
        <v>46144.75435185185</v>
      </c>
      <c r="BK1244" s="4">
        <v>46135.68608796296</v>
      </c>
      <c r="BL1244" t="inlineStr">
        <is>
          <t>0.0</t>
        </is>
      </c>
      <c r="BM1244" t="inlineStr">
        <is>
          <t>0.0</t>
        </is>
      </c>
      <c r="BN1244" t="inlineStr">
        <is>
          <t>User Visit(Logged In)</t>
        </is>
      </c>
      <c r="BO1244" s="4">
        <v>46135.6950462963</v>
      </c>
      <c r="BP1244">
        <v>168631</v>
      </c>
      <c r="BQ1244"/>
      <c r="BR1244"/>
      <c r="BS1244"/>
      <c r="BT1244"/>
      <c r="BU1244"/>
      <c r="BV1244">
        <v>2735570</v>
      </c>
      <c r="BW1244" t="inlineStr">
        <is>
          <t>Follow Up : Budget Concern</t>
        </is>
      </c>
      <c r="BX1244"/>
      <c r="BY1244"/>
      <c r="BZ1244" s="4"/>
      <c r="CA1244"/>
      <c r="CB1244"/>
      <c r="CC1244" s="4"/>
      <c r="CD1244" t="inlineStr">
        <is>
          <t>20</t>
        </is>
      </c>
      <c r="CE1244" t="inlineStr">
        <is>
          <t>0</t>
        </is>
      </c>
      <c r="CF1244" t="inlineStr">
        <is>
          <t>Q2-W03</t>
        </is>
      </c>
      <c r="CG1244"/>
      <c r="CH1244"/>
      <c r="CI1244"/>
      <c r="CJ1244" t="inlineStr">
        <is>
          <t>No Paid</t>
        </is>
      </c>
      <c r="CK1244" t="inlineStr">
        <is>
          <t>Not Eligible</t>
        </is>
      </c>
      <c r="CL1244"/>
      <c r="CM1244"/>
    </row>
    <row r="1245" ht="25.5" customHeight="1">
      <c r="A1245" t="inlineStr">
        <is>
          <t>192330</t>
        </is>
      </c>
      <c r="B1245" s="2"/>
      <c r="C1245"/>
      <c r="D1245" s="3">
        <v>46135.707824074074</v>
      </c>
      <c r="E1245" t="inlineStr">
        <is>
          <t>Q2-W03</t>
        </is>
      </c>
      <c r="F1245" t="inlineStr">
        <is>
          <t>Janice Yap</t>
        </is>
      </c>
      <c r="G1245" t="inlineStr">
        <is>
          <t>Customer</t>
        </is>
      </c>
      <c r="H1245" s="2" t="str">
        <f>=HYPERLINK("https://upbox.ajobthing.my/customer/192330", "https://upbox.ajobthing.my/customer/192330")</f>
        <v>https://upbox.ajobthing.my/customer/192330</v>
      </c>
      <c r="I1245" t="inlineStr">
        <is>
          <t>Eastwest Eats Group Plt</t>
        </is>
      </c>
      <c r="J1245" t="inlineStr">
        <is>
          <t>Small Fish</t>
        </is>
      </c>
      <c r="K1245" t="inlineStr">
        <is>
          <t>Janice</t>
        </is>
      </c>
      <c r="L1245" s="4"/>
      <c r="M1245" s="4">
        <v>46141.63957175926</v>
      </c>
      <c r="N1245"/>
      <c r="O1245">
        <v>3888</v>
      </c>
      <c r="P1245" s="4"/>
      <c r="Q1245" s="4">
        <v>45819.418645833335</v>
      </c>
      <c r="R1245"/>
      <c r="S1245">
        <v>648</v>
      </c>
      <c r="T1245" s="4">
        <v>45819.418645833335</v>
      </c>
      <c r="U1245" s="4"/>
      <c r="V1245"/>
      <c r="W1245">
        <v>648</v>
      </c>
      <c r="X1245"/>
      <c r="Y1245" t="inlineStr">
        <is>
          <t>Pending Appointment</t>
        </is>
      </c>
      <c r="Z1245" t="inlineStr">
        <is>
          <t>Hiring Now</t>
        </is>
      </c>
      <c r="AA1245">
        <v>2</v>
      </c>
      <c r="AB1245" t="inlineStr">
        <is>
          <t>No Appointment Made</t>
        </is>
      </c>
      <c r="AC1245"/>
      <c r="AD1245" t="inlineStr">
        <is>
          <t>2 shop assistant</t>
        </is>
      </c>
      <c r="AE1245"/>
      <c r="AF1245">
        <v>0</v>
      </c>
      <c r="AG1245" s="4"/>
      <c r="AH1245" s="4"/>
      <c r="AI1245">
        <v>0</v>
      </c>
      <c r="AJ1245"/>
      <c r="AK1245" t="inlineStr">
        <is>
          <t>No, I don't need at all</t>
        </is>
      </c>
      <c r="AL1245">
        <v>0</v>
      </c>
      <c r="AM1245" t="inlineStr">
        <is>
          <t>No, I don't need at all</t>
        </is>
      </c>
      <c r="AN1245"/>
      <c r="AO1245" t="inlineStr">
        <is>
          <t>No, I don't need at all</t>
        </is>
      </c>
      <c r="AP1245" t="inlineStr">
        <is>
          <t>Twice a year (50%)</t>
        </is>
      </c>
      <c r="AQ1245">
        <v>2</v>
      </c>
      <c r="AR1245" t="inlineStr">
        <is>
          <t>Free Job Portal</t>
        </is>
      </c>
      <c r="AS1245" t="inlineStr">
        <is>
          <t>- Headcount: 2
- Hiring Job Details: 2 shop assistant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Twice a year (50%)
- External job portal: Free Job Portal</t>
        </is>
      </c>
      <c r="AT1245">
        <v>110</v>
      </c>
      <c r="AU1245" t="inlineStr">
        <is>
          <t>1.10</t>
        </is>
      </c>
      <c r="AV1245" t="inlineStr">
        <is>
          <t>15</t>
        </is>
      </c>
      <c r="AW1245" t="inlineStr">
        <is>
          <t>0</t>
        </is>
      </c>
      <c r="AX1245" t="inlineStr">
        <is>
          <t>Not Qualified</t>
        </is>
      </c>
      <c r="AY1245" s="4"/>
      <c r="AZ1245"/>
      <c r="BA1245"/>
      <c r="BB1245"/>
      <c r="BC1245" t="inlineStr">
        <is>
          <t>- Headcount: 2
- Hiring Job Details: 2 shop assistant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t>
        </is>
      </c>
      <c r="BD1245" s="4">
        <v>46141.66670138889</v>
      </c>
      <c r="BE1245" t="inlineStr">
        <is>
          <t>paid</t>
        </is>
      </c>
      <c r="BF1245"/>
      <c r="BG1245" t="inlineStr">
        <is>
          <t>Reschedule</t>
        </is>
      </c>
      <c r="BH1245" t="inlineStr">
        <is>
          <t>Yee Hang</t>
        </is>
      </c>
      <c r="BI1245" t="inlineStr">
        <is>
          <t>Food / Beverage</t>
        </is>
      </c>
      <c r="BJ1245" s="4">
        <v>46144.752546296295</v>
      </c>
      <c r="BK1245" s="4">
        <v>45817.651284722226</v>
      </c>
      <c r="BL1245" t="inlineStr">
        <is>
          <t>648.0</t>
        </is>
      </c>
      <c r="BM1245" t="inlineStr">
        <is>
          <t>0.0</t>
        </is>
      </c>
      <c r="BN1245" t="inlineStr">
        <is>
          <t>View Jobmanager Page</t>
        </is>
      </c>
      <c r="BO1245" s="4">
        <v>45866.318136574075</v>
      </c>
      <c r="BP1245">
        <v>169535</v>
      </c>
      <c r="BQ1245">
        <v>79988</v>
      </c>
      <c r="BR1245" t="inlineStr">
        <is>
          <t>Online</t>
        </is>
      </c>
      <c r="BS1245"/>
      <c r="BT1245">
        <v>79988</v>
      </c>
      <c r="BU1245"/>
      <c r="BV1245">
        <v>2735778</v>
      </c>
      <c r="BW1245" t="inlineStr">
        <is>
          <t>Customer Inquiry</t>
        </is>
      </c>
      <c r="BX1245"/>
      <c r="BY1245"/>
      <c r="BZ1245" s="4"/>
      <c r="CA1245"/>
      <c r="CB1245"/>
      <c r="CC1245" s="4"/>
      <c r="CD1245" t="inlineStr">
        <is>
          <t>20</t>
        </is>
      </c>
      <c r="CE1245" t="inlineStr">
        <is>
          <t>0</t>
        </is>
      </c>
      <c r="CF1245" t="inlineStr">
        <is>
          <t>Q2-W04</t>
        </is>
      </c>
      <c r="CG1245"/>
      <c r="CH1245"/>
      <c r="CI1245"/>
      <c r="CJ1245" t="inlineStr">
        <is>
          <t>Paid</t>
        </is>
      </c>
      <c r="CK1245" t="inlineStr">
        <is>
          <t>Not Eligible</t>
        </is>
      </c>
      <c r="CL1245"/>
      <c r="CM1245"/>
    </row>
    <row r="1246" ht="25.5" customHeight="1">
      <c r="A1246" t="inlineStr">
        <is>
          <t>187943</t>
        </is>
      </c>
      <c r="B1246" s="2"/>
      <c r="C1246"/>
      <c r="D1246" s="3">
        <v>46135.7187962963</v>
      </c>
      <c r="E1246" t="inlineStr">
        <is>
          <t>Q2-W03</t>
        </is>
      </c>
      <c r="F1246" t="inlineStr">
        <is>
          <t>Janice Yap</t>
        </is>
      </c>
      <c r="G1246" t="inlineStr">
        <is>
          <t>Customer</t>
        </is>
      </c>
      <c r="H1246" s="2" t="str">
        <f>=HYPERLINK("https://upbox.ajobthing.my/customer/187943", "https://upbox.ajobthing.my/customer/187943")</f>
        <v>https://upbox.ajobthing.my/customer/187943</v>
      </c>
      <c r="I1246" t="inlineStr">
        <is>
          <t>WS 22 Mart Sdn Bhd</t>
        </is>
      </c>
      <c r="J1246" t="inlineStr">
        <is>
          <t>Small Fish</t>
        </is>
      </c>
      <c r="K1246" t="inlineStr">
        <is>
          <t>Janice</t>
        </is>
      </c>
      <c r="L1246" s="4"/>
      <c r="M1246" s="4">
        <v>46135.716412037036</v>
      </c>
      <c r="N1246"/>
      <c r="O1246">
        <v>3888</v>
      </c>
      <c r="P1246" s="4"/>
      <c r="Q1246" s="4">
        <v>45708.63136574074</v>
      </c>
      <c r="R1246"/>
      <c r="S1246">
        <v>648</v>
      </c>
      <c r="T1246" s="4">
        <v>45708.63136574074</v>
      </c>
      <c r="U1246" s="4"/>
      <c r="V1246"/>
      <c r="W1246">
        <v>648</v>
      </c>
      <c r="X1246"/>
      <c r="Y1246" t="inlineStr">
        <is>
          <t>Pending Appointment</t>
        </is>
      </c>
      <c r="Z1246" t="inlineStr">
        <is>
          <t>Hiring Now</t>
        </is>
      </c>
      <c r="AA1246">
        <v>1</v>
      </c>
      <c r="AB1246" t="inlineStr">
        <is>
          <t>No Appointment Made</t>
        </is>
      </c>
      <c r="AC1246"/>
      <c r="AD1246" t="inlineStr">
        <is>
          <t>1 cashier</t>
        </is>
      </c>
      <c r="AE1246"/>
      <c r="AF1246">
        <v>0</v>
      </c>
      <c r="AG1246" s="4"/>
      <c r="AH1246" s="4"/>
      <c r="AI1246">
        <v>0</v>
      </c>
      <c r="AJ1246"/>
      <c r="AK1246" t="inlineStr">
        <is>
          <t>No, I don't need at all</t>
        </is>
      </c>
      <c r="AL1246">
        <v>0</v>
      </c>
      <c r="AM1246" t="inlineStr">
        <is>
          <t>No, I don't need at all</t>
        </is>
      </c>
      <c r="AN1246"/>
      <c r="AO1246" t="inlineStr">
        <is>
          <t>No, I don't need at all</t>
        </is>
      </c>
      <c r="AP1246" t="inlineStr">
        <is>
          <t>Once a year (25%)</t>
        </is>
      </c>
      <c r="AQ1246">
        <v>1</v>
      </c>
      <c r="AR1246" t="inlineStr">
        <is>
          <t>Did not use any job portal</t>
        </is>
      </c>
      <c r="AS1246" t="inlineStr">
        <is>
          <t>- Headcount: 1
- Hiring Job Details: 1 cashier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246">
        <v>105</v>
      </c>
      <c r="AU1246" t="inlineStr">
        <is>
          <t>1.05</t>
        </is>
      </c>
      <c r="AV1246" t="inlineStr">
        <is>
          <t>15</t>
        </is>
      </c>
      <c r="AW1246" t="inlineStr">
        <is>
          <t>0</t>
        </is>
      </c>
      <c r="AX1246" t="inlineStr">
        <is>
          <t>Not Qualified</t>
        </is>
      </c>
      <c r="AY1246" s="4"/>
      <c r="AZ1246"/>
      <c r="BA1246"/>
      <c r="BB1246"/>
      <c r="BC1246" t="inlineStr">
        <is>
          <t>No need to post now // if needed hire will contact me next time</t>
        </is>
      </c>
      <c r="BD1246" s="4">
        <v>46141.50101851852</v>
      </c>
      <c r="BE1246" t="inlineStr">
        <is>
          <t>paid</t>
        </is>
      </c>
      <c r="BF1246"/>
      <c r="BG1246" t="inlineStr">
        <is>
          <t>Reschedule</t>
        </is>
      </c>
      <c r="BH1246" t="inlineStr">
        <is>
          <t>Yee Hang</t>
        </is>
      </c>
      <c r="BI1246" t="inlineStr">
        <is>
          <t>Retail / Merchandise</t>
        </is>
      </c>
      <c r="BJ1246" s="4">
        <v>46144.75219907407</v>
      </c>
      <c r="BK1246" s="4">
        <v>45708.526770833334</v>
      </c>
      <c r="BL1246" t="inlineStr">
        <is>
          <t>0.0</t>
        </is>
      </c>
      <c r="BM1246" t="inlineStr">
        <is>
          <t>0.0</t>
        </is>
      </c>
      <c r="BN1246" t="inlineStr">
        <is>
          <t>PA Visit - Email</t>
        </is>
      </c>
      <c r="BO1246" s="4">
        <v>45733.43087962963</v>
      </c>
      <c r="BP1246">
        <v>168646</v>
      </c>
      <c r="BQ1246">
        <v>76961</v>
      </c>
      <c r="BR1246" t="inlineStr">
        <is>
          <t>Online</t>
        </is>
      </c>
      <c r="BS1246"/>
      <c r="BT1246">
        <v>76961</v>
      </c>
      <c r="BU1246"/>
      <c r="BV1246">
        <v>2734897</v>
      </c>
      <c r="BW1246" t="inlineStr">
        <is>
          <t>Follow Up : Lost - Free Portal</t>
        </is>
      </c>
      <c r="BX1246"/>
      <c r="BY1246"/>
      <c r="BZ1246" s="4"/>
      <c r="CA1246"/>
      <c r="CB1246"/>
      <c r="CC1246" s="4"/>
      <c r="CD1246" t="inlineStr">
        <is>
          <t>20</t>
        </is>
      </c>
      <c r="CE1246" t="inlineStr">
        <is>
          <t>0</t>
        </is>
      </c>
      <c r="CF1246" t="inlineStr">
        <is>
          <t>Q2-W03</t>
        </is>
      </c>
      <c r="CG1246"/>
      <c r="CH1246"/>
      <c r="CI1246"/>
      <c r="CJ1246" t="inlineStr">
        <is>
          <t>Paid</t>
        </is>
      </c>
      <c r="CK1246" t="inlineStr">
        <is>
          <t>Not Eligible</t>
        </is>
      </c>
      <c r="CL1246"/>
      <c r="CM1246"/>
    </row>
    <row r="1247" ht="25.5" customHeight="1">
      <c r="A1247" t="inlineStr">
        <is>
          <t>3246863</t>
        </is>
      </c>
      <c r="B1247" s="2"/>
      <c r="C1247"/>
      <c r="D1247" s="3">
        <v>46135.719930555555</v>
      </c>
      <c r="E1247" t="inlineStr">
        <is>
          <t>Q2-W03</t>
        </is>
      </c>
      <c r="F1247" t="inlineStr">
        <is>
          <t>Chia Yee</t>
        </is>
      </c>
      <c r="G1247" t="inlineStr">
        <is>
          <t>Lead</t>
        </is>
      </c>
      <c r="H1247" s="2" t="str">
        <f>=HYPERLINK("https://upbox.ajobthing.my/leads/3246863", "https://upbox.ajobthing.my/leads/3246863")</f>
        <v>https://upbox.ajobthing.my/leads/3246863</v>
      </c>
      <c r="I1247" t="inlineStr">
        <is>
          <t>prestige carcare group sdn bhd</t>
        </is>
      </c>
      <c r="J1247" t="inlineStr">
        <is>
          <t>Small Fish</t>
        </is>
      </c>
      <c r="K1247" t="inlineStr">
        <is>
          <t>Chia Yee</t>
        </is>
      </c>
      <c r="L1247" s="4"/>
      <c r="M1247" s="4">
        <v>46135.72045138889</v>
      </c>
      <c r="N1247"/>
      <c r="O1247">
        <v>6048</v>
      </c>
      <c r="P1247" s="4"/>
      <c r="Q1247" s="4"/>
      <c r="R1247"/>
      <c r="S1247"/>
      <c r="T1247" s="4"/>
      <c r="U1247" s="4"/>
      <c r="V1247"/>
      <c r="W1247"/>
      <c r="X1247"/>
      <c r="Y1247" t="inlineStr">
        <is>
          <t>Pending Appointment</t>
        </is>
      </c>
      <c r="Z1247" t="inlineStr">
        <is>
          <t>Hiring Now</t>
        </is>
      </c>
      <c r="AA1247">
        <v>3</v>
      </c>
      <c r="AB1247" t="inlineStr">
        <is>
          <t>No Appointment Made</t>
        </is>
      </c>
      <c r="AC1247"/>
      <c r="AD1247" t="inlineStr">
        <is>
          <t>Sales Manager,  Senior Automotive Technician, Service Advisor</t>
        </is>
      </c>
      <c r="AE1247"/>
      <c r="AF1247">
        <v>0</v>
      </c>
      <c r="AG1247" s="4"/>
      <c r="AH1247" s="4"/>
      <c r="AI1247">
        <v>0</v>
      </c>
      <c r="AJ1247">
        <v>1</v>
      </c>
      <c r="AK1247" t="inlineStr">
        <is>
          <t>No, I don't need at all</t>
        </is>
      </c>
      <c r="AL1247">
        <v>1</v>
      </c>
      <c r="AM1247" t="inlineStr">
        <is>
          <t>No, I don't need at all</t>
        </is>
      </c>
      <c r="AN1247"/>
      <c r="AO1247" t="inlineStr">
        <is>
          <t>No, I don't need at all</t>
        </is>
      </c>
      <c r="AP1247" t="inlineStr">
        <is>
          <t>Once a year (25%)</t>
        </is>
      </c>
      <c r="AQ1247">
        <v>6</v>
      </c>
      <c r="AR1247" t="inlineStr">
        <is>
          <t>Did not use any job portal</t>
        </is>
      </c>
      <c r="AS1247" t="inlineStr">
        <is>
          <t>- Headcount: 3
- Hiring Job Details: Sales Manager, Senior Automotive Technician, Service Advisor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6
- Hiring frequency: Once a year (25%)
- External job portal: Did not use any job portal</t>
        </is>
      </c>
      <c r="AT1247">
        <v>75</v>
      </c>
      <c r="AU1247" t="inlineStr">
        <is>
          <t>0.75</t>
        </is>
      </c>
      <c r="AV1247" t="inlineStr">
        <is>
          <t>15</t>
        </is>
      </c>
      <c r="AW1247" t="inlineStr">
        <is>
          <t>0</t>
        </is>
      </c>
      <c r="AX1247" t="inlineStr">
        <is>
          <t>Not Qualified</t>
        </is>
      </c>
      <c r="AY1247" s="4"/>
      <c r="AZ1247"/>
      <c r="BA1247"/>
      <c r="BB1247"/>
      <c r="BC1247"/>
      <c r="BD1247" s="4"/>
      <c r="BE1247"/>
      <c r="BF1247"/>
      <c r="BG1247" t="inlineStr">
        <is>
          <t>Reschedule</t>
        </is>
      </c>
      <c r="BH1247" t="inlineStr">
        <is>
          <t>Reagen</t>
        </is>
      </c>
      <c r="BI1247"/>
      <c r="BJ1247" s="4">
        <v>46144.75457175926</v>
      </c>
      <c r="BK1247" s="4">
        <v>45861.694016203706</v>
      </c>
      <c r="BL1247" t="inlineStr">
        <is>
          <t>0.0</t>
        </is>
      </c>
      <c r="BM1247" t="inlineStr">
        <is>
          <t>0.0</t>
        </is>
      </c>
      <c r="BN1247"/>
      <c r="BO1247" s="4"/>
      <c r="BP1247">
        <v>168654</v>
      </c>
      <c r="BQ1247"/>
      <c r="BR1247"/>
      <c r="BS1247"/>
      <c r="BT1247"/>
      <c r="BU1247"/>
      <c r="BV1247"/>
      <c r="BW1247"/>
      <c r="BX1247"/>
      <c r="BY1247"/>
      <c r="BZ1247" s="4"/>
      <c r="CA1247"/>
      <c r="CB1247"/>
      <c r="CC1247" s="4"/>
      <c r="CD1247" t="inlineStr">
        <is>
          <t>20</t>
        </is>
      </c>
      <c r="CE1247" t="inlineStr">
        <is>
          <t>0</t>
        </is>
      </c>
      <c r="CF1247" t="inlineStr">
        <is>
          <t>Q2-W03</t>
        </is>
      </c>
      <c r="CG1247"/>
      <c r="CH1247"/>
      <c r="CI1247"/>
      <c r="CJ1247" t="inlineStr">
        <is>
          <t>No Paid</t>
        </is>
      </c>
      <c r="CK1247" t="inlineStr">
        <is>
          <t>Not Eligible</t>
        </is>
      </c>
      <c r="CL1247"/>
      <c r="CM1247"/>
    </row>
    <row r="1248" ht="25.5" customHeight="1">
      <c r="A1248" t="inlineStr">
        <is>
          <t>198761</t>
        </is>
      </c>
      <c r="B1248" s="2"/>
      <c r="C1248"/>
      <c r="D1248" s="3">
        <v>46135.72314814815</v>
      </c>
      <c r="E1248" t="inlineStr">
        <is>
          <t>Q2-W03</t>
        </is>
      </c>
      <c r="F1248" t="inlineStr">
        <is>
          <t>Fariz</t>
        </is>
      </c>
      <c r="G1248" t="inlineStr">
        <is>
          <t>Customer</t>
        </is>
      </c>
      <c r="H1248" s="2" t="str">
        <f>=HYPERLINK("https://upbox.ajobthing.my/customer/198761", "https://upbox.ajobthing.my/customer/198761")</f>
        <v>https://upbox.ajobthing.my/customer/198761</v>
      </c>
      <c r="I1248" t="inlineStr">
        <is>
          <t>H2nk Empire Sdn. Bhd.</t>
        </is>
      </c>
      <c r="J1248" t="inlineStr">
        <is>
          <t>Small Fish</t>
        </is>
      </c>
      <c r="K1248" t="inlineStr">
        <is>
          <t>Fariz</t>
        </is>
      </c>
      <c r="L1248" s="4"/>
      <c r="M1248" s="4">
        <v>46135.72340277778</v>
      </c>
      <c r="N1248"/>
      <c r="O1248">
        <v>3888</v>
      </c>
      <c r="P1248" s="4"/>
      <c r="Q1248" s="4"/>
      <c r="R1248"/>
      <c r="S1248"/>
      <c r="T1248" s="4"/>
      <c r="U1248" s="4"/>
      <c r="V1248"/>
      <c r="W1248"/>
      <c r="X1248"/>
      <c r="Y1248" t="inlineStr">
        <is>
          <t>Pending Appointment</t>
        </is>
      </c>
      <c r="Z1248" t="inlineStr">
        <is>
          <t>Hiring Later</t>
        </is>
      </c>
      <c r="AA1248">
        <v>2</v>
      </c>
      <c r="AB1248" t="inlineStr">
        <is>
          <t>No Appointment Made</t>
        </is>
      </c>
      <c r="AC1248"/>
      <c r="AD1248" t="inlineStr">
        <is>
          <t>2 operator</t>
        </is>
      </c>
      <c r="AE1248"/>
      <c r="AF1248">
        <v>3600</v>
      </c>
      <c r="AG1248" s="4"/>
      <c r="AH1248" s="4"/>
      <c r="AI1248">
        <v>4000</v>
      </c>
      <c r="AJ1248"/>
      <c r="AK1248" t="inlineStr">
        <is>
          <t>No, but I want in future</t>
        </is>
      </c>
      <c r="AL1248">
        <v>1</v>
      </c>
      <c r="AM1248" t="inlineStr">
        <is>
          <t>No, I don't need at all</t>
        </is>
      </c>
      <c r="AN1248"/>
      <c r="AO1248" t="inlineStr">
        <is>
          <t>No, but I want in future</t>
        </is>
      </c>
      <c r="AP1248" t="inlineStr">
        <is>
          <t>Twice a year (50%)</t>
        </is>
      </c>
      <c r="AQ1248">
        <v>5</v>
      </c>
      <c r="AR1248" t="inlineStr">
        <is>
          <t>Jobstreet, Free Job Portal</t>
        </is>
      </c>
      <c r="AS1248" t="inlineStr">
        <is>
          <t>- Headcount: 2
- Hiring Job Details: 2 operator
- Hiring Urgency: Hiring Later
- Number of outlets: 
- Have recruiter team: No, but I want in future
- Number of recruiter in company: 1
- Have ATS system: No, I don't need at all
- Have career website: No, but I want in future
- Current hiring budget: RM3,600
- Whole year budget: RM4,000.00
- Whole year number of vacancies: 5
- Hiring frequency: Twice a year (50%)
- External job portal: Jobstreet, Free Job Portal</t>
        </is>
      </c>
      <c r="AT1248">
        <v>90</v>
      </c>
      <c r="AU1248" t="inlineStr">
        <is>
          <t>0.90</t>
        </is>
      </c>
      <c r="AV1248" t="inlineStr">
        <is>
          <t>15</t>
        </is>
      </c>
      <c r="AW1248" t="inlineStr">
        <is>
          <t>0</t>
        </is>
      </c>
      <c r="AX1248" t="inlineStr">
        <is>
          <t>Not Qualified</t>
        </is>
      </c>
      <c r="AY1248" s="4"/>
      <c r="AZ1248"/>
      <c r="BA1248"/>
      <c r="BB1248"/>
      <c r="BC1248" t="inlineStr">
        <is>
          <t>Spoke to afiq, said they havent got deicision from Puan Siti. CB</t>
        </is>
      </c>
      <c r="BD1248" s="4">
        <v>46141.47075231482</v>
      </c>
      <c r="BE1248"/>
      <c r="BF1248"/>
      <c r="BG1248" t="inlineStr">
        <is>
          <t>Reschedule</t>
        </is>
      </c>
      <c r="BH1248" t="inlineStr">
        <is>
          <t>Edward Hoo</t>
        </is>
      </c>
      <c r="BI1248"/>
      <c r="BJ1248" s="4">
        <v>46144.75314814815</v>
      </c>
      <c r="BK1248" s="4">
        <v>45988.67369212963</v>
      </c>
      <c r="BL1248" t="inlineStr">
        <is>
          <t>0.0</t>
        </is>
      </c>
      <c r="BM1248" t="inlineStr">
        <is>
          <t>0.0</t>
        </is>
      </c>
      <c r="BN1248" t="inlineStr">
        <is>
          <t>View Company Page</t>
        </is>
      </c>
      <c r="BO1248" s="4">
        <v>45988.68744212963</v>
      </c>
      <c r="BP1248">
        <v>168655</v>
      </c>
      <c r="BQ1248"/>
      <c r="BR1248"/>
      <c r="BS1248"/>
      <c r="BT1248"/>
      <c r="BU1248"/>
      <c r="BV1248">
        <v>2734689</v>
      </c>
      <c r="BW1248" t="inlineStr">
        <is>
          <t>Follow Up : Decision Pending</t>
        </is>
      </c>
      <c r="BX1248"/>
      <c r="BY1248"/>
      <c r="BZ1248" s="4"/>
      <c r="CA1248"/>
      <c r="CB1248"/>
      <c r="CC1248" s="4"/>
      <c r="CD1248" t="inlineStr">
        <is>
          <t>20</t>
        </is>
      </c>
      <c r="CE1248" t="inlineStr">
        <is>
          <t>0</t>
        </is>
      </c>
      <c r="CF1248" t="inlineStr">
        <is>
          <t>Q2-W03</t>
        </is>
      </c>
      <c r="CG1248"/>
      <c r="CH1248"/>
      <c r="CI1248"/>
      <c r="CJ1248" t="inlineStr">
        <is>
          <t>No Paid</t>
        </is>
      </c>
      <c r="CK1248" t="inlineStr">
        <is>
          <t>Not Eligible</t>
        </is>
      </c>
      <c r="CL1248"/>
      <c r="CM1248"/>
    </row>
    <row r="1249" ht="25.5" customHeight="1">
      <c r="A1249" t="inlineStr">
        <is>
          <t>4315825</t>
        </is>
      </c>
      <c r="B1249" s="2"/>
      <c r="C1249"/>
      <c r="D1249" s="3">
        <v>46135.72460648148</v>
      </c>
      <c r="E1249" t="inlineStr">
        <is>
          <t>Q2-W03</t>
        </is>
      </c>
      <c r="F1249" t="inlineStr">
        <is>
          <t>Jia Hui</t>
        </is>
      </c>
      <c r="G1249" t="inlineStr">
        <is>
          <t>Lead</t>
        </is>
      </c>
      <c r="H1249" s="2" t="str">
        <f>=HYPERLINK("https://upbox.ajobthing.my/leads/4315825", "https://upbox.ajobthing.my/leads/4315825")</f>
        <v>https://upbox.ajobthing.my/leads/4315825</v>
      </c>
      <c r="I1249" t="inlineStr">
        <is>
          <t>New Life Foundation</t>
        </is>
      </c>
      <c r="J1249" t="inlineStr">
        <is>
          <t>Small Fish</t>
        </is>
      </c>
      <c r="K1249" t="inlineStr">
        <is>
          <t>Jia Hui</t>
        </is>
      </c>
      <c r="L1249" s="4"/>
      <c r="M1249" s="4">
        <v>46135.72513888889</v>
      </c>
      <c r="N1249"/>
      <c r="O1249">
        <v>3888</v>
      </c>
      <c r="P1249" s="4"/>
      <c r="Q1249" s="4"/>
      <c r="R1249"/>
      <c r="S1249"/>
      <c r="T1249" s="4"/>
      <c r="U1249" s="4"/>
      <c r="V1249"/>
      <c r="W1249"/>
      <c r="X1249"/>
      <c r="Y1249" t="inlineStr">
        <is>
          <t>Pending Appointment</t>
        </is>
      </c>
      <c r="Z1249" t="inlineStr">
        <is>
          <t>Hiring Now</t>
        </is>
      </c>
      <c r="AA1249">
        <v>5</v>
      </c>
      <c r="AB1249" t="inlineStr">
        <is>
          <t>No Appointment Made</t>
        </is>
      </c>
      <c r="AC1249"/>
      <c r="AD1249" t="inlineStr">
        <is>
          <t xml:space="preserve">5 customer service </t>
        </is>
      </c>
      <c r="AE1249"/>
      <c r="AF1249">
        <v>500</v>
      </c>
      <c r="AG1249" s="4"/>
      <c r="AH1249" s="4"/>
      <c r="AI1249"/>
      <c r="AJ1249"/>
      <c r="AK1249" t="inlineStr">
        <is>
          <t>Yes, I have</t>
        </is>
      </c>
      <c r="AL1249"/>
      <c r="AM1249"/>
      <c r="AN1249"/>
      <c r="AO1249"/>
      <c r="AP1249" t="inlineStr">
        <is>
          <t>Once a year (25%)</t>
        </is>
      </c>
      <c r="AQ1249"/>
      <c r="AR1249"/>
      <c r="AS1249" t="inlineStr">
        <is>
          <t>- Headcount: 5
- Hiring Job Details: 5 customer service
- Hiring Urgency: Hiring Now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is>
      </c>
      <c r="AT1249">
        <v>95</v>
      </c>
      <c r="AU1249" t="inlineStr">
        <is>
          <t>0.95</t>
        </is>
      </c>
      <c r="AV1249" t="inlineStr">
        <is>
          <t>20</t>
        </is>
      </c>
      <c r="AW1249" t="inlineStr">
        <is>
          <t>0</t>
        </is>
      </c>
      <c r="AX1249" t="inlineStr">
        <is>
          <t>Not Qualified</t>
        </is>
      </c>
      <c r="AY1249" s="4"/>
      <c r="AZ1249"/>
      <c r="BA1249"/>
      <c r="BB1249"/>
      <c r="BC1249"/>
      <c r="BD1249" s="4"/>
      <c r="BE1249"/>
      <c r="BF1249"/>
      <c r="BG1249" t="inlineStr">
        <is>
          <t>Reschedule</t>
        </is>
      </c>
      <c r="BH1249" t="inlineStr">
        <is>
          <t>Reagen</t>
        </is>
      </c>
      <c r="BI1249"/>
      <c r="BJ1249" s="4">
        <v>46144.755902777775</v>
      </c>
      <c r="BK1249" s="4">
        <v>46135.69872685185</v>
      </c>
      <c r="BL1249" t="inlineStr">
        <is>
          <t>0.0</t>
        </is>
      </c>
      <c r="BM1249" t="inlineStr">
        <is>
          <t>0.0</t>
        </is>
      </c>
      <c r="BN1249"/>
      <c r="BO1249" s="4"/>
      <c r="BP1249">
        <v>168656</v>
      </c>
      <c r="BQ1249"/>
      <c r="BR1249"/>
      <c r="BS1249"/>
      <c r="BT1249"/>
      <c r="BU1249"/>
      <c r="BV1249"/>
      <c r="BW1249"/>
      <c r="BX1249"/>
      <c r="BY1249"/>
      <c r="BZ1249" s="4"/>
      <c r="CA1249"/>
      <c r="CB1249"/>
      <c r="CC1249" s="4"/>
      <c r="CD1249" t="inlineStr">
        <is>
          <t>30</t>
        </is>
      </c>
      <c r="CE1249" t="inlineStr">
        <is>
          <t>0</t>
        </is>
      </c>
      <c r="CF1249" t="inlineStr">
        <is>
          <t>Q2-W03</t>
        </is>
      </c>
      <c r="CG1249"/>
      <c r="CH1249"/>
      <c r="CI1249"/>
      <c r="CJ1249" t="inlineStr">
        <is>
          <t>No Paid</t>
        </is>
      </c>
      <c r="CK1249" t="inlineStr">
        <is>
          <t>Not Eligible</t>
        </is>
      </c>
      <c r="CL1249"/>
      <c r="CM1249"/>
    </row>
    <row r="1250" ht="25.5" customHeight="1">
      <c r="A1250" t="inlineStr">
        <is>
          <t>4315849</t>
        </is>
      </c>
      <c r="B1250" s="2"/>
      <c r="C1250"/>
      <c r="D1250" s="3">
        <v>46135.72540509259</v>
      </c>
      <c r="E1250" t="inlineStr">
        <is>
          <t>Q2-W03</t>
        </is>
      </c>
      <c r="F1250" t="inlineStr">
        <is>
          <t>Chia Yee</t>
        </is>
      </c>
      <c r="G1250" t="inlineStr">
        <is>
          <t>Lead</t>
        </is>
      </c>
      <c r="H1250" s="2" t="str">
        <f>=HYPERLINK("https://upbox.ajobthing.my/leads/4315849", "https://upbox.ajobthing.my/leads/4315849")</f>
        <v>https://upbox.ajobthing.my/leads/4315849</v>
      </c>
      <c r="I1250" t="inlineStr">
        <is>
          <t>Farmasi Astaraya Gurun Sdn. Bhd.</t>
        </is>
      </c>
      <c r="J1250" t="inlineStr">
        <is>
          <t>Small Fish</t>
        </is>
      </c>
      <c r="K1250" t="inlineStr">
        <is>
          <t>Chia Yee</t>
        </is>
      </c>
      <c r="L1250" s="4"/>
      <c r="M1250" s="4">
        <v>46135.72667824074</v>
      </c>
      <c r="N1250"/>
      <c r="O1250">
        <v>864</v>
      </c>
      <c r="P1250" s="4"/>
      <c r="Q1250" s="4"/>
      <c r="R1250"/>
      <c r="S1250"/>
      <c r="T1250" s="4"/>
      <c r="U1250" s="4"/>
      <c r="V1250"/>
      <c r="W1250"/>
      <c r="X1250"/>
      <c r="Y1250" t="inlineStr">
        <is>
          <t>Pending Appointment</t>
        </is>
      </c>
      <c r="Z1250" t="inlineStr">
        <is>
          <t>Hiring Now</t>
        </is>
      </c>
      <c r="AA1250">
        <v>1</v>
      </c>
      <c r="AB1250" t="inlineStr">
        <is>
          <t>No Appointment Made</t>
        </is>
      </c>
      <c r="AC1250"/>
      <c r="AD1250" t="inlineStr">
        <is>
          <t xml:space="preserve">1 Pharmacist </t>
        </is>
      </c>
      <c r="AE1250"/>
      <c r="AF1250">
        <v>0</v>
      </c>
      <c r="AG1250" s="4"/>
      <c r="AH1250" s="4"/>
      <c r="AI1250">
        <v>0</v>
      </c>
      <c r="AJ1250">
        <v>1</v>
      </c>
      <c r="AK1250" t="inlineStr">
        <is>
          <t>No, I don't need at all</t>
        </is>
      </c>
      <c r="AL1250">
        <v>1</v>
      </c>
      <c r="AM1250" t="inlineStr">
        <is>
          <t>No, I don't need at all</t>
        </is>
      </c>
      <c r="AN1250"/>
      <c r="AO1250" t="inlineStr">
        <is>
          <t>No, I don't need at all</t>
        </is>
      </c>
      <c r="AP1250" t="inlineStr">
        <is>
          <t>Once a year (25%)</t>
        </is>
      </c>
      <c r="AQ1250">
        <v>1</v>
      </c>
      <c r="AR1250" t="inlineStr">
        <is>
          <t>Did not use any job portal</t>
        </is>
      </c>
      <c r="AS1250" t="inlineStr">
        <is>
          <t>- Headcount: 1
- Hiring Job Details: 1 Pharmacist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1250">
        <v>110</v>
      </c>
      <c r="AU1250" t="inlineStr">
        <is>
          <t>1.10</t>
        </is>
      </c>
      <c r="AV1250" t="inlineStr">
        <is>
          <t>15</t>
        </is>
      </c>
      <c r="AW1250" t="inlineStr">
        <is>
          <t>0</t>
        </is>
      </c>
      <c r="AX1250" t="inlineStr">
        <is>
          <t>Not Qualified</t>
        </is>
      </c>
      <c r="AY1250" s="4"/>
      <c r="AZ1250"/>
      <c r="BA1250"/>
      <c r="BB1250"/>
      <c r="BC1250"/>
      <c r="BD1250" s="4"/>
      <c r="BE1250"/>
      <c r="BF1250"/>
      <c r="BG1250" t="inlineStr">
        <is>
          <t>Reschedule</t>
        </is>
      </c>
      <c r="BH1250" t="inlineStr">
        <is>
          <t>Reagen</t>
        </is>
      </c>
      <c r="BI1250"/>
      <c r="BJ1250" s="4">
        <v>46144.755902777775</v>
      </c>
      <c r="BK1250" s="4">
        <v>46135.72033564815</v>
      </c>
      <c r="BL1250" t="inlineStr">
        <is>
          <t>0.0</t>
        </is>
      </c>
      <c r="BM1250" t="inlineStr">
        <is>
          <t>0.0</t>
        </is>
      </c>
      <c r="BN1250"/>
      <c r="BO1250" s="4"/>
      <c r="BP1250">
        <v>168658</v>
      </c>
      <c r="BQ1250"/>
      <c r="BR1250"/>
      <c r="BS1250"/>
      <c r="BT1250"/>
      <c r="BU1250"/>
      <c r="BV1250"/>
      <c r="BW1250"/>
      <c r="BX1250"/>
      <c r="BY1250"/>
      <c r="BZ1250" s="4"/>
      <c r="CA1250"/>
      <c r="CB1250"/>
      <c r="CC1250" s="4"/>
      <c r="CD1250" t="inlineStr">
        <is>
          <t>20</t>
        </is>
      </c>
      <c r="CE1250" t="inlineStr">
        <is>
          <t>0</t>
        </is>
      </c>
      <c r="CF1250" t="inlineStr">
        <is>
          <t>Q2-W03</t>
        </is>
      </c>
      <c r="CG1250"/>
      <c r="CH1250"/>
      <c r="CI1250"/>
      <c r="CJ1250" t="inlineStr">
        <is>
          <t>No Paid</t>
        </is>
      </c>
      <c r="CK1250" t="inlineStr">
        <is>
          <t>Not Eligible</t>
        </is>
      </c>
      <c r="CL1250"/>
      <c r="CM1250"/>
    </row>
    <row r="1251" ht="25.5" customHeight="1">
      <c r="A1251" t="inlineStr">
        <is>
          <t>202672</t>
        </is>
      </c>
      <c r="B1251" s="2"/>
      <c r="C1251"/>
      <c r="D1251" s="3">
        <v>46135.73364583333</v>
      </c>
      <c r="E1251" t="inlineStr">
        <is>
          <t>Q2-W03</t>
        </is>
      </c>
      <c r="F1251" t="inlineStr">
        <is>
          <t>Keegan</t>
        </is>
      </c>
      <c r="G1251" t="inlineStr">
        <is>
          <t>Customer</t>
        </is>
      </c>
      <c r="H1251" s="2" t="str">
        <f>=HYPERLINK("https://upbox.ajobthing.my/customer/202672", "https://upbox.ajobthing.my/customer/202672")</f>
        <v>https://upbox.ajobthing.my/customer/202672</v>
      </c>
      <c r="I1251" t="inlineStr">
        <is>
          <t>Alles Ist Erlaubt Sdn Bhd</t>
        </is>
      </c>
      <c r="J1251" t="inlineStr">
        <is>
          <t>Small Fish</t>
        </is>
      </c>
      <c r="K1251" t="inlineStr">
        <is>
          <t>Keegan</t>
        </is>
      </c>
      <c r="L1251" s="4"/>
      <c r="M1251" s="4">
        <v>46135.73370370371</v>
      </c>
      <c r="N1251"/>
      <c r="O1251">
        <v>6048</v>
      </c>
      <c r="P1251" s="4"/>
      <c r="Q1251" s="4"/>
      <c r="R1251"/>
      <c r="S1251"/>
      <c r="T1251" s="4"/>
      <c r="U1251" s="4"/>
      <c r="V1251"/>
      <c r="W1251"/>
      <c r="X1251"/>
      <c r="Y1251" t="inlineStr">
        <is>
          <t>Pending Appointment</t>
        </is>
      </c>
      <c r="Z1251" t="inlineStr">
        <is>
          <t>Hiring Now</t>
        </is>
      </c>
      <c r="AA1251">
        <v>3</v>
      </c>
      <c r="AB1251" t="inlineStr">
        <is>
          <t>No Appointment Made</t>
        </is>
      </c>
      <c r="AC1251"/>
      <c r="AD1251" t="inlineStr">
        <is>
          <t xml:space="preserve">1. Sales 
2. Kitchen Helper 
3. Quantity Surveyor </t>
        </is>
      </c>
      <c r="AE1251"/>
      <c r="AF1251"/>
      <c r="AG1251" s="4"/>
      <c r="AH1251" s="4"/>
      <c r="AI1251"/>
      <c r="AJ1251">
        <v>1</v>
      </c>
      <c r="AK1251" t="inlineStr">
        <is>
          <t>No, I don't need at all</t>
        </is>
      </c>
      <c r="AL1251">
        <v>0</v>
      </c>
      <c r="AM1251" t="inlineStr">
        <is>
          <t>No, I don't need at all</t>
        </is>
      </c>
      <c r="AN1251"/>
      <c r="AO1251" t="inlineStr">
        <is>
          <t>No, I don't need at all</t>
        </is>
      </c>
      <c r="AP1251" t="inlineStr">
        <is>
          <t>Once per quarter (75%)</t>
        </is>
      </c>
      <c r="AQ1251"/>
      <c r="AR1251" t="inlineStr">
        <is>
          <t>Did not use any job portal</t>
        </is>
      </c>
      <c r="AS1251" t="inlineStr">
        <is>
          <t>- Headcount: 3
- Hiring Job Details: 1. Sales 2. Kitchen Helper 3. Quantity Surveyor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251">
        <v>75</v>
      </c>
      <c r="AU1251" t="inlineStr">
        <is>
          <t>0.75</t>
        </is>
      </c>
      <c r="AV1251" t="inlineStr">
        <is>
          <t>5</t>
        </is>
      </c>
      <c r="AW1251" t="inlineStr">
        <is>
          <t>0</t>
        </is>
      </c>
      <c r="AX1251" t="inlineStr">
        <is>
          <t>Not Qualified</t>
        </is>
      </c>
      <c r="AY1251" s="4"/>
      <c r="AZ1251"/>
      <c r="BA1251"/>
      <c r="BB1251"/>
      <c r="BC1251" t="inlineStr">
        <is>
          <t>f/up on decision</t>
        </is>
      </c>
      <c r="BD1251" s="4">
        <v>46142.6580787037</v>
      </c>
      <c r="BE1251"/>
      <c r="BF1251"/>
      <c r="BG1251" t="inlineStr">
        <is>
          <t>Reschedule</t>
        </is>
      </c>
      <c r="BH1251" t="inlineStr">
        <is>
          <t>Edward Hoo</t>
        </is>
      </c>
      <c r="BI1251"/>
      <c r="BJ1251" s="4">
        <v>46144.75409722222</v>
      </c>
      <c r="BK1251" s="4">
        <v>46113.47586805555</v>
      </c>
      <c r="BL1251" t="inlineStr">
        <is>
          <t>0.0</t>
        </is>
      </c>
      <c r="BM1251" t="inlineStr">
        <is>
          <t>0.0</t>
        </is>
      </c>
      <c r="BN1251" t="inlineStr">
        <is>
          <t>View Account User</t>
        </is>
      </c>
      <c r="BO1251" s="4">
        <v>46114.42060185185</v>
      </c>
      <c r="BP1251">
        <v>168659</v>
      </c>
      <c r="BQ1251"/>
      <c r="BR1251"/>
      <c r="BS1251"/>
      <c r="BT1251"/>
      <c r="BU1251"/>
      <c r="BV1251">
        <v>2738022</v>
      </c>
      <c r="BW1251" t="inlineStr">
        <is>
          <t>Follow Up : Decision Pending</t>
        </is>
      </c>
      <c r="BX1251"/>
      <c r="BY1251"/>
      <c r="BZ1251" s="4"/>
      <c r="CA1251"/>
      <c r="CB1251"/>
      <c r="CC1251" s="4"/>
      <c r="CD1251" t="inlineStr">
        <is>
          <t>5</t>
        </is>
      </c>
      <c r="CE1251" t="inlineStr">
        <is>
          <t>0</t>
        </is>
      </c>
      <c r="CF1251" t="inlineStr">
        <is>
          <t>Q2-W03</t>
        </is>
      </c>
      <c r="CG1251"/>
      <c r="CH1251"/>
      <c r="CI1251"/>
      <c r="CJ1251" t="inlineStr">
        <is>
          <t>No Paid</t>
        </is>
      </c>
      <c r="CK1251" t="inlineStr">
        <is>
          <t>Not Eligible</t>
        </is>
      </c>
      <c r="CL1251"/>
      <c r="CM1251"/>
    </row>
    <row r="1252" ht="25.5" customHeight="1">
      <c r="A1252" t="inlineStr">
        <is>
          <t>201143</t>
        </is>
      </c>
      <c r="B1252" s="2"/>
      <c r="C1252"/>
      <c r="D1252" s="3">
        <v>46135.73462962963</v>
      </c>
      <c r="E1252" t="inlineStr">
        <is>
          <t>Q2-W03</t>
        </is>
      </c>
      <c r="F1252" t="inlineStr">
        <is>
          <t>Xin Hui</t>
        </is>
      </c>
      <c r="G1252" t="inlineStr">
        <is>
          <t>Customer</t>
        </is>
      </c>
      <c r="H1252" s="2" t="str">
        <f>=HYPERLINK("https://upbox.ajobthing.my/customer/201143", "https://upbox.ajobthing.my/customer/201143")</f>
        <v>https://upbox.ajobthing.my/customer/201143</v>
      </c>
      <c r="I1252" t="inlineStr">
        <is>
          <t>Mk Organic Help Farm Sdn Bhd</t>
        </is>
      </c>
      <c r="J1252" t="inlineStr">
        <is>
          <t>Small Fish</t>
        </is>
      </c>
      <c r="K1252" t="inlineStr">
        <is>
          <t>Xin Hui</t>
        </is>
      </c>
      <c r="L1252" s="4"/>
      <c r="M1252" s="4">
        <v>46135.740439814814</v>
      </c>
      <c r="N1252"/>
      <c r="O1252">
        <v>3888</v>
      </c>
      <c r="P1252" s="4"/>
      <c r="Q1252" s="4">
        <v>46063.72655092592</v>
      </c>
      <c r="R1252"/>
      <c r="S1252">
        <v>0</v>
      </c>
      <c r="T1252" s="4"/>
      <c r="U1252" s="4"/>
      <c r="V1252"/>
      <c r="W1252"/>
      <c r="X1252"/>
      <c r="Y1252" t="inlineStr">
        <is>
          <t>Pending Appointment</t>
        </is>
      </c>
      <c r="Z1252" t="inlineStr">
        <is>
          <t>Hiring Later</t>
        </is>
      </c>
      <c r="AA1252">
        <v>2</v>
      </c>
      <c r="AB1252" t="inlineStr">
        <is>
          <t>No Appointment Made</t>
        </is>
      </c>
      <c r="AC1252"/>
      <c r="AD1252" t="inlineStr">
        <is>
          <t>waiter / cashier</t>
        </is>
      </c>
      <c r="AE1252"/>
      <c r="AF1252"/>
      <c r="AG1252" s="4"/>
      <c r="AH1252" s="4"/>
      <c r="AI1252"/>
      <c r="AJ1252"/>
      <c r="AK1252" t="inlineStr">
        <is>
          <t>No, I don't need at all</t>
        </is>
      </c>
      <c r="AL1252"/>
      <c r="AM1252" t="inlineStr">
        <is>
          <t>No, I don't need at all</t>
        </is>
      </c>
      <c r="AN1252"/>
      <c r="AO1252" t="inlineStr">
        <is>
          <t>No, I don't need at all</t>
        </is>
      </c>
      <c r="AP1252" t="inlineStr">
        <is>
          <t>Once a year (25%)</t>
        </is>
      </c>
      <c r="AQ1252"/>
      <c r="AR1252"/>
      <c r="AS1252" t="inlineStr">
        <is>
          <t>- Headcount: 2
- Hiring Job Details: waiter / cashier
- Hiring Urgency: Hiring Later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AT1252">
        <v>75</v>
      </c>
      <c r="AU1252" t="inlineStr">
        <is>
          <t>0.75</t>
        </is>
      </c>
      <c r="AV1252" t="inlineStr">
        <is>
          <t>5</t>
        </is>
      </c>
      <c r="AW1252" t="inlineStr">
        <is>
          <t>0</t>
        </is>
      </c>
      <c r="AX1252" t="inlineStr">
        <is>
          <t>Not Qualified</t>
        </is>
      </c>
      <c r="AY1252" s="4"/>
      <c r="AZ1252"/>
      <c r="BA1252"/>
      <c r="BB1252"/>
      <c r="BC1252" t="inlineStr">
        <is>
          <t>- Headcount: 2
- Hiring Job Details: waiter / cashier
- Hiring Urgency: Hiring Later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Not specified</t>
        </is>
      </c>
      <c r="BD1252" s="4">
        <v>46135.7505787037</v>
      </c>
      <c r="BE1252" t="inlineStr">
        <is>
          <t>paid</t>
        </is>
      </c>
      <c r="BF1252"/>
      <c r="BG1252" t="inlineStr">
        <is>
          <t>Reschedule</t>
        </is>
      </c>
      <c r="BH1252" t="inlineStr">
        <is>
          <t>Yee Hang</t>
        </is>
      </c>
      <c r="BI1252"/>
      <c r="BJ1252" s="4">
        <v>46144.75372685185</v>
      </c>
      <c r="BK1252" s="4">
        <v>46063.726168981484</v>
      </c>
      <c r="BL1252" t="inlineStr">
        <is>
          <t>0.0</t>
        </is>
      </c>
      <c r="BM1252" t="inlineStr">
        <is>
          <t>0.0</t>
        </is>
      </c>
      <c r="BN1252" t="inlineStr">
        <is>
          <t>View Company Page</t>
        </is>
      </c>
      <c r="BO1252" s="4">
        <v>46064.38700231481</v>
      </c>
      <c r="BP1252">
        <v>168663</v>
      </c>
      <c r="BQ1252">
        <v>114947</v>
      </c>
      <c r="BR1252" t="inlineStr">
        <is>
          <t>Proforma</t>
        </is>
      </c>
      <c r="BS1252" t="inlineStr">
        <is>
          <t>Free Internship Job</t>
        </is>
      </c>
      <c r="BT1252"/>
      <c r="BU1252"/>
      <c r="BV1252">
        <v>2725191</v>
      </c>
      <c r="BW1252" t="inlineStr">
        <is>
          <t>Customer Inquiry</t>
        </is>
      </c>
      <c r="BX1252"/>
      <c r="BY1252"/>
      <c r="BZ1252" s="4"/>
      <c r="CA1252"/>
      <c r="CB1252"/>
      <c r="CC1252" s="4"/>
      <c r="CD1252" t="inlineStr">
        <is>
          <t>5</t>
        </is>
      </c>
      <c r="CE1252" t="inlineStr">
        <is>
          <t>0</t>
        </is>
      </c>
      <c r="CF1252" t="inlineStr">
        <is>
          <t>Q2-W03</t>
        </is>
      </c>
      <c r="CG1252" t="inlineStr">
        <is>
          <t>Q1-W06</t>
        </is>
      </c>
      <c r="CH1252"/>
      <c r="CI1252"/>
      <c r="CJ1252" t="inlineStr">
        <is>
          <t>No Paid</t>
        </is>
      </c>
      <c r="CK1252" t="inlineStr">
        <is>
          <t>Not Eligible</t>
        </is>
      </c>
      <c r="CL1252"/>
      <c r="CM1252"/>
    </row>
    <row r="1253" ht="25.5" customHeight="1">
      <c r="A1253" t="inlineStr">
        <is>
          <t>181761</t>
        </is>
      </c>
      <c r="B1253" s="2"/>
      <c r="C1253"/>
      <c r="D1253" s="3">
        <v>46135.7449537037</v>
      </c>
      <c r="E1253" t="inlineStr">
        <is>
          <t>Q2-W03</t>
        </is>
      </c>
      <c r="F1253" t="inlineStr">
        <is>
          <t>Jeff Lee</t>
        </is>
      </c>
      <c r="G1253" t="inlineStr">
        <is>
          <t>Customer</t>
        </is>
      </c>
      <c r="H1253" s="2" t="str">
        <f>=HYPERLINK("https://upbox.ajobthing.my/customer/181761", "https://upbox.ajobthing.my/customer/181761")</f>
        <v>https://upbox.ajobthing.my/customer/181761</v>
      </c>
      <c r="I1253" t="inlineStr">
        <is>
          <t>Healers World Sdn Bhd</t>
        </is>
      </c>
      <c r="J1253" t="inlineStr">
        <is>
          <t>Small Fish</t>
        </is>
      </c>
      <c r="K1253" t="inlineStr">
        <is>
          <t>Jeff Lee</t>
        </is>
      </c>
      <c r="L1253" s="4"/>
      <c r="M1253" s="4">
        <v>46135.747569444444</v>
      </c>
      <c r="N1253"/>
      <c r="O1253">
        <v>6048</v>
      </c>
      <c r="P1253" s="4"/>
      <c r="Q1253" s="4"/>
      <c r="R1253"/>
      <c r="S1253"/>
      <c r="T1253" s="4"/>
      <c r="U1253" s="4"/>
      <c r="V1253"/>
      <c r="W1253"/>
      <c r="X1253"/>
      <c r="Y1253" t="inlineStr">
        <is>
          <t>Pending Appointment</t>
        </is>
      </c>
      <c r="Z1253" t="inlineStr">
        <is>
          <t>Hiring Now</t>
        </is>
      </c>
      <c r="AA1253">
        <v>3</v>
      </c>
      <c r="AB1253" t="inlineStr">
        <is>
          <t>No Appointment Made</t>
        </is>
      </c>
      <c r="AC1253"/>
      <c r="AD1253" t="inlineStr">
        <is>
          <t>1 operation manager 3-4year, 1 customer service and 1 sales</t>
        </is>
      </c>
      <c r="AE1253"/>
      <c r="AF1253">
        <v>0</v>
      </c>
      <c r="AG1253" s="4"/>
      <c r="AH1253" s="4"/>
      <c r="AI1253">
        <v>0</v>
      </c>
      <c r="AJ1253">
        <v>0</v>
      </c>
      <c r="AK1253" t="inlineStr">
        <is>
          <t>No, I don't need at all</t>
        </is>
      </c>
      <c r="AL1253">
        <v>0</v>
      </c>
      <c r="AM1253" t="inlineStr">
        <is>
          <t>No, I don't need at all</t>
        </is>
      </c>
      <c r="AN1253"/>
      <c r="AO1253" t="inlineStr">
        <is>
          <t>No, I don't need at all</t>
        </is>
      </c>
      <c r="AP1253" t="inlineStr">
        <is>
          <t>Once a year (25%)</t>
        </is>
      </c>
      <c r="AQ1253">
        <v>3</v>
      </c>
      <c r="AR1253" t="inlineStr">
        <is>
          <t>Indeed (Paid)</t>
        </is>
      </c>
      <c r="AS1253" t="inlineStr">
        <is>
          <t>- Headcount: 3
- Hiring Job Details: 1 operation manager (3-4year), 1 customer service, 1 sales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Indeed (Paid)</t>
        </is>
      </c>
      <c r="AT1253">
        <v>105</v>
      </c>
      <c r="AU1253" t="inlineStr">
        <is>
          <t>1.05</t>
        </is>
      </c>
      <c r="AV1253" t="inlineStr">
        <is>
          <t>15</t>
        </is>
      </c>
      <c r="AW1253" t="inlineStr">
        <is>
          <t>0</t>
        </is>
      </c>
      <c r="AX1253" t="inlineStr">
        <is>
          <t>Not Qualified</t>
        </is>
      </c>
      <c r="AY1253" s="4"/>
      <c r="AZ1253"/>
      <c r="BA1253"/>
      <c r="BB1253"/>
      <c r="BC1253" t="inlineStr">
        <is>
          <t>3 day na</t>
        </is>
      </c>
      <c r="BD1253" s="4">
        <v>46141.63046296296</v>
      </c>
      <c r="BE1253"/>
      <c r="BF1253"/>
      <c r="BG1253" t="inlineStr">
        <is>
          <t>Reschedule</t>
        </is>
      </c>
      <c r="BH1253" t="inlineStr">
        <is>
          <t>Yee Hang</t>
        </is>
      </c>
      <c r="BI1253" t="inlineStr">
        <is>
          <t>Healthcare / Medical</t>
        </is>
      </c>
      <c r="BJ1253" s="4">
        <v>46144.75188657407</v>
      </c>
      <c r="BK1253" s="4">
        <v>45523.42773148148</v>
      </c>
      <c r="BL1253" t="inlineStr">
        <is>
          <t>0.0</t>
        </is>
      </c>
      <c r="BM1253" t="inlineStr">
        <is>
          <t>600.0</t>
        </is>
      </c>
      <c r="BN1253" t="inlineStr">
        <is>
          <t>View Company Page</t>
        </is>
      </c>
      <c r="BO1253" s="4">
        <v>45586.49424768519</v>
      </c>
      <c r="BP1253">
        <v>168665</v>
      </c>
      <c r="BQ1253"/>
      <c r="BR1253"/>
      <c r="BS1253"/>
      <c r="BT1253"/>
      <c r="BU1253"/>
      <c r="BV1253">
        <v>2735539</v>
      </c>
      <c r="BW1253" t="inlineStr">
        <is>
          <t>No Answer : 3 Days No Response</t>
        </is>
      </c>
      <c r="BX1253"/>
      <c r="BY1253"/>
      <c r="BZ1253" s="4"/>
      <c r="CA1253"/>
      <c r="CB1253"/>
      <c r="CC1253" s="4"/>
      <c r="CD1253" t="inlineStr">
        <is>
          <t>20</t>
        </is>
      </c>
      <c r="CE1253" t="inlineStr">
        <is>
          <t>0</t>
        </is>
      </c>
      <c r="CF1253" t="inlineStr">
        <is>
          <t>Q2-W03</t>
        </is>
      </c>
      <c r="CG1253"/>
      <c r="CH1253"/>
      <c r="CI1253"/>
      <c r="CJ1253" t="inlineStr">
        <is>
          <t>No Paid</t>
        </is>
      </c>
      <c r="CK1253" t="inlineStr">
        <is>
          <t>Not Eligible</t>
        </is>
      </c>
      <c r="CL1253"/>
      <c r="CM1253"/>
    </row>
    <row r="1254" ht="25.5" customHeight="1">
      <c r="A1254" t="inlineStr">
        <is>
          <t>193035</t>
        </is>
      </c>
      <c r="B1254" s="2"/>
      <c r="C1254"/>
      <c r="D1254" s="3">
        <v>46135.766122685185</v>
      </c>
      <c r="E1254" t="inlineStr">
        <is>
          <t>Q2-W03</t>
        </is>
      </c>
      <c r="F1254" t="inlineStr">
        <is>
          <t>Dickson</t>
        </is>
      </c>
      <c r="G1254" t="inlineStr">
        <is>
          <t>Customer</t>
        </is>
      </c>
      <c r="H1254" s="2" t="str">
        <f>=HYPERLINK("https://upbox.ajobthing.my/customer/193035", "https://upbox.ajobthing.my/customer/193035")</f>
        <v>https://upbox.ajobthing.my/customer/193035</v>
      </c>
      <c r="I1254" t="inlineStr">
        <is>
          <t>Dawell&amp;nbsp;fluid&amp;nbsp;and&amp;nbsp;control&amp;nbsp;sdn.&amp;nbsp;bhd.</t>
        </is>
      </c>
      <c r="J1254" t="inlineStr">
        <is>
          <t>Small Fish</t>
        </is>
      </c>
      <c r="K1254" t="inlineStr">
        <is>
          <t>Dickson</t>
        </is>
      </c>
      <c r="L1254" s="4"/>
      <c r="M1254" s="4">
        <v>46135.76621527778</v>
      </c>
      <c r="N1254"/>
      <c r="O1254">
        <v>1296</v>
      </c>
      <c r="P1254" s="4"/>
      <c r="Q1254" s="4"/>
      <c r="R1254"/>
      <c r="S1254"/>
      <c r="T1254" s="4"/>
      <c r="U1254" s="4"/>
      <c r="V1254"/>
      <c r="W1254"/>
      <c r="X1254"/>
      <c r="Y1254" t="inlineStr">
        <is>
          <t>Pending Appointment</t>
        </is>
      </c>
      <c r="Z1254" t="inlineStr">
        <is>
          <t>Hiring Now</t>
        </is>
      </c>
      <c r="AA1254">
        <v>1</v>
      </c>
      <c r="AB1254" t="inlineStr">
        <is>
          <t>No Appointment Made</t>
        </is>
      </c>
      <c r="AC1254"/>
      <c r="AD1254" t="inlineStr">
        <is>
          <t>1 sales manager</t>
        </is>
      </c>
      <c r="AE1254"/>
      <c r="AF1254"/>
      <c r="AG1254" s="4"/>
      <c r="AH1254" s="4"/>
      <c r="AI1254"/>
      <c r="AJ1254">
        <v>1</v>
      </c>
      <c r="AK1254" t="inlineStr">
        <is>
          <t>No, I don't need at all</t>
        </is>
      </c>
      <c r="AL1254"/>
      <c r="AM1254" t="inlineStr">
        <is>
          <t>No, I don't need at all</t>
        </is>
      </c>
      <c r="AN1254"/>
      <c r="AO1254" t="inlineStr">
        <is>
          <t>No, I don't need at all</t>
        </is>
      </c>
      <c r="AP1254" t="inlineStr">
        <is>
          <t>Once per quarter (75%)</t>
        </is>
      </c>
      <c r="AQ1254"/>
      <c r="AR1254" t="inlineStr">
        <is>
          <t>Jobstreet</t>
        </is>
      </c>
      <c r="AS1254" t="inlineStr">
        <is>
          <t>- Headcount: 1
- Hiring Job Details: 1 sales manager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254">
        <v>100</v>
      </c>
      <c r="AU1254" t="inlineStr">
        <is>
          <t>1.00</t>
        </is>
      </c>
      <c r="AV1254" t="inlineStr">
        <is>
          <t>5</t>
        </is>
      </c>
      <c r="AW1254" t="inlineStr">
        <is>
          <t>0</t>
        </is>
      </c>
      <c r="AX1254" t="inlineStr">
        <is>
          <t>Not Qualified</t>
        </is>
      </c>
      <c r="AY1254" s="4"/>
      <c r="AZ1254"/>
      <c r="BA1254"/>
      <c r="BB1254"/>
      <c r="BC1254" t="inlineStr">
        <is>
          <t>dont wish to proceed</t>
        </is>
      </c>
      <c r="BD1254" s="4">
        <v>46141.697384259256</v>
      </c>
      <c r="BE1254"/>
      <c r="BF1254"/>
      <c r="BG1254" t="inlineStr">
        <is>
          <t>Reschedule</t>
        </is>
      </c>
      <c r="BH1254" t="inlineStr">
        <is>
          <t>Edward Hoo</t>
        </is>
      </c>
      <c r="BI1254"/>
      <c r="BJ1254" s="4">
        <v>46144.752592592595</v>
      </c>
      <c r="BK1254" s="4">
        <v>45833.41923611111</v>
      </c>
      <c r="BL1254" t="inlineStr">
        <is>
          <t>0.0</t>
        </is>
      </c>
      <c r="BM1254" t="inlineStr">
        <is>
          <t>0.0</t>
        </is>
      </c>
      <c r="BN1254" t="inlineStr">
        <is>
          <t>View Create Job Page</t>
        </is>
      </c>
      <c r="BO1254" s="4">
        <v>45833.419594907406</v>
      </c>
      <c r="BP1254">
        <v>168681</v>
      </c>
      <c r="BQ1254"/>
      <c r="BR1254"/>
      <c r="BS1254"/>
      <c r="BT1254"/>
      <c r="BU1254"/>
      <c r="BV1254">
        <v>2735990</v>
      </c>
      <c r="BW1254" t="inlineStr">
        <is>
          <t>Follow Up : Lost - Free Portal</t>
        </is>
      </c>
      <c r="BX1254"/>
      <c r="BY1254"/>
      <c r="BZ1254" s="4"/>
      <c r="CA1254"/>
      <c r="CB1254"/>
      <c r="CC1254" s="4"/>
      <c r="CD1254" t="inlineStr">
        <is>
          <t>5</t>
        </is>
      </c>
      <c r="CE1254" t="inlineStr">
        <is>
          <t>0</t>
        </is>
      </c>
      <c r="CF1254" t="inlineStr">
        <is>
          <t>Q2-W03</t>
        </is>
      </c>
      <c r="CG1254"/>
      <c r="CH1254"/>
      <c r="CI1254"/>
      <c r="CJ1254" t="inlineStr">
        <is>
          <t>No Paid</t>
        </is>
      </c>
      <c r="CK1254" t="inlineStr">
        <is>
          <t>Not Eligible</t>
        </is>
      </c>
      <c r="CL1254"/>
      <c r="CM1254"/>
    </row>
    <row r="1255" ht="25.5" customHeight="1">
      <c r="A1255" t="inlineStr">
        <is>
          <t>203287</t>
        </is>
      </c>
      <c r="B1255" s="2"/>
      <c r="C1255"/>
      <c r="D1255" s="3">
        <v>46129.492893518516</v>
      </c>
      <c r="E1255" t="inlineStr">
        <is>
          <t>Q2-W03</t>
        </is>
      </c>
      <c r="F1255" t="inlineStr">
        <is>
          <t>Ratha</t>
        </is>
      </c>
      <c r="G1255" t="inlineStr">
        <is>
          <t>Customer</t>
        </is>
      </c>
      <c r="H1255" s="2" t="str">
        <f>=HYPERLINK("https://upbox.ajobthing.my/customer/203287", "https://upbox.ajobthing.my/customer/203287")</f>
        <v>https://upbox.ajobthing.my/customer/203287</v>
      </c>
      <c r="I1255" t="inlineStr">
        <is>
          <t>Cimb Bank Berhad</t>
        </is>
      </c>
      <c r="J1255" t="inlineStr">
        <is>
          <t>Super Whale</t>
        </is>
      </c>
      <c r="K1255" t="inlineStr">
        <is>
          <t>Ratha</t>
        </is>
      </c>
      <c r="L1255" s="4"/>
      <c r="M1255" s="4">
        <v>46129.493993055556</v>
      </c>
      <c r="N1255"/>
      <c r="O1255">
        <v>11448</v>
      </c>
      <c r="P1255" s="4"/>
      <c r="Q1255" s="4"/>
      <c r="R1255"/>
      <c r="S1255"/>
      <c r="T1255" s="4"/>
      <c r="U1255" s="4"/>
      <c r="V1255"/>
      <c r="W1255"/>
      <c r="X1255"/>
      <c r="Y1255" t="inlineStr">
        <is>
          <t>Pending Appointment</t>
        </is>
      </c>
      <c r="Z1255" t="inlineStr">
        <is>
          <t>Hiring Now</t>
        </is>
      </c>
      <c r="AA1255">
        <v>2</v>
      </c>
      <c r="AB1255" t="inlineStr">
        <is>
          <t>No Appointment Made</t>
        </is>
      </c>
      <c r="AC1255"/>
      <c r="AD1255" t="inlineStr">
        <is>
          <t>assistant manager
Manager 
5-10
Location : USJ9 &amp; Klang</t>
        </is>
      </c>
      <c r="AE1255"/>
      <c r="AF1255"/>
      <c r="AG1255" s="4"/>
      <c r="AH1255" s="4"/>
      <c r="AI1255"/>
      <c r="AJ1255">
        <v>2</v>
      </c>
      <c r="AK1255" t="inlineStr">
        <is>
          <t>Yes, I have</t>
        </is>
      </c>
      <c r="AL1255">
        <v>3</v>
      </c>
      <c r="AM1255" t="inlineStr">
        <is>
          <t>No, I don't need at all</t>
        </is>
      </c>
      <c r="AN1255"/>
      <c r="AO1255" t="inlineStr">
        <is>
          <t>Yes, I have</t>
        </is>
      </c>
      <c r="AP1255" t="inlineStr">
        <is>
          <t>Every month (100%)</t>
        </is>
      </c>
      <c r="AQ1255"/>
      <c r="AR1255" t="inlineStr">
        <is>
          <t>Did not use any job portal</t>
        </is>
      </c>
      <c r="AS1255" t="inlineStr">
        <is>
          <t>- Headcount: 2
- Hiring Job Details: assistant manager, Manager; 5-10 years of experience; Location: USJ9 &amp; Klang
- Hiring Urgency: Hiring Now
- Number of outlets: 2
- Have recruiter team: Yes
- Number of recruiter in company: 3
- Have ATS system: No, I don't need at all
- Have career website: Yes
- Current hiring budget: Not specified
- Whole year budget: Not specified
- Whole year number of vacancies: Not specified
- Hiring frequency: Every month (100%)
- External job portal: Did not use any</t>
        </is>
      </c>
      <c r="AT1255">
        <v>75</v>
      </c>
      <c r="AU1255" t="inlineStr">
        <is>
          <t>0.75</t>
        </is>
      </c>
      <c r="AV1255" t="inlineStr">
        <is>
          <t>5</t>
        </is>
      </c>
      <c r="AW1255" t="inlineStr">
        <is>
          <t>0</t>
        </is>
      </c>
      <c r="AX1255" t="inlineStr">
        <is>
          <t>Not Qualified</t>
        </is>
      </c>
      <c r="AY1255" s="4"/>
      <c r="AZ1255"/>
      <c r="BA1255"/>
      <c r="BB1255"/>
      <c r="BC1255" t="inlineStr">
        <is>
          <t>not proceed</t>
        </is>
      </c>
      <c r="BD1255" s="4">
        <v>46134.600023148145</v>
      </c>
      <c r="BE1255"/>
      <c r="BF1255"/>
      <c r="BG1255" t="inlineStr">
        <is>
          <t>Reschedule</t>
        </is>
      </c>
      <c r="BH1255" t="inlineStr">
        <is>
          <t>Fauziah Maharan</t>
        </is>
      </c>
      <c r="BI1255" t="inlineStr">
        <is>
          <t>Banking / Finance</t>
        </is>
      </c>
      <c r="BJ1255" s="4">
        <v>46144.754282407404</v>
      </c>
      <c r="BK1255" s="4">
        <v>46127.93106481482</v>
      </c>
      <c r="BL1255" t="inlineStr">
        <is>
          <t>0.0</t>
        </is>
      </c>
      <c r="BM1255" t="inlineStr">
        <is>
          <t>123000.0</t>
        </is>
      </c>
      <c r="BN1255" t="inlineStr">
        <is>
          <t>View Company Page</t>
        </is>
      </c>
      <c r="BO1255" s="4">
        <v>46129.481828703705</v>
      </c>
      <c r="BP1255">
        <v>167573</v>
      </c>
      <c r="BQ1255"/>
      <c r="BR1255"/>
      <c r="BS1255"/>
      <c r="BT1255"/>
      <c r="BU1255"/>
      <c r="BV1255">
        <v>2720772</v>
      </c>
      <c r="BW1255" t="inlineStr">
        <is>
          <t>Follow Up : Lost - Paid Portal</t>
        </is>
      </c>
      <c r="BX1255"/>
      <c r="BY1255"/>
      <c r="BZ1255" s="4"/>
      <c r="CA1255"/>
      <c r="CB1255"/>
      <c r="CC1255" s="4"/>
      <c r="CD1255" t="inlineStr">
        <is>
          <t>5</t>
        </is>
      </c>
      <c r="CE1255" t="inlineStr">
        <is>
          <t>0</t>
        </is>
      </c>
      <c r="CF1255" t="inlineStr">
        <is>
          <t>Q2-W03</t>
        </is>
      </c>
      <c r="CG1255"/>
      <c r="CH1255"/>
      <c r="CI1255"/>
      <c r="CJ1255" t="inlineStr">
        <is>
          <t>No Paid</t>
        </is>
      </c>
      <c r="CK1255" t="inlineStr">
        <is>
          <t>Eligible</t>
        </is>
      </c>
      <c r="CL1255"/>
      <c r="CM1255"/>
    </row>
    <row r="1256" ht="25.5" customHeight="1">
      <c r="A1256" t="inlineStr">
        <is>
          <t>203237</t>
        </is>
      </c>
      <c r="B1256" s="2"/>
      <c r="C1256"/>
      <c r="D1256" s="3">
        <v>46129.58212962963</v>
      </c>
      <c r="E1256" t="inlineStr">
        <is>
          <t>Q2-W03</t>
        </is>
      </c>
      <c r="F1256" t="inlineStr">
        <is>
          <t>Angel  Low</t>
        </is>
      </c>
      <c r="G1256" t="inlineStr">
        <is>
          <t>Customer</t>
        </is>
      </c>
      <c r="H1256" s="2" t="str">
        <f>=HYPERLINK("https://upbox.ajobthing.my/customer/203237", "https://upbox.ajobthing.my/customer/203237")</f>
        <v>https://upbox.ajobthing.my/customer/203237</v>
      </c>
      <c r="I1256" t="inlineStr">
        <is>
          <t>YTL Communications Sdn Bhd</t>
        </is>
      </c>
      <c r="J1256" t="inlineStr">
        <is>
          <t>Super Whale</t>
        </is>
      </c>
      <c r="K1256" t="inlineStr">
        <is>
          <t>Angel Low</t>
        </is>
      </c>
      <c r="L1256" s="4"/>
      <c r="M1256" s="4">
        <v>46129.68782407408</v>
      </c>
      <c r="N1256"/>
      <c r="O1256">
        <v>22248</v>
      </c>
      <c r="P1256" s="4"/>
      <c r="Q1256" s="4">
        <v>46126.83185185185</v>
      </c>
      <c r="R1256"/>
      <c r="S1256">
        <v>0</v>
      </c>
      <c r="T1256" s="4"/>
      <c r="U1256" s="4"/>
      <c r="V1256"/>
      <c r="W1256"/>
      <c r="X1256" t="inlineStr">
        <is>
          <t>Dandy Liu</t>
        </is>
      </c>
      <c r="Y1256" t="inlineStr">
        <is>
          <t>Pending Appointment</t>
        </is>
      </c>
      <c r="Z1256"/>
      <c r="AA1256">
        <v>31</v>
      </c>
      <c r="AB1256" t="inlineStr">
        <is>
          <t>Appointment Made</t>
        </is>
      </c>
      <c r="AC1256"/>
      <c r="AD1256" t="inlineStr">
        <is>
          <t xml:space="preserve">20 -50 retail sales asistatn </t>
        </is>
      </c>
      <c r="AE1256"/>
      <c r="AF1256"/>
      <c r="AG1256" s="4">
        <v>46129.416666666664</v>
      </c>
      <c r="AH1256" s="4">
        <v>46129.458333333336</v>
      </c>
      <c r="AI1256"/>
      <c r="AJ1256"/>
      <c r="AK1256"/>
      <c r="AL1256"/>
      <c r="AM1256"/>
      <c r="AN1256"/>
      <c r="AO1256"/>
      <c r="AP1256"/>
      <c r="AQ1256"/>
      <c r="AR1256"/>
      <c r="AS1256" t="inlineStr">
        <is>
          <t>- Headcount: 31
- Hiring Job Details: 20-50 retail sales assistant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256">
        <v>60</v>
      </c>
      <c r="AU1256" t="inlineStr">
        <is>
          <t>0.60</t>
        </is>
      </c>
      <c r="AV1256" t="inlineStr">
        <is>
          <t>25</t>
        </is>
      </c>
      <c r="AW1256" t="inlineStr">
        <is>
          <t>0</t>
        </is>
      </c>
      <c r="AX1256" t="inlineStr">
        <is>
          <t>Not Qualified</t>
        </is>
      </c>
      <c r="AY1256" s="4"/>
      <c r="AZ1256"/>
      <c r="BA1256"/>
      <c r="BB1256"/>
      <c r="BC1256" t="inlineStr">
        <is>
          <t>pending</t>
        </is>
      </c>
      <c r="BD1256" s="4">
        <v>46141.74170138889</v>
      </c>
      <c r="BE1256" t="inlineStr">
        <is>
          <t>paid</t>
        </is>
      </c>
      <c r="BF1256"/>
      <c r="BG1256" t="inlineStr">
        <is>
          <t>Reschedule</t>
        </is>
      </c>
      <c r="BH1256" t="inlineStr">
        <is>
          <t>Fauziah Maharan</t>
        </is>
      </c>
      <c r="BI1256" t="inlineStr">
        <is>
          <t>Telecommunication</t>
        </is>
      </c>
      <c r="BJ1256" s="4">
        <v>46144.75425925926</v>
      </c>
      <c r="BK1256" s="4">
        <v>46126.82815972222</v>
      </c>
      <c r="BL1256" t="inlineStr">
        <is>
          <t>0.0</t>
        </is>
      </c>
      <c r="BM1256" t="inlineStr">
        <is>
          <t>5400.0</t>
        </is>
      </c>
      <c r="BN1256" t="inlineStr">
        <is>
          <t>User Visit(Logged In)</t>
        </is>
      </c>
      <c r="BO1256" s="4">
        <v>46129.47769675926</v>
      </c>
      <c r="BP1256">
        <v>167676</v>
      </c>
      <c r="BQ1256">
        <v>122355</v>
      </c>
      <c r="BR1256" t="inlineStr">
        <is>
          <t>Proforma</t>
        </is>
      </c>
      <c r="BS1256" t="inlineStr">
        <is>
          <t>Free High Pay Job</t>
        </is>
      </c>
      <c r="BT1256"/>
      <c r="BU1256"/>
      <c r="BV1256">
        <v>2736284</v>
      </c>
      <c r="BW1256" t="inlineStr">
        <is>
          <t>Follow Up : Decision Pending</t>
        </is>
      </c>
      <c r="BX1256"/>
      <c r="BY1256"/>
      <c r="BZ1256" s="4"/>
      <c r="CA1256"/>
      <c r="CB1256"/>
      <c r="CC1256" s="4"/>
      <c r="CD1256" t="inlineStr">
        <is>
          <t>35</t>
        </is>
      </c>
      <c r="CE1256" t="inlineStr">
        <is>
          <t>0</t>
        </is>
      </c>
      <c r="CF1256" t="inlineStr">
        <is>
          <t>Q2-W03</t>
        </is>
      </c>
      <c r="CG1256" t="inlineStr">
        <is>
          <t>Q2-W02</t>
        </is>
      </c>
      <c r="CH1256"/>
      <c r="CI1256"/>
      <c r="CJ1256" t="inlineStr">
        <is>
          <t>No Paid</t>
        </is>
      </c>
      <c r="CK1256" t="inlineStr">
        <is>
          <t>Eligible</t>
        </is>
      </c>
      <c r="CL1256"/>
      <c r="CM1256"/>
    </row>
    <row r="1257" ht="25.5" customHeight="1">
      <c r="A1257" t="inlineStr">
        <is>
          <t>187765</t>
        </is>
      </c>
      <c r="B1257" s="2"/>
      <c r="C1257"/>
      <c r="D1257" s="3">
        <v>46129.67951388889</v>
      </c>
      <c r="E1257" t="inlineStr">
        <is>
          <t>Q2-W03</t>
        </is>
      </c>
      <c r="F1257" t="inlineStr">
        <is>
          <t>Josh</t>
        </is>
      </c>
      <c r="G1257" t="inlineStr">
        <is>
          <t>Customer</t>
        </is>
      </c>
      <c r="H1257" s="2" t="str">
        <f>=HYPERLINK("https://upbox.ajobthing.my/customer/187765", "https://upbox.ajobthing.my/customer/187765")</f>
        <v>https://upbox.ajobthing.my/customer/187765</v>
      </c>
      <c r="I1257" t="inlineStr">
        <is>
          <t>Delta Zeeforce Security Services Sdn Bhd</t>
        </is>
      </c>
      <c r="J1257" t="inlineStr">
        <is>
          <t>Super Whale</t>
        </is>
      </c>
      <c r="K1257" t="inlineStr">
        <is>
          <t>Josh</t>
        </is>
      </c>
      <c r="L1257" s="4"/>
      <c r="M1257" s="4">
        <v>46129.67969907408</v>
      </c>
      <c r="N1257"/>
      <c r="O1257">
        <v>6048</v>
      </c>
      <c r="P1257" s="4"/>
      <c r="Q1257" s="4">
        <v>45706.60532407407</v>
      </c>
      <c r="R1257"/>
      <c r="S1257">
        <v>648</v>
      </c>
      <c r="T1257" s="4">
        <v>45706.60532407407</v>
      </c>
      <c r="U1257" s="4"/>
      <c r="V1257"/>
      <c r="W1257">
        <v>648</v>
      </c>
      <c r="X1257"/>
      <c r="Y1257" t="inlineStr">
        <is>
          <t>Pending Appointment</t>
        </is>
      </c>
      <c r="Z1257" t="inlineStr">
        <is>
          <t>Hiring Now</t>
        </is>
      </c>
      <c r="AA1257">
        <v>2</v>
      </c>
      <c r="AB1257" t="inlineStr">
        <is>
          <t>No Appointment Made</t>
        </is>
      </c>
      <c r="AC1257"/>
      <c r="AD1257" t="inlineStr">
        <is>
          <t xml:space="preserve">2 security </t>
        </is>
      </c>
      <c r="AE1257"/>
      <c r="AF1257">
        <v>3000</v>
      </c>
      <c r="AG1257" s="4"/>
      <c r="AH1257" s="4"/>
      <c r="AI1257"/>
      <c r="AJ1257"/>
      <c r="AK1257" t="inlineStr">
        <is>
          <t>Yes, I have</t>
        </is>
      </c>
      <c r="AL1257"/>
      <c r="AM1257"/>
      <c r="AN1257"/>
      <c r="AO1257"/>
      <c r="AP1257" t="inlineStr">
        <is>
          <t>Once a year (25%)</t>
        </is>
      </c>
      <c r="AQ1257"/>
      <c r="AR1257"/>
      <c r="AS1257" t="inlineStr">
        <is>
          <t>- Headcount: 2
- Hiring Job Details: 2 security
- Number of outlets: N/A
- Have recruiter team: Yes
- Number of recruiter in company: N/A
- Have ATS system: N/A
- Have career website: N/A
- Current hiring budget: RM3,000.00
- Whole year budget: N/A
- Whole year number of vacancies: N/A
- Hiring frequency: Once a year (25%)
- External job portal: N/A
- Hiring Urgency: Hiring Now</t>
        </is>
      </c>
      <c r="AT1257">
        <v>95</v>
      </c>
      <c r="AU1257" t="inlineStr">
        <is>
          <t>0.95</t>
        </is>
      </c>
      <c r="AV1257" t="inlineStr">
        <is>
          <t>15</t>
        </is>
      </c>
      <c r="AW1257" t="inlineStr">
        <is>
          <t>0</t>
        </is>
      </c>
      <c r="AX1257" t="inlineStr">
        <is>
          <t>Not Qualified</t>
        </is>
      </c>
      <c r="AY1257" s="4"/>
      <c r="AZ1257"/>
      <c r="BA1257"/>
      <c r="BB1257"/>
      <c r="BC1257" t="inlineStr">
        <is>
          <t>- Headcount: 2
- Hiring Job Details: 2 security
- Number of outlets: N/A
- Have recruiter team: Yes
- Number of recruiter in company: N/A
- Have ATS system: N/A
- Have career website: N/A
- Current hiring budget: RM3,000.00
- Whole year budget: N/A
- Whole year number of vacancies: N/A
- Hiring frequency: Once a year (25%)
- External job portal: N/A
- Hiring Urgency: Hiring Now</t>
        </is>
      </c>
      <c r="BD1257" s="4">
        <v>46129.708391203705</v>
      </c>
      <c r="BE1257" t="inlineStr">
        <is>
          <t>paid</t>
        </is>
      </c>
      <c r="BF1257"/>
      <c r="BG1257" t="inlineStr">
        <is>
          <t>Reschedule</t>
        </is>
      </c>
      <c r="BH1257" t="inlineStr">
        <is>
          <t>Fauziah Maharan</t>
        </is>
      </c>
      <c r="BI1257" t="inlineStr">
        <is>
          <t>Security / Law Enforcement</t>
        </is>
      </c>
      <c r="BJ1257" s="4">
        <v>46144.75219907407</v>
      </c>
      <c r="BK1257" s="4">
        <v>45705.60309027778</v>
      </c>
      <c r="BL1257" t="inlineStr">
        <is>
          <t>0.0</t>
        </is>
      </c>
      <c r="BM1257" t="inlineStr">
        <is>
          <t>0.0</t>
        </is>
      </c>
      <c r="BN1257" t="inlineStr">
        <is>
          <t>PA Visit - Applicant Manager</t>
        </is>
      </c>
      <c r="BO1257" s="4">
        <v>45750.62262731481</v>
      </c>
      <c r="BP1257">
        <v>167671</v>
      </c>
      <c r="BQ1257">
        <v>76873</v>
      </c>
      <c r="BR1257" t="inlineStr">
        <is>
          <t>Online</t>
        </is>
      </c>
      <c r="BS1257"/>
      <c r="BT1257">
        <v>76873</v>
      </c>
      <c r="BU1257"/>
      <c r="BV1257">
        <v>2713313</v>
      </c>
      <c r="BW1257" t="inlineStr">
        <is>
          <t>Customer Inquiry</t>
        </is>
      </c>
      <c r="BX1257"/>
      <c r="BY1257"/>
      <c r="BZ1257" s="4"/>
      <c r="CA1257"/>
      <c r="CB1257"/>
      <c r="CC1257" s="4"/>
      <c r="CD1257" t="inlineStr">
        <is>
          <t>20</t>
        </is>
      </c>
      <c r="CE1257" t="inlineStr">
        <is>
          <t>0</t>
        </is>
      </c>
      <c r="CF1257" t="inlineStr">
        <is>
          <t>Q2-W03</t>
        </is>
      </c>
      <c r="CG1257"/>
      <c r="CH1257"/>
      <c r="CI1257"/>
      <c r="CJ1257" t="inlineStr">
        <is>
          <t>Paid</t>
        </is>
      </c>
      <c r="CK1257" t="inlineStr">
        <is>
          <t>Eligible</t>
        </is>
      </c>
      <c r="CL1257"/>
      <c r="CM1257"/>
    </row>
    <row r="1258" ht="25.5" customHeight="1">
      <c r="A1258" t="inlineStr">
        <is>
          <t>188111</t>
        </is>
      </c>
      <c r="B1258" s="2"/>
      <c r="C1258"/>
      <c r="D1258" s="3">
        <v>46129.73762731482</v>
      </c>
      <c r="E1258" t="inlineStr">
        <is>
          <t>Q2-W03</t>
        </is>
      </c>
      <c r="F1258" t="inlineStr">
        <is>
          <t>Alan KY</t>
        </is>
      </c>
      <c r="G1258" t="inlineStr">
        <is>
          <t>Customer</t>
        </is>
      </c>
      <c r="H1258" s="2" t="str">
        <f>=HYPERLINK("https://upbox.ajobthing.my/customer/188111", "https://upbox.ajobthing.my/customer/188111")</f>
        <v>https://upbox.ajobthing.my/customer/188111</v>
      </c>
      <c r="I1258" t="inlineStr">
        <is>
          <t>Intrepid Malaysia Sdn Bhd</t>
        </is>
      </c>
      <c r="J1258" t="inlineStr">
        <is>
          <t>Super Whale</t>
        </is>
      </c>
      <c r="K1258" t="inlineStr">
        <is>
          <t>Alan KY</t>
        </is>
      </c>
      <c r="L1258" s="4"/>
      <c r="M1258" s="4">
        <v>46129.72820601852</v>
      </c>
      <c r="N1258"/>
      <c r="O1258">
        <v>11448</v>
      </c>
      <c r="P1258" s="4"/>
      <c r="Q1258" s="4">
        <v>46030.46800925926</v>
      </c>
      <c r="R1258"/>
      <c r="S1258">
        <v>0</v>
      </c>
      <c r="T1258" s="4">
        <v>45720.59741898148</v>
      </c>
      <c r="U1258" s="4"/>
      <c r="V1258"/>
      <c r="W1258">
        <v>5076</v>
      </c>
      <c r="X1258"/>
      <c r="Y1258" t="inlineStr">
        <is>
          <t>Pending Appointment</t>
        </is>
      </c>
      <c r="Z1258" t="inlineStr">
        <is>
          <t>Continuous Hiring</t>
        </is>
      </c>
      <c r="AA1258">
        <v>2</v>
      </c>
      <c r="AB1258" t="inlineStr">
        <is>
          <t>No Appointment Made</t>
        </is>
      </c>
      <c r="AC1258"/>
      <c r="AD1258" t="inlineStr">
        <is>
          <t xml:space="preserve">Renewal upsell, hiring for live host, account manager , in KL </t>
        </is>
      </c>
      <c r="AE1258"/>
      <c r="AF1258"/>
      <c r="AG1258" s="4"/>
      <c r="AH1258" s="4"/>
      <c r="AI1258"/>
      <c r="AJ1258"/>
      <c r="AK1258" t="inlineStr">
        <is>
          <t>No, I don't need at all</t>
        </is>
      </c>
      <c r="AL1258"/>
      <c r="AM1258" t="inlineStr">
        <is>
          <t>No, I don't need at all</t>
        </is>
      </c>
      <c r="AN1258"/>
      <c r="AO1258" t="inlineStr">
        <is>
          <t>No, I don't need at all</t>
        </is>
      </c>
      <c r="AP1258" t="inlineStr">
        <is>
          <t>Once per quarter (75%)</t>
        </is>
      </c>
      <c r="AQ1258"/>
      <c r="AR1258" t="inlineStr">
        <is>
          <t>Jobstreet</t>
        </is>
      </c>
      <c r="AS1258" t="inlineStr">
        <is>
          <t>- Headcount: 2
- Hiring Job Details: Renewal upsell, live host, account manager (in KL)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258">
        <v>75</v>
      </c>
      <c r="AU1258" t="inlineStr">
        <is>
          <t>0.75</t>
        </is>
      </c>
      <c r="AV1258" t="inlineStr">
        <is>
          <t>5</t>
        </is>
      </c>
      <c r="AW1258" t="inlineStr">
        <is>
          <t>0</t>
        </is>
      </c>
      <c r="AX1258" t="inlineStr">
        <is>
          <t>Not Qualified</t>
        </is>
      </c>
      <c r="AY1258" s="4"/>
      <c r="AZ1258"/>
      <c r="BA1258"/>
      <c r="BB1258"/>
      <c r="BC1258" t="inlineStr">
        <is>
          <t>- Headcount: 2
- Hiring Job Details: Renewal upsell, live host, account manager (in KL)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BD1258" s="4">
        <v>46129.75005787037</v>
      </c>
      <c r="BE1258" t="inlineStr">
        <is>
          <t>paid</t>
        </is>
      </c>
      <c r="BF1258"/>
      <c r="BG1258" t="inlineStr">
        <is>
          <t>Reschedule</t>
        </is>
      </c>
      <c r="BH1258" t="inlineStr">
        <is>
          <t>Reagen</t>
        </is>
      </c>
      <c r="BI1258" t="inlineStr">
        <is>
          <t>Advertising / Marketing</t>
        </is>
      </c>
      <c r="BJ1258" s="4">
        <v>46144.752222222225</v>
      </c>
      <c r="BK1258" s="4">
        <v>45712.751388888886</v>
      </c>
      <c r="BL1258" t="inlineStr">
        <is>
          <t>0.0</t>
        </is>
      </c>
      <c r="BM1258" t="inlineStr">
        <is>
          <t>7200.0</t>
        </is>
      </c>
      <c r="BN1258" t="inlineStr">
        <is>
          <t>View Company Page</t>
        </is>
      </c>
      <c r="BO1258" s="4">
        <v>46126.73186342593</v>
      </c>
      <c r="BP1258">
        <v>167710</v>
      </c>
      <c r="BQ1258">
        <v>113654</v>
      </c>
      <c r="BR1258" t="inlineStr">
        <is>
          <t>Proforma</t>
        </is>
      </c>
      <c r="BS1258" t="inlineStr">
        <is>
          <t>A La Carte AI Job Ad Free</t>
        </is>
      </c>
      <c r="BT1258">
        <v>77308</v>
      </c>
      <c r="BU1258"/>
      <c r="BV1258">
        <v>2713898</v>
      </c>
      <c r="BW1258" t="inlineStr">
        <is>
          <t>Customer Inquiry</t>
        </is>
      </c>
      <c r="BX1258"/>
      <c r="BY1258"/>
      <c r="BZ1258" s="4"/>
      <c r="CA1258"/>
      <c r="CB1258"/>
      <c r="CC1258" s="4"/>
      <c r="CD1258" t="inlineStr">
        <is>
          <t>5</t>
        </is>
      </c>
      <c r="CE1258" t="inlineStr">
        <is>
          <t>0</t>
        </is>
      </c>
      <c r="CF1258" t="inlineStr">
        <is>
          <t>Q2-W03</t>
        </is>
      </c>
      <c r="CG1258" t="inlineStr">
        <is>
          <t>Q1-W01</t>
        </is>
      </c>
      <c r="CH1258"/>
      <c r="CI1258"/>
      <c r="CJ1258" t="inlineStr">
        <is>
          <t>Paid</t>
        </is>
      </c>
      <c r="CK1258" t="inlineStr">
        <is>
          <t>Eligible</t>
        </is>
      </c>
      <c r="CL1258"/>
      <c r="CM1258"/>
    </row>
    <row r="1259" ht="25.5" customHeight="1">
      <c r="A1259" t="inlineStr">
        <is>
          <t>203435</t>
        </is>
      </c>
      <c r="B1259" s="2"/>
      <c r="C1259"/>
      <c r="D1259" s="3">
        <v>46132.63350694445</v>
      </c>
      <c r="E1259" t="inlineStr">
        <is>
          <t>Q2-W03</t>
        </is>
      </c>
      <c r="F1259" t="inlineStr">
        <is>
          <t>Ratha</t>
        </is>
      </c>
      <c r="G1259" t="inlineStr">
        <is>
          <t>Customer</t>
        </is>
      </c>
      <c r="H1259" s="2" t="str">
        <f>=HYPERLINK("https://upbox.ajobthing.my/customer/203435", "https://upbox.ajobthing.my/customer/203435")</f>
        <v>https://upbox.ajobthing.my/customer/203435</v>
      </c>
      <c r="I1259" t="inlineStr">
        <is>
          <t>GT Nelson</t>
        </is>
      </c>
      <c r="J1259" t="inlineStr">
        <is>
          <t>Super Whale</t>
        </is>
      </c>
      <c r="K1259" t="inlineStr">
        <is>
          <t>Ratha</t>
        </is>
      </c>
      <c r="L1259" s="4"/>
      <c r="M1259" s="4">
        <v>46132.636979166666</v>
      </c>
      <c r="N1259"/>
      <c r="O1259">
        <v>4968</v>
      </c>
      <c r="P1259" s="4"/>
      <c r="Q1259" s="4"/>
      <c r="R1259"/>
      <c r="S1259"/>
      <c r="T1259" s="4"/>
      <c r="U1259" s="4"/>
      <c r="V1259"/>
      <c r="W1259"/>
      <c r="X1259"/>
      <c r="Y1259" t="inlineStr">
        <is>
          <t>Pending Appointment</t>
        </is>
      </c>
      <c r="Z1259" t="inlineStr">
        <is>
          <t>Continuous Hiring</t>
        </is>
      </c>
      <c r="AA1259">
        <v>1</v>
      </c>
      <c r="AB1259" t="inlineStr">
        <is>
          <t>No Appointment Made</t>
        </is>
      </c>
      <c r="AC1259"/>
      <c r="AD1259" t="inlineStr">
        <is>
          <t>Property Agents : as much as can
Location : Klang Valley</t>
        </is>
      </c>
      <c r="AE1259"/>
      <c r="AF1259"/>
      <c r="AG1259" s="4"/>
      <c r="AH1259" s="4"/>
      <c r="AI1259">
        <v>0</v>
      </c>
      <c r="AJ1259">
        <v>1</v>
      </c>
      <c r="AK1259" t="inlineStr">
        <is>
          <t>Yes, I have</t>
        </is>
      </c>
      <c r="AL1259">
        <v>2</v>
      </c>
      <c r="AM1259" t="inlineStr">
        <is>
          <t>No, I don't need at all</t>
        </is>
      </c>
      <c r="AN1259"/>
      <c r="AO1259" t="inlineStr">
        <is>
          <t>No, I don't need at all</t>
        </is>
      </c>
      <c r="AP1259" t="inlineStr">
        <is>
          <t>Every month (100%)</t>
        </is>
      </c>
      <c r="AQ1259">
        <v>0</v>
      </c>
      <c r="AR1259" t="inlineStr">
        <is>
          <t>Did not use any job portal</t>
        </is>
      </c>
      <c r="AS1259" t="inlineStr">
        <is>
          <t>- Headcount: 1
- Hiring Job Details: Property Agents (as much as can)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Did not use any job portal</t>
        </is>
      </c>
      <c r="AT1259">
        <v>75</v>
      </c>
      <c r="AU1259" t="inlineStr">
        <is>
          <t>0.75</t>
        </is>
      </c>
      <c r="AV1259" t="inlineStr">
        <is>
          <t>5</t>
        </is>
      </c>
      <c r="AW1259" t="inlineStr">
        <is>
          <t>0</t>
        </is>
      </c>
      <c r="AX1259" t="inlineStr">
        <is>
          <t>Not Qualified</t>
        </is>
      </c>
      <c r="AY1259" s="4"/>
      <c r="AZ1259"/>
      <c r="BA1259"/>
      <c r="BB1259"/>
      <c r="BC1259" t="inlineStr">
        <is>
          <t>looking for free services</t>
        </is>
      </c>
      <c r="BD1259" s="4">
        <v>46136.47872685185</v>
      </c>
      <c r="BE1259"/>
      <c r="BF1259"/>
      <c r="BG1259" t="inlineStr">
        <is>
          <t>Reschedule</t>
        </is>
      </c>
      <c r="BH1259" t="inlineStr">
        <is>
          <t>Fauziah Maharan</t>
        </is>
      </c>
      <c r="BI1259"/>
      <c r="BJ1259" s="4">
        <v>46144.75430555556</v>
      </c>
      <c r="BK1259" s="4">
        <v>46132.620671296296</v>
      </c>
      <c r="BL1259" t="inlineStr">
        <is>
          <t>0.0</t>
        </is>
      </c>
      <c r="BM1259" t="inlineStr">
        <is>
          <t>0.0</t>
        </is>
      </c>
      <c r="BN1259" t="inlineStr">
        <is>
          <t>User Visit(Logged In)</t>
        </is>
      </c>
      <c r="BO1259" s="4">
        <v>46132.64392361111</v>
      </c>
      <c r="BP1259">
        <v>167862</v>
      </c>
      <c r="BQ1259"/>
      <c r="BR1259"/>
      <c r="BS1259"/>
      <c r="BT1259"/>
      <c r="BU1259"/>
      <c r="BV1259">
        <v>2725865</v>
      </c>
      <c r="BW1259" t="inlineStr">
        <is>
          <t>Follow Up : Budget Concern</t>
        </is>
      </c>
      <c r="BX1259"/>
      <c r="BY1259"/>
      <c r="BZ1259" s="4"/>
      <c r="CA1259"/>
      <c r="CB1259"/>
      <c r="CC1259" s="4"/>
      <c r="CD1259" t="inlineStr">
        <is>
          <t>5</t>
        </is>
      </c>
      <c r="CE1259" t="inlineStr">
        <is>
          <t>0</t>
        </is>
      </c>
      <c r="CF1259" t="inlineStr">
        <is>
          <t>Q2-W03</t>
        </is>
      </c>
      <c r="CG1259"/>
      <c r="CH1259"/>
      <c r="CI1259"/>
      <c r="CJ1259" t="inlineStr">
        <is>
          <t>No Paid</t>
        </is>
      </c>
      <c r="CK1259" t="inlineStr">
        <is>
          <t>Eligible</t>
        </is>
      </c>
      <c r="CL1259"/>
      <c r="CM1259"/>
    </row>
    <row r="1260" ht="25.5" customHeight="1">
      <c r="A1260" t="inlineStr">
        <is>
          <t>188001</t>
        </is>
      </c>
      <c r="B1260" s="2"/>
      <c r="C1260"/>
      <c r="D1260" s="3">
        <v>46133.674791666665</v>
      </c>
      <c r="E1260" t="inlineStr">
        <is>
          <t>Q2-W03</t>
        </is>
      </c>
      <c r="F1260" t="inlineStr">
        <is>
          <t>Yvonne Lee</t>
        </is>
      </c>
      <c r="G1260" t="inlineStr">
        <is>
          <t>Customer</t>
        </is>
      </c>
      <c r="H1260" s="2" t="str">
        <f>=HYPERLINK("https://upbox.ajobthing.my/customer/188001", "https://upbox.ajobthing.my/customer/188001")</f>
        <v>https://upbox.ajobthing.my/customer/188001</v>
      </c>
      <c r="I1260" t="inlineStr">
        <is>
          <t>Aureumaex Precision Plastics (m) Sdn Bhd</t>
        </is>
      </c>
      <c r="J1260" t="inlineStr">
        <is>
          <t>Super Whale</t>
        </is>
      </c>
      <c r="K1260" t="inlineStr">
        <is>
          <t>Yvonne</t>
        </is>
      </c>
      <c r="L1260" s="4"/>
      <c r="M1260" s="4">
        <v>46133.68020833333</v>
      </c>
      <c r="N1260"/>
      <c r="O1260">
        <v>21600</v>
      </c>
      <c r="P1260" s="4"/>
      <c r="Q1260" s="4"/>
      <c r="R1260"/>
      <c r="S1260"/>
      <c r="T1260" s="4"/>
      <c r="U1260" s="4"/>
      <c r="V1260"/>
      <c r="W1260"/>
      <c r="X1260"/>
      <c r="Y1260" t="inlineStr">
        <is>
          <t>Pending Appointment</t>
        </is>
      </c>
      <c r="Z1260" t="inlineStr">
        <is>
          <t>Hiring Now</t>
        </is>
      </c>
      <c r="AA1260">
        <v>7</v>
      </c>
      <c r="AB1260" t="inlineStr">
        <is>
          <t>No Appointment Made</t>
        </is>
      </c>
      <c r="AC1260"/>
      <c r="AD1260" t="inlineStr">
        <is>
          <t>1) Operator
2) HR &amp; Admin
3) Warehouse Manager
4) Marketing Executive
5) Security Guard
6) QC Inspector
7) Planning Executive
</t>
        </is>
      </c>
      <c r="AE1260"/>
      <c r="AF1260">
        <v>15000</v>
      </c>
      <c r="AG1260" s="4"/>
      <c r="AH1260" s="4"/>
      <c r="AI1260">
        <v>15000</v>
      </c>
      <c r="AJ1260">
        <v>1</v>
      </c>
      <c r="AK1260" t="inlineStr">
        <is>
          <t>Yes, I have</t>
        </is>
      </c>
      <c r="AL1260">
        <v>3</v>
      </c>
      <c r="AM1260" t="inlineStr">
        <is>
          <t>No, I don't need at all</t>
        </is>
      </c>
      <c r="AN1260"/>
      <c r="AO1260" t="inlineStr">
        <is>
          <t>No, I don't need at all</t>
        </is>
      </c>
      <c r="AP1260" t="inlineStr">
        <is>
          <t>Every month (100%)</t>
        </is>
      </c>
      <c r="AQ1260">
        <v>100</v>
      </c>
      <c r="AR1260" t="inlineStr">
        <is>
          <t>Jobstreet, Indeed (Paid)</t>
        </is>
      </c>
      <c r="AS1260" t="inlineStr">
        <is>
          <t>- Headcount: 7
- Hiring Job Details: 1 Operator, 2 HR &amp; Admin, 3 Warehouse Manager, 4 Marketing Executive, 5 Security Guard, 6 QC Inspector, 7 Planning Executive
- Hiring Urgency: Hiring Now
- Number of outlets: 1
- Have recruiter team: Yes
- Number of recruiter in company: 3
- Have ATS system: No, I don't need at all
- Have career website: No, I don't need at all
- Current hiring budget: RM15,000
- Whole year budget: RM15,000.00
- Whole year number of vacancies: 100
- Hiring frequency: Every month (100%)
- External job portal: Jobstreet, Indeed (Paid)</t>
        </is>
      </c>
      <c r="AT1260">
        <v>105</v>
      </c>
      <c r="AU1260" t="inlineStr">
        <is>
          <t>1.05</t>
        </is>
      </c>
      <c r="AV1260" t="inlineStr">
        <is>
          <t>25</t>
        </is>
      </c>
      <c r="AW1260" t="inlineStr">
        <is>
          <t>0</t>
        </is>
      </c>
      <c r="AX1260" t="inlineStr">
        <is>
          <t>Not Qualified</t>
        </is>
      </c>
      <c r="AY1260" s="4"/>
      <c r="AZ1260"/>
      <c r="BA1260"/>
      <c r="BB1260"/>
      <c r="BC1260" t="inlineStr">
        <is>
          <t>Quotation shared.</t>
        </is>
      </c>
      <c r="BD1260" s="4">
        <v>46134.40594907408</v>
      </c>
      <c r="BE1260"/>
      <c r="BF1260"/>
      <c r="BG1260" t="inlineStr">
        <is>
          <t>Reschedule</t>
        </is>
      </c>
      <c r="BH1260" t="inlineStr">
        <is>
          <t>andy@ajobthing.com</t>
        </is>
      </c>
      <c r="BI1260" t="inlineStr">
        <is>
          <t>Manufacturing / Production</t>
        </is>
      </c>
      <c r="BJ1260" s="4">
        <v>46144.75219907407</v>
      </c>
      <c r="BK1260" s="4">
        <v>45709.50314814815</v>
      </c>
      <c r="BL1260" t="inlineStr">
        <is>
          <t>0.0</t>
        </is>
      </c>
      <c r="BM1260" t="inlineStr">
        <is>
          <t>9000.0</t>
        </is>
      </c>
      <c r="BN1260" t="inlineStr">
        <is>
          <t>View Company Page</t>
        </is>
      </c>
      <c r="BO1260" s="4">
        <v>45848.65908564815</v>
      </c>
      <c r="BP1260">
        <v>168113</v>
      </c>
      <c r="BQ1260"/>
      <c r="BR1260"/>
      <c r="BS1260"/>
      <c r="BT1260"/>
      <c r="BU1260"/>
      <c r="BV1260">
        <v>2719454</v>
      </c>
      <c r="BW1260" t="inlineStr">
        <is>
          <t>Inquire for Hiring Needs : Quotation Sent 50%</t>
        </is>
      </c>
      <c r="BX1260"/>
      <c r="BY1260"/>
      <c r="BZ1260" s="4"/>
      <c r="CA1260"/>
      <c r="CB1260"/>
      <c r="CC1260" s="4"/>
      <c r="CD1260" t="inlineStr">
        <is>
          <t>35</t>
        </is>
      </c>
      <c r="CE1260" t="inlineStr">
        <is>
          <t>0</t>
        </is>
      </c>
      <c r="CF1260" t="inlineStr">
        <is>
          <t>Q2-W03</t>
        </is>
      </c>
      <c r="CG1260"/>
      <c r="CH1260"/>
      <c r="CI1260"/>
      <c r="CJ1260" t="inlineStr">
        <is>
          <t>No Paid</t>
        </is>
      </c>
      <c r="CK1260" t="inlineStr">
        <is>
          <t>Eligible</t>
        </is>
      </c>
      <c r="CL1260"/>
      <c r="CM1260"/>
    </row>
    <row r="1261" ht="25.5" customHeight="1">
      <c r="A1261" t="inlineStr">
        <is>
          <t>189046</t>
        </is>
      </c>
      <c r="B1261" s="2"/>
      <c r="C1261"/>
      <c r="D1261" s="3">
        <v>46133.68179398148</v>
      </c>
      <c r="E1261" t="inlineStr">
        <is>
          <t>Q2-W03</t>
        </is>
      </c>
      <c r="F1261" t="inlineStr">
        <is>
          <t>Jess</t>
        </is>
      </c>
      <c r="G1261" t="inlineStr">
        <is>
          <t>Customer</t>
        </is>
      </c>
      <c r="H1261" s="2" t="str">
        <f>=HYPERLINK("https://upbox.ajobthing.my/customer/189046", "https://upbox.ajobthing.my/customer/189046")</f>
        <v>https://upbox.ajobthing.my/customer/189046</v>
      </c>
      <c r="I1261" t="inlineStr">
        <is>
          <t>Notion Venture Sdn. Bhd.</t>
        </is>
      </c>
      <c r="J1261" t="inlineStr">
        <is>
          <t>Super Whale</t>
        </is>
      </c>
      <c r="K1261" t="inlineStr">
        <is>
          <t>Jess Lim</t>
        </is>
      </c>
      <c r="L1261" s="4"/>
      <c r="M1261" s="4">
        <v>46139.69805555556</v>
      </c>
      <c r="N1261"/>
      <c r="O1261">
        <v>6048</v>
      </c>
      <c r="P1261" s="4"/>
      <c r="Q1261" s="4">
        <v>46139.68765046296</v>
      </c>
      <c r="R1261"/>
      <c r="S1261">
        <v>3888</v>
      </c>
      <c r="T1261" s="4">
        <v>46139.68765046296</v>
      </c>
      <c r="U1261" s="4"/>
      <c r="V1261"/>
      <c r="W1261">
        <v>3888</v>
      </c>
      <c r="X1261"/>
      <c r="Y1261" t="inlineStr">
        <is>
          <t>Pending Appointment</t>
        </is>
      </c>
      <c r="Z1261" t="inlineStr">
        <is>
          <t>Hiring Now</t>
        </is>
      </c>
      <c r="AA1261">
        <v>1</v>
      </c>
      <c r="AB1261" t="inlineStr">
        <is>
          <t>No Appointment Made</t>
        </is>
      </c>
      <c r="AC1261"/>
      <c r="AD1261" t="inlineStr">
        <is>
          <t>mandarin 2-3 electric maintaince</t>
        </is>
      </c>
      <c r="AE1261"/>
      <c r="AF1261">
        <v>1200</v>
      </c>
      <c r="AG1261" s="4"/>
      <c r="AH1261" s="4"/>
      <c r="AI1261"/>
      <c r="AJ1261"/>
      <c r="AK1261" t="inlineStr">
        <is>
          <t>No, I don't need at all</t>
        </is>
      </c>
      <c r="AL1261">
        <v>1</v>
      </c>
      <c r="AM1261" t="inlineStr">
        <is>
          <t>No, I don't need at all</t>
        </is>
      </c>
      <c r="AN1261"/>
      <c r="AO1261" t="inlineStr">
        <is>
          <t>No, I don't need at all</t>
        </is>
      </c>
      <c r="AP1261" t="inlineStr">
        <is>
          <t>Once a year (25%)</t>
        </is>
      </c>
      <c r="AQ1261"/>
      <c r="AR1261" t="inlineStr">
        <is>
          <t>Jobstreet, Indeed (Paid)</t>
        </is>
      </c>
      <c r="AS1261" t="inlineStr">
        <is>
          <t>- Headcount: 1
- Hiring Job Details: mandarin 2-3 electric maintaince
- Hiring Urgency: Hiring Now
- Number of outlets: None
- Have recruiter team: No, I don't need at all
- Number of recruiter in company: 1
- Have ATS system: No, I don't need at all
- Have career website: No, I don't need at all
- Current hiring budget: RM1,200.00
- Whole year budget: None
- Whole year number of vacancies: None
- Hiring frequency: Once a year (25%)
- External job portal: Jobstreet,Indeed (Paid)</t>
        </is>
      </c>
      <c r="AT1261">
        <v>90</v>
      </c>
      <c r="AU1261" t="inlineStr">
        <is>
          <t>0.90</t>
        </is>
      </c>
      <c r="AV1261" t="inlineStr">
        <is>
          <t>15</t>
        </is>
      </c>
      <c r="AW1261" t="inlineStr">
        <is>
          <t>0</t>
        </is>
      </c>
      <c r="AX1261" t="inlineStr">
        <is>
          <t>Not Qualified</t>
        </is>
      </c>
      <c r="AY1261" s="4"/>
      <c r="AZ1261"/>
      <c r="BA1261"/>
      <c r="BB1261"/>
      <c r="BC1261" t="inlineStr">
        <is>
          <t>custome paid send updgrade plan</t>
        </is>
      </c>
      <c r="BD1261" s="4">
        <v>46139.69642361111</v>
      </c>
      <c r="BE1261" t="inlineStr">
        <is>
          <t>paid</t>
        </is>
      </c>
      <c r="BF1261" t="inlineStr">
        <is>
          <t>Q2-W04</t>
        </is>
      </c>
      <c r="BG1261" t="inlineStr">
        <is>
          <t>Reschedule</t>
        </is>
      </c>
      <c r="BH1261" t="inlineStr">
        <is>
          <t>Fauziah Maharan</t>
        </is>
      </c>
      <c r="BI1261" t="inlineStr">
        <is>
          <t>Manufacturing / Production</t>
        </is>
      </c>
      <c r="BJ1261" s="4">
        <v>46144.752280092594</v>
      </c>
      <c r="BK1261" s="4">
        <v>45735.624375</v>
      </c>
      <c r="BL1261" t="inlineStr">
        <is>
          <t>4536.0</t>
        </is>
      </c>
      <c r="BM1261" t="inlineStr">
        <is>
          <t>600.0</t>
        </is>
      </c>
      <c r="BN1261" t="inlineStr">
        <is>
          <t>User Visit(Logged In)</t>
        </is>
      </c>
      <c r="BO1261" s="4">
        <v>46144.419016203705</v>
      </c>
      <c r="BP1261">
        <v>169096</v>
      </c>
      <c r="BQ1261">
        <v>94819</v>
      </c>
      <c r="BR1261" t="inlineStr">
        <is>
          <t>Online</t>
        </is>
      </c>
      <c r="BS1261"/>
      <c r="BT1261">
        <v>94819</v>
      </c>
      <c r="BU1261"/>
      <c r="BV1261">
        <v>2731276</v>
      </c>
      <c r="BW1261" t="inlineStr">
        <is>
          <t>Follow Up : Win - Customer Paid</t>
        </is>
      </c>
      <c r="BX1261">
        <v>6</v>
      </c>
      <c r="BY1261">
        <v>5</v>
      </c>
      <c r="BZ1261" s="4">
        <v>46140.54116898148</v>
      </c>
      <c r="CA1261">
        <v>60</v>
      </c>
      <c r="CB1261">
        <v>42</v>
      </c>
      <c r="CC1261" s="4">
        <v>46144.468564814815</v>
      </c>
      <c r="CD1261" t="inlineStr">
        <is>
          <t>20</t>
        </is>
      </c>
      <c r="CE1261" t="inlineStr">
        <is>
          <t>0</t>
        </is>
      </c>
      <c r="CF1261" t="inlineStr">
        <is>
          <t>Q2-W04</t>
        </is>
      </c>
      <c r="CG1261" t="inlineStr">
        <is>
          <t>Q2-W04</t>
        </is>
      </c>
      <c r="CH1261" t="inlineStr">
        <is>
          <t>Q2-W04</t>
        </is>
      </c>
      <c r="CI1261"/>
      <c r="CJ1261" t="inlineStr">
        <is>
          <t>Paid</t>
        </is>
      </c>
      <c r="CK1261" t="inlineStr">
        <is>
          <t>Eligible</t>
        </is>
      </c>
      <c r="CL1261"/>
      <c r="CM1261"/>
    </row>
    <row r="1262" ht="25.5" customHeight="1">
      <c r="A1262" t="inlineStr">
        <is>
          <t>200795</t>
        </is>
      </c>
      <c r="B1262" s="2"/>
      <c r="C1262"/>
      <c r="D1262" s="3">
        <v>46134.39164351852</v>
      </c>
      <c r="E1262" t="inlineStr">
        <is>
          <t>Q2-W03</t>
        </is>
      </c>
      <c r="F1262" t="inlineStr">
        <is>
          <t>Angel  Low</t>
        </is>
      </c>
      <c r="G1262" t="inlineStr">
        <is>
          <t>Customer</t>
        </is>
      </c>
      <c r="H1262" s="2" t="str">
        <f>=HYPERLINK("https://upbox.ajobthing.my/customer/200795", "https://upbox.ajobthing.my/customer/200795")</f>
        <v>https://upbox.ajobthing.my/customer/200795</v>
      </c>
      <c r="I1262" t="inlineStr">
        <is>
          <t>CIMB Bank</t>
        </is>
      </c>
      <c r="J1262" t="inlineStr">
        <is>
          <t>Super Whale</t>
        </is>
      </c>
      <c r="K1262" t="inlineStr">
        <is>
          <t>Angel Low</t>
        </is>
      </c>
      <c r="L1262" s="4"/>
      <c r="M1262" s="4">
        <v>46134.39261574074</v>
      </c>
      <c r="N1262"/>
      <c r="O1262">
        <v>3672</v>
      </c>
      <c r="P1262" s="4"/>
      <c r="Q1262" s="4">
        <v>46087.45909722222</v>
      </c>
      <c r="R1262"/>
      <c r="S1262">
        <v>0</v>
      </c>
      <c r="T1262" s="4"/>
      <c r="U1262" s="4"/>
      <c r="V1262"/>
      <c r="W1262"/>
      <c r="X1262"/>
      <c r="Y1262" t="inlineStr">
        <is>
          <t>Pending Appointment</t>
        </is>
      </c>
      <c r="Z1262"/>
      <c r="AA1262">
        <v>1</v>
      </c>
      <c r="AB1262" t="inlineStr">
        <is>
          <t>No Appointment Made</t>
        </is>
      </c>
      <c r="AC1262"/>
      <c r="AD1262" t="inlineStr">
        <is>
          <t xml:space="preserve">sales </t>
        </is>
      </c>
      <c r="AE1262"/>
      <c r="AF1262"/>
      <c r="AG1262" s="4"/>
      <c r="AH1262" s="4"/>
      <c r="AI1262"/>
      <c r="AJ1262"/>
      <c r="AK1262"/>
      <c r="AL1262"/>
      <c r="AM1262"/>
      <c r="AN1262"/>
      <c r="AO1262"/>
      <c r="AP1262"/>
      <c r="AQ1262"/>
      <c r="AR1262"/>
      <c r="AS1262" t="inlineStr">
        <is>
          <t>- Headcount: 1
- Hiring Job Details: 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262">
        <v>60</v>
      </c>
      <c r="AU1262" t="inlineStr">
        <is>
          <t>0.60</t>
        </is>
      </c>
      <c r="AV1262" t="inlineStr">
        <is>
          <t>5</t>
        </is>
      </c>
      <c r="AW1262" t="inlineStr">
        <is>
          <t>0</t>
        </is>
      </c>
      <c r="AX1262" t="inlineStr">
        <is>
          <t>Not Qualified</t>
        </is>
      </c>
      <c r="AY1262" s="4"/>
      <c r="AZ1262"/>
      <c r="BA1262"/>
      <c r="BB1262"/>
      <c r="BC1262" t="inlineStr">
        <is>
          <t>pending</t>
        </is>
      </c>
      <c r="BD1262" s="4">
        <v>46141.569652777776</v>
      </c>
      <c r="BE1262" t="inlineStr">
        <is>
          <t>paid</t>
        </is>
      </c>
      <c r="BF1262"/>
      <c r="BG1262" t="inlineStr">
        <is>
          <t>Reschedule</t>
        </is>
      </c>
      <c r="BH1262" t="inlineStr">
        <is>
          <t>Fauziah Maharan</t>
        </is>
      </c>
      <c r="BI1262"/>
      <c r="BJ1262" s="4">
        <v>46144.753657407404</v>
      </c>
      <c r="BK1262" s="4">
        <v>46051.48027777778</v>
      </c>
      <c r="BL1262" t="inlineStr">
        <is>
          <t>0.0</t>
        </is>
      </c>
      <c r="BM1262" t="inlineStr">
        <is>
          <t>122400.0</t>
        </is>
      </c>
      <c r="BN1262" t="inlineStr">
        <is>
          <t>User Visit(Logged In)</t>
        </is>
      </c>
      <c r="BO1262" s="4">
        <v>46134.55159722222</v>
      </c>
      <c r="BP1262">
        <v>168176</v>
      </c>
      <c r="BQ1262">
        <v>116200</v>
      </c>
      <c r="BR1262" t="inlineStr">
        <is>
          <t>Proforma</t>
        </is>
      </c>
      <c r="BS1262" t="inlineStr">
        <is>
          <t>Free Internship Job</t>
        </is>
      </c>
      <c r="BT1262"/>
      <c r="BU1262"/>
      <c r="BV1262">
        <v>2735080</v>
      </c>
      <c r="BW1262" t="inlineStr">
        <is>
          <t>Follow Up : Decision Pending</t>
        </is>
      </c>
      <c r="BX1262"/>
      <c r="BY1262"/>
      <c r="BZ1262" s="4"/>
      <c r="CA1262"/>
      <c r="CB1262"/>
      <c r="CC1262" s="4"/>
      <c r="CD1262" t="inlineStr">
        <is>
          <t>5</t>
        </is>
      </c>
      <c r="CE1262" t="inlineStr">
        <is>
          <t>0</t>
        </is>
      </c>
      <c r="CF1262" t="inlineStr">
        <is>
          <t>Q2-W03</t>
        </is>
      </c>
      <c r="CG1262" t="inlineStr">
        <is>
          <t>Q1-W10</t>
        </is>
      </c>
      <c r="CH1262"/>
      <c r="CI1262"/>
      <c r="CJ1262" t="inlineStr">
        <is>
          <t>No Paid</t>
        </is>
      </c>
      <c r="CK1262" t="inlineStr">
        <is>
          <t>Eligible</t>
        </is>
      </c>
      <c r="CL1262"/>
      <c r="CM1262"/>
    </row>
    <row r="1263" ht="25.5" customHeight="1">
      <c r="A1263" t="inlineStr">
        <is>
          <t>203381</t>
        </is>
      </c>
      <c r="B1263" s="2"/>
      <c r="C1263"/>
      <c r="D1263" s="3">
        <v>46134.421006944445</v>
      </c>
      <c r="E1263" t="inlineStr">
        <is>
          <t>Q2-W03</t>
        </is>
      </c>
      <c r="F1263" t="inlineStr">
        <is>
          <t>Alan KY</t>
        </is>
      </c>
      <c r="G1263" t="inlineStr">
        <is>
          <t>Customer</t>
        </is>
      </c>
      <c r="H1263" s="2" t="str">
        <f>=HYPERLINK("https://upbox.ajobthing.my/customer/203381", "https://upbox.ajobthing.my/customer/203381")</f>
        <v>https://upbox.ajobthing.my/customer/203381</v>
      </c>
      <c r="I1263" t="inlineStr">
        <is>
          <t>Luckycup Coffee (malaysia) Sdn. Bhd.</t>
        </is>
      </c>
      <c r="J1263" t="inlineStr">
        <is>
          <t>Super Whale</t>
        </is>
      </c>
      <c r="K1263" t="inlineStr">
        <is>
          <t>Alan KY</t>
        </is>
      </c>
      <c r="L1263" s="4"/>
      <c r="M1263" s="4">
        <v>46134.41274305555</v>
      </c>
      <c r="N1263"/>
      <c r="O1263">
        <v>22248</v>
      </c>
      <c r="P1263" s="4"/>
      <c r="Q1263" s="4"/>
      <c r="R1263"/>
      <c r="S1263"/>
      <c r="T1263" s="4"/>
      <c r="U1263" s="4"/>
      <c r="V1263"/>
      <c r="W1263"/>
      <c r="X1263"/>
      <c r="Y1263" t="inlineStr">
        <is>
          <t>Pending Appointment</t>
        </is>
      </c>
      <c r="Z1263" t="inlineStr">
        <is>
          <t>Hiring Now</t>
        </is>
      </c>
      <c r="AA1263">
        <v>40</v>
      </c>
      <c r="AB1263" t="inlineStr">
        <is>
          <t>No Appointment Made</t>
        </is>
      </c>
      <c r="AC1263"/>
      <c r="AD1263" t="inlineStr">
        <is>
          <t xml:space="preserve">Hiring for their HQ, around 20 pos this quarter 
end of the year 40 positions 
Based in KL and PJ selangor </t>
        </is>
      </c>
      <c r="AE1263"/>
      <c r="AF1263"/>
      <c r="AG1263" s="4"/>
      <c r="AH1263" s="4"/>
      <c r="AI1263"/>
      <c r="AJ1263">
        <v>2</v>
      </c>
      <c r="AK1263" t="inlineStr">
        <is>
          <t>Yes, I have</t>
        </is>
      </c>
      <c r="AL1263">
        <v>2</v>
      </c>
      <c r="AM1263" t="inlineStr">
        <is>
          <t>No, I don't need at all</t>
        </is>
      </c>
      <c r="AN1263"/>
      <c r="AO1263" t="inlineStr">
        <is>
          <t>No, I don't need at all</t>
        </is>
      </c>
      <c r="AP1263" t="inlineStr">
        <is>
          <t>Every month (100%)</t>
        </is>
      </c>
      <c r="AQ1263"/>
      <c r="AR1263" t="inlineStr">
        <is>
          <t>Jobstreet, Indeed (Paid), Linkedin (Paid)</t>
        </is>
      </c>
      <c r="AS1263" t="inlineStr">
        <is>
          <t>- Headcount: 40
- Hiring Job Details: 20 HQ pos this quarter, 40 pos by year-end; based in KL and PJ selangor
- Hiring Urgency: Hiring Now
- Number of outlets: 2
- Have recruiter team: Yes
- Number of recruiter in company: 2
- Have ATS system: No, I don't need at all
- Have career website: No, I don't need at all
- Current hiring budget: Not specified
- Whole year budget: Not specified
- Whole year number of vacancies: Not specified
- Hiring frequency: Every month (100%)
- External job portal: Jobstreet,Indeed (Paid),Linkedin (Paid)</t>
        </is>
      </c>
      <c r="AT1263">
        <v>75</v>
      </c>
      <c r="AU1263" t="inlineStr">
        <is>
          <t>0.75</t>
        </is>
      </c>
      <c r="AV1263" t="inlineStr">
        <is>
          <t>25</t>
        </is>
      </c>
      <c r="AW1263" t="inlineStr">
        <is>
          <t>0</t>
        </is>
      </c>
      <c r="AX1263" t="inlineStr">
        <is>
          <t>Not Qualified</t>
        </is>
      </c>
      <c r="AY1263" s="4"/>
      <c r="AZ1263"/>
      <c r="BA1263"/>
      <c r="BB1263"/>
      <c r="BC1263" t="inlineStr">
        <is>
          <t>wanna free trial as other platform JS, to test the candidate quality.
Assist on account verification first, will get back to him</t>
        </is>
      </c>
      <c r="BD1263" s="4">
        <v>46140.47267361111</v>
      </c>
      <c r="BE1263"/>
      <c r="BF1263"/>
      <c r="BG1263" t="inlineStr">
        <is>
          <t>Reschedule</t>
        </is>
      </c>
      <c r="BH1263" t="inlineStr">
        <is>
          <t>Reagen</t>
        </is>
      </c>
      <c r="BI1263" t="inlineStr">
        <is>
          <t>Food / Beverage</t>
        </is>
      </c>
      <c r="BJ1263" s="4">
        <v>46144.754282407404</v>
      </c>
      <c r="BK1263" s="4">
        <v>46130.431909722225</v>
      </c>
      <c r="BL1263" t="inlineStr">
        <is>
          <t>0.0</t>
        </is>
      </c>
      <c r="BM1263" t="inlineStr">
        <is>
          <t>5400.0</t>
        </is>
      </c>
      <c r="BN1263" t="inlineStr">
        <is>
          <t>View Company Page</t>
        </is>
      </c>
      <c r="BO1263" s="4">
        <v>46130.495300925926</v>
      </c>
      <c r="BP1263">
        <v>168186</v>
      </c>
      <c r="BQ1263"/>
      <c r="BR1263"/>
      <c r="BS1263"/>
      <c r="BT1263"/>
      <c r="BU1263"/>
      <c r="BV1263">
        <v>2732091</v>
      </c>
      <c r="BW1263" t="inlineStr">
        <is>
          <t>Follow Up : Decision Pending</t>
        </is>
      </c>
      <c r="BX1263"/>
      <c r="BY1263"/>
      <c r="BZ1263" s="4"/>
      <c r="CA1263"/>
      <c r="CB1263"/>
      <c r="CC1263" s="4"/>
      <c r="CD1263" t="inlineStr">
        <is>
          <t>35</t>
        </is>
      </c>
      <c r="CE1263" t="inlineStr">
        <is>
          <t>0</t>
        </is>
      </c>
      <c r="CF1263" t="inlineStr">
        <is>
          <t>Q2-W03</t>
        </is>
      </c>
      <c r="CG1263"/>
      <c r="CH1263"/>
      <c r="CI1263"/>
      <c r="CJ1263" t="inlineStr">
        <is>
          <t>No Paid</t>
        </is>
      </c>
      <c r="CK1263" t="inlineStr">
        <is>
          <t>Eligible</t>
        </is>
      </c>
      <c r="CL1263"/>
      <c r="CM1263"/>
    </row>
    <row r="1264" ht="25.5" customHeight="1">
      <c r="A1264" t="inlineStr">
        <is>
          <t>4312434</t>
        </is>
      </c>
      <c r="B1264" s="2"/>
      <c r="C1264"/>
      <c r="D1264" s="3">
        <v>46134.421793981484</v>
      </c>
      <c r="E1264" t="inlineStr">
        <is>
          <t>Q2-W03</t>
        </is>
      </c>
      <c r="F1264" t="inlineStr">
        <is>
          <t>Ratha</t>
        </is>
      </c>
      <c r="G1264" t="inlineStr">
        <is>
          <t>Lead</t>
        </is>
      </c>
      <c r="H1264" s="2" t="str">
        <f>=HYPERLINK("https://upbox.ajobthing.my/leads/4312434", "https://upbox.ajobthing.my/leads/4312434")</f>
        <v>https://upbox.ajobthing.my/leads/4312434</v>
      </c>
      <c r="I1264" t="inlineStr">
        <is>
          <t>Safeguard Secure Solution Sdn bhd</t>
        </is>
      </c>
      <c r="J1264" t="inlineStr">
        <is>
          <t>Super Whale</t>
        </is>
      </c>
      <c r="K1264" t="inlineStr">
        <is>
          <t>Ratha</t>
        </is>
      </c>
      <c r="L1264" s="4"/>
      <c r="M1264" s="4">
        <v>46134.42769675926</v>
      </c>
      <c r="N1264"/>
      <c r="O1264">
        <v>11448</v>
      </c>
      <c r="P1264" s="4"/>
      <c r="Q1264" s="4"/>
      <c r="R1264"/>
      <c r="S1264"/>
      <c r="T1264" s="4"/>
      <c r="U1264" s="4"/>
      <c r="V1264"/>
      <c r="W1264"/>
      <c r="X1264"/>
      <c r="Y1264" t="inlineStr">
        <is>
          <t>Pending Appointment</t>
        </is>
      </c>
      <c r="Z1264" t="inlineStr">
        <is>
          <t>Continuous Hiring</t>
        </is>
      </c>
      <c r="AA1264">
        <v>5</v>
      </c>
      <c r="AB1264" t="inlineStr">
        <is>
          <t>No Appointment Made</t>
        </is>
      </c>
      <c r="AC1264"/>
      <c r="AD1264" t="inlineStr">
        <is>
          <t>Cashier :
Driver :
Body checker :
Customer service assistance :
Officer cash :
Location : Petaling Jaya</t>
        </is>
      </c>
      <c r="AE1264"/>
      <c r="AF1264"/>
      <c r="AG1264" s="4"/>
      <c r="AH1264" s="4"/>
      <c r="AI1264">
        <v>0</v>
      </c>
      <c r="AJ1264">
        <v>1</v>
      </c>
      <c r="AK1264" t="inlineStr">
        <is>
          <t>Yes, I have</t>
        </is>
      </c>
      <c r="AL1264">
        <v>2</v>
      </c>
      <c r="AM1264" t="inlineStr">
        <is>
          <t>No, I don't need at all</t>
        </is>
      </c>
      <c r="AN1264"/>
      <c r="AO1264" t="inlineStr">
        <is>
          <t>Yes, I have</t>
        </is>
      </c>
      <c r="AP1264" t="inlineStr">
        <is>
          <t>Every month (100%)</t>
        </is>
      </c>
      <c r="AQ1264">
        <v>0</v>
      </c>
      <c r="AR1264" t="inlineStr">
        <is>
          <t>Free Job Portal</t>
        </is>
      </c>
      <c r="AS1264" t="inlineStr">
        <is>
          <t>- Headcount: 5
- Hiring Job Details: Cashier, Driver, Body checker, Customer service assistance, Officer cash
- Hiring Urgency: Continuous Hiring
- Number of outlets: 1
- Have recruiter team: Yes
- Number of recruiter in company: 2
- Have ATS system: No, I don't need at all
- Have career website: Yes
- Current hiring budget: Not specified
- Whole year budget: RM0.00
- Whole year number of vacancies: 0
- Hiring frequency: Every month (100%)
- External job portal: Free Job Portal</t>
        </is>
      </c>
      <c r="AT1264">
        <v>75</v>
      </c>
      <c r="AU1264" t="inlineStr">
        <is>
          <t>0.75</t>
        </is>
      </c>
      <c r="AV1264" t="inlineStr">
        <is>
          <t>10</t>
        </is>
      </c>
      <c r="AW1264" t="inlineStr">
        <is>
          <t>0</t>
        </is>
      </c>
      <c r="AX1264" t="inlineStr">
        <is>
          <t>Not Qualified</t>
        </is>
      </c>
      <c r="AY1264" s="4"/>
      <c r="AZ1264"/>
      <c r="BA1264"/>
      <c r="BB1264"/>
      <c r="BC1264"/>
      <c r="BD1264" s="4"/>
      <c r="BE1264"/>
      <c r="BF1264"/>
      <c r="BG1264" t="inlineStr">
        <is>
          <t>Reschedule</t>
        </is>
      </c>
      <c r="BH1264" t="inlineStr">
        <is>
          <t>Fauziah Maharan</t>
        </is>
      </c>
      <c r="BI1264"/>
      <c r="BJ1264" s="4">
        <v>46144.755902777775</v>
      </c>
      <c r="BK1264" s="4">
        <v>46134.402233796296</v>
      </c>
      <c r="BL1264" t="inlineStr">
        <is>
          <t>0.0</t>
        </is>
      </c>
      <c r="BM1264" t="inlineStr">
        <is>
          <t>0.0</t>
        </is>
      </c>
      <c r="BN1264"/>
      <c r="BO1264" s="4"/>
      <c r="BP1264">
        <v>168200</v>
      </c>
      <c r="BQ1264"/>
      <c r="BR1264"/>
      <c r="BS1264"/>
      <c r="BT1264"/>
      <c r="BU1264"/>
      <c r="BV1264"/>
      <c r="BW1264"/>
      <c r="BX1264"/>
      <c r="BY1264"/>
      <c r="BZ1264" s="4"/>
      <c r="CA1264"/>
      <c r="CB1264"/>
      <c r="CC1264" s="4"/>
      <c r="CD1264" t="inlineStr">
        <is>
          <t>15</t>
        </is>
      </c>
      <c r="CE1264" t="inlineStr">
        <is>
          <t>0</t>
        </is>
      </c>
      <c r="CF1264" t="inlineStr">
        <is>
          <t>Q2-W03</t>
        </is>
      </c>
      <c r="CG1264"/>
      <c r="CH1264"/>
      <c r="CI1264"/>
      <c r="CJ1264" t="inlineStr">
        <is>
          <t>No Paid</t>
        </is>
      </c>
      <c r="CK1264" t="inlineStr">
        <is>
          <t>Eligible</t>
        </is>
      </c>
      <c r="CL1264"/>
      <c r="CM1264"/>
    </row>
    <row r="1265" ht="25.5" customHeight="1">
      <c r="A1265" t="inlineStr">
        <is>
          <t>182609</t>
        </is>
      </c>
      <c r="B1265" s="2"/>
      <c r="C1265"/>
      <c r="D1265" s="3">
        <v>46134.44184027778</v>
      </c>
      <c r="E1265" t="inlineStr">
        <is>
          <t>Q2-W03</t>
        </is>
      </c>
      <c r="F1265" t="inlineStr">
        <is>
          <t>Fariz</t>
        </is>
      </c>
      <c r="G1265" t="inlineStr">
        <is>
          <t>Customer</t>
        </is>
      </c>
      <c r="H1265" s="2" t="str">
        <f>=HYPERLINK("https://upbox.ajobthing.my/customer/182609", "https://upbox.ajobthing.my/customer/182609")</f>
        <v>https://upbox.ajobthing.my/customer/182609</v>
      </c>
      <c r="I1265" t="inlineStr">
        <is>
          <t>Permintex Furukawa Autoparts Malaysia Sdn Bhd</t>
        </is>
      </c>
      <c r="J1265" t="inlineStr">
        <is>
          <t>Super Whale</t>
        </is>
      </c>
      <c r="K1265" t="inlineStr">
        <is>
          <t>Fariz</t>
        </is>
      </c>
      <c r="L1265" s="4"/>
      <c r="M1265" s="4">
        <v>46134.44222222222</v>
      </c>
      <c r="N1265"/>
      <c r="O1265">
        <v>6048</v>
      </c>
      <c r="P1265" s="4"/>
      <c r="Q1265" s="4"/>
      <c r="R1265"/>
      <c r="S1265"/>
      <c r="T1265" s="4"/>
      <c r="U1265" s="4"/>
      <c r="V1265"/>
      <c r="W1265"/>
      <c r="X1265"/>
      <c r="Y1265" t="inlineStr">
        <is>
          <t>Pending Appointment</t>
        </is>
      </c>
      <c r="Z1265" t="inlineStr">
        <is>
          <t>Hiring Now</t>
        </is>
      </c>
      <c r="AA1265">
        <v>0</v>
      </c>
      <c r="AB1265" t="inlineStr">
        <is>
          <t>No Appointment Made</t>
        </is>
      </c>
      <c r="AC1265"/>
      <c r="AD1265" t="inlineStr">
        <is>
          <t>3 Operator</t>
        </is>
      </c>
      <c r="AE1265"/>
      <c r="AF1265">
        <v>3600</v>
      </c>
      <c r="AG1265" s="4"/>
      <c r="AH1265" s="4"/>
      <c r="AI1265">
        <v>5000</v>
      </c>
      <c r="AJ1265"/>
      <c r="AK1265" t="inlineStr">
        <is>
          <t>Yes, I have</t>
        </is>
      </c>
      <c r="AL1265">
        <v>1</v>
      </c>
      <c r="AM1265" t="inlineStr">
        <is>
          <t>No, but I want in future</t>
        </is>
      </c>
      <c r="AN1265"/>
      <c r="AO1265" t="inlineStr">
        <is>
          <t>No, but I want in future</t>
        </is>
      </c>
      <c r="AP1265" t="inlineStr">
        <is>
          <t>Twice a year (50%)</t>
        </is>
      </c>
      <c r="AQ1265">
        <v>5</v>
      </c>
      <c r="AR1265" t="inlineStr">
        <is>
          <t>Did not use any job portal</t>
        </is>
      </c>
      <c r="AS1265" t="inlineStr">
        <is>
          <t>- Headcount: 0
- Hiring Job Details: 3 Operator
- Hiring Urgency: Hiring Now
- Number of outlets: None
- Have recruiter team: Yes
- Number of recruiter in company: 1
- Have ATS system: No, but want in future
- Have career website: No, but want in future
- Current hiring budget: RM3,600
- Whole year budget: RM5,000.00
- Whole year number of vacancies: 5
- Hiring frequency: Twice a year (50%)
- External job portal: Did not use any</t>
        </is>
      </c>
      <c r="AT1265">
        <v>105</v>
      </c>
      <c r="AU1265" t="inlineStr">
        <is>
          <t>1.05</t>
        </is>
      </c>
      <c r="AV1265" t="inlineStr">
        <is>
          <t>15</t>
        </is>
      </c>
      <c r="AW1265" t="inlineStr">
        <is>
          <t>0</t>
        </is>
      </c>
      <c r="AX1265" t="inlineStr">
        <is>
          <t>Not Qualified</t>
        </is>
      </c>
      <c r="AY1265" s="4"/>
      <c r="AZ1265"/>
      <c r="BA1265"/>
      <c r="BB1265"/>
      <c r="BC1265" t="inlineStr">
        <is>
          <t>- Headcount: 0
- Hiring Job Details: 3 Operator
- Hiring Urgency: Hiring Now
- Number of outlets: None
- Have recruiter team: Yes
- Number of recruiter in company: 1
- Have ATS system: No, but want in future
- Have career website: No, but want in future
- Current hiring budget: RM3,600
- Whole year budget: RM5,000.00
- Whole year number of vacancies: 5
- Hiring frequency: Twice a year (50%)
- External job portal: Did not use any</t>
        </is>
      </c>
      <c r="BD1265" s="4">
        <v>46134.45835648148</v>
      </c>
      <c r="BE1265"/>
      <c r="BF1265"/>
      <c r="BG1265" t="inlineStr">
        <is>
          <t>Reschedule</t>
        </is>
      </c>
      <c r="BH1265" t="inlineStr">
        <is>
          <t>Edward Hoo</t>
        </is>
      </c>
      <c r="BI1265" t="inlineStr">
        <is>
          <t>Manufacturing / Production</t>
        </is>
      </c>
      <c r="BJ1265" s="4">
        <v>46144.751921296294</v>
      </c>
      <c r="BK1265" s="4">
        <v>45546.47167824074</v>
      </c>
      <c r="BL1265" t="inlineStr">
        <is>
          <t>0.0</t>
        </is>
      </c>
      <c r="BM1265" t="inlineStr">
        <is>
          <t>600.0</t>
        </is>
      </c>
      <c r="BN1265" t="inlineStr">
        <is>
          <t>View Candidate Search Page</t>
        </is>
      </c>
      <c r="BO1265" s="4">
        <v>45734.50423611111</v>
      </c>
      <c r="BP1265">
        <v>168212</v>
      </c>
      <c r="BQ1265"/>
      <c r="BR1265"/>
      <c r="BS1265"/>
      <c r="BT1265"/>
      <c r="BU1265"/>
      <c r="BV1265">
        <v>2719877</v>
      </c>
      <c r="BW1265" t="inlineStr">
        <is>
          <t>Customer Inquiry</t>
        </is>
      </c>
      <c r="BX1265"/>
      <c r="BY1265"/>
      <c r="BZ1265" s="4"/>
      <c r="CA1265"/>
      <c r="CB1265"/>
      <c r="CC1265" s="4"/>
      <c r="CD1265" t="inlineStr">
        <is>
          <t>20</t>
        </is>
      </c>
      <c r="CE1265" t="inlineStr">
        <is>
          <t>0</t>
        </is>
      </c>
      <c r="CF1265" t="inlineStr">
        <is>
          <t>Q2-W03</t>
        </is>
      </c>
      <c r="CG1265"/>
      <c r="CH1265"/>
      <c r="CI1265"/>
      <c r="CJ1265" t="inlineStr">
        <is>
          <t>No Paid</t>
        </is>
      </c>
      <c r="CK1265" t="inlineStr">
        <is>
          <t>Eligible</t>
        </is>
      </c>
      <c r="CL1265"/>
      <c r="CM1265"/>
    </row>
    <row r="1266" ht="25.5" customHeight="1">
      <c r="A1266" t="inlineStr">
        <is>
          <t>182334</t>
        </is>
      </c>
      <c r="B1266" s="2"/>
      <c r="C1266"/>
      <c r="D1266" s="3">
        <v>46134.52649305556</v>
      </c>
      <c r="E1266" t="inlineStr">
        <is>
          <t>Q2-W03</t>
        </is>
      </c>
      <c r="F1266" t="inlineStr">
        <is>
          <t>Yuli</t>
        </is>
      </c>
      <c r="G1266" t="inlineStr">
        <is>
          <t>Customer</t>
        </is>
      </c>
      <c r="H1266" s="2" t="str">
        <f>=HYPERLINK("https://upbox.ajobthing.my/customer/182334", "https://upbox.ajobthing.my/customer/182334")</f>
        <v>https://upbox.ajobthing.my/customer/182334</v>
      </c>
      <c r="I1266" t="inlineStr">
        <is>
          <t>Evolution Commerce Sdn Bhd</t>
        </is>
      </c>
      <c r="J1266" t="inlineStr">
        <is>
          <t>Super Whale</t>
        </is>
      </c>
      <c r="K1266" t="inlineStr">
        <is>
          <t>YuLi</t>
        </is>
      </c>
      <c r="L1266" s="4"/>
      <c r="M1266" s="4">
        <v>46134.52662037037</v>
      </c>
      <c r="N1266"/>
      <c r="O1266">
        <v>8208</v>
      </c>
      <c r="P1266" s="4"/>
      <c r="Q1266" s="4">
        <v>45974.815787037034</v>
      </c>
      <c r="R1266"/>
      <c r="S1266">
        <v>3888</v>
      </c>
      <c r="T1266" s="4">
        <v>45974.815787037034</v>
      </c>
      <c r="U1266" s="4"/>
      <c r="V1266"/>
      <c r="W1266">
        <v>3888</v>
      </c>
      <c r="X1266"/>
      <c r="Y1266" t="inlineStr">
        <is>
          <t>Pending Appointment</t>
        </is>
      </c>
      <c r="Z1266"/>
      <c r="AA1266">
        <v>2</v>
      </c>
      <c r="AB1266" t="inlineStr">
        <is>
          <t>No Appointment Made</t>
        </is>
      </c>
      <c r="AC1266"/>
      <c r="AD1266" t="inlineStr">
        <is>
          <t>Buggy Driver, Van Driver, as many as can</t>
        </is>
      </c>
      <c r="AE1266"/>
      <c r="AF1266"/>
      <c r="AG1266" s="4"/>
      <c r="AH1266" s="4"/>
      <c r="AI1266"/>
      <c r="AJ1266"/>
      <c r="AK1266"/>
      <c r="AL1266">
        <v>1</v>
      </c>
      <c r="AM1266"/>
      <c r="AN1266"/>
      <c r="AO1266"/>
      <c r="AP1266" t="inlineStr">
        <is>
          <t>Every month (100%)</t>
        </is>
      </c>
      <c r="AQ1266"/>
      <c r="AR1266" t="inlineStr">
        <is>
          <t>Free Job Portal</t>
        </is>
      </c>
      <c r="AS1266" t="inlineStr">
        <is>
          <t>- Headcount: 2
- Hiring Job Details: Buggy Driver, Van Driver, as many as can
- Hiring Urgency: Not specified
- Number of outlets: Not specified
- Have recruiter team: Not specified
- Number of recruiter in company: 1
- Have ATS system: Not specified
- Have career website: Not specified
- Current hiring budget: Not specified
- Whole year budget: Not specified
- Whole year number of vacancies: Not specified
- Hiring frequency: Every month (100%)
- External job portal: Free Job Portal</t>
        </is>
      </c>
      <c r="AT1266">
        <v>75</v>
      </c>
      <c r="AU1266" t="inlineStr">
        <is>
          <t>0.75</t>
        </is>
      </c>
      <c r="AV1266" t="inlineStr">
        <is>
          <t>5</t>
        </is>
      </c>
      <c r="AW1266" t="inlineStr">
        <is>
          <t>0</t>
        </is>
      </c>
      <c r="AX1266" t="inlineStr">
        <is>
          <t>Not Qualified</t>
        </is>
      </c>
      <c r="AY1266" s="4"/>
      <c r="AZ1266"/>
      <c r="BA1266"/>
      <c r="BB1266"/>
      <c r="BC1266" t="inlineStr">
        <is>
          <t>Received message from Dato Esther on the remove access for Laila and need to update the link</t>
        </is>
      </c>
      <c r="BD1266" s="4">
        <v>46141.73583333333</v>
      </c>
      <c r="BE1266" t="inlineStr">
        <is>
          <t>paid</t>
        </is>
      </c>
      <c r="BF1266"/>
      <c r="BG1266" t="inlineStr">
        <is>
          <t>Reschedule</t>
        </is>
      </c>
      <c r="BH1266" t="inlineStr">
        <is>
          <t>Fauziah Maharan</t>
        </is>
      </c>
      <c r="BI1266" t="inlineStr">
        <is>
          <t>Transportation / Logistics</t>
        </is>
      </c>
      <c r="BJ1266" s="4">
        <v>46144.751921296294</v>
      </c>
      <c r="BK1266" s="4">
        <v>45538.69893518519</v>
      </c>
      <c r="BL1266" t="inlineStr">
        <is>
          <t>3888.0</t>
        </is>
      </c>
      <c r="BM1266" t="inlineStr">
        <is>
          <t>1050.0</t>
        </is>
      </c>
      <c r="BN1266" t="inlineStr">
        <is>
          <t>View Company Page</t>
        </is>
      </c>
      <c r="BO1266" s="4">
        <v>46140.62013888889</v>
      </c>
      <c r="BP1266">
        <v>168286</v>
      </c>
      <c r="BQ1266">
        <v>6753</v>
      </c>
      <c r="BR1266" t="inlineStr">
        <is>
          <t>Manual (Paid)</t>
        </is>
      </c>
      <c r="BS1266" t="inlineStr">
        <is>
          <t>Job Slot Startup-11.11 Hiring Promo 13.11.25
- Job Slot Startup of 1 Job Slot
- 1 Job Slot will be published on Maukerja, Ricebowl, Epicareer, Facebook, Google and Linkedin ( Subject to the rules and regulations by Linkedin) 
- 1 Job Slot will be published for 14 months
- 100 People Search
- Free up to 6 Part time job ad, each job ad publish for 45 days
- Premium Company Page for 14 months
- 1 Free Upgrade to Premium Job Slot
- Free Company Page Consultation
- EXTRA: 2-month extension for total 14-month package validity</t>
        </is>
      </c>
      <c r="BT1266">
        <v>6753</v>
      </c>
      <c r="BU1266"/>
      <c r="BV1266">
        <v>2736255</v>
      </c>
      <c r="BW1266" t="inlineStr">
        <is>
          <t>Service / Technical : Job Outcome Enquiry</t>
        </is>
      </c>
      <c r="BX1266">
        <v>1</v>
      </c>
      <c r="BY1266">
        <v>-2</v>
      </c>
      <c r="BZ1266" s="4">
        <v>46134.5065625</v>
      </c>
      <c r="CA1266">
        <v>145</v>
      </c>
      <c r="CB1266">
        <v>132</v>
      </c>
      <c r="CC1266" s="4">
        <v>46133.72930555556</v>
      </c>
      <c r="CD1266" t="inlineStr">
        <is>
          <t>5</t>
        </is>
      </c>
      <c r="CE1266" t="inlineStr">
        <is>
          <t>0</t>
        </is>
      </c>
      <c r="CF1266" t="inlineStr">
        <is>
          <t>Q2-W03</t>
        </is>
      </c>
      <c r="CG1266"/>
      <c r="CH1266"/>
      <c r="CI1266"/>
      <c r="CJ1266" t="inlineStr">
        <is>
          <t>Paid</t>
        </is>
      </c>
      <c r="CK1266" t="inlineStr">
        <is>
          <t>Eligible</t>
        </is>
      </c>
      <c r="CL1266"/>
      <c r="CM1266"/>
    </row>
    <row r="1267" ht="25.5" customHeight="1">
      <c r="A1267" t="inlineStr">
        <is>
          <t>183054</t>
        </is>
      </c>
      <c r="B1267" s="2"/>
      <c r="C1267"/>
      <c r="D1267" s="3">
        <v>46134.61108796296</v>
      </c>
      <c r="E1267" t="inlineStr">
        <is>
          <t>Q2-W03</t>
        </is>
      </c>
      <c r="F1267" t="inlineStr">
        <is>
          <t>Yvonne Lee</t>
        </is>
      </c>
      <c r="G1267" t="inlineStr">
        <is>
          <t>Customer</t>
        </is>
      </c>
      <c r="H1267" s="2" t="str">
        <f>=HYPERLINK("https://upbox.ajobthing.my/customer/183054", "https://upbox.ajobthing.my/customer/183054")</f>
        <v>https://upbox.ajobthing.my/customer/183054</v>
      </c>
      <c r="I1267" t="inlineStr">
        <is>
          <t>7 Autospa Holding Sdn Bhd</t>
        </is>
      </c>
      <c r="J1267" t="inlineStr">
        <is>
          <t>Super Whale</t>
        </is>
      </c>
      <c r="K1267" t="inlineStr">
        <is>
          <t>Yvonne</t>
        </is>
      </c>
      <c r="L1267" s="4"/>
      <c r="M1267" s="4">
        <v>46136.382372685184</v>
      </c>
      <c r="N1267"/>
      <c r="O1267">
        <v>3888</v>
      </c>
      <c r="P1267" s="4"/>
      <c r="Q1267" s="4">
        <v>46140.38417824074</v>
      </c>
      <c r="R1267"/>
      <c r="S1267">
        <v>0</v>
      </c>
      <c r="T1267" s="4">
        <v>46139.65380787037</v>
      </c>
      <c r="U1267" s="4"/>
      <c r="V1267"/>
      <c r="W1267">
        <v>3888</v>
      </c>
      <c r="X1267"/>
      <c r="Y1267" t="inlineStr">
        <is>
          <t>Pending Appointment</t>
        </is>
      </c>
      <c r="Z1267" t="inlineStr">
        <is>
          <t>Hiring Now</t>
        </is>
      </c>
      <c r="AA1267">
        <v>3</v>
      </c>
      <c r="AB1267" t="inlineStr">
        <is>
          <t>No Appointment Made</t>
        </is>
      </c>
      <c r="AC1267"/>
      <c r="AD1267" t="inlineStr">
        <is>
          <t>1) Executive
2) Operation
3) HR &amp; Admin positons</t>
        </is>
      </c>
      <c r="AE1267"/>
      <c r="AF1267">
        <v>10000</v>
      </c>
      <c r="AG1267" s="4"/>
      <c r="AH1267" s="4"/>
      <c r="AI1267">
        <v>10000</v>
      </c>
      <c r="AJ1267">
        <v>1</v>
      </c>
      <c r="AK1267" t="inlineStr">
        <is>
          <t>Yes, I have</t>
        </is>
      </c>
      <c r="AL1267">
        <v>2</v>
      </c>
      <c r="AM1267" t="inlineStr">
        <is>
          <t>No, I don't need at all</t>
        </is>
      </c>
      <c r="AN1267"/>
      <c r="AO1267" t="inlineStr">
        <is>
          <t>No, I don't need at all</t>
        </is>
      </c>
      <c r="AP1267" t="inlineStr">
        <is>
          <t>Once per quarter (75%)</t>
        </is>
      </c>
      <c r="AQ1267">
        <v>40</v>
      </c>
      <c r="AR1267" t="inlineStr">
        <is>
          <t>Jobstreet, Indeed (Paid)</t>
        </is>
      </c>
      <c r="AS1267" t="inlineStr">
        <is>
          <t>- Headcount: 3
- Hiring Job Details: 1) Executive 2) Operation 3) HR &amp; Admin positions
- Hiring Urgency: Hiring Now
- Number of outlets: 1
- Have recruiter team: Yes
- Number of recruiter in company: 2
- Have ATS system: No, I don't need at all
- Have career website: No, I don't need at all
- Current hiring budget: RM10,000
- Whole year budget: RM10,000.00
- Whole year number of vacancies: 40
- Hiring frequency: Once per quarter (75%)
- External job portal: Jobstreet, Indeed (Paid)</t>
        </is>
      </c>
      <c r="AT1267">
        <v>95</v>
      </c>
      <c r="AU1267" t="inlineStr">
        <is>
          <t>0.95</t>
        </is>
      </c>
      <c r="AV1267" t="inlineStr">
        <is>
          <t>15</t>
        </is>
      </c>
      <c r="AW1267" t="inlineStr">
        <is>
          <t>0</t>
        </is>
      </c>
      <c r="AX1267" t="inlineStr">
        <is>
          <t>Not Qualified</t>
        </is>
      </c>
      <c r="AY1267" s="4"/>
      <c r="AZ1267"/>
      <c r="BA1267"/>
      <c r="BB1267"/>
      <c r="BC1267" t="inlineStr">
        <is>
          <t>Payment paid and client request posting matters.</t>
        </is>
      </c>
      <c r="BD1267" s="4">
        <v>46140.44068287037</v>
      </c>
      <c r="BE1267" t="inlineStr">
        <is>
          <t>paid</t>
        </is>
      </c>
      <c r="BF1267" t="inlineStr">
        <is>
          <t>Q2-W04</t>
        </is>
      </c>
      <c r="BG1267" t="inlineStr">
        <is>
          <t>Reschedule</t>
        </is>
      </c>
      <c r="BH1267" t="inlineStr">
        <is>
          <t>andy@ajobthing.com</t>
        </is>
      </c>
      <c r="BI1267" t="inlineStr">
        <is>
          <t>Automobile / Automotive</t>
        </is>
      </c>
      <c r="BJ1267" s="4">
        <v>46144.75194444445</v>
      </c>
      <c r="BK1267" s="4">
        <v>45560.382835648146</v>
      </c>
      <c r="BL1267" t="inlineStr">
        <is>
          <t>3888.0</t>
        </is>
      </c>
      <c r="BM1267" t="inlineStr">
        <is>
          <t>0.0</t>
        </is>
      </c>
      <c r="BN1267" t="inlineStr">
        <is>
          <t>View Company Page</t>
        </is>
      </c>
      <c r="BO1267" s="4">
        <v>46141.734189814815</v>
      </c>
      <c r="BP1267">
        <v>168693</v>
      </c>
      <c r="BQ1267">
        <v>123810</v>
      </c>
      <c r="BR1267" t="inlineStr">
        <is>
          <t>Proforma</t>
        </is>
      </c>
      <c r="BS1267" t="inlineStr">
        <is>
          <t>Free Part-Time Job</t>
        </is>
      </c>
      <c r="BT1267">
        <v>7704</v>
      </c>
      <c r="BU1267"/>
      <c r="BV1267">
        <v>2731864</v>
      </c>
      <c r="BW1267" t="inlineStr">
        <is>
          <t>Follow Up : Win - Customer Paid</t>
        </is>
      </c>
      <c r="BX1267">
        <v>8</v>
      </c>
      <c r="BY1267">
        <v>6</v>
      </c>
      <c r="BZ1267" s="4">
        <v>46140.728900462964</v>
      </c>
      <c r="CA1267">
        <v>60</v>
      </c>
      <c r="CB1267">
        <v>60</v>
      </c>
      <c r="CC1267" s="4"/>
      <c r="CD1267" t="inlineStr">
        <is>
          <t>20</t>
        </is>
      </c>
      <c r="CE1267" t="inlineStr">
        <is>
          <t>0</t>
        </is>
      </c>
      <c r="CF1267" t="inlineStr">
        <is>
          <t>Q2-W04</t>
        </is>
      </c>
      <c r="CG1267" t="inlineStr">
        <is>
          <t>Q2-W04</t>
        </is>
      </c>
      <c r="CH1267" t="inlineStr">
        <is>
          <t>Q2-W04</t>
        </is>
      </c>
      <c r="CI1267"/>
      <c r="CJ1267" t="inlineStr">
        <is>
          <t>Paid</t>
        </is>
      </c>
      <c r="CK1267" t="inlineStr">
        <is>
          <t>Eligible</t>
        </is>
      </c>
      <c r="CL1267"/>
      <c r="CM1267"/>
    </row>
    <row r="1268" ht="25.5" customHeight="1">
      <c r="A1268" t="inlineStr">
        <is>
          <t>203563</t>
        </is>
      </c>
      <c r="B1268" s="2"/>
      <c r="C1268"/>
      <c r="D1268" s="3">
        <v>46135.46671296296</v>
      </c>
      <c r="E1268" t="inlineStr">
        <is>
          <t>Q2-W03</t>
        </is>
      </c>
      <c r="F1268" t="inlineStr">
        <is>
          <t>Yvonne Lee</t>
        </is>
      </c>
      <c r="G1268" t="inlineStr">
        <is>
          <t>Customer</t>
        </is>
      </c>
      <c r="H1268" s="2" t="str">
        <f>=HYPERLINK("https://upbox.ajobthing.my/customer/203563", "https://upbox.ajobthing.my/customer/203563")</f>
        <v>https://upbox.ajobthing.my/customer/203563</v>
      </c>
      <c r="I1268" t="inlineStr">
        <is>
          <t>AMPHENOL TCS (M) SDN BHD</t>
        </is>
      </c>
      <c r="J1268" t="inlineStr">
        <is>
          <t>Super Whale</t>
        </is>
      </c>
      <c r="K1268" t="inlineStr">
        <is>
          <t>Yvonne</t>
        </is>
      </c>
      <c r="L1268" s="4"/>
      <c r="M1268" s="4">
        <v>46140.4640625</v>
      </c>
      <c r="N1268"/>
      <c r="O1268">
        <v>11448</v>
      </c>
      <c r="P1268" s="4"/>
      <c r="Q1268" s="4"/>
      <c r="R1268"/>
      <c r="S1268"/>
      <c r="T1268" s="4"/>
      <c r="U1268" s="4"/>
      <c r="V1268"/>
      <c r="W1268"/>
      <c r="X1268"/>
      <c r="Y1268" t="inlineStr">
        <is>
          <t>Pending Appointment</t>
        </is>
      </c>
      <c r="Z1268" t="inlineStr">
        <is>
          <t>Continuous Hiring</t>
        </is>
      </c>
      <c r="AA1268">
        <v>30</v>
      </c>
      <c r="AB1268" t="inlineStr">
        <is>
          <t>No Appointment Made</t>
        </is>
      </c>
      <c r="AC1268"/>
      <c r="AD1268" t="inlineStr">
        <is>
          <t>1) engineer (20)
2) technician (10)
</t>
        </is>
      </c>
      <c r="AE1268"/>
      <c r="AF1268">
        <v>15000</v>
      </c>
      <c r="AG1268" s="4"/>
      <c r="AH1268" s="4"/>
      <c r="AI1268">
        <v>15000</v>
      </c>
      <c r="AJ1268">
        <v>2</v>
      </c>
      <c r="AK1268" t="inlineStr">
        <is>
          <t>Yes, I have</t>
        </is>
      </c>
      <c r="AL1268">
        <v>8</v>
      </c>
      <c r="AM1268" t="inlineStr">
        <is>
          <t>No, I don't need at all</t>
        </is>
      </c>
      <c r="AN1268"/>
      <c r="AO1268" t="inlineStr">
        <is>
          <t>No, but I want in future</t>
        </is>
      </c>
      <c r="AP1268" t="inlineStr">
        <is>
          <t>Every month (100%)</t>
        </is>
      </c>
      <c r="AQ1268">
        <v>50</v>
      </c>
      <c r="AR1268" t="inlineStr">
        <is>
          <t>Jobstreet, Indeed (Paid)</t>
        </is>
      </c>
      <c r="AS1268" t="inlineStr">
        <is>
          <t>- Headcount: 30
- Hiring Job Details: 1) engineer (20) 2) technician (10)
- Hiring Urgency: Continuous Hiring
- Number of outlets: 2
- Have recruiter team: Yes
- Number of recruiter in company: 8
- Have ATS system: No, I don't need at all
- Have career website: No, but I want in future
- Current hiring budget: RM15,000
- Whole year budget: RM15,000.00
- Whole year number of vacancies: 50
- Hiring frequency: Every month (100%)
- External job portal: Jobstreet,Indeed (Paid)</t>
        </is>
      </c>
      <c r="AT1268">
        <v>115</v>
      </c>
      <c r="AU1268" t="inlineStr">
        <is>
          <t>1.15</t>
        </is>
      </c>
      <c r="AV1268" t="inlineStr">
        <is>
          <t>30</t>
        </is>
      </c>
      <c r="AW1268" t="inlineStr">
        <is>
          <t>0</t>
        </is>
      </c>
      <c r="AX1268" t="inlineStr">
        <is>
          <t>Not Qualified</t>
        </is>
      </c>
      <c r="AY1268" s="4"/>
      <c r="AZ1268"/>
      <c r="BA1268"/>
      <c r="BB1268"/>
      <c r="BC1268" t="inlineStr">
        <is>
          <t>Looking to have every month 10 job ads included cdd search package but try convince her boss says on hold first.</t>
        </is>
      </c>
      <c r="BD1268" s="4">
        <v>46142.42375</v>
      </c>
      <c r="BE1268"/>
      <c r="BF1268"/>
      <c r="BG1268" t="inlineStr">
        <is>
          <t>Reschedule</t>
        </is>
      </c>
      <c r="BH1268" t="inlineStr">
        <is>
          <t>andy@ajobthing.com</t>
        </is>
      </c>
      <c r="BI1268"/>
      <c r="BJ1268" s="4">
        <v>46144.75435185185</v>
      </c>
      <c r="BK1268" s="4">
        <v>46135.44900462963</v>
      </c>
      <c r="BL1268" t="inlineStr">
        <is>
          <t>0.0</t>
        </is>
      </c>
      <c r="BM1268" t="inlineStr">
        <is>
          <t>28200.0</t>
        </is>
      </c>
      <c r="BN1268"/>
      <c r="BO1268" s="4"/>
      <c r="BP1268">
        <v>169168</v>
      </c>
      <c r="BQ1268"/>
      <c r="BR1268"/>
      <c r="BS1268"/>
      <c r="BT1268"/>
      <c r="BU1268"/>
      <c r="BV1268">
        <v>2736671</v>
      </c>
      <c r="BW1268" t="inlineStr">
        <is>
          <t>Follow Up : Budget Concern</t>
        </is>
      </c>
      <c r="BX1268"/>
      <c r="BY1268"/>
      <c r="BZ1268" s="4"/>
      <c r="CA1268"/>
      <c r="CB1268"/>
      <c r="CC1268" s="4"/>
      <c r="CD1268" t="inlineStr">
        <is>
          <t>40</t>
        </is>
      </c>
      <c r="CE1268" t="inlineStr">
        <is>
          <t>0</t>
        </is>
      </c>
      <c r="CF1268" t="inlineStr">
        <is>
          <t>Q2-W04</t>
        </is>
      </c>
      <c r="CG1268"/>
      <c r="CH1268"/>
      <c r="CI1268"/>
      <c r="CJ1268" t="inlineStr">
        <is>
          <t>No Paid</t>
        </is>
      </c>
      <c r="CK1268" t="inlineStr">
        <is>
          <t>Eligible</t>
        </is>
      </c>
      <c r="CL1268"/>
      <c r="CM1268"/>
    </row>
    <row r="1269" ht="25.5" customHeight="1">
      <c r="A1269" t="inlineStr">
        <is>
          <t>202163</t>
        </is>
      </c>
      <c r="B1269" s="2"/>
      <c r="C1269"/>
      <c r="D1269" s="3">
        <v>46135.70618055556</v>
      </c>
      <c r="E1269" t="inlineStr">
        <is>
          <t>Q2-W03</t>
        </is>
      </c>
      <c r="F1269" t="inlineStr">
        <is>
          <t>Yvonne Lee</t>
        </is>
      </c>
      <c r="G1269" t="inlineStr">
        <is>
          <t>Customer</t>
        </is>
      </c>
      <c r="H1269" s="2" t="str">
        <f>=HYPERLINK("https://upbox.ajobthing.my/customer/202163", "https://upbox.ajobthing.my/customer/202163")</f>
        <v>https://upbox.ajobthing.my/customer/202163</v>
      </c>
      <c r="I1269" t="inlineStr">
        <is>
          <t>Systems Limited- Apac</t>
        </is>
      </c>
      <c r="J1269" t="inlineStr">
        <is>
          <t>Super Whale</t>
        </is>
      </c>
      <c r="K1269" t="inlineStr">
        <is>
          <t>Yvonne</t>
        </is>
      </c>
      <c r="L1269" s="4"/>
      <c r="M1269" s="4">
        <v>46135.70903935185</v>
      </c>
      <c r="N1269"/>
      <c r="O1269">
        <v>12960</v>
      </c>
      <c r="P1269" s="4"/>
      <c r="Q1269" s="4"/>
      <c r="R1269"/>
      <c r="S1269"/>
      <c r="T1269" s="4"/>
      <c r="U1269" s="4"/>
      <c r="V1269"/>
      <c r="W1269"/>
      <c r="X1269"/>
      <c r="Y1269" t="inlineStr">
        <is>
          <t>Pending Appointment</t>
        </is>
      </c>
      <c r="Z1269" t="inlineStr">
        <is>
          <t>Hiring Now</t>
        </is>
      </c>
      <c r="AA1269">
        <v>3</v>
      </c>
      <c r="AB1269" t="inlineStr">
        <is>
          <t>No Appointment Made</t>
        </is>
      </c>
      <c r="AC1269"/>
      <c r="AD1269" t="inlineStr">
        <is>
          <t>1) Sales Representative
2) Engineer
3) Analyst</t>
        </is>
      </c>
      <c r="AE1269"/>
      <c r="AF1269">
        <v>15000</v>
      </c>
      <c r="AG1269" s="4"/>
      <c r="AH1269" s="4"/>
      <c r="AI1269">
        <v>15000</v>
      </c>
      <c r="AJ1269">
        <v>1</v>
      </c>
      <c r="AK1269" t="inlineStr">
        <is>
          <t>Yes, I have</t>
        </is>
      </c>
      <c r="AL1269">
        <v>1</v>
      </c>
      <c r="AM1269" t="inlineStr">
        <is>
          <t>No, but I want in future</t>
        </is>
      </c>
      <c r="AN1269"/>
      <c r="AO1269" t="inlineStr">
        <is>
          <t>No, I don't need at all</t>
        </is>
      </c>
      <c r="AP1269" t="inlineStr">
        <is>
          <t>Every month (100%)</t>
        </is>
      </c>
      <c r="AQ1269">
        <v>100</v>
      </c>
      <c r="AR1269" t="inlineStr">
        <is>
          <t>Jobstreet, Jobstore</t>
        </is>
      </c>
      <c r="AS1269" t="inlineStr">
        <is>
          <t>- Headcount: 3
- Hiring Job Details: 1 Sales Representative, 1 Engineer, 1 Analyst
- Hiring Urgency: Hiring Now
- Number of outlets: 1
- Have recruiter team: Yes
- Number of recruiter in company: 1
- Have ATS system: No, but want in future
- Have career website: No
- Current hiring budget: RM15,000
- Whole year budget: RM15,000.00
- Whole year number of vacancies: 100
- Hiring frequency: Every month (100%)
- External job portal: Jobstreet, Jobstore</t>
        </is>
      </c>
      <c r="AT1269">
        <v>110</v>
      </c>
      <c r="AU1269" t="inlineStr">
        <is>
          <t>1.10</t>
        </is>
      </c>
      <c r="AV1269" t="inlineStr">
        <is>
          <t>20</t>
        </is>
      </c>
      <c r="AW1269" t="inlineStr">
        <is>
          <t>0</t>
        </is>
      </c>
      <c r="AX1269" t="inlineStr">
        <is>
          <t>Not Qualified</t>
        </is>
      </c>
      <c r="AY1269" s="4"/>
      <c r="AZ1269"/>
      <c r="BA1269"/>
      <c r="BB1269"/>
      <c r="BC1269" t="inlineStr">
        <is>
          <t>Quotation shared.</t>
        </is>
      </c>
      <c r="BD1269" s="4">
        <v>46136.402766203704</v>
      </c>
      <c r="BE1269"/>
      <c r="BF1269"/>
      <c r="BG1269" t="inlineStr">
        <is>
          <t>Reschedule</t>
        </is>
      </c>
      <c r="BH1269" t="inlineStr">
        <is>
          <t>andy@ajobthing.com</t>
        </is>
      </c>
      <c r="BI1269"/>
      <c r="BJ1269" s="4">
        <v>46144.75398148148</v>
      </c>
      <c r="BK1269" s="4">
        <v>46097.69571759259</v>
      </c>
      <c r="BL1269" t="inlineStr">
        <is>
          <t>0.0</t>
        </is>
      </c>
      <c r="BM1269" t="inlineStr">
        <is>
          <t>0.0</t>
        </is>
      </c>
      <c r="BN1269" t="inlineStr">
        <is>
          <t>User Visit(Logged In)</t>
        </is>
      </c>
      <c r="BO1269" s="4">
        <v>46097.69579861111</v>
      </c>
      <c r="BP1269">
        <v>168639</v>
      </c>
      <c r="BQ1269"/>
      <c r="BR1269"/>
      <c r="BS1269"/>
      <c r="BT1269"/>
      <c r="BU1269"/>
      <c r="BV1269">
        <v>2725392</v>
      </c>
      <c r="BW1269" t="inlineStr">
        <is>
          <t>Inquire for Hiring Needs : Quotation Sent 50%</t>
        </is>
      </c>
      <c r="BX1269"/>
      <c r="BY1269"/>
      <c r="BZ1269" s="4"/>
      <c r="CA1269"/>
      <c r="CB1269"/>
      <c r="CC1269" s="4"/>
      <c r="CD1269" t="inlineStr">
        <is>
          <t>25</t>
        </is>
      </c>
      <c r="CE1269" t="inlineStr">
        <is>
          <t>0</t>
        </is>
      </c>
      <c r="CF1269" t="inlineStr">
        <is>
          <t>Q2-W03</t>
        </is>
      </c>
      <c r="CG1269"/>
      <c r="CH1269"/>
      <c r="CI1269"/>
      <c r="CJ1269" t="inlineStr">
        <is>
          <t>No Paid</t>
        </is>
      </c>
      <c r="CK1269" t="inlineStr">
        <is>
          <t>Eligible</t>
        </is>
      </c>
      <c r="CL1269"/>
      <c r="CM1269"/>
    </row>
    <row r="1270" ht="25.5" customHeight="1">
      <c r="A1270" t="inlineStr">
        <is>
          <t>5668</t>
        </is>
      </c>
      <c r="B1270" s="2"/>
      <c r="C1270"/>
      <c r="D1270" s="3">
        <v>46135.781180555554</v>
      </c>
      <c r="E1270" t="inlineStr">
        <is>
          <t>Q2-W03</t>
        </is>
      </c>
      <c r="F1270" t="inlineStr">
        <is>
          <t>Jess</t>
        </is>
      </c>
      <c r="G1270" t="inlineStr">
        <is>
          <t>Customer</t>
        </is>
      </c>
      <c r="H1270" s="2" t="str">
        <f>=HYPERLINK("https://upbox.ajobthing.my/customer/5668", "https://upbox.ajobthing.my/customer/5668")</f>
        <v>https://upbox.ajobthing.my/customer/5668</v>
      </c>
      <c r="I1270" t="inlineStr">
        <is>
          <t>Suez Top Venture Sdn Bhd</t>
        </is>
      </c>
      <c r="J1270" t="inlineStr">
        <is>
          <t>Super Whale</t>
        </is>
      </c>
      <c r="K1270" t="inlineStr">
        <is>
          <t>Jess Lim</t>
        </is>
      </c>
      <c r="L1270" s="4"/>
      <c r="M1270" s="4">
        <v>46135.69347222222</v>
      </c>
      <c r="N1270"/>
      <c r="O1270">
        <v>6048</v>
      </c>
      <c r="P1270" s="4"/>
      <c r="Q1270" s="4">
        <v>46136.40993055556</v>
      </c>
      <c r="R1270"/>
      <c r="S1270">
        <v>6048</v>
      </c>
      <c r="T1270" s="4">
        <v>45783.45605324074</v>
      </c>
      <c r="U1270" s="4"/>
      <c r="V1270"/>
      <c r="W1270">
        <v>5832</v>
      </c>
      <c r="X1270" t="inlineStr">
        <is>
          <t>Dandy Liu</t>
        </is>
      </c>
      <c r="Y1270" t="inlineStr">
        <is>
          <t>Pending Appointment</t>
        </is>
      </c>
      <c r="Z1270" t="inlineStr">
        <is>
          <t>Continuous Hiring</t>
        </is>
      </c>
      <c r="AA1270">
        <v>10</v>
      </c>
      <c r="AB1270" t="inlineStr">
        <is>
          <t>Appointment Made</t>
        </is>
      </c>
      <c r="AC1270" t="inlineStr">
        <is>
          <t>Large (101-300 employees)</t>
        </is>
      </c>
      <c r="AD1270" t="inlineStr">
        <is>
          <t>crew driver 10 positoins every month</t>
        </is>
      </c>
      <c r="AE1270" t="inlineStr">
        <is>
          <t>HR Director / Senior HR Lead</t>
        </is>
      </c>
      <c r="AF1270">
        <v>6000</v>
      </c>
      <c r="AG1270" s="4">
        <v>46135.625</v>
      </c>
      <c r="AH1270" s="4">
        <v>46135.645833333336</v>
      </c>
      <c r="AI1270"/>
      <c r="AJ1270">
        <v>17</v>
      </c>
      <c r="AK1270" t="inlineStr">
        <is>
          <t>Yes, I have</t>
        </is>
      </c>
      <c r="AL1270">
        <v>2</v>
      </c>
      <c r="AM1270" t="inlineStr">
        <is>
          <t>No, I don't need at all</t>
        </is>
      </c>
      <c r="AN1270"/>
      <c r="AO1270" t="inlineStr">
        <is>
          <t>No, I don't need at all</t>
        </is>
      </c>
      <c r="AP1270" t="inlineStr">
        <is>
          <t>Every month (100%)</t>
        </is>
      </c>
      <c r="AQ1270"/>
      <c r="AR1270" t="inlineStr">
        <is>
          <t>Jobstreet</t>
        </is>
      </c>
      <c r="AS1270" t="inlineStr">
        <is>
          <t>- Headcount: 10
- Hiring Job Details: 10 crew driver positions every month
- Hiring Urgency: Continuous Hiring
- Number of outlets: 17
- Have recruiter team: Yes
- Number of recruiter in company: 2
- Have ATS system: No, I don't need at all
- Have career website: No, I don't need at all
- Current hiring budget: RM6,000.00
- Whole year budget: Not specified
- Whole year number of vacancies: Not specified
- Hiring frequency: Every month (100%)
- External job portal: Jobstreet</t>
        </is>
      </c>
      <c r="AT1270">
        <v>105</v>
      </c>
      <c r="AU1270" t="inlineStr">
        <is>
          <t>1.05</t>
        </is>
      </c>
      <c r="AV1270" t="inlineStr">
        <is>
          <t>50</t>
        </is>
      </c>
      <c r="AW1270" t="inlineStr">
        <is>
          <t>0.5</t>
        </is>
      </c>
      <c r="AX1270" t="inlineStr">
        <is>
          <t>Not Qualified</t>
        </is>
      </c>
      <c r="AY1270" s="4"/>
      <c r="AZ1270"/>
      <c r="BA1270"/>
      <c r="BB1270"/>
      <c r="BC1270" t="inlineStr">
        <is>
          <t>send ivoice</t>
        </is>
      </c>
      <c r="BD1270" s="4">
        <v>46136.42188657408</v>
      </c>
      <c r="BE1270" t="inlineStr">
        <is>
          <t>pending</t>
        </is>
      </c>
      <c r="BF1270"/>
      <c r="BG1270" t="inlineStr">
        <is>
          <t>Reschedule</t>
        </is>
      </c>
      <c r="BH1270" t="inlineStr">
        <is>
          <t>Fauziah Maharan</t>
        </is>
      </c>
      <c r="BI1270" t="inlineStr">
        <is>
          <t>Food / Beverage</t>
        </is>
      </c>
      <c r="BJ1270" s="4">
        <v>46144.75609953704</v>
      </c>
      <c r="BK1270" s="4">
        <v>42414.76247685185</v>
      </c>
      <c r="BL1270" t="inlineStr">
        <is>
          <t>5832.0</t>
        </is>
      </c>
      <c r="BM1270" t="inlineStr">
        <is>
          <t>0.0</t>
        </is>
      </c>
      <c r="BN1270" t="inlineStr">
        <is>
          <t>View Company Page</t>
        </is>
      </c>
      <c r="BO1270" s="4">
        <v>46136.43524305556</v>
      </c>
      <c r="BP1270">
        <v>168630</v>
      </c>
      <c r="BQ1270">
        <v>123647</v>
      </c>
      <c r="BR1270" t="inlineStr">
        <is>
          <t>Proforma</t>
        </is>
      </c>
      <c r="BS1270" t="inlineStr">
        <is>
          <t>AI Yearly Professional Plan (Jan 26)</t>
        </is>
      </c>
      <c r="BT1270">
        <v>79028</v>
      </c>
      <c r="BU1270"/>
      <c r="BV1270">
        <v>2725521</v>
      </c>
      <c r="BW1270" t="inlineStr">
        <is>
          <t>Inquire for Hiring Needs : Invoice Sent 75%</t>
        </is>
      </c>
      <c r="BX1270">
        <v>12</v>
      </c>
      <c r="BY1270">
        <v>0</v>
      </c>
      <c r="BZ1270" s="4">
        <v>46065.44615740741</v>
      </c>
      <c r="CA1270">
        <v>285</v>
      </c>
      <c r="CB1270">
        <v>278</v>
      </c>
      <c r="CC1270" s="4">
        <v>45999.63959490741</v>
      </c>
      <c r="CD1270" t="inlineStr">
        <is>
          <t>70</t>
        </is>
      </c>
      <c r="CE1270" t="inlineStr">
        <is>
          <t>0</t>
        </is>
      </c>
      <c r="CF1270" t="inlineStr">
        <is>
          <t>Q2-W03</t>
        </is>
      </c>
      <c r="CG1270" t="inlineStr">
        <is>
          <t>Q2-W04</t>
        </is>
      </c>
      <c r="CH1270"/>
      <c r="CI1270"/>
      <c r="CJ1270" t="inlineStr">
        <is>
          <t>Paid</t>
        </is>
      </c>
      <c r="CK1270" t="inlineStr">
        <is>
          <t>Eligible</t>
        </is>
      </c>
      <c r="CL1270"/>
      <c r="CM1270"/>
    </row>
    <row r="1271" ht="25.5" customHeight="1">
      <c r="A1271" t="inlineStr">
        <is>
          <t>188841</t>
        </is>
      </c>
      <c r="B1271" s="2"/>
      <c r="C1271"/>
      <c r="D1271" s="3">
        <v>46129.406805555554</v>
      </c>
      <c r="E1271" t="inlineStr">
        <is>
          <t>Q2-W03</t>
        </is>
      </c>
      <c r="F1271" t="inlineStr">
        <is>
          <t>Carmen</t>
        </is>
      </c>
      <c r="G1271" t="inlineStr">
        <is>
          <t>Customer</t>
        </is>
      </c>
      <c r="H1271" s="2" t="str">
        <f>=HYPERLINK("https://upbox.ajobthing.my/customer/188841", "https://upbox.ajobthing.my/customer/188841")</f>
        <v>https://upbox.ajobthing.my/customer/188841</v>
      </c>
      <c r="I1271" t="inlineStr">
        <is>
          <t>Aegis Materials (M) Sdn. Bhd.</t>
        </is>
      </c>
      <c r="J1271" t="inlineStr">
        <is>
          <t>Whale</t>
        </is>
      </c>
      <c r="K1271" t="inlineStr">
        <is>
          <t>Carmen</t>
        </is>
      </c>
      <c r="L1271" s="4"/>
      <c r="M1271" s="4">
        <v>46129.406875</v>
      </c>
      <c r="N1271"/>
      <c r="O1271">
        <v>1296</v>
      </c>
      <c r="P1271" s="4"/>
      <c r="Q1271" s="4">
        <v>46142.63418981482</v>
      </c>
      <c r="R1271"/>
      <c r="S1271">
        <v>1296</v>
      </c>
      <c r="T1271" s="4">
        <v>45967.44179398148</v>
      </c>
      <c r="U1271" s="4"/>
      <c r="V1271"/>
      <c r="W1271">
        <v>2592</v>
      </c>
      <c r="X1271"/>
      <c r="Y1271" t="inlineStr">
        <is>
          <t>Pending Appointment</t>
        </is>
      </c>
      <c r="Z1271" t="inlineStr">
        <is>
          <t>Hiring Now</t>
        </is>
      </c>
      <c r="AA1271">
        <v>1</v>
      </c>
      <c r="AB1271" t="inlineStr">
        <is>
          <t>No Appointment Made</t>
        </is>
      </c>
      <c r="AC1271"/>
      <c r="AD1271" t="inlineStr">
        <is>
          <t>1 sales admin</t>
        </is>
      </c>
      <c r="AE1271"/>
      <c r="AF1271">
        <v>1000</v>
      </c>
      <c r="AG1271" s="4"/>
      <c r="AH1271" s="4"/>
      <c r="AI1271"/>
      <c r="AJ1271"/>
      <c r="AK1271"/>
      <c r="AL1271"/>
      <c r="AM1271"/>
      <c r="AN1271"/>
      <c r="AO1271"/>
      <c r="AP1271"/>
      <c r="AQ1271"/>
      <c r="AR1271"/>
      <c r="AS1271" t="inlineStr">
        <is>
          <t>- Headcount: 1
- Hiring Job Details: 1 sales admin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Not available
- External job portal: Not available</t>
        </is>
      </c>
      <c r="AT1271">
        <v>65</v>
      </c>
      <c r="AU1271" t="inlineStr">
        <is>
          <t>0.65</t>
        </is>
      </c>
      <c r="AV1271" t="inlineStr">
        <is>
          <t>15</t>
        </is>
      </c>
      <c r="AW1271" t="inlineStr">
        <is>
          <t>0</t>
        </is>
      </c>
      <c r="AX1271" t="inlineStr">
        <is>
          <t>Not Qualified</t>
        </is>
      </c>
      <c r="AY1271" s="4"/>
      <c r="AZ1271"/>
      <c r="BA1271"/>
      <c r="BB1271"/>
      <c r="BC1271" t="inlineStr">
        <is>
          <t>iv sent</t>
        </is>
      </c>
      <c r="BD1271" s="4">
        <v>46142.641539351855</v>
      </c>
      <c r="BE1271" t="inlineStr">
        <is>
          <t>pending</t>
        </is>
      </c>
      <c r="BF1271"/>
      <c r="BG1271" t="inlineStr">
        <is>
          <t>Reschedule</t>
        </is>
      </c>
      <c r="BH1271" t="inlineStr">
        <is>
          <t>Reagen</t>
        </is>
      </c>
      <c r="BI1271" t="inlineStr">
        <is>
          <t>Manufacturing / Production</t>
        </is>
      </c>
      <c r="BJ1271" s="4">
        <v>46144.752280092594</v>
      </c>
      <c r="BK1271" s="4">
        <v>45729.65678240741</v>
      </c>
      <c r="BL1271" t="inlineStr">
        <is>
          <t>2592.0</t>
        </is>
      </c>
      <c r="BM1271" t="inlineStr">
        <is>
          <t>3000.0</t>
        </is>
      </c>
      <c r="BN1271" t="inlineStr">
        <is>
          <t>PA Visit - Job Card</t>
        </is>
      </c>
      <c r="BO1271" s="4">
        <v>46034.4387037037</v>
      </c>
      <c r="BP1271">
        <v>167519</v>
      </c>
      <c r="BQ1271">
        <v>124199</v>
      </c>
      <c r="BR1271" t="inlineStr">
        <is>
          <t>Proforma</t>
        </is>
      </c>
      <c r="BS1271" t="inlineStr">
        <is>
          <t>AI Ala Carte (Jan 26) Plus</t>
        </is>
      </c>
      <c r="BT1271">
        <v>6684</v>
      </c>
      <c r="BU1271"/>
      <c r="BV1271">
        <v>2737950</v>
      </c>
      <c r="BW1271" t="inlineStr">
        <is>
          <t>Follow Up : Invoice Sent 75%</t>
        </is>
      </c>
      <c r="BX1271"/>
      <c r="BY1271"/>
      <c r="BZ1271" s="4"/>
      <c r="CA1271"/>
      <c r="CB1271"/>
      <c r="CC1271" s="4"/>
      <c r="CD1271" t="inlineStr">
        <is>
          <t>20</t>
        </is>
      </c>
      <c r="CE1271" t="inlineStr">
        <is>
          <t>0</t>
        </is>
      </c>
      <c r="CF1271" t="inlineStr">
        <is>
          <t>Q2-W03</t>
        </is>
      </c>
      <c r="CG1271" t="inlineStr">
        <is>
          <t>Q2-W04</t>
        </is>
      </c>
      <c r="CH1271"/>
      <c r="CI1271"/>
      <c r="CJ1271" t="inlineStr">
        <is>
          <t>Paid</t>
        </is>
      </c>
      <c r="CK1271" t="inlineStr">
        <is>
          <t>Eligible</t>
        </is>
      </c>
      <c r="CL1271"/>
      <c r="CM1271"/>
    </row>
    <row r="1272" ht="25.5" customHeight="1">
      <c r="A1272" t="inlineStr">
        <is>
          <t>4281972</t>
        </is>
      </c>
      <c r="B1272" s="2"/>
      <c r="C1272"/>
      <c r="D1272" s="3">
        <v>46129.42800925926</v>
      </c>
      <c r="E1272" t="inlineStr">
        <is>
          <t>Q2-W03</t>
        </is>
      </c>
      <c r="F1272" t="inlineStr">
        <is>
          <t>Luqman</t>
        </is>
      </c>
      <c r="G1272" t="inlineStr">
        <is>
          <t>Lead</t>
        </is>
      </c>
      <c r="H1272" s="2" t="str">
        <f>=HYPERLINK("https://upbox.ajobthing.my/leads/4281972", "https://upbox.ajobthing.my/leads/4281972")</f>
        <v>https://upbox.ajobthing.my/leads/4281972</v>
      </c>
      <c r="I1272" t="inlineStr">
        <is>
          <t>Government Unit</t>
        </is>
      </c>
      <c r="J1272" t="inlineStr">
        <is>
          <t>Whale</t>
        </is>
      </c>
      <c r="K1272" t="inlineStr">
        <is>
          <t>Luqman</t>
        </is>
      </c>
      <c r="L1272" s="4"/>
      <c r="M1272" s="4">
        <v>46129.42831018518</v>
      </c>
      <c r="N1272"/>
      <c r="O1272">
        <v>1512</v>
      </c>
      <c r="P1272" s="4"/>
      <c r="Q1272" s="4"/>
      <c r="R1272"/>
      <c r="S1272"/>
      <c r="T1272" s="4"/>
      <c r="U1272" s="4"/>
      <c r="V1272"/>
      <c r="W1272"/>
      <c r="X1272"/>
      <c r="Y1272" t="inlineStr">
        <is>
          <t>Pending Appointment</t>
        </is>
      </c>
      <c r="Z1272" t="inlineStr">
        <is>
          <t>Hiring Later</t>
        </is>
      </c>
      <c r="AA1272">
        <v>1</v>
      </c>
      <c r="AB1272" t="inlineStr">
        <is>
          <t>No Appointment Made</t>
        </is>
      </c>
      <c r="AC1272"/>
      <c r="AD1272" t="inlineStr">
        <is>
          <t>1. Admin</t>
        </is>
      </c>
      <c r="AE1272"/>
      <c r="AF1272">
        <v>1500</v>
      </c>
      <c r="AG1272" s="4"/>
      <c r="AH1272" s="4"/>
      <c r="AI1272">
        <v>1500</v>
      </c>
      <c r="AJ1272"/>
      <c r="AK1272" t="inlineStr">
        <is>
          <t>Yes, I have</t>
        </is>
      </c>
      <c r="AL1272">
        <v>1</v>
      </c>
      <c r="AM1272" t="inlineStr">
        <is>
          <t>No, I don't need at all</t>
        </is>
      </c>
      <c r="AN1272"/>
      <c r="AO1272" t="inlineStr">
        <is>
          <t>No, I don't need at all</t>
        </is>
      </c>
      <c r="AP1272" t="inlineStr">
        <is>
          <t>Once a year (25%)</t>
        </is>
      </c>
      <c r="AQ1272">
        <v>1</v>
      </c>
      <c r="AR1272" t="inlineStr">
        <is>
          <t>Free Job Portal</t>
        </is>
      </c>
      <c r="AS1272" t="inlineStr">
        <is>
          <t>- Headcount: 1
- Hiring Job Details: 1 Admin
- Hiring Urgency: Hiring Later
- Number of outlets: Not provided
- Have recruiter team: Yes
- Number of recruiter in company: 1
- Have ATS system: No, I don't need at all
- Have career website: No, I don't need at all
- Current hiring budget: RM1,500
- Whole year budget: RM1,500.00
- Whole year number of vacancies: 1
- Hiring frequency: Once a year (25%)
- External job portal: Free Job Portal</t>
        </is>
      </c>
      <c r="AT1272">
        <v>115</v>
      </c>
      <c r="AU1272" t="inlineStr">
        <is>
          <t>1.15</t>
        </is>
      </c>
      <c r="AV1272" t="inlineStr">
        <is>
          <t>15</t>
        </is>
      </c>
      <c r="AW1272" t="inlineStr">
        <is>
          <t>0</t>
        </is>
      </c>
      <c r="AX1272" t="inlineStr">
        <is>
          <t>Not Qualified</t>
        </is>
      </c>
      <c r="AY1272" s="4"/>
      <c r="AZ1272"/>
      <c r="BA1272"/>
      <c r="BB1272"/>
      <c r="BC1272"/>
      <c r="BD1272" s="4"/>
      <c r="BE1272"/>
      <c r="BF1272"/>
      <c r="BG1272" t="inlineStr">
        <is>
          <t>Reschedule</t>
        </is>
      </c>
      <c r="BH1272" t="inlineStr">
        <is>
          <t>Edward Hoo</t>
        </is>
      </c>
      <c r="BI1272"/>
      <c r="BJ1272" s="4">
        <v>46144.755833333336</v>
      </c>
      <c r="BK1272" s="4">
        <v>46126.73908564815</v>
      </c>
      <c r="BL1272" t="inlineStr">
        <is>
          <t>0.0</t>
        </is>
      </c>
      <c r="BM1272" t="inlineStr">
        <is>
          <t>150.0</t>
        </is>
      </c>
      <c r="BN1272"/>
      <c r="BO1272" s="4"/>
      <c r="BP1272">
        <v>167530</v>
      </c>
      <c r="BQ1272"/>
      <c r="BR1272"/>
      <c r="BS1272"/>
      <c r="BT1272"/>
      <c r="BU1272"/>
      <c r="BV1272"/>
      <c r="BW1272"/>
      <c r="BX1272"/>
      <c r="BY1272"/>
      <c r="BZ1272" s="4"/>
      <c r="CA1272"/>
      <c r="CB1272"/>
      <c r="CC1272" s="4"/>
      <c r="CD1272" t="inlineStr">
        <is>
          <t>20</t>
        </is>
      </c>
      <c r="CE1272" t="inlineStr">
        <is>
          <t>0</t>
        </is>
      </c>
      <c r="CF1272" t="inlineStr">
        <is>
          <t>Q2-W03</t>
        </is>
      </c>
      <c r="CG1272"/>
      <c r="CH1272"/>
      <c r="CI1272"/>
      <c r="CJ1272" t="inlineStr">
        <is>
          <t>No Paid</t>
        </is>
      </c>
      <c r="CK1272" t="inlineStr">
        <is>
          <t>Eligible</t>
        </is>
      </c>
      <c r="CL1272"/>
      <c r="CM1272"/>
    </row>
    <row r="1273" ht="25.5" customHeight="1">
      <c r="A1273" t="inlineStr">
        <is>
          <t>160027</t>
        </is>
      </c>
      <c r="B1273" s="2"/>
      <c r="C1273"/>
      <c r="D1273" s="3">
        <v>46129.453877314816</v>
      </c>
      <c r="E1273" t="inlineStr">
        <is>
          <t>Q2-W03</t>
        </is>
      </c>
      <c r="F1273" t="inlineStr">
        <is>
          <t>andy@ajobthing.com</t>
        </is>
      </c>
      <c r="G1273" t="inlineStr">
        <is>
          <t>Customer</t>
        </is>
      </c>
      <c r="H1273" s="2" t="str">
        <f>=HYPERLINK("https://upbox.ajobthing.my/customer/160027", "https://upbox.ajobthing.my/customer/160027")</f>
        <v>https://upbox.ajobthing.my/customer/160027</v>
      </c>
      <c r="I1273" t="inlineStr">
        <is>
          <t>Agensi Pekerjaan ASK Resources Sdn Bhd</t>
        </is>
      </c>
      <c r="J1273" t="inlineStr">
        <is>
          <t>Whale</t>
        </is>
      </c>
      <c r="K1273" t="inlineStr">
        <is>
          <t>Andy</t>
        </is>
      </c>
      <c r="L1273" s="4"/>
      <c r="M1273" s="4">
        <v>46129.456608796296</v>
      </c>
      <c r="N1273"/>
      <c r="O1273">
        <v>12960</v>
      </c>
      <c r="P1273" s="4"/>
      <c r="Q1273" s="4">
        <v>46132.358506944445</v>
      </c>
      <c r="R1273"/>
      <c r="S1273">
        <v>0</v>
      </c>
      <c r="T1273" s="4"/>
      <c r="U1273" s="4"/>
      <c r="V1273"/>
      <c r="W1273"/>
      <c r="X1273" t="inlineStr">
        <is>
          <t>andy@ajobthing.com</t>
        </is>
      </c>
      <c r="Y1273" t="inlineStr">
        <is>
          <t>Done Appointment</t>
        </is>
      </c>
      <c r="Z1273" t="inlineStr">
        <is>
          <t>Continuous Hiring</t>
        </is>
      </c>
      <c r="AA1273">
        <v>2</v>
      </c>
      <c r="AB1273" t="inlineStr">
        <is>
          <t>Appointment Made</t>
        </is>
      </c>
      <c r="AC1273" t="inlineStr">
        <is>
          <t>SME (&lt;50 employees)</t>
        </is>
      </c>
      <c r="AD1273" t="inlineStr">
        <is>
          <t>Sales Consultant , Commercial Manager</t>
        </is>
      </c>
      <c r="AE1273" t="inlineStr">
        <is>
          <t>Executive / HR Executive</t>
        </is>
      </c>
      <c r="AF1273">
        <v>30000</v>
      </c>
      <c r="AG1273" s="4">
        <v>46129.4375</v>
      </c>
      <c r="AH1273" s="4">
        <v>46129.458333333336</v>
      </c>
      <c r="AI1273">
        <v>30000</v>
      </c>
      <c r="AJ1273">
        <v>2</v>
      </c>
      <c r="AK1273" t="inlineStr">
        <is>
          <t>Yes, I have</t>
        </is>
      </c>
      <c r="AL1273">
        <v>16</v>
      </c>
      <c r="AM1273" t="inlineStr">
        <is>
          <t>No, I don't need at all</t>
        </is>
      </c>
      <c r="AN1273"/>
      <c r="AO1273" t="inlineStr">
        <is>
          <t>Yes, I have</t>
        </is>
      </c>
      <c r="AP1273" t="inlineStr">
        <is>
          <t>Every month (100%)</t>
        </is>
      </c>
      <c r="AQ1273">
        <v>1200</v>
      </c>
      <c r="AR1273" t="inlineStr">
        <is>
          <t>Jobstreet, Linkedin (Paid), Free Job Portal</t>
        </is>
      </c>
      <c r="AS1273" t="inlineStr">
        <is>
          <t>- Headcount: 2
- Hiring Job Details: Sales Consultant, Commercial Manager
- Hiring Urgency: Continuous Hiring
- Number of outlets: 2
- Have recruiter team: Yes
- Number of recruiter in company: 16
- Have ATS system: No, I don't need at all
- Have career website: Yes
- Current hiring budget: RM30,000
- Whole year budget: RM30,000.00
- Whole year number of vacancies: 1200
- Hiring frequency: Every month (100%)
- External job portal: Jobstreet, Linkedin (Paid), Free Job Portal</t>
        </is>
      </c>
      <c r="AT1273">
        <v>105</v>
      </c>
      <c r="AU1273" t="inlineStr">
        <is>
          <t>1.05</t>
        </is>
      </c>
      <c r="AV1273" t="inlineStr">
        <is>
          <t>40</t>
        </is>
      </c>
      <c r="AW1273" t="inlineStr">
        <is>
          <t>0.5</t>
        </is>
      </c>
      <c r="AX1273" t="inlineStr">
        <is>
          <t>Not Qualified</t>
        </is>
      </c>
      <c r="AY1273" s="4">
        <v>46129.46934027778</v>
      </c>
      <c r="AZ1273" t="inlineStr">
        <is>
          <t>Base Assistant</t>
        </is>
      </c>
      <c r="BA1273"/>
      <c r="BB1273"/>
      <c r="BC1273" t="inlineStr">
        <is>
          <t>- Headcount: 2
- Hiring Job Details: Sales Consultant, Commercial Manager
- Hiring Urgency: Continuous Hiring
- Number of outlets: 2
- Have recruiter team: Yes
- Number of recruiter in company: 16
- Have ATS system: No, I don't need at all
- Have career website: Yes
- Current hiring budget: RM30,000
- Whole year budget: RM30,000.00
- Whole year number of vacancies: 1200
- Hiring frequency: Every month (100%)
- External job portal: Jobstreet, Linkedin (Paid), Free Job Portal</t>
        </is>
      </c>
      <c r="BD1273" s="4">
        <v>46129.45837962963</v>
      </c>
      <c r="BE1273" t="inlineStr">
        <is>
          <t>paid</t>
        </is>
      </c>
      <c r="BF1273"/>
      <c r="BG1273" t="inlineStr">
        <is>
          <t>Reschedule</t>
        </is>
      </c>
      <c r="BH1273"/>
      <c r="BI1273" t="inlineStr">
        <is>
          <t>HR Mgmt / Consulting</t>
        </is>
      </c>
      <c r="BJ1273" s="4">
        <v>46144.75109953704</v>
      </c>
      <c r="BK1273" s="4">
        <v>44824.5916087963</v>
      </c>
      <c r="BL1273" t="inlineStr">
        <is>
          <t>0.0</t>
        </is>
      </c>
      <c r="BM1273" t="inlineStr">
        <is>
          <t>51600.0</t>
        </is>
      </c>
      <c r="BN1273" t="inlineStr">
        <is>
          <t>View Company Page</t>
        </is>
      </c>
      <c r="BO1273" s="4">
        <v>46142.64760416667</v>
      </c>
      <c r="BP1273">
        <v>167548</v>
      </c>
      <c r="BQ1273">
        <v>123326</v>
      </c>
      <c r="BR1273" t="inlineStr">
        <is>
          <t>Proforma</t>
        </is>
      </c>
      <c r="BS1273" t="inlineStr">
        <is>
          <t>Job Ad 365 - SME 100 Free Trial</t>
        </is>
      </c>
      <c r="BT1273"/>
      <c r="BU1273"/>
      <c r="BV1273">
        <v>2711368</v>
      </c>
      <c r="BW1273" t="inlineStr">
        <is>
          <t>Customer Inquiry</t>
        </is>
      </c>
      <c r="BX1273">
        <v>300</v>
      </c>
      <c r="BY1273">
        <v>299</v>
      </c>
      <c r="BZ1273" s="4">
        <v>46139.66515046296</v>
      </c>
      <c r="CA1273"/>
      <c r="CB1273"/>
      <c r="CC1273" s="4"/>
      <c r="CD1273" t="inlineStr">
        <is>
          <t>50</t>
        </is>
      </c>
      <c r="CE1273" t="inlineStr">
        <is>
          <t>0.5</t>
        </is>
      </c>
      <c r="CF1273" t="inlineStr">
        <is>
          <t>Q2-W03</t>
        </is>
      </c>
      <c r="CG1273" t="inlineStr">
        <is>
          <t>Q2-W03</t>
        </is>
      </c>
      <c r="CH1273"/>
      <c r="CI1273" t="inlineStr">
        <is>
          <t>Q2-W03</t>
        </is>
      </c>
      <c r="CJ1273" t="inlineStr">
        <is>
          <t>No Paid</t>
        </is>
      </c>
      <c r="CK1273" t="inlineStr">
        <is>
          <t>Eligible</t>
        </is>
      </c>
      <c r="CL1273"/>
      <c r="CM1273" t="inlineStr">
        <is>
          <t>Q2-W03</t>
        </is>
      </c>
    </row>
    <row r="1274" ht="25.5" customHeight="1">
      <c r="A1274" t="inlineStr">
        <is>
          <t>38416</t>
        </is>
      </c>
      <c r="B1274" s="2"/>
      <c r="C1274"/>
      <c r="D1274" s="3">
        <v>46129.46083333333</v>
      </c>
      <c r="E1274" t="inlineStr">
        <is>
          <t>Q2-W03</t>
        </is>
      </c>
      <c r="F1274" t="inlineStr">
        <is>
          <t>Josh</t>
        </is>
      </c>
      <c r="G1274" t="inlineStr">
        <is>
          <t>Customer</t>
        </is>
      </c>
      <c r="H1274" s="2" t="str">
        <f>=HYPERLINK("https://upbox.ajobthing.my/customer/38416", "https://upbox.ajobthing.my/customer/38416")</f>
        <v>https://upbox.ajobthing.my/customer/38416</v>
      </c>
      <c r="I1274" t="inlineStr">
        <is>
          <t>Muzart International Sdn Bhd</t>
        </is>
      </c>
      <c r="J1274" t="inlineStr">
        <is>
          <t>Whale</t>
        </is>
      </c>
      <c r="K1274" t="inlineStr">
        <is>
          <t>Josh</t>
        </is>
      </c>
      <c r="L1274" s="4"/>
      <c r="M1274" s="4">
        <v>46142.503657407404</v>
      </c>
      <c r="N1274"/>
      <c r="O1274">
        <v>5412.96</v>
      </c>
      <c r="P1274" s="4"/>
      <c r="Q1274" s="4">
        <v>44624.76043981482</v>
      </c>
      <c r="R1274"/>
      <c r="S1274">
        <v>6360</v>
      </c>
      <c r="T1274" s="4">
        <v>44624.76043981482</v>
      </c>
      <c r="U1274" s="4"/>
      <c r="V1274"/>
      <c r="W1274">
        <v>6360</v>
      </c>
      <c r="X1274"/>
      <c r="Y1274" t="inlineStr">
        <is>
          <t>Pending Appointment</t>
        </is>
      </c>
      <c r="Z1274" t="inlineStr">
        <is>
          <t>Hiring Now</t>
        </is>
      </c>
      <c r="AA1274">
        <v>1</v>
      </c>
      <c r="AB1274" t="inlineStr">
        <is>
          <t>No Appointment Made</t>
        </is>
      </c>
      <c r="AC1274"/>
      <c r="AD1274" t="inlineStr">
        <is>
          <t xml:space="preserve">1 teacher </t>
        </is>
      </c>
      <c r="AE1274"/>
      <c r="AF1274">
        <v>3000</v>
      </c>
      <c r="AG1274" s="4"/>
      <c r="AH1274" s="4"/>
      <c r="AI1274"/>
      <c r="AJ1274"/>
      <c r="AK1274" t="inlineStr">
        <is>
          <t>Yes, I have</t>
        </is>
      </c>
      <c r="AL1274">
        <v>1</v>
      </c>
      <c r="AM1274"/>
      <c r="AN1274"/>
      <c r="AO1274"/>
      <c r="AP1274" t="inlineStr">
        <is>
          <t>Every month (100%)</t>
        </is>
      </c>
      <c r="AQ1274"/>
      <c r="AR1274"/>
      <c r="AS1274" t="inlineStr">
        <is>
          <t>- Headcount: 1
- Hiring Job Details: 1 teacher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Every month (100%)
- External job portal: Not provided
- Hiring Urgency: Hiring Now</t>
        </is>
      </c>
      <c r="AT1274">
        <v>95</v>
      </c>
      <c r="AU1274" t="inlineStr">
        <is>
          <t>0.95</t>
        </is>
      </c>
      <c r="AV1274" t="inlineStr">
        <is>
          <t>15</t>
        </is>
      </c>
      <c r="AW1274" t="inlineStr">
        <is>
          <t>0</t>
        </is>
      </c>
      <c r="AX1274" t="inlineStr">
        <is>
          <t>Not Qualified</t>
        </is>
      </c>
      <c r="AY1274" s="4"/>
      <c r="AZ1274"/>
      <c r="BA1274"/>
      <c r="BB1274"/>
      <c r="BC1274" t="inlineStr">
        <is>
          <t>- Headcount: 1
- Hiring Job Details: 1 teacher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Every month (100%)
- External job portal: Not provided
- Hiring Urgency: Hiring Now</t>
        </is>
      </c>
      <c r="BD1274" s="4">
        <v>46129.500023148146</v>
      </c>
      <c r="BE1274" t="inlineStr">
        <is>
          <t>paid</t>
        </is>
      </c>
      <c r="BF1274"/>
      <c r="BG1274" t="inlineStr">
        <is>
          <t>Reschedule</t>
        </is>
      </c>
      <c r="BH1274" t="inlineStr">
        <is>
          <t>Fauziah Maharan</t>
        </is>
      </c>
      <c r="BI1274" t="inlineStr">
        <is>
          <t>Education / Training</t>
        </is>
      </c>
      <c r="BJ1274" s="4">
        <v>46144.75493055556</v>
      </c>
      <c r="BK1274" s="4">
        <v>42897.00079861111</v>
      </c>
      <c r="BL1274" t="inlineStr">
        <is>
          <t>0.0</t>
        </is>
      </c>
      <c r="BM1274" t="inlineStr">
        <is>
          <t>0.0</t>
        </is>
      </c>
      <c r="BN1274" t="inlineStr">
        <is>
          <t>View Company Page</t>
        </is>
      </c>
      <c r="BO1274" s="4">
        <v>45491.71412037037</v>
      </c>
      <c r="BP1274">
        <v>169670</v>
      </c>
      <c r="BQ1274">
        <v>41506</v>
      </c>
      <c r="BR1274" t="inlineStr">
        <is>
          <t>Online</t>
        </is>
      </c>
      <c r="BS1274"/>
      <c r="BT1274">
        <v>41506</v>
      </c>
      <c r="BU1274"/>
      <c r="BV1274">
        <v>2711719</v>
      </c>
      <c r="BW1274" t="inlineStr">
        <is>
          <t>Customer Inquiry</t>
        </is>
      </c>
      <c r="BX1274"/>
      <c r="BY1274"/>
      <c r="BZ1274" s="4"/>
      <c r="CA1274"/>
      <c r="CB1274"/>
      <c r="CC1274" s="4"/>
      <c r="CD1274" t="inlineStr">
        <is>
          <t>20</t>
        </is>
      </c>
      <c r="CE1274" t="inlineStr">
        <is>
          <t>0</t>
        </is>
      </c>
      <c r="CF1274" t="inlineStr">
        <is>
          <t>Q2-W04</t>
        </is>
      </c>
      <c r="CG1274"/>
      <c r="CH1274"/>
      <c r="CI1274"/>
      <c r="CJ1274" t="inlineStr">
        <is>
          <t>Paid</t>
        </is>
      </c>
      <c r="CK1274" t="inlineStr">
        <is>
          <t>Eligible</t>
        </is>
      </c>
      <c r="CL1274"/>
      <c r="CM1274"/>
    </row>
    <row r="1275" ht="25.5" customHeight="1">
      <c r="A1275" t="inlineStr">
        <is>
          <t>4293712</t>
        </is>
      </c>
      <c r="B1275" s="2"/>
      <c r="C1275"/>
      <c r="D1275" s="3">
        <v>46129.4690625</v>
      </c>
      <c r="E1275" t="inlineStr">
        <is>
          <t>Q2-W03</t>
        </is>
      </c>
      <c r="F1275" t="inlineStr">
        <is>
          <t>Ratha</t>
        </is>
      </c>
      <c r="G1275" t="inlineStr">
        <is>
          <t>Lead</t>
        </is>
      </c>
      <c r="H1275" s="2" t="str">
        <f>=HYPERLINK("https://upbox.ajobthing.my/leads/4293712", "https://upbox.ajobthing.my/leads/4293712")</f>
        <v>https://upbox.ajobthing.my/leads/4293712</v>
      </c>
      <c r="I1275" t="inlineStr">
        <is>
          <t>Ezon Lifestyle (Danga Bay) Berhad</t>
        </is>
      </c>
      <c r="J1275" t="inlineStr">
        <is>
          <t>Whale</t>
        </is>
      </c>
      <c r="K1275" t="inlineStr">
        <is>
          <t>Ratha</t>
        </is>
      </c>
      <c r="L1275" s="4"/>
      <c r="M1275" s="4">
        <v>46129.469456018516</v>
      </c>
      <c r="N1275"/>
      <c r="O1275">
        <v>3888</v>
      </c>
      <c r="P1275" s="4"/>
      <c r="Q1275" s="4"/>
      <c r="R1275"/>
      <c r="S1275"/>
      <c r="T1275" s="4"/>
      <c r="U1275" s="4"/>
      <c r="V1275"/>
      <c r="W1275"/>
      <c r="X1275"/>
      <c r="Y1275" t="inlineStr">
        <is>
          <t>Pending Appointment</t>
        </is>
      </c>
      <c r="Z1275" t="inlineStr">
        <is>
          <t>Hiring Now</t>
        </is>
      </c>
      <c r="AA1275">
        <v>2</v>
      </c>
      <c r="AB1275" t="inlineStr">
        <is>
          <t>No Appointment Made</t>
        </is>
      </c>
      <c r="AC1275"/>
      <c r="AD1275" t="inlineStr">
        <is>
          <t>Account Assistance : 1
Customer Service : 1
location : JB</t>
        </is>
      </c>
      <c r="AE1275"/>
      <c r="AF1275"/>
      <c r="AG1275" s="4"/>
      <c r="AH1275" s="4"/>
      <c r="AI1275">
        <v>0</v>
      </c>
      <c r="AJ1275">
        <v>1</v>
      </c>
      <c r="AK1275" t="inlineStr">
        <is>
          <t>Yes, I have</t>
        </is>
      </c>
      <c r="AL1275">
        <v>2</v>
      </c>
      <c r="AM1275" t="inlineStr">
        <is>
          <t>No, I don't need at all</t>
        </is>
      </c>
      <c r="AN1275"/>
      <c r="AO1275" t="inlineStr">
        <is>
          <t>No, I don't need at all</t>
        </is>
      </c>
      <c r="AP1275" t="inlineStr">
        <is>
          <t>Twice a year (50%)</t>
        </is>
      </c>
      <c r="AQ1275">
        <v>0</v>
      </c>
      <c r="AR1275" t="inlineStr">
        <is>
          <t>Did not use any job portal</t>
        </is>
      </c>
      <c r="AS1275" t="inlineStr">
        <is>
          <t>- Headcount: 2
- Hiring Job Details: 1 Account Assistance, 1 Customer Service (location: JB)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Did not use any job portal</t>
        </is>
      </c>
      <c r="AT1275">
        <v>105</v>
      </c>
      <c r="AU1275" t="inlineStr">
        <is>
          <t>1.05</t>
        </is>
      </c>
      <c r="AV1275" t="inlineStr">
        <is>
          <t>5</t>
        </is>
      </c>
      <c r="AW1275" t="inlineStr">
        <is>
          <t>0</t>
        </is>
      </c>
      <c r="AX1275" t="inlineStr">
        <is>
          <t>Not Qualified</t>
        </is>
      </c>
      <c r="AY1275" s="4"/>
      <c r="AZ1275"/>
      <c r="BA1275"/>
      <c r="BB1275"/>
      <c r="BC1275"/>
      <c r="BD1275" s="4"/>
      <c r="BE1275"/>
      <c r="BF1275"/>
      <c r="BG1275" t="inlineStr">
        <is>
          <t>Reschedule</t>
        </is>
      </c>
      <c r="BH1275" t="inlineStr">
        <is>
          <t>Fauziah Maharan</t>
        </is>
      </c>
      <c r="BI1275"/>
      <c r="BJ1275" s="4">
        <v>46144.75585648148</v>
      </c>
      <c r="BK1275" s="4">
        <v>46129.45508101852</v>
      </c>
      <c r="BL1275" t="inlineStr">
        <is>
          <t>0.0</t>
        </is>
      </c>
      <c r="BM1275" t="inlineStr">
        <is>
          <t>0.0</t>
        </is>
      </c>
      <c r="BN1275"/>
      <c r="BO1275" s="4"/>
      <c r="BP1275">
        <v>167558</v>
      </c>
      <c r="BQ1275"/>
      <c r="BR1275"/>
      <c r="BS1275"/>
      <c r="BT1275"/>
      <c r="BU1275"/>
      <c r="BV1275"/>
      <c r="BW1275"/>
      <c r="BX1275"/>
      <c r="BY1275"/>
      <c r="BZ1275" s="4"/>
      <c r="CA1275"/>
      <c r="CB1275"/>
      <c r="CC1275" s="4"/>
      <c r="CD1275" t="inlineStr">
        <is>
          <t>5</t>
        </is>
      </c>
      <c r="CE1275" t="inlineStr">
        <is>
          <t>0</t>
        </is>
      </c>
      <c r="CF1275" t="inlineStr">
        <is>
          <t>Q2-W03</t>
        </is>
      </c>
      <c r="CG1275"/>
      <c r="CH1275"/>
      <c r="CI1275"/>
      <c r="CJ1275" t="inlineStr">
        <is>
          <t>No Paid</t>
        </is>
      </c>
      <c r="CK1275" t="inlineStr">
        <is>
          <t>Eligible</t>
        </is>
      </c>
      <c r="CL1275"/>
      <c r="CM1275"/>
    </row>
    <row r="1276" ht="25.5" customHeight="1">
      <c r="A1276" t="inlineStr">
        <is>
          <t>50768</t>
        </is>
      </c>
      <c r="B1276" s="2"/>
      <c r="C1276"/>
      <c r="D1276" s="3">
        <v>46129.488287037035</v>
      </c>
      <c r="E1276" t="inlineStr">
        <is>
          <t>Q2-W03</t>
        </is>
      </c>
      <c r="F1276" t="inlineStr">
        <is>
          <t>andy@ajobthing.com</t>
        </is>
      </c>
      <c r="G1276" t="inlineStr">
        <is>
          <t>Customer</t>
        </is>
      </c>
      <c r="H1276" s="2" t="str">
        <f>=HYPERLINK("https://upbox.ajobthing.my/customer/50768", "https://upbox.ajobthing.my/customer/50768")</f>
        <v>https://upbox.ajobthing.my/customer/50768</v>
      </c>
      <c r="I1276" t="inlineStr">
        <is>
          <t>Agensi Pekerjaan Ideal Reliance Sdn Bhd</t>
        </is>
      </c>
      <c r="J1276" t="inlineStr">
        <is>
          <t>Whale</t>
        </is>
      </c>
      <c r="K1276" t="inlineStr">
        <is>
          <t>Andy</t>
        </is>
      </c>
      <c r="L1276" s="4"/>
      <c r="M1276" s="4">
        <v>46129.5584375</v>
      </c>
      <c r="N1276"/>
      <c r="O1276">
        <v>12960</v>
      </c>
      <c r="P1276" s="4"/>
      <c r="Q1276" s="4">
        <v>46129.40038194445</v>
      </c>
      <c r="R1276"/>
      <c r="S1276">
        <v>0</v>
      </c>
      <c r="T1276" s="4">
        <v>45533.41693287037</v>
      </c>
      <c r="U1276" s="4"/>
      <c r="V1276"/>
      <c r="W1276">
        <v>2592</v>
      </c>
      <c r="X1276" t="inlineStr">
        <is>
          <t>andy@ajobthing.com</t>
        </is>
      </c>
      <c r="Y1276" t="inlineStr">
        <is>
          <t>Done Appointment</t>
        </is>
      </c>
      <c r="Z1276" t="inlineStr">
        <is>
          <t>Continuous Hiring</t>
        </is>
      </c>
      <c r="AA1276">
        <v>4</v>
      </c>
      <c r="AB1276" t="inlineStr">
        <is>
          <t>Appointment Made</t>
        </is>
      </c>
      <c r="AC1276" t="inlineStr">
        <is>
          <t>SME (&lt;50 employees)</t>
        </is>
      </c>
      <c r="AD1276" t="inlineStr">
        <is>
          <t xml:space="preserve">IT roles, Mandarin Speaking , Customer Service , Finance Roles </t>
        </is>
      </c>
      <c r="AE1276" t="inlineStr">
        <is>
          <t>HR Manager / Talent Manager</t>
        </is>
      </c>
      <c r="AF1276">
        <v>20000</v>
      </c>
      <c r="AG1276" s="4">
        <v>46129.479166666664</v>
      </c>
      <c r="AH1276" s="4">
        <v>46129.5</v>
      </c>
      <c r="AI1276">
        <v>30000</v>
      </c>
      <c r="AJ1276">
        <v>1</v>
      </c>
      <c r="AK1276" t="inlineStr">
        <is>
          <t>Yes, I have</t>
        </is>
      </c>
      <c r="AL1276">
        <v>4</v>
      </c>
      <c r="AM1276" t="inlineStr">
        <is>
          <t>Yes, I have</t>
        </is>
      </c>
      <c r="AN1276" t="inlineStr">
        <is>
          <t>Other</t>
        </is>
      </c>
      <c r="AO1276" t="inlineStr">
        <is>
          <t>Yes, I have</t>
        </is>
      </c>
      <c r="AP1276" t="inlineStr">
        <is>
          <t>Every month (100%)</t>
        </is>
      </c>
      <c r="AQ1276">
        <v>240</v>
      </c>
      <c r="AR1276" t="inlineStr">
        <is>
          <t>Jobstreet</t>
        </is>
      </c>
      <c r="AS1276" t="inlineStr">
        <is>
          <t>- Headcount: 4
- Hiring Job Details: IT roles, Mandarin Speaking, Customer Service, Finance Roles
- Hiring Urgency: Continuous Hiring
- Number of outlets: 1
- Have recruiter team: Yes
- Number of recruiter in company: 4
- Have ATS system: Yes
- Have career website: Yes
- Current hiring budget: RM20,000
- Whole year budget: RM30,000.00
- Whole year number of vacancies: 240
- Hiring frequency: Every month (100%)
- External job portal: Jobstreet</t>
        </is>
      </c>
      <c r="AT1276">
        <v>115</v>
      </c>
      <c r="AU1276" t="inlineStr">
        <is>
          <t>1.15</t>
        </is>
      </c>
      <c r="AV1276" t="inlineStr">
        <is>
          <t>35</t>
        </is>
      </c>
      <c r="AW1276" t="inlineStr">
        <is>
          <t>0</t>
        </is>
      </c>
      <c r="AX1276" t="inlineStr">
        <is>
          <t>Not Qualified</t>
        </is>
      </c>
      <c r="AY1276" s="4">
        <v>46129.55873842593</v>
      </c>
      <c r="AZ1276" t="inlineStr">
        <is>
          <t>Base Assistant</t>
        </is>
      </c>
      <c r="BA1276"/>
      <c r="BB1276"/>
      <c r="BC1276" t="inlineStr">
        <is>
          <t>- Headcount: 4
- Hiring Job Details: IT roles, Mandarin Speaking, Customer Service, Finance Roles
- Hiring Urgency: Continuous Hiring
- Number of outlets: 1
- Have recruiter team: Yes
- Number of recruiter in company: 4
- Have ATS system: Yes
- Have career website: Yes
- Current hiring budget: RM20,000
- Whole year budget: RM30,000.00
- Whole year number of vacancies: 240
- Hiring frequency: Every month (100%)
- External job portal: Jobstreet</t>
        </is>
      </c>
      <c r="BD1276" s="4">
        <v>46129.50003472222</v>
      </c>
      <c r="BE1276" t="inlineStr">
        <is>
          <t>paid</t>
        </is>
      </c>
      <c r="BF1276"/>
      <c r="BG1276" t="inlineStr">
        <is>
          <t>Reschedule</t>
        </is>
      </c>
      <c r="BH1276"/>
      <c r="BI1276" t="inlineStr">
        <is>
          <t>HR Mgmt / Consulting</t>
        </is>
      </c>
      <c r="BJ1276" s="4">
        <v>46144.756064814814</v>
      </c>
      <c r="BK1276" s="4">
        <v>43304.678449074076</v>
      </c>
      <c r="BL1276" t="inlineStr">
        <is>
          <t>0.0</t>
        </is>
      </c>
      <c r="BM1276" t="inlineStr">
        <is>
          <t>18000.0</t>
        </is>
      </c>
      <c r="BN1276" t="inlineStr">
        <is>
          <t>View Company Page</t>
        </is>
      </c>
      <c r="BO1276" s="4">
        <v>46142.624375</v>
      </c>
      <c r="BP1276">
        <v>167595</v>
      </c>
      <c r="BQ1276">
        <v>123030</v>
      </c>
      <c r="BR1276" t="inlineStr">
        <is>
          <t>Proforma</t>
        </is>
      </c>
      <c r="BS1276" t="inlineStr">
        <is>
          <t>Job Ad 365 - SME 100 Free Trial</t>
        </is>
      </c>
      <c r="BT1276">
        <v>72548</v>
      </c>
      <c r="BU1276"/>
      <c r="BV1276">
        <v>2711730</v>
      </c>
      <c r="BW1276" t="inlineStr">
        <is>
          <t>Customer Inquiry</t>
        </is>
      </c>
      <c r="BX1276">
        <v>300</v>
      </c>
      <c r="BY1276">
        <v>267</v>
      </c>
      <c r="BZ1276" s="4">
        <v>46142.4378125</v>
      </c>
      <c r="CA1276"/>
      <c r="CB1276"/>
      <c r="CC1276" s="4"/>
      <c r="CD1276" t="inlineStr">
        <is>
          <t>45</t>
        </is>
      </c>
      <c r="CE1276" t="inlineStr">
        <is>
          <t>0.5</t>
        </is>
      </c>
      <c r="CF1276" t="inlineStr">
        <is>
          <t>Q2-W03</t>
        </is>
      </c>
      <c r="CG1276" t="inlineStr">
        <is>
          <t>Q2-W03</t>
        </is>
      </c>
      <c r="CH1276"/>
      <c r="CI1276" t="inlineStr">
        <is>
          <t>Q2-W03</t>
        </is>
      </c>
      <c r="CJ1276" t="inlineStr">
        <is>
          <t>Paid</t>
        </is>
      </c>
      <c r="CK1276" t="inlineStr">
        <is>
          <t>Eligible</t>
        </is>
      </c>
      <c r="CL1276"/>
      <c r="CM1276" t="inlineStr">
        <is>
          <t>Q2-W03</t>
        </is>
      </c>
    </row>
    <row r="1277" ht="25.5" customHeight="1">
      <c r="A1277" t="inlineStr">
        <is>
          <t>156008</t>
        </is>
      </c>
      <c r="B1277" s="2"/>
      <c r="C1277"/>
      <c r="D1277" s="3">
        <v>46129.490625</v>
      </c>
      <c r="E1277" t="inlineStr">
        <is>
          <t>Q2-W03</t>
        </is>
      </c>
      <c r="F1277" t="inlineStr">
        <is>
          <t>Josh</t>
        </is>
      </c>
      <c r="G1277" t="inlineStr">
        <is>
          <t>Customer</t>
        </is>
      </c>
      <c r="H1277" s="2" t="str">
        <f>=HYPERLINK("https://upbox.ajobthing.my/customer/156008", "https://upbox.ajobthing.my/customer/156008")</f>
        <v>https://upbox.ajobthing.my/customer/156008</v>
      </c>
      <c r="I1277" t="inlineStr">
        <is>
          <t>Chin Lai Hardware Sdn Bhd</t>
        </is>
      </c>
      <c r="J1277" t="inlineStr">
        <is>
          <t>Whale</t>
        </is>
      </c>
      <c r="K1277" t="inlineStr">
        <is>
          <t>Josh</t>
        </is>
      </c>
      <c r="L1277" s="4"/>
      <c r="M1277" s="4">
        <v>46133.686064814814</v>
      </c>
      <c r="N1277"/>
      <c r="O1277">
        <v>7572.96</v>
      </c>
      <c r="P1277" s="4"/>
      <c r="Q1277" s="4">
        <v>46120.41768518519</v>
      </c>
      <c r="R1277"/>
      <c r="S1277">
        <v>0</v>
      </c>
      <c r="T1277" s="4">
        <v>46094.74896990741</v>
      </c>
      <c r="U1277" s="4"/>
      <c r="V1277"/>
      <c r="W1277">
        <v>3888</v>
      </c>
      <c r="X1277"/>
      <c r="Y1277" t="inlineStr">
        <is>
          <t>Pending Appointment</t>
        </is>
      </c>
      <c r="Z1277" t="inlineStr">
        <is>
          <t>Hiring Now</t>
        </is>
      </c>
      <c r="AA1277">
        <v>1</v>
      </c>
      <c r="AB1277" t="inlineStr">
        <is>
          <t>No Appointment Made</t>
        </is>
      </c>
      <c r="AC1277"/>
      <c r="AD1277" t="inlineStr">
        <is>
          <t>1 manager</t>
        </is>
      </c>
      <c r="AE1277"/>
      <c r="AF1277">
        <v>3000</v>
      </c>
      <c r="AG1277" s="4"/>
      <c r="AH1277" s="4"/>
      <c r="AI1277"/>
      <c r="AJ1277"/>
      <c r="AK1277" t="inlineStr">
        <is>
          <t>Yes, I have</t>
        </is>
      </c>
      <c r="AL1277"/>
      <c r="AM1277"/>
      <c r="AN1277"/>
      <c r="AO1277"/>
      <c r="AP1277" t="inlineStr">
        <is>
          <t>Once a year (25%)</t>
        </is>
      </c>
      <c r="AQ1277"/>
      <c r="AR1277"/>
      <c r="AS1277" t="inlineStr">
        <is>
          <t>- Headcount: 1
- Hiring Job Details: 1 manager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1277">
        <v>75</v>
      </c>
      <c r="AU1277" t="inlineStr">
        <is>
          <t>0.75</t>
        </is>
      </c>
      <c r="AV1277" t="inlineStr">
        <is>
          <t>15</t>
        </is>
      </c>
      <c r="AW1277" t="inlineStr">
        <is>
          <t>0</t>
        </is>
      </c>
      <c r="AX1277" t="inlineStr">
        <is>
          <t>Not Qualified</t>
        </is>
      </c>
      <c r="AY1277" s="4"/>
      <c r="AZ1277"/>
      <c r="BA1277"/>
      <c r="BB1277"/>
      <c r="BC1277" t="inlineStr">
        <is>
          <t>assist job performance</t>
        </is>
      </c>
      <c r="BD1277" s="4">
        <v>46140.597407407404</v>
      </c>
      <c r="BE1277" t="inlineStr">
        <is>
          <t>paid</t>
        </is>
      </c>
      <c r="BF1277" t="inlineStr">
        <is>
          <t>Q1-W11</t>
        </is>
      </c>
      <c r="BG1277" t="inlineStr">
        <is>
          <t>Reschedule</t>
        </is>
      </c>
      <c r="BH1277" t="inlineStr">
        <is>
          <t>Fauziah Maharan</t>
        </is>
      </c>
      <c r="BI1277" t="inlineStr">
        <is>
          <t>General / Wholesale Trading</t>
        </is>
      </c>
      <c r="BJ1277" s="4">
        <v>46142.81346064815</v>
      </c>
      <c r="BK1277" s="4">
        <v>44733.594814814816</v>
      </c>
      <c r="BL1277" t="inlineStr">
        <is>
          <t>3888.0</t>
        </is>
      </c>
      <c r="BM1277" t="inlineStr">
        <is>
          <t>3000.0</t>
        </is>
      </c>
      <c r="BN1277" t="inlineStr">
        <is>
          <t>View Company Page</t>
        </is>
      </c>
      <c r="BO1277" s="4">
        <v>46140.718148148146</v>
      </c>
      <c r="BP1277">
        <v>168121</v>
      </c>
      <c r="BQ1277">
        <v>120735</v>
      </c>
      <c r="BR1277" t="inlineStr">
        <is>
          <t>Proforma</t>
        </is>
      </c>
      <c r="BS1277" t="inlineStr">
        <is>
          <t>Free Internship Job</t>
        </is>
      </c>
      <c r="BT1277">
        <v>88477</v>
      </c>
      <c r="BU1277"/>
      <c r="BV1277">
        <v>2732739</v>
      </c>
      <c r="BW1277" t="inlineStr">
        <is>
          <t>Service / Technical : Job Outcome Enquiry</t>
        </is>
      </c>
      <c r="BX1277">
        <v>8</v>
      </c>
      <c r="BY1277">
        <v>3</v>
      </c>
      <c r="BZ1277" s="4">
        <v>46119.01608796296</v>
      </c>
      <c r="CA1277">
        <v>60</v>
      </c>
      <c r="CB1277">
        <v>42</v>
      </c>
      <c r="CC1277" s="4">
        <v>46114.70638888889</v>
      </c>
      <c r="CD1277" t="inlineStr">
        <is>
          <t>20</t>
        </is>
      </c>
      <c r="CE1277" t="inlineStr">
        <is>
          <t>0</t>
        </is>
      </c>
      <c r="CF1277" t="inlineStr">
        <is>
          <t>Q2-W03</t>
        </is>
      </c>
      <c r="CG1277" t="inlineStr">
        <is>
          <t>Q2-W01</t>
        </is>
      </c>
      <c r="CH1277" t="inlineStr">
        <is>
          <t>Q1-W11</t>
        </is>
      </c>
      <c r="CI1277"/>
      <c r="CJ1277" t="inlineStr">
        <is>
          <t>Paid</t>
        </is>
      </c>
      <c r="CK1277" t="inlineStr">
        <is>
          <t>Eligible</t>
        </is>
      </c>
      <c r="CL1277"/>
      <c r="CM1277"/>
    </row>
    <row r="1278" ht="25.5" customHeight="1">
      <c r="A1278" t="inlineStr">
        <is>
          <t>174511</t>
        </is>
      </c>
      <c r="B1278" s="2"/>
      <c r="C1278"/>
      <c r="D1278" s="3">
        <v>46129.49383101852</v>
      </c>
      <c r="E1278" t="inlineStr">
        <is>
          <t>Q2-W03</t>
        </is>
      </c>
      <c r="F1278" t="inlineStr">
        <is>
          <t>Yuli</t>
        </is>
      </c>
      <c r="G1278" t="inlineStr">
        <is>
          <t>Customer</t>
        </is>
      </c>
      <c r="H1278" s="2" t="str">
        <f>=HYPERLINK("https://upbox.ajobthing.my/customer/174511", "https://upbox.ajobthing.my/customer/174511")</f>
        <v>https://upbox.ajobthing.my/customer/174511</v>
      </c>
      <c r="I1278" t="inlineStr">
        <is>
          <t xml:space="preserve">FOZL Corporate Services (Malaysia) Sdn Bhd </t>
        </is>
      </c>
      <c r="J1278" t="inlineStr">
        <is>
          <t>Whale</t>
        </is>
      </c>
      <c r="K1278" t="inlineStr">
        <is>
          <t>YuLi</t>
        </is>
      </c>
      <c r="L1278" s="4"/>
      <c r="M1278" s="4">
        <v>46141.37924768519</v>
      </c>
      <c r="N1278"/>
      <c r="O1278">
        <v>7776</v>
      </c>
      <c r="P1278" s="4"/>
      <c r="Q1278" s="4">
        <v>46043.58277777778</v>
      </c>
      <c r="R1278"/>
      <c r="S1278">
        <v>0</v>
      </c>
      <c r="T1278" s="4">
        <v>45953.57261574074</v>
      </c>
      <c r="U1278" s="4"/>
      <c r="V1278"/>
      <c r="W1278">
        <v>3780</v>
      </c>
      <c r="X1278"/>
      <c r="Y1278" t="inlineStr">
        <is>
          <t>Pending Appointment</t>
        </is>
      </c>
      <c r="Z1278" t="inlineStr">
        <is>
          <t>Hiring Now</t>
        </is>
      </c>
      <c r="AA1278">
        <v>3</v>
      </c>
      <c r="AB1278" t="inlineStr">
        <is>
          <t>No Appointment Made</t>
        </is>
      </c>
      <c r="AC1278"/>
      <c r="AD1278" t="inlineStr">
        <is>
          <t>Accounting
Sales
Intern</t>
        </is>
      </c>
      <c r="AE1278"/>
      <c r="AF1278"/>
      <c r="AG1278" s="4"/>
      <c r="AH1278" s="4"/>
      <c r="AI1278"/>
      <c r="AJ1278"/>
      <c r="AK1278"/>
      <c r="AL1278"/>
      <c r="AM1278"/>
      <c r="AN1278"/>
      <c r="AO1278"/>
      <c r="AP1278" t="inlineStr">
        <is>
          <t>Every month (100%)</t>
        </is>
      </c>
      <c r="AQ1278"/>
      <c r="AR1278" t="inlineStr">
        <is>
          <t>Jobstreet</t>
        </is>
      </c>
      <c r="AS1278" t="inlineStr">
        <is>
          <t>- Headcount: 3
- Hiring Job Details: Accounting, Sales, Intern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Jobstreet</t>
        </is>
      </c>
      <c r="AT1278">
        <v>75</v>
      </c>
      <c r="AU1278" t="inlineStr">
        <is>
          <t>0.75</t>
        </is>
      </c>
      <c r="AV1278" t="inlineStr">
        <is>
          <t>5</t>
        </is>
      </c>
      <c r="AW1278" t="inlineStr">
        <is>
          <t>0</t>
        </is>
      </c>
      <c r="AX1278" t="inlineStr">
        <is>
          <t>Not Qualified</t>
        </is>
      </c>
      <c r="AY1278" s="4"/>
      <c r="AZ1278"/>
      <c r="BA1278"/>
      <c r="BB1278"/>
      <c r="BC1278" t="inlineStr">
        <is>
          <t>quotation shared</t>
        </is>
      </c>
      <c r="BD1278" s="4">
        <v>46141.4140625</v>
      </c>
      <c r="BE1278" t="inlineStr">
        <is>
          <t>paid</t>
        </is>
      </c>
      <c r="BF1278"/>
      <c r="BG1278" t="inlineStr">
        <is>
          <t>Reschedule</t>
        </is>
      </c>
      <c r="BH1278" t="inlineStr">
        <is>
          <t>Fauziah Maharan</t>
        </is>
      </c>
      <c r="BI1278" t="inlineStr">
        <is>
          <t>Business / Mgmt Consulting</t>
        </is>
      </c>
      <c r="BJ1278" s="4">
        <v>46144.751550925925</v>
      </c>
      <c r="BK1278" s="4">
        <v>45302.619097222225</v>
      </c>
      <c r="BL1278" t="inlineStr">
        <is>
          <t>5940.0</t>
        </is>
      </c>
      <c r="BM1278" t="inlineStr">
        <is>
          <t>8400.0</t>
        </is>
      </c>
      <c r="BN1278" t="inlineStr">
        <is>
          <t>View Candidate Search Page</t>
        </is>
      </c>
      <c r="BO1278" s="4">
        <v>46140.683912037035</v>
      </c>
      <c r="BP1278">
        <v>169386</v>
      </c>
      <c r="BQ1278">
        <v>114143</v>
      </c>
      <c r="BR1278" t="inlineStr">
        <is>
          <t>Proforma</t>
        </is>
      </c>
      <c r="BS1278" t="inlineStr">
        <is>
          <t>Free Internship Job</t>
        </is>
      </c>
      <c r="BT1278">
        <v>6581</v>
      </c>
      <c r="BU1278"/>
      <c r="BV1278">
        <v>2734237</v>
      </c>
      <c r="BW1278" t="inlineStr">
        <is>
          <t>Customer Inquiry</t>
        </is>
      </c>
      <c r="BX1278">
        <v>6</v>
      </c>
      <c r="BY1278">
        <v>0</v>
      </c>
      <c r="BZ1278" s="4">
        <v>46093.48180555556</v>
      </c>
      <c r="CA1278">
        <v>60</v>
      </c>
      <c r="CB1278">
        <v>60</v>
      </c>
      <c r="CC1278" s="4"/>
      <c r="CD1278" t="inlineStr">
        <is>
          <t>5</t>
        </is>
      </c>
      <c r="CE1278" t="inlineStr">
        <is>
          <t>0</t>
        </is>
      </c>
      <c r="CF1278" t="inlineStr">
        <is>
          <t>Q2-W04</t>
        </is>
      </c>
      <c r="CG1278" t="inlineStr">
        <is>
          <t>Q1-W03</t>
        </is>
      </c>
      <c r="CH1278"/>
      <c r="CI1278"/>
      <c r="CJ1278" t="inlineStr">
        <is>
          <t>Paid</t>
        </is>
      </c>
      <c r="CK1278" t="inlineStr">
        <is>
          <t>Eligible</t>
        </is>
      </c>
      <c r="CL1278"/>
      <c r="CM1278"/>
    </row>
    <row r="1279" ht="25.5" customHeight="1">
      <c r="A1279" t="inlineStr">
        <is>
          <t>118932</t>
        </is>
      </c>
      <c r="B1279" s="2"/>
      <c r="C1279"/>
      <c r="D1279" s="3">
        <v>46129.500023148146</v>
      </c>
      <c r="E1279" t="inlineStr">
        <is>
          <t>Q2-W03</t>
        </is>
      </c>
      <c r="F1279" t="inlineStr">
        <is>
          <t>Jia Hui</t>
        </is>
      </c>
      <c r="G1279" t="inlineStr">
        <is>
          <t>Customer</t>
        </is>
      </c>
      <c r="H1279" s="2" t="str">
        <f>=HYPERLINK("https://upbox.ajobthing.my/customer/118932", "https://upbox.ajobthing.my/customer/118932")</f>
        <v>https://upbox.ajobthing.my/customer/118932</v>
      </c>
      <c r="I1279" t="inlineStr">
        <is>
          <t>GNW Solutions Sdn. Bhd.</t>
        </is>
      </c>
      <c r="J1279" t="inlineStr">
        <is>
          <t>Whale</t>
        </is>
      </c>
      <c r="K1279" t="inlineStr">
        <is>
          <t>Jia Hui</t>
        </is>
      </c>
      <c r="L1279" s="4"/>
      <c r="M1279" s="4">
        <v>46129.49028935185</v>
      </c>
      <c r="N1279"/>
      <c r="O1279">
        <v>5508</v>
      </c>
      <c r="P1279" s="4"/>
      <c r="Q1279" s="4">
        <v>46121.3765162037</v>
      </c>
      <c r="R1279"/>
      <c r="S1279">
        <v>0</v>
      </c>
      <c r="T1279" s="4">
        <v>45978.71775462963</v>
      </c>
      <c r="U1279" s="4"/>
      <c r="V1279"/>
      <c r="W1279">
        <v>3672</v>
      </c>
      <c r="X1279"/>
      <c r="Y1279" t="inlineStr">
        <is>
          <t>Pending Appointment</t>
        </is>
      </c>
      <c r="Z1279" t="inlineStr">
        <is>
          <t>Hiring Now</t>
        </is>
      </c>
      <c r="AA1279">
        <v>2.5</v>
      </c>
      <c r="AB1279" t="inlineStr">
        <is>
          <t>No Appointment Made</t>
        </is>
      </c>
      <c r="AC1279"/>
      <c r="AD1279" t="inlineStr">
        <is>
          <t xml:space="preserve">2-3 marketer </t>
        </is>
      </c>
      <c r="AE1279"/>
      <c r="AF1279">
        <v>500</v>
      </c>
      <c r="AG1279" s="4"/>
      <c r="AH1279" s="4"/>
      <c r="AI1279"/>
      <c r="AJ1279"/>
      <c r="AK1279" t="inlineStr">
        <is>
          <t>Yes, I have</t>
        </is>
      </c>
      <c r="AL1279"/>
      <c r="AM1279"/>
      <c r="AN1279"/>
      <c r="AO1279"/>
      <c r="AP1279" t="inlineStr">
        <is>
          <t>Once per quarter (75%)</t>
        </is>
      </c>
      <c r="AQ1279"/>
      <c r="AR1279"/>
      <c r="AS1279" t="inlineStr">
        <is>
          <t>- Headcount: 2
- Hiring Job Details: 2-3 marketer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per quarter (75%)
- External job portal: Not specified
- Hiring Urgency: Hiring Now</t>
        </is>
      </c>
      <c r="AT1279">
        <v>85</v>
      </c>
      <c r="AU1279" t="inlineStr">
        <is>
          <t>0.85</t>
        </is>
      </c>
      <c r="AV1279" t="inlineStr">
        <is>
          <t>15</t>
        </is>
      </c>
      <c r="AW1279" t="inlineStr">
        <is>
          <t>0</t>
        </is>
      </c>
      <c r="AX1279" t="inlineStr">
        <is>
          <t>Not Qualified</t>
        </is>
      </c>
      <c r="AY1279" s="4"/>
      <c r="AZ1279"/>
      <c r="BA1279"/>
      <c r="BB1279"/>
      <c r="BC1279" t="inlineStr">
        <is>
          <t>pending decision from boss, will get back to me on next week</t>
        </is>
      </c>
      <c r="BD1279" s="4">
        <v>46142.71233796296</v>
      </c>
      <c r="BE1279" t="inlineStr">
        <is>
          <t>paid</t>
        </is>
      </c>
      <c r="BF1279"/>
      <c r="BG1279" t="inlineStr">
        <is>
          <t>Reschedule</t>
        </is>
      </c>
      <c r="BH1279" t="inlineStr">
        <is>
          <t>Reagen</t>
        </is>
      </c>
      <c r="BI1279" t="inlineStr">
        <is>
          <t>Insurance</t>
        </is>
      </c>
      <c r="BJ1279" s="4">
        <v>46144.75019675926</v>
      </c>
      <c r="BK1279" s="4">
        <v>43617.572696759256</v>
      </c>
      <c r="BL1279" t="inlineStr">
        <is>
          <t>3672.0</t>
        </is>
      </c>
      <c r="BM1279" t="inlineStr">
        <is>
          <t>1950.0</t>
        </is>
      </c>
      <c r="BN1279" t="inlineStr">
        <is>
          <t>View Candidate Search Page</t>
        </is>
      </c>
      <c r="BO1279" s="4">
        <v>46144.522731481484</v>
      </c>
      <c r="BP1279">
        <v>167570</v>
      </c>
      <c r="BQ1279">
        <v>121160</v>
      </c>
      <c r="BR1279" t="inlineStr">
        <is>
          <t>Proforma</t>
        </is>
      </c>
      <c r="BS1279" t="inlineStr">
        <is>
          <t>Free Part-Time Job</t>
        </is>
      </c>
      <c r="BT1279">
        <v>84239</v>
      </c>
      <c r="BU1279"/>
      <c r="BV1279">
        <v>2738311</v>
      </c>
      <c r="BW1279" t="inlineStr">
        <is>
          <t>Follow Up : Decision Pending</t>
        </is>
      </c>
      <c r="BX1279">
        <v>6</v>
      </c>
      <c r="BY1279">
        <v>0</v>
      </c>
      <c r="BZ1279" s="4">
        <v>46129.493622685186</v>
      </c>
      <c r="CA1279">
        <v>60</v>
      </c>
      <c r="CB1279">
        <v>42</v>
      </c>
      <c r="CC1279" s="4">
        <v>46133.38997685185</v>
      </c>
      <c r="CD1279" t="inlineStr">
        <is>
          <t>20</t>
        </is>
      </c>
      <c r="CE1279" t="inlineStr">
        <is>
          <t>0</t>
        </is>
      </c>
      <c r="CF1279" t="inlineStr">
        <is>
          <t>Q2-W03</t>
        </is>
      </c>
      <c r="CG1279" t="inlineStr">
        <is>
          <t>Q2-W01</t>
        </is>
      </c>
      <c r="CH1279"/>
      <c r="CI1279"/>
      <c r="CJ1279" t="inlineStr">
        <is>
          <t>Paid</t>
        </is>
      </c>
      <c r="CK1279" t="inlineStr">
        <is>
          <t>Eligible</t>
        </is>
      </c>
      <c r="CL1279"/>
      <c r="CM1279"/>
    </row>
    <row r="1280" ht="25.5" customHeight="1">
      <c r="A1280" t="inlineStr">
        <is>
          <t>203347</t>
        </is>
      </c>
      <c r="B1280" s="2"/>
      <c r="C1280"/>
      <c r="D1280" s="3">
        <v>46129.50209490741</v>
      </c>
      <c r="E1280" t="inlineStr">
        <is>
          <t>Q2-W03</t>
        </is>
      </c>
      <c r="F1280" t="inlineStr">
        <is>
          <t>Clover</t>
        </is>
      </c>
      <c r="G1280" t="inlineStr">
        <is>
          <t>Customer</t>
        </is>
      </c>
      <c r="H1280" s="2" t="str">
        <f>=HYPERLINK("https://upbox.ajobthing.my/customer/203347", "https://upbox.ajobthing.my/customer/203347")</f>
        <v>https://upbox.ajobthing.my/customer/203347</v>
      </c>
      <c r="I1280" t="inlineStr">
        <is>
          <t>AF ENERGY CENTRE ENTERPRISE</t>
        </is>
      </c>
      <c r="J1280" t="inlineStr">
        <is>
          <t>Whale</t>
        </is>
      </c>
      <c r="K1280" t="inlineStr">
        <is>
          <t>Clover</t>
        </is>
      </c>
      <c r="L1280" s="4"/>
      <c r="M1280" s="4">
        <v>46129.1671875</v>
      </c>
      <c r="N1280"/>
      <c r="O1280"/>
      <c r="P1280" s="4"/>
      <c r="Q1280" s="4"/>
      <c r="R1280"/>
      <c r="S1280"/>
      <c r="T1280" s="4"/>
      <c r="U1280" s="4"/>
      <c r="V1280"/>
      <c r="W1280"/>
      <c r="X1280"/>
      <c r="Y1280" t="inlineStr">
        <is>
          <t>Pending Appointment</t>
        </is>
      </c>
      <c r="Z1280" t="inlineStr">
        <is>
          <t>Hiring Later</t>
        </is>
      </c>
      <c r="AA1280">
        <v>2</v>
      </c>
      <c r="AB1280" t="inlineStr">
        <is>
          <t>No Appointment Made</t>
        </is>
      </c>
      <c r="AC1280"/>
      <c r="AD1280" t="inlineStr">
        <is>
          <t>Call office 06-3361651, hire technician electrical wiring x1, need exp, social media marketing x1, prefer malay only, aircond supply, melaka, 1 HR 1 Outlet retail, suggest pro</t>
        </is>
      </c>
      <c r="AE1280"/>
      <c r="AF1280">
        <v>5000</v>
      </c>
      <c r="AG1280" s="4"/>
      <c r="AH1280" s="4"/>
      <c r="AI1280">
        <v>5000</v>
      </c>
      <c r="AJ1280">
        <v>1</v>
      </c>
      <c r="AK1280" t="inlineStr">
        <is>
          <t>No, but I want in future</t>
        </is>
      </c>
      <c r="AL1280">
        <v>1</v>
      </c>
      <c r="AM1280" t="inlineStr">
        <is>
          <t>No, but I want in future</t>
        </is>
      </c>
      <c r="AN1280"/>
      <c r="AO1280" t="inlineStr">
        <is>
          <t>No, but I want in future</t>
        </is>
      </c>
      <c r="AP1280" t="inlineStr">
        <is>
          <t>Once per quarter (75%)</t>
        </is>
      </c>
      <c r="AQ1280">
        <v>2</v>
      </c>
      <c r="AR1280" t="inlineStr">
        <is>
          <t>Jobstreet</t>
        </is>
      </c>
      <c r="AS1280" t="inlineStr">
        <is>
          <t>- Headcount: 2
- Hiring Job Details: 1 experienced electrical wiring technician, 1 Malay-preferred social media marketer; apply via 06-3361651, Melaka, aircond supply, 1 HR 1 outlet retail,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Once per quarter (75%)
- External job portal: Jobstreet</t>
        </is>
      </c>
      <c r="AT1280">
        <v>115</v>
      </c>
      <c r="AU1280" t="inlineStr">
        <is>
          <t>1.15</t>
        </is>
      </c>
      <c r="AV1280" t="inlineStr">
        <is>
          <t>15</t>
        </is>
      </c>
      <c r="AW1280" t="inlineStr">
        <is>
          <t>0</t>
        </is>
      </c>
      <c r="AX1280" t="inlineStr">
        <is>
          <t>Not Qualified</t>
        </is>
      </c>
      <c r="AY1280" s="4"/>
      <c r="AZ1280"/>
      <c r="BA1280"/>
      <c r="BB1280"/>
      <c r="BC1280" t="inlineStr">
        <is>
          <t>Ms Intan PIC, technician job filled, now urgent for social media digital marketing x1  malay, min 1 year exp, collect job draft,  not yet go through quote</t>
        </is>
      </c>
      <c r="BD1280" s="4">
        <v>46134.67167824074</v>
      </c>
      <c r="BE1280"/>
      <c r="BF1280"/>
      <c r="BG1280" t="inlineStr">
        <is>
          <t>Reschedule</t>
        </is>
      </c>
      <c r="BH1280" t="inlineStr">
        <is>
          <t>Reagen</t>
        </is>
      </c>
      <c r="BI1280"/>
      <c r="BJ1280" s="4">
        <v>46144.754282407404</v>
      </c>
      <c r="BK1280" s="4">
        <v>46129.50048611111</v>
      </c>
      <c r="BL1280" t="inlineStr">
        <is>
          <t>0.0</t>
        </is>
      </c>
      <c r="BM1280" t="inlineStr">
        <is>
          <t>10200.0</t>
        </is>
      </c>
      <c r="BN1280"/>
      <c r="BO1280" s="4"/>
      <c r="BP1280">
        <v>167582</v>
      </c>
      <c r="BQ1280"/>
      <c r="BR1280"/>
      <c r="BS1280"/>
      <c r="BT1280"/>
      <c r="BU1280"/>
      <c r="BV1280">
        <v>2721360</v>
      </c>
      <c r="BW1280" t="inlineStr">
        <is>
          <t>Follow Up : Decision Pending</t>
        </is>
      </c>
      <c r="BX1280"/>
      <c r="BY1280"/>
      <c r="BZ1280" s="4"/>
      <c r="CA1280"/>
      <c r="CB1280"/>
      <c r="CC1280" s="4"/>
      <c r="CD1280" t="inlineStr">
        <is>
          <t>20</t>
        </is>
      </c>
      <c r="CE1280" t="inlineStr">
        <is>
          <t>0</t>
        </is>
      </c>
      <c r="CF1280" t="inlineStr">
        <is>
          <t>Q2-W03</t>
        </is>
      </c>
      <c r="CG1280"/>
      <c r="CH1280"/>
      <c r="CI1280"/>
      <c r="CJ1280" t="inlineStr">
        <is>
          <t>No Paid</t>
        </is>
      </c>
      <c r="CK1280" t="inlineStr">
        <is>
          <t>Eligible</t>
        </is>
      </c>
      <c r="CL1280"/>
      <c r="CM1280"/>
    </row>
    <row r="1281" ht="25.5" customHeight="1">
      <c r="A1281" t="inlineStr">
        <is>
          <t>171041</t>
        </is>
      </c>
      <c r="B1281" s="2"/>
      <c r="C1281"/>
      <c r="D1281" s="3">
        <v>46129.54864583333</v>
      </c>
      <c r="E1281" t="inlineStr">
        <is>
          <t>Q2-W03</t>
        </is>
      </c>
      <c r="F1281" t="inlineStr">
        <is>
          <t>Angel  Low</t>
        </is>
      </c>
      <c r="G1281" t="inlineStr">
        <is>
          <t>Customer</t>
        </is>
      </c>
      <c r="H1281" s="2" t="str">
        <f>=HYPERLINK("https://upbox.ajobthing.my/customer/171041", "https://upbox.ajobthing.my/customer/171041")</f>
        <v>https://upbox.ajobthing.my/customer/171041</v>
      </c>
      <c r="I1281" t="inlineStr">
        <is>
          <t>Marmalade Design Sdn. Bhd.</t>
        </is>
      </c>
      <c r="J1281" t="inlineStr">
        <is>
          <t>Whale</t>
        </is>
      </c>
      <c r="K1281" t="inlineStr">
        <is>
          <t>Angel Low</t>
        </is>
      </c>
      <c r="L1281" s="4"/>
      <c r="M1281" s="4">
        <v>46129.5490625</v>
      </c>
      <c r="N1281"/>
      <c r="O1281">
        <v>5508</v>
      </c>
      <c r="P1281" s="4"/>
      <c r="Q1281" s="4">
        <v>46076.79804398148</v>
      </c>
      <c r="R1281"/>
      <c r="S1281">
        <v>864</v>
      </c>
      <c r="T1281" s="4">
        <v>46076.79804398148</v>
      </c>
      <c r="U1281" s="4"/>
      <c r="V1281"/>
      <c r="W1281">
        <v>864</v>
      </c>
      <c r="X1281"/>
      <c r="Y1281" t="inlineStr">
        <is>
          <t>Pending Appointment</t>
        </is>
      </c>
      <c r="Z1281"/>
      <c r="AA1281">
        <v>2</v>
      </c>
      <c r="AB1281" t="inlineStr">
        <is>
          <t>No Appointment Made</t>
        </is>
      </c>
      <c r="AC1281"/>
      <c r="AD1281" t="inlineStr">
        <is>
          <t xml:space="preserve">1 QS 1 supervisor </t>
        </is>
      </c>
      <c r="AE1281"/>
      <c r="AF1281"/>
      <c r="AG1281" s="4"/>
      <c r="AH1281" s="4"/>
      <c r="AI1281"/>
      <c r="AJ1281"/>
      <c r="AK1281"/>
      <c r="AL1281"/>
      <c r="AM1281"/>
      <c r="AN1281"/>
      <c r="AO1281"/>
      <c r="AP1281"/>
      <c r="AQ1281"/>
      <c r="AR1281"/>
      <c r="AS1281" t="inlineStr">
        <is>
          <t>- Headcount: 2
- Hiring Job Details: 1 QS, 1 supervisor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281">
        <v>20</v>
      </c>
      <c r="AU1281" t="inlineStr">
        <is>
          <t>0.20</t>
        </is>
      </c>
      <c r="AV1281" t="inlineStr">
        <is>
          <t>5</t>
        </is>
      </c>
      <c r="AW1281" t="inlineStr">
        <is>
          <t>0</t>
        </is>
      </c>
      <c r="AX1281" t="inlineStr">
        <is>
          <t>Not Qualified</t>
        </is>
      </c>
      <c r="AY1281" s="4"/>
      <c r="AZ1281"/>
      <c r="BA1281"/>
      <c r="BB1281"/>
      <c r="BC1281" t="inlineStr">
        <is>
          <t>secretary (Emily) help to handle.</t>
        </is>
      </c>
      <c r="BD1281" s="4">
        <v>46132.634571759256</v>
      </c>
      <c r="BE1281" t="inlineStr">
        <is>
          <t>paid</t>
        </is>
      </c>
      <c r="BF1281" t="inlineStr">
        <is>
          <t>Q1-W08</t>
        </is>
      </c>
      <c r="BG1281" t="inlineStr">
        <is>
          <t>Reschedule</t>
        </is>
      </c>
      <c r="BH1281" t="inlineStr">
        <is>
          <t>Fauziah Maharan</t>
        </is>
      </c>
      <c r="BI1281" t="inlineStr">
        <is>
          <t>Architecture / Interior Design</t>
        </is>
      </c>
      <c r="BJ1281" s="4">
        <v>46144.75142361111</v>
      </c>
      <c r="BK1281" s="4">
        <v>45183.564409722225</v>
      </c>
      <c r="BL1281" t="inlineStr">
        <is>
          <t>5832.0</t>
        </is>
      </c>
      <c r="BM1281" t="inlineStr">
        <is>
          <t>0.0</t>
        </is>
      </c>
      <c r="BN1281" t="inlineStr">
        <is>
          <t>PA Visit - Job Card</t>
        </is>
      </c>
      <c r="BO1281" s="4">
        <v>46141.65871527778</v>
      </c>
      <c r="BP1281">
        <v>167593</v>
      </c>
      <c r="BQ1281">
        <v>87094</v>
      </c>
      <c r="BR1281" t="inlineStr">
        <is>
          <t>Online</t>
        </is>
      </c>
      <c r="BS1281"/>
      <c r="BT1281">
        <v>87094</v>
      </c>
      <c r="BU1281"/>
      <c r="BV1281">
        <v>2715953</v>
      </c>
      <c r="BW1281" t="inlineStr">
        <is>
          <t>Service / Technical : Job Outcome Enquiry</t>
        </is>
      </c>
      <c r="BX1281">
        <v>6</v>
      </c>
      <c r="BY1281">
        <v>0</v>
      </c>
      <c r="BZ1281" s="4">
        <v>46076.585439814815</v>
      </c>
      <c r="CA1281">
        <v>60</v>
      </c>
      <c r="CB1281">
        <v>0</v>
      </c>
      <c r="CC1281" s="4">
        <v>46121.39056712963</v>
      </c>
      <c r="CD1281" t="inlineStr">
        <is>
          <t>5</t>
        </is>
      </c>
      <c r="CE1281" t="inlineStr">
        <is>
          <t>0</t>
        </is>
      </c>
      <c r="CF1281" t="inlineStr">
        <is>
          <t>Q2-W03</t>
        </is>
      </c>
      <c r="CG1281" t="inlineStr">
        <is>
          <t>Q1-W08</t>
        </is>
      </c>
      <c r="CH1281" t="inlineStr">
        <is>
          <t>Q1-W08</t>
        </is>
      </c>
      <c r="CI1281"/>
      <c r="CJ1281" t="inlineStr">
        <is>
          <t>Paid</t>
        </is>
      </c>
      <c r="CK1281" t="inlineStr">
        <is>
          <t>Eligible</t>
        </is>
      </c>
      <c r="CL1281"/>
      <c r="CM1281"/>
    </row>
    <row r="1282" ht="25.5" customHeight="1">
      <c r="A1282" t="inlineStr">
        <is>
          <t>171041</t>
        </is>
      </c>
      <c r="B1282" s="2"/>
      <c r="C1282"/>
      <c r="D1282" s="3">
        <v>46129.55133101852</v>
      </c>
      <c r="E1282" t="inlineStr">
        <is>
          <t>Q2-W03</t>
        </is>
      </c>
      <c r="F1282" t="inlineStr">
        <is>
          <t>Angel  Low</t>
        </is>
      </c>
      <c r="G1282" t="inlineStr">
        <is>
          <t>Customer</t>
        </is>
      </c>
      <c r="H1282" s="2" t="str">
        <f>=HYPERLINK("https://upbox.ajobthing.my/customer/171041", "https://upbox.ajobthing.my/customer/171041")</f>
        <v>https://upbox.ajobthing.my/customer/171041</v>
      </c>
      <c r="I1282" t="inlineStr">
        <is>
          <t>Marmalade Design Sdn. Bhd.</t>
        </is>
      </c>
      <c r="J1282" t="inlineStr">
        <is>
          <t>Whale</t>
        </is>
      </c>
      <c r="K1282" t="inlineStr">
        <is>
          <t>Angel Low</t>
        </is>
      </c>
      <c r="L1282" s="4"/>
      <c r="M1282" s="4">
        <v>46129.5490625</v>
      </c>
      <c r="N1282"/>
      <c r="O1282">
        <v>5508</v>
      </c>
      <c r="P1282" s="4"/>
      <c r="Q1282" s="4">
        <v>46076.79804398148</v>
      </c>
      <c r="R1282"/>
      <c r="S1282">
        <v>864</v>
      </c>
      <c r="T1282" s="4">
        <v>46076.79804398148</v>
      </c>
      <c r="U1282" s="4"/>
      <c r="V1282"/>
      <c r="W1282">
        <v>864</v>
      </c>
      <c r="X1282"/>
      <c r="Y1282" t="inlineStr">
        <is>
          <t>Pending Appointment</t>
        </is>
      </c>
      <c r="Z1282"/>
      <c r="AA1282">
        <v>2</v>
      </c>
      <c r="AB1282" t="inlineStr">
        <is>
          <t>No Appointment Made</t>
        </is>
      </c>
      <c r="AC1282"/>
      <c r="AD1282" t="inlineStr">
        <is>
          <t xml:space="preserve">1 QS 1 supervisor </t>
        </is>
      </c>
      <c r="AE1282"/>
      <c r="AF1282"/>
      <c r="AG1282" s="4"/>
      <c r="AH1282" s="4"/>
      <c r="AI1282"/>
      <c r="AJ1282"/>
      <c r="AK1282"/>
      <c r="AL1282"/>
      <c r="AM1282"/>
      <c r="AN1282"/>
      <c r="AO1282"/>
      <c r="AP1282"/>
      <c r="AQ1282"/>
      <c r="AR1282"/>
      <c r="AS1282" t="inlineStr">
        <is>
          <t>- Headcount: 2
- Hiring Job Details: 1 QS, 1 supervisor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282">
        <v>60</v>
      </c>
      <c r="AU1282" t="inlineStr">
        <is>
          <t>0.60</t>
        </is>
      </c>
      <c r="AV1282" t="inlineStr">
        <is>
          <t>5</t>
        </is>
      </c>
      <c r="AW1282" t="inlineStr">
        <is>
          <t>0</t>
        </is>
      </c>
      <c r="AX1282" t="inlineStr">
        <is>
          <t>Not Qualified</t>
        </is>
      </c>
      <c r="AY1282" s="4"/>
      <c r="AZ1282"/>
      <c r="BA1282"/>
      <c r="BB1282"/>
      <c r="BC1282" t="inlineStr">
        <is>
          <t>secretary (Emily) help to handle.</t>
        </is>
      </c>
      <c r="BD1282" s="4">
        <v>46132.634571759256</v>
      </c>
      <c r="BE1282" t="inlineStr">
        <is>
          <t>paid</t>
        </is>
      </c>
      <c r="BF1282" t="inlineStr">
        <is>
          <t>Q1-W08</t>
        </is>
      </c>
      <c r="BG1282" t="inlineStr">
        <is>
          <t>Reschedule</t>
        </is>
      </c>
      <c r="BH1282" t="inlineStr">
        <is>
          <t>Fauziah Maharan</t>
        </is>
      </c>
      <c r="BI1282" t="inlineStr">
        <is>
          <t>Architecture / Interior Design</t>
        </is>
      </c>
      <c r="BJ1282" s="4">
        <v>46144.75142361111</v>
      </c>
      <c r="BK1282" s="4">
        <v>45183.564409722225</v>
      </c>
      <c r="BL1282" t="inlineStr">
        <is>
          <t>5832.0</t>
        </is>
      </c>
      <c r="BM1282" t="inlineStr">
        <is>
          <t>0.0</t>
        </is>
      </c>
      <c r="BN1282" t="inlineStr">
        <is>
          <t>PA Visit - Job Card</t>
        </is>
      </c>
      <c r="BO1282" s="4">
        <v>46141.65871527778</v>
      </c>
      <c r="BP1282">
        <v>167593</v>
      </c>
      <c r="BQ1282">
        <v>87094</v>
      </c>
      <c r="BR1282" t="inlineStr">
        <is>
          <t>Online</t>
        </is>
      </c>
      <c r="BS1282"/>
      <c r="BT1282">
        <v>87094</v>
      </c>
      <c r="BU1282"/>
      <c r="BV1282">
        <v>2715953</v>
      </c>
      <c r="BW1282" t="inlineStr">
        <is>
          <t>Service / Technical : Job Outcome Enquiry</t>
        </is>
      </c>
      <c r="BX1282">
        <v>6</v>
      </c>
      <c r="BY1282">
        <v>0</v>
      </c>
      <c r="BZ1282" s="4">
        <v>46076.585439814815</v>
      </c>
      <c r="CA1282">
        <v>60</v>
      </c>
      <c r="CB1282">
        <v>0</v>
      </c>
      <c r="CC1282" s="4">
        <v>46121.39056712963</v>
      </c>
      <c r="CD1282" t="inlineStr">
        <is>
          <t>5</t>
        </is>
      </c>
      <c r="CE1282" t="inlineStr">
        <is>
          <t>0</t>
        </is>
      </c>
      <c r="CF1282" t="inlineStr">
        <is>
          <t>Q2-W03</t>
        </is>
      </c>
      <c r="CG1282" t="inlineStr">
        <is>
          <t>Q1-W08</t>
        </is>
      </c>
      <c r="CH1282" t="inlineStr">
        <is>
          <t>Q1-W08</t>
        </is>
      </c>
      <c r="CI1282"/>
      <c r="CJ1282" t="inlineStr">
        <is>
          <t>Paid</t>
        </is>
      </c>
      <c r="CK1282" t="inlineStr">
        <is>
          <t>Eligible</t>
        </is>
      </c>
      <c r="CL1282"/>
      <c r="CM1282"/>
    </row>
    <row r="1283" ht="25.5" customHeight="1">
      <c r="A1283" t="inlineStr">
        <is>
          <t>199269</t>
        </is>
      </c>
      <c r="B1283" s="2"/>
      <c r="C1283"/>
      <c r="D1283" s="3">
        <v>46129.5815162037</v>
      </c>
      <c r="E1283" t="inlineStr">
        <is>
          <t>Q2-W03</t>
        </is>
      </c>
      <c r="F1283" t="inlineStr">
        <is>
          <t>Yuli</t>
        </is>
      </c>
      <c r="G1283" t="inlineStr">
        <is>
          <t>Customer</t>
        </is>
      </c>
      <c r="H1283" s="2" t="str">
        <f>=HYPERLINK("https://upbox.ajobthing.my/customer/199269", "https://upbox.ajobthing.my/customer/199269")</f>
        <v>https://upbox.ajobthing.my/customer/199269</v>
      </c>
      <c r="I1283" t="inlineStr">
        <is>
          <t>My Ecoclass Sdn Bhd</t>
        </is>
      </c>
      <c r="J1283" t="inlineStr">
        <is>
          <t>Whale</t>
        </is>
      </c>
      <c r="K1283" t="inlineStr">
        <is>
          <t>YuLi</t>
        </is>
      </c>
      <c r="L1283" s="4"/>
      <c r="M1283" s="4">
        <v>46129.650092592594</v>
      </c>
      <c r="N1283"/>
      <c r="O1283">
        <v>3888</v>
      </c>
      <c r="P1283" s="4"/>
      <c r="Q1283" s="4">
        <v>46086.44184027778</v>
      </c>
      <c r="R1283"/>
      <c r="S1283">
        <v>1296</v>
      </c>
      <c r="T1283" s="4">
        <v>46086.44184027778</v>
      </c>
      <c r="U1283" s="4"/>
      <c r="V1283"/>
      <c r="W1283">
        <v>1296</v>
      </c>
      <c r="X1283"/>
      <c r="Y1283" t="inlineStr">
        <is>
          <t>Pending Appointment</t>
        </is>
      </c>
      <c r="Z1283" t="inlineStr">
        <is>
          <t>Hiring Now</t>
        </is>
      </c>
      <c r="AA1283">
        <v>1</v>
      </c>
      <c r="AB1283" t="inlineStr">
        <is>
          <t>No Appointment Made</t>
        </is>
      </c>
      <c r="AC1283"/>
      <c r="AD1283" t="inlineStr">
        <is>
          <t>sales -1 (3 main language) 
penag, johor, ipoh showroom</t>
        </is>
      </c>
      <c r="AE1283"/>
      <c r="AF1283"/>
      <c r="AG1283" s="4"/>
      <c r="AH1283" s="4"/>
      <c r="AI1283"/>
      <c r="AJ1283"/>
      <c r="AK1283"/>
      <c r="AL1283"/>
      <c r="AM1283"/>
      <c r="AN1283"/>
      <c r="AO1283"/>
      <c r="AP1283"/>
      <c r="AQ1283"/>
      <c r="AR1283" t="inlineStr">
        <is>
          <t>Jobstreet, Indeed (Paid)</t>
        </is>
      </c>
      <c r="AS1283" t="inlineStr">
        <is>
          <t>- Headcount: 1
- Hiring Job Details: sales -1 (3 main language); Penang, Johor, Ipoh showroom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 Indeed (Paid)</t>
        </is>
      </c>
      <c r="AT1283">
        <v>75</v>
      </c>
      <c r="AU1283" t="inlineStr">
        <is>
          <t>0.75</t>
        </is>
      </c>
      <c r="AV1283" t="inlineStr">
        <is>
          <t>5</t>
        </is>
      </c>
      <c r="AW1283" t="inlineStr">
        <is>
          <t>0</t>
        </is>
      </c>
      <c r="AX1283" t="inlineStr">
        <is>
          <t>Not Qualified</t>
        </is>
      </c>
      <c r="AY1283" s="4"/>
      <c r="AZ1283"/>
      <c r="BA1283"/>
      <c r="BB1283"/>
      <c r="BC1283" t="inlineStr">
        <is>
          <t>called and spoke to Cindy, when they need will let me know already mentioned flash sales</t>
        </is>
      </c>
      <c r="BD1283" s="4">
        <v>46141.60319444445</v>
      </c>
      <c r="BE1283" t="inlineStr">
        <is>
          <t>paid</t>
        </is>
      </c>
      <c r="BF1283" t="inlineStr">
        <is>
          <t>Q1-W09</t>
        </is>
      </c>
      <c r="BG1283" t="inlineStr">
        <is>
          <t>Reschedule</t>
        </is>
      </c>
      <c r="BH1283" t="inlineStr">
        <is>
          <t>Fauziah Maharan</t>
        </is>
      </c>
      <c r="BI1283" t="inlineStr">
        <is>
          <t>Consumer Products / FMCG</t>
        </is>
      </c>
      <c r="BJ1283" s="4">
        <v>46144.753275462965</v>
      </c>
      <c r="BK1283" s="4">
        <v>46001.711226851854</v>
      </c>
      <c r="BL1283" t="inlineStr">
        <is>
          <t>3672.0</t>
        </is>
      </c>
      <c r="BM1283" t="inlineStr">
        <is>
          <t>2400.0</t>
        </is>
      </c>
      <c r="BN1283" t="inlineStr">
        <is>
          <t>View Company Page</t>
        </is>
      </c>
      <c r="BO1283" s="4">
        <v>46132.361446759256</v>
      </c>
      <c r="BP1283">
        <v>167654</v>
      </c>
      <c r="BQ1283">
        <v>87425</v>
      </c>
      <c r="BR1283" t="inlineStr">
        <is>
          <t>Online</t>
        </is>
      </c>
      <c r="BS1283"/>
      <c r="BT1283">
        <v>87425</v>
      </c>
      <c r="BU1283"/>
      <c r="BV1283">
        <v>2735320</v>
      </c>
      <c r="BW1283" t="inlineStr">
        <is>
          <t>Follow Up : Lost - Free Portal</t>
        </is>
      </c>
      <c r="BX1283"/>
      <c r="BY1283"/>
      <c r="BZ1283" s="4"/>
      <c r="CA1283"/>
      <c r="CB1283"/>
      <c r="CC1283" s="4"/>
      <c r="CD1283" t="inlineStr">
        <is>
          <t>5</t>
        </is>
      </c>
      <c r="CE1283" t="inlineStr">
        <is>
          <t>0</t>
        </is>
      </c>
      <c r="CF1283" t="inlineStr">
        <is>
          <t>Q2-W03</t>
        </is>
      </c>
      <c r="CG1283" t="inlineStr">
        <is>
          <t>Q1-W09</t>
        </is>
      </c>
      <c r="CH1283" t="inlineStr">
        <is>
          <t>Q1-W09</t>
        </is>
      </c>
      <c r="CI1283"/>
      <c r="CJ1283" t="inlineStr">
        <is>
          <t>Paid</t>
        </is>
      </c>
      <c r="CK1283" t="inlineStr">
        <is>
          <t>Eligible</t>
        </is>
      </c>
      <c r="CL1283"/>
      <c r="CM1283"/>
    </row>
    <row r="1284" ht="25.5" customHeight="1">
      <c r="A1284" t="inlineStr">
        <is>
          <t>157319</t>
        </is>
      </c>
      <c r="B1284" s="2"/>
      <c r="C1284"/>
      <c r="D1284" s="3">
        <v>46129.58689814815</v>
      </c>
      <c r="E1284" t="inlineStr">
        <is>
          <t>Q2-W03</t>
        </is>
      </c>
      <c r="F1284" t="inlineStr">
        <is>
          <t>Ratha</t>
        </is>
      </c>
      <c r="G1284" t="inlineStr">
        <is>
          <t>Customer</t>
        </is>
      </c>
      <c r="H1284" s="2" t="str">
        <f>=HYPERLINK("https://upbox.ajobthing.my/customer/157319", "https://upbox.ajobthing.my/customer/157319")</f>
        <v>https://upbox.ajobthing.my/customer/157319</v>
      </c>
      <c r="I1284" t="inlineStr">
        <is>
          <t>Muezza Education Group Sdn Bhd</t>
        </is>
      </c>
      <c r="J1284" t="inlineStr">
        <is>
          <t>Whale</t>
        </is>
      </c>
      <c r="K1284" t="inlineStr">
        <is>
          <t>Ratha</t>
        </is>
      </c>
      <c r="L1284" s="4"/>
      <c r="M1284" s="4">
        <v>46129.587488425925</v>
      </c>
      <c r="N1284"/>
      <c r="O1284">
        <v>3672</v>
      </c>
      <c r="P1284" s="4"/>
      <c r="Q1284" s="4">
        <v>45926.41835648148</v>
      </c>
      <c r="R1284"/>
      <c r="S1284">
        <v>3672</v>
      </c>
      <c r="T1284" s="4">
        <v>45926.41835648148</v>
      </c>
      <c r="U1284" s="4"/>
      <c r="V1284"/>
      <c r="W1284">
        <v>3672</v>
      </c>
      <c r="X1284"/>
      <c r="Y1284" t="inlineStr">
        <is>
          <t>Pending Appointment</t>
        </is>
      </c>
      <c r="Z1284" t="inlineStr">
        <is>
          <t>Hiring Now</t>
        </is>
      </c>
      <c r="AA1284">
        <v>5</v>
      </c>
      <c r="AB1284" t="inlineStr">
        <is>
          <t>No Appointment Made</t>
        </is>
      </c>
      <c r="AC1284"/>
      <c r="AD1284" t="inlineStr">
        <is>
          <t>Sales : 5
Location : Damansara Perdana</t>
        </is>
      </c>
      <c r="AE1284"/>
      <c r="AF1284"/>
      <c r="AG1284" s="4"/>
      <c r="AH1284" s="4"/>
      <c r="AI1284">
        <v>0</v>
      </c>
      <c r="AJ1284">
        <v>1</v>
      </c>
      <c r="AK1284" t="inlineStr">
        <is>
          <t>Yes, I have</t>
        </is>
      </c>
      <c r="AL1284">
        <v>2</v>
      </c>
      <c r="AM1284" t="inlineStr">
        <is>
          <t>No, I don't need at all</t>
        </is>
      </c>
      <c r="AN1284"/>
      <c r="AO1284" t="inlineStr">
        <is>
          <t>No, I don't need at all</t>
        </is>
      </c>
      <c r="AP1284" t="inlineStr">
        <is>
          <t>Once per quarter (75%)</t>
        </is>
      </c>
      <c r="AQ1284">
        <v>0</v>
      </c>
      <c r="AR1284" t="inlineStr">
        <is>
          <t>Free Job Portal</t>
        </is>
      </c>
      <c r="AS1284" t="inlineStr">
        <is>
          <t>- Headcount: 5
- Hiring Job Details: 5 Sales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1284">
        <v>110</v>
      </c>
      <c r="AU1284" t="inlineStr">
        <is>
          <t>1.10</t>
        </is>
      </c>
      <c r="AV1284" t="inlineStr">
        <is>
          <t>10</t>
        </is>
      </c>
      <c r="AW1284" t="inlineStr">
        <is>
          <t>0</t>
        </is>
      </c>
      <c r="AX1284" t="inlineStr">
        <is>
          <t>Not Qualified</t>
        </is>
      </c>
      <c r="AY1284" s="4"/>
      <c r="AZ1284"/>
      <c r="BA1284"/>
      <c r="BB1284"/>
      <c r="BC1284" t="inlineStr">
        <is>
          <t>even 800 also expensive thus exploring myfuture &amp; indeed - budget concern and not sure min budget</t>
        </is>
      </c>
      <c r="BD1284" s="4">
        <v>46135.42773148148</v>
      </c>
      <c r="BE1284" t="inlineStr">
        <is>
          <t>paid</t>
        </is>
      </c>
      <c r="BF1284"/>
      <c r="BG1284" t="inlineStr">
        <is>
          <t>Reschedule</t>
        </is>
      </c>
      <c r="BH1284" t="inlineStr">
        <is>
          <t>Fauziah Maharan</t>
        </is>
      </c>
      <c r="BI1284" t="inlineStr">
        <is>
          <t>Education / Training</t>
        </is>
      </c>
      <c r="BJ1284" s="4">
        <v>46144.75101851852</v>
      </c>
      <c r="BK1284" s="4">
        <v>44761.4903587963</v>
      </c>
      <c r="BL1284" t="inlineStr">
        <is>
          <t>3672.0</t>
        </is>
      </c>
      <c r="BM1284" t="inlineStr">
        <is>
          <t>0.0</t>
        </is>
      </c>
      <c r="BN1284" t="inlineStr">
        <is>
          <t>View Company Page</t>
        </is>
      </c>
      <c r="BO1284" s="4">
        <v>46129.38280092592</v>
      </c>
      <c r="BP1284">
        <v>167605</v>
      </c>
      <c r="BQ1284">
        <v>82756</v>
      </c>
      <c r="BR1284" t="inlineStr">
        <is>
          <t>Online</t>
        </is>
      </c>
      <c r="BS1284"/>
      <c r="BT1284">
        <v>82756</v>
      </c>
      <c r="BU1284"/>
      <c r="BV1284">
        <v>2722417</v>
      </c>
      <c r="BW1284" t="inlineStr">
        <is>
          <t>Follow Up : Budget Concern</t>
        </is>
      </c>
      <c r="BX1284">
        <v>6</v>
      </c>
      <c r="BY1284">
        <v>0</v>
      </c>
      <c r="BZ1284" s="4">
        <v>46114.465474537035</v>
      </c>
      <c r="CA1284">
        <v>60</v>
      </c>
      <c r="CB1284">
        <v>60</v>
      </c>
      <c r="CC1284" s="4"/>
      <c r="CD1284" t="inlineStr">
        <is>
          <t>15</t>
        </is>
      </c>
      <c r="CE1284" t="inlineStr">
        <is>
          <t>0</t>
        </is>
      </c>
      <c r="CF1284" t="inlineStr">
        <is>
          <t>Q2-W03</t>
        </is>
      </c>
      <c r="CG1284"/>
      <c r="CH1284"/>
      <c r="CI1284"/>
      <c r="CJ1284" t="inlineStr">
        <is>
          <t>Paid</t>
        </is>
      </c>
      <c r="CK1284" t="inlineStr">
        <is>
          <t>Eligible</t>
        </is>
      </c>
      <c r="CL1284"/>
      <c r="CM1284"/>
    </row>
    <row r="1285" ht="25.5" customHeight="1">
      <c r="A1285" t="inlineStr">
        <is>
          <t>203343</t>
        </is>
      </c>
      <c r="B1285" s="2"/>
      <c r="C1285"/>
      <c r="D1285" s="3">
        <v>46129.597280092596</v>
      </c>
      <c r="E1285" t="inlineStr">
        <is>
          <t>Q2-W03</t>
        </is>
      </c>
      <c r="F1285" t="inlineStr">
        <is>
          <t>Clover</t>
        </is>
      </c>
      <c r="G1285" t="inlineStr">
        <is>
          <t>Customer</t>
        </is>
      </c>
      <c r="H1285" s="2" t="str">
        <f>=HYPERLINK("https://upbox.ajobthing.my/customer/203343", "https://upbox.ajobthing.my/customer/203343")</f>
        <v>https://upbox.ajobthing.my/customer/203343</v>
      </c>
      <c r="I1285" t="inlineStr">
        <is>
          <t>Siva Jaya Tour and Travel Sdn Bhd</t>
        </is>
      </c>
      <c r="J1285" t="inlineStr">
        <is>
          <t>Whale</t>
        </is>
      </c>
      <c r="K1285" t="inlineStr">
        <is>
          <t>Clover</t>
        </is>
      </c>
      <c r="L1285" s="4"/>
      <c r="M1285" s="4">
        <v>46129.598912037036</v>
      </c>
      <c r="N1285"/>
      <c r="O1285">
        <v>6048</v>
      </c>
      <c r="P1285" s="4"/>
      <c r="Q1285" s="4"/>
      <c r="R1285"/>
      <c r="S1285"/>
      <c r="T1285" s="4"/>
      <c r="U1285" s="4"/>
      <c r="V1285"/>
      <c r="W1285"/>
      <c r="X1285"/>
      <c r="Y1285" t="inlineStr">
        <is>
          <t>Pending Appointment</t>
        </is>
      </c>
      <c r="Z1285" t="inlineStr">
        <is>
          <t>Hiring Now</t>
        </is>
      </c>
      <c r="AA1285">
        <v>5</v>
      </c>
      <c r="AB1285" t="inlineStr">
        <is>
          <t>No Appointment Made</t>
        </is>
      </c>
      <c r="AC1285"/>
      <c r="AD1285" t="inlineStr">
        <is>
          <t>Hire Administrative Clerk x4, IT/Technician Junior x1, all races, travel, penang, suggest stand</t>
        </is>
      </c>
      <c r="AE1285"/>
      <c r="AF1285">
        <v>3000</v>
      </c>
      <c r="AG1285" s="4"/>
      <c r="AH1285" s="4"/>
      <c r="AI1285">
        <v>3000</v>
      </c>
      <c r="AJ1285">
        <v>1</v>
      </c>
      <c r="AK1285" t="inlineStr">
        <is>
          <t>No, but I want in future</t>
        </is>
      </c>
      <c r="AL1285">
        <v>1</v>
      </c>
      <c r="AM1285" t="inlineStr">
        <is>
          <t>No, but I want in future</t>
        </is>
      </c>
      <c r="AN1285"/>
      <c r="AO1285" t="inlineStr">
        <is>
          <t>No, but I want in future</t>
        </is>
      </c>
      <c r="AP1285" t="inlineStr">
        <is>
          <t>Twice a year (50%)</t>
        </is>
      </c>
      <c r="AQ1285">
        <v>1</v>
      </c>
      <c r="AR1285" t="inlineStr">
        <is>
          <t>Did not use any job portal</t>
        </is>
      </c>
      <c r="AS1285" t="inlineStr">
        <is>
          <t>- Headcount: 5
- Hiring Job Details: Hire Administrative Clerk x4, IT/Technician Junior x1, all races, travel, penang,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1285">
        <v>80</v>
      </c>
      <c r="AU1285" t="inlineStr">
        <is>
          <t>0.80</t>
        </is>
      </c>
      <c r="AV1285" t="inlineStr">
        <is>
          <t>20</t>
        </is>
      </c>
      <c r="AW1285" t="inlineStr">
        <is>
          <t>0</t>
        </is>
      </c>
      <c r="AX1285" t="inlineStr">
        <is>
          <t>Not Qualified</t>
        </is>
      </c>
      <c r="AY1285" s="4"/>
      <c r="AZ1285"/>
      <c r="BA1285"/>
      <c r="BB1285"/>
      <c r="BC1285" t="inlineStr">
        <is>
          <t>Job filled now, hire through FB</t>
        </is>
      </c>
      <c r="BD1285" s="4">
        <v>46134.67686342593</v>
      </c>
      <c r="BE1285"/>
      <c r="BF1285"/>
      <c r="BG1285" t="inlineStr">
        <is>
          <t>Reschedule</t>
        </is>
      </c>
      <c r="BH1285" t="inlineStr">
        <is>
          <t>Reagen</t>
        </is>
      </c>
      <c r="BI1285"/>
      <c r="BJ1285" s="4">
        <v>46144.754282407404</v>
      </c>
      <c r="BK1285" s="4">
        <v>46129.48782407407</v>
      </c>
      <c r="BL1285" t="inlineStr">
        <is>
          <t>0.0</t>
        </is>
      </c>
      <c r="BM1285" t="inlineStr">
        <is>
          <t>0.0</t>
        </is>
      </c>
      <c r="BN1285"/>
      <c r="BO1285" s="4"/>
      <c r="BP1285">
        <v>167616</v>
      </c>
      <c r="BQ1285"/>
      <c r="BR1285"/>
      <c r="BS1285"/>
      <c r="BT1285"/>
      <c r="BU1285"/>
      <c r="BV1285">
        <v>2721398</v>
      </c>
      <c r="BW1285" t="inlineStr">
        <is>
          <t>Follow Up : Lost - Free Portal</t>
        </is>
      </c>
      <c r="BX1285"/>
      <c r="BY1285"/>
      <c r="BZ1285" s="4"/>
      <c r="CA1285"/>
      <c r="CB1285"/>
      <c r="CC1285" s="4"/>
      <c r="CD1285" t="inlineStr">
        <is>
          <t>30</t>
        </is>
      </c>
      <c r="CE1285" t="inlineStr">
        <is>
          <t>0</t>
        </is>
      </c>
      <c r="CF1285" t="inlineStr">
        <is>
          <t>Q2-W03</t>
        </is>
      </c>
      <c r="CG1285"/>
      <c r="CH1285"/>
      <c r="CI1285"/>
      <c r="CJ1285" t="inlineStr">
        <is>
          <t>No Paid</t>
        </is>
      </c>
      <c r="CK1285" t="inlineStr">
        <is>
          <t>Eligible</t>
        </is>
      </c>
      <c r="CL1285"/>
      <c r="CM1285"/>
    </row>
    <row r="1286" ht="25.5" customHeight="1">
      <c r="A1286" t="inlineStr">
        <is>
          <t>143630</t>
        </is>
      </c>
      <c r="B1286" s="2"/>
      <c r="C1286"/>
      <c r="D1286" s="3">
        <v>46129.61288194444</v>
      </c>
      <c r="E1286" t="inlineStr">
        <is>
          <t>Q2-W03</t>
        </is>
      </c>
      <c r="F1286" t="inlineStr">
        <is>
          <t>Ken Yi</t>
        </is>
      </c>
      <c r="G1286" t="inlineStr">
        <is>
          <t>Customer</t>
        </is>
      </c>
      <c r="H1286" s="2" t="str">
        <f>=HYPERLINK("https://upbox.ajobthing.my/customer/143630", "https://upbox.ajobthing.my/customer/143630")</f>
        <v>https://upbox.ajobthing.my/customer/143630</v>
      </c>
      <c r="I1286" t="inlineStr">
        <is>
          <t>Stellar Signature (Central) Sdn Bhd</t>
        </is>
      </c>
      <c r="J1286" t="inlineStr">
        <is>
          <t>Whale</t>
        </is>
      </c>
      <c r="K1286" t="inlineStr">
        <is>
          <t>Kenyi</t>
        </is>
      </c>
      <c r="L1286" s="4"/>
      <c r="M1286" s="4">
        <v>46129.41946759259</v>
      </c>
      <c r="N1286"/>
      <c r="O1286">
        <v>6048</v>
      </c>
      <c r="P1286" s="4"/>
      <c r="Q1286" s="4">
        <v>46120.50162037037</v>
      </c>
      <c r="R1286"/>
      <c r="S1286">
        <v>0</v>
      </c>
      <c r="T1286" s="4">
        <v>45779.6640625</v>
      </c>
      <c r="U1286" s="4"/>
      <c r="V1286"/>
      <c r="W1286">
        <v>3888</v>
      </c>
      <c r="X1286"/>
      <c r="Y1286" t="inlineStr">
        <is>
          <t>Pending Appointment</t>
        </is>
      </c>
      <c r="Z1286" t="inlineStr">
        <is>
          <t>Hiring Now</t>
        </is>
      </c>
      <c r="AA1286">
        <v>1</v>
      </c>
      <c r="AB1286" t="inlineStr">
        <is>
          <t>No Appointment Made</t>
        </is>
      </c>
      <c r="AC1286"/>
      <c r="AD1286" t="inlineStr">
        <is>
          <t>Service Crew</t>
        </is>
      </c>
      <c r="AE1286"/>
      <c r="AF1286">
        <v>0</v>
      </c>
      <c r="AG1286" s="4"/>
      <c r="AH1286" s="4"/>
      <c r="AI1286">
        <v>0</v>
      </c>
      <c r="AJ1286">
        <v>5</v>
      </c>
      <c r="AK1286" t="inlineStr">
        <is>
          <t>Yes, I have</t>
        </is>
      </c>
      <c r="AL1286">
        <v>1</v>
      </c>
      <c r="AM1286" t="inlineStr">
        <is>
          <t>No, I don't need at all</t>
        </is>
      </c>
      <c r="AN1286"/>
      <c r="AO1286" t="inlineStr">
        <is>
          <t>No, I don't need at all</t>
        </is>
      </c>
      <c r="AP1286" t="inlineStr">
        <is>
          <t>Every month (100%)</t>
        </is>
      </c>
      <c r="AQ1286">
        <v>1</v>
      </c>
      <c r="AR1286" t="inlineStr">
        <is>
          <t>Jobstreet</t>
        </is>
      </c>
      <c r="AS1286" t="inlineStr">
        <is>
          <t>- Headcount: 1
- Hiring Job Details: Service Crew
- Hiring Urgency: Hiring Now
- Number of outlets: 5
- Have recruiter team: Yes, I have
- Number of recruiter in company: 1
- Have ATS system: No, I don't need at all
- Have career website: No, I don't need at all
- Current hiring budget: RM0
- Whole year budget: RM0.00
- Whole year number of vacancies: 1
- Hiring frequency: Every month (100%)
- External job portal: Jobstreet</t>
        </is>
      </c>
      <c r="AT1286">
        <v>110</v>
      </c>
      <c r="AU1286" t="inlineStr">
        <is>
          <t>1.10</t>
        </is>
      </c>
      <c r="AV1286" t="inlineStr">
        <is>
          <t>15</t>
        </is>
      </c>
      <c r="AW1286" t="inlineStr">
        <is>
          <t>0</t>
        </is>
      </c>
      <c r="AX1286" t="inlineStr">
        <is>
          <t>Not Qualified</t>
        </is>
      </c>
      <c r="AY1286" s="4"/>
      <c r="AZ1286"/>
      <c r="BA1286"/>
      <c r="BB1286"/>
      <c r="BC1286" t="inlineStr">
        <is>
          <t>Help provide customer the feedback and ask about the job ad 365 promote</t>
        </is>
      </c>
      <c r="BD1286" s="4">
        <v>46139.418703703705</v>
      </c>
      <c r="BE1286" t="inlineStr">
        <is>
          <t>paid</t>
        </is>
      </c>
      <c r="BF1286"/>
      <c r="BG1286" t="inlineStr">
        <is>
          <t>Reschedule</t>
        </is>
      </c>
      <c r="BH1286" t="inlineStr">
        <is>
          <t>Fauziah Maharan</t>
        </is>
      </c>
      <c r="BI1286" t="inlineStr">
        <is>
          <t>Food / Beverage</t>
        </is>
      </c>
      <c r="BJ1286" s="4">
        <v>46144.75071759259</v>
      </c>
      <c r="BK1286" s="4">
        <v>44510.73847222222</v>
      </c>
      <c r="BL1286" t="inlineStr">
        <is>
          <t>3888.0</t>
        </is>
      </c>
      <c r="BM1286" t="inlineStr">
        <is>
          <t>10800.0</t>
        </is>
      </c>
      <c r="BN1286" t="inlineStr">
        <is>
          <t>PA Visit - Job Card</t>
        </is>
      </c>
      <c r="BO1286" s="4">
        <v>46140.599907407406</v>
      </c>
      <c r="BP1286">
        <v>167524</v>
      </c>
      <c r="BQ1286">
        <v>120875</v>
      </c>
      <c r="BR1286" t="inlineStr">
        <is>
          <t>Proforma</t>
        </is>
      </c>
      <c r="BS1286" t="inlineStr">
        <is>
          <t>Free Part-Time Job</t>
        </is>
      </c>
      <c r="BT1286">
        <v>78949</v>
      </c>
      <c r="BU1286"/>
      <c r="BV1286">
        <v>2728262</v>
      </c>
      <c r="BW1286" t="inlineStr">
        <is>
          <t>Follow Up : Decision Pending</t>
        </is>
      </c>
      <c r="BX1286"/>
      <c r="BY1286"/>
      <c r="BZ1286" s="4"/>
      <c r="CA1286"/>
      <c r="CB1286"/>
      <c r="CC1286" s="4"/>
      <c r="CD1286" t="inlineStr">
        <is>
          <t>20</t>
        </is>
      </c>
      <c r="CE1286" t="inlineStr">
        <is>
          <t>0</t>
        </is>
      </c>
      <c r="CF1286" t="inlineStr">
        <is>
          <t>Q2-W03</t>
        </is>
      </c>
      <c r="CG1286" t="inlineStr">
        <is>
          <t>Q2-W01</t>
        </is>
      </c>
      <c r="CH1286"/>
      <c r="CI1286"/>
      <c r="CJ1286" t="inlineStr">
        <is>
          <t>Paid</t>
        </is>
      </c>
      <c r="CK1286" t="inlineStr">
        <is>
          <t>Eligible</t>
        </is>
      </c>
      <c r="CL1286"/>
      <c r="CM1286"/>
    </row>
    <row r="1287" ht="25.5" customHeight="1">
      <c r="A1287" t="inlineStr">
        <is>
          <t>167728</t>
        </is>
      </c>
      <c r="B1287" s="2"/>
      <c r="C1287"/>
      <c r="D1287" s="3">
        <v>46129.61858796296</v>
      </c>
      <c r="E1287" t="inlineStr">
        <is>
          <t>Q2-W03</t>
        </is>
      </c>
      <c r="F1287" t="inlineStr">
        <is>
          <t>Xin Quan</t>
        </is>
      </c>
      <c r="G1287" t="inlineStr">
        <is>
          <t>Customer</t>
        </is>
      </c>
      <c r="H1287" s="2" t="str">
        <f>=HYPERLINK("https://upbox.ajobthing.my/customer/167728", "https://upbox.ajobthing.my/customer/167728")</f>
        <v>https://upbox.ajobthing.my/customer/167728</v>
      </c>
      <c r="I1287" t="inlineStr">
        <is>
          <t>Artists Colony Sdn Bhd</t>
        </is>
      </c>
      <c r="J1287" t="inlineStr">
        <is>
          <t>Whale</t>
        </is>
      </c>
      <c r="K1287" t="inlineStr">
        <is>
          <t>Xin Quan</t>
        </is>
      </c>
      <c r="L1287" s="4"/>
      <c r="M1287" s="4">
        <v>46129.618680555555</v>
      </c>
      <c r="N1287"/>
      <c r="O1287">
        <v>6048</v>
      </c>
      <c r="P1287" s="4"/>
      <c r="Q1287" s="4">
        <v>45089.68407407407</v>
      </c>
      <c r="R1287"/>
      <c r="S1287">
        <v>1696</v>
      </c>
      <c r="T1287" s="4">
        <v>45089.68407407407</v>
      </c>
      <c r="U1287" s="4"/>
      <c r="V1287"/>
      <c r="W1287">
        <v>1696</v>
      </c>
      <c r="X1287"/>
      <c r="Y1287" t="inlineStr">
        <is>
          <t>Pending Appointment</t>
        </is>
      </c>
      <c r="Z1287" t="inlineStr">
        <is>
          <t>Hiring Later</t>
        </is>
      </c>
      <c r="AA1287">
        <v>2</v>
      </c>
      <c r="AB1287" t="inlineStr">
        <is>
          <t>No Appointment Made</t>
        </is>
      </c>
      <c r="AC1287"/>
      <c r="AD1287" t="inlineStr">
        <is>
          <t>1 HR 1 Designer , Base in KL</t>
        </is>
      </c>
      <c r="AE1287"/>
      <c r="AF1287">
        <v>2000</v>
      </c>
      <c r="AG1287" s="4"/>
      <c r="AH1287" s="4"/>
      <c r="AI1287">
        <v>24000</v>
      </c>
      <c r="AJ1287">
        <v>1</v>
      </c>
      <c r="AK1287" t="inlineStr">
        <is>
          <t>No, I don't need at all</t>
        </is>
      </c>
      <c r="AL1287">
        <v>1</v>
      </c>
      <c r="AM1287" t="inlineStr">
        <is>
          <t>No, I don't need at all</t>
        </is>
      </c>
      <c r="AN1287"/>
      <c r="AO1287" t="inlineStr">
        <is>
          <t>No, I don't need at all</t>
        </is>
      </c>
      <c r="AP1287" t="inlineStr">
        <is>
          <t>Once a year (25%)</t>
        </is>
      </c>
      <c r="AQ1287">
        <v>12</v>
      </c>
      <c r="AR1287"/>
      <c r="AS1287" t="inlineStr">
        <is>
          <t>- Headcount: 2
- Hiring Job Details: 1 HR, 1 Designer (Base in KL)
- Hiring Urgency: Hiring Later
- Number of outlets: 1
- Have recruiter team: No, I don't need at all
- Number of recruiter in company: 1
- Have ATS system: No, I don't need at all
- Have career website: No, I don't need at all
- Current hiring budget: RM2,000
- Whole year budget: RM24,000.00
- Whole year number of vacancies: 12
- Hiring frequency: Once a year (25%)
- External job portal: None</t>
        </is>
      </c>
      <c r="AT1287">
        <v>100</v>
      </c>
      <c r="AU1287" t="inlineStr">
        <is>
          <t>1.00</t>
        </is>
      </c>
      <c r="AV1287" t="inlineStr">
        <is>
          <t>15</t>
        </is>
      </c>
      <c r="AW1287" t="inlineStr">
        <is>
          <t>0</t>
        </is>
      </c>
      <c r="AX1287" t="inlineStr">
        <is>
          <t>Not Qualified</t>
        </is>
      </c>
      <c r="AY1287" s="4"/>
      <c r="AZ1287"/>
      <c r="BA1287"/>
      <c r="BB1287"/>
      <c r="BC1287" t="inlineStr">
        <is>
          <t>- Headcount: 2
- Hiring Job Details: 1 HR, 1 Designer (Base in KL)
- Hiring Urgency: Hiring Later
- Number of outlets: 1
- Have recruiter team: No, I don't need at all
- Number of recruiter in company: 1
- Have ATS system: No, I don't need at all
- Have career website: No, I don't need at all
- Current hiring budget: RM2,000
- Whole year budget: RM24,000.00
- Whole year number of vacancies: 12
- Hiring frequency: Once a year (25%)
- External job portal: None</t>
        </is>
      </c>
      <c r="BD1287" s="4">
        <v>46129.6250462963</v>
      </c>
      <c r="BE1287" t="inlineStr">
        <is>
          <t>paid</t>
        </is>
      </c>
      <c r="BF1287"/>
      <c r="BG1287" t="inlineStr">
        <is>
          <t>Reschedule</t>
        </is>
      </c>
      <c r="BH1287" t="inlineStr">
        <is>
          <t>Edward Hoo</t>
        </is>
      </c>
      <c r="BI1287"/>
      <c r="BJ1287" s="4">
        <v>46144.75131944445</v>
      </c>
      <c r="BK1287" s="4">
        <v>45083.78078703704</v>
      </c>
      <c r="BL1287" t="inlineStr">
        <is>
          <t>0.0</t>
        </is>
      </c>
      <c r="BM1287" t="inlineStr">
        <is>
          <t>5400.0</t>
        </is>
      </c>
      <c r="BN1287" t="inlineStr">
        <is>
          <t>View Payment History</t>
        </is>
      </c>
      <c r="BO1287" s="4">
        <v>45435.57509259259</v>
      </c>
      <c r="BP1287">
        <v>167632</v>
      </c>
      <c r="BQ1287">
        <v>59326</v>
      </c>
      <c r="BR1287" t="inlineStr">
        <is>
          <t>Online</t>
        </is>
      </c>
      <c r="BS1287"/>
      <c r="BT1287">
        <v>59326</v>
      </c>
      <c r="BU1287"/>
      <c r="BV1287">
        <v>2712324</v>
      </c>
      <c r="BW1287" t="inlineStr">
        <is>
          <t>Customer Inquiry</t>
        </is>
      </c>
      <c r="BX1287"/>
      <c r="BY1287"/>
      <c r="BZ1287" s="4"/>
      <c r="CA1287"/>
      <c r="CB1287"/>
      <c r="CC1287" s="4"/>
      <c r="CD1287" t="inlineStr">
        <is>
          <t>20</t>
        </is>
      </c>
      <c r="CE1287" t="inlineStr">
        <is>
          <t>0</t>
        </is>
      </c>
      <c r="CF1287" t="inlineStr">
        <is>
          <t>Q2-W03</t>
        </is>
      </c>
      <c r="CG1287"/>
      <c r="CH1287"/>
      <c r="CI1287"/>
      <c r="CJ1287" t="inlineStr">
        <is>
          <t>Paid</t>
        </is>
      </c>
      <c r="CK1287" t="inlineStr">
        <is>
          <t>Eligible</t>
        </is>
      </c>
      <c r="CL1287"/>
      <c r="CM1287"/>
    </row>
    <row r="1288" ht="25.5" customHeight="1">
      <c r="A1288" t="inlineStr">
        <is>
          <t>125672</t>
        </is>
      </c>
      <c r="B1288" s="2"/>
      <c r="C1288"/>
      <c r="D1288" s="3">
        <v>46129.64059027778</v>
      </c>
      <c r="E1288" t="inlineStr">
        <is>
          <t>Q2-W03</t>
        </is>
      </c>
      <c r="F1288" t="inlineStr">
        <is>
          <t>Josh</t>
        </is>
      </c>
      <c r="G1288" t="inlineStr">
        <is>
          <t>Customer</t>
        </is>
      </c>
      <c r="H1288" s="2" t="str">
        <f>=HYPERLINK("https://upbox.ajobthing.my/customer/125672", "https://upbox.ajobthing.my/customer/125672")</f>
        <v>https://upbox.ajobthing.my/customer/125672</v>
      </c>
      <c r="I1288" t="inlineStr">
        <is>
          <t>Good View Industries Sdn Bhd</t>
        </is>
      </c>
      <c r="J1288" t="inlineStr">
        <is>
          <t>Whale</t>
        </is>
      </c>
      <c r="K1288" t="inlineStr">
        <is>
          <t>Josh</t>
        </is>
      </c>
      <c r="L1288" s="4"/>
      <c r="M1288" s="4">
        <v>46132.56650462963</v>
      </c>
      <c r="N1288"/>
      <c r="O1288">
        <v>3672</v>
      </c>
      <c r="P1288" s="4"/>
      <c r="Q1288" s="4">
        <v>45755.34853009259</v>
      </c>
      <c r="R1288"/>
      <c r="S1288">
        <v>2916</v>
      </c>
      <c r="T1288" s="4">
        <v>45755.34853009259</v>
      </c>
      <c r="U1288" s="4"/>
      <c r="V1288"/>
      <c r="W1288">
        <v>2916</v>
      </c>
      <c r="X1288"/>
      <c r="Y1288" t="inlineStr">
        <is>
          <t>Pending Appointment</t>
        </is>
      </c>
      <c r="Z1288" t="inlineStr">
        <is>
          <t>Hiring Now</t>
        </is>
      </c>
      <c r="AA1288">
        <v>1</v>
      </c>
      <c r="AB1288" t="inlineStr">
        <is>
          <t>No Appointment Made</t>
        </is>
      </c>
      <c r="AC1288"/>
      <c r="AD1288" t="inlineStr">
        <is>
          <t xml:space="preserve">1 operator </t>
        </is>
      </c>
      <c r="AE1288"/>
      <c r="AF1288">
        <v>3000</v>
      </c>
      <c r="AG1288" s="4"/>
      <c r="AH1288" s="4"/>
      <c r="AI1288"/>
      <c r="AJ1288"/>
      <c r="AK1288"/>
      <c r="AL1288"/>
      <c r="AM1288"/>
      <c r="AN1288"/>
      <c r="AO1288"/>
      <c r="AP1288" t="inlineStr">
        <is>
          <t>Every month (100%)</t>
        </is>
      </c>
      <c r="AQ1288"/>
      <c r="AR1288"/>
      <c r="AS1288" t="inlineStr">
        <is>
          <t>- Headcount: 1
- Hiring Job Details: 1 operator
- Hiring Urgency: Hiring Now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Every month (100%)
- External job portal: Not available</t>
        </is>
      </c>
      <c r="AT1288">
        <v>75</v>
      </c>
      <c r="AU1288" t="inlineStr">
        <is>
          <t>0.75</t>
        </is>
      </c>
      <c r="AV1288" t="inlineStr">
        <is>
          <t>15</t>
        </is>
      </c>
      <c r="AW1288" t="inlineStr">
        <is>
          <t>0</t>
        </is>
      </c>
      <c r="AX1288" t="inlineStr">
        <is>
          <t>Not Qualified</t>
        </is>
      </c>
      <c r="AY1288" s="4"/>
      <c r="AZ1288"/>
      <c r="BA1288"/>
      <c r="BB1288"/>
      <c r="BC1288" t="inlineStr">
        <is>
          <t>boss oversea already</t>
        </is>
      </c>
      <c r="BD1288" s="4">
        <v>46136.4877662037</v>
      </c>
      <c r="BE1288" t="inlineStr">
        <is>
          <t>paid</t>
        </is>
      </c>
      <c r="BF1288"/>
      <c r="BG1288" t="inlineStr">
        <is>
          <t>Reschedule</t>
        </is>
      </c>
      <c r="BH1288" t="inlineStr">
        <is>
          <t>Fauziah Maharan</t>
        </is>
      </c>
      <c r="BI1288" t="inlineStr">
        <is>
          <t>Manufacturing / Production</t>
        </is>
      </c>
      <c r="BJ1288" s="4">
        <v>46144.75033564815</v>
      </c>
      <c r="BK1288" s="4">
        <v>43895.68844907408</v>
      </c>
      <c r="BL1288" t="inlineStr">
        <is>
          <t>0.0</t>
        </is>
      </c>
      <c r="BM1288" t="inlineStr">
        <is>
          <t>8400.0</t>
        </is>
      </c>
      <c r="BN1288" t="inlineStr">
        <is>
          <t>User Visit(Logged In)</t>
        </is>
      </c>
      <c r="BO1288" s="4">
        <v>46134.642164351855</v>
      </c>
      <c r="BP1288">
        <v>167818</v>
      </c>
      <c r="BQ1288">
        <v>78224</v>
      </c>
      <c r="BR1288" t="inlineStr">
        <is>
          <t>Online</t>
        </is>
      </c>
      <c r="BS1288"/>
      <c r="BT1288">
        <v>78224</v>
      </c>
      <c r="BU1288"/>
      <c r="BV1288">
        <v>2725947</v>
      </c>
      <c r="BW1288" t="inlineStr">
        <is>
          <t>Follow Up : Decision Pending</t>
        </is>
      </c>
      <c r="BX1288"/>
      <c r="BY1288"/>
      <c r="BZ1288" s="4"/>
      <c r="CA1288"/>
      <c r="CB1288"/>
      <c r="CC1288" s="4"/>
      <c r="CD1288" t="inlineStr">
        <is>
          <t>20</t>
        </is>
      </c>
      <c r="CE1288" t="inlineStr">
        <is>
          <t>0</t>
        </is>
      </c>
      <c r="CF1288" t="inlineStr">
        <is>
          <t>Q2-W03</t>
        </is>
      </c>
      <c r="CG1288"/>
      <c r="CH1288"/>
      <c r="CI1288"/>
      <c r="CJ1288" t="inlineStr">
        <is>
          <t>Paid</t>
        </is>
      </c>
      <c r="CK1288" t="inlineStr">
        <is>
          <t>Eligible</t>
        </is>
      </c>
      <c r="CL1288"/>
      <c r="CM1288"/>
    </row>
    <row r="1289" ht="25.5" customHeight="1">
      <c r="A1289" t="inlineStr">
        <is>
          <t>149790</t>
        </is>
      </c>
      <c r="B1289" s="2"/>
      <c r="C1289"/>
      <c r="D1289" s="3">
        <v>46129.64517361111</v>
      </c>
      <c r="E1289" t="inlineStr">
        <is>
          <t>Q2-W03</t>
        </is>
      </c>
      <c r="F1289" t="inlineStr">
        <is>
          <t>Yuli</t>
        </is>
      </c>
      <c r="G1289" t="inlineStr">
        <is>
          <t>Customer</t>
        </is>
      </c>
      <c r="H1289" s="2" t="str">
        <f>=HYPERLINK("https://upbox.ajobthing.my/customer/149790", "https://upbox.ajobthing.my/customer/149790")</f>
        <v>https://upbox.ajobthing.my/customer/149790</v>
      </c>
      <c r="I1289" t="inlineStr">
        <is>
          <t>Kim Hin Joo (M) Berhad</t>
        </is>
      </c>
      <c r="J1289" t="inlineStr">
        <is>
          <t>Whale</t>
        </is>
      </c>
      <c r="K1289" t="inlineStr">
        <is>
          <t>YuLi</t>
        </is>
      </c>
      <c r="L1289" s="4"/>
      <c r="M1289" s="4">
        <v>46122.54553240741</v>
      </c>
      <c r="N1289"/>
      <c r="O1289">
        <v>6048</v>
      </c>
      <c r="P1289" s="4"/>
      <c r="Q1289" s="4">
        <v>46122.508206018516</v>
      </c>
      <c r="R1289"/>
      <c r="S1289">
        <v>0</v>
      </c>
      <c r="T1289" s="4">
        <v>45456</v>
      </c>
      <c r="U1289" s="4"/>
      <c r="V1289"/>
      <c r="W1289">
        <v>2916</v>
      </c>
      <c r="X1289" t="inlineStr">
        <is>
          <t>Yuli</t>
        </is>
      </c>
      <c r="Y1289" t="inlineStr">
        <is>
          <t>Pending Appointment</t>
        </is>
      </c>
      <c r="Z1289" t="inlineStr">
        <is>
          <t>Hiring Now</t>
        </is>
      </c>
      <c r="AA1289">
        <v>2</v>
      </c>
      <c r="AB1289" t="inlineStr">
        <is>
          <t>Appointment Made</t>
        </is>
      </c>
      <c r="AC1289" t="inlineStr">
        <is>
          <t>Mid-size (50-100 employees)</t>
        </is>
      </c>
      <c r="AD1289" t="inlineStr">
        <is>
          <t>Accounts Intern retail sales</t>
        </is>
      </c>
      <c r="AE1289" t="inlineStr">
        <is>
          <t>Executive / HR Executive</t>
        </is>
      </c>
      <c r="AF1289">
        <v>9000</v>
      </c>
      <c r="AG1289" s="4">
        <v>46122.458333333336</v>
      </c>
      <c r="AH1289" s="4">
        <v>46122.5</v>
      </c>
      <c r="AI1289"/>
      <c r="AJ1289"/>
      <c r="AK1289" t="inlineStr">
        <is>
          <t>Yes, I have</t>
        </is>
      </c>
      <c r="AL1289">
        <v>3</v>
      </c>
      <c r="AM1289" t="inlineStr">
        <is>
          <t>No, I don't need at all</t>
        </is>
      </c>
      <c r="AN1289"/>
      <c r="AO1289" t="inlineStr">
        <is>
          <t>No, I don't need at all</t>
        </is>
      </c>
      <c r="AP1289" t="inlineStr">
        <is>
          <t>Once per quarter (75%)</t>
        </is>
      </c>
      <c r="AQ1289"/>
      <c r="AR1289" t="inlineStr">
        <is>
          <t>Jobstreet, Free Job Portal</t>
        </is>
      </c>
      <c r="AS1289" t="inlineStr">
        <is>
          <t>- Headcount: 2
- Hiring Job Details: Accounts Intern retail sales
- Hiring Urgency: Hiring Now
- Number of outlets: Not specified
- Have recruiter team: Yes
- Number of recruiter in company: 3
- Have ATS system: No, I don't need at all
- Have career website: No, I don't need at all
- Current hiring budget: RM9,000.00
- Whole year budget: Not specified
- Whole year number of vacancies: Not specified
- Hiring frequency: Once per quarter (75%)
- External job portal: Jobstreet, Free Job Portal</t>
        </is>
      </c>
      <c r="AT1289">
        <v>95</v>
      </c>
      <c r="AU1289" t="inlineStr">
        <is>
          <t>0.95</t>
        </is>
      </c>
      <c r="AV1289" t="inlineStr">
        <is>
          <t>30</t>
        </is>
      </c>
      <c r="AW1289" t="inlineStr">
        <is>
          <t>0</t>
        </is>
      </c>
      <c r="AX1289" t="inlineStr">
        <is>
          <t>Not Qualified</t>
        </is>
      </c>
      <c r="AY1289" s="4"/>
      <c r="AZ1289"/>
      <c r="BA1289"/>
      <c r="BB1289"/>
      <c r="BC1289" t="inlineStr">
        <is>
          <t>called and spoke to Zi xin, not to proceed with us as they already hired from JS, and no other position open to hire</t>
        </is>
      </c>
      <c r="BD1289" s="4">
        <v>46134.56759259259</v>
      </c>
      <c r="BE1289" t="inlineStr">
        <is>
          <t>paid</t>
        </is>
      </c>
      <c r="BF1289"/>
      <c r="BG1289" t="inlineStr">
        <is>
          <t>Reschedule</t>
        </is>
      </c>
      <c r="BH1289" t="inlineStr">
        <is>
          <t>Fauziah Maharan</t>
        </is>
      </c>
      <c r="BI1289" t="inlineStr">
        <is>
          <t>Retail / Merchandise</t>
        </is>
      </c>
      <c r="BJ1289" s="4">
        <v>46144.75082175926</v>
      </c>
      <c r="BK1289" s="4">
        <v>44628.74207175926</v>
      </c>
      <c r="BL1289" t="inlineStr">
        <is>
          <t>0.0</t>
        </is>
      </c>
      <c r="BM1289" t="inlineStr">
        <is>
          <t>0.0</t>
        </is>
      </c>
      <c r="BN1289" t="inlineStr">
        <is>
          <t>View Company Page</t>
        </is>
      </c>
      <c r="BO1289" s="4">
        <v>46122.61503472222</v>
      </c>
      <c r="BP1289">
        <v>166412</v>
      </c>
      <c r="BQ1289">
        <v>121644</v>
      </c>
      <c r="BR1289" t="inlineStr">
        <is>
          <t>Proforma</t>
        </is>
      </c>
      <c r="BS1289" t="inlineStr">
        <is>
          <t>Free Freelance Job</t>
        </is>
      </c>
      <c r="BT1289">
        <v>69893</v>
      </c>
      <c r="BU1289"/>
      <c r="BV1289">
        <v>2720457</v>
      </c>
      <c r="BW1289" t="inlineStr">
        <is>
          <t>Follow Up : Lost - Paid Portal</t>
        </is>
      </c>
      <c r="BX1289"/>
      <c r="BY1289"/>
      <c r="BZ1289" s="4"/>
      <c r="CA1289"/>
      <c r="CB1289"/>
      <c r="CC1289" s="4"/>
      <c r="CD1289" t="inlineStr">
        <is>
          <t>40</t>
        </is>
      </c>
      <c r="CE1289" t="inlineStr">
        <is>
          <t>0</t>
        </is>
      </c>
      <c r="CF1289" t="inlineStr">
        <is>
          <t>Q2-W02</t>
        </is>
      </c>
      <c r="CG1289" t="inlineStr">
        <is>
          <t>Q2-W02</t>
        </is>
      </c>
      <c r="CH1289"/>
      <c r="CI1289"/>
      <c r="CJ1289" t="inlineStr">
        <is>
          <t>Paid</t>
        </is>
      </c>
      <c r="CK1289" t="inlineStr">
        <is>
          <t>Eligible</t>
        </is>
      </c>
      <c r="CL1289"/>
      <c r="CM1289"/>
    </row>
    <row r="1290" ht="25.5" customHeight="1">
      <c r="A1290" t="inlineStr">
        <is>
          <t>176099</t>
        </is>
      </c>
      <c r="B1290" s="2"/>
      <c r="C1290"/>
      <c r="D1290" s="3">
        <v>46129.653958333336</v>
      </c>
      <c r="E1290" t="inlineStr">
        <is>
          <t>Q2-W03</t>
        </is>
      </c>
      <c r="F1290" t="inlineStr">
        <is>
          <t>Eugene</t>
        </is>
      </c>
      <c r="G1290" t="inlineStr">
        <is>
          <t>Customer</t>
        </is>
      </c>
      <c r="H1290" s="2" t="str">
        <f>=HYPERLINK("https://upbox.ajobthing.my/customer/176099", "https://upbox.ajobthing.my/customer/176099")</f>
        <v>https://upbox.ajobthing.my/customer/176099</v>
      </c>
      <c r="I1290" t="inlineStr">
        <is>
          <t>Topwill Printronics (M) Sdn. Bhd.</t>
        </is>
      </c>
      <c r="J1290" t="inlineStr">
        <is>
          <t>Whale</t>
        </is>
      </c>
      <c r="K1290" t="inlineStr">
        <is>
          <t>Eugene</t>
        </is>
      </c>
      <c r="L1290" s="4"/>
      <c r="M1290" s="4">
        <v>46129.65319444444</v>
      </c>
      <c r="N1290"/>
      <c r="O1290">
        <v>5724</v>
      </c>
      <c r="P1290" s="4"/>
      <c r="Q1290" s="4">
        <v>45670.48207175926</v>
      </c>
      <c r="R1290"/>
      <c r="S1290">
        <v>5734.8</v>
      </c>
      <c r="T1290" s="4">
        <v>45670.48207175926</v>
      </c>
      <c r="U1290" s="4"/>
      <c r="V1290"/>
      <c r="W1290">
        <v>5734.8</v>
      </c>
      <c r="X1290"/>
      <c r="Y1290" t="inlineStr">
        <is>
          <t>Pending Appointment</t>
        </is>
      </c>
      <c r="Z1290" t="inlineStr">
        <is>
          <t>Hiring Now</t>
        </is>
      </c>
      <c r="AA1290">
        <v>12</v>
      </c>
      <c r="AB1290" t="inlineStr">
        <is>
          <t>No Appointment Made</t>
        </is>
      </c>
      <c r="AC1290"/>
      <c r="AD1290" t="inlineStr">
        <is>
          <t>12 positions, based in KL</t>
        </is>
      </c>
      <c r="AE1290"/>
      <c r="AF1290">
        <v>5000</v>
      </c>
      <c r="AG1290" s="4"/>
      <c r="AH1290" s="4"/>
      <c r="AI1290">
        <v>5000</v>
      </c>
      <c r="AJ1290">
        <v>1</v>
      </c>
      <c r="AK1290" t="inlineStr">
        <is>
          <t>No, I don't need at all</t>
        </is>
      </c>
      <c r="AL1290">
        <v>1</v>
      </c>
      <c r="AM1290" t="inlineStr">
        <is>
          <t>No, I don't need at all</t>
        </is>
      </c>
      <c r="AN1290"/>
      <c r="AO1290" t="inlineStr">
        <is>
          <t>No, I don't need at all</t>
        </is>
      </c>
      <c r="AP1290" t="inlineStr">
        <is>
          <t>Once per quarter (75%)</t>
        </is>
      </c>
      <c r="AQ1290">
        <v>12</v>
      </c>
      <c r="AR1290" t="inlineStr">
        <is>
          <t>Free Job Portal</t>
        </is>
      </c>
      <c r="AS1290" t="inlineStr">
        <is>
          <t>- Headcount: 12
- Hiring Job Details: 12 positions, based in KL
- Hiring Urgency: Hiring Now
- Number of outlets: 1
- Have recruiter team: No, I don't need at all
- Number of recruiter in company: 1
- Have ATS system: No, I don't need at all
- Have career website: No, I don't need at all
- Current hiring budget: RM5,000
- Whole year budget: RM5,000.00
- Whole year number of vacancies: 12
- Hiring frequency: Once per quarter (75%)
- External job portal: Free Job Portal</t>
        </is>
      </c>
      <c r="AT1290">
        <v>95</v>
      </c>
      <c r="AU1290" t="inlineStr">
        <is>
          <t>0.95</t>
        </is>
      </c>
      <c r="AV1290" t="inlineStr">
        <is>
          <t>25</t>
        </is>
      </c>
      <c r="AW1290" t="inlineStr">
        <is>
          <t>0</t>
        </is>
      </c>
      <c r="AX1290" t="inlineStr">
        <is>
          <t>Not Qualified</t>
        </is>
      </c>
      <c r="AY1290" s="4"/>
      <c r="AZ1290"/>
      <c r="BA1290"/>
      <c r="BB1290"/>
      <c r="BC1290" t="inlineStr">
        <is>
          <t>pending</t>
        </is>
      </c>
      <c r="BD1290" s="4">
        <v>46134.66076388889</v>
      </c>
      <c r="BE1290" t="inlineStr">
        <is>
          <t>paid</t>
        </is>
      </c>
      <c r="BF1290"/>
      <c r="BG1290" t="inlineStr">
        <is>
          <t>Reschedule</t>
        </is>
      </c>
      <c r="BH1290" t="inlineStr">
        <is>
          <t>Edward Hoo</t>
        </is>
      </c>
      <c r="BI1290" t="inlineStr">
        <is>
          <t>Manufacturing / Production</t>
        </is>
      </c>
      <c r="BJ1290" s="4">
        <v>46144.75163194445</v>
      </c>
      <c r="BK1290" s="4">
        <v>45357.406122685185</v>
      </c>
      <c r="BL1290" t="inlineStr">
        <is>
          <t>0.0</t>
        </is>
      </c>
      <c r="BM1290" t="inlineStr">
        <is>
          <t>0.0</t>
        </is>
      </c>
      <c r="BN1290" t="inlineStr">
        <is>
          <t>View Company Page</t>
        </is>
      </c>
      <c r="BO1290" s="4">
        <v>46044.674988425926</v>
      </c>
      <c r="BP1290">
        <v>167656</v>
      </c>
      <c r="BQ1290">
        <v>76071</v>
      </c>
      <c r="BR1290" t="inlineStr">
        <is>
          <t>Online</t>
        </is>
      </c>
      <c r="BS1290"/>
      <c r="BT1290">
        <v>76071</v>
      </c>
      <c r="BU1290"/>
      <c r="BV1290">
        <v>2721270</v>
      </c>
      <c r="BW1290" t="inlineStr">
        <is>
          <t>Follow Up : Decision Pending</t>
        </is>
      </c>
      <c r="BX1290"/>
      <c r="BY1290"/>
      <c r="BZ1290" s="4"/>
      <c r="CA1290"/>
      <c r="CB1290"/>
      <c r="CC1290" s="4"/>
      <c r="CD1290" t="inlineStr">
        <is>
          <t>35</t>
        </is>
      </c>
      <c r="CE1290" t="inlineStr">
        <is>
          <t>0</t>
        </is>
      </c>
      <c r="CF1290" t="inlineStr">
        <is>
          <t>Q2-W03</t>
        </is>
      </c>
      <c r="CG1290"/>
      <c r="CH1290"/>
      <c r="CI1290"/>
      <c r="CJ1290" t="inlineStr">
        <is>
          <t>Paid</t>
        </is>
      </c>
      <c r="CK1290" t="inlineStr">
        <is>
          <t>Eligible</t>
        </is>
      </c>
      <c r="CL1290"/>
      <c r="CM1290"/>
    </row>
    <row r="1291" ht="25.5" customHeight="1">
      <c r="A1291" t="inlineStr">
        <is>
          <t>172870</t>
        </is>
      </c>
      <c r="B1291" s="2"/>
      <c r="C1291"/>
      <c r="D1291" s="3">
        <v>46129.665659722225</v>
      </c>
      <c r="E1291" t="inlineStr">
        <is>
          <t>Q2-W03</t>
        </is>
      </c>
      <c r="F1291" t="inlineStr">
        <is>
          <t>Lucas</t>
        </is>
      </c>
      <c r="G1291" t="inlineStr">
        <is>
          <t>Customer</t>
        </is>
      </c>
      <c r="H1291" s="2" t="str">
        <f>=HYPERLINK("https://upbox.ajobthing.my/customer/172870", "https://upbox.ajobthing.my/customer/172870")</f>
        <v>https://upbox.ajobthing.my/customer/172870</v>
      </c>
      <c r="I1291" t="inlineStr">
        <is>
          <t>SC Wellness Sdn. Bhd.</t>
        </is>
      </c>
      <c r="J1291" t="inlineStr">
        <is>
          <t>Whale</t>
        </is>
      </c>
      <c r="K1291" t="inlineStr">
        <is>
          <t>Lucas</t>
        </is>
      </c>
      <c r="L1291" s="4"/>
      <c r="M1291" s="4">
        <v>46129.66306712963</v>
      </c>
      <c r="N1291"/>
      <c r="O1291">
        <v>3672</v>
      </c>
      <c r="P1291" s="4"/>
      <c r="Q1291" s="4">
        <v>46127.70789351852</v>
      </c>
      <c r="R1291"/>
      <c r="S1291">
        <v>0</v>
      </c>
      <c r="T1291" s="4">
        <v>45966.60733796296</v>
      </c>
      <c r="U1291" s="4"/>
      <c r="V1291"/>
      <c r="W1291">
        <v>3888</v>
      </c>
      <c r="X1291"/>
      <c r="Y1291" t="inlineStr">
        <is>
          <t>Pending Appointment</t>
        </is>
      </c>
      <c r="Z1291" t="inlineStr">
        <is>
          <t>Hiring Now</t>
        </is>
      </c>
      <c r="AA1291">
        <v>1</v>
      </c>
      <c r="AB1291" t="inlineStr">
        <is>
          <t>No Appointment Made</t>
        </is>
      </c>
      <c r="AC1291"/>
      <c r="AD1291" t="inlineStr">
        <is>
          <t>1 storekeeper</t>
        </is>
      </c>
      <c r="AE1291"/>
      <c r="AF1291">
        <v>0</v>
      </c>
      <c r="AG1291" s="4"/>
      <c r="AH1291" s="4"/>
      <c r="AI1291">
        <v>0</v>
      </c>
      <c r="AJ1291">
        <v>0</v>
      </c>
      <c r="AK1291" t="inlineStr">
        <is>
          <t>No, I don't need at all</t>
        </is>
      </c>
      <c r="AL1291">
        <v>0</v>
      </c>
      <c r="AM1291" t="inlineStr">
        <is>
          <t>No, I don't need at all</t>
        </is>
      </c>
      <c r="AN1291"/>
      <c r="AO1291" t="inlineStr">
        <is>
          <t>No, I don't need at all</t>
        </is>
      </c>
      <c r="AP1291" t="inlineStr">
        <is>
          <t>Once a year (25%)</t>
        </is>
      </c>
      <c r="AQ1291">
        <v>1</v>
      </c>
      <c r="AR1291" t="inlineStr">
        <is>
          <t>Did not use any job portal</t>
        </is>
      </c>
      <c r="AS1291" t="inlineStr">
        <is>
          <t>- Headcount: 1
- Hiring Job Details: 1 storekeeper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291">
        <v>105</v>
      </c>
      <c r="AU1291" t="inlineStr">
        <is>
          <t>1.05</t>
        </is>
      </c>
      <c r="AV1291" t="inlineStr">
        <is>
          <t>15</t>
        </is>
      </c>
      <c r="AW1291" t="inlineStr">
        <is>
          <t>0</t>
        </is>
      </c>
      <c r="AX1291" t="inlineStr">
        <is>
          <t>Not Qualified</t>
        </is>
      </c>
      <c r="AY1291" s="4"/>
      <c r="AZ1291"/>
      <c r="BA1291"/>
      <c r="BB1291"/>
      <c r="BC1291" t="inlineStr">
        <is>
          <t>on hold , if interested will call us back , now boss oversea</t>
        </is>
      </c>
      <c r="BD1291" s="4">
        <v>46142.6303125</v>
      </c>
      <c r="BE1291" t="inlineStr">
        <is>
          <t>paid</t>
        </is>
      </c>
      <c r="BF1291"/>
      <c r="BG1291" t="inlineStr">
        <is>
          <t>Reschedule</t>
        </is>
      </c>
      <c r="BH1291" t="inlineStr">
        <is>
          <t>Yee Hang</t>
        </is>
      </c>
      <c r="BI1291" t="inlineStr">
        <is>
          <t>Beauty / Fitness</t>
        </is>
      </c>
      <c r="BJ1291" s="4">
        <v>46144.75150462963</v>
      </c>
      <c r="BK1291" s="4">
        <v>45244.47021990741</v>
      </c>
      <c r="BL1291" t="inlineStr">
        <is>
          <t>3888.0</t>
        </is>
      </c>
      <c r="BM1291" t="inlineStr">
        <is>
          <t>6600.0</t>
        </is>
      </c>
      <c r="BN1291" t="inlineStr">
        <is>
          <t>View Company Page</t>
        </is>
      </c>
      <c r="BO1291" s="4">
        <v>46129.69505787037</v>
      </c>
      <c r="BP1291">
        <v>167663</v>
      </c>
      <c r="BQ1291">
        <v>122581</v>
      </c>
      <c r="BR1291" t="inlineStr">
        <is>
          <t>Proforma</t>
        </is>
      </c>
      <c r="BS1291" t="inlineStr">
        <is>
          <t>Free High Pay Job</t>
        </is>
      </c>
      <c r="BT1291">
        <v>83935</v>
      </c>
      <c r="BU1291"/>
      <c r="BV1291">
        <v>2737896</v>
      </c>
      <c r="BW1291" t="inlineStr">
        <is>
          <t>Follow Up : Lost - Free Portal</t>
        </is>
      </c>
      <c r="BX1291">
        <v>6</v>
      </c>
      <c r="BY1291">
        <v>0</v>
      </c>
      <c r="BZ1291" s="4">
        <v>46010.6027662037</v>
      </c>
      <c r="CA1291">
        <v>60</v>
      </c>
      <c r="CB1291">
        <v>60</v>
      </c>
      <c r="CC1291" s="4"/>
      <c r="CD1291" t="inlineStr">
        <is>
          <t>20</t>
        </is>
      </c>
      <c r="CE1291" t="inlineStr">
        <is>
          <t>0</t>
        </is>
      </c>
      <c r="CF1291" t="inlineStr">
        <is>
          <t>Q2-W03</t>
        </is>
      </c>
      <c r="CG1291" t="inlineStr">
        <is>
          <t>Q2-W02</t>
        </is>
      </c>
      <c r="CH1291"/>
      <c r="CI1291"/>
      <c r="CJ1291" t="inlineStr">
        <is>
          <t>Paid</t>
        </is>
      </c>
      <c r="CK1291" t="inlineStr">
        <is>
          <t>Eligible</t>
        </is>
      </c>
      <c r="CL1291"/>
      <c r="CM1291"/>
    </row>
    <row r="1292" ht="25.5" customHeight="1">
      <c r="A1292" t="inlineStr">
        <is>
          <t>190549</t>
        </is>
      </c>
      <c r="B1292" s="2"/>
      <c r="C1292"/>
      <c r="D1292" s="3">
        <v>46129.67658564815</v>
      </c>
      <c r="E1292" t="inlineStr">
        <is>
          <t>Q2-W03</t>
        </is>
      </c>
      <c r="F1292" t="inlineStr">
        <is>
          <t>Yuli</t>
        </is>
      </c>
      <c r="G1292" t="inlineStr">
        <is>
          <t>Customer</t>
        </is>
      </c>
      <c r="H1292" s="2" t="str">
        <f>=HYPERLINK("https://upbox.ajobthing.my/customer/190549", "https://upbox.ajobthing.my/customer/190549")</f>
        <v>https://upbox.ajobthing.my/customer/190549</v>
      </c>
      <c r="I1292" t="inlineStr">
        <is>
          <t>MMM Group Bhd</t>
        </is>
      </c>
      <c r="J1292" t="inlineStr">
        <is>
          <t>Whale</t>
        </is>
      </c>
      <c r="K1292" t="inlineStr">
        <is>
          <t>YuLi</t>
        </is>
      </c>
      <c r="L1292" s="4"/>
      <c r="M1292" s="4">
        <v>46129.675520833334</v>
      </c>
      <c r="N1292"/>
      <c r="O1292">
        <v>3888</v>
      </c>
      <c r="P1292" s="4"/>
      <c r="Q1292" s="4">
        <v>45792.89324074074</v>
      </c>
      <c r="R1292"/>
      <c r="S1292">
        <v>1620</v>
      </c>
      <c r="T1292" s="4">
        <v>45792.89324074074</v>
      </c>
      <c r="U1292" s="4"/>
      <c r="V1292"/>
      <c r="W1292">
        <v>1620</v>
      </c>
      <c r="X1292"/>
      <c r="Y1292" t="inlineStr">
        <is>
          <t>Pending Appointment</t>
        </is>
      </c>
      <c r="Z1292"/>
      <c r="AA1292">
        <v>1</v>
      </c>
      <c r="AB1292" t="inlineStr">
        <is>
          <t>No Appointment Made</t>
        </is>
      </c>
      <c r="AC1292"/>
      <c r="AD1292" t="inlineStr">
        <is>
          <t>1 Accounts Executive</t>
        </is>
      </c>
      <c r="AE1292"/>
      <c r="AF1292"/>
      <c r="AG1292" s="4"/>
      <c r="AH1292" s="4"/>
      <c r="AI1292"/>
      <c r="AJ1292"/>
      <c r="AK1292"/>
      <c r="AL1292"/>
      <c r="AM1292"/>
      <c r="AN1292"/>
      <c r="AO1292"/>
      <c r="AP1292"/>
      <c r="AQ1292"/>
      <c r="AR1292" t="inlineStr">
        <is>
          <t>Jobstreet</t>
        </is>
      </c>
      <c r="AS1292" t="inlineStr">
        <is>
          <t>- Headcount: 1
- Hiring Job Details: 1 Accounts Executive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 Hiring Urgency: Not provided</t>
        </is>
      </c>
      <c r="AT1292">
        <v>65</v>
      </c>
      <c r="AU1292" t="inlineStr">
        <is>
          <t>0.65</t>
        </is>
      </c>
      <c r="AV1292" t="inlineStr">
        <is>
          <t>5</t>
        </is>
      </c>
      <c r="AW1292" t="inlineStr">
        <is>
          <t>0</t>
        </is>
      </c>
      <c r="AX1292" t="inlineStr">
        <is>
          <t>Not Qualified</t>
        </is>
      </c>
      <c r="AY1292" s="4"/>
      <c r="AZ1292"/>
      <c r="BA1292"/>
      <c r="BB1292"/>
      <c r="BC1292" t="inlineStr">
        <is>
          <t>Share quotation for Buy 3 free 3</t>
        </is>
      </c>
      <c r="BD1292" s="4">
        <v>46129.752384259256</v>
      </c>
      <c r="BE1292" t="inlineStr">
        <is>
          <t>paid</t>
        </is>
      </c>
      <c r="BF1292"/>
      <c r="BG1292" t="inlineStr">
        <is>
          <t>Reschedule</t>
        </is>
      </c>
      <c r="BH1292" t="inlineStr">
        <is>
          <t>Fauziah Maharan</t>
        </is>
      </c>
      <c r="BI1292" t="inlineStr">
        <is>
          <t>Advertising / Marketing</t>
        </is>
      </c>
      <c r="BJ1292" s="4">
        <v>46144.75237268519</v>
      </c>
      <c r="BK1292" s="4">
        <v>45772.61447916667</v>
      </c>
      <c r="BL1292" t="inlineStr">
        <is>
          <t>1620.0</t>
        </is>
      </c>
      <c r="BM1292" t="inlineStr">
        <is>
          <t>0.0</t>
        </is>
      </c>
      <c r="BN1292" t="inlineStr">
        <is>
          <t>View Company Page</t>
        </is>
      </c>
      <c r="BO1292" s="4">
        <v>46029.50158564815</v>
      </c>
      <c r="BP1292">
        <v>167668</v>
      </c>
      <c r="BQ1292">
        <v>79316</v>
      </c>
      <c r="BR1292" t="inlineStr">
        <is>
          <t>Online</t>
        </is>
      </c>
      <c r="BS1292"/>
      <c r="BT1292">
        <v>79316</v>
      </c>
      <c r="BU1292"/>
      <c r="BV1292">
        <v>2713929</v>
      </c>
      <c r="BW1292" t="inlineStr">
        <is>
          <t>Follow Up : Quotation Sent 50%</t>
        </is>
      </c>
      <c r="BX1292"/>
      <c r="BY1292"/>
      <c r="BZ1292" s="4"/>
      <c r="CA1292"/>
      <c r="CB1292"/>
      <c r="CC1292" s="4"/>
      <c r="CD1292" t="inlineStr">
        <is>
          <t>5</t>
        </is>
      </c>
      <c r="CE1292" t="inlineStr">
        <is>
          <t>0</t>
        </is>
      </c>
      <c r="CF1292" t="inlineStr">
        <is>
          <t>Q2-W03</t>
        </is>
      </c>
      <c r="CG1292"/>
      <c r="CH1292"/>
      <c r="CI1292"/>
      <c r="CJ1292" t="inlineStr">
        <is>
          <t>Paid</t>
        </is>
      </c>
      <c r="CK1292" t="inlineStr">
        <is>
          <t>Eligible</t>
        </is>
      </c>
      <c r="CL1292"/>
      <c r="CM1292"/>
    </row>
    <row r="1293" ht="25.5" customHeight="1">
      <c r="A1293" t="inlineStr">
        <is>
          <t>27586</t>
        </is>
      </c>
      <c r="B1293" s="2"/>
      <c r="C1293"/>
      <c r="D1293" s="3">
        <v>46129.67733796296</v>
      </c>
      <c r="E1293" t="inlineStr">
        <is>
          <t>Q2-W03</t>
        </is>
      </c>
      <c r="F1293" t="inlineStr">
        <is>
          <t>Alan KY</t>
        </is>
      </c>
      <c r="G1293" t="inlineStr">
        <is>
          <t>Customer</t>
        </is>
      </c>
      <c r="H1293" s="2" t="str">
        <f>=HYPERLINK("https://upbox.ajobthing.my/customer/27586", "https://upbox.ajobthing.my/customer/27586")</f>
        <v>https://upbox.ajobthing.my/customer/27586</v>
      </c>
      <c r="I1293" t="inlineStr">
        <is>
          <t>Micro Technology Solution Sdn Bhd</t>
        </is>
      </c>
      <c r="J1293" t="inlineStr">
        <is>
          <t>Whale</t>
        </is>
      </c>
      <c r="K1293" t="inlineStr">
        <is>
          <t>Alan KY</t>
        </is>
      </c>
      <c r="L1293" s="4"/>
      <c r="M1293" s="4">
        <v>46129.67493055556</v>
      </c>
      <c r="N1293"/>
      <c r="O1293">
        <v>6048</v>
      </c>
      <c r="P1293" s="4"/>
      <c r="Q1293" s="4">
        <v>42999.80842592593</v>
      </c>
      <c r="R1293"/>
      <c r="S1293">
        <v>530</v>
      </c>
      <c r="T1293" s="4">
        <v>42999.80842592593</v>
      </c>
      <c r="U1293" s="4"/>
      <c r="V1293"/>
      <c r="W1293">
        <v>530</v>
      </c>
      <c r="X1293"/>
      <c r="Y1293" t="inlineStr">
        <is>
          <t>Pending Appointment</t>
        </is>
      </c>
      <c r="Z1293" t="inlineStr">
        <is>
          <t>Hiring Now</t>
        </is>
      </c>
      <c r="AA1293">
        <v>2</v>
      </c>
      <c r="AB1293" t="inlineStr">
        <is>
          <t>No Appointment Made</t>
        </is>
      </c>
      <c r="AC1293"/>
      <c r="AD1293" t="inlineStr">
        <is>
          <t xml:space="preserve">IT - 2 
Based in Selangor 
system networking 1 
customer engineer 1 </t>
        </is>
      </c>
      <c r="AE1293"/>
      <c r="AF1293"/>
      <c r="AG1293" s="4"/>
      <c r="AH1293" s="4"/>
      <c r="AI1293"/>
      <c r="AJ1293"/>
      <c r="AK1293" t="inlineStr">
        <is>
          <t>No, I don't need at all</t>
        </is>
      </c>
      <c r="AL1293">
        <v>0</v>
      </c>
      <c r="AM1293" t="inlineStr">
        <is>
          <t>No, I don't need at all</t>
        </is>
      </c>
      <c r="AN1293"/>
      <c r="AO1293" t="inlineStr">
        <is>
          <t>No, I don't need at all</t>
        </is>
      </c>
      <c r="AP1293" t="inlineStr">
        <is>
          <t>Once per quarter (75%)</t>
        </is>
      </c>
      <c r="AQ1293"/>
      <c r="AR1293" t="inlineStr">
        <is>
          <t>Jobstreet</t>
        </is>
      </c>
      <c r="AS1293" t="inlineStr">
        <is>
          <t>- Headcount: 2
- Hiring Job Details: IT - 2; Based in Selangor; system networking 1; customer engineer 1
- Hiring Urgency: Hiring Now
- Number of outlets: Not specified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293">
        <v>95</v>
      </c>
      <c r="AU1293" t="inlineStr">
        <is>
          <t>0.95</t>
        </is>
      </c>
      <c r="AV1293" t="inlineStr">
        <is>
          <t>5</t>
        </is>
      </c>
      <c r="AW1293" t="inlineStr">
        <is>
          <t>0</t>
        </is>
      </c>
      <c r="AX1293" t="inlineStr">
        <is>
          <t>Not Qualified</t>
        </is>
      </c>
      <c r="AY1293" s="4"/>
      <c r="AZ1293"/>
      <c r="BA1293"/>
      <c r="BB1293"/>
      <c r="BC1293" t="inlineStr">
        <is>
          <t>no answer</t>
        </is>
      </c>
      <c r="BD1293" s="4">
        <v>46142.62603009259</v>
      </c>
      <c r="BE1293" t="inlineStr">
        <is>
          <t>paid</t>
        </is>
      </c>
      <c r="BF1293"/>
      <c r="BG1293" t="inlineStr">
        <is>
          <t>Reschedule</t>
        </is>
      </c>
      <c r="BH1293" t="inlineStr">
        <is>
          <t>Reagen</t>
        </is>
      </c>
      <c r="BI1293" t="inlineStr">
        <is>
          <t>IT / Hardware</t>
        </is>
      </c>
      <c r="BJ1293" s="4">
        <v>46144.75451388889</v>
      </c>
      <c r="BK1293" s="4">
        <v>42605.514189814814</v>
      </c>
      <c r="BL1293" t="inlineStr">
        <is>
          <t>0.0</t>
        </is>
      </c>
      <c r="BM1293" t="inlineStr">
        <is>
          <t>12000.0</t>
        </is>
      </c>
      <c r="BN1293" t="inlineStr">
        <is>
          <t>View Company Page</t>
        </is>
      </c>
      <c r="BO1293" s="4">
        <v>46132.61618055555</v>
      </c>
      <c r="BP1293">
        <v>167667</v>
      </c>
      <c r="BQ1293">
        <v>8642</v>
      </c>
      <c r="BR1293" t="inlineStr">
        <is>
          <t>Online</t>
        </is>
      </c>
      <c r="BS1293"/>
      <c r="BT1293">
        <v>8642</v>
      </c>
      <c r="BU1293"/>
      <c r="BV1293">
        <v>2737872</v>
      </c>
      <c r="BW1293" t="inlineStr">
        <is>
          <t>No Answer : Voicemail - WA sent to customer</t>
        </is>
      </c>
      <c r="BX1293"/>
      <c r="BY1293"/>
      <c r="BZ1293" s="4"/>
      <c r="CA1293"/>
      <c r="CB1293"/>
      <c r="CC1293" s="4"/>
      <c r="CD1293" t="inlineStr">
        <is>
          <t>5</t>
        </is>
      </c>
      <c r="CE1293" t="inlineStr">
        <is>
          <t>0</t>
        </is>
      </c>
      <c r="CF1293" t="inlineStr">
        <is>
          <t>Q2-W03</t>
        </is>
      </c>
      <c r="CG1293"/>
      <c r="CH1293"/>
      <c r="CI1293"/>
      <c r="CJ1293" t="inlineStr">
        <is>
          <t>Paid</t>
        </is>
      </c>
      <c r="CK1293" t="inlineStr">
        <is>
          <t>Eligible</t>
        </is>
      </c>
      <c r="CL1293"/>
      <c r="CM1293"/>
    </row>
    <row r="1294" ht="25.5" customHeight="1">
      <c r="A1294" t="inlineStr">
        <is>
          <t>176034</t>
        </is>
      </c>
      <c r="B1294" s="2"/>
      <c r="C1294"/>
      <c r="D1294" s="3">
        <v>46129.678761574076</v>
      </c>
      <c r="E1294" t="inlineStr">
        <is>
          <t>Q2-W03</t>
        </is>
      </c>
      <c r="F1294" t="inlineStr">
        <is>
          <t>andy@ajobthing.com</t>
        </is>
      </c>
      <c r="G1294" t="inlineStr">
        <is>
          <t>Customer</t>
        </is>
      </c>
      <c r="H1294" s="2" t="str">
        <f>=HYPERLINK("https://upbox.ajobthing.my/customer/176034", "https://upbox.ajobthing.my/customer/176034")</f>
        <v>https://upbox.ajobthing.my/customer/176034</v>
      </c>
      <c r="I1294" t="inlineStr">
        <is>
          <t>United Straits M &amp; E Sdn Bhd</t>
        </is>
      </c>
      <c r="J1294" t="inlineStr">
        <is>
          <t>Whale</t>
        </is>
      </c>
      <c r="K1294" t="inlineStr">
        <is>
          <t>Andy</t>
        </is>
      </c>
      <c r="L1294" s="4"/>
      <c r="M1294" s="4">
        <v>46129.679456018515</v>
      </c>
      <c r="N1294"/>
      <c r="O1294">
        <v>3456</v>
      </c>
      <c r="P1294" s="4"/>
      <c r="Q1294" s="4">
        <v>46129.40038194445</v>
      </c>
      <c r="R1294"/>
      <c r="S1294">
        <v>0</v>
      </c>
      <c r="T1294" s="4">
        <v>44869.5965625</v>
      </c>
      <c r="U1294" s="4"/>
      <c r="V1294"/>
      <c r="W1294">
        <v>1908</v>
      </c>
      <c r="X1294" t="inlineStr">
        <is>
          <t>andy@ajobthing.com</t>
        </is>
      </c>
      <c r="Y1294" t="inlineStr">
        <is>
          <t>Pending Appointment</t>
        </is>
      </c>
      <c r="Z1294" t="inlineStr">
        <is>
          <t>Continuous Hiring</t>
        </is>
      </c>
      <c r="AA1294">
        <v>2</v>
      </c>
      <c r="AB1294" t="inlineStr">
        <is>
          <t>Appointment Made</t>
        </is>
      </c>
      <c r="AC1294" t="inlineStr">
        <is>
          <t>Mid-size (50-100 employees)</t>
        </is>
      </c>
      <c r="AD1294" t="inlineStr">
        <is>
          <t>Project Engineer, Engineer</t>
        </is>
      </c>
      <c r="AE1294" t="inlineStr">
        <is>
          <t>HR Director / Senior HR Lead</t>
        </is>
      </c>
      <c r="AF1294">
        <v>10000</v>
      </c>
      <c r="AG1294" s="4">
        <v>46129.645833333336</v>
      </c>
      <c r="AH1294" s="4">
        <v>46129.666666666664</v>
      </c>
      <c r="AI1294">
        <v>20000</v>
      </c>
      <c r="AJ1294">
        <v>1</v>
      </c>
      <c r="AK1294" t="inlineStr">
        <is>
          <t>Yes, I have</t>
        </is>
      </c>
      <c r="AL1294">
        <v>2</v>
      </c>
      <c r="AM1294" t="inlineStr">
        <is>
          <t>No, I don't need at all</t>
        </is>
      </c>
      <c r="AN1294"/>
      <c r="AO1294" t="inlineStr">
        <is>
          <t>Yes, I have</t>
        </is>
      </c>
      <c r="AP1294" t="inlineStr">
        <is>
          <t>Once per quarter (75%)</t>
        </is>
      </c>
      <c r="AQ1294">
        <v>20</v>
      </c>
      <c r="AR1294" t="inlineStr">
        <is>
          <t>Jobstreet</t>
        </is>
      </c>
      <c r="AS1294" t="inlineStr">
        <is>
          <t>- Headcount: 2
- Hiring Job Details: Project Engineer, Engineer
- Hiring Urgency: Continuous Hiring
- Number of outlets: 1
- Have recruiter team: Yes
- Number of recruiter in company: 2
- Have ATS system: No, I don't need at all
- Have career website: Yes
- Current hiring budget: RM10,000
- Whole year budget: RM20,000.00
- Whole year number of vacancies: 20
- Hiring frequency: Once per quarter (75%)
- External job portal: Jobstreet</t>
        </is>
      </c>
      <c r="AT1294">
        <v>105</v>
      </c>
      <c r="AU1294" t="inlineStr">
        <is>
          <t>1.05</t>
        </is>
      </c>
      <c r="AV1294" t="inlineStr">
        <is>
          <t>40</t>
        </is>
      </c>
      <c r="AW1294" t="inlineStr">
        <is>
          <t>0.5</t>
        </is>
      </c>
      <c r="AX1294" t="inlineStr">
        <is>
          <t>Not Qualified</t>
        </is>
      </c>
      <c r="AY1294" s="4"/>
      <c r="AZ1294"/>
      <c r="BA1294"/>
      <c r="BB1294"/>
      <c r="BC1294" t="inlineStr">
        <is>
          <t>- Headcount: 2
- Hiring Job Details: Project Engineer, Engineer
- Hiring Urgency: Continuous Hiring
- Number of outlets: 1
- Have recruiter team: Yes
- Number of recruiter in company: 2
- Have ATS system: No, I don't need at all
- Have career website: Yes
- Current hiring budget: RM10,000
- Whole year budget: RM20,000.00
- Whole year number of vacancies: 20
- Hiring frequency: Once per quarter (75%)
- External job portal: Jobstreet</t>
        </is>
      </c>
      <c r="BD1294" s="4">
        <v>46129.70837962963</v>
      </c>
      <c r="BE1294" t="inlineStr">
        <is>
          <t>paid</t>
        </is>
      </c>
      <c r="BF1294"/>
      <c r="BG1294" t="inlineStr">
        <is>
          <t>Reschedule</t>
        </is>
      </c>
      <c r="BH1294"/>
      <c r="BI1294"/>
      <c r="BJ1294" s="4">
        <v>46144.75163194445</v>
      </c>
      <c r="BK1294" s="4">
        <v>45355.73725694444</v>
      </c>
      <c r="BL1294" t="inlineStr">
        <is>
          <t>0.0</t>
        </is>
      </c>
      <c r="BM1294" t="inlineStr">
        <is>
          <t>7200.0</t>
        </is>
      </c>
      <c r="BN1294" t="inlineStr">
        <is>
          <t>View Company Page</t>
        </is>
      </c>
      <c r="BO1294" s="4">
        <v>46136.4446875</v>
      </c>
      <c r="BP1294">
        <v>167670</v>
      </c>
      <c r="BQ1294">
        <v>123032</v>
      </c>
      <c r="BR1294" t="inlineStr">
        <is>
          <t>Proforma</t>
        </is>
      </c>
      <c r="BS1294" t="inlineStr">
        <is>
          <t>Job Ad 365 - SME 100 Free Trial</t>
        </is>
      </c>
      <c r="BT1294">
        <v>52158</v>
      </c>
      <c r="BU1294"/>
      <c r="BV1294">
        <v>2713312</v>
      </c>
      <c r="BW1294" t="inlineStr">
        <is>
          <t>Customer Inquiry</t>
        </is>
      </c>
      <c r="BX1294">
        <v>300</v>
      </c>
      <c r="BY1294">
        <v>298</v>
      </c>
      <c r="BZ1294" s="4">
        <v>46132.38101851852</v>
      </c>
      <c r="CA1294">
        <v>26</v>
      </c>
      <c r="CB1294">
        <v>26</v>
      </c>
      <c r="CC1294" s="4"/>
      <c r="CD1294" t="inlineStr">
        <is>
          <t>55</t>
        </is>
      </c>
      <c r="CE1294" t="inlineStr">
        <is>
          <t>0</t>
        </is>
      </c>
      <c r="CF1294" t="inlineStr">
        <is>
          <t>Q2-W03</t>
        </is>
      </c>
      <c r="CG1294" t="inlineStr">
        <is>
          <t>Q2-W03</t>
        </is>
      </c>
      <c r="CH1294"/>
      <c r="CI1294"/>
      <c r="CJ1294" t="inlineStr">
        <is>
          <t>Paid</t>
        </is>
      </c>
      <c r="CK1294" t="inlineStr">
        <is>
          <t>Eligible</t>
        </is>
      </c>
      <c r="CL1294"/>
      <c r="CM1294"/>
    </row>
    <row r="1295" ht="25.5" customHeight="1">
      <c r="A1295" t="inlineStr">
        <is>
          <t>4097664</t>
        </is>
      </c>
      <c r="B1295" s="2"/>
      <c r="C1295"/>
      <c r="D1295" s="3">
        <v>46129.68146990741</v>
      </c>
      <c r="E1295" t="inlineStr">
        <is>
          <t>Q2-W03</t>
        </is>
      </c>
      <c r="F1295" t="inlineStr">
        <is>
          <t>Angel  Low</t>
        </is>
      </c>
      <c r="G1295" t="inlineStr">
        <is>
          <t>Lead</t>
        </is>
      </c>
      <c r="H1295" s="2" t="str">
        <f>=HYPERLINK("https://upbox.ajobthing.my/leads/4097664", "https://upbox.ajobthing.my/leads/4097664")</f>
        <v>https://upbox.ajobthing.my/leads/4097664</v>
      </c>
      <c r="I1295" t="inlineStr">
        <is>
          <t>Construction</t>
        </is>
      </c>
      <c r="J1295" t="inlineStr">
        <is>
          <t>Whale</t>
        </is>
      </c>
      <c r="K1295" t="inlineStr">
        <is>
          <t>Angel Low</t>
        </is>
      </c>
      <c r="L1295" s="4"/>
      <c r="M1295" s="4">
        <v>46129.68204861111</v>
      </c>
      <c r="N1295"/>
      <c r="O1295">
        <v>3672</v>
      </c>
      <c r="P1295" s="4"/>
      <c r="Q1295" s="4"/>
      <c r="R1295"/>
      <c r="S1295"/>
      <c r="T1295" s="4"/>
      <c r="U1295" s="4"/>
      <c r="V1295"/>
      <c r="W1295"/>
      <c r="X1295"/>
      <c r="Y1295" t="inlineStr">
        <is>
          <t>Pending Appointment</t>
        </is>
      </c>
      <c r="Z1295"/>
      <c r="AA1295">
        <v>1</v>
      </c>
      <c r="AB1295" t="inlineStr">
        <is>
          <t>No Appointment Made</t>
        </is>
      </c>
      <c r="AC1295"/>
      <c r="AD1295" t="inlineStr">
        <is>
          <t xml:space="preserve">1 site supervisor </t>
        </is>
      </c>
      <c r="AE1295"/>
      <c r="AF1295"/>
      <c r="AG1295" s="4"/>
      <c r="AH1295" s="4"/>
      <c r="AI1295"/>
      <c r="AJ1295"/>
      <c r="AK1295"/>
      <c r="AL1295"/>
      <c r="AM1295"/>
      <c r="AN1295"/>
      <c r="AO1295"/>
      <c r="AP1295"/>
      <c r="AQ1295"/>
      <c r="AR1295"/>
      <c r="AS1295" t="inlineStr">
        <is>
          <t>- Headcount: 1
- Hiring Job Details: 1 site supervisor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295">
        <v>60</v>
      </c>
      <c r="AU1295" t="inlineStr">
        <is>
          <t>0.60</t>
        </is>
      </c>
      <c r="AV1295" t="inlineStr">
        <is>
          <t>5</t>
        </is>
      </c>
      <c r="AW1295" t="inlineStr">
        <is>
          <t>0</t>
        </is>
      </c>
      <c r="AX1295" t="inlineStr">
        <is>
          <t>Not Qualified</t>
        </is>
      </c>
      <c r="AY1295" s="4"/>
      <c r="AZ1295"/>
      <c r="BA1295"/>
      <c r="BB1295"/>
      <c r="BC1295"/>
      <c r="BD1295" s="4"/>
      <c r="BE1295"/>
      <c r="BF1295"/>
      <c r="BG1295" t="inlineStr">
        <is>
          <t>Reschedule</t>
        </is>
      </c>
      <c r="BH1295" t="inlineStr">
        <is>
          <t>Fauziah Maharan</t>
        </is>
      </c>
      <c r="BI1295"/>
      <c r="BJ1295" s="4">
        <v>46144.75534722222</v>
      </c>
      <c r="BK1295" s="4">
        <v>46077.40256944444</v>
      </c>
      <c r="BL1295" t="inlineStr">
        <is>
          <t>0.0</t>
        </is>
      </c>
      <c r="BM1295" t="inlineStr">
        <is>
          <t>5400.0</t>
        </is>
      </c>
      <c r="BN1295"/>
      <c r="BO1295" s="4"/>
      <c r="BP1295">
        <v>167672</v>
      </c>
      <c r="BQ1295"/>
      <c r="BR1295"/>
      <c r="BS1295"/>
      <c r="BT1295"/>
      <c r="BU1295"/>
      <c r="BV1295"/>
      <c r="BW1295"/>
      <c r="BX1295"/>
      <c r="BY1295"/>
      <c r="BZ1295" s="4"/>
      <c r="CA1295"/>
      <c r="CB1295"/>
      <c r="CC1295" s="4"/>
      <c r="CD1295" t="inlineStr">
        <is>
          <t>5</t>
        </is>
      </c>
      <c r="CE1295" t="inlineStr">
        <is>
          <t>0</t>
        </is>
      </c>
      <c r="CF1295" t="inlineStr">
        <is>
          <t>Q2-W03</t>
        </is>
      </c>
      <c r="CG1295"/>
      <c r="CH1295"/>
      <c r="CI1295"/>
      <c r="CJ1295" t="inlineStr">
        <is>
          <t>No Paid</t>
        </is>
      </c>
      <c r="CK1295" t="inlineStr">
        <is>
          <t>Eligible</t>
        </is>
      </c>
      <c r="CL1295"/>
      <c r="CM1295"/>
    </row>
    <row r="1296" ht="25.5" customHeight="1">
      <c r="A1296" t="inlineStr">
        <is>
          <t>4288957</t>
        </is>
      </c>
      <c r="B1296" s="2"/>
      <c r="C1296"/>
      <c r="D1296" s="3">
        <v>46129.68920138889</v>
      </c>
      <c r="E1296" t="inlineStr">
        <is>
          <t>Q2-W03</t>
        </is>
      </c>
      <c r="F1296" t="inlineStr">
        <is>
          <t>Yuli</t>
        </is>
      </c>
      <c r="G1296" t="inlineStr">
        <is>
          <t>Lead</t>
        </is>
      </c>
      <c r="H1296" s="2" t="str">
        <f>=HYPERLINK("https://upbox.ajobthing.my/leads/4288957", "https://upbox.ajobthing.my/leads/4288957")</f>
        <v>https://upbox.ajobthing.my/leads/4288957</v>
      </c>
      <c r="I1296" t="inlineStr">
        <is>
          <t>Al-Ikhsan Sports Sdn Bhd</t>
        </is>
      </c>
      <c r="J1296" t="inlineStr">
        <is>
          <t>Whale</t>
        </is>
      </c>
      <c r="K1296" t="inlineStr">
        <is>
          <t>YuLi</t>
        </is>
      </c>
      <c r="L1296" s="4"/>
      <c r="M1296" s="4">
        <v>46129.72274305556</v>
      </c>
      <c r="N1296"/>
      <c r="O1296">
        <v>11448</v>
      </c>
      <c r="P1296" s="4"/>
      <c r="Q1296" s="4"/>
      <c r="R1296"/>
      <c r="S1296"/>
      <c r="T1296" s="4"/>
      <c r="U1296" s="4"/>
      <c r="V1296"/>
      <c r="W1296"/>
      <c r="X1296"/>
      <c r="Y1296" t="inlineStr">
        <is>
          <t>Pending Appointment</t>
        </is>
      </c>
      <c r="Z1296" t="inlineStr">
        <is>
          <t>Hiring Now</t>
        </is>
      </c>
      <c r="AA1296">
        <v>8</v>
      </c>
      <c r="AB1296" t="inlineStr">
        <is>
          <t>No Appointment Made</t>
        </is>
      </c>
      <c r="AC1296"/>
      <c r="AD1296" t="inlineStr">
        <is>
          <t>2 Intern, 
Live Streaming Content Creator (TikTok)
Pemandu Lori 3–5 Tan (Senai Warehouse)
Software Engineer/AI INTERN
STORE MANAGER (YONG PENG) - AL-IKHSAN YONG PENG 2
Merchandising Intern (Retail Planning &amp; Inventory Support)
LEASING (INTERN)</t>
        </is>
      </c>
      <c r="AE1296"/>
      <c r="AF1296"/>
      <c r="AG1296" s="4"/>
      <c r="AH1296" s="4"/>
      <c r="AI1296"/>
      <c r="AJ1296">
        <v>150</v>
      </c>
      <c r="AK1296" t="inlineStr">
        <is>
          <t>Yes, I have</t>
        </is>
      </c>
      <c r="AL1296">
        <v>4</v>
      </c>
      <c r="AM1296"/>
      <c r="AN1296"/>
      <c r="AO1296"/>
      <c r="AP1296" t="inlineStr">
        <is>
          <t>Every month (100%)</t>
        </is>
      </c>
      <c r="AQ1296"/>
      <c r="AR1296" t="inlineStr">
        <is>
          <t>Jobstreet, Did not use any job portal</t>
        </is>
      </c>
      <c r="AS1296" t="inlineStr">
        <is>
          <t>- Headcount: 8
- Hiring Job Details: 2 Intern, Live Streaming Content Creator (TikTok), Pemandu Lori 3–5 Tan (Senai Warehouse), Software Engineer/AI INTERN, STORE MANAGER (YONG PENG) - AL-IKHSAN YONG PENG 2, Merchandising Intern (Retail Planning &amp; Inventory Support), LEASING (INTERN)
- Hiring Urgency: Hiring Now
- Number of outlets: 150
- Have recruiter team: Yes
- Number of recruiter in company: 4
- Have ATS system: Not specified
- Have career website: Not specified
- Current hiring budget: Not specified
- Whole year budget: Not specified
- Whole year number of vacancies: Not specified
- Hiring frequency: Every month (100%)
- External job portal: Jobstreet, Did not use any job portal</t>
        </is>
      </c>
      <c r="AT1296">
        <v>45</v>
      </c>
      <c r="AU1296" t="inlineStr">
        <is>
          <t>0.45</t>
        </is>
      </c>
      <c r="AV1296" t="inlineStr">
        <is>
          <t>10</t>
        </is>
      </c>
      <c r="AW1296" t="inlineStr">
        <is>
          <t>0</t>
        </is>
      </c>
      <c r="AX1296" t="inlineStr">
        <is>
          <t>Not Qualified</t>
        </is>
      </c>
      <c r="AY1296" s="4"/>
      <c r="AZ1296"/>
      <c r="BA1296"/>
      <c r="BB1296"/>
      <c r="BC1296"/>
      <c r="BD1296" s="4"/>
      <c r="BE1296"/>
      <c r="BF1296"/>
      <c r="BG1296" t="inlineStr">
        <is>
          <t>Reschedule</t>
        </is>
      </c>
      <c r="BH1296" t="inlineStr">
        <is>
          <t>Fauziah Maharan</t>
        </is>
      </c>
      <c r="BI1296"/>
      <c r="BJ1296" s="4">
        <v>46144.755833333336</v>
      </c>
      <c r="BK1296" s="4">
        <v>46128.421261574076</v>
      </c>
      <c r="BL1296" t="inlineStr">
        <is>
          <t>0.0</t>
        </is>
      </c>
      <c r="BM1296" t="inlineStr">
        <is>
          <t>33600.0</t>
        </is>
      </c>
      <c r="BN1296"/>
      <c r="BO1296" s="4"/>
      <c r="BP1296">
        <v>167705</v>
      </c>
      <c r="BQ1296"/>
      <c r="BR1296"/>
      <c r="BS1296"/>
      <c r="BT1296"/>
      <c r="BU1296"/>
      <c r="BV1296"/>
      <c r="BW1296"/>
      <c r="BX1296"/>
      <c r="BY1296"/>
      <c r="BZ1296" s="4"/>
      <c r="CA1296"/>
      <c r="CB1296"/>
      <c r="CC1296" s="4"/>
      <c r="CD1296" t="inlineStr">
        <is>
          <t>15</t>
        </is>
      </c>
      <c r="CE1296" t="inlineStr">
        <is>
          <t>0</t>
        </is>
      </c>
      <c r="CF1296" t="inlineStr">
        <is>
          <t>Q2-W03</t>
        </is>
      </c>
      <c r="CG1296"/>
      <c r="CH1296"/>
      <c r="CI1296"/>
      <c r="CJ1296" t="inlineStr">
        <is>
          <t>No Paid</t>
        </is>
      </c>
      <c r="CK1296" t="inlineStr">
        <is>
          <t>Eligible</t>
        </is>
      </c>
      <c r="CL1296"/>
      <c r="CM1296"/>
    </row>
    <row r="1297" ht="25.5" customHeight="1">
      <c r="A1297" t="inlineStr">
        <is>
          <t>129947</t>
        </is>
      </c>
      <c r="B1297" s="2"/>
      <c r="C1297"/>
      <c r="D1297" s="3">
        <v>46129.691979166666</v>
      </c>
      <c r="E1297" t="inlineStr">
        <is>
          <t>Q2-W03</t>
        </is>
      </c>
      <c r="F1297" t="inlineStr">
        <is>
          <t>Josh</t>
        </is>
      </c>
      <c r="G1297" t="inlineStr">
        <is>
          <t>Customer</t>
        </is>
      </c>
      <c r="H1297" s="2" t="str">
        <f>=HYPERLINK("https://upbox.ajobthing.my/customer/129947", "https://upbox.ajobthing.my/customer/129947")</f>
        <v>https://upbox.ajobthing.my/customer/129947</v>
      </c>
      <c r="I1297" t="inlineStr">
        <is>
          <t>Tuah Kekal Holdings Sdn Bhd</t>
        </is>
      </c>
      <c r="J1297" t="inlineStr">
        <is>
          <t>Whale</t>
        </is>
      </c>
      <c r="K1297" t="inlineStr">
        <is>
          <t>Josh</t>
        </is>
      </c>
      <c r="L1297" s="4"/>
      <c r="M1297" s="4">
        <v>46129.69211805556</v>
      </c>
      <c r="N1297"/>
      <c r="O1297">
        <v>6048</v>
      </c>
      <c r="P1297" s="4"/>
      <c r="Q1297" s="4">
        <v>44447.03905092592</v>
      </c>
      <c r="R1297"/>
      <c r="S1297">
        <v>1749</v>
      </c>
      <c r="T1297" s="4">
        <v>44447.00001157408</v>
      </c>
      <c r="U1297" s="4"/>
      <c r="V1297"/>
      <c r="W1297">
        <v>1749</v>
      </c>
      <c r="X1297"/>
      <c r="Y1297" t="inlineStr">
        <is>
          <t>Pending Appointment</t>
        </is>
      </c>
      <c r="Z1297" t="inlineStr">
        <is>
          <t>Hiring Later</t>
        </is>
      </c>
      <c r="AA1297">
        <v>1</v>
      </c>
      <c r="AB1297" t="inlineStr">
        <is>
          <t>No Appointment Made</t>
        </is>
      </c>
      <c r="AC1297"/>
      <c r="AD1297" t="inlineStr">
        <is>
          <t xml:space="preserve">1 admin </t>
        </is>
      </c>
      <c r="AE1297"/>
      <c r="AF1297">
        <v>3000</v>
      </c>
      <c r="AG1297" s="4"/>
      <c r="AH1297" s="4"/>
      <c r="AI1297"/>
      <c r="AJ1297"/>
      <c r="AK1297" t="inlineStr">
        <is>
          <t>Yes, I have</t>
        </is>
      </c>
      <c r="AL1297"/>
      <c r="AM1297"/>
      <c r="AN1297"/>
      <c r="AO1297"/>
      <c r="AP1297" t="inlineStr">
        <is>
          <t>Once a year (25%)</t>
        </is>
      </c>
      <c r="AQ1297"/>
      <c r="AR1297"/>
      <c r="AS1297" t="inlineStr">
        <is>
          <t>- Headcount: 1
- Hiring Job Details: 1 admin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1297">
        <v>75</v>
      </c>
      <c r="AU1297" t="inlineStr">
        <is>
          <t>0.75</t>
        </is>
      </c>
      <c r="AV1297" t="inlineStr">
        <is>
          <t>15</t>
        </is>
      </c>
      <c r="AW1297" t="inlineStr">
        <is>
          <t>0</t>
        </is>
      </c>
      <c r="AX1297" t="inlineStr">
        <is>
          <t>Not Qualified</t>
        </is>
      </c>
      <c r="AY1297" s="4"/>
      <c r="AZ1297"/>
      <c r="BA1297"/>
      <c r="BB1297"/>
      <c r="BC1297" t="inlineStr">
        <is>
          <t>- Headcount: 1
- Hiring Job Details: 1 admin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BD1297" s="4">
        <v>46129.708391203705</v>
      </c>
      <c r="BE1297" t="inlineStr">
        <is>
          <t>pending</t>
        </is>
      </c>
      <c r="BF1297"/>
      <c r="BG1297" t="inlineStr">
        <is>
          <t>Reschedule</t>
        </is>
      </c>
      <c r="BH1297" t="inlineStr">
        <is>
          <t>Fauziah Maharan</t>
        </is>
      </c>
      <c r="BI1297" t="inlineStr">
        <is>
          <t>Construction / Building</t>
        </is>
      </c>
      <c r="BJ1297" s="4">
        <v>46144.750451388885</v>
      </c>
      <c r="BK1297" s="4">
        <v>44089.98505787037</v>
      </c>
      <c r="BL1297" t="inlineStr">
        <is>
          <t>0.0</t>
        </is>
      </c>
      <c r="BM1297" t="inlineStr">
        <is>
          <t>600.0</t>
        </is>
      </c>
      <c r="BN1297" t="inlineStr">
        <is>
          <t>View Jobmanager Page</t>
        </is>
      </c>
      <c r="BO1297" s="4">
        <v>45204.480844907404</v>
      </c>
      <c r="BP1297">
        <v>167677</v>
      </c>
      <c r="BQ1297">
        <v>47381</v>
      </c>
      <c r="BR1297" t="inlineStr">
        <is>
          <t>Proforma</t>
        </is>
      </c>
      <c r="BS1297" t="inlineStr">
        <is>
          <t>GLFB Platinum Package</t>
        </is>
      </c>
      <c r="BT1297">
        <v>35179</v>
      </c>
      <c r="BU1297"/>
      <c r="BV1297">
        <v>2713317</v>
      </c>
      <c r="BW1297" t="inlineStr">
        <is>
          <t>Customer Inquiry</t>
        </is>
      </c>
      <c r="BX1297"/>
      <c r="BY1297"/>
      <c r="BZ1297" s="4"/>
      <c r="CA1297"/>
      <c r="CB1297"/>
      <c r="CC1297" s="4"/>
      <c r="CD1297" t="inlineStr">
        <is>
          <t>20</t>
        </is>
      </c>
      <c r="CE1297" t="inlineStr">
        <is>
          <t>0</t>
        </is>
      </c>
      <c r="CF1297" t="inlineStr">
        <is>
          <t>Q2-W03</t>
        </is>
      </c>
      <c r="CG1297"/>
      <c r="CH1297"/>
      <c r="CI1297"/>
      <c r="CJ1297" t="inlineStr">
        <is>
          <t>Paid</t>
        </is>
      </c>
      <c r="CK1297" t="inlineStr">
        <is>
          <t>Eligible</t>
        </is>
      </c>
      <c r="CL1297"/>
      <c r="CM1297"/>
    </row>
    <row r="1298" ht="25.5" customHeight="1">
      <c r="A1298" t="inlineStr">
        <is>
          <t>49883</t>
        </is>
      </c>
      <c r="B1298" s="2"/>
      <c r="C1298"/>
      <c r="D1298" s="3">
        <v>46129.734618055554</v>
      </c>
      <c r="E1298" t="inlineStr">
        <is>
          <t>Q2-W03</t>
        </is>
      </c>
      <c r="F1298" t="inlineStr">
        <is>
          <t>Yuli</t>
        </is>
      </c>
      <c r="G1298" t="inlineStr">
        <is>
          <t>Customer</t>
        </is>
      </c>
      <c r="H1298" s="2" t="str">
        <f>=HYPERLINK("https://upbox.ajobthing.my/customer/49883", "https://upbox.ajobthing.my/customer/49883")</f>
        <v>https://upbox.ajobthing.my/customer/49883</v>
      </c>
      <c r="I1298" t="inlineStr">
        <is>
          <t>TTF Marketing Holdings Sdn Bhd</t>
        </is>
      </c>
      <c r="J1298" t="inlineStr">
        <is>
          <t>Whale</t>
        </is>
      </c>
      <c r="K1298" t="inlineStr">
        <is>
          <t>YuLi</t>
        </is>
      </c>
      <c r="L1298" s="4"/>
      <c r="M1298" s="4">
        <v>46129.736909722225</v>
      </c>
      <c r="N1298"/>
      <c r="O1298">
        <v>5832</v>
      </c>
      <c r="P1298" s="4"/>
      <c r="Q1298" s="4">
        <v>46129.71309027778</v>
      </c>
      <c r="R1298"/>
      <c r="S1298">
        <v>0</v>
      </c>
      <c r="T1298" s="4">
        <v>45734.37159722222</v>
      </c>
      <c r="U1298" s="4"/>
      <c r="V1298"/>
      <c r="W1298">
        <v>3888</v>
      </c>
      <c r="X1298"/>
      <c r="Y1298" t="inlineStr">
        <is>
          <t>Pending Appointment</t>
        </is>
      </c>
      <c r="Z1298" t="inlineStr">
        <is>
          <t>Hiring Now</t>
        </is>
      </c>
      <c r="AA1298">
        <v>1</v>
      </c>
      <c r="AB1298" t="inlineStr">
        <is>
          <t>No Appointment Made</t>
        </is>
      </c>
      <c r="AC1298"/>
      <c r="AD1298" t="inlineStr">
        <is>
          <t>1 Senior HR Cost Executive sales advisor</t>
        </is>
      </c>
      <c r="AE1298"/>
      <c r="AF1298"/>
      <c r="AG1298" s="4"/>
      <c r="AH1298" s="4"/>
      <c r="AI1298"/>
      <c r="AJ1298"/>
      <c r="AK1298"/>
      <c r="AL1298"/>
      <c r="AM1298"/>
      <c r="AN1298"/>
      <c r="AO1298"/>
      <c r="AP1298"/>
      <c r="AQ1298"/>
      <c r="AR1298" t="inlineStr">
        <is>
          <t>Jobstreet</t>
        </is>
      </c>
      <c r="AS1298" t="inlineStr">
        <is>
          <t>- Headcount: 1
- Hiring Job Details: 1 Senior HR Cost Executive sales advisor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1298">
        <v>65</v>
      </c>
      <c r="AU1298" t="inlineStr">
        <is>
          <t>0.65</t>
        </is>
      </c>
      <c r="AV1298" t="inlineStr">
        <is>
          <t>5</t>
        </is>
      </c>
      <c r="AW1298" t="inlineStr">
        <is>
          <t>0</t>
        </is>
      </c>
      <c r="AX1298" t="inlineStr">
        <is>
          <t>Not Qualified</t>
        </is>
      </c>
      <c r="AY1298" s="4"/>
      <c r="AZ1298"/>
      <c r="BA1298"/>
      <c r="BB1298"/>
      <c r="BC1298" t="inlineStr">
        <is>
          <t>called but no answered</t>
        </is>
      </c>
      <c r="BD1298" s="4">
        <v>46136.47081018519</v>
      </c>
      <c r="BE1298" t="inlineStr">
        <is>
          <t>paid</t>
        </is>
      </c>
      <c r="BF1298"/>
      <c r="BG1298" t="inlineStr">
        <is>
          <t>Reschedule</t>
        </is>
      </c>
      <c r="BH1298" t="inlineStr">
        <is>
          <t>Fauziah Maharan</t>
        </is>
      </c>
      <c r="BI1298" t="inlineStr">
        <is>
          <t>Manufacturing / Production</t>
        </is>
      </c>
      <c r="BJ1298" s="4">
        <v>46144.75604166667</v>
      </c>
      <c r="BK1298" s="4">
        <v>43276.77104166667</v>
      </c>
      <c r="BL1298" t="inlineStr">
        <is>
          <t>0.0</t>
        </is>
      </c>
      <c r="BM1298" t="inlineStr">
        <is>
          <t>0.0</t>
        </is>
      </c>
      <c r="BN1298" t="inlineStr">
        <is>
          <t>View Jobmanager Page</t>
        </is>
      </c>
      <c r="BO1298" s="4">
        <v>46130.37945601852</v>
      </c>
      <c r="BP1298">
        <v>167717</v>
      </c>
      <c r="BQ1298">
        <v>123027</v>
      </c>
      <c r="BR1298" t="inlineStr">
        <is>
          <t>Proforma</t>
        </is>
      </c>
      <c r="BS1298" t="inlineStr">
        <is>
          <t>Free High Pay Job</t>
        </is>
      </c>
      <c r="BT1298">
        <v>77730</v>
      </c>
      <c r="BU1298"/>
      <c r="BV1298">
        <v>2725790</v>
      </c>
      <c r="BW1298" t="inlineStr">
        <is>
          <t>No Answer : Voicemail - WA sent to customer</t>
        </is>
      </c>
      <c r="BX1298"/>
      <c r="BY1298"/>
      <c r="BZ1298" s="4"/>
      <c r="CA1298"/>
      <c r="CB1298"/>
      <c r="CC1298" s="4"/>
      <c r="CD1298" t="inlineStr">
        <is>
          <t>5</t>
        </is>
      </c>
      <c r="CE1298" t="inlineStr">
        <is>
          <t>0</t>
        </is>
      </c>
      <c r="CF1298" t="inlineStr">
        <is>
          <t>Q2-W03</t>
        </is>
      </c>
      <c r="CG1298" t="inlineStr">
        <is>
          <t>Q2-W03</t>
        </is>
      </c>
      <c r="CH1298"/>
      <c r="CI1298"/>
      <c r="CJ1298" t="inlineStr">
        <is>
          <t>Paid</t>
        </is>
      </c>
      <c r="CK1298" t="inlineStr">
        <is>
          <t>Eligible</t>
        </is>
      </c>
      <c r="CL1298"/>
      <c r="CM1298"/>
    </row>
    <row r="1299" ht="25.5" customHeight="1">
      <c r="A1299" t="inlineStr">
        <is>
          <t>32709</t>
        </is>
      </c>
      <c r="B1299" s="2"/>
      <c r="C1299"/>
      <c r="D1299" s="3">
        <v>46131.33033564815</v>
      </c>
      <c r="E1299" t="inlineStr">
        <is>
          <t>Q2-W03</t>
        </is>
      </c>
      <c r="F1299" t="inlineStr">
        <is>
          <t>Guest User 90913</t>
        </is>
      </c>
      <c r="G1299" t="inlineStr">
        <is>
          <t>Customer</t>
        </is>
      </c>
      <c r="H1299" s="2" t="str">
        <f>=HYPERLINK("https://upbox.ajobthing.my/customer/32709", "https://upbox.ajobthing.my/customer/32709")</f>
        <v>https://upbox.ajobthing.my/customer/32709</v>
      </c>
      <c r="I1299" t="inlineStr">
        <is>
          <t>Golden Scoop Sdn Bhd</t>
        </is>
      </c>
      <c r="J1299" t="inlineStr">
        <is>
          <t>Whale</t>
        </is>
      </c>
      <c r="K1299" t="inlineStr">
        <is>
          <t>Dandy</t>
        </is>
      </c>
      <c r="L1299" s="4"/>
      <c r="M1299" s="4">
        <v>46131.33412037037</v>
      </c>
      <c r="N1299"/>
      <c r="O1299">
        <v>21600</v>
      </c>
      <c r="P1299" s="4"/>
      <c r="Q1299" s="4">
        <v>44611.13164351852</v>
      </c>
      <c r="R1299"/>
      <c r="S1299">
        <v>1749</v>
      </c>
      <c r="T1299" s="4">
        <v>44607.00001157408</v>
      </c>
      <c r="U1299" s="4"/>
      <c r="V1299"/>
      <c r="W1299">
        <v>2915</v>
      </c>
      <c r="X1299"/>
      <c r="Y1299" t="inlineStr">
        <is>
          <t>Pending Appointment</t>
        </is>
      </c>
      <c r="Z1299" t="inlineStr">
        <is>
          <t>Continuous Hiring</t>
        </is>
      </c>
      <c r="AA1299">
        <v>60</v>
      </c>
      <c r="AB1299" t="inlineStr">
        <is>
          <t>No Appointment Made</t>
        </is>
      </c>
      <c r="AC1299"/>
      <c r="AD1299" t="inlineStr">
        <is>
          <t xml:space="preserve">50 supervisor, 10 warehouse </t>
        </is>
      </c>
      <c r="AE1299"/>
      <c r="AF1299">
        <v>20000</v>
      </c>
      <c r="AG1299" s="4"/>
      <c r="AH1299" s="4"/>
      <c r="AI1299">
        <v>30000</v>
      </c>
      <c r="AJ1299"/>
      <c r="AK1299" t="inlineStr">
        <is>
          <t>Yes, I have</t>
        </is>
      </c>
      <c r="AL1299">
        <v>4</v>
      </c>
      <c r="AM1299" t="inlineStr">
        <is>
          <t>No, I don't need at all</t>
        </is>
      </c>
      <c r="AN1299"/>
      <c r="AO1299" t="inlineStr">
        <is>
          <t>No, I don't need at all</t>
        </is>
      </c>
      <c r="AP1299" t="inlineStr">
        <is>
          <t>Every month (100%)</t>
        </is>
      </c>
      <c r="AQ1299">
        <v>100</v>
      </c>
      <c r="AR1299" t="inlineStr">
        <is>
          <t>Jobstreet, Indeed (Paid)</t>
        </is>
      </c>
      <c r="AS1299" t="inlineStr">
        <is>
          <t>- Headcount: 60
- Hiring Job Details: 50 supervisor, 10 warehouse
- Hiring Urgency: Continuous Hiring
- Number of outlets: N/A
- Have recruiter team: Yes
- Number of recruiter in company: 4
- Have ATS system: No, I don't need at all
- Have career website: No, I don't need at all
- Current hiring budget: RM20,000
- Whole year budget: RM30,000.00
- Whole year number of vacancies: 100
- Hiring frequency: Every month (100%)
- External job portal: Jobstreet,Indeed (Paid)</t>
        </is>
      </c>
      <c r="AT1299">
        <v>115</v>
      </c>
      <c r="AU1299" t="inlineStr">
        <is>
          <t>1.15</t>
        </is>
      </c>
      <c r="AV1299" t="inlineStr">
        <is>
          <t>40</t>
        </is>
      </c>
      <c r="AW1299" t="inlineStr">
        <is>
          <t>0.5</t>
        </is>
      </c>
      <c r="AX1299" t="inlineStr">
        <is>
          <t>Not Qualified</t>
        </is>
      </c>
      <c r="AY1299" s="4"/>
      <c r="AZ1299"/>
      <c r="BA1299"/>
      <c r="BB1299"/>
      <c r="BC1299" t="inlineStr">
        <is>
          <t>shared quotation with Kamales via email</t>
        </is>
      </c>
      <c r="BD1299" s="4">
        <v>46132.58068287037</v>
      </c>
      <c r="BE1299" t="inlineStr">
        <is>
          <t>pending</t>
        </is>
      </c>
      <c r="BF1299"/>
      <c r="BG1299" t="inlineStr">
        <is>
          <t>Reschedule</t>
        </is>
      </c>
      <c r="BH1299"/>
      <c r="BI1299" t="inlineStr">
        <is>
          <t>Food / Beverage</t>
        </is>
      </c>
      <c r="BJ1299" s="4">
        <v>46144.75457175926</v>
      </c>
      <c r="BK1299" s="4">
        <v>42747.43056712963</v>
      </c>
      <c r="BL1299" t="inlineStr">
        <is>
          <t>0.0</t>
        </is>
      </c>
      <c r="BM1299" t="inlineStr">
        <is>
          <t>7200.0</t>
        </is>
      </c>
      <c r="BN1299" t="inlineStr">
        <is>
          <t>User Login</t>
        </is>
      </c>
      <c r="BO1299" s="4">
        <v>45259.39376157407</v>
      </c>
      <c r="BP1299">
        <v>167732</v>
      </c>
      <c r="BQ1299">
        <v>54557</v>
      </c>
      <c r="BR1299" t="inlineStr">
        <is>
          <t>Proforma</t>
        </is>
      </c>
      <c r="BS1299" t="inlineStr">
        <is>
          <t>GLFB Platinum Package</t>
        </is>
      </c>
      <c r="BT1299">
        <v>40644</v>
      </c>
      <c r="BU1299"/>
      <c r="BV1299">
        <v>2715581</v>
      </c>
      <c r="BW1299" t="inlineStr">
        <is>
          <t>Inquire for Hiring Needs : Quotation Sent 50%</t>
        </is>
      </c>
      <c r="BX1299"/>
      <c r="BY1299"/>
      <c r="BZ1299" s="4"/>
      <c r="CA1299"/>
      <c r="CB1299"/>
      <c r="CC1299" s="4"/>
      <c r="CD1299" t="inlineStr">
        <is>
          <t>55</t>
        </is>
      </c>
      <c r="CE1299" t="inlineStr">
        <is>
          <t>0</t>
        </is>
      </c>
      <c r="CF1299" t="inlineStr">
        <is>
          <t>Q2-W03</t>
        </is>
      </c>
      <c r="CG1299"/>
      <c r="CH1299"/>
      <c r="CI1299"/>
      <c r="CJ1299" t="inlineStr">
        <is>
          <t>Paid</t>
        </is>
      </c>
      <c r="CK1299" t="inlineStr">
        <is>
          <t>Eligible</t>
        </is>
      </c>
      <c r="CL1299"/>
      <c r="CM1299"/>
    </row>
    <row r="1300" ht="25.5" customHeight="1">
      <c r="A1300" t="inlineStr">
        <is>
          <t>203375</t>
        </is>
      </c>
      <c r="B1300" s="2"/>
      <c r="C1300"/>
      <c r="D1300" s="3">
        <v>46131.905636574076</v>
      </c>
      <c r="E1300" t="inlineStr">
        <is>
          <t>Q2-W03</t>
        </is>
      </c>
      <c r="F1300" t="inlineStr">
        <is>
          <t>Jess</t>
        </is>
      </c>
      <c r="G1300" t="inlineStr">
        <is>
          <t>Customer</t>
        </is>
      </c>
      <c r="H1300" s="2" t="str">
        <f>=HYPERLINK("https://upbox.ajobthing.my/customer/203375", "https://upbox.ajobthing.my/customer/203375")</f>
        <v>https://upbox.ajobthing.my/customer/203375</v>
      </c>
      <c r="I1300" t="inlineStr">
        <is>
          <t>HOME STAR FURNITURE DECORATION SDN BHD</t>
        </is>
      </c>
      <c r="J1300" t="inlineStr">
        <is>
          <t>Whale</t>
        </is>
      </c>
      <c r="K1300" t="inlineStr">
        <is>
          <t>Jess Lim</t>
        </is>
      </c>
      <c r="L1300" s="4"/>
      <c r="M1300" s="4">
        <v>46129.775185185186</v>
      </c>
      <c r="N1300"/>
      <c r="O1300">
        <v>3888</v>
      </c>
      <c r="P1300" s="4"/>
      <c r="Q1300" s="4">
        <v>46141.40116898148</v>
      </c>
      <c r="R1300"/>
      <c r="S1300">
        <v>0</v>
      </c>
      <c r="T1300" s="4">
        <v>46133.435960648145</v>
      </c>
      <c r="U1300" s="4"/>
      <c r="V1300"/>
      <c r="W1300">
        <v>3888</v>
      </c>
      <c r="X1300"/>
      <c r="Y1300" t="inlineStr">
        <is>
          <t>Pending Appointment</t>
        </is>
      </c>
      <c r="Z1300" t="inlineStr">
        <is>
          <t>Hiring Now</t>
        </is>
      </c>
      <c r="AA1300">
        <v>1</v>
      </c>
      <c r="AB1300" t="inlineStr">
        <is>
          <t>No Appointment Made</t>
        </is>
      </c>
      <c r="AC1300"/>
      <c r="AD1300" t="inlineStr">
        <is>
          <t>admin1 puchong</t>
        </is>
      </c>
      <c r="AE1300"/>
      <c r="AF1300">
        <v>800</v>
      </c>
      <c r="AG1300" s="4"/>
      <c r="AH1300" s="4"/>
      <c r="AI1300"/>
      <c r="AJ1300">
        <v>1</v>
      </c>
      <c r="AK1300" t="inlineStr">
        <is>
          <t>No, I don't need at all</t>
        </is>
      </c>
      <c r="AL1300">
        <v>1</v>
      </c>
      <c r="AM1300" t="inlineStr">
        <is>
          <t>No, I don't need at all</t>
        </is>
      </c>
      <c r="AN1300"/>
      <c r="AO1300" t="inlineStr">
        <is>
          <t>No, I don't need at all</t>
        </is>
      </c>
      <c r="AP1300" t="inlineStr">
        <is>
          <t>Once a year (25%)</t>
        </is>
      </c>
      <c r="AQ1300"/>
      <c r="AR1300" t="inlineStr">
        <is>
          <t>Jobstreet</t>
        </is>
      </c>
      <c r="AS1300" t="inlineStr">
        <is>
          <t>- Headcount: 1
- Hiring Job Details: admin1 puchong
- Hiring Urgency: Hiring Now
- Number of outlets: 1
- Have recruiter team: No, I don't need at all
- Number of recruiter in company: 1
- Have ATS system: No, I don't need at all
- Have career website: No, I don't need at all
- Current hiring budget: RM800.00
- Whole year budget: Not specified
- Whole year number of vacancies: Not specified
- Hiring frequency: Once a year (25%)
- External job portal: Jobstreet</t>
        </is>
      </c>
      <c r="AT1300">
        <v>95</v>
      </c>
      <c r="AU1300" t="inlineStr">
        <is>
          <t>0.95</t>
        </is>
      </c>
      <c r="AV1300" t="inlineStr">
        <is>
          <t>15</t>
        </is>
      </c>
      <c r="AW1300" t="inlineStr">
        <is>
          <t>0</t>
        </is>
      </c>
      <c r="AX1300" t="inlineStr">
        <is>
          <t>Not Qualified</t>
        </is>
      </c>
      <c r="AY1300" s="4"/>
      <c r="AZ1300"/>
      <c r="BA1300"/>
      <c r="BB1300"/>
      <c r="BC1300" t="inlineStr">
        <is>
          <t>educate how to use job portal &gt; add tittle &gt; need more mandrin speaker</t>
        </is>
      </c>
      <c r="BD1300" s="4">
        <v>46136.63434027778</v>
      </c>
      <c r="BE1300" t="inlineStr">
        <is>
          <t>paid</t>
        </is>
      </c>
      <c r="BF1300" t="inlineStr">
        <is>
          <t>Q2-W03</t>
        </is>
      </c>
      <c r="BG1300" t="inlineStr">
        <is>
          <t>Reschedule</t>
        </is>
      </c>
      <c r="BH1300" t="inlineStr">
        <is>
          <t>Fauziah Maharan</t>
        </is>
      </c>
      <c r="BI1300" t="inlineStr">
        <is>
          <t>Manufacturing / Production</t>
        </is>
      </c>
      <c r="BJ1300" s="4">
        <v>46144.754282407404</v>
      </c>
      <c r="BK1300" s="4">
        <v>46129.771782407406</v>
      </c>
      <c r="BL1300" t="inlineStr">
        <is>
          <t>3888.0</t>
        </is>
      </c>
      <c r="BM1300" t="inlineStr">
        <is>
          <t>1200.0</t>
        </is>
      </c>
      <c r="BN1300" t="inlineStr">
        <is>
          <t>PA Visit - Job Card</t>
        </is>
      </c>
      <c r="BO1300" s="4">
        <v>46142.82001157408</v>
      </c>
      <c r="BP1300">
        <v>167730</v>
      </c>
      <c r="BQ1300">
        <v>124010</v>
      </c>
      <c r="BR1300" t="inlineStr">
        <is>
          <t>Proforma</t>
        </is>
      </c>
      <c r="BS1300" t="inlineStr">
        <is>
          <t>Free Internship Job</t>
        </is>
      </c>
      <c r="BT1300">
        <v>94509</v>
      </c>
      <c r="BU1300"/>
      <c r="BV1300">
        <v>2726702</v>
      </c>
      <c r="BW1300" t="inlineStr">
        <is>
          <t>Service / Technical : Job Outcome Enquiry</t>
        </is>
      </c>
      <c r="BX1300">
        <v>7</v>
      </c>
      <c r="BY1300">
        <v>5</v>
      </c>
      <c r="BZ1300" s="4">
        <v>46133.50194444445</v>
      </c>
      <c r="CA1300">
        <v>73</v>
      </c>
      <c r="CB1300">
        <v>70</v>
      </c>
      <c r="CC1300" s="4">
        <v>46134.52915509259</v>
      </c>
      <c r="CD1300" t="inlineStr">
        <is>
          <t>20</t>
        </is>
      </c>
      <c r="CE1300" t="inlineStr">
        <is>
          <t>0</t>
        </is>
      </c>
      <c r="CF1300" t="inlineStr">
        <is>
          <t>Q2-W03</t>
        </is>
      </c>
      <c r="CG1300" t="inlineStr">
        <is>
          <t>Q2-W04</t>
        </is>
      </c>
      <c r="CH1300" t="inlineStr">
        <is>
          <t>Q2-W03</t>
        </is>
      </c>
      <c r="CI1300"/>
      <c r="CJ1300" t="inlineStr">
        <is>
          <t>Paid</t>
        </is>
      </c>
      <c r="CK1300" t="inlineStr">
        <is>
          <t>Eligible</t>
        </is>
      </c>
      <c r="CL1300"/>
      <c r="CM1300"/>
    </row>
    <row r="1301" ht="25.5" customHeight="1">
      <c r="A1301" t="inlineStr">
        <is>
          <t>149018</t>
        </is>
      </c>
      <c r="B1301" s="2"/>
      <c r="C1301"/>
      <c r="D1301" s="3">
        <v>46132.391331018516</v>
      </c>
      <c r="E1301" t="inlineStr">
        <is>
          <t>Q2-W03</t>
        </is>
      </c>
      <c r="F1301" t="inlineStr">
        <is>
          <t>Chia Yee</t>
        </is>
      </c>
      <c r="G1301" t="inlineStr">
        <is>
          <t>Customer</t>
        </is>
      </c>
      <c r="H1301" s="2" t="str">
        <f>=HYPERLINK("https://upbox.ajobthing.my/customer/149018", "https://upbox.ajobthing.my/customer/149018")</f>
        <v>https://upbox.ajobthing.my/customer/149018</v>
      </c>
      <c r="I1301" t="inlineStr">
        <is>
          <t>AYS Ventures Berhad</t>
        </is>
      </c>
      <c r="J1301" t="inlineStr">
        <is>
          <t>Whale</t>
        </is>
      </c>
      <c r="K1301" t="inlineStr">
        <is>
          <t>Chia Yee</t>
        </is>
      </c>
      <c r="L1301" s="4"/>
      <c r="M1301" s="4">
        <v>46132.39148148148</v>
      </c>
      <c r="N1301"/>
      <c r="O1301">
        <v>6048</v>
      </c>
      <c r="P1301" s="4"/>
      <c r="Q1301" s="4">
        <v>46132.36819444445</v>
      </c>
      <c r="R1301"/>
      <c r="S1301">
        <v>0</v>
      </c>
      <c r="T1301" s="4">
        <v>44637.43380787037</v>
      </c>
      <c r="U1301" s="4"/>
      <c r="V1301"/>
      <c r="W1301">
        <v>1749</v>
      </c>
      <c r="X1301"/>
      <c r="Y1301" t="inlineStr">
        <is>
          <t>Pending Appointment</t>
        </is>
      </c>
      <c r="Z1301" t="inlineStr">
        <is>
          <t>Hiring Now</t>
        </is>
      </c>
      <c r="AA1301">
        <v>4</v>
      </c>
      <c r="AB1301" t="inlineStr">
        <is>
          <t>No Appointment Made</t>
        </is>
      </c>
      <c r="AC1301"/>
      <c r="AD1301" t="inlineStr">
        <is>
          <t>sales , logistic , account , intern</t>
        </is>
      </c>
      <c r="AE1301"/>
      <c r="AF1301">
        <v>0</v>
      </c>
      <c r="AG1301" s="4"/>
      <c r="AH1301" s="4"/>
      <c r="AI1301">
        <v>0</v>
      </c>
      <c r="AJ1301">
        <v>1</v>
      </c>
      <c r="AK1301" t="inlineStr">
        <is>
          <t>No, I don't need at all</t>
        </is>
      </c>
      <c r="AL1301">
        <v>1</v>
      </c>
      <c r="AM1301" t="inlineStr">
        <is>
          <t>No, I don't need at all</t>
        </is>
      </c>
      <c r="AN1301"/>
      <c r="AO1301" t="inlineStr">
        <is>
          <t>No, I don't need at all</t>
        </is>
      </c>
      <c r="AP1301" t="inlineStr">
        <is>
          <t>Twice a year (50%)</t>
        </is>
      </c>
      <c r="AQ1301">
        <v>4</v>
      </c>
      <c r="AR1301" t="inlineStr">
        <is>
          <t>Did not use any job portal</t>
        </is>
      </c>
      <c r="AS1301" t="inlineStr">
        <is>
          <t>- Headcount: 4
- Hiring Job Details: sales, logistic, account, intern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4
- Hiring frequency: Twice a year (50%)
- External job portal: Did not use any job portal</t>
        </is>
      </c>
      <c r="AT1301">
        <v>95</v>
      </c>
      <c r="AU1301" t="inlineStr">
        <is>
          <t>0.95</t>
        </is>
      </c>
      <c r="AV1301" t="inlineStr">
        <is>
          <t>15</t>
        </is>
      </c>
      <c r="AW1301" t="inlineStr">
        <is>
          <t>0</t>
        </is>
      </c>
      <c r="AX1301" t="inlineStr">
        <is>
          <t>Not Qualified</t>
        </is>
      </c>
      <c r="AY1301" s="4"/>
      <c r="AZ1301"/>
      <c r="BA1301"/>
      <c r="BB1301"/>
      <c r="BC1301" t="inlineStr">
        <is>
          <t>Called, no ans. WA</t>
        </is>
      </c>
      <c r="BD1301" s="4">
        <v>46142.5108912037</v>
      </c>
      <c r="BE1301" t="inlineStr">
        <is>
          <t>paid</t>
        </is>
      </c>
      <c r="BF1301"/>
      <c r="BG1301" t="inlineStr">
        <is>
          <t>Reschedule</t>
        </is>
      </c>
      <c r="BH1301" t="inlineStr">
        <is>
          <t>Reagen</t>
        </is>
      </c>
      <c r="BI1301" t="inlineStr">
        <is>
          <t>Manufacturing / Production</t>
        </is>
      </c>
      <c r="BJ1301" s="4">
        <v>46144.75082175926</v>
      </c>
      <c r="BK1301" s="4">
        <v>44616.46258101852</v>
      </c>
      <c r="BL1301" t="inlineStr">
        <is>
          <t>0.0</t>
        </is>
      </c>
      <c r="BM1301" t="inlineStr">
        <is>
          <t>13800.0</t>
        </is>
      </c>
      <c r="BN1301" t="inlineStr">
        <is>
          <t>View Company Page</t>
        </is>
      </c>
      <c r="BO1301" s="4">
        <v>46132.42475694444</v>
      </c>
      <c r="BP1301">
        <v>167736</v>
      </c>
      <c r="BQ1301">
        <v>123174</v>
      </c>
      <c r="BR1301" t="inlineStr">
        <is>
          <t>Proforma</t>
        </is>
      </c>
      <c r="BS1301" t="inlineStr">
        <is>
          <t>Free High Pay Job</t>
        </is>
      </c>
      <c r="BT1301">
        <v>41168</v>
      </c>
      <c r="BU1301"/>
      <c r="BV1301">
        <v>2737365</v>
      </c>
      <c r="BW1301" t="inlineStr">
        <is>
          <t>No Answer : 3 Days No Response</t>
        </is>
      </c>
      <c r="BX1301"/>
      <c r="BY1301"/>
      <c r="BZ1301" s="4"/>
      <c r="CA1301"/>
      <c r="CB1301"/>
      <c r="CC1301" s="4"/>
      <c r="CD1301" t="inlineStr">
        <is>
          <t>20</t>
        </is>
      </c>
      <c r="CE1301" t="inlineStr">
        <is>
          <t>0</t>
        </is>
      </c>
      <c r="CF1301" t="inlineStr">
        <is>
          <t>Q2-W03</t>
        </is>
      </c>
      <c r="CG1301" t="inlineStr">
        <is>
          <t>Q2-W03</t>
        </is>
      </c>
      <c r="CH1301"/>
      <c r="CI1301"/>
      <c r="CJ1301" t="inlineStr">
        <is>
          <t>Paid</t>
        </is>
      </c>
      <c r="CK1301" t="inlineStr">
        <is>
          <t>Eligible</t>
        </is>
      </c>
      <c r="CL1301"/>
      <c r="CM1301"/>
    </row>
    <row r="1302" ht="25.5" customHeight="1">
      <c r="A1302" t="inlineStr">
        <is>
          <t>159025</t>
        </is>
      </c>
      <c r="B1302" s="2"/>
      <c r="C1302"/>
      <c r="D1302" s="3">
        <v>46132.39643518518</v>
      </c>
      <c r="E1302" t="inlineStr">
        <is>
          <t>Q2-W03</t>
        </is>
      </c>
      <c r="F1302" t="inlineStr">
        <is>
          <t>Alex Chan</t>
        </is>
      </c>
      <c r="G1302" t="inlineStr">
        <is>
          <t>Customer</t>
        </is>
      </c>
      <c r="H1302" s="2" t="str">
        <f>=HYPERLINK("https://upbox.ajobthing.my/customer/159025", "https://upbox.ajobthing.my/customer/159025")</f>
        <v>https://upbox.ajobthing.my/customer/159025</v>
      </c>
      <c r="I1302" t="inlineStr">
        <is>
          <t>Cardbiz Payment Services Sdn. Bhd.</t>
        </is>
      </c>
      <c r="J1302" t="inlineStr">
        <is>
          <t>Whale</t>
        </is>
      </c>
      <c r="K1302" t="inlineStr">
        <is>
          <t>Alex Chan</t>
        </is>
      </c>
      <c r="L1302" s="4"/>
      <c r="M1302" s="4">
        <v>46132.39275462963</v>
      </c>
      <c r="N1302"/>
      <c r="O1302">
        <v>16416</v>
      </c>
      <c r="P1302" s="4"/>
      <c r="Q1302" s="4">
        <v>45930.402233796296</v>
      </c>
      <c r="R1302"/>
      <c r="S1302">
        <v>5400</v>
      </c>
      <c r="T1302" s="4">
        <v>45930.402233796296</v>
      </c>
      <c r="U1302" s="4"/>
      <c r="V1302"/>
      <c r="W1302">
        <v>5400</v>
      </c>
      <c r="X1302"/>
      <c r="Y1302" t="inlineStr">
        <is>
          <t>Pending Appointment</t>
        </is>
      </c>
      <c r="Z1302" t="inlineStr">
        <is>
          <t>Hiring Now</t>
        </is>
      </c>
      <c r="AA1302">
        <v>6</v>
      </c>
      <c r="AB1302" t="inlineStr">
        <is>
          <t>No Appointment Made</t>
        </is>
      </c>
      <c r="AC1302"/>
      <c r="AD1302" t="inlineStr">
        <is>
          <t>1x Admin, 5x BD</t>
        </is>
      </c>
      <c r="AE1302"/>
      <c r="AF1302">
        <v>10000</v>
      </c>
      <c r="AG1302" s="4"/>
      <c r="AH1302" s="4"/>
      <c r="AI1302">
        <v>10000</v>
      </c>
      <c r="AJ1302">
        <v>1</v>
      </c>
      <c r="AK1302" t="inlineStr">
        <is>
          <t>No, I don't need at all</t>
        </is>
      </c>
      <c r="AL1302">
        <v>1</v>
      </c>
      <c r="AM1302" t="inlineStr">
        <is>
          <t>No, I don't need at all</t>
        </is>
      </c>
      <c r="AN1302"/>
      <c r="AO1302" t="inlineStr">
        <is>
          <t>No, I don't need at all</t>
        </is>
      </c>
      <c r="AP1302" t="inlineStr">
        <is>
          <t>Every month (100%)</t>
        </is>
      </c>
      <c r="AQ1302">
        <v>1</v>
      </c>
      <c r="AR1302" t="inlineStr">
        <is>
          <t>Jobstreet</t>
        </is>
      </c>
      <c r="AS1302" t="inlineStr">
        <is>
          <t>- Headcount: 6
- Hiring Job Details: 1x Admin, 5x BD
- Hiring Urgency: Hiring Now
- Number of outlets: 1
- Have recruiter team: No, I don't need at all
- Number of recruiter in company: 1
- Have ATS system: No, I don't need at all
- Have career website: No, I don't need at all
- Current hiring budget: RM10,000
- Whole year budget: RM10,000.00
- Whole year number of vacancies: 1
- Hiring frequency: Every month (100%)
- External job portal: Jobstreet</t>
        </is>
      </c>
      <c r="AT1302">
        <v>115</v>
      </c>
      <c r="AU1302" t="inlineStr">
        <is>
          <t>1.15</t>
        </is>
      </c>
      <c r="AV1302" t="inlineStr">
        <is>
          <t>20</t>
        </is>
      </c>
      <c r="AW1302" t="inlineStr">
        <is>
          <t>0</t>
        </is>
      </c>
      <c r="AX1302" t="inlineStr">
        <is>
          <t>Not Qualified</t>
        </is>
      </c>
      <c r="AY1302" s="4"/>
      <c r="AZ1302"/>
      <c r="BA1302"/>
      <c r="BB1302"/>
      <c r="BC1302" t="inlineStr">
        <is>
          <t>- Called - Explained the Package</t>
        </is>
      </c>
      <c r="BD1302" s="4">
        <v>46134.39828703704</v>
      </c>
      <c r="BE1302" t="inlineStr">
        <is>
          <t>paid</t>
        </is>
      </c>
      <c r="BF1302"/>
      <c r="BG1302" t="inlineStr">
        <is>
          <t>Reschedule</t>
        </is>
      </c>
      <c r="BH1302" t="inlineStr">
        <is>
          <t>Reagen</t>
        </is>
      </c>
      <c r="BI1302" t="inlineStr">
        <is>
          <t>IT / Hardware</t>
        </is>
      </c>
      <c r="BJ1302" s="4">
        <v>46144.751064814816</v>
      </c>
      <c r="BK1302" s="4">
        <v>44798.61146990741</v>
      </c>
      <c r="BL1302" t="inlineStr">
        <is>
          <t>11232.0</t>
        </is>
      </c>
      <c r="BM1302" t="inlineStr">
        <is>
          <t>600.0</t>
        </is>
      </c>
      <c r="BN1302" t="inlineStr">
        <is>
          <t>View Company Page</t>
        </is>
      </c>
      <c r="BO1302" s="4">
        <v>46135.74502314815</v>
      </c>
      <c r="BP1302">
        <v>167737</v>
      </c>
      <c r="BQ1302">
        <v>6460</v>
      </c>
      <c r="BR1302" t="inlineStr">
        <is>
          <t>Manual (Paid)</t>
        </is>
      </c>
      <c r="BS1302" t="inlineStr">
        <is>
          <t>Job Slot SME
- Job Slot SME of 2 Job Slot + 1 Free Job Slot
- 3 Job Slot will be published on Maukerja, Ricebowl, and our partner platforms
- 3 Job Slot will be published for 1 year
- 200 People Search
- Premium Company Page for 12 months
- Package valid for 12 months
- 3 Free Upgrade to Premium Job Ad
- Free Company Page Consultation
- Extra 20 Resume Search 
- 8 Internship Job Posting in Total</t>
        </is>
      </c>
      <c r="BT1302">
        <v>6460</v>
      </c>
      <c r="BU1302"/>
      <c r="BV1302">
        <v>2719391</v>
      </c>
      <c r="BW1302" t="inlineStr">
        <is>
          <t>Follow Up : Decision Pending</t>
        </is>
      </c>
      <c r="BX1302">
        <v>6</v>
      </c>
      <c r="BY1302">
        <v>-24</v>
      </c>
      <c r="BZ1302" s="4">
        <v>46108.49940972222</v>
      </c>
      <c r="CA1302">
        <v>490</v>
      </c>
      <c r="CB1302">
        <v>471</v>
      </c>
      <c r="CC1302" s="4">
        <v>46135.69008101852</v>
      </c>
      <c r="CD1302" t="inlineStr">
        <is>
          <t>30</t>
        </is>
      </c>
      <c r="CE1302" t="inlineStr">
        <is>
          <t>0</t>
        </is>
      </c>
      <c r="CF1302" t="inlineStr">
        <is>
          <t>Q2-W03</t>
        </is>
      </c>
      <c r="CG1302"/>
      <c r="CH1302"/>
      <c r="CI1302"/>
      <c r="CJ1302" t="inlineStr">
        <is>
          <t>Paid</t>
        </is>
      </c>
      <c r="CK1302" t="inlineStr">
        <is>
          <t>Eligible</t>
        </is>
      </c>
      <c r="CL1302"/>
      <c r="CM1302"/>
    </row>
    <row r="1303" ht="25.5" customHeight="1">
      <c r="A1303" t="inlineStr">
        <is>
          <t>181256</t>
        </is>
      </c>
      <c r="B1303" s="2"/>
      <c r="C1303"/>
      <c r="D1303" s="3">
        <v>46132.41417824074</v>
      </c>
      <c r="E1303" t="inlineStr">
        <is>
          <t>Q2-W03</t>
        </is>
      </c>
      <c r="F1303" t="inlineStr">
        <is>
          <t>Ratha</t>
        </is>
      </c>
      <c r="G1303" t="inlineStr">
        <is>
          <t>Customer</t>
        </is>
      </c>
      <c r="H1303" s="2" t="str">
        <f>=HYPERLINK("https://upbox.ajobthing.my/customer/181256", "https://upbox.ajobthing.my/customer/181256")</f>
        <v>https://upbox.ajobthing.my/customer/181256</v>
      </c>
      <c r="I1303" t="inlineStr">
        <is>
          <t>Jingguang Plastic Products (M) Sdn Bhd</t>
        </is>
      </c>
      <c r="J1303" t="inlineStr">
        <is>
          <t>Whale</t>
        </is>
      </c>
      <c r="K1303" t="inlineStr">
        <is>
          <t>Ratha</t>
        </is>
      </c>
      <c r="L1303" s="4"/>
      <c r="M1303" s="4">
        <v>46132.414976851855</v>
      </c>
      <c r="N1303"/>
      <c r="O1303">
        <v>3672</v>
      </c>
      <c r="P1303" s="4"/>
      <c r="Q1303" s="4">
        <v>46132.381423611114</v>
      </c>
      <c r="R1303"/>
      <c r="S1303">
        <v>0</v>
      </c>
      <c r="T1303" s="4">
        <v>45635.70648148148</v>
      </c>
      <c r="U1303" s="4"/>
      <c r="V1303"/>
      <c r="W1303">
        <v>2916</v>
      </c>
      <c r="X1303"/>
      <c r="Y1303" t="inlineStr">
        <is>
          <t>Pending Appointment</t>
        </is>
      </c>
      <c r="Z1303" t="inlineStr">
        <is>
          <t>Hiring Now</t>
        </is>
      </c>
      <c r="AA1303">
        <v>1</v>
      </c>
      <c r="AB1303" t="inlineStr">
        <is>
          <t>No Appointment Made</t>
        </is>
      </c>
      <c r="AC1303"/>
      <c r="AD1303" t="inlineStr">
        <is>
          <t>driver : 1
location : Senai</t>
        </is>
      </c>
      <c r="AE1303"/>
      <c r="AF1303"/>
      <c r="AG1303" s="4"/>
      <c r="AH1303" s="4"/>
      <c r="AI1303">
        <v>0</v>
      </c>
      <c r="AJ1303">
        <v>1</v>
      </c>
      <c r="AK1303" t="inlineStr">
        <is>
          <t>Yes, I have</t>
        </is>
      </c>
      <c r="AL1303">
        <v>2</v>
      </c>
      <c r="AM1303" t="inlineStr">
        <is>
          <t>No, I don't need at all</t>
        </is>
      </c>
      <c r="AN1303"/>
      <c r="AO1303" t="inlineStr">
        <is>
          <t>No, I don't need at all</t>
        </is>
      </c>
      <c r="AP1303" t="inlineStr">
        <is>
          <t>Once per quarter (75%)</t>
        </is>
      </c>
      <c r="AQ1303">
        <v>0</v>
      </c>
      <c r="AR1303" t="inlineStr">
        <is>
          <t>Did not use any job portal</t>
        </is>
      </c>
      <c r="AS1303" t="inlineStr">
        <is>
          <t>- Headcount: 1
- Hiring Job Details: 1 driver (location: Senai)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is>
      </c>
      <c r="AT1303">
        <v>95</v>
      </c>
      <c r="AU1303" t="inlineStr">
        <is>
          <t>0.95</t>
        </is>
      </c>
      <c r="AV1303" t="inlineStr">
        <is>
          <t>5</t>
        </is>
      </c>
      <c r="AW1303" t="inlineStr">
        <is>
          <t>0</t>
        </is>
      </c>
      <c r="AX1303" t="inlineStr">
        <is>
          <t>Not Qualified</t>
        </is>
      </c>
      <c r="AY1303" s="4"/>
      <c r="AZ1303"/>
      <c r="BA1303"/>
      <c r="BB1303"/>
      <c r="BC1303" t="inlineStr">
        <is>
          <t>no status as the hiring for new project and still no status - follow up again</t>
        </is>
      </c>
      <c r="BD1303" s="4">
        <v>46142.448599537034</v>
      </c>
      <c r="BE1303" t="inlineStr">
        <is>
          <t>paid</t>
        </is>
      </c>
      <c r="BF1303"/>
      <c r="BG1303" t="inlineStr">
        <is>
          <t>Reschedule</t>
        </is>
      </c>
      <c r="BH1303" t="inlineStr">
        <is>
          <t>Fauziah Maharan</t>
        </is>
      </c>
      <c r="BI1303" t="inlineStr">
        <is>
          <t>Manufacturing / Production</t>
        </is>
      </c>
      <c r="BJ1303" s="4">
        <v>46144.751863425925</v>
      </c>
      <c r="BK1303" s="4">
        <v>45509.56831018518</v>
      </c>
      <c r="BL1303" t="inlineStr">
        <is>
          <t>0.0</t>
        </is>
      </c>
      <c r="BM1303" t="inlineStr">
        <is>
          <t>1800.0</t>
        </is>
      </c>
      <c r="BN1303" t="inlineStr">
        <is>
          <t>View Company Page</t>
        </is>
      </c>
      <c r="BO1303" s="4">
        <v>46132.382152777776</v>
      </c>
      <c r="BP1303">
        <v>167749</v>
      </c>
      <c r="BQ1303">
        <v>123180</v>
      </c>
      <c r="BR1303" t="inlineStr">
        <is>
          <t>Proforma</t>
        </is>
      </c>
      <c r="BS1303" t="inlineStr">
        <is>
          <t>Free High Pay Job</t>
        </is>
      </c>
      <c r="BT1303">
        <v>75262</v>
      </c>
      <c r="BU1303"/>
      <c r="BV1303">
        <v>2736853</v>
      </c>
      <c r="BW1303" t="inlineStr">
        <is>
          <t>Follow Up : Decision Pending</t>
        </is>
      </c>
      <c r="BX1303"/>
      <c r="BY1303"/>
      <c r="BZ1303" s="4"/>
      <c r="CA1303"/>
      <c r="CB1303"/>
      <c r="CC1303" s="4"/>
      <c r="CD1303" t="inlineStr">
        <is>
          <t>5</t>
        </is>
      </c>
      <c r="CE1303" t="inlineStr">
        <is>
          <t>0</t>
        </is>
      </c>
      <c r="CF1303" t="inlineStr">
        <is>
          <t>Q2-W03</t>
        </is>
      </c>
      <c r="CG1303" t="inlineStr">
        <is>
          <t>Q2-W03</t>
        </is>
      </c>
      <c r="CH1303"/>
      <c r="CI1303"/>
      <c r="CJ1303" t="inlineStr">
        <is>
          <t>Paid</t>
        </is>
      </c>
      <c r="CK1303" t="inlineStr">
        <is>
          <t>Eligible</t>
        </is>
      </c>
      <c r="CL1303"/>
      <c r="CM1303"/>
    </row>
    <row r="1304" ht="25.5" customHeight="1">
      <c r="A1304" t="inlineStr">
        <is>
          <t>154102</t>
        </is>
      </c>
      <c r="B1304" s="2"/>
      <c r="C1304"/>
      <c r="D1304" s="3">
        <v>46132.41700231482</v>
      </c>
      <c r="E1304" t="inlineStr">
        <is>
          <t>Q2-W03</t>
        </is>
      </c>
      <c r="F1304" t="inlineStr">
        <is>
          <t>Chia Yee</t>
        </is>
      </c>
      <c r="G1304" t="inlineStr">
        <is>
          <t>Customer</t>
        </is>
      </c>
      <c r="H1304" s="2" t="str">
        <f>=HYPERLINK("https://upbox.ajobthing.my/customer/154102", "https://upbox.ajobthing.my/customer/154102")</f>
        <v>https://upbox.ajobthing.my/customer/154102</v>
      </c>
      <c r="I1304" t="inlineStr">
        <is>
          <t>Zeq Holdings Sdn Bhd</t>
        </is>
      </c>
      <c r="J1304" t="inlineStr">
        <is>
          <t>Whale</t>
        </is>
      </c>
      <c r="K1304" t="inlineStr">
        <is>
          <t>Chia Yee</t>
        </is>
      </c>
      <c r="L1304" s="4"/>
      <c r="M1304" s="4">
        <v>46132.41748842593</v>
      </c>
      <c r="N1304"/>
      <c r="O1304">
        <v>3888</v>
      </c>
      <c r="P1304" s="4"/>
      <c r="Q1304" s="4">
        <v>46139.60965277778</v>
      </c>
      <c r="R1304"/>
      <c r="S1304">
        <v>1296</v>
      </c>
      <c r="T1304" s="4">
        <v>46139.60965277778</v>
      </c>
      <c r="U1304" s="4"/>
      <c r="V1304"/>
      <c r="W1304">
        <v>1296</v>
      </c>
      <c r="X1304"/>
      <c r="Y1304" t="inlineStr">
        <is>
          <t>Pending Appointment</t>
        </is>
      </c>
      <c r="Z1304" t="inlineStr">
        <is>
          <t>Hiring Now</t>
        </is>
      </c>
      <c r="AA1304">
        <v>1</v>
      </c>
      <c r="AB1304" t="inlineStr">
        <is>
          <t>No Appointment Made</t>
        </is>
      </c>
      <c r="AC1304"/>
      <c r="AD1304" t="inlineStr">
        <is>
          <t>1 Admin Assistant</t>
        </is>
      </c>
      <c r="AE1304"/>
      <c r="AF1304">
        <v>0</v>
      </c>
      <c r="AG1304" s="4"/>
      <c r="AH1304" s="4"/>
      <c r="AI1304">
        <v>0</v>
      </c>
      <c r="AJ1304">
        <v>1</v>
      </c>
      <c r="AK1304" t="inlineStr">
        <is>
          <t>No, I don't need at all</t>
        </is>
      </c>
      <c r="AL1304">
        <v>1</v>
      </c>
      <c r="AM1304" t="inlineStr">
        <is>
          <t>No, I don't need at all</t>
        </is>
      </c>
      <c r="AN1304"/>
      <c r="AO1304" t="inlineStr">
        <is>
          <t>Yes, I have</t>
        </is>
      </c>
      <c r="AP1304" t="inlineStr">
        <is>
          <t>Once a year (25%)</t>
        </is>
      </c>
      <c r="AQ1304">
        <v>1</v>
      </c>
      <c r="AR1304" t="inlineStr">
        <is>
          <t>Did not use any job portal</t>
        </is>
      </c>
      <c r="AS1304" t="inlineStr">
        <is>
          <t>- Headcount: 1
- Hiring Job Details: 1 Admin Assistant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
- Hiring frequency: Once a year (25%)
- External job portal: Did not use any job portal</t>
        </is>
      </c>
      <c r="AT1304">
        <v>115</v>
      </c>
      <c r="AU1304" t="inlineStr">
        <is>
          <t>1.15</t>
        </is>
      </c>
      <c r="AV1304" t="inlineStr">
        <is>
          <t>15</t>
        </is>
      </c>
      <c r="AW1304" t="inlineStr">
        <is>
          <t>0</t>
        </is>
      </c>
      <c r="AX1304" t="inlineStr">
        <is>
          <t>Not Qualified</t>
        </is>
      </c>
      <c r="AY1304" s="4"/>
      <c r="AZ1304"/>
      <c r="BA1304"/>
      <c r="BB1304"/>
      <c r="BC1304" t="inlineStr">
        <is>
          <t>WA</t>
        </is>
      </c>
      <c r="BD1304" s="4">
        <v>46140.472858796296</v>
      </c>
      <c r="BE1304" t="inlineStr">
        <is>
          <t>paid</t>
        </is>
      </c>
      <c r="BF1304" t="inlineStr">
        <is>
          <t>Q2-W04</t>
        </is>
      </c>
      <c r="BG1304" t="inlineStr">
        <is>
          <t>Reschedule</t>
        </is>
      </c>
      <c r="BH1304" t="inlineStr">
        <is>
          <t>Reagen</t>
        </is>
      </c>
      <c r="BI1304" t="inlineStr">
        <is>
          <t>Construction / Building</t>
        </is>
      </c>
      <c r="BJ1304" s="4">
        <v>46144.7509375</v>
      </c>
      <c r="BK1304" s="4">
        <v>44698.42824074074</v>
      </c>
      <c r="BL1304" t="inlineStr">
        <is>
          <t>2484.0</t>
        </is>
      </c>
      <c r="BM1304" t="inlineStr">
        <is>
          <t>0.0</t>
        </is>
      </c>
      <c r="BN1304" t="inlineStr">
        <is>
          <t>View Company Page</t>
        </is>
      </c>
      <c r="BO1304" s="4">
        <v>46144.654699074075</v>
      </c>
      <c r="BP1304">
        <v>167752</v>
      </c>
      <c r="BQ1304">
        <v>94807</v>
      </c>
      <c r="BR1304" t="inlineStr">
        <is>
          <t>Online</t>
        </is>
      </c>
      <c r="BS1304"/>
      <c r="BT1304">
        <v>94807</v>
      </c>
      <c r="BU1304"/>
      <c r="BV1304">
        <v>2732094</v>
      </c>
      <c r="BW1304" t="inlineStr">
        <is>
          <t>No Answer : Voicemail - WA sent to customer</t>
        </is>
      </c>
      <c r="BX1304">
        <v>1</v>
      </c>
      <c r="BY1304">
        <v>0</v>
      </c>
      <c r="BZ1304" s="4">
        <v>46141.88449074074</v>
      </c>
      <c r="CA1304">
        <v>10</v>
      </c>
      <c r="CB1304">
        <v>10</v>
      </c>
      <c r="CC1304" s="4"/>
      <c r="CD1304" t="inlineStr">
        <is>
          <t>20</t>
        </is>
      </c>
      <c r="CE1304" t="inlineStr">
        <is>
          <t>0</t>
        </is>
      </c>
      <c r="CF1304" t="inlineStr">
        <is>
          <t>Q2-W03</t>
        </is>
      </c>
      <c r="CG1304" t="inlineStr">
        <is>
          <t>Q2-W04</t>
        </is>
      </c>
      <c r="CH1304" t="inlineStr">
        <is>
          <t>Q2-W04</t>
        </is>
      </c>
      <c r="CI1304"/>
      <c r="CJ1304" t="inlineStr">
        <is>
          <t>Paid</t>
        </is>
      </c>
      <c r="CK1304" t="inlineStr">
        <is>
          <t>Eligible</t>
        </is>
      </c>
      <c r="CL1304"/>
      <c r="CM1304"/>
    </row>
    <row r="1305" ht="25.5" customHeight="1">
      <c r="A1305" t="inlineStr">
        <is>
          <t>203407</t>
        </is>
      </c>
      <c r="B1305" s="2"/>
      <c r="C1305"/>
      <c r="D1305" s="3">
        <v>46132.437060185184</v>
      </c>
      <c r="E1305" t="inlineStr">
        <is>
          <t>Q2-W03</t>
        </is>
      </c>
      <c r="F1305" t="inlineStr">
        <is>
          <t>Keegan</t>
        </is>
      </c>
      <c r="G1305" t="inlineStr">
        <is>
          <t>Customer</t>
        </is>
      </c>
      <c r="H1305" s="2" t="str">
        <f>=HYPERLINK("https://upbox.ajobthing.my/customer/203407", "https://upbox.ajobthing.my/customer/203407")</f>
        <v>https://upbox.ajobthing.my/customer/203407</v>
      </c>
      <c r="I1305" t="inlineStr">
        <is>
          <t>Zelcos Laboratory Sdn Bhd</t>
        </is>
      </c>
      <c r="J1305" t="inlineStr">
        <is>
          <t>Whale</t>
        </is>
      </c>
      <c r="K1305" t="inlineStr">
        <is>
          <t>Keegan</t>
        </is>
      </c>
      <c r="L1305" s="4"/>
      <c r="M1305" s="4">
        <v>46132.43751157408</v>
      </c>
      <c r="N1305"/>
      <c r="O1305">
        <v>11448</v>
      </c>
      <c r="P1305" s="4"/>
      <c r="Q1305" s="4"/>
      <c r="R1305"/>
      <c r="S1305"/>
      <c r="T1305" s="4"/>
      <c r="U1305" s="4"/>
      <c r="V1305"/>
      <c r="W1305"/>
      <c r="X1305"/>
      <c r="Y1305" t="inlineStr">
        <is>
          <t>Pending Appointment</t>
        </is>
      </c>
      <c r="Z1305" t="inlineStr">
        <is>
          <t>Hiring Now</t>
        </is>
      </c>
      <c r="AA1305">
        <v>5</v>
      </c>
      <c r="AB1305" t="inlineStr">
        <is>
          <t>No Appointment Made</t>
        </is>
      </c>
      <c r="AC1305"/>
      <c r="AD1305" t="inlineStr">
        <is>
          <t xml:space="preserve">1. Engineer
2. Sales Executive 
3. Driver 
4. Marketing 
5. Sales Operations </t>
        </is>
      </c>
      <c r="AE1305"/>
      <c r="AF1305"/>
      <c r="AG1305" s="4"/>
      <c r="AH1305" s="4"/>
      <c r="AI1305"/>
      <c r="AJ1305">
        <v>2</v>
      </c>
      <c r="AK1305" t="inlineStr">
        <is>
          <t>No, I don't need at all</t>
        </is>
      </c>
      <c r="AL1305">
        <v>0</v>
      </c>
      <c r="AM1305" t="inlineStr">
        <is>
          <t>No, I don't need at all</t>
        </is>
      </c>
      <c r="AN1305"/>
      <c r="AO1305" t="inlineStr">
        <is>
          <t>No, I don't need at all</t>
        </is>
      </c>
      <c r="AP1305" t="inlineStr">
        <is>
          <t>Once per quarter (75%)</t>
        </is>
      </c>
      <c r="AQ1305"/>
      <c r="AR1305" t="inlineStr">
        <is>
          <t>Did not use any job portal</t>
        </is>
      </c>
      <c r="AS1305" t="inlineStr">
        <is>
          <t>- Headcount: 5
- Hiring Job Details: 1. Engineer\n2. Sales Executive \n3. Driver \n4. Marketing \n5. Sales Operations
- Hiring Urgency: Hiring Now
- Number of outlets: 2
- Have recruiter team: No, I don't need at all
- Number of recruiter in company: 0
- Have ATS system: No, I don't need at all
- Have career website: No, I don't need at all
- Current hiring budget: RM (not specified)
- Whole year budget: RM (not specified)
- Whole year number of vacancies: (not specified)
- Hiring frequency: Once per quarter (75%)
- External job portal: Did not use any job portal</t>
        </is>
      </c>
      <c r="AT1305">
        <v>65</v>
      </c>
      <c r="AU1305" t="inlineStr">
        <is>
          <t>0.65</t>
        </is>
      </c>
      <c r="AV1305" t="inlineStr">
        <is>
          <t>10</t>
        </is>
      </c>
      <c r="AW1305" t="inlineStr">
        <is>
          <t>0</t>
        </is>
      </c>
      <c r="AX1305" t="inlineStr">
        <is>
          <t>Not Qualified</t>
        </is>
      </c>
      <c r="AY1305" s="4"/>
      <c r="AZ1305"/>
      <c r="BA1305"/>
      <c r="BB1305"/>
      <c r="BC1305" t="inlineStr">
        <is>
          <t>f/up on decision</t>
        </is>
      </c>
      <c r="BD1305" s="4">
        <v>46140.45585648148</v>
      </c>
      <c r="BE1305"/>
      <c r="BF1305"/>
      <c r="BG1305" t="inlineStr">
        <is>
          <t>Reschedule</t>
        </is>
      </c>
      <c r="BH1305" t="inlineStr">
        <is>
          <t>Edward Hoo</t>
        </is>
      </c>
      <c r="BI1305" t="inlineStr">
        <is>
          <t>Manufacturing / Production</t>
        </is>
      </c>
      <c r="BJ1305" s="4">
        <v>46144.75430555556</v>
      </c>
      <c r="BK1305" s="4">
        <v>46132.042280092595</v>
      </c>
      <c r="BL1305" t="inlineStr">
        <is>
          <t>0.0</t>
        </is>
      </c>
      <c r="BM1305" t="inlineStr">
        <is>
          <t>1200.0</t>
        </is>
      </c>
      <c r="BN1305" t="inlineStr">
        <is>
          <t>View Company Page</t>
        </is>
      </c>
      <c r="BO1305" s="4">
        <v>46132.043287037035</v>
      </c>
      <c r="BP1305">
        <v>167772</v>
      </c>
      <c r="BQ1305"/>
      <c r="BR1305"/>
      <c r="BS1305"/>
      <c r="BT1305"/>
      <c r="BU1305"/>
      <c r="BV1305">
        <v>2731971</v>
      </c>
      <c r="BW1305" t="inlineStr">
        <is>
          <t>Follow Up : Decision Pending</t>
        </is>
      </c>
      <c r="BX1305"/>
      <c r="BY1305"/>
      <c r="BZ1305" s="4"/>
      <c r="CA1305"/>
      <c r="CB1305"/>
      <c r="CC1305" s="4"/>
      <c r="CD1305" t="inlineStr">
        <is>
          <t>15</t>
        </is>
      </c>
      <c r="CE1305" t="inlineStr">
        <is>
          <t>0</t>
        </is>
      </c>
      <c r="CF1305" t="inlineStr">
        <is>
          <t>Q2-W03</t>
        </is>
      </c>
      <c r="CG1305"/>
      <c r="CH1305"/>
      <c r="CI1305"/>
      <c r="CJ1305" t="inlineStr">
        <is>
          <t>No Paid</t>
        </is>
      </c>
      <c r="CK1305" t="inlineStr">
        <is>
          <t>Eligible</t>
        </is>
      </c>
      <c r="CL1305"/>
      <c r="CM1305"/>
    </row>
    <row r="1306" ht="25.5" customHeight="1">
      <c r="A1306" t="inlineStr">
        <is>
          <t>153212</t>
        </is>
      </c>
      <c r="B1306" s="2"/>
      <c r="C1306"/>
      <c r="D1306" s="3">
        <v>46132.48059027778</v>
      </c>
      <c r="E1306" t="inlineStr">
        <is>
          <t>Q2-W03</t>
        </is>
      </c>
      <c r="F1306" t="inlineStr">
        <is>
          <t>Jia Hui</t>
        </is>
      </c>
      <c r="G1306" t="inlineStr">
        <is>
          <t>Customer</t>
        </is>
      </c>
      <c r="H1306" s="2" t="str">
        <f>=HYPERLINK("https://upbox.ajobthing.my/customer/153212", "https://upbox.ajobthing.my/customer/153212")</f>
        <v>https://upbox.ajobthing.my/customer/153212</v>
      </c>
      <c r="I1306" t="inlineStr">
        <is>
          <t>Verdant Solar Sdn Bhd</t>
        </is>
      </c>
      <c r="J1306" t="inlineStr">
        <is>
          <t>Whale</t>
        </is>
      </c>
      <c r="K1306" t="inlineStr">
        <is>
          <t>Jia Hui</t>
        </is>
      </c>
      <c r="L1306" s="4"/>
      <c r="M1306" s="4">
        <v>46134.45552083333</v>
      </c>
      <c r="N1306"/>
      <c r="O1306">
        <v>1296</v>
      </c>
      <c r="P1306" s="4"/>
      <c r="Q1306" s="4">
        <v>46142.61346064815</v>
      </c>
      <c r="R1306"/>
      <c r="S1306">
        <v>1296</v>
      </c>
      <c r="T1306" s="4">
        <v>46142.61346064815</v>
      </c>
      <c r="U1306" s="4"/>
      <c r="V1306"/>
      <c r="W1306">
        <v>1296</v>
      </c>
      <c r="X1306"/>
      <c r="Y1306" t="inlineStr">
        <is>
          <t>Pending Appointment</t>
        </is>
      </c>
      <c r="Z1306" t="inlineStr">
        <is>
          <t>Hiring Now</t>
        </is>
      </c>
      <c r="AA1306">
        <v>3</v>
      </c>
      <c r="AB1306" t="inlineStr">
        <is>
          <t>No Appointment Made</t>
        </is>
      </c>
      <c r="AC1306"/>
      <c r="AD1306" t="inlineStr">
        <is>
          <t>3 salesman</t>
        </is>
      </c>
      <c r="AE1306"/>
      <c r="AF1306">
        <v>500</v>
      </c>
      <c r="AG1306" s="4"/>
      <c r="AH1306" s="4"/>
      <c r="AI1306"/>
      <c r="AJ1306"/>
      <c r="AK1306" t="inlineStr">
        <is>
          <t>Yes, I have</t>
        </is>
      </c>
      <c r="AL1306"/>
      <c r="AM1306"/>
      <c r="AN1306"/>
      <c r="AO1306"/>
      <c r="AP1306" t="inlineStr">
        <is>
          <t>Twice a year (50%)</t>
        </is>
      </c>
      <c r="AQ1306"/>
      <c r="AR1306"/>
      <c r="AS1306" t="inlineStr">
        <is>
          <t>- Headcount: 3
- Hiring Job Details: 3 salesman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Twice a year (50%)
- External job portal: Not specified
- Hiring Urgency: Hiring Now</t>
        </is>
      </c>
      <c r="AT1306">
        <v>95</v>
      </c>
      <c r="AU1306" t="inlineStr">
        <is>
          <t>0.95</t>
        </is>
      </c>
      <c r="AV1306" t="inlineStr">
        <is>
          <t>15</t>
        </is>
      </c>
      <c r="AW1306" t="inlineStr">
        <is>
          <t>0</t>
        </is>
      </c>
      <c r="AX1306" t="inlineStr">
        <is>
          <t>Not Qualified</t>
        </is>
      </c>
      <c r="AY1306" s="4"/>
      <c r="AZ1306"/>
      <c r="BA1306"/>
      <c r="BB1306"/>
      <c r="BC1306" t="inlineStr">
        <is>
          <t>customer paid</t>
        </is>
      </c>
      <c r="BD1306" s="4">
        <v>46142.608564814815</v>
      </c>
      <c r="BE1306" t="inlineStr">
        <is>
          <t>paid</t>
        </is>
      </c>
      <c r="BF1306" t="inlineStr">
        <is>
          <t>Q2-W04</t>
        </is>
      </c>
      <c r="BG1306" t="inlineStr">
        <is>
          <t>Reschedule</t>
        </is>
      </c>
      <c r="BH1306" t="inlineStr">
        <is>
          <t>Reagen</t>
        </is>
      </c>
      <c r="BI1306"/>
      <c r="BJ1306" s="4">
        <v>46144.7509375</v>
      </c>
      <c r="BK1306" s="4">
        <v>44679.4909375</v>
      </c>
      <c r="BL1306" t="inlineStr">
        <is>
          <t>1296.0</t>
        </is>
      </c>
      <c r="BM1306" t="inlineStr">
        <is>
          <t>19350.0</t>
        </is>
      </c>
      <c r="BN1306" t="inlineStr">
        <is>
          <t>View Jobmanager Page</t>
        </is>
      </c>
      <c r="BO1306" s="4">
        <v>45427.54646990741</v>
      </c>
      <c r="BP1306">
        <v>168227</v>
      </c>
      <c r="BQ1306">
        <v>95202</v>
      </c>
      <c r="BR1306" t="inlineStr">
        <is>
          <t>Online</t>
        </is>
      </c>
      <c r="BS1306"/>
      <c r="BT1306">
        <v>95202</v>
      </c>
      <c r="BU1306"/>
      <c r="BV1306">
        <v>2737739</v>
      </c>
      <c r="BW1306" t="inlineStr">
        <is>
          <t>Follow Up : Win - Customer Paid</t>
        </is>
      </c>
      <c r="BX1306">
        <v>1</v>
      </c>
      <c r="BY1306">
        <v>1</v>
      </c>
      <c r="BZ1306" s="4"/>
      <c r="CA1306"/>
      <c r="CB1306"/>
      <c r="CC1306" s="4"/>
      <c r="CD1306" t="inlineStr">
        <is>
          <t>20</t>
        </is>
      </c>
      <c r="CE1306" t="inlineStr">
        <is>
          <t>0</t>
        </is>
      </c>
      <c r="CF1306" t="inlineStr">
        <is>
          <t>Q2-W03</t>
        </is>
      </c>
      <c r="CG1306" t="inlineStr">
        <is>
          <t>Q2-W04</t>
        </is>
      </c>
      <c r="CH1306" t="inlineStr">
        <is>
          <t>Q2-W04</t>
        </is>
      </c>
      <c r="CI1306"/>
      <c r="CJ1306" t="inlineStr">
        <is>
          <t>Paid</t>
        </is>
      </c>
      <c r="CK1306" t="inlineStr">
        <is>
          <t>Eligible</t>
        </is>
      </c>
      <c r="CL1306"/>
      <c r="CM1306"/>
    </row>
    <row r="1307" ht="25.5" customHeight="1">
      <c r="A1307" t="inlineStr">
        <is>
          <t>4305038</t>
        </is>
      </c>
      <c r="B1307" s="2"/>
      <c r="C1307"/>
      <c r="D1307" s="3">
        <v>46132.58681712963</v>
      </c>
      <c r="E1307" t="inlineStr">
        <is>
          <t>Q2-W03</t>
        </is>
      </c>
      <c r="F1307" t="inlineStr">
        <is>
          <t>Ratha</t>
        </is>
      </c>
      <c r="G1307" t="inlineStr">
        <is>
          <t>Lead</t>
        </is>
      </c>
      <c r="H1307" s="2" t="str">
        <f>=HYPERLINK("https://upbox.ajobthing.my/leads/4305038", "https://upbox.ajobthing.my/leads/4305038")</f>
        <v>https://upbox.ajobthing.my/leads/4305038</v>
      </c>
      <c r="I1307" t="inlineStr">
        <is>
          <t>EXACT CONSULTING SND BHD</t>
        </is>
      </c>
      <c r="J1307" t="inlineStr">
        <is>
          <t>Whale</t>
        </is>
      </c>
      <c r="K1307" t="inlineStr">
        <is>
          <t>Ratha</t>
        </is>
      </c>
      <c r="L1307" s="4"/>
      <c r="M1307" s="4">
        <v>46132.58835648148</v>
      </c>
      <c r="N1307"/>
      <c r="O1307">
        <v>5832</v>
      </c>
      <c r="P1307" s="4"/>
      <c r="Q1307" s="4"/>
      <c r="R1307"/>
      <c r="S1307"/>
      <c r="T1307" s="4"/>
      <c r="U1307" s="4"/>
      <c r="V1307"/>
      <c r="W1307"/>
      <c r="X1307"/>
      <c r="Y1307" t="inlineStr">
        <is>
          <t>Pending Appointment</t>
        </is>
      </c>
      <c r="Z1307" t="inlineStr">
        <is>
          <t>Hiring Now</t>
        </is>
      </c>
      <c r="AA1307">
        <v>2</v>
      </c>
      <c r="AB1307" t="inlineStr">
        <is>
          <t>No Appointment Made</t>
        </is>
      </c>
      <c r="AC1307"/>
      <c r="AD1307" t="inlineStr">
        <is>
          <t>haw : account :
Location : Klang</t>
        </is>
      </c>
      <c r="AE1307"/>
      <c r="AF1307"/>
      <c r="AG1307" s="4"/>
      <c r="AH1307" s="4"/>
      <c r="AI1307">
        <v>0</v>
      </c>
      <c r="AJ1307">
        <v>1</v>
      </c>
      <c r="AK1307" t="inlineStr">
        <is>
          <t>Yes, I have</t>
        </is>
      </c>
      <c r="AL1307">
        <v>2</v>
      </c>
      <c r="AM1307" t="inlineStr">
        <is>
          <t>No, I don't need at all</t>
        </is>
      </c>
      <c r="AN1307"/>
      <c r="AO1307" t="inlineStr">
        <is>
          <t>No, I don't need at all</t>
        </is>
      </c>
      <c r="AP1307" t="inlineStr">
        <is>
          <t>Once per quarter (75%)</t>
        </is>
      </c>
      <c r="AQ1307">
        <v>0</v>
      </c>
      <c r="AR1307" t="inlineStr">
        <is>
          <t>Jobstreet</t>
        </is>
      </c>
      <c r="AS1307" t="inlineStr">
        <is>
          <t>- Headcount: 2
- Hiring Job Details: haw : account; Location : Klang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t>
        </is>
      </c>
      <c r="AT1307">
        <v>95</v>
      </c>
      <c r="AU1307" t="inlineStr">
        <is>
          <t>0.95</t>
        </is>
      </c>
      <c r="AV1307" t="inlineStr">
        <is>
          <t>5</t>
        </is>
      </c>
      <c r="AW1307" t="inlineStr">
        <is>
          <t>0</t>
        </is>
      </c>
      <c r="AX1307" t="inlineStr">
        <is>
          <t>Not Qualified</t>
        </is>
      </c>
      <c r="AY1307" s="4"/>
      <c r="AZ1307"/>
      <c r="BA1307"/>
      <c r="BB1307"/>
      <c r="BC1307"/>
      <c r="BD1307" s="4"/>
      <c r="BE1307"/>
      <c r="BF1307"/>
      <c r="BG1307" t="inlineStr">
        <is>
          <t>Reschedule</t>
        </is>
      </c>
      <c r="BH1307" t="inlineStr">
        <is>
          <t>Fauziah Maharan</t>
        </is>
      </c>
      <c r="BI1307"/>
      <c r="BJ1307" s="4">
        <v>46144.75587962963</v>
      </c>
      <c r="BK1307" s="4">
        <v>46132.53600694444</v>
      </c>
      <c r="BL1307" t="inlineStr">
        <is>
          <t>0.0</t>
        </is>
      </c>
      <c r="BM1307" t="inlineStr">
        <is>
          <t>0.0</t>
        </is>
      </c>
      <c r="BN1307"/>
      <c r="BO1307" s="4"/>
      <c r="BP1307">
        <v>167832</v>
      </c>
      <c r="BQ1307"/>
      <c r="BR1307"/>
      <c r="BS1307"/>
      <c r="BT1307"/>
      <c r="BU1307"/>
      <c r="BV1307"/>
      <c r="BW1307"/>
      <c r="BX1307"/>
      <c r="BY1307"/>
      <c r="BZ1307" s="4"/>
      <c r="CA1307"/>
      <c r="CB1307"/>
      <c r="CC1307" s="4"/>
      <c r="CD1307" t="inlineStr">
        <is>
          <t>5</t>
        </is>
      </c>
      <c r="CE1307" t="inlineStr">
        <is>
          <t>0</t>
        </is>
      </c>
      <c r="CF1307" t="inlineStr">
        <is>
          <t>Q2-W03</t>
        </is>
      </c>
      <c r="CG1307"/>
      <c r="CH1307"/>
      <c r="CI1307"/>
      <c r="CJ1307" t="inlineStr">
        <is>
          <t>No Paid</t>
        </is>
      </c>
      <c r="CK1307" t="inlineStr">
        <is>
          <t>Eligible</t>
        </is>
      </c>
      <c r="CL1307"/>
      <c r="CM1307"/>
    </row>
    <row r="1308" ht="25.5" customHeight="1">
      <c r="A1308" t="inlineStr">
        <is>
          <t>58283</t>
        </is>
      </c>
      <c r="B1308" s="2"/>
      <c r="C1308"/>
      <c r="D1308" s="3">
        <v>46132.608819444446</v>
      </c>
      <c r="E1308" t="inlineStr">
        <is>
          <t>Q2-W03</t>
        </is>
      </c>
      <c r="F1308" t="inlineStr">
        <is>
          <t>Ratha</t>
        </is>
      </c>
      <c r="G1308" t="inlineStr">
        <is>
          <t>Customer</t>
        </is>
      </c>
      <c r="H1308" s="2" t="str">
        <f>=HYPERLINK("https://upbox.ajobthing.my/customer/58283", "https://upbox.ajobthing.my/customer/58283")</f>
        <v>https://upbox.ajobthing.my/customer/58283</v>
      </c>
      <c r="I1308" t="inlineStr">
        <is>
          <t>Song Song Frozen Food</t>
        </is>
      </c>
      <c r="J1308" t="inlineStr">
        <is>
          <t>Whale</t>
        </is>
      </c>
      <c r="K1308" t="inlineStr">
        <is>
          <t>Ratha</t>
        </is>
      </c>
      <c r="L1308" s="4"/>
      <c r="M1308" s="4">
        <v>46126.57680555555</v>
      </c>
      <c r="N1308"/>
      <c r="O1308">
        <v>8208</v>
      </c>
      <c r="P1308" s="4"/>
      <c r="Q1308" s="4">
        <v>46133.457719907405</v>
      </c>
      <c r="R1308"/>
      <c r="S1308">
        <v>3888</v>
      </c>
      <c r="T1308" s="4">
        <v>46133.457719907405</v>
      </c>
      <c r="U1308" s="4"/>
      <c r="V1308"/>
      <c r="W1308">
        <v>3888</v>
      </c>
      <c r="X1308"/>
      <c r="Y1308" t="inlineStr">
        <is>
          <t>Pending Appointment</t>
        </is>
      </c>
      <c r="Z1308" t="inlineStr">
        <is>
          <t>Continuous Hiring</t>
        </is>
      </c>
      <c r="AA1308">
        <v>3</v>
      </c>
      <c r="AB1308" t="inlineStr">
        <is>
          <t>No Appointment Made</t>
        </is>
      </c>
      <c r="AC1308"/>
      <c r="AD1308" t="inlineStr">
        <is>
          <t>Sales / Admin/ Retal, Location: Penang, Headcounts: Frequent</t>
        </is>
      </c>
      <c r="AE1308"/>
      <c r="AF1308"/>
      <c r="AG1308" s="4"/>
      <c r="AH1308" s="4"/>
      <c r="AI1308">
        <v>0</v>
      </c>
      <c r="AJ1308">
        <v>2</v>
      </c>
      <c r="AK1308" t="inlineStr">
        <is>
          <t>Yes, I have</t>
        </is>
      </c>
      <c r="AL1308">
        <v>2</v>
      </c>
      <c r="AM1308" t="inlineStr">
        <is>
          <t>No, I don't need at all</t>
        </is>
      </c>
      <c r="AN1308"/>
      <c r="AO1308" t="inlineStr">
        <is>
          <t>No, I don't need at all</t>
        </is>
      </c>
      <c r="AP1308" t="inlineStr">
        <is>
          <t>Every month (100%)</t>
        </is>
      </c>
      <c r="AQ1308">
        <v>0</v>
      </c>
      <c r="AR1308" t="inlineStr">
        <is>
          <t>Jobstreet, Free Job Portal</t>
        </is>
      </c>
      <c r="AS1308" t="inlineStr">
        <is>
          <t>- Headcount: 3
- Hiring Job Details: Sales / Admin/ Retal, Location: Penang, Headcounts: Frequent
- Hiring Urgency: Continuous Hiring
- Number of outlets: 2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Jobstreet,Free Job Portal</t>
        </is>
      </c>
      <c r="AT1308">
        <v>70</v>
      </c>
      <c r="AU1308" t="inlineStr">
        <is>
          <t>0.70</t>
        </is>
      </c>
      <c r="AV1308" t="inlineStr">
        <is>
          <t>5</t>
        </is>
      </c>
      <c r="AW1308" t="inlineStr">
        <is>
          <t>0</t>
        </is>
      </c>
      <c r="AX1308" t="inlineStr">
        <is>
          <t>Not Qualified</t>
        </is>
      </c>
      <c r="AY1308" s="4"/>
      <c r="AZ1308"/>
      <c r="BA1308"/>
      <c r="BB1308"/>
      <c r="BC1308" t="inlineStr">
        <is>
          <t>paid</t>
        </is>
      </c>
      <c r="BD1308" s="4">
        <v>46133.478483796294</v>
      </c>
      <c r="BE1308" t="inlineStr">
        <is>
          <t>paid</t>
        </is>
      </c>
      <c r="BF1308" t="inlineStr">
        <is>
          <t>Q2-W03</t>
        </is>
      </c>
      <c r="BG1308" t="inlineStr">
        <is>
          <t>Reschedule</t>
        </is>
      </c>
      <c r="BH1308" t="inlineStr">
        <is>
          <t>Fauziah Maharan</t>
        </is>
      </c>
      <c r="BI1308" t="inlineStr">
        <is>
          <t>Manufacturing / Production</t>
        </is>
      </c>
      <c r="BJ1308" s="4">
        <v>46144.75609953704</v>
      </c>
      <c r="BK1308" s="4">
        <v>43370.39041666667</v>
      </c>
      <c r="BL1308" t="inlineStr">
        <is>
          <t>3888.0</t>
        </is>
      </c>
      <c r="BM1308" t="inlineStr">
        <is>
          <t>21000.0</t>
        </is>
      </c>
      <c r="BN1308" t="inlineStr">
        <is>
          <t>View Company Page</t>
        </is>
      </c>
      <c r="BO1308" s="4">
        <v>46140.62516203704</v>
      </c>
      <c r="BP1308">
        <v>166941</v>
      </c>
      <c r="BQ1308">
        <v>94514</v>
      </c>
      <c r="BR1308" t="inlineStr">
        <is>
          <t>Online</t>
        </is>
      </c>
      <c r="BS1308"/>
      <c r="BT1308">
        <v>94514</v>
      </c>
      <c r="BU1308"/>
      <c r="BV1308">
        <v>2717434</v>
      </c>
      <c r="BW1308" t="inlineStr">
        <is>
          <t>Follow Up : Win - Customer Paid</t>
        </is>
      </c>
      <c r="BX1308">
        <v>6</v>
      </c>
      <c r="BY1308">
        <v>4</v>
      </c>
      <c r="BZ1308" s="4">
        <v>46134.67711805556</v>
      </c>
      <c r="CA1308">
        <v>60</v>
      </c>
      <c r="CB1308">
        <v>59</v>
      </c>
      <c r="CC1308" s="4">
        <v>46136.462430555555</v>
      </c>
      <c r="CD1308" t="inlineStr">
        <is>
          <t>5</t>
        </is>
      </c>
      <c r="CE1308" t="inlineStr">
        <is>
          <t>0</t>
        </is>
      </c>
      <c r="CF1308" t="inlineStr">
        <is>
          <t>Q2-W02</t>
        </is>
      </c>
      <c r="CG1308" t="inlineStr">
        <is>
          <t>Q2-W03</t>
        </is>
      </c>
      <c r="CH1308" t="inlineStr">
        <is>
          <t>Q2-W03</t>
        </is>
      </c>
      <c r="CI1308"/>
      <c r="CJ1308" t="inlineStr">
        <is>
          <t>Paid</t>
        </is>
      </c>
      <c r="CK1308" t="inlineStr">
        <is>
          <t>Eligible</t>
        </is>
      </c>
      <c r="CL1308"/>
      <c r="CM1308"/>
    </row>
    <row r="1309" ht="25.5" customHeight="1">
      <c r="A1309" t="inlineStr">
        <is>
          <t>194933</t>
        </is>
      </c>
      <c r="B1309" s="2"/>
      <c r="C1309"/>
      <c r="D1309" s="3">
        <v>46132.63075231481</v>
      </c>
      <c r="E1309" t="inlineStr">
        <is>
          <t>Q2-W03</t>
        </is>
      </c>
      <c r="F1309" t="inlineStr">
        <is>
          <t>Clover</t>
        </is>
      </c>
      <c r="G1309" t="inlineStr">
        <is>
          <t>Customer</t>
        </is>
      </c>
      <c r="H1309" s="2" t="str">
        <f>=HYPERLINK("https://upbox.ajobthing.my/customer/194933", "https://upbox.ajobthing.my/customer/194933")</f>
        <v>https://upbox.ajobthing.my/customer/194933</v>
      </c>
      <c r="I1309" t="inlineStr">
        <is>
          <t>Blue Electronic (M) Sdn Bhd</t>
        </is>
      </c>
      <c r="J1309" t="inlineStr">
        <is>
          <t>Whale</t>
        </is>
      </c>
      <c r="K1309" t="inlineStr">
        <is>
          <t>Clover</t>
        </is>
      </c>
      <c r="L1309" s="4"/>
      <c r="M1309" s="4">
        <v>46132.62962962963</v>
      </c>
      <c r="N1309"/>
      <c r="O1309">
        <v>3888</v>
      </c>
      <c r="P1309" s="4"/>
      <c r="Q1309" s="4">
        <v>46140.700949074075</v>
      </c>
      <c r="R1309"/>
      <c r="S1309">
        <v>3672</v>
      </c>
      <c r="T1309" s="4">
        <v>46140.700949074075</v>
      </c>
      <c r="U1309" s="4"/>
      <c r="V1309"/>
      <c r="W1309">
        <v>3672</v>
      </c>
      <c r="X1309"/>
      <c r="Y1309" t="inlineStr">
        <is>
          <t>Pending Appointment</t>
        </is>
      </c>
      <c r="Z1309" t="inlineStr">
        <is>
          <t>Hiring Now</t>
        </is>
      </c>
      <c r="AA1309">
        <v>3</v>
      </c>
      <c r="AB1309" t="inlineStr">
        <is>
          <t>No Appointment Made</t>
        </is>
      </c>
      <c r="AC1309"/>
      <c r="AD1309" t="inlineStr">
        <is>
          <t>Want to hire customer service x2-3,  malay, e commerce south city seri kembangan, new PIC Mr Zech 0162506033 ,manage hiring only,  interview screening will pass to staff, suggest stand</t>
        </is>
      </c>
      <c r="AE1309"/>
      <c r="AF1309">
        <v>3000</v>
      </c>
      <c r="AG1309" s="4"/>
      <c r="AH1309" s="4"/>
      <c r="AI1309">
        <v>3000</v>
      </c>
      <c r="AJ1309">
        <v>1</v>
      </c>
      <c r="AK1309" t="inlineStr">
        <is>
          <t>No, but I want in future</t>
        </is>
      </c>
      <c r="AL1309">
        <v>1</v>
      </c>
      <c r="AM1309" t="inlineStr">
        <is>
          <t>No, but I want in future</t>
        </is>
      </c>
      <c r="AN1309"/>
      <c r="AO1309" t="inlineStr">
        <is>
          <t>No, but I want in future</t>
        </is>
      </c>
      <c r="AP1309" t="inlineStr">
        <is>
          <t>Once per quarter (75%)</t>
        </is>
      </c>
      <c r="AQ1309">
        <v>3</v>
      </c>
      <c r="AR1309" t="inlineStr">
        <is>
          <t>Did not use any job portal</t>
        </is>
      </c>
      <c r="AS1309" t="inlineStr">
        <is>
          <t>- Headcount: 3
- Hiring Job Details: Hire 2-3 Malay e-commerce customer service (South City Seri Kembangan); new PIC Mr Zech (0162506033, hiring-only); interview screening to staff;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Once per quarter (75%)
- External job portal: Did not use any</t>
        </is>
      </c>
      <c r="AT1309">
        <v>110</v>
      </c>
      <c r="AU1309" t="inlineStr">
        <is>
          <t>1.10</t>
        </is>
      </c>
      <c r="AV1309" t="inlineStr">
        <is>
          <t>15</t>
        </is>
      </c>
      <c r="AW1309" t="inlineStr">
        <is>
          <t>0</t>
        </is>
      </c>
      <c r="AX1309" t="inlineStr">
        <is>
          <t>Not Qualified</t>
        </is>
      </c>
      <c r="AY1309" s="4"/>
      <c r="AZ1309"/>
      <c r="BA1309"/>
      <c r="BB1309"/>
      <c r="BC1309" t="inlineStr">
        <is>
          <t>ask prefer transfer or credit card</t>
        </is>
      </c>
      <c r="BD1309" s="4">
        <v>46140.624131944445</v>
      </c>
      <c r="BE1309" t="inlineStr">
        <is>
          <t>paid</t>
        </is>
      </c>
      <c r="BF1309" t="inlineStr">
        <is>
          <t>Q2-W04</t>
        </is>
      </c>
      <c r="BG1309" t="inlineStr">
        <is>
          <t>Reschedule</t>
        </is>
      </c>
      <c r="BH1309" t="inlineStr">
        <is>
          <t>Reagen</t>
        </is>
      </c>
      <c r="BI1309" t="inlineStr">
        <is>
          <t>Retail / Merchandise</t>
        </is>
      </c>
      <c r="BJ1309" s="4">
        <v>46144.75271990741</v>
      </c>
      <c r="BK1309" s="4">
        <v>45883.4140625</v>
      </c>
      <c r="BL1309" t="inlineStr">
        <is>
          <t>6264.0</t>
        </is>
      </c>
      <c r="BM1309" t="inlineStr">
        <is>
          <t>0.0</t>
        </is>
      </c>
      <c r="BN1309" t="inlineStr">
        <is>
          <t>View Company Page</t>
        </is>
      </c>
      <c r="BO1309" s="4">
        <v>46144.72042824074</v>
      </c>
      <c r="BP1309">
        <v>167856</v>
      </c>
      <c r="BQ1309">
        <v>94988</v>
      </c>
      <c r="BR1309" t="inlineStr">
        <is>
          <t>Online</t>
        </is>
      </c>
      <c r="BS1309"/>
      <c r="BT1309">
        <v>94988</v>
      </c>
      <c r="BU1309"/>
      <c r="BV1309">
        <v>2732908</v>
      </c>
      <c r="BW1309" t="inlineStr">
        <is>
          <t>Follow Up : Payment Pending</t>
        </is>
      </c>
      <c r="BX1309">
        <v>6</v>
      </c>
      <c r="BY1309">
        <v>6</v>
      </c>
      <c r="BZ1309" s="4"/>
      <c r="CA1309">
        <v>60</v>
      </c>
      <c r="CB1309">
        <v>60</v>
      </c>
      <c r="CC1309" s="4"/>
      <c r="CD1309" t="inlineStr">
        <is>
          <t>20</t>
        </is>
      </c>
      <c r="CE1309" t="inlineStr">
        <is>
          <t>0</t>
        </is>
      </c>
      <c r="CF1309" t="inlineStr">
        <is>
          <t>Q2-W03</t>
        </is>
      </c>
      <c r="CG1309" t="inlineStr">
        <is>
          <t>Q2-W04</t>
        </is>
      </c>
      <c r="CH1309" t="inlineStr">
        <is>
          <t>Q2-W04</t>
        </is>
      </c>
      <c r="CI1309"/>
      <c r="CJ1309" t="inlineStr">
        <is>
          <t>Paid</t>
        </is>
      </c>
      <c r="CK1309" t="inlineStr">
        <is>
          <t>Eligible</t>
        </is>
      </c>
      <c r="CL1309"/>
      <c r="CM1309"/>
    </row>
    <row r="1310" ht="25.5" customHeight="1">
      <c r="A1310" t="inlineStr">
        <is>
          <t>46983</t>
        </is>
      </c>
      <c r="B1310" s="2"/>
      <c r="C1310"/>
      <c r="D1310" s="3">
        <v>46132.647627314815</v>
      </c>
      <c r="E1310" t="inlineStr">
        <is>
          <t>Q2-W03</t>
        </is>
      </c>
      <c r="F1310" t="inlineStr">
        <is>
          <t>andy@ajobthing.com</t>
        </is>
      </c>
      <c r="G1310" t="inlineStr">
        <is>
          <t>Customer</t>
        </is>
      </c>
      <c r="H1310" s="2" t="str">
        <f>=HYPERLINK("https://upbox.ajobthing.my/customer/46983", "https://upbox.ajobthing.my/customer/46983")</f>
        <v>https://upbox.ajobthing.my/customer/46983</v>
      </c>
      <c r="I1310" t="inlineStr">
        <is>
          <t>Appasia Berhad</t>
        </is>
      </c>
      <c r="J1310" t="inlineStr">
        <is>
          <t>Whale</t>
        </is>
      </c>
      <c r="K1310" t="inlineStr">
        <is>
          <t>Andy</t>
        </is>
      </c>
      <c r="L1310" s="4"/>
      <c r="M1310" s="4">
        <v>46132.668391203704</v>
      </c>
      <c r="N1310"/>
      <c r="O1310">
        <v>12960</v>
      </c>
      <c r="P1310" s="4"/>
      <c r="Q1310" s="4">
        <v>46132.358506944445</v>
      </c>
      <c r="R1310"/>
      <c r="S1310">
        <v>0</v>
      </c>
      <c r="T1310" s="4">
        <v>45386.00001157408</v>
      </c>
      <c r="U1310" s="4"/>
      <c r="V1310"/>
      <c r="W1310">
        <v>2916</v>
      </c>
      <c r="X1310" t="inlineStr">
        <is>
          <t>andy@ajobthing.com</t>
        </is>
      </c>
      <c r="Y1310" t="inlineStr">
        <is>
          <t>Done Appointment</t>
        </is>
      </c>
      <c r="Z1310" t="inlineStr">
        <is>
          <t>Continuous Hiring</t>
        </is>
      </c>
      <c r="AA1310">
        <v>2</v>
      </c>
      <c r="AB1310" t="inlineStr">
        <is>
          <t>Appointment Made</t>
        </is>
      </c>
      <c r="AC1310" t="inlineStr">
        <is>
          <t>SME (&lt;50 employees)</t>
        </is>
      </c>
      <c r="AD1310" t="inlineStr">
        <is>
          <t xml:space="preserve">Java developer, DB Adminstrator </t>
        </is>
      </c>
      <c r="AE1310" t="inlineStr">
        <is>
          <t>HR Manager / Talent Manager</t>
        </is>
      </c>
      <c r="AF1310">
        <v>10000</v>
      </c>
      <c r="AG1310" s="4">
        <v>46132.625</v>
      </c>
      <c r="AH1310" s="4">
        <v>46132.645833333336</v>
      </c>
      <c r="AI1310">
        <v>10000</v>
      </c>
      <c r="AJ1310">
        <v>1</v>
      </c>
      <c r="AK1310" t="inlineStr">
        <is>
          <t>Yes, I have</t>
        </is>
      </c>
      <c r="AL1310">
        <v>1</v>
      </c>
      <c r="AM1310" t="inlineStr">
        <is>
          <t>No, I don't need at all</t>
        </is>
      </c>
      <c r="AN1310"/>
      <c r="AO1310" t="inlineStr">
        <is>
          <t>Yes, I have</t>
        </is>
      </c>
      <c r="AP1310" t="inlineStr">
        <is>
          <t>Once per quarter (75%)</t>
        </is>
      </c>
      <c r="AQ1310">
        <v>20</v>
      </c>
      <c r="AR1310" t="inlineStr">
        <is>
          <t>Jobstreet</t>
        </is>
      </c>
      <c r="AS1310" t="inlineStr">
        <is>
          <t>- Headcount: 2
- Hiring Job Details: Java developer, DB Administrator
- Hiring Urgency: Continuous Hiring
- Number of outlets: 1
- Have recruiter team: Yes
- Number of recruiter in company: 1
- Have ATS system: No, I don't need at all
- Have career website: Yes
- Current hiring budget: RM10,000
- Whole year budget: RM10,000.00
- Whole year number of vacancies: 20
- Hiring frequency: Once per quarter (75%)
- External job portal: Jobstreet</t>
        </is>
      </c>
      <c r="AT1310">
        <v>105</v>
      </c>
      <c r="AU1310" t="inlineStr">
        <is>
          <t>1.05</t>
        </is>
      </c>
      <c r="AV1310" t="inlineStr">
        <is>
          <t>30</t>
        </is>
      </c>
      <c r="AW1310" t="inlineStr">
        <is>
          <t>0</t>
        </is>
      </c>
      <c r="AX1310" t="inlineStr">
        <is>
          <t>Not Qualified</t>
        </is>
      </c>
      <c r="AY1310" s="4">
        <v>46132.65707175926</v>
      </c>
      <c r="AZ1310" t="inlineStr">
        <is>
          <t>Base Assistant</t>
        </is>
      </c>
      <c r="BA1310"/>
      <c r="BB1310"/>
      <c r="BC1310" t="inlineStr">
        <is>
          <t>- Headcount: 2
- Hiring Job Details: Java developer, DB Administrator
- Hiring Urgency: Continuous Hiring
- Number of outlets: 1
- Have recruiter team: Yes
- Number of recruiter in company: 1
- Have ATS system: No, I don't need at all
- Have career website: Yes
- Current hiring budget: RM10,000
- Whole year budget: RM10,000.00
- Whole year number of vacancies: 20
- Hiring frequency: Once per quarter (75%)
- External job portal: Jobstreet</t>
        </is>
      </c>
      <c r="BD1310" s="4">
        <v>46132.66670138889</v>
      </c>
      <c r="BE1310" t="inlineStr">
        <is>
          <t>paid</t>
        </is>
      </c>
      <c r="BF1310"/>
      <c r="BG1310" t="inlineStr">
        <is>
          <t>Reschedule</t>
        </is>
      </c>
      <c r="BH1310"/>
      <c r="BI1310" t="inlineStr">
        <is>
          <t>IT / Software</t>
        </is>
      </c>
      <c r="BJ1310" s="4">
        <v>46144.756006944444</v>
      </c>
      <c r="BK1310" s="4">
        <v>43175.48886574074</v>
      </c>
      <c r="BL1310" t="inlineStr">
        <is>
          <t>0.0</t>
        </is>
      </c>
      <c r="BM1310" t="inlineStr">
        <is>
          <t>3600.0</t>
        </is>
      </c>
      <c r="BN1310" t="inlineStr">
        <is>
          <t>View Company Page</t>
        </is>
      </c>
      <c r="BO1310" s="4">
        <v>46141.45417824074</v>
      </c>
      <c r="BP1310">
        <v>167879</v>
      </c>
      <c r="BQ1310">
        <v>123325</v>
      </c>
      <c r="BR1310" t="inlineStr">
        <is>
          <t>Proforma</t>
        </is>
      </c>
      <c r="BS1310" t="inlineStr">
        <is>
          <t>Job Ad 365 - SME 100 Free Trial</t>
        </is>
      </c>
      <c r="BT1310">
        <v>67486</v>
      </c>
      <c r="BU1310"/>
      <c r="BV1310">
        <v>2716181</v>
      </c>
      <c r="BW1310" t="inlineStr">
        <is>
          <t>Customer Inquiry</t>
        </is>
      </c>
      <c r="BX1310">
        <v>300</v>
      </c>
      <c r="BY1310">
        <v>299</v>
      </c>
      <c r="BZ1310" s="4">
        <v>46133.41222222222</v>
      </c>
      <c r="CA1310"/>
      <c r="CB1310"/>
      <c r="CC1310" s="4"/>
      <c r="CD1310" t="inlineStr">
        <is>
          <t>40</t>
        </is>
      </c>
      <c r="CE1310" t="inlineStr">
        <is>
          <t>0.5</t>
        </is>
      </c>
      <c r="CF1310" t="inlineStr">
        <is>
          <t>Q2-W03</t>
        </is>
      </c>
      <c r="CG1310" t="inlineStr">
        <is>
          <t>Q2-W03</t>
        </is>
      </c>
      <c r="CH1310"/>
      <c r="CI1310" t="inlineStr">
        <is>
          <t>Q2-W03</t>
        </is>
      </c>
      <c r="CJ1310" t="inlineStr">
        <is>
          <t>Paid</t>
        </is>
      </c>
      <c r="CK1310" t="inlineStr">
        <is>
          <t>Eligible</t>
        </is>
      </c>
      <c r="CL1310"/>
      <c r="CM1310" t="inlineStr">
        <is>
          <t>Q2-W03</t>
        </is>
      </c>
    </row>
    <row r="1311" ht="25.5" customHeight="1">
      <c r="A1311" t="inlineStr">
        <is>
          <t>49217</t>
        </is>
      </c>
      <c r="B1311" s="2"/>
      <c r="C1311"/>
      <c r="D1311" s="3">
        <v>46132.70180555555</v>
      </c>
      <c r="E1311" t="inlineStr">
        <is>
          <t>Q2-W03</t>
        </is>
      </c>
      <c r="F1311" t="inlineStr">
        <is>
          <t>andy@ajobthing.com</t>
        </is>
      </c>
      <c r="G1311" t="inlineStr">
        <is>
          <t>Customer</t>
        </is>
      </c>
      <c r="H1311" s="2" t="str">
        <f>=HYPERLINK("https://upbox.ajobthing.my/customer/49217", "https://upbox.ajobthing.my/customer/49217")</f>
        <v>https://upbox.ajobthing.my/customer/49217</v>
      </c>
      <c r="I1311" t="inlineStr">
        <is>
          <t>Daikin Malaysia Sales &amp; Service Sdn Bhd</t>
        </is>
      </c>
      <c r="J1311" t="inlineStr">
        <is>
          <t>Whale</t>
        </is>
      </c>
      <c r="K1311" t="inlineStr">
        <is>
          <t>Andy</t>
        </is>
      </c>
      <c r="L1311" s="4"/>
      <c r="M1311" s="4">
        <v>46132.70520833333</v>
      </c>
      <c r="N1311"/>
      <c r="O1311">
        <v>12960</v>
      </c>
      <c r="P1311" s="4"/>
      <c r="Q1311" s="4">
        <v>46132.358506944445</v>
      </c>
      <c r="R1311"/>
      <c r="S1311">
        <v>0</v>
      </c>
      <c r="T1311" s="4">
        <v>43279.74476851852</v>
      </c>
      <c r="U1311" s="4"/>
      <c r="V1311"/>
      <c r="W1311">
        <v>4000</v>
      </c>
      <c r="X1311" t="inlineStr">
        <is>
          <t>andy@ajobthing.com</t>
        </is>
      </c>
      <c r="Y1311" t="inlineStr">
        <is>
          <t>Done Appointment</t>
        </is>
      </c>
      <c r="Z1311" t="inlineStr">
        <is>
          <t>Continuous Hiring</t>
        </is>
      </c>
      <c r="AA1311">
        <v>4</v>
      </c>
      <c r="AB1311" t="inlineStr">
        <is>
          <t>Appointment Made</t>
        </is>
      </c>
      <c r="AC1311" t="inlineStr">
        <is>
          <t>Enterprise (&gt;300 employees)</t>
        </is>
      </c>
      <c r="AD1311" t="inlineStr">
        <is>
          <t>Marketing Executive , Sales Engineer , Sales Executive , IT Executive</t>
        </is>
      </c>
      <c r="AE1311" t="inlineStr">
        <is>
          <t>HR Manager / Talent Manager</t>
        </is>
      </c>
      <c r="AF1311">
        <v>50000</v>
      </c>
      <c r="AG1311" s="4">
        <v>46132.6875</v>
      </c>
      <c r="AH1311" s="4">
        <v>46132.708333333336</v>
      </c>
      <c r="AI1311">
        <v>50000</v>
      </c>
      <c r="AJ1311">
        <v>10</v>
      </c>
      <c r="AK1311" t="inlineStr">
        <is>
          <t>Yes, I have</t>
        </is>
      </c>
      <c r="AL1311">
        <v>2</v>
      </c>
      <c r="AM1311" t="inlineStr">
        <is>
          <t>No, I don't need at all</t>
        </is>
      </c>
      <c r="AN1311"/>
      <c r="AO1311" t="inlineStr">
        <is>
          <t>Yes, I have</t>
        </is>
      </c>
      <c r="AP1311" t="inlineStr">
        <is>
          <t>Every month (100%)</t>
        </is>
      </c>
      <c r="AQ1311">
        <v>30</v>
      </c>
      <c r="AR1311" t="inlineStr">
        <is>
          <t>Jobstreet, Linkedin (Paid)</t>
        </is>
      </c>
      <c r="AS1311" t="inlineStr">
        <is>
          <t>- Headcount: 4
- Hiring Job Details: Marketing Executive, Sales Engineer, Sales Executive, IT Executive
- Hiring Urgency: Continuous Hiring
- Number of outlets: 10
- Have recruiter team: Yes
- Number of recruiter in company: 2
- Have ATS system: No, I don't need at all
- Have career website: Yes
- Current hiring budget: RM50,000
- Whole year budget: RM50,000.00
- Whole year number of vacancies: 30
- Hiring frequency: Every month (100%)
- External job portal: Jobstreet, Linkedin (Paid)</t>
        </is>
      </c>
      <c r="AT1311">
        <v>100</v>
      </c>
      <c r="AU1311" t="inlineStr">
        <is>
          <t>1.00</t>
        </is>
      </c>
      <c r="AV1311" t="inlineStr">
        <is>
          <t>65</t>
        </is>
      </c>
      <c r="AW1311" t="inlineStr">
        <is>
          <t>0.8</t>
        </is>
      </c>
      <c r="AX1311" t="inlineStr">
        <is>
          <t>Not Qualified</t>
        </is>
      </c>
      <c r="AY1311" s="4">
        <v>46132.72200231482</v>
      </c>
      <c r="AZ1311" t="inlineStr">
        <is>
          <t>Base Assistant</t>
        </is>
      </c>
      <c r="BA1311"/>
      <c r="BB1311"/>
      <c r="BC1311" t="inlineStr">
        <is>
          <t>- Headcount: 4
- Hiring Job Details: Marketing Executive, Sales Engineer, Sales Executive, IT Executive
- Hiring Urgency: Continuous Hiring
- Number of outlets: 10
- Have recruiter team: Yes
- Number of recruiter in company: 2
- Have ATS system: No, I don't need at all
- Have career website: Yes
- Current hiring budget: RM50,000
- Whole year budget: RM50,000.00
- Whole year number of vacancies: 30
- Hiring frequency: Every month (100%)
- External job portal: Jobstreet, Linkedin (Paid)</t>
        </is>
      </c>
      <c r="BD1311" s="4">
        <v>46132.70851851852</v>
      </c>
      <c r="BE1311" t="inlineStr">
        <is>
          <t>paid</t>
        </is>
      </c>
      <c r="BF1311"/>
      <c r="BG1311" t="inlineStr">
        <is>
          <t>Reschedule</t>
        </is>
      </c>
      <c r="BH1311"/>
      <c r="BI1311" t="inlineStr">
        <is>
          <t>Retail / Merchandise</t>
        </is>
      </c>
      <c r="BJ1311" s="4">
        <v>46144.75604166667</v>
      </c>
      <c r="BK1311" s="4">
        <v>43258.680243055554</v>
      </c>
      <c r="BL1311" t="inlineStr">
        <is>
          <t>0.0</t>
        </is>
      </c>
      <c r="BM1311" t="inlineStr">
        <is>
          <t>14400.0</t>
        </is>
      </c>
      <c r="BN1311" t="inlineStr">
        <is>
          <t>View Company Page</t>
        </is>
      </c>
      <c r="BO1311" s="4">
        <v>46136.46644675926</v>
      </c>
      <c r="BP1311">
        <v>167902</v>
      </c>
      <c r="BQ1311">
        <v>123327</v>
      </c>
      <c r="BR1311" t="inlineStr">
        <is>
          <t>Proforma</t>
        </is>
      </c>
      <c r="BS1311" t="inlineStr">
        <is>
          <t>Job Ad 365 - SME 100 Free Trial</t>
        </is>
      </c>
      <c r="BT1311">
        <v>12664</v>
      </c>
      <c r="BU1311"/>
      <c r="BV1311">
        <v>2716478</v>
      </c>
      <c r="BW1311" t="inlineStr">
        <is>
          <t>Customer Inquiry</t>
        </is>
      </c>
      <c r="BX1311">
        <v>300</v>
      </c>
      <c r="BY1311">
        <v>277</v>
      </c>
      <c r="BZ1311" s="4">
        <v>46136.39834490741</v>
      </c>
      <c r="CA1311">
        <v>13</v>
      </c>
      <c r="CB1311">
        <v>13</v>
      </c>
      <c r="CC1311" s="4"/>
      <c r="CD1311" t="inlineStr">
        <is>
          <t>90</t>
        </is>
      </c>
      <c r="CE1311" t="inlineStr">
        <is>
          <t>1.2</t>
        </is>
      </c>
      <c r="CF1311" t="inlineStr">
        <is>
          <t>Q2-W03</t>
        </is>
      </c>
      <c r="CG1311" t="inlineStr">
        <is>
          <t>Q2-W03</t>
        </is>
      </c>
      <c r="CH1311"/>
      <c r="CI1311" t="inlineStr">
        <is>
          <t>Q2-W03</t>
        </is>
      </c>
      <c r="CJ1311" t="inlineStr">
        <is>
          <t>Paid</t>
        </is>
      </c>
      <c r="CK1311" t="inlineStr">
        <is>
          <t>Eligible</t>
        </is>
      </c>
      <c r="CL1311"/>
      <c r="CM1311" t="inlineStr">
        <is>
          <t>Q2-W03</t>
        </is>
      </c>
    </row>
    <row r="1312" ht="25.5" customHeight="1">
      <c r="A1312" t="inlineStr">
        <is>
          <t>40787</t>
        </is>
      </c>
      <c r="B1312" s="2"/>
      <c r="C1312"/>
      <c r="D1312" s="3">
        <v>46132.70199074074</v>
      </c>
      <c r="E1312" t="inlineStr">
        <is>
          <t>Q2-W03</t>
        </is>
      </c>
      <c r="F1312" t="inlineStr">
        <is>
          <t>Keegan</t>
        </is>
      </c>
      <c r="G1312" t="inlineStr">
        <is>
          <t>Customer</t>
        </is>
      </c>
      <c r="H1312" s="2" t="str">
        <f>=HYPERLINK("https://upbox.ajobthing.my/customer/40787", "https://upbox.ajobthing.my/customer/40787")</f>
        <v>https://upbox.ajobthing.my/customer/40787</v>
      </c>
      <c r="I1312" t="inlineStr">
        <is>
          <t>Weng Seng Engineering Corporation Sdn Bhd</t>
        </is>
      </c>
      <c r="J1312" t="inlineStr">
        <is>
          <t>Whale</t>
        </is>
      </c>
      <c r="K1312" t="inlineStr">
        <is>
          <t>Keegan</t>
        </is>
      </c>
      <c r="L1312" s="4"/>
      <c r="M1312" s="4">
        <v>46132.70260416667</v>
      </c>
      <c r="N1312"/>
      <c r="O1312">
        <v>3888</v>
      </c>
      <c r="P1312" s="4"/>
      <c r="Q1312" s="4">
        <v>45799.51532407408</v>
      </c>
      <c r="R1312"/>
      <c r="S1312">
        <v>648</v>
      </c>
      <c r="T1312" s="4">
        <v>45799.51532407408</v>
      </c>
      <c r="U1312" s="4"/>
      <c r="V1312"/>
      <c r="W1312">
        <v>648</v>
      </c>
      <c r="X1312"/>
      <c r="Y1312" t="inlineStr">
        <is>
          <t>Pending Appointment</t>
        </is>
      </c>
      <c r="Z1312" t="inlineStr">
        <is>
          <t>Hiring Now</t>
        </is>
      </c>
      <c r="AA1312">
        <v>1</v>
      </c>
      <c r="AB1312" t="inlineStr">
        <is>
          <t>No Appointment Made</t>
        </is>
      </c>
      <c r="AC1312"/>
      <c r="AD1312" t="inlineStr">
        <is>
          <t>1. CNC Turning</t>
        </is>
      </c>
      <c r="AE1312"/>
      <c r="AF1312"/>
      <c r="AG1312" s="4"/>
      <c r="AH1312" s="4"/>
      <c r="AI1312"/>
      <c r="AJ1312">
        <v>1</v>
      </c>
      <c r="AK1312" t="inlineStr">
        <is>
          <t>No, I don't need at all</t>
        </is>
      </c>
      <c r="AL1312">
        <v>0</v>
      </c>
      <c r="AM1312" t="inlineStr">
        <is>
          <t>No, I don't need at all</t>
        </is>
      </c>
      <c r="AN1312"/>
      <c r="AO1312" t="inlineStr">
        <is>
          <t>No, I don't need at all</t>
        </is>
      </c>
      <c r="AP1312" t="inlineStr">
        <is>
          <t>Once per quarter (75%)</t>
        </is>
      </c>
      <c r="AQ1312"/>
      <c r="AR1312" t="inlineStr">
        <is>
          <t>Did not use any job portal</t>
        </is>
      </c>
      <c r="AS1312" t="inlineStr">
        <is>
          <t>- Headcount: 1
- Hiring Job Details: 1 CNC Turning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312">
        <v>95</v>
      </c>
      <c r="AU1312" t="inlineStr">
        <is>
          <t>0.95</t>
        </is>
      </c>
      <c r="AV1312" t="inlineStr">
        <is>
          <t>5</t>
        </is>
      </c>
      <c r="AW1312" t="inlineStr">
        <is>
          <t>0</t>
        </is>
      </c>
      <c r="AX1312" t="inlineStr">
        <is>
          <t>Not Qualified</t>
        </is>
      </c>
      <c r="AY1312" s="4"/>
      <c r="AZ1312"/>
      <c r="BA1312"/>
      <c r="BB1312"/>
      <c r="BC1312" t="inlineStr">
        <is>
          <t>Pending decision</t>
        </is>
      </c>
      <c r="BD1312" s="4">
        <v>46142.738020833334</v>
      </c>
      <c r="BE1312" t="inlineStr">
        <is>
          <t>paid</t>
        </is>
      </c>
      <c r="BF1312"/>
      <c r="BG1312" t="inlineStr">
        <is>
          <t>Reschedule</t>
        </is>
      </c>
      <c r="BH1312" t="inlineStr">
        <is>
          <t>Edward Hoo</t>
        </is>
      </c>
      <c r="BI1312" t="inlineStr">
        <is>
          <t>Engineering / Technical Consulting</t>
        </is>
      </c>
      <c r="BJ1312" s="4">
        <v>46144.755324074074</v>
      </c>
      <c r="BK1312" s="4">
        <v>42963.41811342593</v>
      </c>
      <c r="BL1312" t="inlineStr">
        <is>
          <t>648.0</t>
        </is>
      </c>
      <c r="BM1312" t="inlineStr">
        <is>
          <t>4800.0</t>
        </is>
      </c>
      <c r="BN1312" t="inlineStr">
        <is>
          <t>View Candidate Search Page</t>
        </is>
      </c>
      <c r="BO1312" s="4">
        <v>46132.69934027778</v>
      </c>
      <c r="BP1312">
        <v>167897</v>
      </c>
      <c r="BQ1312">
        <v>79483</v>
      </c>
      <c r="BR1312" t="inlineStr">
        <is>
          <t>Online</t>
        </is>
      </c>
      <c r="BS1312"/>
      <c r="BT1312">
        <v>79483</v>
      </c>
      <c r="BU1312"/>
      <c r="BV1312">
        <v>2738449</v>
      </c>
      <c r="BW1312" t="inlineStr">
        <is>
          <t>Follow Up : Decision Pending</t>
        </is>
      </c>
      <c r="BX1312"/>
      <c r="BY1312"/>
      <c r="BZ1312" s="4"/>
      <c r="CA1312"/>
      <c r="CB1312"/>
      <c r="CC1312" s="4"/>
      <c r="CD1312" t="inlineStr">
        <is>
          <t>5</t>
        </is>
      </c>
      <c r="CE1312" t="inlineStr">
        <is>
          <t>0</t>
        </is>
      </c>
      <c r="CF1312" t="inlineStr">
        <is>
          <t>Q2-W03</t>
        </is>
      </c>
      <c r="CG1312"/>
      <c r="CH1312"/>
      <c r="CI1312"/>
      <c r="CJ1312" t="inlineStr">
        <is>
          <t>Paid</t>
        </is>
      </c>
      <c r="CK1312" t="inlineStr">
        <is>
          <t>Eligible</t>
        </is>
      </c>
      <c r="CL1312"/>
      <c r="CM1312"/>
    </row>
    <row r="1313" ht="25.5" customHeight="1">
      <c r="A1313" t="inlineStr">
        <is>
          <t>24486</t>
        </is>
      </c>
      <c r="B1313" s="2"/>
      <c r="C1313"/>
      <c r="D1313" s="3">
        <v>46132.702048611114</v>
      </c>
      <c r="E1313" t="inlineStr">
        <is>
          <t>Q2-W03</t>
        </is>
      </c>
      <c r="F1313" t="inlineStr">
        <is>
          <t>Ratha</t>
        </is>
      </c>
      <c r="G1313" t="inlineStr">
        <is>
          <t>Customer</t>
        </is>
      </c>
      <c r="H1313" s="2" t="str">
        <f>=HYPERLINK("https://upbox.ajobthing.my/customer/24486", "https://upbox.ajobthing.my/customer/24486")</f>
        <v>https://upbox.ajobthing.my/customer/24486</v>
      </c>
      <c r="I1313" t="inlineStr">
        <is>
          <t>SBS Digital Media Sdn Bhd</t>
        </is>
      </c>
      <c r="J1313" t="inlineStr">
        <is>
          <t>Whale</t>
        </is>
      </c>
      <c r="K1313" t="inlineStr">
        <is>
          <t>Ratha</t>
        </is>
      </c>
      <c r="L1313" s="4"/>
      <c r="M1313" s="4">
        <v>46132.70481481482</v>
      </c>
      <c r="N1313"/>
      <c r="O1313">
        <v>5832</v>
      </c>
      <c r="P1313" s="4"/>
      <c r="Q1313" s="4">
        <v>46141.4246875</v>
      </c>
      <c r="R1313"/>
      <c r="S1313">
        <v>3672</v>
      </c>
      <c r="T1313" s="4">
        <v>45841.94472222222</v>
      </c>
      <c r="U1313" s="4"/>
      <c r="V1313"/>
      <c r="W1313">
        <v>3672</v>
      </c>
      <c r="X1313"/>
      <c r="Y1313" t="inlineStr">
        <is>
          <t>Pending Appointment</t>
        </is>
      </c>
      <c r="Z1313" t="inlineStr">
        <is>
          <t>Continuous Hiring</t>
        </is>
      </c>
      <c r="AA1313">
        <v>15.5</v>
      </c>
      <c r="AB1313" t="inlineStr">
        <is>
          <t>No Appointment Made</t>
        </is>
      </c>
      <c r="AC1313"/>
      <c r="AD1313" t="inlineStr">
        <is>
          <t xml:space="preserve">Sales (outdoor)
10 to 20
Location : Kepong </t>
        </is>
      </c>
      <c r="AE1313"/>
      <c r="AF1313"/>
      <c r="AG1313" s="4"/>
      <c r="AH1313" s="4"/>
      <c r="AI1313">
        <v>0</v>
      </c>
      <c r="AJ1313">
        <v>1</v>
      </c>
      <c r="AK1313" t="inlineStr">
        <is>
          <t>Yes, I have</t>
        </is>
      </c>
      <c r="AL1313">
        <v>2</v>
      </c>
      <c r="AM1313" t="inlineStr">
        <is>
          <t>No, I don't need at all</t>
        </is>
      </c>
      <c r="AN1313"/>
      <c r="AO1313" t="inlineStr">
        <is>
          <t>Yes, I have</t>
        </is>
      </c>
      <c r="AP1313" t="inlineStr">
        <is>
          <t>Every month (100%)</t>
        </is>
      </c>
      <c r="AQ1313">
        <v>0</v>
      </c>
      <c r="AR1313" t="inlineStr">
        <is>
          <t>Free Job Portal</t>
        </is>
      </c>
      <c r="AS1313" t="inlineStr">
        <is>
          <t>- Headcount: 16
- Hiring Job Details: Sales (outdoor), 10 to 20, Location: Kepong
- Hiring Urgency: Continuous Hiring
- Number of outlets: 1
- Have recruiter team: Yes
- Number of recruiter in company: 2
- Have ATS system: No, I don't need at all
- Have career website: Yes
- Current hiring budget: None
- Whole year budget: RM0.00
- Whole year number of vacancies: 0
- Hiring frequency: Every month (100%)
- External job portal: Free Job Portal</t>
        </is>
      </c>
      <c r="AT1313">
        <v>110</v>
      </c>
      <c r="AU1313" t="inlineStr">
        <is>
          <t>1.10</t>
        </is>
      </c>
      <c r="AV1313" t="inlineStr">
        <is>
          <t>15</t>
        </is>
      </c>
      <c r="AW1313" t="inlineStr">
        <is>
          <t>0</t>
        </is>
      </c>
      <c r="AX1313" t="inlineStr">
        <is>
          <t>Not Qualified</t>
        </is>
      </c>
      <c r="AY1313" s="4"/>
      <c r="AZ1313"/>
      <c r="BA1313"/>
      <c r="BB1313"/>
      <c r="BC1313" t="inlineStr">
        <is>
          <t>send invoice</t>
        </is>
      </c>
      <c r="BD1313" s="4">
        <v>46141.42428240741</v>
      </c>
      <c r="BE1313" t="inlineStr">
        <is>
          <t>pending</t>
        </is>
      </c>
      <c r="BF1313"/>
      <c r="BG1313" t="inlineStr">
        <is>
          <t>Reschedule</t>
        </is>
      </c>
      <c r="BH1313" t="inlineStr">
        <is>
          <t>Fauziah Maharan</t>
        </is>
      </c>
      <c r="BI1313" t="inlineStr">
        <is>
          <t>Printing / Publishing</t>
        </is>
      </c>
      <c r="BJ1313" s="4">
        <v>46144.75446759259</v>
      </c>
      <c r="BK1313" s="4">
        <v>42530.44321759259</v>
      </c>
      <c r="BL1313" t="inlineStr">
        <is>
          <t>3672.0</t>
        </is>
      </c>
      <c r="BM1313" t="inlineStr">
        <is>
          <t>600.0</t>
        </is>
      </c>
      <c r="BN1313" t="inlineStr">
        <is>
          <t>People Search Page : Unlock Candidate</t>
        </is>
      </c>
      <c r="BO1313" s="4">
        <v>46125.420023148145</v>
      </c>
      <c r="BP1313">
        <v>167901</v>
      </c>
      <c r="BQ1313">
        <v>124023</v>
      </c>
      <c r="BR1313" t="inlineStr">
        <is>
          <t>Proforma</t>
        </is>
      </c>
      <c r="BS1313" t="inlineStr">
        <is>
          <t>AI Yearly Standard Plan (Jan 26)</t>
        </is>
      </c>
      <c r="BT1313">
        <v>80548</v>
      </c>
      <c r="BU1313"/>
      <c r="BV1313">
        <v>2734319</v>
      </c>
      <c r="BW1313" t="inlineStr">
        <is>
          <t>Follow Up : Invoice Sent 75%</t>
        </is>
      </c>
      <c r="BX1313">
        <v>6</v>
      </c>
      <c r="BY1313">
        <v>0</v>
      </c>
      <c r="BZ1313" s="4">
        <v>46008.49626157407</v>
      </c>
      <c r="CA1313">
        <v>60</v>
      </c>
      <c r="CB1313">
        <v>17</v>
      </c>
      <c r="CC1313" s="4">
        <v>46125.420023148145</v>
      </c>
      <c r="CD1313" t="inlineStr">
        <is>
          <t>20</t>
        </is>
      </c>
      <c r="CE1313" t="inlineStr">
        <is>
          <t>0</t>
        </is>
      </c>
      <c r="CF1313" t="inlineStr">
        <is>
          <t>Q2-W03</t>
        </is>
      </c>
      <c r="CG1313" t="inlineStr">
        <is>
          <t>Q2-W04</t>
        </is>
      </c>
      <c r="CH1313"/>
      <c r="CI1313"/>
      <c r="CJ1313" t="inlineStr">
        <is>
          <t>Paid</t>
        </is>
      </c>
      <c r="CK1313" t="inlineStr">
        <is>
          <t>Eligible</t>
        </is>
      </c>
      <c r="CL1313"/>
      <c r="CM1313"/>
    </row>
    <row r="1314" ht="25.5" customHeight="1">
      <c r="A1314" t="inlineStr">
        <is>
          <t>190948</t>
        </is>
      </c>
      <c r="B1314" s="2"/>
      <c r="C1314"/>
      <c r="D1314" s="3">
        <v>46132.706828703704</v>
      </c>
      <c r="E1314" t="inlineStr">
        <is>
          <t>Q2-W03</t>
        </is>
      </c>
      <c r="F1314" t="inlineStr">
        <is>
          <t>Clover</t>
        </is>
      </c>
      <c r="G1314" t="inlineStr">
        <is>
          <t>Customer</t>
        </is>
      </c>
      <c r="H1314" s="2" t="str">
        <f>=HYPERLINK("https://upbox.ajobthing.my/customer/190948", "https://upbox.ajobthing.my/customer/190948")</f>
        <v>https://upbox.ajobthing.my/customer/190948</v>
      </c>
      <c r="I1314" t="inlineStr">
        <is>
          <t>Fully Fishery (M) Sdn Bhd</t>
        </is>
      </c>
      <c r="J1314" t="inlineStr">
        <is>
          <t>Whale</t>
        </is>
      </c>
      <c r="K1314" t="inlineStr">
        <is>
          <t>Clover</t>
        </is>
      </c>
      <c r="L1314" s="4"/>
      <c r="M1314" s="4">
        <v>46132.702731481484</v>
      </c>
      <c r="N1314"/>
      <c r="O1314">
        <v>6048</v>
      </c>
      <c r="P1314" s="4"/>
      <c r="Q1314" s="4">
        <v>46139.609814814816</v>
      </c>
      <c r="R1314"/>
      <c r="S1314">
        <v>3888</v>
      </c>
      <c r="T1314" s="4">
        <v>46139.609814814816</v>
      </c>
      <c r="U1314" s="4"/>
      <c r="V1314"/>
      <c r="W1314">
        <v>3888</v>
      </c>
      <c r="X1314"/>
      <c r="Y1314" t="inlineStr">
        <is>
          <t>Pending Appointment</t>
        </is>
      </c>
      <c r="Z1314" t="inlineStr">
        <is>
          <t>Hiring Later</t>
        </is>
      </c>
      <c r="AA1314">
        <v>3</v>
      </c>
      <c r="AB1314" t="inlineStr">
        <is>
          <t>No Appointment Made</t>
        </is>
      </c>
      <c r="AC1314"/>
      <c r="AD1314" t="inlineStr">
        <is>
          <t>Hire 3 position,  admin x1, sales x1-2, prior chi, seafood products klang, suggest pro</t>
        </is>
      </c>
      <c r="AE1314"/>
      <c r="AF1314">
        <v>5000</v>
      </c>
      <c r="AG1314" s="4"/>
      <c r="AH1314" s="4"/>
      <c r="AI1314">
        <v>5000</v>
      </c>
      <c r="AJ1314">
        <v>1</v>
      </c>
      <c r="AK1314" t="inlineStr">
        <is>
          <t>No, but I want in future</t>
        </is>
      </c>
      <c r="AL1314">
        <v>1</v>
      </c>
      <c r="AM1314" t="inlineStr">
        <is>
          <t>No, but I want in future</t>
        </is>
      </c>
      <c r="AN1314"/>
      <c r="AO1314" t="inlineStr">
        <is>
          <t>No, but I want in future</t>
        </is>
      </c>
      <c r="AP1314" t="inlineStr">
        <is>
          <t>Once per quarter (75%)</t>
        </is>
      </c>
      <c r="AQ1314">
        <v>3</v>
      </c>
      <c r="AR1314" t="inlineStr">
        <is>
          <t>Did not use any job portal</t>
        </is>
      </c>
      <c r="AS1314" t="inlineStr">
        <is>
          <t>- Headcount: 3
- Hiring Job Details: 3 positions (1 admin, 1-2 sales; prior chi, seafood products klang, suggest pro)
- Hiring Urgency: Hiring Later
- Number of outlets: 1
- Have recruiter team: No, but want in future
- Number of recruiter in company: 1
- Have ATS system: No, but want in future
- Have career website: No, but want in future
- Current hiring budget: RM5,000.00
- Whole year budget: RM5,000.00
- Whole year number of vacancies: 3
- Hiring frequency: Once per quarter (75%)
- External job portal: Did not use any</t>
        </is>
      </c>
      <c r="AT1314">
        <v>90</v>
      </c>
      <c r="AU1314" t="inlineStr">
        <is>
          <t>0.90</t>
        </is>
      </c>
      <c r="AV1314" t="inlineStr">
        <is>
          <t>15</t>
        </is>
      </c>
      <c r="AW1314" t="inlineStr">
        <is>
          <t>0</t>
        </is>
      </c>
      <c r="AX1314" t="inlineStr">
        <is>
          <t>Not Qualified</t>
        </is>
      </c>
      <c r="AY1314" s="4"/>
      <c r="AZ1314"/>
      <c r="BA1314"/>
      <c r="BB1314"/>
      <c r="BC1314" t="inlineStr">
        <is>
          <t>post 2 job</t>
        </is>
      </c>
      <c r="BD1314" s="4">
        <v>46142.43325231481</v>
      </c>
      <c r="BE1314" t="inlineStr">
        <is>
          <t>paid</t>
        </is>
      </c>
      <c r="BF1314" t="inlineStr">
        <is>
          <t>Q2-W04</t>
        </is>
      </c>
      <c r="BG1314" t="inlineStr">
        <is>
          <t>Reschedule</t>
        </is>
      </c>
      <c r="BH1314" t="inlineStr">
        <is>
          <t>Reagen</t>
        </is>
      </c>
      <c r="BI1314"/>
      <c r="BJ1314" s="4">
        <v>46144.75239583333</v>
      </c>
      <c r="BK1314" s="4">
        <v>45784.59170138889</v>
      </c>
      <c r="BL1314" t="inlineStr">
        <is>
          <t>11148.0</t>
        </is>
      </c>
      <c r="BM1314" t="inlineStr">
        <is>
          <t>0.0</t>
        </is>
      </c>
      <c r="BN1314" t="inlineStr">
        <is>
          <t>View Company Page</t>
        </is>
      </c>
      <c r="BO1314" s="4">
        <v>46142.438888888886</v>
      </c>
      <c r="BP1314">
        <v>167898</v>
      </c>
      <c r="BQ1314">
        <v>94808</v>
      </c>
      <c r="BR1314" t="inlineStr">
        <is>
          <t>Online</t>
        </is>
      </c>
      <c r="BS1314"/>
      <c r="BT1314">
        <v>94808</v>
      </c>
      <c r="BU1314"/>
      <c r="BV1314">
        <v>2736755</v>
      </c>
      <c r="BW1314" t="inlineStr">
        <is>
          <t>Service / Technical : Help To Post Job</t>
        </is>
      </c>
      <c r="BX1314">
        <v>18</v>
      </c>
      <c r="BY1314">
        <v>4</v>
      </c>
      <c r="BZ1314" s="4">
        <v>46142.436574074076</v>
      </c>
      <c r="CA1314">
        <v>180</v>
      </c>
      <c r="CB1314">
        <v>179</v>
      </c>
      <c r="CC1314" s="4">
        <v>46098.598645833335</v>
      </c>
      <c r="CD1314" t="inlineStr">
        <is>
          <t>20</t>
        </is>
      </c>
      <c r="CE1314" t="inlineStr">
        <is>
          <t>0</t>
        </is>
      </c>
      <c r="CF1314" t="inlineStr">
        <is>
          <t>Q2-W03</t>
        </is>
      </c>
      <c r="CG1314" t="inlineStr">
        <is>
          <t>Q2-W04</t>
        </is>
      </c>
      <c r="CH1314" t="inlineStr">
        <is>
          <t>Q2-W04</t>
        </is>
      </c>
      <c r="CI1314"/>
      <c r="CJ1314" t="inlineStr">
        <is>
          <t>Paid</t>
        </is>
      </c>
      <c r="CK1314" t="inlineStr">
        <is>
          <t>Eligible</t>
        </is>
      </c>
      <c r="CL1314"/>
      <c r="CM1314"/>
    </row>
    <row r="1315" ht="25.5" customHeight="1">
      <c r="A1315" t="inlineStr">
        <is>
          <t>165593</t>
        </is>
      </c>
      <c r="B1315" s="2"/>
      <c r="C1315"/>
      <c r="D1315" s="3">
        <v>46132.74733796297</v>
      </c>
      <c r="E1315" t="inlineStr">
        <is>
          <t>Q2-W03</t>
        </is>
      </c>
      <c r="F1315" t="inlineStr">
        <is>
          <t>Eugene</t>
        </is>
      </c>
      <c r="G1315" t="inlineStr">
        <is>
          <t>Customer</t>
        </is>
      </c>
      <c r="H1315" s="2" t="str">
        <f>=HYPERLINK("https://upbox.ajobthing.my/customer/165593", "https://upbox.ajobthing.my/customer/165593")</f>
        <v>https://upbox.ajobthing.my/customer/165593</v>
      </c>
      <c r="I1315" t="inlineStr">
        <is>
          <t>SD Medical Supplies</t>
        </is>
      </c>
      <c r="J1315" t="inlineStr">
        <is>
          <t>Whale</t>
        </is>
      </c>
      <c r="K1315" t="inlineStr">
        <is>
          <t>Eugene</t>
        </is>
      </c>
      <c r="L1315" s="4"/>
      <c r="M1315" s="4">
        <v>46132.74550925926</v>
      </c>
      <c r="N1315"/>
      <c r="O1315">
        <v>3888</v>
      </c>
      <c r="P1315" s="4"/>
      <c r="Q1315" s="4">
        <v>46135.504895833335</v>
      </c>
      <c r="R1315"/>
      <c r="S1315">
        <v>3888</v>
      </c>
      <c r="T1315" s="4">
        <v>46135.504895833335</v>
      </c>
      <c r="U1315" s="4"/>
      <c r="V1315"/>
      <c r="W1315">
        <v>3888</v>
      </c>
      <c r="X1315"/>
      <c r="Y1315" t="inlineStr">
        <is>
          <t>Pending Appointment</t>
        </is>
      </c>
      <c r="Z1315" t="inlineStr">
        <is>
          <t>Hiring Now</t>
        </is>
      </c>
      <c r="AA1315">
        <v>2</v>
      </c>
      <c r="AB1315" t="inlineStr">
        <is>
          <t>No Appointment Made</t>
        </is>
      </c>
      <c r="AC1315"/>
      <c r="AD1315" t="inlineStr">
        <is>
          <t>2 positions, based in KL</t>
        </is>
      </c>
      <c r="AE1315"/>
      <c r="AF1315">
        <v>3888</v>
      </c>
      <c r="AG1315" s="4"/>
      <c r="AH1315" s="4"/>
      <c r="AI1315">
        <v>3888</v>
      </c>
      <c r="AJ1315">
        <v>1</v>
      </c>
      <c r="AK1315" t="inlineStr">
        <is>
          <t>No, I don't need at all</t>
        </is>
      </c>
      <c r="AL1315">
        <v>1</v>
      </c>
      <c r="AM1315" t="inlineStr">
        <is>
          <t>No, I don't need at all</t>
        </is>
      </c>
      <c r="AN1315"/>
      <c r="AO1315" t="inlineStr">
        <is>
          <t>No, I don't need at all</t>
        </is>
      </c>
      <c r="AP1315" t="inlineStr">
        <is>
          <t>Twice a year (50%)</t>
        </is>
      </c>
      <c r="AQ1315">
        <v>4</v>
      </c>
      <c r="AR1315" t="inlineStr">
        <is>
          <t>Free Job Portal</t>
        </is>
      </c>
      <c r="AS1315"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RM3,888
- Whole year budget: RM3,888.00
- Whole year number of vacancies: 4
- Hiring frequency: Twice a year (50%)
- External job portal: Free Job Portal</t>
        </is>
      </c>
      <c r="AT1315">
        <v>95</v>
      </c>
      <c r="AU1315" t="inlineStr">
        <is>
          <t>0.95</t>
        </is>
      </c>
      <c r="AV1315" t="inlineStr">
        <is>
          <t>15</t>
        </is>
      </c>
      <c r="AW1315" t="inlineStr">
        <is>
          <t>0</t>
        </is>
      </c>
      <c r="AX1315" t="inlineStr">
        <is>
          <t>Not Qualified</t>
        </is>
      </c>
      <c r="AY1315" s="4"/>
      <c r="AZ1315"/>
      <c r="BA1315"/>
      <c r="BB1315"/>
      <c r="BC1315" t="inlineStr">
        <is>
          <t>won</t>
        </is>
      </c>
      <c r="BD1315" s="4">
        <v>46136.400972222225</v>
      </c>
      <c r="BE1315" t="inlineStr">
        <is>
          <t>paid</t>
        </is>
      </c>
      <c r="BF1315" t="inlineStr">
        <is>
          <t>Q2-W03</t>
        </is>
      </c>
      <c r="BG1315" t="inlineStr">
        <is>
          <t>Reschedule</t>
        </is>
      </c>
      <c r="BH1315" t="inlineStr">
        <is>
          <t>Edward Hoo</t>
        </is>
      </c>
      <c r="BI1315" t="inlineStr">
        <is>
          <t>Healthcare / Medical</t>
        </is>
      </c>
      <c r="BJ1315" s="4">
        <v>46144.75127314815</v>
      </c>
      <c r="BK1315" s="4">
        <v>45006.65561342592</v>
      </c>
      <c r="BL1315" t="inlineStr">
        <is>
          <t>5184.0</t>
        </is>
      </c>
      <c r="BM1315" t="inlineStr">
        <is>
          <t>0.0</t>
        </is>
      </c>
      <c r="BN1315" t="inlineStr">
        <is>
          <t>View Company Page</t>
        </is>
      </c>
      <c r="BO1315" s="4">
        <v>46142.551030092596</v>
      </c>
      <c r="BP1315">
        <v>167912</v>
      </c>
      <c r="BQ1315">
        <v>7679</v>
      </c>
      <c r="BR1315" t="inlineStr">
        <is>
          <t>Manual (Paid)</t>
        </is>
      </c>
      <c r="BS1315"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**Extra 10 Candidate Profiles Unlock</t>
        </is>
      </c>
      <c r="BT1315">
        <v>7679</v>
      </c>
      <c r="BU1315"/>
      <c r="BV1315">
        <v>2725357</v>
      </c>
      <c r="BW1315" t="inlineStr">
        <is>
          <t>Follow Up : Win - Customer Paid</t>
        </is>
      </c>
      <c r="BX1315">
        <v>6</v>
      </c>
      <c r="BY1315">
        <v>4</v>
      </c>
      <c r="BZ1315" s="4">
        <v>46135.67115740741</v>
      </c>
      <c r="CA1315">
        <v>70</v>
      </c>
      <c r="CB1315">
        <v>68</v>
      </c>
      <c r="CC1315" s="4">
        <v>46137.763125</v>
      </c>
      <c r="CD1315" t="inlineStr">
        <is>
          <t>20</t>
        </is>
      </c>
      <c r="CE1315" t="inlineStr">
        <is>
          <t>0</t>
        </is>
      </c>
      <c r="CF1315" t="inlineStr">
        <is>
          <t>Q2-W03</t>
        </is>
      </c>
      <c r="CG1315" t="inlineStr">
        <is>
          <t>Q2-W03</t>
        </is>
      </c>
      <c r="CH1315" t="inlineStr">
        <is>
          <t>Q2-W03</t>
        </is>
      </c>
      <c r="CI1315"/>
      <c r="CJ1315" t="inlineStr">
        <is>
          <t>Paid</t>
        </is>
      </c>
      <c r="CK1315" t="inlineStr">
        <is>
          <t>Eligible</t>
        </is>
      </c>
      <c r="CL1315"/>
      <c r="CM1315"/>
    </row>
    <row r="1316" ht="25.5" customHeight="1">
      <c r="A1316" t="inlineStr">
        <is>
          <t>47981</t>
        </is>
      </c>
      <c r="B1316" s="2"/>
      <c r="C1316"/>
      <c r="D1316" s="3">
        <v>46133.407060185185</v>
      </c>
      <c r="E1316" t="inlineStr">
        <is>
          <t>Q2-W03</t>
        </is>
      </c>
      <c r="F1316" t="inlineStr">
        <is>
          <t>Yuli</t>
        </is>
      </c>
      <c r="G1316" t="inlineStr">
        <is>
          <t>Customer</t>
        </is>
      </c>
      <c r="H1316" s="2" t="str">
        <f>=HYPERLINK("https://upbox.ajobthing.my/customer/47981", "https://upbox.ajobthing.my/customer/47981")</f>
        <v>https://upbox.ajobthing.my/customer/47981</v>
      </c>
      <c r="I1316" t="inlineStr">
        <is>
          <t>Jack Studio Marketing Sdn Bhd (1303213-T)</t>
        </is>
      </c>
      <c r="J1316" t="inlineStr">
        <is>
          <t>Whale</t>
        </is>
      </c>
      <c r="K1316" t="inlineStr">
        <is>
          <t>YuLi</t>
        </is>
      </c>
      <c r="L1316" s="4"/>
      <c r="M1316" s="4">
        <v>46133.407222222224</v>
      </c>
      <c r="N1316"/>
      <c r="O1316">
        <v>3888</v>
      </c>
      <c r="P1316" s="4"/>
      <c r="Q1316" s="4">
        <v>46079.389236111114</v>
      </c>
      <c r="R1316"/>
      <c r="S1316">
        <v>3576.96</v>
      </c>
      <c r="T1316" s="4">
        <v>46079.389236111114</v>
      </c>
      <c r="U1316" s="4"/>
      <c r="V1316"/>
      <c r="W1316">
        <v>3576.96</v>
      </c>
      <c r="X1316"/>
      <c r="Y1316" t="inlineStr">
        <is>
          <t>Pending Appointment</t>
        </is>
      </c>
      <c r="Z1316" t="inlineStr">
        <is>
          <t>Hiring Now</t>
        </is>
      </c>
      <c r="AA1316">
        <v>1</v>
      </c>
      <c r="AB1316" t="inlineStr">
        <is>
          <t>No Appointment Made</t>
        </is>
      </c>
      <c r="AC1316"/>
      <c r="AD1316" t="inlineStr">
        <is>
          <t>Live host</t>
        </is>
      </c>
      <c r="AE1316"/>
      <c r="AF1316"/>
      <c r="AG1316" s="4"/>
      <c r="AH1316" s="4"/>
      <c r="AI1316"/>
      <c r="AJ1316"/>
      <c r="AK1316"/>
      <c r="AL1316"/>
      <c r="AM1316"/>
      <c r="AN1316"/>
      <c r="AO1316"/>
      <c r="AP1316"/>
      <c r="AQ1316"/>
      <c r="AR1316" t="inlineStr">
        <is>
          <t>Free Job Portal</t>
        </is>
      </c>
      <c r="AS1316" t="inlineStr">
        <is>
          <t>- Headcount: 1
- Hiring Job Details: Live host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Free Job Portal</t>
        </is>
      </c>
      <c r="AT1316">
        <v>65</v>
      </c>
      <c r="AU1316" t="inlineStr">
        <is>
          <t>0.65</t>
        </is>
      </c>
      <c r="AV1316" t="inlineStr">
        <is>
          <t>5</t>
        </is>
      </c>
      <c r="AW1316" t="inlineStr">
        <is>
          <t>0</t>
        </is>
      </c>
      <c r="AX1316" t="inlineStr">
        <is>
          <t>Not Qualified</t>
        </is>
      </c>
      <c r="AY1316" s="4"/>
      <c r="AZ1316"/>
      <c r="BA1316"/>
      <c r="BB1316"/>
      <c r="BC1316" t="inlineStr">
        <is>
          <t>quotation shared</t>
        </is>
      </c>
      <c r="BD1316" s="4">
        <v>46133.99621527778</v>
      </c>
      <c r="BE1316" t="inlineStr">
        <is>
          <t>paid</t>
        </is>
      </c>
      <c r="BF1316" t="inlineStr">
        <is>
          <t>Q1-W08</t>
        </is>
      </c>
      <c r="BG1316" t="inlineStr">
        <is>
          <t>Reschedule</t>
        </is>
      </c>
      <c r="BH1316" t="inlineStr">
        <is>
          <t>Fauziah Maharan</t>
        </is>
      </c>
      <c r="BI1316" t="inlineStr">
        <is>
          <t>Retail / Merchandise</t>
        </is>
      </c>
      <c r="BJ1316" s="4">
        <v>46144.75604166667</v>
      </c>
      <c r="BK1316" s="4">
        <v>43207.38674768519</v>
      </c>
      <c r="BL1316" t="inlineStr">
        <is>
          <t>7248.96</t>
        </is>
      </c>
      <c r="BM1316" t="inlineStr">
        <is>
          <t>1800.0</t>
        </is>
      </c>
      <c r="BN1316" t="inlineStr">
        <is>
          <t>View Company Page</t>
        </is>
      </c>
      <c r="BO1316" s="4">
        <v>46142.43303240741</v>
      </c>
      <c r="BP1316">
        <v>167931</v>
      </c>
      <c r="BQ1316">
        <v>87168</v>
      </c>
      <c r="BR1316" t="inlineStr">
        <is>
          <t>Online</t>
        </is>
      </c>
      <c r="BS1316"/>
      <c r="BT1316">
        <v>87168</v>
      </c>
      <c r="BU1316"/>
      <c r="BV1316">
        <v>2719299</v>
      </c>
      <c r="BW1316" t="inlineStr">
        <is>
          <t>Customer Inquiry</t>
        </is>
      </c>
      <c r="BX1316">
        <v>12</v>
      </c>
      <c r="BY1316">
        <v>0</v>
      </c>
      <c r="BZ1316" s="4">
        <v>46114.373148148145</v>
      </c>
      <c r="CA1316">
        <v>120</v>
      </c>
      <c r="CB1316">
        <v>31</v>
      </c>
      <c r="CC1316" s="4">
        <v>46142.43047453704</v>
      </c>
      <c r="CD1316" t="inlineStr">
        <is>
          <t>5</t>
        </is>
      </c>
      <c r="CE1316" t="inlineStr">
        <is>
          <t>0</t>
        </is>
      </c>
      <c r="CF1316" t="inlineStr">
        <is>
          <t>Q2-W03</t>
        </is>
      </c>
      <c r="CG1316" t="inlineStr">
        <is>
          <t>Q1-W08</t>
        </is>
      </c>
      <c r="CH1316" t="inlineStr">
        <is>
          <t>Q1-W08</t>
        </is>
      </c>
      <c r="CI1316"/>
      <c r="CJ1316" t="inlineStr">
        <is>
          <t>Paid</t>
        </is>
      </c>
      <c r="CK1316" t="inlineStr">
        <is>
          <t>Eligible</t>
        </is>
      </c>
      <c r="CL1316"/>
      <c r="CM1316"/>
    </row>
    <row r="1317" ht="25.5" customHeight="1">
      <c r="A1317" t="inlineStr">
        <is>
          <t>25660</t>
        </is>
      </c>
      <c r="B1317" s="2"/>
      <c r="C1317"/>
      <c r="D1317" s="3">
        <v>46133.424259259256</v>
      </c>
      <c r="E1317" t="inlineStr">
        <is>
          <t>Q2-W03</t>
        </is>
      </c>
      <c r="F1317" t="inlineStr">
        <is>
          <t>Keegan</t>
        </is>
      </c>
      <c r="G1317" t="inlineStr">
        <is>
          <t>Customer</t>
        </is>
      </c>
      <c r="H1317" s="2" t="str">
        <f>=HYPERLINK("https://upbox.ajobthing.my/customer/25660", "https://upbox.ajobthing.my/customer/25660")</f>
        <v>https://upbox.ajobthing.my/customer/25660</v>
      </c>
      <c r="I1317" t="inlineStr">
        <is>
          <t>BCM Electronics Corporation Sdn Bhd</t>
        </is>
      </c>
      <c r="J1317" t="inlineStr">
        <is>
          <t>Whale</t>
        </is>
      </c>
      <c r="K1317" t="inlineStr">
        <is>
          <t>Keegan</t>
        </is>
      </c>
      <c r="L1317" s="4"/>
      <c r="M1317" s="4">
        <v>46133.43125</v>
      </c>
      <c r="N1317"/>
      <c r="O1317">
        <v>6048</v>
      </c>
      <c r="P1317" s="4"/>
      <c r="Q1317" s="4">
        <v>45957.60759259259</v>
      </c>
      <c r="R1317"/>
      <c r="S1317">
        <v>3672</v>
      </c>
      <c r="T1317" s="4">
        <v>45957.60759259259</v>
      </c>
      <c r="U1317" s="4"/>
      <c r="V1317"/>
      <c r="W1317">
        <v>3672</v>
      </c>
      <c r="X1317"/>
      <c r="Y1317" t="inlineStr">
        <is>
          <t>Pending Appointment</t>
        </is>
      </c>
      <c r="Z1317" t="inlineStr">
        <is>
          <t>Hiring Now</t>
        </is>
      </c>
      <c r="AA1317">
        <v>0</v>
      </c>
      <c r="AB1317" t="inlineStr">
        <is>
          <t>No Appointment Made</t>
        </is>
      </c>
      <c r="AC1317"/>
      <c r="AD1317" t="inlineStr">
        <is>
          <t xml:space="preserve">1. Candidate search tokens </t>
        </is>
      </c>
      <c r="AE1317"/>
      <c r="AF1317"/>
      <c r="AG1317" s="4"/>
      <c r="AH1317" s="4"/>
      <c r="AI1317"/>
      <c r="AJ1317">
        <v>1</v>
      </c>
      <c r="AK1317" t="inlineStr">
        <is>
          <t>No, I don't need at all</t>
        </is>
      </c>
      <c r="AL1317">
        <v>0</v>
      </c>
      <c r="AM1317" t="inlineStr">
        <is>
          <t>No, I don't need at all</t>
        </is>
      </c>
      <c r="AN1317"/>
      <c r="AO1317" t="inlineStr">
        <is>
          <t>No, I don't need at all</t>
        </is>
      </c>
      <c r="AP1317" t="inlineStr">
        <is>
          <t>Once per quarter (75%)</t>
        </is>
      </c>
      <c r="AQ1317"/>
      <c r="AR1317" t="inlineStr">
        <is>
          <t>Did not use any job portal</t>
        </is>
      </c>
      <c r="AS1317" t="inlineStr">
        <is>
          <t>- Headcount: 0
- Hiring Job Details: 1. Candidate search tokens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317">
        <v>50</v>
      </c>
      <c r="AU1317" t="inlineStr">
        <is>
          <t>0.50</t>
        </is>
      </c>
      <c r="AV1317" t="inlineStr">
        <is>
          <t>5</t>
        </is>
      </c>
      <c r="AW1317" t="inlineStr">
        <is>
          <t>0</t>
        </is>
      </c>
      <c r="AX1317" t="inlineStr">
        <is>
          <t>Not Qualified</t>
        </is>
      </c>
      <c r="AY1317" s="4"/>
      <c r="AZ1317"/>
      <c r="BA1317"/>
      <c r="BB1317"/>
      <c r="BC1317" t="inlineStr">
        <is>
          <t>Pending decision still</t>
        </is>
      </c>
      <c r="BD1317" s="4">
        <v>46140.45799768518</v>
      </c>
      <c r="BE1317" t="inlineStr">
        <is>
          <t>paid</t>
        </is>
      </c>
      <c r="BF1317"/>
      <c r="BG1317" t="inlineStr">
        <is>
          <t>Reschedule</t>
        </is>
      </c>
      <c r="BH1317" t="inlineStr">
        <is>
          <t>Edward Hoo</t>
        </is>
      </c>
      <c r="BI1317" t="inlineStr">
        <is>
          <t>Manufacturing / Production</t>
        </is>
      </c>
      <c r="BJ1317" s="4">
        <v>46144.75446759259</v>
      </c>
      <c r="BK1317" s="4">
        <v>42562.501909722225</v>
      </c>
      <c r="BL1317" t="inlineStr">
        <is>
          <t>3672.0</t>
        </is>
      </c>
      <c r="BM1317" t="inlineStr">
        <is>
          <t>9000.0</t>
        </is>
      </c>
      <c r="BN1317" t="inlineStr">
        <is>
          <t>View Candidate Search Page</t>
        </is>
      </c>
      <c r="BO1317" s="4">
        <v>46137.92606481481</v>
      </c>
      <c r="BP1317">
        <v>167953</v>
      </c>
      <c r="BQ1317">
        <v>83658</v>
      </c>
      <c r="BR1317" t="inlineStr">
        <is>
          <t>Online</t>
        </is>
      </c>
      <c r="BS1317"/>
      <c r="BT1317">
        <v>83658</v>
      </c>
      <c r="BU1317"/>
      <c r="BV1317">
        <v>2731985</v>
      </c>
      <c r="BW1317" t="inlineStr">
        <is>
          <t>Follow Up : Decision Pending</t>
        </is>
      </c>
      <c r="BX1317">
        <v>6</v>
      </c>
      <c r="BY1317">
        <v>0</v>
      </c>
      <c r="BZ1317" s="4">
        <v>46093.61016203704</v>
      </c>
      <c r="CA1317">
        <v>60</v>
      </c>
      <c r="CB1317">
        <v>0</v>
      </c>
      <c r="CC1317" s="4">
        <v>46094.666655092595</v>
      </c>
      <c r="CD1317" t="inlineStr">
        <is>
          <t>5</t>
        </is>
      </c>
      <c r="CE1317" t="inlineStr">
        <is>
          <t>0</t>
        </is>
      </c>
      <c r="CF1317" t="inlineStr">
        <is>
          <t>Q2-W03</t>
        </is>
      </c>
      <c r="CG1317"/>
      <c r="CH1317"/>
      <c r="CI1317"/>
      <c r="CJ1317" t="inlineStr">
        <is>
          <t>Paid</t>
        </is>
      </c>
      <c r="CK1317" t="inlineStr">
        <is>
          <t>Eligible</t>
        </is>
      </c>
      <c r="CL1317"/>
      <c r="CM1317"/>
    </row>
    <row r="1318" ht="25.5" customHeight="1">
      <c r="A1318" t="inlineStr">
        <is>
          <t>203457</t>
        </is>
      </c>
      <c r="B1318" s="2"/>
      <c r="C1318"/>
      <c r="D1318" s="3">
        <v>46133.4253125</v>
      </c>
      <c r="E1318" t="inlineStr">
        <is>
          <t>Q2-W03</t>
        </is>
      </c>
      <c r="F1318" t="inlineStr">
        <is>
          <t>Ratha</t>
        </is>
      </c>
      <c r="G1318" t="inlineStr">
        <is>
          <t>Customer</t>
        </is>
      </c>
      <c r="H1318" s="2" t="str">
        <f>=HYPERLINK("https://upbox.ajobthing.my/customer/203457", "https://upbox.ajobthing.my/customer/203457")</f>
        <v>https://upbox.ajobthing.my/customer/203457</v>
      </c>
      <c r="I1318" t="inlineStr">
        <is>
          <t>Metro Facilities Sdn Bhd</t>
        </is>
      </c>
      <c r="J1318" t="inlineStr">
        <is>
          <t>Whale</t>
        </is>
      </c>
      <c r="K1318" t="inlineStr">
        <is>
          <t>Ratha</t>
        </is>
      </c>
      <c r="L1318" s="4"/>
      <c r="M1318" s="4">
        <v>46133.42576388889</v>
      </c>
      <c r="N1318"/>
      <c r="O1318">
        <v>3888</v>
      </c>
      <c r="P1318" s="4"/>
      <c r="Q1318" s="4">
        <v>46133.40325231481</v>
      </c>
      <c r="R1318"/>
      <c r="S1318">
        <v>0</v>
      </c>
      <c r="T1318" s="4"/>
      <c r="U1318" s="4"/>
      <c r="V1318"/>
      <c r="W1318"/>
      <c r="X1318"/>
      <c r="Y1318" t="inlineStr">
        <is>
          <t>Pending Appointment</t>
        </is>
      </c>
      <c r="Z1318" t="inlineStr">
        <is>
          <t>Hiring Now</t>
        </is>
      </c>
      <c r="AA1318">
        <v>1</v>
      </c>
      <c r="AB1318" t="inlineStr">
        <is>
          <t>No Appointment Made</t>
        </is>
      </c>
      <c r="AC1318"/>
      <c r="AD1318" t="inlineStr">
        <is>
          <t>Supervisor : 1
Location : Damansara</t>
        </is>
      </c>
      <c r="AE1318"/>
      <c r="AF1318"/>
      <c r="AG1318" s="4"/>
      <c r="AH1318" s="4"/>
      <c r="AI1318">
        <v>0</v>
      </c>
      <c r="AJ1318">
        <v>1</v>
      </c>
      <c r="AK1318" t="inlineStr">
        <is>
          <t>Yes, I have</t>
        </is>
      </c>
      <c r="AL1318">
        <v>2</v>
      </c>
      <c r="AM1318" t="inlineStr">
        <is>
          <t>No, I don't need at all</t>
        </is>
      </c>
      <c r="AN1318"/>
      <c r="AO1318" t="inlineStr">
        <is>
          <t>No, I don't need at all</t>
        </is>
      </c>
      <c r="AP1318" t="inlineStr">
        <is>
          <t>Once per quarter (75%)</t>
        </is>
      </c>
      <c r="AQ1318">
        <v>0</v>
      </c>
      <c r="AR1318" t="inlineStr">
        <is>
          <t>Free Job Portal</t>
        </is>
      </c>
      <c r="AS1318" t="inlineStr">
        <is>
          <t>- Headcount: 1
- Hiring Job Details: 1 Supervisor (Location: Damansara)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1318">
        <v>105</v>
      </c>
      <c r="AU1318" t="inlineStr">
        <is>
          <t>1.05</t>
        </is>
      </c>
      <c r="AV1318" t="inlineStr">
        <is>
          <t>5</t>
        </is>
      </c>
      <c r="AW1318" t="inlineStr">
        <is>
          <t>0</t>
        </is>
      </c>
      <c r="AX1318" t="inlineStr">
        <is>
          <t>Not Qualified</t>
        </is>
      </c>
      <c r="AY1318" s="4"/>
      <c r="AZ1318"/>
      <c r="BA1318"/>
      <c r="BB1318"/>
      <c r="BC1318" t="inlineStr">
        <is>
          <t>free only</t>
        </is>
      </c>
      <c r="BD1318" s="4">
        <v>46140.67849537037</v>
      </c>
      <c r="BE1318" t="inlineStr">
        <is>
          <t>paid</t>
        </is>
      </c>
      <c r="BF1318"/>
      <c r="BG1318" t="inlineStr">
        <is>
          <t>Reschedule</t>
        </is>
      </c>
      <c r="BH1318" t="inlineStr">
        <is>
          <t>Fauziah Maharan</t>
        </is>
      </c>
      <c r="BI1318"/>
      <c r="BJ1318" s="4">
        <v>46144.75430555556</v>
      </c>
      <c r="BK1318" s="4">
        <v>46133.40275462963</v>
      </c>
      <c r="BL1318" t="inlineStr">
        <is>
          <t>0.0</t>
        </is>
      </c>
      <c r="BM1318" t="inlineStr">
        <is>
          <t>0.0</t>
        </is>
      </c>
      <c r="BN1318" t="inlineStr">
        <is>
          <t>User Visit(Logged In)</t>
        </is>
      </c>
      <c r="BO1318" s="4">
        <v>46135.57512731481</v>
      </c>
      <c r="BP1318">
        <v>167946</v>
      </c>
      <c r="BQ1318">
        <v>123388</v>
      </c>
      <c r="BR1318" t="inlineStr">
        <is>
          <t>Proforma</t>
        </is>
      </c>
      <c r="BS1318" t="inlineStr">
        <is>
          <t>Free Part-Time Job</t>
        </is>
      </c>
      <c r="BT1318"/>
      <c r="BU1318"/>
      <c r="BV1318">
        <v>2733391</v>
      </c>
      <c r="BW1318" t="inlineStr">
        <is>
          <t>Follow Up : Lost - Free Portal</t>
        </is>
      </c>
      <c r="BX1318"/>
      <c r="BY1318"/>
      <c r="BZ1318" s="4"/>
      <c r="CA1318"/>
      <c r="CB1318"/>
      <c r="CC1318" s="4"/>
      <c r="CD1318" t="inlineStr">
        <is>
          <t>5</t>
        </is>
      </c>
      <c r="CE1318" t="inlineStr">
        <is>
          <t>0</t>
        </is>
      </c>
      <c r="CF1318" t="inlineStr">
        <is>
          <t>Q2-W03</t>
        </is>
      </c>
      <c r="CG1318" t="inlineStr">
        <is>
          <t>Q2-W03</t>
        </is>
      </c>
      <c r="CH1318"/>
      <c r="CI1318"/>
      <c r="CJ1318" t="inlineStr">
        <is>
          <t>No Paid</t>
        </is>
      </c>
      <c r="CK1318" t="inlineStr">
        <is>
          <t>Eligible</t>
        </is>
      </c>
      <c r="CL1318"/>
      <c r="CM1318"/>
    </row>
    <row r="1319" ht="25.5" customHeight="1">
      <c r="A1319" t="inlineStr">
        <is>
          <t>199065</t>
        </is>
      </c>
      <c r="B1319" s="2"/>
      <c r="C1319"/>
      <c r="D1319" s="3">
        <v>46133.42936342592</v>
      </c>
      <c r="E1319" t="inlineStr">
        <is>
          <t>Q2-W03</t>
        </is>
      </c>
      <c r="F1319" t="inlineStr">
        <is>
          <t>Yuli</t>
        </is>
      </c>
      <c r="G1319" t="inlineStr">
        <is>
          <t>Customer</t>
        </is>
      </c>
      <c r="H1319" s="2" t="str">
        <f>=HYPERLINK("https://upbox.ajobthing.my/customer/199065", "https://upbox.ajobthing.my/customer/199065")</f>
        <v>https://upbox.ajobthing.my/customer/199065</v>
      </c>
      <c r="I1319" t="inlineStr">
        <is>
          <t>Golden IP Media Sdn Bhd</t>
        </is>
      </c>
      <c r="J1319" t="inlineStr">
        <is>
          <t>Whale</t>
        </is>
      </c>
      <c r="K1319" t="inlineStr">
        <is>
          <t>YuLi</t>
        </is>
      </c>
      <c r="L1319" s="4"/>
      <c r="M1319" s="4">
        <v>46133.42969907408</v>
      </c>
      <c r="N1319"/>
      <c r="O1319">
        <v>6048</v>
      </c>
      <c r="P1319" s="4"/>
      <c r="Q1319" s="4">
        <v>46002.60575231481</v>
      </c>
      <c r="R1319"/>
      <c r="S1319">
        <v>3348</v>
      </c>
      <c r="T1319" s="4">
        <v>46002.60575231481</v>
      </c>
      <c r="U1319" s="4"/>
      <c r="V1319"/>
      <c r="W1319">
        <v>3348</v>
      </c>
      <c r="X1319"/>
      <c r="Y1319" t="inlineStr">
        <is>
          <t>Pending Appointment</t>
        </is>
      </c>
      <c r="Z1319" t="inlineStr">
        <is>
          <t>Hiring Now</t>
        </is>
      </c>
      <c r="AA1319">
        <v>4</v>
      </c>
      <c r="AB1319" t="inlineStr">
        <is>
          <t>No Appointment Made</t>
        </is>
      </c>
      <c r="AC1319"/>
      <c r="AD1319" t="inlineStr">
        <is>
          <t>Videographer
Graphic Designer
Video editor
Digital Marketing</t>
        </is>
      </c>
      <c r="AE1319"/>
      <c r="AF1319"/>
      <c r="AG1319" s="4"/>
      <c r="AH1319" s="4"/>
      <c r="AI1319"/>
      <c r="AJ1319"/>
      <c r="AK1319"/>
      <c r="AL1319"/>
      <c r="AM1319"/>
      <c r="AN1319"/>
      <c r="AO1319"/>
      <c r="AP1319"/>
      <c r="AQ1319"/>
      <c r="AR1319" t="inlineStr">
        <is>
          <t>Jobstreet</t>
        </is>
      </c>
      <c r="AS1319" t="inlineStr">
        <is>
          <t>- Headcount: 4
- Hiring Job Details: Videographer, Graphic Designer, Video editor, Digital Marketing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1319">
        <v>65</v>
      </c>
      <c r="AU1319" t="inlineStr">
        <is>
          <t>0.65</t>
        </is>
      </c>
      <c r="AV1319" t="inlineStr">
        <is>
          <t>5</t>
        </is>
      </c>
      <c r="AW1319" t="inlineStr">
        <is>
          <t>0</t>
        </is>
      </c>
      <c r="AX1319" t="inlineStr">
        <is>
          <t>Not Qualified</t>
        </is>
      </c>
      <c r="AY1319" s="4"/>
      <c r="AZ1319"/>
      <c r="BA1319"/>
      <c r="BB1319"/>
      <c r="BC1319" t="inlineStr">
        <is>
          <t>called but no answered</t>
        </is>
      </c>
      <c r="BD1319" s="4">
        <v>46142.74104166667</v>
      </c>
      <c r="BE1319" t="inlineStr">
        <is>
          <t>paid</t>
        </is>
      </c>
      <c r="BF1319"/>
      <c r="BG1319" t="inlineStr">
        <is>
          <t>Reschedule</t>
        </is>
      </c>
      <c r="BH1319" t="inlineStr">
        <is>
          <t>Fauziah Maharan</t>
        </is>
      </c>
      <c r="BI1319" t="inlineStr">
        <is>
          <t>Advertising / Marketing</t>
        </is>
      </c>
      <c r="BJ1319" s="4">
        <v>46144.753229166665</v>
      </c>
      <c r="BK1319" s="4">
        <v>45996.38943287037</v>
      </c>
      <c r="BL1319" t="inlineStr">
        <is>
          <t>3348.0</t>
        </is>
      </c>
      <c r="BM1319" t="inlineStr">
        <is>
          <t>2400.0</t>
        </is>
      </c>
      <c r="BN1319" t="inlineStr">
        <is>
          <t>View Candidate Search Page</t>
        </is>
      </c>
      <c r="BO1319" s="4">
        <v>46136.671319444446</v>
      </c>
      <c r="BP1319">
        <v>167952</v>
      </c>
      <c r="BQ1319">
        <v>84896</v>
      </c>
      <c r="BR1319" t="inlineStr">
        <is>
          <t>Online</t>
        </is>
      </c>
      <c r="BS1319"/>
      <c r="BT1319">
        <v>84896</v>
      </c>
      <c r="BU1319"/>
      <c r="BV1319">
        <v>2738460</v>
      </c>
      <c r="BW1319" t="inlineStr">
        <is>
          <t>No Answer : 3 Days No Response</t>
        </is>
      </c>
      <c r="BX1319">
        <v>6</v>
      </c>
      <c r="BY1319">
        <v>0</v>
      </c>
      <c r="BZ1319" s="4">
        <v>46079.620891203704</v>
      </c>
      <c r="CA1319">
        <v>60</v>
      </c>
      <c r="CB1319">
        <v>51</v>
      </c>
      <c r="CC1319" s="4">
        <v>46135.760196759256</v>
      </c>
      <c r="CD1319" t="inlineStr">
        <is>
          <t>5</t>
        </is>
      </c>
      <c r="CE1319" t="inlineStr">
        <is>
          <t>0</t>
        </is>
      </c>
      <c r="CF1319" t="inlineStr">
        <is>
          <t>Q2-W03</t>
        </is>
      </c>
      <c r="CG1319"/>
      <c r="CH1319"/>
      <c r="CI1319"/>
      <c r="CJ1319" t="inlineStr">
        <is>
          <t>Paid</t>
        </is>
      </c>
      <c r="CK1319" t="inlineStr">
        <is>
          <t>Eligible</t>
        </is>
      </c>
      <c r="CL1319"/>
      <c r="CM1319"/>
    </row>
    <row r="1320" ht="25.5" customHeight="1">
      <c r="A1320" t="inlineStr">
        <is>
          <t>26942</t>
        </is>
      </c>
      <c r="B1320" s="2"/>
      <c r="C1320"/>
      <c r="D1320" s="3">
        <v>46133.44200231481</v>
      </c>
      <c r="E1320" t="inlineStr">
        <is>
          <t>Q2-W03</t>
        </is>
      </c>
      <c r="F1320" t="inlineStr">
        <is>
          <t>Carmen</t>
        </is>
      </c>
      <c r="G1320" t="inlineStr">
        <is>
          <t>Customer</t>
        </is>
      </c>
      <c r="H1320" s="2" t="str">
        <f>=HYPERLINK("https://upbox.ajobthing.my/customer/26942", "https://upbox.ajobthing.my/customer/26942")</f>
        <v>https://upbox.ajobthing.my/customer/26942</v>
      </c>
      <c r="I1320" t="inlineStr">
        <is>
          <t>H Space Holdings Sdn Bhd</t>
        </is>
      </c>
      <c r="J1320" t="inlineStr">
        <is>
          <t>Whale</t>
        </is>
      </c>
      <c r="K1320" t="inlineStr">
        <is>
          <t>Carmen</t>
        </is>
      </c>
      <c r="L1320" s="4"/>
      <c r="M1320" s="4">
        <v>46133.44215277778</v>
      </c>
      <c r="N1320"/>
      <c r="O1320">
        <v>8208</v>
      </c>
      <c r="P1320" s="4"/>
      <c r="Q1320" s="4">
        <v>45280.49423611111</v>
      </c>
      <c r="R1320"/>
      <c r="S1320">
        <v>2968</v>
      </c>
      <c r="T1320" s="4">
        <v>45280.00001157408</v>
      </c>
      <c r="U1320" s="4"/>
      <c r="V1320"/>
      <c r="W1320">
        <v>2968</v>
      </c>
      <c r="X1320"/>
      <c r="Y1320" t="inlineStr">
        <is>
          <t>Pending Appointment</t>
        </is>
      </c>
      <c r="Z1320" t="inlineStr">
        <is>
          <t>Continuous Hiring</t>
        </is>
      </c>
      <c r="AA1320">
        <v>3</v>
      </c>
      <c r="AB1320" t="inlineStr">
        <is>
          <t>No Appointment Made</t>
        </is>
      </c>
      <c r="AC1320"/>
      <c r="AD1320" t="inlineStr">
        <is>
          <t>1 executive admin ; 1 id ; 1 site manager</t>
        </is>
      </c>
      <c r="AE1320"/>
      <c r="AF1320">
        <v>3000</v>
      </c>
      <c r="AG1320" s="4"/>
      <c r="AH1320" s="4"/>
      <c r="AI1320"/>
      <c r="AJ1320"/>
      <c r="AK1320"/>
      <c r="AL1320"/>
      <c r="AM1320"/>
      <c r="AN1320"/>
      <c r="AO1320"/>
      <c r="AP1320" t="inlineStr">
        <is>
          <t>Once a year (25%)</t>
        </is>
      </c>
      <c r="AQ1320"/>
      <c r="AR1320"/>
      <c r="AS1320" t="inlineStr">
        <is>
          <t>- Headcount: 3
- Hiring Job Details: 1 executive admin; 1 id; 1 site manager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320">
        <v>75</v>
      </c>
      <c r="AU1320" t="inlineStr">
        <is>
          <t>0.75</t>
        </is>
      </c>
      <c r="AV1320" t="inlineStr">
        <is>
          <t>15</t>
        </is>
      </c>
      <c r="AW1320" t="inlineStr">
        <is>
          <t>0</t>
        </is>
      </c>
      <c r="AX1320" t="inlineStr">
        <is>
          <t>Not Qualified</t>
        </is>
      </c>
      <c r="AY1320" s="4"/>
      <c r="AZ1320"/>
      <c r="BA1320"/>
      <c r="BB1320"/>
      <c r="BC1320" t="inlineStr">
        <is>
          <t>still considering havent decide yet</t>
        </is>
      </c>
      <c r="BD1320" s="4">
        <v>46136.63267361111</v>
      </c>
      <c r="BE1320" t="inlineStr">
        <is>
          <t>paid</t>
        </is>
      </c>
      <c r="BF1320"/>
      <c r="BG1320" t="inlineStr">
        <is>
          <t>Reschedule</t>
        </is>
      </c>
      <c r="BH1320" t="inlineStr">
        <is>
          <t>Reagen</t>
        </is>
      </c>
      <c r="BI1320" t="inlineStr">
        <is>
          <t>Property / Real Estate</t>
        </is>
      </c>
      <c r="BJ1320" s="4">
        <v>46144.75449074074</v>
      </c>
      <c r="BK1320" s="4">
        <v>42592.91207175926</v>
      </c>
      <c r="BL1320" t="inlineStr">
        <is>
          <t>0.0</t>
        </is>
      </c>
      <c r="BM1320" t="inlineStr">
        <is>
          <t>2400.0</t>
        </is>
      </c>
      <c r="BN1320" t="inlineStr">
        <is>
          <t>View Jobmanager Page</t>
        </is>
      </c>
      <c r="BO1320" s="4">
        <v>45736.512453703705</v>
      </c>
      <c r="BP1320">
        <v>167957</v>
      </c>
      <c r="BQ1320">
        <v>83985</v>
      </c>
      <c r="BR1320" t="inlineStr">
        <is>
          <t>Proforma</t>
        </is>
      </c>
      <c r="BS1320" t="inlineStr">
        <is>
          <t>Startup Package - Instant Job Slot Christmas Promo</t>
        </is>
      </c>
      <c r="BT1320">
        <v>64904</v>
      </c>
      <c r="BU1320"/>
      <c r="BV1320">
        <v>2726693</v>
      </c>
      <c r="BW1320" t="inlineStr">
        <is>
          <t>Follow Up : Decision Pending</t>
        </is>
      </c>
      <c r="BX1320"/>
      <c r="BY1320"/>
      <c r="BZ1320" s="4"/>
      <c r="CA1320"/>
      <c r="CB1320"/>
      <c r="CC1320" s="4"/>
      <c r="CD1320" t="inlineStr">
        <is>
          <t>20</t>
        </is>
      </c>
      <c r="CE1320" t="inlineStr">
        <is>
          <t>0</t>
        </is>
      </c>
      <c r="CF1320" t="inlineStr">
        <is>
          <t>Q2-W03</t>
        </is>
      </c>
      <c r="CG1320"/>
      <c r="CH1320"/>
      <c r="CI1320"/>
      <c r="CJ1320" t="inlineStr">
        <is>
          <t>Paid</t>
        </is>
      </c>
      <c r="CK1320" t="inlineStr">
        <is>
          <t>Eligible</t>
        </is>
      </c>
      <c r="CL1320"/>
      <c r="CM1320"/>
    </row>
    <row r="1321" ht="25.5" customHeight="1">
      <c r="A1321" t="inlineStr">
        <is>
          <t>201456</t>
        </is>
      </c>
      <c r="B1321" s="2"/>
      <c r="C1321"/>
      <c r="D1321" s="3">
        <v>46133.44667824074</v>
      </c>
      <c r="E1321" t="inlineStr">
        <is>
          <t>Q2-W03</t>
        </is>
      </c>
      <c r="F1321" t="inlineStr">
        <is>
          <t>Yvonne Lee</t>
        </is>
      </c>
      <c r="G1321" t="inlineStr">
        <is>
          <t>Customer</t>
        </is>
      </c>
      <c r="H1321" s="2" t="str">
        <f>=HYPERLINK("https://upbox.ajobthing.my/customer/201456", "https://upbox.ajobthing.my/customer/201456")</f>
        <v>https://upbox.ajobthing.my/customer/201456</v>
      </c>
      <c r="I1321" t="inlineStr">
        <is>
          <t>KHK Plantation</t>
        </is>
      </c>
      <c r="J1321" t="inlineStr">
        <is>
          <t>Whale</t>
        </is>
      </c>
      <c r="K1321" t="inlineStr">
        <is>
          <t>Yvonne</t>
        </is>
      </c>
      <c r="L1321" s="4"/>
      <c r="M1321" s="4">
        <v>46133.45101851852</v>
      </c>
      <c r="N1321"/>
      <c r="O1321">
        <v>21600</v>
      </c>
      <c r="P1321" s="4"/>
      <c r="Q1321" s="4"/>
      <c r="R1321"/>
      <c r="S1321"/>
      <c r="T1321" s="4"/>
      <c r="U1321" s="4"/>
      <c r="V1321"/>
      <c r="W1321"/>
      <c r="X1321"/>
      <c r="Y1321" t="inlineStr">
        <is>
          <t>Pending Appointment</t>
        </is>
      </c>
      <c r="Z1321" t="inlineStr">
        <is>
          <t>Hiring Now</t>
        </is>
      </c>
      <c r="AA1321">
        <v>4</v>
      </c>
      <c r="AB1321" t="inlineStr">
        <is>
          <t>No Appointment Made</t>
        </is>
      </c>
      <c r="AC1321"/>
      <c r="AD1321" t="inlineStr">
        <is>
          <t>1) Head of marketing
2) Head of operation
3) receptionist
4) Executive level</t>
        </is>
      </c>
      <c r="AE1321"/>
      <c r="AF1321">
        <v>10000</v>
      </c>
      <c r="AG1321" s="4"/>
      <c r="AH1321" s="4"/>
      <c r="AI1321">
        <v>10000</v>
      </c>
      <c r="AJ1321">
        <v>1</v>
      </c>
      <c r="AK1321" t="inlineStr">
        <is>
          <t>Yes, I have</t>
        </is>
      </c>
      <c r="AL1321">
        <v>1</v>
      </c>
      <c r="AM1321" t="inlineStr">
        <is>
          <t>No, but I want in future</t>
        </is>
      </c>
      <c r="AN1321"/>
      <c r="AO1321" t="inlineStr">
        <is>
          <t>Yes, I have</t>
        </is>
      </c>
      <c r="AP1321" t="inlineStr">
        <is>
          <t>Every month (100%)</t>
        </is>
      </c>
      <c r="AQ1321">
        <v>40</v>
      </c>
      <c r="AR1321" t="inlineStr">
        <is>
          <t>Jobstreet, Indeed (Paid)</t>
        </is>
      </c>
      <c r="AS1321" t="inlineStr">
        <is>
          <t>- Headcount: 4 (Head of marketing, Head of operation, receptionist, Executive level).
- Hiring Job Details: 1) Head of marketing 2) Head of operation 3) receptionist 4) Executive level
- Hiring Urgency: Hiring Now
- Number of outlets: 1
- Have recruiter team: Yes
- Number of recruiter in company: 1
- Have ATS system: No, but want in future
- Have career website: Yes
- Current hiring budget: RM10,000
- Whole year budget: RM10,000.00
- Whole year number of vacancies: 40
- Hiring frequency: Every month (100%)
- External job portal: Jobstreet,Indeed (Paid)</t>
        </is>
      </c>
      <c r="AT1321">
        <v>115</v>
      </c>
      <c r="AU1321" t="inlineStr">
        <is>
          <t>1.15</t>
        </is>
      </c>
      <c r="AV1321" t="inlineStr">
        <is>
          <t>15</t>
        </is>
      </c>
      <c r="AW1321" t="inlineStr">
        <is>
          <t>0</t>
        </is>
      </c>
      <c r="AX1321" t="inlineStr">
        <is>
          <t>Not Qualified</t>
        </is>
      </c>
      <c r="AY1321" s="4"/>
      <c r="AZ1321"/>
      <c r="BA1321"/>
      <c r="BB1321"/>
      <c r="BC1321" t="inlineStr">
        <is>
          <t>folllowing up and pending from manager. Inform on the promotion ongoing.</t>
        </is>
      </c>
      <c r="BD1321" s="4">
        <v>46141.68633101852</v>
      </c>
      <c r="BE1321"/>
      <c r="BF1321"/>
      <c r="BG1321" t="inlineStr">
        <is>
          <t>Reschedule</t>
        </is>
      </c>
      <c r="BH1321" t="inlineStr">
        <is>
          <t>andy@ajobthing.com</t>
        </is>
      </c>
      <c r="BI1321" t="inlineStr">
        <is>
          <t>Agriculture / Poultry / Fisheries</t>
        </is>
      </c>
      <c r="BJ1321" s="4">
        <v>46144.75380787037</v>
      </c>
      <c r="BK1321" s="4">
        <v>46079.40615740741</v>
      </c>
      <c r="BL1321" t="inlineStr">
        <is>
          <t>0.0</t>
        </is>
      </c>
      <c r="BM1321" t="inlineStr">
        <is>
          <t>6600.0</t>
        </is>
      </c>
      <c r="BN1321" t="inlineStr">
        <is>
          <t>View Company Page</t>
        </is>
      </c>
      <c r="BO1321" s="4">
        <v>46135.605729166666</v>
      </c>
      <c r="BP1321">
        <v>167963</v>
      </c>
      <c r="BQ1321"/>
      <c r="BR1321"/>
      <c r="BS1321"/>
      <c r="BT1321"/>
      <c r="BU1321"/>
      <c r="BV1321">
        <v>2735904</v>
      </c>
      <c r="BW1321" t="inlineStr">
        <is>
          <t>Follow Up : Decision Pending</t>
        </is>
      </c>
      <c r="BX1321"/>
      <c r="BY1321"/>
      <c r="BZ1321" s="4"/>
      <c r="CA1321"/>
      <c r="CB1321"/>
      <c r="CC1321" s="4"/>
      <c r="CD1321" t="inlineStr">
        <is>
          <t>20</t>
        </is>
      </c>
      <c r="CE1321" t="inlineStr">
        <is>
          <t>0</t>
        </is>
      </c>
      <c r="CF1321" t="inlineStr">
        <is>
          <t>Q2-W03</t>
        </is>
      </c>
      <c r="CG1321"/>
      <c r="CH1321"/>
      <c r="CI1321"/>
      <c r="CJ1321" t="inlineStr">
        <is>
          <t>No Paid</t>
        </is>
      </c>
      <c r="CK1321" t="inlineStr">
        <is>
          <t>Eligible</t>
        </is>
      </c>
      <c r="CL1321"/>
      <c r="CM1321"/>
    </row>
    <row r="1322" ht="25.5" customHeight="1">
      <c r="A1322" t="inlineStr">
        <is>
          <t>199255</t>
        </is>
      </c>
      <c r="B1322" s="2"/>
      <c r="C1322"/>
      <c r="D1322" s="3">
        <v>46133.45103009259</v>
      </c>
      <c r="E1322" t="inlineStr">
        <is>
          <t>Q2-W03</t>
        </is>
      </c>
      <c r="F1322" t="inlineStr">
        <is>
          <t>Jia Hui</t>
        </is>
      </c>
      <c r="G1322" t="inlineStr">
        <is>
          <t>Customer</t>
        </is>
      </c>
      <c r="H1322" s="2" t="str">
        <f>=HYPERLINK("https://upbox.ajobthing.my/customer/199255", "https://upbox.ajobthing.my/customer/199255")</f>
        <v>https://upbox.ajobthing.my/customer/199255</v>
      </c>
      <c r="I1322" t="inlineStr">
        <is>
          <t>IDC Foods  Sdn. Bhd.</t>
        </is>
      </c>
      <c r="J1322" t="inlineStr">
        <is>
          <t>Whale</t>
        </is>
      </c>
      <c r="K1322" t="inlineStr">
        <is>
          <t>Jia Hui</t>
        </is>
      </c>
      <c r="L1322" s="4"/>
      <c r="M1322" s="4">
        <v>46133.453784722224</v>
      </c>
      <c r="N1322"/>
      <c r="O1322">
        <v>5508</v>
      </c>
      <c r="P1322" s="4"/>
      <c r="Q1322" s="4">
        <v>46133.48678240741</v>
      </c>
      <c r="R1322"/>
      <c r="S1322">
        <v>5508</v>
      </c>
      <c r="T1322" s="4">
        <v>46036.4419212963</v>
      </c>
      <c r="U1322" s="4"/>
      <c r="V1322"/>
      <c r="W1322">
        <v>5184</v>
      </c>
      <c r="X1322"/>
      <c r="Y1322" t="inlineStr">
        <is>
          <t>Pending Appointment</t>
        </is>
      </c>
      <c r="Z1322" t="inlineStr">
        <is>
          <t>Hiring Now</t>
        </is>
      </c>
      <c r="AA1322">
        <v>5.5</v>
      </c>
      <c r="AB1322" t="inlineStr">
        <is>
          <t>No Appointment Made</t>
        </is>
      </c>
      <c r="AC1322"/>
      <c r="AD1322" t="inlineStr">
        <is>
          <t>5-6 f&amp;b crew</t>
        </is>
      </c>
      <c r="AE1322"/>
      <c r="AF1322">
        <v>1000</v>
      </c>
      <c r="AG1322" s="4"/>
      <c r="AH1322" s="4"/>
      <c r="AI1322"/>
      <c r="AJ1322"/>
      <c r="AK1322" t="inlineStr">
        <is>
          <t>Yes, I have</t>
        </is>
      </c>
      <c r="AL1322"/>
      <c r="AM1322"/>
      <c r="AN1322"/>
      <c r="AO1322"/>
      <c r="AP1322" t="inlineStr">
        <is>
          <t>Once per quarter (75%)</t>
        </is>
      </c>
      <c r="AQ1322"/>
      <c r="AR1322"/>
      <c r="AS1322" t="inlineStr">
        <is>
          <t>- Headcount: 6
- Hiring Job Details: 5-6 f&amp;b crew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per quarter (75%)
- External job portal: Not specified</t>
        </is>
      </c>
      <c r="AT1322">
        <v>85</v>
      </c>
      <c r="AU1322" t="inlineStr">
        <is>
          <t>0.85</t>
        </is>
      </c>
      <c r="AV1322" t="inlineStr">
        <is>
          <t>20</t>
        </is>
      </c>
      <c r="AW1322" t="inlineStr">
        <is>
          <t>0</t>
        </is>
      </c>
      <c r="AX1322" t="inlineStr">
        <is>
          <t>Not Qualified</t>
        </is>
      </c>
      <c r="AY1322" s="4"/>
      <c r="AZ1322"/>
      <c r="BA1322"/>
      <c r="BB1322"/>
      <c r="BC1322" t="inlineStr">
        <is>
          <t>pending payment, will transfer by today</t>
        </is>
      </c>
      <c r="BD1322" s="4">
        <v>46135.499189814815</v>
      </c>
      <c r="BE1322" t="inlineStr">
        <is>
          <t>pending</t>
        </is>
      </c>
      <c r="BF1322" t="inlineStr">
        <is>
          <t>Q1-W02</t>
        </is>
      </c>
      <c r="BG1322" t="inlineStr">
        <is>
          <t>Reschedule</t>
        </is>
      </c>
      <c r="BH1322" t="inlineStr">
        <is>
          <t>Reagen</t>
        </is>
      </c>
      <c r="BI1322" t="inlineStr">
        <is>
          <t>Food / Beverage</t>
        </is>
      </c>
      <c r="BJ1322" s="4">
        <v>46144.753275462965</v>
      </c>
      <c r="BK1322" s="4">
        <v>46001.59627314815</v>
      </c>
      <c r="BL1322" t="inlineStr">
        <is>
          <t>5184.0</t>
        </is>
      </c>
      <c r="BM1322" t="inlineStr">
        <is>
          <t>600.0</t>
        </is>
      </c>
      <c r="BN1322" t="inlineStr">
        <is>
          <t>View Company Page</t>
        </is>
      </c>
      <c r="BO1322" s="4">
        <v>46141.46974537037</v>
      </c>
      <c r="BP1322">
        <v>167965</v>
      </c>
      <c r="BQ1322">
        <v>123427</v>
      </c>
      <c r="BR1322" t="inlineStr">
        <is>
          <t>Proforma</t>
        </is>
      </c>
      <c r="BS1322" t="inlineStr">
        <is>
          <t>AI Yearly Professional Plan (Jan 26)</t>
        </is>
      </c>
      <c r="BT1322">
        <v>85572</v>
      </c>
      <c r="BU1322"/>
      <c r="BV1322">
        <v>2722989</v>
      </c>
      <c r="BW1322" t="inlineStr">
        <is>
          <t>Follow Up : Payment Pending</t>
        </is>
      </c>
      <c r="BX1322">
        <v>12</v>
      </c>
      <c r="BY1322">
        <v>1</v>
      </c>
      <c r="BZ1322" s="4">
        <v>46134.66195601852</v>
      </c>
      <c r="CA1322">
        <v>120</v>
      </c>
      <c r="CB1322">
        <v>38</v>
      </c>
      <c r="CC1322" s="4">
        <v>46128.645208333335</v>
      </c>
      <c r="CD1322" t="inlineStr">
        <is>
          <t>30</t>
        </is>
      </c>
      <c r="CE1322" t="inlineStr">
        <is>
          <t>0</t>
        </is>
      </c>
      <c r="CF1322" t="inlineStr">
        <is>
          <t>Q2-W03</t>
        </is>
      </c>
      <c r="CG1322" t="inlineStr">
        <is>
          <t>Q2-W03</t>
        </is>
      </c>
      <c r="CH1322" t="inlineStr">
        <is>
          <t>Q1-W02</t>
        </is>
      </c>
      <c r="CI1322"/>
      <c r="CJ1322" t="inlineStr">
        <is>
          <t>Paid</t>
        </is>
      </c>
      <c r="CK1322" t="inlineStr">
        <is>
          <t>Eligible</t>
        </is>
      </c>
      <c r="CL1322"/>
      <c r="CM1322"/>
    </row>
    <row r="1323" ht="25.5" customHeight="1">
      <c r="A1323" t="inlineStr">
        <is>
          <t>199484</t>
        </is>
      </c>
      <c r="B1323" s="2"/>
      <c r="C1323"/>
      <c r="D1323" s="3">
        <v>46133.453831018516</v>
      </c>
      <c r="E1323" t="inlineStr">
        <is>
          <t>Q2-W03</t>
        </is>
      </c>
      <c r="F1323" t="inlineStr">
        <is>
          <t>Evan</t>
        </is>
      </c>
      <c r="G1323" t="inlineStr">
        <is>
          <t>Customer</t>
        </is>
      </c>
      <c r="H1323" s="2" t="str">
        <f>=HYPERLINK("https://upbox.ajobthing.my/customer/199484", "https://upbox.ajobthing.my/customer/199484")</f>
        <v>https://upbox.ajobthing.my/customer/199484</v>
      </c>
      <c r="I1323" t="inlineStr">
        <is>
          <t>M&amp;J Supply Chain Services Sdn Bhd</t>
        </is>
      </c>
      <c r="J1323" t="inlineStr">
        <is>
          <t>Whale</t>
        </is>
      </c>
      <c r="K1323" t="inlineStr">
        <is>
          <t>Evan</t>
        </is>
      </c>
      <c r="L1323" s="4"/>
      <c r="M1323" s="4">
        <v>46140.446608796294</v>
      </c>
      <c r="N1323"/>
      <c r="O1323">
        <v>5412.96</v>
      </c>
      <c r="P1323" s="4"/>
      <c r="Q1323" s="4">
        <v>46141.45747685185</v>
      </c>
      <c r="R1323"/>
      <c r="S1323">
        <v>5412.96</v>
      </c>
      <c r="T1323" s="4">
        <v>46141.45747685185</v>
      </c>
      <c r="U1323" s="4"/>
      <c r="V1323"/>
      <c r="W1323">
        <v>5412.96</v>
      </c>
      <c r="X1323"/>
      <c r="Y1323" t="inlineStr">
        <is>
          <t>Pending Appointment</t>
        </is>
      </c>
      <c r="Z1323" t="inlineStr">
        <is>
          <t>Hiring Now</t>
        </is>
      </c>
      <c r="AA1323">
        <v>1</v>
      </c>
      <c r="AB1323" t="inlineStr">
        <is>
          <t>No Appointment Made</t>
        </is>
      </c>
      <c r="AC1323"/>
      <c r="AD1323" t="inlineStr">
        <is>
          <t>1 operator, all base in klang</t>
        </is>
      </c>
      <c r="AE1323"/>
      <c r="AF1323">
        <v>2</v>
      </c>
      <c r="AG1323" s="4"/>
      <c r="AH1323" s="4"/>
      <c r="AI1323">
        <v>1</v>
      </c>
      <c r="AJ1323">
        <v>1</v>
      </c>
      <c r="AK1323" t="inlineStr">
        <is>
          <t>No, I don't need at all</t>
        </is>
      </c>
      <c r="AL1323">
        <v>0</v>
      </c>
      <c r="AM1323" t="inlineStr">
        <is>
          <t>No, I don't need at all</t>
        </is>
      </c>
      <c r="AN1323"/>
      <c r="AO1323" t="inlineStr">
        <is>
          <t>No, I don't need at all</t>
        </is>
      </c>
      <c r="AP1323" t="inlineStr">
        <is>
          <t>Every month (100%)</t>
        </is>
      </c>
      <c r="AQ1323">
        <v>1</v>
      </c>
      <c r="AR1323" t="inlineStr">
        <is>
          <t>Jobstreet</t>
        </is>
      </c>
      <c r="AS1323" t="inlineStr">
        <is>
          <t>- Headcount: 1
- Hiring Job Details: 1 operator, all base in klang
- Hiring Urgency: Hiring Now
- Number of outlets: 1
- Have recruiter team: No, I don't need at all
- Number of recruiter in company: 0
- Have ATS system: No, I don't need at all
- Have career website: No, I don't need at all
- Current hiring budget: RM2.00
- Whole year budget: RM1.00
- Whole year number of vacancies: 1
- Hiring frequency: Every month (100%)
- External job portal: Jobstreet</t>
        </is>
      </c>
      <c r="AT1323">
        <v>115</v>
      </c>
      <c r="AU1323" t="inlineStr">
        <is>
          <t>1.15</t>
        </is>
      </c>
      <c r="AV1323" t="inlineStr">
        <is>
          <t>15</t>
        </is>
      </c>
      <c r="AW1323" t="inlineStr">
        <is>
          <t>0</t>
        </is>
      </c>
      <c r="AX1323" t="inlineStr">
        <is>
          <t>Not Qualified</t>
        </is>
      </c>
      <c r="AY1323" s="4"/>
      <c r="AZ1323"/>
      <c r="BA1323"/>
      <c r="BB1323"/>
      <c r="BC1323" t="inlineStr">
        <is>
          <t>paid</t>
        </is>
      </c>
      <c r="BD1323" s="4">
        <v>46141.430393518516</v>
      </c>
      <c r="BE1323" t="inlineStr">
        <is>
          <t>paid</t>
        </is>
      </c>
      <c r="BF1323" t="inlineStr">
        <is>
          <t>Q2-W04</t>
        </is>
      </c>
      <c r="BG1323" t="inlineStr">
        <is>
          <t>Reschedule</t>
        </is>
      </c>
      <c r="BH1323" t="inlineStr">
        <is>
          <t>Edward Hoo</t>
        </is>
      </c>
      <c r="BI1323" t="inlineStr">
        <is>
          <t>Business / Mgmt Consulting</t>
        </is>
      </c>
      <c r="BJ1323" s="4">
        <v>46144.75332175926</v>
      </c>
      <c r="BK1323" s="4">
        <v>46008.5659375</v>
      </c>
      <c r="BL1323" t="inlineStr">
        <is>
          <t>12337.9</t>
        </is>
      </c>
      <c r="BM1323" t="inlineStr">
        <is>
          <t>0.0</t>
        </is>
      </c>
      <c r="BN1323" t="inlineStr">
        <is>
          <t>View Company Page</t>
        </is>
      </c>
      <c r="BO1323" s="4">
        <v>46142.88238425926</v>
      </c>
      <c r="BP1323">
        <v>169149</v>
      </c>
      <c r="BQ1323">
        <v>95072</v>
      </c>
      <c r="BR1323" t="inlineStr">
        <is>
          <t>Online</t>
        </is>
      </c>
      <c r="BS1323"/>
      <c r="BT1323">
        <v>95072</v>
      </c>
      <c r="BU1323"/>
      <c r="BV1323">
        <v>2734364</v>
      </c>
      <c r="BW1323" t="inlineStr">
        <is>
          <t>Follow Up : Win - Customer Paid</t>
        </is>
      </c>
      <c r="BX1323">
        <v>28</v>
      </c>
      <c r="BY1323">
        <v>12</v>
      </c>
      <c r="BZ1323" s="4">
        <v>46141.72390046297</v>
      </c>
      <c r="CA1323">
        <v>280</v>
      </c>
      <c r="CB1323">
        <v>280</v>
      </c>
      <c r="CC1323" s="4"/>
      <c r="CD1323" t="inlineStr">
        <is>
          <t>20</t>
        </is>
      </c>
      <c r="CE1323" t="inlineStr">
        <is>
          <t>0</t>
        </is>
      </c>
      <c r="CF1323" t="inlineStr">
        <is>
          <t>Q2-W04</t>
        </is>
      </c>
      <c r="CG1323" t="inlineStr">
        <is>
          <t>Q2-W04</t>
        </is>
      </c>
      <c r="CH1323" t="inlineStr">
        <is>
          <t>Q2-W04</t>
        </is>
      </c>
      <c r="CI1323"/>
      <c r="CJ1323" t="inlineStr">
        <is>
          <t>Paid</t>
        </is>
      </c>
      <c r="CK1323" t="inlineStr">
        <is>
          <t>Eligible</t>
        </is>
      </c>
      <c r="CL1323"/>
      <c r="CM1323"/>
    </row>
    <row r="1324" ht="25.5" customHeight="1">
      <c r="A1324" t="inlineStr">
        <is>
          <t>184724</t>
        </is>
      </c>
      <c r="B1324" s="2"/>
      <c r="C1324"/>
      <c r="D1324" s="3">
        <v>46133.49359953704</v>
      </c>
      <c r="E1324" t="inlineStr">
        <is>
          <t>Q2-W03</t>
        </is>
      </c>
      <c r="F1324" t="inlineStr">
        <is>
          <t>Clover</t>
        </is>
      </c>
      <c r="G1324" t="inlineStr">
        <is>
          <t>Customer</t>
        </is>
      </c>
      <c r="H1324" s="2" t="str">
        <f>=HYPERLINK("https://upbox.ajobthing.my/customer/184724", "https://upbox.ajobthing.my/customer/184724")</f>
        <v>https://upbox.ajobthing.my/customer/184724</v>
      </c>
      <c r="I1324" t="inlineStr">
        <is>
          <t>Dedienne Aerospace Malaysia Sdn Bhd</t>
        </is>
      </c>
      <c r="J1324" t="inlineStr">
        <is>
          <t>Whale</t>
        </is>
      </c>
      <c r="K1324" t="inlineStr">
        <is>
          <t>Clover</t>
        </is>
      </c>
      <c r="L1324" s="4"/>
      <c r="M1324" s="4">
        <v>46134.393738425926</v>
      </c>
      <c r="N1324"/>
      <c r="O1324">
        <v>1728</v>
      </c>
      <c r="P1324" s="4"/>
      <c r="Q1324" s="4">
        <v>46135.7466087963</v>
      </c>
      <c r="R1324"/>
      <c r="S1324">
        <v>1728</v>
      </c>
      <c r="T1324" s="4">
        <v>46135.7466087963</v>
      </c>
      <c r="U1324" s="4"/>
      <c r="V1324"/>
      <c r="W1324">
        <v>1728</v>
      </c>
      <c r="X1324"/>
      <c r="Y1324" t="inlineStr">
        <is>
          <t>Pending Appointment</t>
        </is>
      </c>
      <c r="Z1324" t="inlineStr">
        <is>
          <t>Hiring Now</t>
        </is>
      </c>
      <c r="AA1324">
        <v>2</v>
      </c>
      <c r="AB1324" t="inlineStr">
        <is>
          <t>No Appointment Made</t>
        </is>
      </c>
      <c r="AC1324"/>
      <c r="AD1324" t="inlineStr">
        <is>
          <t>hire technician x1, admin x1, all races, aerospace tooling, subang, prefer 800 ala carte</t>
        </is>
      </c>
      <c r="AE1324"/>
      <c r="AF1324">
        <v>3000</v>
      </c>
      <c r="AG1324" s="4"/>
      <c r="AH1324" s="4"/>
      <c r="AI1324">
        <v>3000</v>
      </c>
      <c r="AJ1324">
        <v>1</v>
      </c>
      <c r="AK1324" t="inlineStr">
        <is>
          <t>No, but I want in future</t>
        </is>
      </c>
      <c r="AL1324">
        <v>1</v>
      </c>
      <c r="AM1324" t="inlineStr">
        <is>
          <t>No, but I want in future</t>
        </is>
      </c>
      <c r="AN1324"/>
      <c r="AO1324" t="inlineStr">
        <is>
          <t>No, but I want in future</t>
        </is>
      </c>
      <c r="AP1324" t="inlineStr">
        <is>
          <t>Twice a year (50%)</t>
        </is>
      </c>
      <c r="AQ1324">
        <v>2</v>
      </c>
      <c r="AR1324" t="inlineStr">
        <is>
          <t>Did not use any job portal</t>
        </is>
      </c>
      <c r="AS1324" t="inlineStr">
        <is>
          <t>- Headcount: 2
- Hiring Job Details: hire technician x1, admin x1, all races, aerospace tooling, subang, prefer 800 ala carte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1324">
        <v>115</v>
      </c>
      <c r="AU1324" t="inlineStr">
        <is>
          <t>1.15</t>
        </is>
      </c>
      <c r="AV1324" t="inlineStr">
        <is>
          <t>15</t>
        </is>
      </c>
      <c r="AW1324" t="inlineStr">
        <is>
          <t>0</t>
        </is>
      </c>
      <c r="AX1324" t="inlineStr">
        <is>
          <t>Not Qualified</t>
        </is>
      </c>
      <c r="AY1324" s="4"/>
      <c r="AZ1324"/>
      <c r="BA1324"/>
      <c r="BB1324"/>
      <c r="BC1324" t="inlineStr">
        <is>
          <t>collect job draft</t>
        </is>
      </c>
      <c r="BD1324" s="4">
        <v>46136.41049768519</v>
      </c>
      <c r="BE1324" t="inlineStr">
        <is>
          <t>paid</t>
        </is>
      </c>
      <c r="BF1324" t="inlineStr">
        <is>
          <t>Q2-W03</t>
        </is>
      </c>
      <c r="BG1324" t="inlineStr">
        <is>
          <t>Reschedule</t>
        </is>
      </c>
      <c r="BH1324" t="inlineStr">
        <is>
          <t>Reagen</t>
        </is>
      </c>
      <c r="BI1324" t="inlineStr">
        <is>
          <t>Aviation / Airline</t>
        </is>
      </c>
      <c r="BJ1324" s="4">
        <v>46144.75201388889</v>
      </c>
      <c r="BK1324" s="4">
        <v>45608.47053240741</v>
      </c>
      <c r="BL1324" t="inlineStr">
        <is>
          <t>5184.0</t>
        </is>
      </c>
      <c r="BM1324" t="inlineStr">
        <is>
          <t>0.0</t>
        </is>
      </c>
      <c r="BN1324" t="inlineStr">
        <is>
          <t>View Company Page</t>
        </is>
      </c>
      <c r="BO1324" s="4">
        <v>46140.54938657407</v>
      </c>
      <c r="BP1324">
        <v>168395</v>
      </c>
      <c r="BQ1324">
        <v>94687</v>
      </c>
      <c r="BR1324" t="inlineStr">
        <is>
          <t>Online</t>
        </is>
      </c>
      <c r="BS1324"/>
      <c r="BT1324">
        <v>94687</v>
      </c>
      <c r="BU1324"/>
      <c r="BV1324">
        <v>2725451</v>
      </c>
      <c r="BW1324" t="inlineStr">
        <is>
          <t>Service / Technical : Help To Post Job</t>
        </is>
      </c>
      <c r="BX1324">
        <v>2</v>
      </c>
      <c r="BY1324">
        <v>0</v>
      </c>
      <c r="BZ1324" s="4">
        <v>46136.42045138889</v>
      </c>
      <c r="CA1324">
        <v>20</v>
      </c>
      <c r="CB1324">
        <v>20</v>
      </c>
      <c r="CC1324" s="4"/>
      <c r="CD1324" t="inlineStr">
        <is>
          <t>20</t>
        </is>
      </c>
      <c r="CE1324" t="inlineStr">
        <is>
          <t>0</t>
        </is>
      </c>
      <c r="CF1324" t="inlineStr">
        <is>
          <t>Q2-W03</t>
        </is>
      </c>
      <c r="CG1324" t="inlineStr">
        <is>
          <t>Q2-W03</t>
        </is>
      </c>
      <c r="CH1324" t="inlineStr">
        <is>
          <t>Q2-W03</t>
        </is>
      </c>
      <c r="CI1324"/>
      <c r="CJ1324" t="inlineStr">
        <is>
          <t>Paid</t>
        </is>
      </c>
      <c r="CK1324" t="inlineStr">
        <is>
          <t>Eligible</t>
        </is>
      </c>
      <c r="CL1324"/>
      <c r="CM1324"/>
    </row>
    <row r="1325" ht="25.5" customHeight="1">
      <c r="A1325" t="inlineStr">
        <is>
          <t>181756</t>
        </is>
      </c>
      <c r="B1325" s="2"/>
      <c r="C1325"/>
      <c r="D1325" s="3">
        <v>46133.55233796296</v>
      </c>
      <c r="E1325" t="inlineStr">
        <is>
          <t>Q2-W03</t>
        </is>
      </c>
      <c r="F1325" t="inlineStr">
        <is>
          <t>Angel  Low</t>
        </is>
      </c>
      <c r="G1325" t="inlineStr">
        <is>
          <t>Customer</t>
        </is>
      </c>
      <c r="H1325" s="2" t="str">
        <f>=HYPERLINK("https://upbox.ajobthing.my/customer/181756", "https://upbox.ajobthing.my/customer/181756")</f>
        <v>https://upbox.ajobthing.my/customer/181756</v>
      </c>
      <c r="I1325" t="inlineStr">
        <is>
          <t>EKG M&amp;E Sdn Bhd</t>
        </is>
      </c>
      <c r="J1325" t="inlineStr">
        <is>
          <t>Whale</t>
        </is>
      </c>
      <c r="K1325" t="inlineStr">
        <is>
          <t>Angel Low</t>
        </is>
      </c>
      <c r="L1325" s="4"/>
      <c r="M1325" s="4">
        <v>46133.55273148148</v>
      </c>
      <c r="N1325"/>
      <c r="O1325">
        <v>5508</v>
      </c>
      <c r="P1325" s="4"/>
      <c r="Q1325" s="4">
        <v>45951.395578703705</v>
      </c>
      <c r="R1325"/>
      <c r="S1325">
        <v>0</v>
      </c>
      <c r="T1325" s="4">
        <v>45897.77155092593</v>
      </c>
      <c r="U1325" s="4"/>
      <c r="V1325"/>
      <c r="W1325">
        <v>3672</v>
      </c>
      <c r="X1325"/>
      <c r="Y1325" t="inlineStr">
        <is>
          <t>Pending Appointment</t>
        </is>
      </c>
      <c r="Z1325"/>
      <c r="AA1325">
        <v>1</v>
      </c>
      <c r="AB1325" t="inlineStr">
        <is>
          <t>No Appointment Made</t>
        </is>
      </c>
      <c r="AC1325"/>
      <c r="AD1325" t="inlineStr">
        <is>
          <t xml:space="preserve">1 digital marketing </t>
        </is>
      </c>
      <c r="AE1325"/>
      <c r="AF1325"/>
      <c r="AG1325" s="4"/>
      <c r="AH1325" s="4"/>
      <c r="AI1325"/>
      <c r="AJ1325"/>
      <c r="AK1325"/>
      <c r="AL1325"/>
      <c r="AM1325"/>
      <c r="AN1325"/>
      <c r="AO1325"/>
      <c r="AP1325"/>
      <c r="AQ1325"/>
      <c r="AR1325"/>
      <c r="AS1325" t="inlineStr">
        <is>
          <t>- Headcount: 1
- Hiring Job Details: 1 digital marketing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325">
        <v>60</v>
      </c>
      <c r="AU1325" t="inlineStr">
        <is>
          <t>0.60</t>
        </is>
      </c>
      <c r="AV1325" t="inlineStr">
        <is>
          <t>5</t>
        </is>
      </c>
      <c r="AW1325" t="inlineStr">
        <is>
          <t>0</t>
        </is>
      </c>
      <c r="AX1325" t="inlineStr">
        <is>
          <t>Not Qualified</t>
        </is>
      </c>
      <c r="AY1325" s="4"/>
      <c r="AZ1325"/>
      <c r="BA1325"/>
      <c r="BB1325"/>
      <c r="BC1325" t="inlineStr">
        <is>
          <t>only 10% -20% cdd is relevant. help promote</t>
        </is>
      </c>
      <c r="BD1325" s="4">
        <v>46141.42296296296</v>
      </c>
      <c r="BE1325" t="inlineStr">
        <is>
          <t>paid</t>
        </is>
      </c>
      <c r="BF1325"/>
      <c r="BG1325" t="inlineStr">
        <is>
          <t>Reschedule</t>
        </is>
      </c>
      <c r="BH1325" t="inlineStr">
        <is>
          <t>Fauziah Maharan</t>
        </is>
      </c>
      <c r="BI1325" t="inlineStr">
        <is>
          <t>Construction / Building</t>
        </is>
      </c>
      <c r="BJ1325" s="4">
        <v>46144.75188657407</v>
      </c>
      <c r="BK1325" s="4">
        <v>45523.00363425926</v>
      </c>
      <c r="BL1325" t="inlineStr">
        <is>
          <t>4752.0</t>
        </is>
      </c>
      <c r="BM1325" t="inlineStr">
        <is>
          <t>600.0</t>
        </is>
      </c>
      <c r="BN1325" t="inlineStr">
        <is>
          <t>View Company Page</t>
        </is>
      </c>
      <c r="BO1325" s="4">
        <v>46141.58765046296</v>
      </c>
      <c r="BP1325">
        <v>168018</v>
      </c>
      <c r="BQ1325">
        <v>110898</v>
      </c>
      <c r="BR1325" t="inlineStr">
        <is>
          <t>Proforma</t>
        </is>
      </c>
      <c r="BS1325" t="inlineStr">
        <is>
          <t>A La Carte AI Job Ad Free</t>
        </is>
      </c>
      <c r="BT1325">
        <v>81979</v>
      </c>
      <c r="BU1325"/>
      <c r="BV1325">
        <v>2734309</v>
      </c>
      <c r="BW1325" t="inlineStr">
        <is>
          <t>Service / Technical : Job Outcome Enquiry</t>
        </is>
      </c>
      <c r="BX1325">
        <v>6</v>
      </c>
      <c r="BY1325">
        <v>0</v>
      </c>
      <c r="BZ1325" s="4">
        <v>46106.36888888889</v>
      </c>
      <c r="CA1325">
        <v>60</v>
      </c>
      <c r="CB1325">
        <v>44</v>
      </c>
      <c r="CC1325" s="4">
        <v>46064.6222337963</v>
      </c>
      <c r="CD1325" t="inlineStr">
        <is>
          <t>5</t>
        </is>
      </c>
      <c r="CE1325" t="inlineStr">
        <is>
          <t>0</t>
        </is>
      </c>
      <c r="CF1325" t="inlineStr">
        <is>
          <t>Q2-W03</t>
        </is>
      </c>
      <c r="CG1325"/>
      <c r="CH1325"/>
      <c r="CI1325"/>
      <c r="CJ1325" t="inlineStr">
        <is>
          <t>Paid</t>
        </is>
      </c>
      <c r="CK1325" t="inlineStr">
        <is>
          <t>Eligible</t>
        </is>
      </c>
      <c r="CL1325"/>
      <c r="CM1325"/>
    </row>
    <row r="1326" ht="25.5" customHeight="1">
      <c r="A1326" t="inlineStr">
        <is>
          <t>120581</t>
        </is>
      </c>
      <c r="B1326" s="2"/>
      <c r="C1326"/>
      <c r="D1326" s="3">
        <v>46133.606261574074</v>
      </c>
      <c r="E1326" t="inlineStr">
        <is>
          <t>Q2-W03</t>
        </is>
      </c>
      <c r="F1326" t="inlineStr">
        <is>
          <t>Yvonne Lee</t>
        </is>
      </c>
      <c r="G1326" t="inlineStr">
        <is>
          <t>Customer</t>
        </is>
      </c>
      <c r="H1326" s="2" t="str">
        <f>=HYPERLINK("https://upbox.ajobthing.my/customer/120581", "https://upbox.ajobthing.my/customer/120581")</f>
        <v>https://upbox.ajobthing.my/customer/120581</v>
      </c>
      <c r="I1326" t="inlineStr">
        <is>
          <t>Axxel Marketing Sdn Bhd</t>
        </is>
      </c>
      <c r="J1326" t="inlineStr">
        <is>
          <t>Whale</t>
        </is>
      </c>
      <c r="K1326" t="inlineStr">
        <is>
          <t>Yvonne</t>
        </is>
      </c>
      <c r="L1326" s="4"/>
      <c r="M1326" s="4">
        <v>46133.61189814815</v>
      </c>
      <c r="N1326"/>
      <c r="O1326">
        <v>6048</v>
      </c>
      <c r="P1326" s="4"/>
      <c r="Q1326" s="4">
        <v>45656.479050925926</v>
      </c>
      <c r="R1326"/>
      <c r="S1326">
        <v>3132</v>
      </c>
      <c r="T1326" s="4">
        <v>45513.36106481482</v>
      </c>
      <c r="U1326" s="4"/>
      <c r="V1326"/>
      <c r="W1326">
        <v>2916</v>
      </c>
      <c r="X1326"/>
      <c r="Y1326" t="inlineStr">
        <is>
          <t>Pending Appointment</t>
        </is>
      </c>
      <c r="Z1326" t="inlineStr">
        <is>
          <t>Hiring Now</t>
        </is>
      </c>
      <c r="AA1326">
        <v>2</v>
      </c>
      <c r="AB1326" t="inlineStr">
        <is>
          <t>No Appointment Made</t>
        </is>
      </c>
      <c r="AC1326"/>
      <c r="AD1326" t="inlineStr">
        <is>
          <t>1) Key Account Manager
2) Senior Graphic Designer</t>
        </is>
      </c>
      <c r="AE1326"/>
      <c r="AF1326">
        <v>10000</v>
      </c>
      <c r="AG1326" s="4"/>
      <c r="AH1326" s="4"/>
      <c r="AI1326">
        <v>10000</v>
      </c>
      <c r="AJ1326">
        <v>1</v>
      </c>
      <c r="AK1326" t="inlineStr">
        <is>
          <t>Yes, I have</t>
        </is>
      </c>
      <c r="AL1326">
        <v>1</v>
      </c>
      <c r="AM1326" t="inlineStr">
        <is>
          <t>No, I don't need at all</t>
        </is>
      </c>
      <c r="AN1326"/>
      <c r="AO1326" t="inlineStr">
        <is>
          <t>No, I don't need at all</t>
        </is>
      </c>
      <c r="AP1326" t="inlineStr">
        <is>
          <t>Once per quarter (75%)</t>
        </is>
      </c>
      <c r="AQ1326">
        <v>20</v>
      </c>
      <c r="AR1326" t="inlineStr">
        <is>
          <t>Jobstreet, Jobstore</t>
        </is>
      </c>
      <c r="AS1326" t="inlineStr">
        <is>
          <t>- Headcount: 2
- Hiring Job Details: 1) Key Account Manager 2) Senior Graphic Designer
- Hiring Urgency: Hiring Now
- Number of outlets: 1
- Have recruiter team: Yes
- Number of recruiter in company: 1
- Have ATS system: No, I don't need at all
- Have career website: No, I don't need at all
- Current hiring budget: RM10,000
- Whole year budget: RM10,000.00
- Whole year number of vacancies: 20
- Hiring frequency: Once per quarter (75%)
- External job portal: Jobstreet, Jobstore</t>
        </is>
      </c>
      <c r="AT1326">
        <v>110</v>
      </c>
      <c r="AU1326" t="inlineStr">
        <is>
          <t>1.10</t>
        </is>
      </c>
      <c r="AV1326" t="inlineStr">
        <is>
          <t>15</t>
        </is>
      </c>
      <c r="AW1326" t="inlineStr">
        <is>
          <t>0</t>
        </is>
      </c>
      <c r="AX1326" t="inlineStr">
        <is>
          <t>Not Qualified</t>
        </is>
      </c>
      <c r="AY1326" s="4"/>
      <c r="AZ1326"/>
      <c r="BA1326"/>
      <c r="BB1326"/>
      <c r="BC1326" t="inlineStr">
        <is>
          <t>Quotation shared and mentioned management will back earlier of May.</t>
        </is>
      </c>
      <c r="BD1326" s="4">
        <v>46134.455196759256</v>
      </c>
      <c r="BE1326" t="inlineStr">
        <is>
          <t>pending</t>
        </is>
      </c>
      <c r="BF1326"/>
      <c r="BG1326" t="inlineStr">
        <is>
          <t>Reschedule</t>
        </is>
      </c>
      <c r="BH1326" t="inlineStr">
        <is>
          <t>andy@ajobthing.com</t>
        </is>
      </c>
      <c r="BI1326" t="inlineStr">
        <is>
          <t>General / Wholesale Trading</t>
        </is>
      </c>
      <c r="BJ1326" s="4">
        <v>46144.750231481485</v>
      </c>
      <c r="BK1326" s="4">
        <v>43679.60599537037</v>
      </c>
      <c r="BL1326" t="inlineStr">
        <is>
          <t>0.0</t>
        </is>
      </c>
      <c r="BM1326" t="inlineStr">
        <is>
          <t>9600.0</t>
        </is>
      </c>
      <c r="BN1326" t="inlineStr">
        <is>
          <t>View Account User</t>
        </is>
      </c>
      <c r="BO1326" s="4">
        <v>45826.62396990741</v>
      </c>
      <c r="BP1326">
        <v>168055</v>
      </c>
      <c r="BQ1326">
        <v>99282</v>
      </c>
      <c r="BR1326" t="inlineStr">
        <is>
          <t>Proforma</t>
        </is>
      </c>
      <c r="BS1326" t="inlineStr">
        <is>
          <t>Yearly Standard Plan</t>
        </is>
      </c>
      <c r="BT1326">
        <v>71894</v>
      </c>
      <c r="BU1326"/>
      <c r="BV1326">
        <v>2719842</v>
      </c>
      <c r="BW1326" t="inlineStr">
        <is>
          <t>Inquire for Hiring Needs : Quotation Sent 50%</t>
        </is>
      </c>
      <c r="BX1326"/>
      <c r="BY1326"/>
      <c r="BZ1326" s="4"/>
      <c r="CA1326"/>
      <c r="CB1326"/>
      <c r="CC1326" s="4"/>
      <c r="CD1326" t="inlineStr">
        <is>
          <t>20</t>
        </is>
      </c>
      <c r="CE1326" t="inlineStr">
        <is>
          <t>0</t>
        </is>
      </c>
      <c r="CF1326" t="inlineStr">
        <is>
          <t>Q2-W03</t>
        </is>
      </c>
      <c r="CG1326"/>
      <c r="CH1326"/>
      <c r="CI1326"/>
      <c r="CJ1326" t="inlineStr">
        <is>
          <t>Paid</t>
        </is>
      </c>
      <c r="CK1326" t="inlineStr">
        <is>
          <t>Eligible</t>
        </is>
      </c>
      <c r="CL1326"/>
      <c r="CM1326"/>
    </row>
    <row r="1327" ht="25.5" customHeight="1">
      <c r="A1327" t="inlineStr">
        <is>
          <t>126964</t>
        </is>
      </c>
      <c r="B1327" s="2"/>
      <c r="C1327"/>
      <c r="D1327" s="3">
        <v>46133.61078703704</v>
      </c>
      <c r="E1327" t="inlineStr">
        <is>
          <t>Q2-W03</t>
        </is>
      </c>
      <c r="F1327" t="inlineStr">
        <is>
          <t>Xin Quan</t>
        </is>
      </c>
      <c r="G1327" t="inlineStr">
        <is>
          <t>Customer</t>
        </is>
      </c>
      <c r="H1327" s="2" t="str">
        <f>=HYPERLINK("https://upbox.ajobthing.my/customer/126964", "https://upbox.ajobthing.my/customer/126964")</f>
        <v>https://upbox.ajobthing.my/customer/126964</v>
      </c>
      <c r="I1327" t="inlineStr">
        <is>
          <t>Central Medicare Sdn Bhd</t>
        </is>
      </c>
      <c r="J1327" t="inlineStr">
        <is>
          <t>Whale</t>
        </is>
      </c>
      <c r="K1327" t="inlineStr">
        <is>
          <t>Xin Quan</t>
        </is>
      </c>
      <c r="L1327" s="4"/>
      <c r="M1327" s="4">
        <v>46133.64203703704</v>
      </c>
      <c r="N1327"/>
      <c r="O1327">
        <v>6048</v>
      </c>
      <c r="P1327" s="4"/>
      <c r="Q1327" s="4"/>
      <c r="R1327"/>
      <c r="S1327"/>
      <c r="T1327" s="4"/>
      <c r="U1327" s="4"/>
      <c r="V1327"/>
      <c r="W1327"/>
      <c r="X1327"/>
      <c r="Y1327" t="inlineStr">
        <is>
          <t>Pending Appointment</t>
        </is>
      </c>
      <c r="Z1327" t="inlineStr">
        <is>
          <t>Hiring Now</t>
        </is>
      </c>
      <c r="AA1327">
        <v>1</v>
      </c>
      <c r="AB1327" t="inlineStr">
        <is>
          <t>No Appointment Made</t>
        </is>
      </c>
      <c r="AC1327"/>
      <c r="AD1327" t="inlineStr">
        <is>
          <t>1 Information Technology , Base in KL</t>
        </is>
      </c>
      <c r="AE1327"/>
      <c r="AF1327">
        <v>2000</v>
      </c>
      <c r="AG1327" s="4"/>
      <c r="AH1327" s="4"/>
      <c r="AI1327">
        <v>24000</v>
      </c>
      <c r="AJ1327">
        <v>1</v>
      </c>
      <c r="AK1327" t="inlineStr">
        <is>
          <t>No, I don't need at all</t>
        </is>
      </c>
      <c r="AL1327">
        <v>1</v>
      </c>
      <c r="AM1327" t="inlineStr">
        <is>
          <t>No, I don't need at all</t>
        </is>
      </c>
      <c r="AN1327"/>
      <c r="AO1327" t="inlineStr">
        <is>
          <t>No, I don't need at all</t>
        </is>
      </c>
      <c r="AP1327" t="inlineStr">
        <is>
          <t>Once a year (25%)</t>
        </is>
      </c>
      <c r="AQ1327">
        <v>16</v>
      </c>
      <c r="AR1327"/>
      <c r="AS1327" t="inlineStr">
        <is>
          <t>- Headcount: 1
- Hiring Job Details: 1 Information Technology,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16
- Hiring frequency: Once a year (25%)
- External job portal: None</t>
        </is>
      </c>
      <c r="AT1327">
        <v>110</v>
      </c>
      <c r="AU1327" t="inlineStr">
        <is>
          <t>1.10</t>
        </is>
      </c>
      <c r="AV1327" t="inlineStr">
        <is>
          <t>15</t>
        </is>
      </c>
      <c r="AW1327" t="inlineStr">
        <is>
          <t>0</t>
        </is>
      </c>
      <c r="AX1327" t="inlineStr">
        <is>
          <t>Not Qualified</t>
        </is>
      </c>
      <c r="AY1327" s="4"/>
      <c r="AZ1327"/>
      <c r="BA1327"/>
      <c r="BB1327"/>
      <c r="BC1327" t="inlineStr">
        <is>
          <t>FlwUp</t>
        </is>
      </c>
      <c r="BD1327" s="4">
        <v>46141.45395833333</v>
      </c>
      <c r="BE1327"/>
      <c r="BF1327"/>
      <c r="BG1327" t="inlineStr">
        <is>
          <t>Reschedule</t>
        </is>
      </c>
      <c r="BH1327" t="inlineStr">
        <is>
          <t>Edward Hoo</t>
        </is>
      </c>
      <c r="BI1327" t="inlineStr">
        <is>
          <t>Manufacturing / Production</t>
        </is>
      </c>
      <c r="BJ1327" s="4">
        <v>46144.75037037037</v>
      </c>
      <c r="BK1327" s="4">
        <v>44000.496932870374</v>
      </c>
      <c r="BL1327" t="inlineStr">
        <is>
          <t>0.0</t>
        </is>
      </c>
      <c r="BM1327" t="inlineStr">
        <is>
          <t>5400.0</t>
        </is>
      </c>
      <c r="BN1327" t="inlineStr">
        <is>
          <t>View Jobmanager Page</t>
        </is>
      </c>
      <c r="BO1327" s="4">
        <v>44378.43877314815</v>
      </c>
      <c r="BP1327">
        <v>168075</v>
      </c>
      <c r="BQ1327"/>
      <c r="BR1327"/>
      <c r="BS1327"/>
      <c r="BT1327"/>
      <c r="BU1327"/>
      <c r="BV1327">
        <v>2734542</v>
      </c>
      <c r="BW1327" t="inlineStr">
        <is>
          <t>Follow Up : Decision Pending</t>
        </is>
      </c>
      <c r="BX1327"/>
      <c r="BY1327"/>
      <c r="BZ1327" s="4"/>
      <c r="CA1327"/>
      <c r="CB1327"/>
      <c r="CC1327" s="4"/>
      <c r="CD1327" t="inlineStr">
        <is>
          <t>20</t>
        </is>
      </c>
      <c r="CE1327" t="inlineStr">
        <is>
          <t>0</t>
        </is>
      </c>
      <c r="CF1327" t="inlineStr">
        <is>
          <t>Q2-W03</t>
        </is>
      </c>
      <c r="CG1327"/>
      <c r="CH1327"/>
      <c r="CI1327"/>
      <c r="CJ1327" t="inlineStr">
        <is>
          <t>No Paid</t>
        </is>
      </c>
      <c r="CK1327" t="inlineStr">
        <is>
          <t>Eligible</t>
        </is>
      </c>
      <c r="CL1327"/>
      <c r="CM1327"/>
    </row>
    <row r="1328" ht="25.5" customHeight="1">
      <c r="A1328" t="inlineStr">
        <is>
          <t>135877</t>
        </is>
      </c>
      <c r="B1328" s="2"/>
      <c r="C1328"/>
      <c r="D1328" s="3">
        <v>46133.62975694444</v>
      </c>
      <c r="E1328" t="inlineStr">
        <is>
          <t>Q2-W03</t>
        </is>
      </c>
      <c r="F1328" t="inlineStr">
        <is>
          <t>Clover</t>
        </is>
      </c>
      <c r="G1328" t="inlineStr">
        <is>
          <t>Customer</t>
        </is>
      </c>
      <c r="H1328" s="2" t="str">
        <f>=HYPERLINK("https://upbox.ajobthing.my/customer/135877", "https://upbox.ajobthing.my/customer/135877")</f>
        <v>https://upbox.ajobthing.my/customer/135877</v>
      </c>
      <c r="I1328" t="inlineStr">
        <is>
          <t>Ban Zen Motors Sdn Bhd</t>
        </is>
      </c>
      <c r="J1328" t="inlineStr">
        <is>
          <t>Whale</t>
        </is>
      </c>
      <c r="K1328" t="inlineStr">
        <is>
          <t>Clover</t>
        </is>
      </c>
      <c r="L1328" s="4"/>
      <c r="M1328" s="4">
        <v>46141.46318287037</v>
      </c>
      <c r="N1328"/>
      <c r="O1328">
        <v>3576.96</v>
      </c>
      <c r="P1328" s="4"/>
      <c r="Q1328" s="4"/>
      <c r="R1328"/>
      <c r="S1328"/>
      <c r="T1328" s="4"/>
      <c r="U1328" s="4"/>
      <c r="V1328"/>
      <c r="W1328"/>
      <c r="X1328"/>
      <c r="Y1328" t="inlineStr">
        <is>
          <t>Pending Appointment</t>
        </is>
      </c>
      <c r="Z1328" t="inlineStr">
        <is>
          <t>Hiring Later</t>
        </is>
      </c>
      <c r="AA1328">
        <v>1</v>
      </c>
      <c r="AB1328" t="inlineStr">
        <is>
          <t>No Appointment Made</t>
        </is>
      </c>
      <c r="AC1328"/>
      <c r="AD1328" t="inlineStr">
        <is>
          <t>New pic Ms Aziemah , hire account cleark x1, all races, prefer free portal, motor accessories melaka, suggest stand</t>
        </is>
      </c>
      <c r="AE1328"/>
      <c r="AF1328">
        <v>3000</v>
      </c>
      <c r="AG1328" s="4"/>
      <c r="AH1328" s="4"/>
      <c r="AI1328">
        <v>3000</v>
      </c>
      <c r="AJ1328">
        <v>1</v>
      </c>
      <c r="AK1328" t="inlineStr">
        <is>
          <t>No, but I want in future</t>
        </is>
      </c>
      <c r="AL1328">
        <v>1</v>
      </c>
      <c r="AM1328" t="inlineStr">
        <is>
          <t>No, but I want in future</t>
        </is>
      </c>
      <c r="AN1328"/>
      <c r="AO1328" t="inlineStr">
        <is>
          <t>No, but I want in future</t>
        </is>
      </c>
      <c r="AP1328" t="inlineStr">
        <is>
          <t>Twice a year (50%)</t>
        </is>
      </c>
      <c r="AQ1328">
        <v>1</v>
      </c>
      <c r="AR1328" t="inlineStr">
        <is>
          <t>Free Job Portal</t>
        </is>
      </c>
      <c r="AS1328" t="inlineStr">
        <is>
          <t>- Headcount: 1
- Hiring Job Details: 1 account clerk (New pic Ms Aziemah, all races, prefer free portal, motor accessories melaka,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Free Job Portal</t>
        </is>
      </c>
      <c r="AT1328">
        <v>115</v>
      </c>
      <c r="AU1328" t="inlineStr">
        <is>
          <t>1.15</t>
        </is>
      </c>
      <c r="AV1328" t="inlineStr">
        <is>
          <t>15</t>
        </is>
      </c>
      <c r="AW1328" t="inlineStr">
        <is>
          <t>0</t>
        </is>
      </c>
      <c r="AX1328" t="inlineStr">
        <is>
          <t>Not Qualified</t>
        </is>
      </c>
      <c r="AY1328" s="4"/>
      <c r="AZ1328"/>
      <c r="BA1328"/>
      <c r="BB1328"/>
      <c r="BC1328" t="inlineStr">
        <is>
          <t>Still considering now, pending bos</t>
        </is>
      </c>
      <c r="BD1328" s="4">
        <v>46142.655127314814</v>
      </c>
      <c r="BE1328"/>
      <c r="BF1328"/>
      <c r="BG1328" t="inlineStr">
        <is>
          <t>Reschedule</t>
        </is>
      </c>
      <c r="BH1328" t="inlineStr">
        <is>
          <t>Reagen</t>
        </is>
      </c>
      <c r="BI1328" t="inlineStr">
        <is>
          <t>Automobile / Automotive</t>
        </is>
      </c>
      <c r="BJ1328" s="4">
        <v>46144.750555555554</v>
      </c>
      <c r="BK1328" s="4">
        <v>44274.63613425926</v>
      </c>
      <c r="BL1328" t="inlineStr">
        <is>
          <t>0.0</t>
        </is>
      </c>
      <c r="BM1328" t="inlineStr">
        <is>
          <t>7800.0</t>
        </is>
      </c>
      <c r="BN1328" t="inlineStr">
        <is>
          <t>View Company Page</t>
        </is>
      </c>
      <c r="BO1328" s="4">
        <v>46141.427777777775</v>
      </c>
      <c r="BP1328">
        <v>169431</v>
      </c>
      <c r="BQ1328"/>
      <c r="BR1328"/>
      <c r="BS1328"/>
      <c r="BT1328"/>
      <c r="BU1328"/>
      <c r="BV1328">
        <v>2738010</v>
      </c>
      <c r="BW1328" t="inlineStr">
        <is>
          <t>Follow Up : Decision Pending</t>
        </is>
      </c>
      <c r="BX1328"/>
      <c r="BY1328"/>
      <c r="BZ1328" s="4"/>
      <c r="CA1328"/>
      <c r="CB1328"/>
      <c r="CC1328" s="4"/>
      <c r="CD1328" t="inlineStr">
        <is>
          <t>20</t>
        </is>
      </c>
      <c r="CE1328" t="inlineStr">
        <is>
          <t>0</t>
        </is>
      </c>
      <c r="CF1328" t="inlineStr">
        <is>
          <t>Q2-W04</t>
        </is>
      </c>
      <c r="CG1328"/>
      <c r="CH1328"/>
      <c r="CI1328"/>
      <c r="CJ1328" t="inlineStr">
        <is>
          <t>No Paid</t>
        </is>
      </c>
      <c r="CK1328" t="inlineStr">
        <is>
          <t>Eligible</t>
        </is>
      </c>
      <c r="CL1328"/>
      <c r="CM1328"/>
    </row>
    <row r="1329" ht="25.5" customHeight="1">
      <c r="A1329" t="inlineStr">
        <is>
          <t>182856</t>
        </is>
      </c>
      <c r="B1329" s="2"/>
      <c r="C1329"/>
      <c r="D1329" s="3">
        <v>46133.631574074076</v>
      </c>
      <c r="E1329" t="inlineStr">
        <is>
          <t>Q2-W03</t>
        </is>
      </c>
      <c r="F1329" t="inlineStr">
        <is>
          <t>Ken Yi</t>
        </is>
      </c>
      <c r="G1329" t="inlineStr">
        <is>
          <t>Customer</t>
        </is>
      </c>
      <c r="H1329" s="2" t="str">
        <f>=HYPERLINK("https://upbox.ajobthing.my/customer/182856", "https://upbox.ajobthing.my/customer/182856")</f>
        <v>https://upbox.ajobthing.my/customer/182856</v>
      </c>
      <c r="I1329" t="inlineStr">
        <is>
          <t>Metier Food Sdn Bhd</t>
        </is>
      </c>
      <c r="J1329" t="inlineStr">
        <is>
          <t>Whale</t>
        </is>
      </c>
      <c r="K1329" t="inlineStr">
        <is>
          <t>Kenyi</t>
        </is>
      </c>
      <c r="L1329" s="4"/>
      <c r="M1329" s="4">
        <v>46140.64619212963</v>
      </c>
      <c r="N1329"/>
      <c r="O1329">
        <v>3576.96</v>
      </c>
      <c r="P1329" s="4"/>
      <c r="Q1329" s="4">
        <v>45554.48946759259</v>
      </c>
      <c r="R1329"/>
      <c r="S1329">
        <v>2624.4</v>
      </c>
      <c r="T1329" s="4">
        <v>45554.48946759259</v>
      </c>
      <c r="U1329" s="4"/>
      <c r="V1329"/>
      <c r="W1329">
        <v>2624.4</v>
      </c>
      <c r="X1329"/>
      <c r="Y1329" t="inlineStr">
        <is>
          <t>Pending Appointment</t>
        </is>
      </c>
      <c r="Z1329" t="inlineStr">
        <is>
          <t>Hiring Now</t>
        </is>
      </c>
      <c r="AA1329">
        <v>2</v>
      </c>
      <c r="AB1329" t="inlineStr">
        <is>
          <t>No Appointment Made</t>
        </is>
      </c>
      <c r="AC1329"/>
      <c r="AD1329" t="inlineStr">
        <is>
          <t>Marketing Intern 1, Warehouse management 1</t>
        </is>
      </c>
      <c r="AE1329"/>
      <c r="AF1329">
        <v>6048</v>
      </c>
      <c r="AG1329" s="4"/>
      <c r="AH1329" s="4"/>
      <c r="AI1329">
        <v>0</v>
      </c>
      <c r="AJ1329">
        <v>1</v>
      </c>
      <c r="AK1329" t="inlineStr">
        <is>
          <t>Yes, I have</t>
        </is>
      </c>
      <c r="AL1329">
        <v>1</v>
      </c>
      <c r="AM1329" t="inlineStr">
        <is>
          <t>No, I don't need at all</t>
        </is>
      </c>
      <c r="AN1329"/>
      <c r="AO1329" t="inlineStr">
        <is>
          <t>No, I don't need at all</t>
        </is>
      </c>
      <c r="AP1329" t="inlineStr">
        <is>
          <t>Every month (100%)</t>
        </is>
      </c>
      <c r="AQ1329">
        <v>2</v>
      </c>
      <c r="AR1329" t="inlineStr">
        <is>
          <t>Jobstreet</t>
        </is>
      </c>
      <c r="AS1329" t="inlineStr">
        <is>
          <t>- Headcount: 2 (1 Marketing Intern, 1 Warehouse management).
- Hiring Job Details: 1 Marketing Intern, 1 Warehouse management
- Hiring Urgency: Hiring Now
- Number of outlets: 1
- Have recruiter team: Yes
- Number of recruiter in company: 1
- Have ATS system: No, I don't need at all
- Have career website: No, I don't need at all
- Current hiring budget: RM6,048.00
- Whole year budget: RM0.00
- Whole year number of vacancies: 2
- Hiring frequency: Every month (100%)
- External job portal: Jobstreet</t>
        </is>
      </c>
      <c r="AT1329">
        <v>115</v>
      </c>
      <c r="AU1329" t="inlineStr">
        <is>
          <t>1.15</t>
        </is>
      </c>
      <c r="AV1329" t="inlineStr">
        <is>
          <t>15</t>
        </is>
      </c>
      <c r="AW1329" t="inlineStr">
        <is>
          <t>0</t>
        </is>
      </c>
      <c r="AX1329" t="inlineStr">
        <is>
          <t>Not Qualified</t>
        </is>
      </c>
      <c r="AY1329" s="4"/>
      <c r="AZ1329"/>
      <c r="BA1329"/>
      <c r="BB1329"/>
      <c r="BC1329" t="inlineStr">
        <is>
          <t>Yana will try to follow up with  Justin about it.</t>
        </is>
      </c>
      <c r="BD1329" s="4">
        <v>46141.415821759256</v>
      </c>
      <c r="BE1329" t="inlineStr">
        <is>
          <t>paid</t>
        </is>
      </c>
      <c r="BF1329"/>
      <c r="BG1329" t="inlineStr">
        <is>
          <t>Reschedule</t>
        </is>
      </c>
      <c r="BH1329" t="inlineStr">
        <is>
          <t>Fauziah Maharan</t>
        </is>
      </c>
      <c r="BI1329" t="inlineStr">
        <is>
          <t>Consumer Products / FMCG</t>
        </is>
      </c>
      <c r="BJ1329" s="4">
        <v>46144.75194444445</v>
      </c>
      <c r="BK1329" s="4">
        <v>45554.437523148146</v>
      </c>
      <c r="BL1329" t="inlineStr">
        <is>
          <t>0.0</t>
        </is>
      </c>
      <c r="BM1329" t="inlineStr">
        <is>
          <t>5850.0</t>
        </is>
      </c>
      <c r="BN1329" t="inlineStr">
        <is>
          <t>View Company Page</t>
        </is>
      </c>
      <c r="BO1329" s="4">
        <v>46133.43866898148</v>
      </c>
      <c r="BP1329">
        <v>169288</v>
      </c>
      <c r="BQ1329">
        <v>73114</v>
      </c>
      <c r="BR1329" t="inlineStr">
        <is>
          <t>Online</t>
        </is>
      </c>
      <c r="BS1329"/>
      <c r="BT1329">
        <v>73114</v>
      </c>
      <c r="BU1329"/>
      <c r="BV1329">
        <v>2734256</v>
      </c>
      <c r="BW1329" t="inlineStr">
        <is>
          <t>Follow Up : Decision Pending</t>
        </is>
      </c>
      <c r="BX1329"/>
      <c r="BY1329"/>
      <c r="BZ1329" s="4"/>
      <c r="CA1329"/>
      <c r="CB1329"/>
      <c r="CC1329" s="4"/>
      <c r="CD1329" t="inlineStr">
        <is>
          <t>20</t>
        </is>
      </c>
      <c r="CE1329" t="inlineStr">
        <is>
          <t>0</t>
        </is>
      </c>
      <c r="CF1329" t="inlineStr">
        <is>
          <t>Q2-W04</t>
        </is>
      </c>
      <c r="CG1329"/>
      <c r="CH1329"/>
      <c r="CI1329"/>
      <c r="CJ1329" t="inlineStr">
        <is>
          <t>Paid</t>
        </is>
      </c>
      <c r="CK1329" t="inlineStr">
        <is>
          <t>Eligible</t>
        </is>
      </c>
      <c r="CL1329"/>
      <c r="CM1329"/>
    </row>
    <row r="1330" ht="25.5" customHeight="1">
      <c r="A1330" t="inlineStr">
        <is>
          <t>193240</t>
        </is>
      </c>
      <c r="B1330" s="2"/>
      <c r="C1330"/>
      <c r="D1330" s="3">
        <v>46133.63579861111</v>
      </c>
      <c r="E1330" t="inlineStr">
        <is>
          <t>Q2-W03</t>
        </is>
      </c>
      <c r="F1330" t="inlineStr">
        <is>
          <t>Jess</t>
        </is>
      </c>
      <c r="G1330" t="inlineStr">
        <is>
          <t>Customer</t>
        </is>
      </c>
      <c r="H1330" s="2" t="str">
        <f>=HYPERLINK("https://upbox.ajobthing.my/customer/193240", "https://upbox.ajobthing.my/customer/193240")</f>
        <v>https://upbox.ajobthing.my/customer/193240</v>
      </c>
      <c r="I1330" t="inlineStr">
        <is>
          <t>SKA Transport (M) Sdn Bhd</t>
        </is>
      </c>
      <c r="J1330" t="inlineStr">
        <is>
          <t>Whale</t>
        </is>
      </c>
      <c r="K1330" t="inlineStr">
        <is>
          <t>Jess Lim</t>
        </is>
      </c>
      <c r="L1330" s="4"/>
      <c r="M1330" s="4">
        <v>46133.65864583333</v>
      </c>
      <c r="N1330"/>
      <c r="O1330">
        <v>5832</v>
      </c>
      <c r="P1330" s="4"/>
      <c r="Q1330" s="4">
        <v>45840.45994212963</v>
      </c>
      <c r="R1330"/>
      <c r="S1330">
        <v>3888</v>
      </c>
      <c r="T1330" s="4">
        <v>45840.45994212963</v>
      </c>
      <c r="U1330" s="4"/>
      <c r="V1330"/>
      <c r="W1330">
        <v>3888</v>
      </c>
      <c r="X1330"/>
      <c r="Y1330" t="inlineStr">
        <is>
          <t>Pending Appointment</t>
        </is>
      </c>
      <c r="Z1330" t="inlineStr">
        <is>
          <t>Hiring Now</t>
        </is>
      </c>
      <c r="AA1330">
        <v>6</v>
      </c>
      <c r="AB1330" t="inlineStr">
        <is>
          <t>No Appointment Made</t>
        </is>
      </c>
      <c r="AC1330"/>
      <c r="AD1330" t="inlineStr">
        <is>
          <t>driver 5 clerk</t>
        </is>
      </c>
      <c r="AE1330"/>
      <c r="AF1330">
        <v>3600</v>
      </c>
      <c r="AG1330" s="4"/>
      <c r="AH1330" s="4"/>
      <c r="AI1330"/>
      <c r="AJ1330">
        <v>1</v>
      </c>
      <c r="AK1330" t="inlineStr">
        <is>
          <t>No, I don't need at all</t>
        </is>
      </c>
      <c r="AL1330">
        <v>1</v>
      </c>
      <c r="AM1330" t="inlineStr">
        <is>
          <t>No, I don't need at all</t>
        </is>
      </c>
      <c r="AN1330"/>
      <c r="AO1330" t="inlineStr">
        <is>
          <t>No, I don't need at all</t>
        </is>
      </c>
      <c r="AP1330" t="inlineStr">
        <is>
          <t>Once a year (25%)</t>
        </is>
      </c>
      <c r="AQ1330"/>
      <c r="AR1330" t="inlineStr">
        <is>
          <t>Jobstreet</t>
        </is>
      </c>
      <c r="AS1330" t="inlineStr">
        <is>
          <t>- Headcount: 6
- Hiring Job Details: driver 5 clerk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is>
      </c>
      <c r="AT1330">
        <v>90</v>
      </c>
      <c r="AU1330" t="inlineStr">
        <is>
          <t>0.90</t>
        </is>
      </c>
      <c r="AV1330" t="inlineStr">
        <is>
          <t>20</t>
        </is>
      </c>
      <c r="AW1330" t="inlineStr">
        <is>
          <t>0</t>
        </is>
      </c>
      <c r="AX1330" t="inlineStr">
        <is>
          <t>Not Qualified</t>
        </is>
      </c>
      <c r="AY1330" s="4"/>
      <c r="AZ1330"/>
      <c r="BA1330"/>
      <c r="BB1330"/>
      <c r="BC1330" t="inlineStr">
        <is>
          <t>- Headcount: 6
- Hiring Job Details: driver 5 clerk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is>
      </c>
      <c r="BD1330" s="4">
        <v>46133.666712962964</v>
      </c>
      <c r="BE1330" t="inlineStr">
        <is>
          <t>paid</t>
        </is>
      </c>
      <c r="BF1330"/>
      <c r="BG1330" t="inlineStr">
        <is>
          <t>Reschedule</t>
        </is>
      </c>
      <c r="BH1330" t="inlineStr">
        <is>
          <t>Fauziah Maharan</t>
        </is>
      </c>
      <c r="BI1330" t="inlineStr">
        <is>
          <t>Transportation / Logistics</t>
        </is>
      </c>
      <c r="BJ1330" s="4">
        <v>46144.75261574074</v>
      </c>
      <c r="BK1330" s="4">
        <v>45839.445706018516</v>
      </c>
      <c r="BL1330" t="inlineStr">
        <is>
          <t>3888.0</t>
        </is>
      </c>
      <c r="BM1330" t="inlineStr">
        <is>
          <t>1800.0</t>
        </is>
      </c>
      <c r="BN1330" t="inlineStr">
        <is>
          <t>User Visit(Logged In)</t>
        </is>
      </c>
      <c r="BO1330" s="4">
        <v>46134.622662037036</v>
      </c>
      <c r="BP1330">
        <v>168094</v>
      </c>
      <c r="BQ1330">
        <v>80501</v>
      </c>
      <c r="BR1330" t="inlineStr">
        <is>
          <t>Online</t>
        </is>
      </c>
      <c r="BS1330"/>
      <c r="BT1330">
        <v>80501</v>
      </c>
      <c r="BU1330"/>
      <c r="BV1330">
        <v>2718692</v>
      </c>
      <c r="BW1330" t="inlineStr">
        <is>
          <t>Customer Inquiry</t>
        </is>
      </c>
      <c r="BX1330">
        <v>6</v>
      </c>
      <c r="BY1330">
        <v>0</v>
      </c>
      <c r="BZ1330" s="4">
        <v>46009.50850694445</v>
      </c>
      <c r="CA1330">
        <v>60</v>
      </c>
      <c r="CB1330">
        <v>25</v>
      </c>
      <c r="CC1330" s="4">
        <v>45966.672430555554</v>
      </c>
      <c r="CD1330" t="inlineStr">
        <is>
          <t>30</t>
        </is>
      </c>
      <c r="CE1330" t="inlineStr">
        <is>
          <t>0</t>
        </is>
      </c>
      <c r="CF1330" t="inlineStr">
        <is>
          <t>Q2-W03</t>
        </is>
      </c>
      <c r="CG1330"/>
      <c r="CH1330"/>
      <c r="CI1330"/>
      <c r="CJ1330" t="inlineStr">
        <is>
          <t>Paid</t>
        </is>
      </c>
      <c r="CK1330" t="inlineStr">
        <is>
          <t>Eligible</t>
        </is>
      </c>
      <c r="CL1330"/>
      <c r="CM1330"/>
    </row>
    <row r="1331" ht="25.5" customHeight="1">
      <c r="A1331" t="inlineStr">
        <is>
          <t>65706</t>
        </is>
      </c>
      <c r="B1331" s="2"/>
      <c r="C1331"/>
      <c r="D1331" s="3">
        <v>46133.64104166667</v>
      </c>
      <c r="E1331" t="inlineStr">
        <is>
          <t>Q2-W03</t>
        </is>
      </c>
      <c r="F1331" t="inlineStr">
        <is>
          <t>Yvonne Lee</t>
        </is>
      </c>
      <c r="G1331" t="inlineStr">
        <is>
          <t>Customer</t>
        </is>
      </c>
      <c r="H1331" s="2" t="str">
        <f>=HYPERLINK("https://upbox.ajobthing.my/customer/65706", "https://upbox.ajobthing.my/customer/65706")</f>
        <v>https://upbox.ajobthing.my/customer/65706</v>
      </c>
      <c r="I1331" t="inlineStr">
        <is>
          <t>Autoliv Hirotako Safety Sdn Bhd</t>
        </is>
      </c>
      <c r="J1331" t="inlineStr">
        <is>
          <t>Whale</t>
        </is>
      </c>
      <c r="K1331" t="inlineStr">
        <is>
          <t>Yvonne</t>
        </is>
      </c>
      <c r="L1331" s="4"/>
      <c r="M1331" s="4">
        <v>46133.64497685185</v>
      </c>
      <c r="N1331"/>
      <c r="O1331">
        <v>3888</v>
      </c>
      <c r="P1331" s="4"/>
      <c r="Q1331" s="4"/>
      <c r="R1331"/>
      <c r="S1331"/>
      <c r="T1331" s="4"/>
      <c r="U1331" s="4"/>
      <c r="V1331"/>
      <c r="W1331"/>
      <c r="X1331"/>
      <c r="Y1331" t="inlineStr">
        <is>
          <t>Pending Appointment</t>
        </is>
      </c>
      <c r="Z1331" t="inlineStr">
        <is>
          <t>Hiring Now</t>
        </is>
      </c>
      <c r="AA1331">
        <v>3</v>
      </c>
      <c r="AB1331" t="inlineStr">
        <is>
          <t>No Appointment Made</t>
        </is>
      </c>
      <c r="AC1331"/>
      <c r="AD1331" t="inlineStr">
        <is>
          <t>1) Senior Executive
2) Internship
3) Production Manager</t>
        </is>
      </c>
      <c r="AE1331"/>
      <c r="AF1331">
        <v>8000</v>
      </c>
      <c r="AG1331" s="4"/>
      <c r="AH1331" s="4"/>
      <c r="AI1331">
        <v>8000</v>
      </c>
      <c r="AJ1331">
        <v>1</v>
      </c>
      <c r="AK1331" t="inlineStr">
        <is>
          <t>Yes, I have</t>
        </is>
      </c>
      <c r="AL1331">
        <v>1</v>
      </c>
      <c r="AM1331" t="inlineStr">
        <is>
          <t>No, I don't need at all</t>
        </is>
      </c>
      <c r="AN1331"/>
      <c r="AO1331" t="inlineStr">
        <is>
          <t>No, I don't need at all</t>
        </is>
      </c>
      <c r="AP1331" t="inlineStr">
        <is>
          <t>Twice a year (50%)</t>
        </is>
      </c>
      <c r="AQ1331">
        <v>15</v>
      </c>
      <c r="AR1331" t="inlineStr">
        <is>
          <t>Jobstreet, Jobstore</t>
        </is>
      </c>
      <c r="AS1331" t="inlineStr">
        <is>
          <t>- Headcount: 3
- Hiring Job Details: 1 Senior Executive, 2 Internship, 3 Production Manager
- Hiring Urgency: Hiring Now
- Number of outlets: 1
- Have recruiter team: Yes
- Number of recruiter in company: 1
- Have ATS system: No, I don't need at all
- Have career website: No, I don't need at all
- Current hiring budget: RM8,000
- Whole year budget: RM8,000.00
- Whole year number of vacancies: 15
- Hiring frequency: Twice a year (50%)
- External job portal: Jobstreet, Jobstore</t>
        </is>
      </c>
      <c r="AT1331">
        <v>100</v>
      </c>
      <c r="AU1331" t="inlineStr">
        <is>
          <t>1.00</t>
        </is>
      </c>
      <c r="AV1331" t="inlineStr">
        <is>
          <t>15</t>
        </is>
      </c>
      <c r="AW1331" t="inlineStr">
        <is>
          <t>0</t>
        </is>
      </c>
      <c r="AX1331" t="inlineStr">
        <is>
          <t>Not Qualified</t>
        </is>
      </c>
      <c r="AY1331" s="4"/>
      <c r="AZ1331"/>
      <c r="BA1331"/>
      <c r="BB1331"/>
      <c r="BC1331" t="inlineStr">
        <is>
          <t>Offering for 3 month trials pecah plan and will reconfirm by 6pm getting back to me soonest possible.</t>
        </is>
      </c>
      <c r="BD1331" s="4">
        <v>46140.71030092592</v>
      </c>
      <c r="BE1331"/>
      <c r="BF1331"/>
      <c r="BG1331" t="inlineStr">
        <is>
          <t>Reschedule</t>
        </is>
      </c>
      <c r="BH1331" t="inlineStr">
        <is>
          <t>andy@ajobthing.com</t>
        </is>
      </c>
      <c r="BI1331"/>
      <c r="BJ1331" s="4">
        <v>46144.75612268518</v>
      </c>
      <c r="BK1331" s="4">
        <v>43390.844375</v>
      </c>
      <c r="BL1331" t="inlineStr">
        <is>
          <t>0.0</t>
        </is>
      </c>
      <c r="BM1331" t="inlineStr">
        <is>
          <t>10200.0</t>
        </is>
      </c>
      <c r="BN1331" t="inlineStr">
        <is>
          <t>View Create Job Page</t>
        </is>
      </c>
      <c r="BO1331" s="4">
        <v>44490.620462962965</v>
      </c>
      <c r="BP1331">
        <v>168077</v>
      </c>
      <c r="BQ1331"/>
      <c r="BR1331"/>
      <c r="BS1331"/>
      <c r="BT1331"/>
      <c r="BU1331"/>
      <c r="BV1331">
        <v>2733701</v>
      </c>
      <c r="BW1331" t="inlineStr">
        <is>
          <t>Inquire for Hiring Needs : Budget Concern</t>
        </is>
      </c>
      <c r="BX1331"/>
      <c r="BY1331"/>
      <c r="BZ1331" s="4"/>
      <c r="CA1331"/>
      <c r="CB1331"/>
      <c r="CC1331" s="4"/>
      <c r="CD1331" t="inlineStr">
        <is>
          <t>20</t>
        </is>
      </c>
      <c r="CE1331" t="inlineStr">
        <is>
          <t>0</t>
        </is>
      </c>
      <c r="CF1331" t="inlineStr">
        <is>
          <t>Q2-W03</t>
        </is>
      </c>
      <c r="CG1331"/>
      <c r="CH1331"/>
      <c r="CI1331"/>
      <c r="CJ1331" t="inlineStr">
        <is>
          <t>No Paid</t>
        </is>
      </c>
      <c r="CK1331" t="inlineStr">
        <is>
          <t>Eligible</t>
        </is>
      </c>
      <c r="CL1331"/>
      <c r="CM1331"/>
    </row>
    <row r="1332" ht="25.5" customHeight="1">
      <c r="A1332" t="inlineStr">
        <is>
          <t>203199</t>
        </is>
      </c>
      <c r="B1332" s="2"/>
      <c r="C1332"/>
      <c r="D1332" s="3">
        <v>46133.64729166667</v>
      </c>
      <c r="E1332" t="inlineStr">
        <is>
          <t>Q2-W03</t>
        </is>
      </c>
      <c r="F1332" t="inlineStr">
        <is>
          <t>Yuli</t>
        </is>
      </c>
      <c r="G1332" t="inlineStr">
        <is>
          <t>Customer</t>
        </is>
      </c>
      <c r="H1332" s="2" t="str">
        <f>=HYPERLINK("https://upbox.ajobthing.my/customer/203199", "https://upbox.ajobthing.my/customer/203199")</f>
        <v>https://upbox.ajobthing.my/customer/203199</v>
      </c>
      <c r="I1332" t="inlineStr">
        <is>
          <t>Karisma Hospitality Sdn Bhd</t>
        </is>
      </c>
      <c r="J1332" t="inlineStr">
        <is>
          <t>Whale</t>
        </is>
      </c>
      <c r="K1332" t="inlineStr">
        <is>
          <t>YuLi</t>
        </is>
      </c>
      <c r="L1332" s="4"/>
      <c r="M1332" s="4">
        <v>46140.531377314815</v>
      </c>
      <c r="N1332"/>
      <c r="O1332">
        <v>10381</v>
      </c>
      <c r="P1332" s="4"/>
      <c r="Q1332" s="4"/>
      <c r="R1332"/>
      <c r="S1332"/>
      <c r="T1332" s="4"/>
      <c r="U1332" s="4"/>
      <c r="V1332"/>
      <c r="W1332"/>
      <c r="X1332" t="inlineStr">
        <is>
          <t>Fauziah Maharan</t>
        </is>
      </c>
      <c r="Y1332" t="inlineStr">
        <is>
          <t>Done Appointment</t>
        </is>
      </c>
      <c r="Z1332" t="inlineStr">
        <is>
          <t>Hiring Now</t>
        </is>
      </c>
      <c r="AA1332">
        <v>6</v>
      </c>
      <c r="AB1332" t="inlineStr">
        <is>
          <t>Appointment Made</t>
        </is>
      </c>
      <c r="AC1332" t="inlineStr">
        <is>
          <t>Large (101-300 employees)</t>
        </is>
      </c>
      <c r="AD1332" t="inlineStr">
        <is>
          <t>15 position Service Crew, Housekeeping, Junior level marketing, Housekeeping, maintenance, Front office assistance</t>
        </is>
      </c>
      <c r="AE1332" t="inlineStr">
        <is>
          <t>HR Manager / Talent Manager</t>
        </is>
      </c>
      <c r="AF1332">
        <v>10000</v>
      </c>
      <c r="AG1332" s="4">
        <v>46133.604166666664</v>
      </c>
      <c r="AH1332" s="4">
        <v>46133.645833333336</v>
      </c>
      <c r="AI1332"/>
      <c r="AJ1332"/>
      <c r="AK1332" t="inlineStr">
        <is>
          <t>Yes, I have</t>
        </is>
      </c>
      <c r="AL1332">
        <v>1</v>
      </c>
      <c r="AM1332"/>
      <c r="AN1332"/>
      <c r="AO1332"/>
      <c r="AP1332"/>
      <c r="AQ1332"/>
      <c r="AR1332" t="inlineStr">
        <is>
          <t>Free Job Portal, Jobstreet</t>
        </is>
      </c>
      <c r="AS1332" t="inlineStr">
        <is>
          <t>- Headcount: 6
- Hiring Job Details: 15 positions including Service Crew, Housekeeping, Junior level marketing, maintenance, Front office assistance
- Number of outlets: Not specified
- Have recruiter team: Yes
- Number of recruiter in company: 1
- Have ATS system: Not specified
- Have career website: Not specified
- Current hiring budget: RM10,000.00
- Whole year budget: Not specified
- Whole year number of vacancies: Not specified
- Hiring frequency: Not specified
- External job portal: Free Job Portal, Jobstreet
- Hiring Urgency: Hiring Now</t>
        </is>
      </c>
      <c r="AT1332">
        <v>50</v>
      </c>
      <c r="AU1332" t="inlineStr">
        <is>
          <t>0.50</t>
        </is>
      </c>
      <c r="AV1332" t="inlineStr">
        <is>
          <t>45</t>
        </is>
      </c>
      <c r="AW1332" t="inlineStr">
        <is>
          <t>0.5</t>
        </is>
      </c>
      <c r="AX1332" t="inlineStr">
        <is>
          <t>Not Qualified</t>
        </is>
      </c>
      <c r="AY1332" s="4">
        <v>46135.647314814814</v>
      </c>
      <c r="AZ1332" t="inlineStr">
        <is>
          <t>Reagen</t>
        </is>
      </c>
      <c r="BA1332"/>
      <c r="BB1332"/>
      <c r="BC1332" t="inlineStr">
        <is>
          <t>share quotation for compare</t>
        </is>
      </c>
      <c r="BD1332" s="4">
        <v>46140.566400462965</v>
      </c>
      <c r="BE1332"/>
      <c r="BF1332"/>
      <c r="BG1332" t="inlineStr">
        <is>
          <t>Reschedule</t>
        </is>
      </c>
      <c r="BH1332" t="inlineStr">
        <is>
          <t>Fauziah Maharan</t>
        </is>
      </c>
      <c r="BI1332" t="inlineStr">
        <is>
          <t>Hotel / Hospitality</t>
        </is>
      </c>
      <c r="BJ1332" s="4">
        <v>46144.75423611111</v>
      </c>
      <c r="BK1332" s="4">
        <v>46126.401655092595</v>
      </c>
      <c r="BL1332" t="inlineStr">
        <is>
          <t>0.0</t>
        </is>
      </c>
      <c r="BM1332" t="inlineStr">
        <is>
          <t>18600.0</t>
        </is>
      </c>
      <c r="BN1332" t="inlineStr">
        <is>
          <t>View Company Page</t>
        </is>
      </c>
      <c r="BO1332" s="4">
        <v>46127.622662037036</v>
      </c>
      <c r="BP1332">
        <v>169233</v>
      </c>
      <c r="BQ1332"/>
      <c r="BR1332"/>
      <c r="BS1332"/>
      <c r="BT1332"/>
      <c r="BU1332"/>
      <c r="BV1332">
        <v>2732586</v>
      </c>
      <c r="BW1332" t="inlineStr">
        <is>
          <t>Follow Up : Quotation Sent 50%</t>
        </is>
      </c>
      <c r="BX1332"/>
      <c r="BY1332"/>
      <c r="BZ1332" s="4"/>
      <c r="CA1332"/>
      <c r="CB1332"/>
      <c r="CC1332" s="4"/>
      <c r="CD1332" t="inlineStr">
        <is>
          <t>65</t>
        </is>
      </c>
      <c r="CE1332" t="inlineStr">
        <is>
          <t>0.8</t>
        </is>
      </c>
      <c r="CF1332" t="inlineStr">
        <is>
          <t>Q2-W04</t>
        </is>
      </c>
      <c r="CG1332"/>
      <c r="CH1332"/>
      <c r="CI1332" t="inlineStr">
        <is>
          <t>Q2-W03</t>
        </is>
      </c>
      <c r="CJ1332" t="inlineStr">
        <is>
          <t>No Paid</t>
        </is>
      </c>
      <c r="CK1332" t="inlineStr">
        <is>
          <t>Eligible</t>
        </is>
      </c>
      <c r="CL1332"/>
      <c r="CM1332" t="inlineStr">
        <is>
          <t>Q2-W03</t>
        </is>
      </c>
    </row>
    <row r="1333" ht="25.5" customHeight="1">
      <c r="A1333" t="inlineStr">
        <is>
          <t>125795</t>
        </is>
      </c>
      <c r="B1333" s="2"/>
      <c r="C1333"/>
      <c r="D1333" s="3">
        <v>46133.65871527778</v>
      </c>
      <c r="E1333" t="inlineStr">
        <is>
          <t>Q2-W03</t>
        </is>
      </c>
      <c r="F1333" t="inlineStr">
        <is>
          <t>Yuli</t>
        </is>
      </c>
      <c r="G1333" t="inlineStr">
        <is>
          <t>Customer</t>
        </is>
      </c>
      <c r="H1333" s="2" t="str">
        <f>=HYPERLINK("https://upbox.ajobthing.my/customer/125795", "https://upbox.ajobthing.my/customer/125795")</f>
        <v>https://upbox.ajobthing.my/customer/125795</v>
      </c>
      <c r="I1333" t="inlineStr">
        <is>
          <t>Limocab (M) Sdn Bhd</t>
        </is>
      </c>
      <c r="J1333" t="inlineStr">
        <is>
          <t>Whale</t>
        </is>
      </c>
      <c r="K1333" t="inlineStr">
        <is>
          <t>YuLi</t>
        </is>
      </c>
      <c r="L1333" s="4"/>
      <c r="M1333" s="4">
        <v>46133.66048611111</v>
      </c>
      <c r="N1333"/>
      <c r="O1333">
        <v>5832</v>
      </c>
      <c r="P1333" s="4"/>
      <c r="Q1333" s="4">
        <v>45919.72934027778</v>
      </c>
      <c r="R1333"/>
      <c r="S1333">
        <v>3888</v>
      </c>
      <c r="T1333" s="4">
        <v>45919.72934027778</v>
      </c>
      <c r="U1333" s="4"/>
      <c r="V1333"/>
      <c r="W1333">
        <v>3888</v>
      </c>
      <c r="X1333"/>
      <c r="Y1333" t="inlineStr">
        <is>
          <t>Pending Appointment</t>
        </is>
      </c>
      <c r="Z1333" t="inlineStr">
        <is>
          <t>Hiring Now</t>
        </is>
      </c>
      <c r="AA1333">
        <v>1</v>
      </c>
      <c r="AB1333" t="inlineStr">
        <is>
          <t>No Appointment Made</t>
        </is>
      </c>
      <c r="AC1333"/>
      <c r="AD1333" t="inlineStr">
        <is>
          <t>Driver for car- continous hiring</t>
        </is>
      </c>
      <c r="AE1333"/>
      <c r="AF1333">
        <v>3888</v>
      </c>
      <c r="AG1333" s="4"/>
      <c r="AH1333" s="4"/>
      <c r="AI1333"/>
      <c r="AJ1333"/>
      <c r="AK1333"/>
      <c r="AL1333"/>
      <c r="AM1333"/>
      <c r="AN1333"/>
      <c r="AO1333"/>
      <c r="AP1333" t="inlineStr">
        <is>
          <t>Every month (100%)</t>
        </is>
      </c>
      <c r="AQ1333"/>
      <c r="AR1333" t="inlineStr">
        <is>
          <t>Fast Job</t>
        </is>
      </c>
      <c r="AS1333" t="inlineStr">
        <is>
          <t>- Headcount: 1
- Hiring Job Details: Driver for car- continuous hiring
- Hiring Urgency: Hiring Now
- Number of outlets: Not provided
- Have recruiter team: Not provided
- Number of recruiter in company: Not provided
- Have ATS system: Not provided
- Have career website: Not provided
- Current hiring budget: RM3,888.00
- Whole year budget: Not provided
- Whole year number of vacancies: Not provided
- Hiring frequency: Every month (100%)
- External job portal: Fast Job</t>
        </is>
      </c>
      <c r="AT1333">
        <v>75</v>
      </c>
      <c r="AU1333" t="inlineStr">
        <is>
          <t>0.75</t>
        </is>
      </c>
      <c r="AV1333" t="inlineStr">
        <is>
          <t>15</t>
        </is>
      </c>
      <c r="AW1333" t="inlineStr">
        <is>
          <t>0</t>
        </is>
      </c>
      <c r="AX1333" t="inlineStr">
        <is>
          <t>Not Qualified</t>
        </is>
      </c>
      <c r="AY1333" s="4"/>
      <c r="AZ1333"/>
      <c r="BA1333"/>
      <c r="BB1333"/>
      <c r="BC1333" t="inlineStr">
        <is>
          <t>called and spoke to Ms. Liza, need to see the feedback for the posting first, and will let me know on first week of may neihter want to proceed anot</t>
        </is>
      </c>
      <c r="BD1333" s="4">
        <v>46136.445231481484</v>
      </c>
      <c r="BE1333" t="inlineStr">
        <is>
          <t>paid</t>
        </is>
      </c>
      <c r="BF1333"/>
      <c r="BG1333" t="inlineStr">
        <is>
          <t>Reschedule</t>
        </is>
      </c>
      <c r="BH1333" t="inlineStr">
        <is>
          <t>Fauziah Maharan</t>
        </is>
      </c>
      <c r="BI1333" t="inlineStr">
        <is>
          <t>Transportation / Logistics</t>
        </is>
      </c>
      <c r="BJ1333" s="4">
        <v>46144.75033564815</v>
      </c>
      <c r="BK1333" s="4">
        <v>43900.520219907405</v>
      </c>
      <c r="BL1333" t="inlineStr">
        <is>
          <t>5832.0</t>
        </is>
      </c>
      <c r="BM1333" t="inlineStr">
        <is>
          <t>1200.0</t>
        </is>
      </c>
      <c r="BN1333" t="inlineStr">
        <is>
          <t>View Company Page</t>
        </is>
      </c>
      <c r="BO1333" s="4">
        <v>46141.611759259256</v>
      </c>
      <c r="BP1333">
        <v>168098</v>
      </c>
      <c r="BQ1333">
        <v>82546</v>
      </c>
      <c r="BR1333" t="inlineStr">
        <is>
          <t>Online</t>
        </is>
      </c>
      <c r="BS1333"/>
      <c r="BT1333">
        <v>82546</v>
      </c>
      <c r="BU1333"/>
      <c r="BV1333">
        <v>2725673</v>
      </c>
      <c r="BW1333" t="inlineStr">
        <is>
          <t>Follow Up : Decision Pending</t>
        </is>
      </c>
      <c r="BX1333">
        <v>6</v>
      </c>
      <c r="BY1333">
        <v>0</v>
      </c>
      <c r="BZ1333" s="4">
        <v>46133.75381944444</v>
      </c>
      <c r="CA1333">
        <v>60</v>
      </c>
      <c r="CB1333">
        <v>35</v>
      </c>
      <c r="CC1333" s="4">
        <v>46137.65621527778</v>
      </c>
      <c r="CD1333" t="inlineStr">
        <is>
          <t>20</t>
        </is>
      </c>
      <c r="CE1333" t="inlineStr">
        <is>
          <t>0</t>
        </is>
      </c>
      <c r="CF1333" t="inlineStr">
        <is>
          <t>Q2-W03</t>
        </is>
      </c>
      <c r="CG1333"/>
      <c r="CH1333"/>
      <c r="CI1333"/>
      <c r="CJ1333" t="inlineStr">
        <is>
          <t>Paid</t>
        </is>
      </c>
      <c r="CK1333" t="inlineStr">
        <is>
          <t>Eligible</t>
        </is>
      </c>
      <c r="CL1333"/>
      <c r="CM1333"/>
    </row>
    <row r="1334" ht="25.5" customHeight="1">
      <c r="A1334" t="inlineStr">
        <is>
          <t>139021</t>
        </is>
      </c>
      <c r="B1334" s="2"/>
      <c r="C1334"/>
      <c r="D1334" s="3">
        <v>46133.66297453704</v>
      </c>
      <c r="E1334" t="inlineStr">
        <is>
          <t>Q2-W03</t>
        </is>
      </c>
      <c r="F1334" t="inlineStr">
        <is>
          <t>Ratha</t>
        </is>
      </c>
      <c r="G1334" t="inlineStr">
        <is>
          <t>Customer</t>
        </is>
      </c>
      <c r="H1334" s="2" t="str">
        <f>=HYPERLINK("https://upbox.ajobthing.my/customer/139021", "https://upbox.ajobthing.my/customer/139021")</f>
        <v>https://upbox.ajobthing.my/customer/139021</v>
      </c>
      <c r="I1334" t="inlineStr">
        <is>
          <t>Segnel Creative Sdn Bhd</t>
        </is>
      </c>
      <c r="J1334" t="inlineStr">
        <is>
          <t>Whale</t>
        </is>
      </c>
      <c r="K1334" t="inlineStr">
        <is>
          <t>Ratha</t>
        </is>
      </c>
      <c r="L1334" s="4"/>
      <c r="M1334" s="4">
        <v>46133.66699074074</v>
      </c>
      <c r="N1334"/>
      <c r="O1334">
        <v>11448</v>
      </c>
      <c r="P1334" s="4"/>
      <c r="Q1334" s="4">
        <v>44379.479780092595</v>
      </c>
      <c r="R1334"/>
      <c r="S1334">
        <v>636</v>
      </c>
      <c r="T1334" s="4">
        <v>44379.479780092595</v>
      </c>
      <c r="U1334" s="4"/>
      <c r="V1334"/>
      <c r="W1334">
        <v>636</v>
      </c>
      <c r="X1334"/>
      <c r="Y1334" t="inlineStr">
        <is>
          <t>Pending Appointment</t>
        </is>
      </c>
      <c r="Z1334" t="inlineStr">
        <is>
          <t>Hiring Later</t>
        </is>
      </c>
      <c r="AA1334">
        <v>2</v>
      </c>
      <c r="AB1334" t="inlineStr">
        <is>
          <t>No Appointment Made</t>
        </is>
      </c>
      <c r="AC1334"/>
      <c r="AD1334" t="inlineStr">
        <is>
          <t>Design &amp; creative
Marketing
Location : Shah Alm</t>
        </is>
      </c>
      <c r="AE1334"/>
      <c r="AF1334"/>
      <c r="AG1334" s="4"/>
      <c r="AH1334" s="4"/>
      <c r="AI1334">
        <v>0</v>
      </c>
      <c r="AJ1334">
        <v>1</v>
      </c>
      <c r="AK1334" t="inlineStr">
        <is>
          <t>Yes, I have</t>
        </is>
      </c>
      <c r="AL1334">
        <v>2</v>
      </c>
      <c r="AM1334" t="inlineStr">
        <is>
          <t>No, I don't need at all</t>
        </is>
      </c>
      <c r="AN1334"/>
      <c r="AO1334" t="inlineStr">
        <is>
          <t>Yes, I have</t>
        </is>
      </c>
      <c r="AP1334" t="inlineStr">
        <is>
          <t>Once per quarter (75%)</t>
        </is>
      </c>
      <c r="AQ1334">
        <v>0</v>
      </c>
      <c r="AR1334" t="inlineStr">
        <is>
          <t>Jobstreet, Hiredly, Free Job Portal</t>
        </is>
      </c>
      <c r="AS1334" t="inlineStr">
        <is>
          <t>- Headcount: 2
- Hiring Job Details: Design &amp; creative, Marketing (Location: Shah Alam)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Hiredly, Free Job Portal</t>
        </is>
      </c>
      <c r="AT1334">
        <v>65</v>
      </c>
      <c r="AU1334" t="inlineStr">
        <is>
          <t>0.65</t>
        </is>
      </c>
      <c r="AV1334" t="inlineStr">
        <is>
          <t>5</t>
        </is>
      </c>
      <c r="AW1334" t="inlineStr">
        <is>
          <t>0</t>
        </is>
      </c>
      <c r="AX1334" t="inlineStr">
        <is>
          <t>Not Qualified</t>
        </is>
      </c>
      <c r="AY1334" s="4"/>
      <c r="AZ1334"/>
      <c r="BA1334"/>
      <c r="BB1334"/>
      <c r="BC1334" t="inlineStr">
        <is>
          <t>busy thus call back</t>
        </is>
      </c>
      <c r="BD1334" s="4">
        <v>46142.43119212963</v>
      </c>
      <c r="BE1334" t="inlineStr">
        <is>
          <t>paid</t>
        </is>
      </c>
      <c r="BF1334"/>
      <c r="BG1334" t="inlineStr">
        <is>
          <t>Reschedule</t>
        </is>
      </c>
      <c r="BH1334" t="inlineStr">
        <is>
          <t>Fauziah Maharan</t>
        </is>
      </c>
      <c r="BI1334" t="inlineStr">
        <is>
          <t>Entertainment / Media</t>
        </is>
      </c>
      <c r="BJ1334" s="4">
        <v>46144.75063657408</v>
      </c>
      <c r="BK1334" s="4">
        <v>44370.6115625</v>
      </c>
      <c r="BL1334" t="inlineStr">
        <is>
          <t>0.0</t>
        </is>
      </c>
      <c r="BM1334" t="inlineStr">
        <is>
          <t>16200.0</t>
        </is>
      </c>
      <c r="BN1334" t="inlineStr">
        <is>
          <t>View Jobmanager Page</t>
        </is>
      </c>
      <c r="BO1334" s="4">
        <v>44733.467627314814</v>
      </c>
      <c r="BP1334">
        <v>168105</v>
      </c>
      <c r="BQ1334">
        <v>34063</v>
      </c>
      <c r="BR1334" t="inlineStr">
        <is>
          <t>Online</t>
        </is>
      </c>
      <c r="BS1334"/>
      <c r="BT1334">
        <v>34063</v>
      </c>
      <c r="BU1334"/>
      <c r="BV1334">
        <v>2736746</v>
      </c>
      <c r="BW1334" t="inlineStr">
        <is>
          <t>Follow Up : Decision Pending</t>
        </is>
      </c>
      <c r="BX1334"/>
      <c r="BY1334"/>
      <c r="BZ1334" s="4"/>
      <c r="CA1334"/>
      <c r="CB1334"/>
      <c r="CC1334" s="4"/>
      <c r="CD1334" t="inlineStr">
        <is>
          <t>5</t>
        </is>
      </c>
      <c r="CE1334" t="inlineStr">
        <is>
          <t>0</t>
        </is>
      </c>
      <c r="CF1334" t="inlineStr">
        <is>
          <t>Q2-W03</t>
        </is>
      </c>
      <c r="CG1334"/>
      <c r="CH1334"/>
      <c r="CI1334"/>
      <c r="CJ1334" t="inlineStr">
        <is>
          <t>Paid</t>
        </is>
      </c>
      <c r="CK1334" t="inlineStr">
        <is>
          <t>Eligible</t>
        </is>
      </c>
      <c r="CL1334"/>
      <c r="CM1334"/>
    </row>
    <row r="1335" ht="25.5" customHeight="1">
      <c r="A1335" t="inlineStr">
        <is>
          <t>29933</t>
        </is>
      </c>
      <c r="B1335" s="2"/>
      <c r="C1335"/>
      <c r="D1335" s="3">
        <v>46133.66523148148</v>
      </c>
      <c r="E1335" t="inlineStr">
        <is>
          <t>Q2-W03</t>
        </is>
      </c>
      <c r="F1335" t="inlineStr">
        <is>
          <t>Clover</t>
        </is>
      </c>
      <c r="G1335" t="inlineStr">
        <is>
          <t>Customer</t>
        </is>
      </c>
      <c r="H1335" s="2" t="str">
        <f>=HYPERLINK("https://upbox.ajobthing.my/customer/29933", "https://upbox.ajobthing.my/customer/29933")</f>
        <v>https://upbox.ajobthing.my/customer/29933</v>
      </c>
      <c r="I1335" t="inlineStr">
        <is>
          <t>Azeus</t>
        </is>
      </c>
      <c r="J1335" t="inlineStr">
        <is>
          <t>Whale</t>
        </is>
      </c>
      <c r="K1335" t="inlineStr">
        <is>
          <t>Clover</t>
        </is>
      </c>
      <c r="L1335" s="4"/>
      <c r="M1335" s="4">
        <v>46133.665671296294</v>
      </c>
      <c r="N1335"/>
      <c r="O1335">
        <v>6048</v>
      </c>
      <c r="P1335" s="4"/>
      <c r="Q1335" s="4"/>
      <c r="R1335"/>
      <c r="S1335"/>
      <c r="T1335" s="4"/>
      <c r="U1335" s="4"/>
      <c r="V1335"/>
      <c r="W1335"/>
      <c r="X1335"/>
      <c r="Y1335" t="inlineStr">
        <is>
          <t>Pending Appointment</t>
        </is>
      </c>
      <c r="Z1335" t="inlineStr">
        <is>
          <t>Hiring Now</t>
        </is>
      </c>
      <c r="AA1335">
        <v>3</v>
      </c>
      <c r="AB1335" t="inlineStr">
        <is>
          <t>No Appointment Made</t>
        </is>
      </c>
      <c r="AC1335"/>
      <c r="AD1335" t="inlineStr">
        <is>
          <t>Hiring software developer x1, web developer x1, system engineer x1, IT company kl, suggest pro</t>
        </is>
      </c>
      <c r="AE1335"/>
      <c r="AF1335">
        <v>5000</v>
      </c>
      <c r="AG1335" s="4"/>
      <c r="AH1335" s="4"/>
      <c r="AI1335">
        <v>5000</v>
      </c>
      <c r="AJ1335">
        <v>1</v>
      </c>
      <c r="AK1335" t="inlineStr">
        <is>
          <t>No, but I want in future</t>
        </is>
      </c>
      <c r="AL1335">
        <v>1</v>
      </c>
      <c r="AM1335" t="inlineStr">
        <is>
          <t>No, but I want in future</t>
        </is>
      </c>
      <c r="AN1335"/>
      <c r="AO1335" t="inlineStr">
        <is>
          <t>No, but I want in future</t>
        </is>
      </c>
      <c r="AP1335" t="inlineStr">
        <is>
          <t>Twice a year (50%)</t>
        </is>
      </c>
      <c r="AQ1335">
        <v>3</v>
      </c>
      <c r="AR1335" t="inlineStr">
        <is>
          <t>Jobstreet</t>
        </is>
      </c>
      <c r="AS1335" t="inlineStr">
        <is>
          <t>- Headcount: 3
- Hiring Job Details: Hiring software developer x1, web developer x1, system engineer x1, IT company kl,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3
- Hiring frequency: Twice a year (50%)
- External job portal: Jobstreet</t>
        </is>
      </c>
      <c r="AT1335">
        <v>115</v>
      </c>
      <c r="AU1335" t="inlineStr">
        <is>
          <t>1.15</t>
        </is>
      </c>
      <c r="AV1335" t="inlineStr">
        <is>
          <t>15</t>
        </is>
      </c>
      <c r="AW1335" t="inlineStr">
        <is>
          <t>0</t>
        </is>
      </c>
      <c r="AX1335" t="inlineStr">
        <is>
          <t>Not Qualified</t>
        </is>
      </c>
      <c r="AY1335" s="4"/>
      <c r="AZ1335"/>
      <c r="BA1335"/>
      <c r="BB1335"/>
      <c r="BC1335" t="inlineStr">
        <is>
          <t>Hiring software developer x1, web developer x1, system engineer x1, IT company kl, suggest pro</t>
        </is>
      </c>
      <c r="BD1335" s="4">
        <v>46133.66997685185</v>
      </c>
      <c r="BE1335"/>
      <c r="BF1335"/>
      <c r="BG1335" t="inlineStr">
        <is>
          <t>Reschedule</t>
        </is>
      </c>
      <c r="BH1335" t="inlineStr">
        <is>
          <t>Reagen</t>
        </is>
      </c>
      <c r="BI1335" t="inlineStr">
        <is>
          <t>IT / Software</t>
        </is>
      </c>
      <c r="BJ1335" s="4">
        <v>46144.75451388889</v>
      </c>
      <c r="BK1335" s="4">
        <v>42656.603483796294</v>
      </c>
      <c r="BL1335" t="inlineStr">
        <is>
          <t>0.0</t>
        </is>
      </c>
      <c r="BM1335" t="inlineStr">
        <is>
          <t>12600.0</t>
        </is>
      </c>
      <c r="BN1335"/>
      <c r="BO1335" s="4"/>
      <c r="BP1335">
        <v>168100</v>
      </c>
      <c r="BQ1335"/>
      <c r="BR1335"/>
      <c r="BS1335"/>
      <c r="BT1335"/>
      <c r="BU1335"/>
      <c r="BV1335">
        <v>2718724</v>
      </c>
      <c r="BW1335" t="inlineStr">
        <is>
          <t>Inquire for Hiring Needs : Quotation Sent 50%</t>
        </is>
      </c>
      <c r="BX1335"/>
      <c r="BY1335"/>
      <c r="BZ1335" s="4"/>
      <c r="CA1335"/>
      <c r="CB1335"/>
      <c r="CC1335" s="4"/>
      <c r="CD1335" t="inlineStr">
        <is>
          <t>20</t>
        </is>
      </c>
      <c r="CE1335" t="inlineStr">
        <is>
          <t>0</t>
        </is>
      </c>
      <c r="CF1335" t="inlineStr">
        <is>
          <t>Q2-W03</t>
        </is>
      </c>
      <c r="CG1335"/>
      <c r="CH1335"/>
      <c r="CI1335"/>
      <c r="CJ1335" t="inlineStr">
        <is>
          <t>No Paid</t>
        </is>
      </c>
      <c r="CK1335" t="inlineStr">
        <is>
          <t>Eligible</t>
        </is>
      </c>
      <c r="CL1335"/>
      <c r="CM1335"/>
    </row>
    <row r="1336" ht="25.5" customHeight="1">
      <c r="A1336" t="inlineStr">
        <is>
          <t>203490</t>
        </is>
      </c>
      <c r="B1336" s="2"/>
      <c r="C1336"/>
      <c r="D1336" s="3">
        <v>46133.670625</v>
      </c>
      <c r="E1336" t="inlineStr">
        <is>
          <t>Q2-W03</t>
        </is>
      </c>
      <c r="F1336" t="inlineStr">
        <is>
          <t>Jia Hui</t>
        </is>
      </c>
      <c r="G1336" t="inlineStr">
        <is>
          <t>Customer</t>
        </is>
      </c>
      <c r="H1336" s="2" t="str">
        <f>=HYPERLINK("https://upbox.ajobthing.my/customer/203490", "https://upbox.ajobthing.my/customer/203490")</f>
        <v>https://upbox.ajobthing.my/customer/203490</v>
      </c>
      <c r="I1336" t="inlineStr">
        <is>
          <t>Zheng Yee Precision Engineering Sdn Bhd</t>
        </is>
      </c>
      <c r="J1336" t="inlineStr">
        <is>
          <t>Whale</t>
        </is>
      </c>
      <c r="K1336" t="inlineStr">
        <is>
          <t>Jia Hui</t>
        </is>
      </c>
      <c r="L1336" s="4"/>
      <c r="M1336" s="4">
        <v>46133.33273148148</v>
      </c>
      <c r="N1336"/>
      <c r="O1336">
        <v>6048</v>
      </c>
      <c r="P1336" s="4"/>
      <c r="Q1336" s="4">
        <v>46142.39113425926</v>
      </c>
      <c r="R1336"/>
      <c r="S1336">
        <v>5508</v>
      </c>
      <c r="T1336" s="4">
        <v>46142.39113425926</v>
      </c>
      <c r="U1336" s="4"/>
      <c r="V1336"/>
      <c r="W1336">
        <v>5508</v>
      </c>
      <c r="X1336"/>
      <c r="Y1336" t="inlineStr">
        <is>
          <t>Pending Appointment</t>
        </is>
      </c>
      <c r="Z1336" t="inlineStr">
        <is>
          <t>Hiring Now</t>
        </is>
      </c>
      <c r="AA1336">
        <v>5</v>
      </c>
      <c r="AB1336" t="inlineStr">
        <is>
          <t>No Appointment Made</t>
        </is>
      </c>
      <c r="AC1336"/>
      <c r="AD1336" t="inlineStr">
        <is>
          <t xml:space="preserve"> hire 1 engineer, 1 marketer, 3-4 positions,</t>
        </is>
      </c>
      <c r="AE1336"/>
      <c r="AF1336">
        <v>1000</v>
      </c>
      <c r="AG1336" s="4"/>
      <c r="AH1336" s="4"/>
      <c r="AI1336"/>
      <c r="AJ1336"/>
      <c r="AK1336" t="inlineStr">
        <is>
          <t>Yes, I have</t>
        </is>
      </c>
      <c r="AL1336"/>
      <c r="AM1336"/>
      <c r="AN1336"/>
      <c r="AO1336"/>
      <c r="AP1336" t="inlineStr">
        <is>
          <t>Twice a year (50%)</t>
        </is>
      </c>
      <c r="AQ1336"/>
      <c r="AR1336"/>
      <c r="AS1336" t="inlineStr">
        <is>
          <t>- Headcount: 5
- Hiring Job Details: hire 1 engineer, 1 marketer, 3-4 positions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Twice a year (50%)
- External job portal: Not specified</t>
        </is>
      </c>
      <c r="AT1336">
        <v>40</v>
      </c>
      <c r="AU1336" t="inlineStr">
        <is>
          <t>0.40</t>
        </is>
      </c>
      <c r="AV1336" t="inlineStr">
        <is>
          <t>20</t>
        </is>
      </c>
      <c r="AW1336" t="inlineStr">
        <is>
          <t>0</t>
        </is>
      </c>
      <c r="AX1336" t="inlineStr">
        <is>
          <t>Not Qualified</t>
        </is>
      </c>
      <c r="AY1336" s="4"/>
      <c r="AZ1336"/>
      <c r="BA1336"/>
      <c r="BB1336"/>
      <c r="BC1336" t="inlineStr">
        <is>
          <t>pending payment, will trf before the invoice due date 6 May</t>
        </is>
      </c>
      <c r="BD1336" s="4">
        <v>46135.497152777774</v>
      </c>
      <c r="BE1336" t="inlineStr">
        <is>
          <t>paid</t>
        </is>
      </c>
      <c r="BF1336" t="inlineStr">
        <is>
          <t>Q2-W04</t>
        </is>
      </c>
      <c r="BG1336" t="inlineStr">
        <is>
          <t>Reschedule</t>
        </is>
      </c>
      <c r="BH1336" t="inlineStr">
        <is>
          <t>Reagen</t>
        </is>
      </c>
      <c r="BI1336"/>
      <c r="BJ1336" s="4">
        <v>46144.754328703704</v>
      </c>
      <c r="BK1336" s="4">
        <v>46133.66605324074</v>
      </c>
      <c r="BL1336" t="inlineStr">
        <is>
          <t>5508.0</t>
        </is>
      </c>
      <c r="BM1336" t="inlineStr">
        <is>
          <t>0.0</t>
        </is>
      </c>
      <c r="BN1336"/>
      <c r="BO1336" s="4"/>
      <c r="BP1336">
        <v>168103</v>
      </c>
      <c r="BQ1336">
        <v>95157</v>
      </c>
      <c r="BR1336" t="inlineStr">
        <is>
          <t>Online</t>
        </is>
      </c>
      <c r="BS1336"/>
      <c r="BT1336">
        <v>95157</v>
      </c>
      <c r="BU1336"/>
      <c r="BV1336">
        <v>2722970</v>
      </c>
      <c r="BW1336" t="inlineStr">
        <is>
          <t>Follow Up : Payment Pending</t>
        </is>
      </c>
      <c r="BX1336">
        <v>16</v>
      </c>
      <c r="BY1336">
        <v>16</v>
      </c>
      <c r="BZ1336" s="4"/>
      <c r="CA1336">
        <v>160</v>
      </c>
      <c r="CB1336">
        <v>160</v>
      </c>
      <c r="CC1336" s="4"/>
      <c r="CD1336" t="inlineStr">
        <is>
          <t>30</t>
        </is>
      </c>
      <c r="CE1336" t="inlineStr">
        <is>
          <t>0</t>
        </is>
      </c>
      <c r="CF1336" t="inlineStr">
        <is>
          <t>Q2-W03</t>
        </is>
      </c>
      <c r="CG1336" t="inlineStr">
        <is>
          <t>Q2-W04</t>
        </is>
      </c>
      <c r="CH1336" t="inlineStr">
        <is>
          <t>Q2-W04</t>
        </is>
      </c>
      <c r="CI1336"/>
      <c r="CJ1336" t="inlineStr">
        <is>
          <t>Paid</t>
        </is>
      </c>
      <c r="CK1336" t="inlineStr">
        <is>
          <t>Eligible</t>
        </is>
      </c>
      <c r="CL1336"/>
      <c r="CM1336"/>
    </row>
    <row r="1337" ht="25.5" customHeight="1">
      <c r="A1337" t="inlineStr">
        <is>
          <t>193827</t>
        </is>
      </c>
      <c r="B1337" s="2"/>
      <c r="C1337"/>
      <c r="D1337" s="3">
        <v>46133.670949074076</v>
      </c>
      <c r="E1337" t="inlineStr">
        <is>
          <t>Q2-W03</t>
        </is>
      </c>
      <c r="F1337" t="inlineStr">
        <is>
          <t>Janice Yap</t>
        </is>
      </c>
      <c r="G1337" t="inlineStr">
        <is>
          <t>Customer</t>
        </is>
      </c>
      <c r="H1337" s="2" t="str">
        <f>=HYPERLINK("https://upbox.ajobthing.my/customer/193827", "https://upbox.ajobthing.my/customer/193827")</f>
        <v>https://upbox.ajobthing.my/customer/193827</v>
      </c>
      <c r="I1337" t="inlineStr">
        <is>
          <t>Beaks Construction Sdn Bhd</t>
        </is>
      </c>
      <c r="J1337" t="inlineStr">
        <is>
          <t>Whale</t>
        </is>
      </c>
      <c r="K1337" t="inlineStr">
        <is>
          <t>Janice</t>
        </is>
      </c>
      <c r="L1337" s="4"/>
      <c r="M1337" s="4">
        <v>46133.66599537037</v>
      </c>
      <c r="N1337"/>
      <c r="O1337">
        <v>3888</v>
      </c>
      <c r="P1337" s="4"/>
      <c r="Q1337" s="4">
        <v>45859.612604166665</v>
      </c>
      <c r="R1337"/>
      <c r="S1337">
        <v>648</v>
      </c>
      <c r="T1337" s="4">
        <v>45859.612604166665</v>
      </c>
      <c r="U1337" s="4"/>
      <c r="V1337"/>
      <c r="W1337">
        <v>648</v>
      </c>
      <c r="X1337"/>
      <c r="Y1337" t="inlineStr">
        <is>
          <t>Pending Appointment</t>
        </is>
      </c>
      <c r="Z1337" t="inlineStr">
        <is>
          <t>Hiring Now</t>
        </is>
      </c>
      <c r="AA1337">
        <v>1</v>
      </c>
      <c r="AB1337" t="inlineStr">
        <is>
          <t>No Appointment Made</t>
        </is>
      </c>
      <c r="AC1337"/>
      <c r="AD1337" t="inlineStr">
        <is>
          <t>site supervisor // construction // operation</t>
        </is>
      </c>
      <c r="AE1337"/>
      <c r="AF1337">
        <v>0</v>
      </c>
      <c r="AG1337" s="4"/>
      <c r="AH1337" s="4"/>
      <c r="AI1337">
        <v>0</v>
      </c>
      <c r="AJ1337"/>
      <c r="AK1337" t="inlineStr">
        <is>
          <t>No, I don't need at all</t>
        </is>
      </c>
      <c r="AL1337">
        <v>0</v>
      </c>
      <c r="AM1337" t="inlineStr">
        <is>
          <t>No, I don't need at all</t>
        </is>
      </c>
      <c r="AN1337"/>
      <c r="AO1337" t="inlineStr">
        <is>
          <t>No, I don't need at all</t>
        </is>
      </c>
      <c r="AP1337" t="inlineStr">
        <is>
          <t>Once a year (25%)</t>
        </is>
      </c>
      <c r="AQ1337">
        <v>3</v>
      </c>
      <c r="AR1337" t="inlineStr">
        <is>
          <t>Jobstreet, Free Job Portal</t>
        </is>
      </c>
      <c r="AS1337" t="inlineStr">
        <is>
          <t>- Headcount: 1
- Hiring Job Details: 1 site supervisor (construction, operation)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Jobstreet, Free Job Portal</t>
        </is>
      </c>
      <c r="AT1337">
        <v>110</v>
      </c>
      <c r="AU1337" t="inlineStr">
        <is>
          <t>1.10</t>
        </is>
      </c>
      <c r="AV1337" t="inlineStr">
        <is>
          <t>15</t>
        </is>
      </c>
      <c r="AW1337" t="inlineStr">
        <is>
          <t>0</t>
        </is>
      </c>
      <c r="AX1337" t="inlineStr">
        <is>
          <t>Not Qualified</t>
        </is>
      </c>
      <c r="AY1337" s="4"/>
      <c r="AZ1337"/>
      <c r="BA1337"/>
      <c r="BB1337"/>
      <c r="BC1337" t="inlineStr">
        <is>
          <t>Send quotation to PIC via email // quotation just approved // log for references only</t>
        </is>
      </c>
      <c r="BD1337" s="4">
        <v>46135.40697916667</v>
      </c>
      <c r="BE1337" t="inlineStr">
        <is>
          <t>paid</t>
        </is>
      </c>
      <c r="BF1337"/>
      <c r="BG1337" t="inlineStr">
        <is>
          <t>Reschedule</t>
        </is>
      </c>
      <c r="BH1337" t="inlineStr">
        <is>
          <t>Yee Hang</t>
        </is>
      </c>
      <c r="BI1337"/>
      <c r="BJ1337" s="4">
        <v>46142.81511574074</v>
      </c>
      <c r="BK1337" s="4">
        <v>45854.45633101852</v>
      </c>
      <c r="BL1337" t="inlineStr">
        <is>
          <t>648.0</t>
        </is>
      </c>
      <c r="BM1337" t="inlineStr">
        <is>
          <t>10200.0</t>
        </is>
      </c>
      <c r="BN1337" t="inlineStr">
        <is>
          <t>View Company Page</t>
        </is>
      </c>
      <c r="BO1337" s="4">
        <v>45889.39945601852</v>
      </c>
      <c r="BP1337">
        <v>168102</v>
      </c>
      <c r="BQ1337">
        <v>80903</v>
      </c>
      <c r="BR1337" t="inlineStr">
        <is>
          <t>Online</t>
        </is>
      </c>
      <c r="BS1337"/>
      <c r="BT1337">
        <v>80903</v>
      </c>
      <c r="BU1337"/>
      <c r="BV1337">
        <v>2722276</v>
      </c>
      <c r="BW1337" t="inlineStr">
        <is>
          <t>No Answer : Voicemail - WA sent to customer</t>
        </is>
      </c>
      <c r="BX1337"/>
      <c r="BY1337"/>
      <c r="BZ1337" s="4"/>
      <c r="CA1337"/>
      <c r="CB1337"/>
      <c r="CC1337" s="4"/>
      <c r="CD1337" t="inlineStr">
        <is>
          <t>20</t>
        </is>
      </c>
      <c r="CE1337" t="inlineStr">
        <is>
          <t>0</t>
        </is>
      </c>
      <c r="CF1337" t="inlineStr">
        <is>
          <t>Q2-W03</t>
        </is>
      </c>
      <c r="CG1337"/>
      <c r="CH1337"/>
      <c r="CI1337"/>
      <c r="CJ1337" t="inlineStr">
        <is>
          <t>Paid</t>
        </is>
      </c>
      <c r="CK1337" t="inlineStr">
        <is>
          <t>Eligible</t>
        </is>
      </c>
      <c r="CL1337"/>
      <c r="CM1337"/>
    </row>
    <row r="1338" ht="25.5" customHeight="1">
      <c r="A1338" t="inlineStr">
        <is>
          <t>203183</t>
        </is>
      </c>
      <c r="B1338" s="2"/>
      <c r="C1338"/>
      <c r="D1338" s="3">
        <v>46133.680289351854</v>
      </c>
      <c r="E1338" t="inlineStr">
        <is>
          <t>Q2-W03</t>
        </is>
      </c>
      <c r="F1338" t="inlineStr">
        <is>
          <t>Ratha</t>
        </is>
      </c>
      <c r="G1338" t="inlineStr">
        <is>
          <t>Customer</t>
        </is>
      </c>
      <c r="H1338" s="2" t="str">
        <f>=HYPERLINK("https://upbox.ajobthing.my/customer/203183", "https://upbox.ajobthing.my/customer/203183")</f>
        <v>https://upbox.ajobthing.my/customer/203183</v>
      </c>
      <c r="I1338" t="inlineStr">
        <is>
          <t>Wong Loong Cheong Sdn Bhd</t>
        </is>
      </c>
      <c r="J1338" t="inlineStr">
        <is>
          <t>Whale</t>
        </is>
      </c>
      <c r="K1338" t="inlineStr">
        <is>
          <t>Ratha</t>
        </is>
      </c>
      <c r="L1338" s="4"/>
      <c r="M1338" s="4">
        <v>46133.68234953703</v>
      </c>
      <c r="N1338"/>
      <c r="O1338">
        <v>2592</v>
      </c>
      <c r="P1338" s="4"/>
      <c r="Q1338" s="4"/>
      <c r="R1338"/>
      <c r="S1338"/>
      <c r="T1338" s="4"/>
      <c r="U1338" s="4"/>
      <c r="V1338"/>
      <c r="W1338"/>
      <c r="X1338"/>
      <c r="Y1338" t="inlineStr">
        <is>
          <t>Pending Appointment</t>
        </is>
      </c>
      <c r="Z1338" t="inlineStr">
        <is>
          <t>Hiring Now</t>
        </is>
      </c>
      <c r="AA1338">
        <v>3</v>
      </c>
      <c r="AB1338" t="inlineStr">
        <is>
          <t>No Appointment Made</t>
        </is>
      </c>
      <c r="AC1338"/>
      <c r="AD1338" t="inlineStr">
        <is>
          <t xml:space="preserve">Sales Rep, Lorry driver, Sales Manager (Location: Klang &amp; KL) </t>
        </is>
      </c>
      <c r="AE1338"/>
      <c r="AF1338"/>
      <c r="AG1338" s="4"/>
      <c r="AH1338" s="4"/>
      <c r="AI1338">
        <v>0</v>
      </c>
      <c r="AJ1338">
        <v>1</v>
      </c>
      <c r="AK1338" t="inlineStr">
        <is>
          <t>Yes, I have</t>
        </is>
      </c>
      <c r="AL1338">
        <v>2</v>
      </c>
      <c r="AM1338" t="inlineStr">
        <is>
          <t>No, I don't need at all</t>
        </is>
      </c>
      <c r="AN1338"/>
      <c r="AO1338" t="inlineStr">
        <is>
          <t>No, I don't need at all</t>
        </is>
      </c>
      <c r="AP1338" t="inlineStr">
        <is>
          <t>Once per quarter (75%)</t>
        </is>
      </c>
      <c r="AQ1338">
        <v>0</v>
      </c>
      <c r="AR1338" t="inlineStr">
        <is>
          <t>Free Job Portal</t>
        </is>
      </c>
      <c r="AS1338" t="inlineStr">
        <is>
          <t>- Headcount: 3
- Hiring Job Details: Sales Rep, Lorry driver, Sales Manager (Location: Klang &amp; KL)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1338">
        <v>65</v>
      </c>
      <c r="AU1338" t="inlineStr">
        <is>
          <t>0.65</t>
        </is>
      </c>
      <c r="AV1338" t="inlineStr">
        <is>
          <t>5</t>
        </is>
      </c>
      <c r="AW1338" t="inlineStr">
        <is>
          <t>0</t>
        </is>
      </c>
      <c r="AX1338" t="inlineStr">
        <is>
          <t>Not Qualified</t>
        </is>
      </c>
      <c r="AY1338" s="4"/>
      <c r="AZ1338"/>
      <c r="BA1338"/>
      <c r="BB1338"/>
      <c r="BC1338" t="inlineStr">
        <is>
          <t>not proceed</t>
        </is>
      </c>
      <c r="BD1338" s="4">
        <v>46136.62861111111</v>
      </c>
      <c r="BE1338"/>
      <c r="BF1338"/>
      <c r="BG1338" t="inlineStr">
        <is>
          <t>Reschedule</t>
        </is>
      </c>
      <c r="BH1338" t="inlineStr">
        <is>
          <t>Fauziah Maharan</t>
        </is>
      </c>
      <c r="BI1338" t="inlineStr">
        <is>
          <t>Consumer Products / FMCG</t>
        </is>
      </c>
      <c r="BJ1338" s="4">
        <v>46144.75423611111</v>
      </c>
      <c r="BK1338" s="4">
        <v>46125.70119212963</v>
      </c>
      <c r="BL1338" t="inlineStr">
        <is>
          <t>0.0</t>
        </is>
      </c>
      <c r="BM1338" t="inlineStr">
        <is>
          <t>0.0</t>
        </is>
      </c>
      <c r="BN1338" t="inlineStr">
        <is>
          <t>View Company Page</t>
        </is>
      </c>
      <c r="BO1338" s="4">
        <v>46133.64230324074</v>
      </c>
      <c r="BP1338">
        <v>168115</v>
      </c>
      <c r="BQ1338"/>
      <c r="BR1338"/>
      <c r="BS1338"/>
      <c r="BT1338"/>
      <c r="BU1338"/>
      <c r="BV1338">
        <v>2726665</v>
      </c>
      <c r="BW1338" t="inlineStr">
        <is>
          <t>Follow Up : Budget Concern</t>
        </is>
      </c>
      <c r="BX1338"/>
      <c r="BY1338"/>
      <c r="BZ1338" s="4"/>
      <c r="CA1338"/>
      <c r="CB1338"/>
      <c r="CC1338" s="4"/>
      <c r="CD1338" t="inlineStr">
        <is>
          <t>5</t>
        </is>
      </c>
      <c r="CE1338" t="inlineStr">
        <is>
          <t>0</t>
        </is>
      </c>
      <c r="CF1338" t="inlineStr">
        <is>
          <t>Q2-W03</t>
        </is>
      </c>
      <c r="CG1338"/>
      <c r="CH1338"/>
      <c r="CI1338"/>
      <c r="CJ1338" t="inlineStr">
        <is>
          <t>No Paid</t>
        </is>
      </c>
      <c r="CK1338" t="inlineStr">
        <is>
          <t>Eligible</t>
        </is>
      </c>
      <c r="CL1338"/>
      <c r="CM1338"/>
    </row>
    <row r="1339" ht="25.5" customHeight="1">
      <c r="A1339" t="inlineStr">
        <is>
          <t>32275</t>
        </is>
      </c>
      <c r="B1339" s="2"/>
      <c r="C1339"/>
      <c r="D1339" s="3">
        <v>46133.7046875</v>
      </c>
      <c r="E1339" t="inlineStr">
        <is>
          <t>Q2-W03</t>
        </is>
      </c>
      <c r="F1339" t="inlineStr">
        <is>
          <t>Ratha</t>
        </is>
      </c>
      <c r="G1339" t="inlineStr">
        <is>
          <t>Customer</t>
        </is>
      </c>
      <c r="H1339" s="2" t="str">
        <f>=HYPERLINK("https://upbox.ajobthing.my/customer/32275", "https://upbox.ajobthing.my/customer/32275")</f>
        <v>https://upbox.ajobthing.my/customer/32275</v>
      </c>
      <c r="I1339" t="inlineStr">
        <is>
          <t>Merison (M) Sdn Bhd</t>
        </is>
      </c>
      <c r="J1339" t="inlineStr">
        <is>
          <t>Whale</t>
        </is>
      </c>
      <c r="K1339" t="inlineStr">
        <is>
          <t>Ratha</t>
        </is>
      </c>
      <c r="L1339" s="4"/>
      <c r="M1339" s="4">
        <v>46133.70563657407</v>
      </c>
      <c r="N1339"/>
      <c r="O1339">
        <v>3672</v>
      </c>
      <c r="P1339" s="4"/>
      <c r="Q1339" s="4">
        <v>46142.55153935185</v>
      </c>
      <c r="R1339"/>
      <c r="S1339">
        <v>3888</v>
      </c>
      <c r="T1339" s="4">
        <v>46142.55153935185</v>
      </c>
      <c r="U1339" s="4"/>
      <c r="V1339"/>
      <c r="W1339">
        <v>3888</v>
      </c>
      <c r="X1339"/>
      <c r="Y1339" t="inlineStr">
        <is>
          <t>Pending Appointment</t>
        </is>
      </c>
      <c r="Z1339" t="inlineStr">
        <is>
          <t>Hiring Now</t>
        </is>
      </c>
      <c r="AA1339">
        <v>2</v>
      </c>
      <c r="AB1339" t="inlineStr">
        <is>
          <t>No Appointment Made</t>
        </is>
      </c>
      <c r="AC1339"/>
      <c r="AD1339" t="inlineStr">
        <is>
          <t>HR, Sales and so on
Location : Johor</t>
        </is>
      </c>
      <c r="AE1339"/>
      <c r="AF1339"/>
      <c r="AG1339" s="4"/>
      <c r="AH1339" s="4"/>
      <c r="AI1339">
        <v>0</v>
      </c>
      <c r="AJ1339">
        <v>1</v>
      </c>
      <c r="AK1339" t="inlineStr">
        <is>
          <t>Yes, I have</t>
        </is>
      </c>
      <c r="AL1339">
        <v>2</v>
      </c>
      <c r="AM1339" t="inlineStr">
        <is>
          <t>No, I don't need at all</t>
        </is>
      </c>
      <c r="AN1339"/>
      <c r="AO1339" t="inlineStr">
        <is>
          <t>No, I don't need at all</t>
        </is>
      </c>
      <c r="AP1339" t="inlineStr">
        <is>
          <t>Once per quarter (75%)</t>
        </is>
      </c>
      <c r="AQ1339">
        <v>0</v>
      </c>
      <c r="AR1339" t="inlineStr">
        <is>
          <t>Jobstreet, Free Job Portal</t>
        </is>
      </c>
      <c r="AS1339" t="inlineStr">
        <is>
          <t>- Headcount: 2
- Hiring Job Details: HR, Sales and so on; Location: Johor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1339">
        <v>65</v>
      </c>
      <c r="AU1339" t="inlineStr">
        <is>
          <t>0.65</t>
        </is>
      </c>
      <c r="AV1339" t="inlineStr">
        <is>
          <t>5</t>
        </is>
      </c>
      <c r="AW1339" t="inlineStr">
        <is>
          <t>0</t>
        </is>
      </c>
      <c r="AX1339" t="inlineStr">
        <is>
          <t>Not Qualified</t>
        </is>
      </c>
      <c r="AY1339" s="4"/>
      <c r="AZ1339"/>
      <c r="BA1339"/>
      <c r="BB1339"/>
      <c r="BC1339" t="inlineStr">
        <is>
          <t>send invoice</t>
        </is>
      </c>
      <c r="BD1339" s="4">
        <v>46141.4215625</v>
      </c>
      <c r="BE1339" t="inlineStr">
        <is>
          <t>paid</t>
        </is>
      </c>
      <c r="BF1339" t="inlineStr">
        <is>
          <t>Q2-W04</t>
        </is>
      </c>
      <c r="BG1339" t="inlineStr">
        <is>
          <t>Reschedule</t>
        </is>
      </c>
      <c r="BH1339" t="inlineStr">
        <is>
          <t>Fauziah Maharan</t>
        </is>
      </c>
      <c r="BI1339" t="inlineStr">
        <is>
          <t>Retail / Merchandise</t>
        </is>
      </c>
      <c r="BJ1339" s="4">
        <v>46144.75454861111</v>
      </c>
      <c r="BK1339" s="4">
        <v>42730.68325231481</v>
      </c>
      <c r="BL1339" t="inlineStr">
        <is>
          <t>3888.0</t>
        </is>
      </c>
      <c r="BM1339" t="inlineStr">
        <is>
          <t>5400.0</t>
        </is>
      </c>
      <c r="BN1339" t="inlineStr">
        <is>
          <t>User Visit(Logged In)</t>
        </is>
      </c>
      <c r="BO1339" s="4">
        <v>46017.448587962965</v>
      </c>
      <c r="BP1339">
        <v>168133</v>
      </c>
      <c r="BQ1339">
        <v>7749</v>
      </c>
      <c r="BR1339" t="inlineStr">
        <is>
          <t>Manual (Paid)</t>
        </is>
      </c>
      <c r="BS1339"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1339">
        <v>7749</v>
      </c>
      <c r="BU1339"/>
      <c r="BV1339">
        <v>2734301</v>
      </c>
      <c r="BW1339" t="inlineStr">
        <is>
          <t>Follow Up : Invoice Sent 75%</t>
        </is>
      </c>
      <c r="BX1339">
        <v>6</v>
      </c>
      <c r="BY1339">
        <v>6</v>
      </c>
      <c r="BZ1339" s="4"/>
      <c r="CA1339">
        <v>60</v>
      </c>
      <c r="CB1339">
        <v>60</v>
      </c>
      <c r="CC1339" s="4"/>
      <c r="CD1339" t="inlineStr">
        <is>
          <t>5</t>
        </is>
      </c>
      <c r="CE1339" t="inlineStr">
        <is>
          <t>0</t>
        </is>
      </c>
      <c r="CF1339" t="inlineStr">
        <is>
          <t>Q2-W03</t>
        </is>
      </c>
      <c r="CG1339" t="inlineStr">
        <is>
          <t>Q2-W04</t>
        </is>
      </c>
      <c r="CH1339" t="inlineStr">
        <is>
          <t>Q2-W04</t>
        </is>
      </c>
      <c r="CI1339"/>
      <c r="CJ1339" t="inlineStr">
        <is>
          <t>Paid</t>
        </is>
      </c>
      <c r="CK1339" t="inlineStr">
        <is>
          <t>Eligible</t>
        </is>
      </c>
      <c r="CL1339"/>
      <c r="CM1339"/>
    </row>
    <row r="1340" ht="25.5" customHeight="1">
      <c r="A1340" t="inlineStr">
        <is>
          <t>163054</t>
        </is>
      </c>
      <c r="B1340" s="2"/>
      <c r="C1340"/>
      <c r="D1340" s="3">
        <v>46133.718125</v>
      </c>
      <c r="E1340" t="inlineStr">
        <is>
          <t>Q2-W03</t>
        </is>
      </c>
      <c r="F1340" t="inlineStr">
        <is>
          <t>Yvonne Lee</t>
        </is>
      </c>
      <c r="G1340" t="inlineStr">
        <is>
          <t>Customer</t>
        </is>
      </c>
      <c r="H1340" s="2" t="str">
        <f>=HYPERLINK("https://upbox.ajobthing.my/customer/163054", "https://upbox.ajobthing.my/customer/163054")</f>
        <v>https://upbox.ajobthing.my/customer/163054</v>
      </c>
      <c r="I1340" t="inlineStr">
        <is>
          <t>Atifa Towage &amp; Transport Sdn Bhd</t>
        </is>
      </c>
      <c r="J1340" t="inlineStr">
        <is>
          <t>Whale</t>
        </is>
      </c>
      <c r="K1340" t="inlineStr">
        <is>
          <t>Yvonne</t>
        </is>
      </c>
      <c r="L1340" s="4"/>
      <c r="M1340" s="4">
        <v>46133.718993055554</v>
      </c>
      <c r="N1340"/>
      <c r="O1340">
        <v>6048</v>
      </c>
      <c r="P1340" s="4"/>
      <c r="Q1340" s="4"/>
      <c r="R1340"/>
      <c r="S1340"/>
      <c r="T1340" s="4"/>
      <c r="U1340" s="4"/>
      <c r="V1340"/>
      <c r="W1340"/>
      <c r="X1340"/>
      <c r="Y1340" t="inlineStr">
        <is>
          <t>Pending Appointment</t>
        </is>
      </c>
      <c r="Z1340" t="inlineStr">
        <is>
          <t>Hiring Now</t>
        </is>
      </c>
      <c r="AA1340">
        <v>3</v>
      </c>
      <c r="AB1340" t="inlineStr">
        <is>
          <t>No Appointment Made</t>
        </is>
      </c>
      <c r="AC1340"/>
      <c r="AD1340" t="inlineStr">
        <is>
          <t>1) Quantity Surveyor
2) Corporate Sales
3) Admin Assistant</t>
        </is>
      </c>
      <c r="AE1340"/>
      <c r="AF1340">
        <v>8000</v>
      </c>
      <c r="AG1340" s="4"/>
      <c r="AH1340" s="4"/>
      <c r="AI1340">
        <v>8000</v>
      </c>
      <c r="AJ1340">
        <v>1</v>
      </c>
      <c r="AK1340" t="inlineStr">
        <is>
          <t>Yes, I have</t>
        </is>
      </c>
      <c r="AL1340">
        <v>3</v>
      </c>
      <c r="AM1340" t="inlineStr">
        <is>
          <t>No, I don't need at all</t>
        </is>
      </c>
      <c r="AN1340"/>
      <c r="AO1340" t="inlineStr">
        <is>
          <t>No, but I want in future</t>
        </is>
      </c>
      <c r="AP1340" t="inlineStr">
        <is>
          <t>Once per quarter (75%)</t>
        </is>
      </c>
      <c r="AQ1340">
        <v>10</v>
      </c>
      <c r="AR1340" t="inlineStr">
        <is>
          <t>Jobstreet, Indeed (Paid)</t>
        </is>
      </c>
      <c r="AS1340" t="inlineStr">
        <is>
          <t>- Headcount: 3
- Hiring Job Details: 1 Quantity Surveyor, 1 Corporate Sales, 1 Admin Assistant
- Hiring Urgency: Hiring Now
- Number of outlets: 1
- Have recruiter team: Yes
- Number of recruiter in company: 3
- Have ATS system: No, I don't need at all
- Have career website: No, but I want in future
- Current hiring budget: RM8,000
- Whole year budget: RM8,000.00
- Whole year number of vacancies: 10
- Hiring frequency: Once per quarter (75%)
- External job portal: Jobstreet, Indeed (Paid)</t>
        </is>
      </c>
      <c r="AT1340">
        <v>115</v>
      </c>
      <c r="AU1340" t="inlineStr">
        <is>
          <t>1.15</t>
        </is>
      </c>
      <c r="AV1340" t="inlineStr">
        <is>
          <t>15</t>
        </is>
      </c>
      <c r="AW1340" t="inlineStr">
        <is>
          <t>0</t>
        </is>
      </c>
      <c r="AX1340" t="inlineStr">
        <is>
          <t>Not Qualified</t>
        </is>
      </c>
      <c r="AY1340" s="4"/>
      <c r="AZ1340"/>
      <c r="BA1340"/>
      <c r="BB1340"/>
      <c r="BC1340" t="inlineStr">
        <is>
          <t>Spoken with Ms Hanim and get back soonest on the free posting.</t>
        </is>
      </c>
      <c r="BD1340" s="4">
        <v>46141.656226851854</v>
      </c>
      <c r="BE1340"/>
      <c r="BF1340"/>
      <c r="BG1340" t="inlineStr">
        <is>
          <t>Reschedule</t>
        </is>
      </c>
      <c r="BH1340" t="inlineStr">
        <is>
          <t>andy@ajobthing.com</t>
        </is>
      </c>
      <c r="BI1340" t="inlineStr">
        <is>
          <t>Transportation / Logistics</t>
        </is>
      </c>
      <c r="BJ1340" s="4">
        <v>46144.751180555555</v>
      </c>
      <c r="BK1340" s="4">
        <v>44915.52918981481</v>
      </c>
      <c r="BL1340" t="inlineStr">
        <is>
          <t>0.0</t>
        </is>
      </c>
      <c r="BM1340" t="inlineStr">
        <is>
          <t>6000.0</t>
        </is>
      </c>
      <c r="BN1340" t="inlineStr">
        <is>
          <t>View Create Job Page</t>
        </is>
      </c>
      <c r="BO1340" s="4">
        <v>44915.69813657407</v>
      </c>
      <c r="BP1340">
        <v>168141</v>
      </c>
      <c r="BQ1340"/>
      <c r="BR1340"/>
      <c r="BS1340"/>
      <c r="BT1340"/>
      <c r="BU1340"/>
      <c r="BV1340">
        <v>2735704</v>
      </c>
      <c r="BW1340" t="inlineStr">
        <is>
          <t>Inquire for Hiring Needs : Budget Concern</t>
        </is>
      </c>
      <c r="BX1340"/>
      <c r="BY1340"/>
      <c r="BZ1340" s="4"/>
      <c r="CA1340"/>
      <c r="CB1340"/>
      <c r="CC1340" s="4"/>
      <c r="CD1340" t="inlineStr">
        <is>
          <t>20</t>
        </is>
      </c>
      <c r="CE1340" t="inlineStr">
        <is>
          <t>0</t>
        </is>
      </c>
      <c r="CF1340" t="inlineStr">
        <is>
          <t>Q2-W03</t>
        </is>
      </c>
      <c r="CG1340"/>
      <c r="CH1340"/>
      <c r="CI1340"/>
      <c r="CJ1340" t="inlineStr">
        <is>
          <t>No Paid</t>
        </is>
      </c>
      <c r="CK1340" t="inlineStr">
        <is>
          <t>Eligible</t>
        </is>
      </c>
      <c r="CL1340"/>
      <c r="CM1340"/>
    </row>
    <row r="1341" ht="25.5" customHeight="1">
      <c r="A1341" t="inlineStr">
        <is>
          <t>202911</t>
        </is>
      </c>
      <c r="B1341" s="2"/>
      <c r="C1341"/>
      <c r="D1341" s="3">
        <v>46133.71969907408</v>
      </c>
      <c r="E1341" t="inlineStr">
        <is>
          <t>Q2-W03</t>
        </is>
      </c>
      <c r="F1341" t="inlineStr">
        <is>
          <t>Carmen</t>
        </is>
      </c>
      <c r="G1341" t="inlineStr">
        <is>
          <t>Customer</t>
        </is>
      </c>
      <c r="H1341" s="2" t="str">
        <f>=HYPERLINK("https://upbox.ajobthing.my/customer/202911", "https://upbox.ajobthing.my/customer/202911")</f>
        <v>https://upbox.ajobthing.my/customer/202911</v>
      </c>
      <c r="I1341" t="inlineStr">
        <is>
          <t>Focus Chemical Sdn Bhd</t>
        </is>
      </c>
      <c r="J1341" t="inlineStr">
        <is>
          <t>Whale</t>
        </is>
      </c>
      <c r="K1341" t="inlineStr">
        <is>
          <t>Carmen</t>
        </is>
      </c>
      <c r="L1341" s="4"/>
      <c r="M1341" s="4">
        <v>46141.38170138889</v>
      </c>
      <c r="N1341"/>
      <c r="O1341">
        <v>5412.96</v>
      </c>
      <c r="P1341" s="4"/>
      <c r="Q1341" s="4"/>
      <c r="R1341"/>
      <c r="S1341"/>
      <c r="T1341" s="4"/>
      <c r="U1341" s="4"/>
      <c r="V1341"/>
      <c r="W1341"/>
      <c r="X1341"/>
      <c r="Y1341" t="inlineStr">
        <is>
          <t>Pending Appointment</t>
        </is>
      </c>
      <c r="Z1341" t="inlineStr">
        <is>
          <t>Continuous Hiring</t>
        </is>
      </c>
      <c r="AA1341">
        <v>2</v>
      </c>
      <c r="AB1341" t="inlineStr">
        <is>
          <t>No Appointment Made</t>
        </is>
      </c>
      <c r="AC1341"/>
      <c r="AD1341" t="inlineStr">
        <is>
          <t>1 intern ; 1 purchasing exec</t>
        </is>
      </c>
      <c r="AE1341"/>
      <c r="AF1341">
        <v>7000</v>
      </c>
      <c r="AG1341" s="4"/>
      <c r="AH1341" s="4"/>
      <c r="AI1341"/>
      <c r="AJ1341"/>
      <c r="AK1341" t="inlineStr">
        <is>
          <t>Yes, I have</t>
        </is>
      </c>
      <c r="AL1341"/>
      <c r="AM1341"/>
      <c r="AN1341"/>
      <c r="AO1341"/>
      <c r="AP1341" t="inlineStr">
        <is>
          <t>Once a year (25%)</t>
        </is>
      </c>
      <c r="AQ1341"/>
      <c r="AR1341"/>
      <c r="AS1341" t="inlineStr">
        <is>
          <t>- Headcount: 2
- Hiring Job Details: 1 intern ; 1 purchasing exec
- Hiring Urgency: Continuous Hiring
- Number of outlets: Not specified
- Have recruiter team: Yes
- Number of recruiter in company: Not specified
- Have ATS system: Not specified
- Have career website: Not specified
- Current hiring budget: RM7,000.00
- Whole year budget: Not specified
- Whole year number of vacancies: Not specified
- Hiring frequency: Once a year (25%)
- External job portal: Not specified</t>
        </is>
      </c>
      <c r="AT1341">
        <v>75</v>
      </c>
      <c r="AU1341" t="inlineStr">
        <is>
          <t>0.75</t>
        </is>
      </c>
      <c r="AV1341" t="inlineStr">
        <is>
          <t>15</t>
        </is>
      </c>
      <c r="AW1341" t="inlineStr">
        <is>
          <t>0</t>
        </is>
      </c>
      <c r="AX1341" t="inlineStr">
        <is>
          <t>Not Qualified</t>
        </is>
      </c>
      <c r="AY1341" s="4"/>
      <c r="AZ1341"/>
      <c r="BA1341"/>
      <c r="BB1341"/>
      <c r="BC1341" t="inlineStr">
        <is>
          <t>- Headcount: 3
- Hiring Job Details: 1 admin, 1 purchaser, 1 intern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per quarter (75%)
- External job portal: Not available</t>
        </is>
      </c>
      <c r="BD1341" s="4">
        <v>46141.41667824074</v>
      </c>
      <c r="BE1341"/>
      <c r="BF1341"/>
      <c r="BG1341" t="inlineStr">
        <is>
          <t>Reschedule</t>
        </is>
      </c>
      <c r="BH1341" t="inlineStr">
        <is>
          <t>Reagen</t>
        </is>
      </c>
      <c r="BI1341"/>
      <c r="BJ1341" s="4">
        <v>46144.754166666666</v>
      </c>
      <c r="BK1341" s="4">
        <v>46119.41392361111</v>
      </c>
      <c r="BL1341" t="inlineStr">
        <is>
          <t>0.0</t>
        </is>
      </c>
      <c r="BM1341" t="inlineStr">
        <is>
          <t>7800.0</t>
        </is>
      </c>
      <c r="BN1341"/>
      <c r="BO1341" s="4"/>
      <c r="BP1341">
        <v>169387</v>
      </c>
      <c r="BQ1341"/>
      <c r="BR1341"/>
      <c r="BS1341"/>
      <c r="BT1341"/>
      <c r="BU1341"/>
      <c r="BV1341">
        <v>2734263</v>
      </c>
      <c r="BW1341" t="inlineStr">
        <is>
          <t>Customer Inquiry</t>
        </is>
      </c>
      <c r="BX1341"/>
      <c r="BY1341"/>
      <c r="BZ1341" s="4"/>
      <c r="CA1341"/>
      <c r="CB1341"/>
      <c r="CC1341" s="4"/>
      <c r="CD1341" t="inlineStr">
        <is>
          <t>20</t>
        </is>
      </c>
      <c r="CE1341" t="inlineStr">
        <is>
          <t>0</t>
        </is>
      </c>
      <c r="CF1341" t="inlineStr">
        <is>
          <t>Q2-W04</t>
        </is>
      </c>
      <c r="CG1341"/>
      <c r="CH1341"/>
      <c r="CI1341"/>
      <c r="CJ1341" t="inlineStr">
        <is>
          <t>No Paid</t>
        </is>
      </c>
      <c r="CK1341" t="inlineStr">
        <is>
          <t>Eligible</t>
        </is>
      </c>
      <c r="CL1341"/>
      <c r="CM1341"/>
    </row>
    <row r="1342" ht="25.5" customHeight="1">
      <c r="A1342" t="inlineStr">
        <is>
          <t>125270</t>
        </is>
      </c>
      <c r="B1342" s="2"/>
      <c r="C1342"/>
      <c r="D1342" s="3">
        <v>46133.763865740744</v>
      </c>
      <c r="E1342" t="inlineStr">
        <is>
          <t>Q2-W03</t>
        </is>
      </c>
      <c r="F1342" t="inlineStr">
        <is>
          <t>Ken Yi</t>
        </is>
      </c>
      <c r="G1342" t="inlineStr">
        <is>
          <t>Customer</t>
        </is>
      </c>
      <c r="H1342" s="2" t="str">
        <f>=HYPERLINK("https://upbox.ajobthing.my/customer/125270", "https://upbox.ajobthing.my/customer/125270")</f>
        <v>https://upbox.ajobthing.my/customer/125270</v>
      </c>
      <c r="I1342" t="inlineStr">
        <is>
          <t>Roy WC &amp; Co</t>
        </is>
      </c>
      <c r="J1342" t="inlineStr">
        <is>
          <t>Whale</t>
        </is>
      </c>
      <c r="K1342" t="inlineStr">
        <is>
          <t>Kenyi</t>
        </is>
      </c>
      <c r="L1342" s="4"/>
      <c r="M1342" s="4">
        <v>46133.7596875</v>
      </c>
      <c r="N1342"/>
      <c r="O1342">
        <v>3888</v>
      </c>
      <c r="P1342" s="4"/>
      <c r="Q1342" s="4">
        <v>46134.75491898148</v>
      </c>
      <c r="R1342"/>
      <c r="S1342">
        <v>5722.88</v>
      </c>
      <c r="T1342" s="4">
        <v>46134.75491898148</v>
      </c>
      <c r="U1342" s="4"/>
      <c r="V1342"/>
      <c r="W1342">
        <v>5722.88</v>
      </c>
      <c r="X1342"/>
      <c r="Y1342" t="inlineStr">
        <is>
          <t>Pending Appointment</t>
        </is>
      </c>
      <c r="Z1342" t="inlineStr">
        <is>
          <t>Hiring Now</t>
        </is>
      </c>
      <c r="AA1342">
        <v>0</v>
      </c>
      <c r="AB1342" t="inlineStr">
        <is>
          <t>No Appointment Made</t>
        </is>
      </c>
      <c r="AC1342"/>
      <c r="AD1342" t="inlineStr">
        <is>
          <t>Renewal proposal 2</t>
        </is>
      </c>
      <c r="AE1342"/>
      <c r="AF1342">
        <v>5500</v>
      </c>
      <c r="AG1342" s="4"/>
      <c r="AH1342" s="4"/>
      <c r="AI1342">
        <v>5000</v>
      </c>
      <c r="AJ1342">
        <v>4</v>
      </c>
      <c r="AK1342" t="inlineStr">
        <is>
          <t>Yes, I have</t>
        </is>
      </c>
      <c r="AL1342">
        <v>1</v>
      </c>
      <c r="AM1342" t="inlineStr">
        <is>
          <t>No, I don't need at all</t>
        </is>
      </c>
      <c r="AN1342"/>
      <c r="AO1342" t="inlineStr">
        <is>
          <t>No, I don't need at all</t>
        </is>
      </c>
      <c r="AP1342" t="inlineStr">
        <is>
          <t>Every month (100%)</t>
        </is>
      </c>
      <c r="AQ1342">
        <v>5</v>
      </c>
      <c r="AR1342" t="inlineStr">
        <is>
          <t>Did not use any job portal</t>
        </is>
      </c>
      <c r="AS1342" t="inlineStr">
        <is>
          <t>- Headcount: 0
- Hiring Job Details: Renewal proposal 2
- Hiring Urgency: Hiring Now
- Number of outlets: 4
- Have recruiter team: Yes, I have
- Number of recruiter in company: 1
- Have ATS system: No, I don't need at all
- Have career website: No, I don't need at all
- Current hiring budget: RM5,500
- Whole year budget: RM5,000.00
- Whole year number of vacancies: 5
- Hiring frequency: Every month (100%)
- External job portal: Did not use any job portal</t>
        </is>
      </c>
      <c r="AT1342">
        <v>85</v>
      </c>
      <c r="AU1342" t="inlineStr">
        <is>
          <t>0.85</t>
        </is>
      </c>
      <c r="AV1342" t="inlineStr">
        <is>
          <t>15</t>
        </is>
      </c>
      <c r="AW1342" t="inlineStr">
        <is>
          <t>0</t>
        </is>
      </c>
      <c r="AX1342" t="inlineStr">
        <is>
          <t>Not Qualified</t>
        </is>
      </c>
      <c r="AY1342" s="4"/>
      <c r="AZ1342"/>
      <c r="BA1342"/>
      <c r="BB1342"/>
      <c r="BC1342" t="inlineStr">
        <is>
          <t>Follow up again on the company</t>
        </is>
      </c>
      <c r="BD1342" s="4">
        <v>46142.407488425924</v>
      </c>
      <c r="BE1342" t="inlineStr">
        <is>
          <t>paid</t>
        </is>
      </c>
      <c r="BF1342" t="inlineStr">
        <is>
          <t>Q2-W03</t>
        </is>
      </c>
      <c r="BG1342" t="inlineStr">
        <is>
          <t>Reschedule</t>
        </is>
      </c>
      <c r="BH1342" t="inlineStr">
        <is>
          <t>Fauziah Maharan</t>
        </is>
      </c>
      <c r="BI1342" t="inlineStr">
        <is>
          <t>Accounting / Tax Services</t>
        </is>
      </c>
      <c r="BJ1342" s="4">
        <v>46144.75033564815</v>
      </c>
      <c r="BK1342" s="4">
        <v>43878.45457175926</v>
      </c>
      <c r="BL1342" t="inlineStr">
        <is>
          <t>12310.9</t>
        </is>
      </c>
      <c r="BM1342" t="inlineStr">
        <is>
          <t>0.0</t>
        </is>
      </c>
      <c r="BN1342" t="inlineStr">
        <is>
          <t>View Company Page</t>
        </is>
      </c>
      <c r="BO1342" s="4">
        <v>46142.7928125</v>
      </c>
      <c r="BP1342">
        <v>168160</v>
      </c>
      <c r="BQ1342">
        <v>94641</v>
      </c>
      <c r="BR1342" t="inlineStr">
        <is>
          <t>Online</t>
        </is>
      </c>
      <c r="BS1342"/>
      <c r="BT1342">
        <v>94641</v>
      </c>
      <c r="BU1342"/>
      <c r="BV1342">
        <v>2736574</v>
      </c>
      <c r="BW1342" t="inlineStr">
        <is>
          <t>Service / Technical : Job Outcome Enquiry</t>
        </is>
      </c>
      <c r="BX1342">
        <v>28</v>
      </c>
      <c r="BY1342">
        <v>16</v>
      </c>
      <c r="BZ1342" s="4">
        <v>46009.76390046296</v>
      </c>
      <c r="CA1342">
        <v>340</v>
      </c>
      <c r="CB1342">
        <v>232</v>
      </c>
      <c r="CC1342" s="4">
        <v>46114.68386574074</v>
      </c>
      <c r="CD1342" t="inlineStr">
        <is>
          <t>20</t>
        </is>
      </c>
      <c r="CE1342" t="inlineStr">
        <is>
          <t>0</t>
        </is>
      </c>
      <c r="CF1342" t="inlineStr">
        <is>
          <t>Q2-W03</t>
        </is>
      </c>
      <c r="CG1342" t="inlineStr">
        <is>
          <t>Q2-W03</t>
        </is>
      </c>
      <c r="CH1342" t="inlineStr">
        <is>
          <t>Q2-W03</t>
        </is>
      </c>
      <c r="CI1342"/>
      <c r="CJ1342" t="inlineStr">
        <is>
          <t>Paid</t>
        </is>
      </c>
      <c r="CK1342" t="inlineStr">
        <is>
          <t>Eligible</t>
        </is>
      </c>
      <c r="CL1342"/>
      <c r="CM1342"/>
    </row>
    <row r="1343" ht="25.5" customHeight="1">
      <c r="A1343" t="inlineStr">
        <is>
          <t>47981</t>
        </is>
      </c>
      <c r="B1343" s="2"/>
      <c r="C1343"/>
      <c r="D1343" s="3">
        <v>46133.996145833335</v>
      </c>
      <c r="E1343" t="inlineStr">
        <is>
          <t>Q2-W03</t>
        </is>
      </c>
      <c r="F1343" t="inlineStr">
        <is>
          <t>Yuli</t>
        </is>
      </c>
      <c r="G1343" t="inlineStr">
        <is>
          <t>Customer</t>
        </is>
      </c>
      <c r="H1343" s="2" t="str">
        <f>=HYPERLINK("https://upbox.ajobthing.my/customer/47981", "https://upbox.ajobthing.my/customer/47981")</f>
        <v>https://upbox.ajobthing.my/customer/47981</v>
      </c>
      <c r="I1343" t="inlineStr">
        <is>
          <t>Jack Studio Marketing Sdn Bhd (1303213-T)</t>
        </is>
      </c>
      <c r="J1343" t="inlineStr">
        <is>
          <t>Whale</t>
        </is>
      </c>
      <c r="K1343" t="inlineStr">
        <is>
          <t>YuLi</t>
        </is>
      </c>
      <c r="L1343" s="4"/>
      <c r="M1343" s="4">
        <v>46133.407222222224</v>
      </c>
      <c r="N1343"/>
      <c r="O1343">
        <v>3888</v>
      </c>
      <c r="P1343" s="4"/>
      <c r="Q1343" s="4">
        <v>46079.389236111114</v>
      </c>
      <c r="R1343"/>
      <c r="S1343">
        <v>3576.96</v>
      </c>
      <c r="T1343" s="4">
        <v>46079.389236111114</v>
      </c>
      <c r="U1343" s="4"/>
      <c r="V1343"/>
      <c r="W1343">
        <v>3576.96</v>
      </c>
      <c r="X1343"/>
      <c r="Y1343" t="inlineStr">
        <is>
          <t>Pending Appointment</t>
        </is>
      </c>
      <c r="Z1343" t="inlineStr">
        <is>
          <t>Hiring Now</t>
        </is>
      </c>
      <c r="AA1343">
        <v>2</v>
      </c>
      <c r="AB1343" t="inlineStr">
        <is>
          <t>No Appointment Made</t>
        </is>
      </c>
      <c r="AC1343"/>
      <c r="AD1343" t="inlineStr">
        <is>
          <t>Live host, Warehouse Supervisor</t>
        </is>
      </c>
      <c r="AE1343"/>
      <c r="AF1343"/>
      <c r="AG1343" s="4"/>
      <c r="AH1343" s="4"/>
      <c r="AI1343"/>
      <c r="AJ1343"/>
      <c r="AK1343"/>
      <c r="AL1343"/>
      <c r="AM1343"/>
      <c r="AN1343"/>
      <c r="AO1343"/>
      <c r="AP1343"/>
      <c r="AQ1343"/>
      <c r="AR1343" t="inlineStr">
        <is>
          <t>Free Job Portal</t>
        </is>
      </c>
      <c r="AS1343" t="inlineStr">
        <is>
          <t>- Headcount: 2
- Hiring Job Details: Live host, Warehouse Supervisor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Free Job Portal</t>
        </is>
      </c>
      <c r="AT1343">
        <v>65</v>
      </c>
      <c r="AU1343" t="inlineStr">
        <is>
          <t>0.65</t>
        </is>
      </c>
      <c r="AV1343" t="inlineStr">
        <is>
          <t>5</t>
        </is>
      </c>
      <c r="AW1343" t="inlineStr">
        <is>
          <t>0</t>
        </is>
      </c>
      <c r="AX1343" t="inlineStr">
        <is>
          <t>Not Qualified</t>
        </is>
      </c>
      <c r="AY1343" s="4"/>
      <c r="AZ1343"/>
      <c r="BA1343"/>
      <c r="BB1343"/>
      <c r="BC1343" t="inlineStr">
        <is>
          <t>quotation shared</t>
        </is>
      </c>
      <c r="BD1343" s="4">
        <v>46133.99621527778</v>
      </c>
      <c r="BE1343" t="inlineStr">
        <is>
          <t>paid</t>
        </is>
      </c>
      <c r="BF1343" t="inlineStr">
        <is>
          <t>Q1-W08</t>
        </is>
      </c>
      <c r="BG1343" t="inlineStr">
        <is>
          <t>Reschedule</t>
        </is>
      </c>
      <c r="BH1343" t="inlineStr">
        <is>
          <t>Fauziah Maharan</t>
        </is>
      </c>
      <c r="BI1343" t="inlineStr">
        <is>
          <t>Retail / Merchandise</t>
        </is>
      </c>
      <c r="BJ1343" s="4">
        <v>46144.75604166667</v>
      </c>
      <c r="BK1343" s="4">
        <v>43207.38674768519</v>
      </c>
      <c r="BL1343" t="inlineStr">
        <is>
          <t>7248.96</t>
        </is>
      </c>
      <c r="BM1343" t="inlineStr">
        <is>
          <t>1800.0</t>
        </is>
      </c>
      <c r="BN1343" t="inlineStr">
        <is>
          <t>View Company Page</t>
        </is>
      </c>
      <c r="BO1343" s="4">
        <v>46142.43303240741</v>
      </c>
      <c r="BP1343">
        <v>167931</v>
      </c>
      <c r="BQ1343">
        <v>87168</v>
      </c>
      <c r="BR1343" t="inlineStr">
        <is>
          <t>Online</t>
        </is>
      </c>
      <c r="BS1343"/>
      <c r="BT1343">
        <v>87168</v>
      </c>
      <c r="BU1343"/>
      <c r="BV1343">
        <v>2719299</v>
      </c>
      <c r="BW1343" t="inlineStr">
        <is>
          <t>Customer Inquiry</t>
        </is>
      </c>
      <c r="BX1343">
        <v>12</v>
      </c>
      <c r="BY1343">
        <v>0</v>
      </c>
      <c r="BZ1343" s="4">
        <v>46114.373148148145</v>
      </c>
      <c r="CA1343">
        <v>120</v>
      </c>
      <c r="CB1343">
        <v>31</v>
      </c>
      <c r="CC1343" s="4">
        <v>46142.43047453704</v>
      </c>
      <c r="CD1343" t="inlineStr">
        <is>
          <t>5</t>
        </is>
      </c>
      <c r="CE1343" t="inlineStr">
        <is>
          <t>0</t>
        </is>
      </c>
      <c r="CF1343" t="inlineStr">
        <is>
          <t>Q2-W03</t>
        </is>
      </c>
      <c r="CG1343" t="inlineStr">
        <is>
          <t>Q1-W08</t>
        </is>
      </c>
      <c r="CH1343" t="inlineStr">
        <is>
          <t>Q1-W08</t>
        </is>
      </c>
      <c r="CI1343"/>
      <c r="CJ1343" t="inlineStr">
        <is>
          <t>Paid</t>
        </is>
      </c>
      <c r="CK1343" t="inlineStr">
        <is>
          <t>Eligible</t>
        </is>
      </c>
      <c r="CL1343"/>
      <c r="CM1343"/>
    </row>
    <row r="1344" ht="25.5" customHeight="1">
      <c r="A1344" t="inlineStr">
        <is>
          <t>152503</t>
        </is>
      </c>
      <c r="B1344" s="2"/>
      <c r="C1344"/>
      <c r="D1344" s="3">
        <v>46134.39571759259</v>
      </c>
      <c r="E1344" t="inlineStr">
        <is>
          <t>Q2-W03</t>
        </is>
      </c>
      <c r="F1344" t="inlineStr">
        <is>
          <t>Eugene</t>
        </is>
      </c>
      <c r="G1344" t="inlineStr">
        <is>
          <t>Customer</t>
        </is>
      </c>
      <c r="H1344" s="2" t="str">
        <f>=HYPERLINK("https://upbox.ajobthing.my/customer/152503", "https://upbox.ajobthing.my/customer/152503")</f>
        <v>https://upbox.ajobthing.my/customer/152503</v>
      </c>
      <c r="I1344" t="inlineStr">
        <is>
          <t>777 Scaffolding Sdn Bhd</t>
        </is>
      </c>
      <c r="J1344" t="inlineStr">
        <is>
          <t>Whale</t>
        </is>
      </c>
      <c r="K1344" t="inlineStr">
        <is>
          <t>Eugene</t>
        </is>
      </c>
      <c r="L1344" s="4"/>
      <c r="M1344" s="4">
        <v>46135.465162037035</v>
      </c>
      <c r="N1344"/>
      <c r="O1344">
        <v>5508</v>
      </c>
      <c r="P1344" s="4"/>
      <c r="Q1344" s="4">
        <v>46141.34722222222</v>
      </c>
      <c r="R1344"/>
      <c r="S1344">
        <v>0</v>
      </c>
      <c r="T1344" s="4">
        <v>46135.69196759259</v>
      </c>
      <c r="U1344" s="4"/>
      <c r="V1344"/>
      <c r="W1344">
        <v>5508</v>
      </c>
      <c r="X1344"/>
      <c r="Y1344" t="inlineStr">
        <is>
          <t>Pending Appointment</t>
        </is>
      </c>
      <c r="Z1344" t="inlineStr">
        <is>
          <t>Hiring Now</t>
        </is>
      </c>
      <c r="AA1344">
        <v>3</v>
      </c>
      <c r="AB1344" t="inlineStr">
        <is>
          <t>No Appointment Made</t>
        </is>
      </c>
      <c r="AC1344"/>
      <c r="AD1344" t="inlineStr">
        <is>
          <t>3 positions, based in Kajang</t>
        </is>
      </c>
      <c r="AE1344"/>
      <c r="AF1344">
        <v>3888</v>
      </c>
      <c r="AG1344" s="4"/>
      <c r="AH1344" s="4"/>
      <c r="AI1344">
        <v>3888</v>
      </c>
      <c r="AJ1344">
        <v>1</v>
      </c>
      <c r="AK1344" t="inlineStr">
        <is>
          <t>No, I don't need at all</t>
        </is>
      </c>
      <c r="AL1344">
        <v>1</v>
      </c>
      <c r="AM1344" t="inlineStr">
        <is>
          <t>No, I don't need at all</t>
        </is>
      </c>
      <c r="AN1344"/>
      <c r="AO1344" t="inlineStr">
        <is>
          <t>No, I don't need at all</t>
        </is>
      </c>
      <c r="AP1344" t="inlineStr">
        <is>
          <t>Twice a year (50%)</t>
        </is>
      </c>
      <c r="AQ1344">
        <v>1</v>
      </c>
      <c r="AR1344" t="inlineStr">
        <is>
          <t>Free Job Portal</t>
        </is>
      </c>
      <c r="AS1344" t="inlineStr">
        <is>
          <t>- Headcount: 3
- Hiring Job Details: 3 positions, based in Kajang
- Hiring Urgency: Hiring Now
- Number of outlets: 1
- Have recruiter team: No, I don't need at all
- Number of recruiter in company: 1
- Have ATS system: No, I don't need at all
- Have career website: No, I don't need at all
- Current hiring budget: RM3,888
- Whole year budget: RM3,888.00
- Whole year number of vacancies: 1
- Hiring frequency: Twice a year (50%)
- External job portal: Free Job Portal</t>
        </is>
      </c>
      <c r="AT1344">
        <v>75</v>
      </c>
      <c r="AU1344" t="inlineStr">
        <is>
          <t>0.75</t>
        </is>
      </c>
      <c r="AV1344" t="inlineStr">
        <is>
          <t>15</t>
        </is>
      </c>
      <c r="AW1344" t="inlineStr">
        <is>
          <t>0</t>
        </is>
      </c>
      <c r="AX1344" t="inlineStr">
        <is>
          <t>Not Qualified</t>
        </is>
      </c>
      <c r="AY1344" s="4"/>
      <c r="AZ1344"/>
      <c r="BA1344"/>
      <c r="BB1344"/>
      <c r="BC1344" t="inlineStr">
        <is>
          <t>won</t>
        </is>
      </c>
      <c r="BD1344" s="4">
        <v>46136.44725694445</v>
      </c>
      <c r="BE1344" t="inlineStr">
        <is>
          <t>paid</t>
        </is>
      </c>
      <c r="BF1344" t="inlineStr">
        <is>
          <t>Q2-W03</t>
        </is>
      </c>
      <c r="BG1344" t="inlineStr">
        <is>
          <t>Reschedule</t>
        </is>
      </c>
      <c r="BH1344" t="inlineStr">
        <is>
          <t>Edward Hoo</t>
        </is>
      </c>
      <c r="BI1344" t="inlineStr">
        <is>
          <t>Construction / Building</t>
        </is>
      </c>
      <c r="BJ1344" s="4">
        <v>46144.750914351855</v>
      </c>
      <c r="BK1344" s="4">
        <v>44668.95003472222</v>
      </c>
      <c r="BL1344" t="inlineStr">
        <is>
          <t>5508.0</t>
        </is>
      </c>
      <c r="BM1344" t="inlineStr">
        <is>
          <t>0.0</t>
        </is>
      </c>
      <c r="BN1344" t="inlineStr">
        <is>
          <t>View Company Page</t>
        </is>
      </c>
      <c r="BO1344" s="4">
        <v>46144.37736111111</v>
      </c>
      <c r="BP1344">
        <v>168488</v>
      </c>
      <c r="BQ1344">
        <v>123998</v>
      </c>
      <c r="BR1344" t="inlineStr">
        <is>
          <t>Proforma</t>
        </is>
      </c>
      <c r="BS1344" t="inlineStr">
        <is>
          <t>Free Internship Job</t>
        </is>
      </c>
      <c r="BT1344">
        <v>7681</v>
      </c>
      <c r="BU1344"/>
      <c r="BV1344">
        <v>2725683</v>
      </c>
      <c r="BW1344" t="inlineStr">
        <is>
          <t>Follow Up : Win - Customer Paid</t>
        </is>
      </c>
      <c r="BX1344">
        <v>17</v>
      </c>
      <c r="BY1344">
        <v>15</v>
      </c>
      <c r="BZ1344" s="4">
        <v>46136.475949074076</v>
      </c>
      <c r="CA1344">
        <v>160</v>
      </c>
      <c r="CB1344">
        <v>160</v>
      </c>
      <c r="CC1344" s="4"/>
      <c r="CD1344" t="inlineStr">
        <is>
          <t>20</t>
        </is>
      </c>
      <c r="CE1344" t="inlineStr">
        <is>
          <t>0</t>
        </is>
      </c>
      <c r="CF1344" t="inlineStr">
        <is>
          <t>Q2-W03</t>
        </is>
      </c>
      <c r="CG1344" t="inlineStr">
        <is>
          <t>Q2-W04</t>
        </is>
      </c>
      <c r="CH1344" t="inlineStr">
        <is>
          <t>Q2-W03</t>
        </is>
      </c>
      <c r="CI1344"/>
      <c r="CJ1344" t="inlineStr">
        <is>
          <t>Paid</t>
        </is>
      </c>
      <c r="CK1344" t="inlineStr">
        <is>
          <t>Eligible</t>
        </is>
      </c>
      <c r="CL1344"/>
      <c r="CM1344"/>
    </row>
    <row r="1345" ht="25.5" customHeight="1">
      <c r="A1345" t="inlineStr">
        <is>
          <t>42126</t>
        </is>
      </c>
      <c r="B1345" s="2"/>
      <c r="C1345"/>
      <c r="D1345" s="3">
        <v>46134.423946759256</v>
      </c>
      <c r="E1345" t="inlineStr">
        <is>
          <t>Q2-W03</t>
        </is>
      </c>
      <c r="F1345" t="inlineStr">
        <is>
          <t>Yvonne Lee</t>
        </is>
      </c>
      <c r="G1345" t="inlineStr">
        <is>
          <t>Customer</t>
        </is>
      </c>
      <c r="H1345" s="2" t="str">
        <f>=HYPERLINK("https://upbox.ajobthing.my/customer/42126", "https://upbox.ajobthing.my/customer/42126")</f>
        <v>https://upbox.ajobthing.my/customer/42126</v>
      </c>
      <c r="I1345" t="inlineStr">
        <is>
          <t>North West Enterprise Sdn Bhd</t>
        </is>
      </c>
      <c r="J1345" t="inlineStr">
        <is>
          <t>Whale</t>
        </is>
      </c>
      <c r="K1345" t="inlineStr">
        <is>
          <t>Yvonne</t>
        </is>
      </c>
      <c r="L1345" s="4"/>
      <c r="M1345" s="4">
        <v>46134.43027777778</v>
      </c>
      <c r="N1345"/>
      <c r="O1345">
        <v>10800</v>
      </c>
      <c r="P1345" s="4"/>
      <c r="Q1345" s="4"/>
      <c r="R1345"/>
      <c r="S1345"/>
      <c r="T1345" s="4"/>
      <c r="U1345" s="4"/>
      <c r="V1345"/>
      <c r="W1345"/>
      <c r="X1345"/>
      <c r="Y1345" t="inlineStr">
        <is>
          <t>Pending Appointment</t>
        </is>
      </c>
      <c r="Z1345" t="inlineStr">
        <is>
          <t>Hiring Now</t>
        </is>
      </c>
      <c r="AA1345">
        <v>4</v>
      </c>
      <c r="AB1345" t="inlineStr">
        <is>
          <t>No Appointment Made</t>
        </is>
      </c>
      <c r="AC1345"/>
      <c r="AD1345" t="inlineStr">
        <is>
          <t>1) Marketing Executive
2) Internship
3) Sales Executive
4) Purchasing Executive</t>
        </is>
      </c>
      <c r="AE1345"/>
      <c r="AF1345">
        <v>10000</v>
      </c>
      <c r="AG1345" s="4"/>
      <c r="AH1345" s="4"/>
      <c r="AI1345">
        <v>10000</v>
      </c>
      <c r="AJ1345">
        <v>1</v>
      </c>
      <c r="AK1345" t="inlineStr">
        <is>
          <t>Yes, I have</t>
        </is>
      </c>
      <c r="AL1345">
        <v>1</v>
      </c>
      <c r="AM1345" t="inlineStr">
        <is>
          <t>No, but I want in future</t>
        </is>
      </c>
      <c r="AN1345"/>
      <c r="AO1345" t="inlineStr">
        <is>
          <t>No, I don't need at all</t>
        </is>
      </c>
      <c r="AP1345" t="inlineStr">
        <is>
          <t>Once per quarter (75%)</t>
        </is>
      </c>
      <c r="AQ1345">
        <v>36</v>
      </c>
      <c r="AR1345" t="inlineStr">
        <is>
          <t>Jobstreet, Indeed (Paid)</t>
        </is>
      </c>
      <c r="AS1345" t="inlineStr">
        <is>
          <t>- Headcount: 4
- Hiring Job Details: 1 Marketing Executive, 2 Internship, 3 Sales Executive, 4 Purchasing Executive
- Hiring Urgency: Hiring Now
- Number of outlets: 1
- Have recruiter team: Yes
- Number of recruiter in company: 1
- Have ATS system: No, but want in future
- Have career website: No
- Current hiring budget: RM10,000
- Whole year budget: RM10,000.00
- Whole year number of vacancies: 36
- Hiring frequency: Once per quarter (75%)
- External job portal: Jobstreet, Indeed (Paid)</t>
        </is>
      </c>
      <c r="AT1345">
        <v>115</v>
      </c>
      <c r="AU1345" t="inlineStr">
        <is>
          <t>1.15</t>
        </is>
      </c>
      <c r="AV1345" t="inlineStr">
        <is>
          <t>15</t>
        </is>
      </c>
      <c r="AW1345" t="inlineStr">
        <is>
          <t>0</t>
        </is>
      </c>
      <c r="AX1345" t="inlineStr">
        <is>
          <t>Not Qualified</t>
        </is>
      </c>
      <c r="AY1345" s="4"/>
      <c r="AZ1345"/>
      <c r="BA1345"/>
      <c r="BB1345"/>
      <c r="BC1345" t="inlineStr">
        <is>
          <t>will get back soonest.</t>
        </is>
      </c>
      <c r="BD1345" s="4">
        <v>46141.629328703704</v>
      </c>
      <c r="BE1345"/>
      <c r="BF1345"/>
      <c r="BG1345" t="inlineStr">
        <is>
          <t>Reschedule</t>
        </is>
      </c>
      <c r="BH1345" t="inlineStr">
        <is>
          <t>andy@ajobthing.com</t>
        </is>
      </c>
      <c r="BI1345"/>
      <c r="BJ1345" s="4">
        <v>46144.75564814815</v>
      </c>
      <c r="BK1345" s="4">
        <v>43007.358773148146</v>
      </c>
      <c r="BL1345" t="inlineStr">
        <is>
          <t>0.0</t>
        </is>
      </c>
      <c r="BM1345" t="inlineStr">
        <is>
          <t>8400.0</t>
        </is>
      </c>
      <c r="BN1345"/>
      <c r="BO1345" s="4"/>
      <c r="BP1345">
        <v>168204</v>
      </c>
      <c r="BQ1345"/>
      <c r="BR1345"/>
      <c r="BS1345"/>
      <c r="BT1345"/>
      <c r="BU1345"/>
      <c r="BV1345">
        <v>2735534</v>
      </c>
      <c r="BW1345" t="inlineStr">
        <is>
          <t>Follow Up : Decision Pending</t>
        </is>
      </c>
      <c r="BX1345"/>
      <c r="BY1345"/>
      <c r="BZ1345" s="4"/>
      <c r="CA1345"/>
      <c r="CB1345"/>
      <c r="CC1345" s="4"/>
      <c r="CD1345" t="inlineStr">
        <is>
          <t>20</t>
        </is>
      </c>
      <c r="CE1345" t="inlineStr">
        <is>
          <t>0</t>
        </is>
      </c>
      <c r="CF1345" t="inlineStr">
        <is>
          <t>Q2-W03</t>
        </is>
      </c>
      <c r="CG1345"/>
      <c r="CH1345"/>
      <c r="CI1345"/>
      <c r="CJ1345" t="inlineStr">
        <is>
          <t>No Paid</t>
        </is>
      </c>
      <c r="CK1345" t="inlineStr">
        <is>
          <t>Eligible</t>
        </is>
      </c>
      <c r="CL1345"/>
      <c r="CM1345"/>
    </row>
    <row r="1346" ht="25.5" customHeight="1">
      <c r="A1346" t="inlineStr">
        <is>
          <t>125514</t>
        </is>
      </c>
      <c r="B1346" s="2"/>
      <c r="C1346"/>
      <c r="D1346" s="3">
        <v>46134.4321875</v>
      </c>
      <c r="E1346" t="inlineStr">
        <is>
          <t>Q2-W03</t>
        </is>
      </c>
      <c r="F1346" t="inlineStr">
        <is>
          <t>Alan KY</t>
        </is>
      </c>
      <c r="G1346" t="inlineStr">
        <is>
          <t>Customer</t>
        </is>
      </c>
      <c r="H1346" s="2" t="str">
        <f>=HYPERLINK("https://upbox.ajobthing.my/customer/125514", "https://upbox.ajobthing.my/customer/125514")</f>
        <v>https://upbox.ajobthing.my/customer/125514</v>
      </c>
      <c r="I1346" t="inlineStr">
        <is>
          <t>Ksonic Sdn Bhd</t>
        </is>
      </c>
      <c r="J1346" t="inlineStr">
        <is>
          <t>Whale</t>
        </is>
      </c>
      <c r="K1346" t="inlineStr">
        <is>
          <t>Alan KY</t>
        </is>
      </c>
      <c r="L1346" s="4"/>
      <c r="M1346" s="4">
        <v>46134.43258101852</v>
      </c>
      <c r="N1346"/>
      <c r="O1346">
        <v>3888</v>
      </c>
      <c r="P1346" s="4"/>
      <c r="Q1346" s="4">
        <v>46142.403969907406</v>
      </c>
      <c r="R1346"/>
      <c r="S1346">
        <v>3576.96</v>
      </c>
      <c r="T1346" s="4">
        <v>46142.403969907406</v>
      </c>
      <c r="U1346" s="4"/>
      <c r="V1346"/>
      <c r="W1346">
        <v>3576.96</v>
      </c>
      <c r="X1346"/>
      <c r="Y1346" t="inlineStr">
        <is>
          <t>Pending Appointment</t>
        </is>
      </c>
      <c r="Z1346" t="inlineStr">
        <is>
          <t>Hiring Now</t>
        </is>
      </c>
      <c r="AA1346">
        <v>1</v>
      </c>
      <c r="AB1346" t="inlineStr">
        <is>
          <t>No Appointment Made</t>
        </is>
      </c>
      <c r="AC1346"/>
      <c r="AD1346" t="inlineStr">
        <is>
          <t xml:space="preserve">CNC operator, based in selangor </t>
        </is>
      </c>
      <c r="AE1346"/>
      <c r="AF1346"/>
      <c r="AG1346" s="4"/>
      <c r="AH1346" s="4"/>
      <c r="AI1346"/>
      <c r="AJ1346"/>
      <c r="AK1346" t="inlineStr">
        <is>
          <t>No, I don't need at all</t>
        </is>
      </c>
      <c r="AL1346"/>
      <c r="AM1346" t="inlineStr">
        <is>
          <t>No, I don't need at all</t>
        </is>
      </c>
      <c r="AN1346"/>
      <c r="AO1346" t="inlineStr">
        <is>
          <t>No, I don't need at all</t>
        </is>
      </c>
      <c r="AP1346" t="inlineStr">
        <is>
          <t>Once per quarter (75%)</t>
        </is>
      </c>
      <c r="AQ1346"/>
      <c r="AR1346" t="inlineStr">
        <is>
          <t>Jobstreet</t>
        </is>
      </c>
      <c r="AS1346" t="inlineStr">
        <is>
          <t>- Headcount: 1
- Hiring Job Details: CNC operator, based in selangor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346">
        <v>75</v>
      </c>
      <c r="AU1346" t="inlineStr">
        <is>
          <t>0.75</t>
        </is>
      </c>
      <c r="AV1346" t="inlineStr">
        <is>
          <t>5</t>
        </is>
      </c>
      <c r="AW1346" t="inlineStr">
        <is>
          <t>0</t>
        </is>
      </c>
      <c r="AX1346" t="inlineStr">
        <is>
          <t>Not Qualified</t>
        </is>
      </c>
      <c r="AY1346" s="4"/>
      <c r="AZ1346"/>
      <c r="BA1346"/>
      <c r="BB1346"/>
      <c r="BC1346" t="inlineStr">
        <is>
          <t>Payment done - help to expedite on assign package</t>
        </is>
      </c>
      <c r="BD1346" s="4">
        <v>46142.41978009259</v>
      </c>
      <c r="BE1346" t="inlineStr">
        <is>
          <t>paid</t>
        </is>
      </c>
      <c r="BF1346" t="inlineStr">
        <is>
          <t>Q2-W04</t>
        </is>
      </c>
      <c r="BG1346" t="inlineStr">
        <is>
          <t>Reschedule</t>
        </is>
      </c>
      <c r="BH1346" t="inlineStr">
        <is>
          <t>Reagen</t>
        </is>
      </c>
      <c r="BI1346" t="inlineStr">
        <is>
          <t>Manufacturing / Production</t>
        </is>
      </c>
      <c r="BJ1346" s="4">
        <v>46144.75033564815</v>
      </c>
      <c r="BK1346" s="4">
        <v>43888.32876157408</v>
      </c>
      <c r="BL1346" t="inlineStr">
        <is>
          <t>3156.0</t>
        </is>
      </c>
      <c r="BM1346" t="inlineStr">
        <is>
          <t>0.0</t>
        </is>
      </c>
      <c r="BN1346" t="inlineStr">
        <is>
          <t>View Notifications</t>
        </is>
      </c>
      <c r="BO1346" s="4">
        <v>46140.51648148148</v>
      </c>
      <c r="BP1346">
        <v>168207</v>
      </c>
      <c r="BQ1346">
        <v>7745</v>
      </c>
      <c r="BR1346" t="inlineStr">
        <is>
          <t>Manual (Paid)</t>
        </is>
      </c>
      <c r="BS1346"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1346">
        <v>7745</v>
      </c>
      <c r="BU1346"/>
      <c r="BV1346">
        <v>2736646</v>
      </c>
      <c r="BW1346" t="inlineStr">
        <is>
          <t>Follow Up : Win - Customer Paid</t>
        </is>
      </c>
      <c r="BX1346">
        <v>12</v>
      </c>
      <c r="BY1346">
        <v>6</v>
      </c>
      <c r="BZ1346" s="4">
        <v>46076.552349537036</v>
      </c>
      <c r="CA1346">
        <v>120</v>
      </c>
      <c r="CB1346">
        <v>60</v>
      </c>
      <c r="CC1346" s="4">
        <v>45989.350486111114</v>
      </c>
      <c r="CD1346" t="inlineStr">
        <is>
          <t>5</t>
        </is>
      </c>
      <c r="CE1346" t="inlineStr">
        <is>
          <t>0</t>
        </is>
      </c>
      <c r="CF1346" t="inlineStr">
        <is>
          <t>Q2-W03</t>
        </is>
      </c>
      <c r="CG1346" t="inlineStr">
        <is>
          <t>Q2-W04</t>
        </is>
      </c>
      <c r="CH1346" t="inlineStr">
        <is>
          <t>Q2-W04</t>
        </is>
      </c>
      <c r="CI1346"/>
      <c r="CJ1346" t="inlineStr">
        <is>
          <t>Paid</t>
        </is>
      </c>
      <c r="CK1346" t="inlineStr">
        <is>
          <t>Eligible</t>
        </is>
      </c>
      <c r="CL1346"/>
      <c r="CM1346"/>
    </row>
    <row r="1347" ht="25.5" customHeight="1">
      <c r="A1347" t="inlineStr">
        <is>
          <t>153212</t>
        </is>
      </c>
      <c r="B1347" s="2"/>
      <c r="C1347"/>
      <c r="D1347" s="3">
        <v>46134.46144675926</v>
      </c>
      <c r="E1347" t="inlineStr">
        <is>
          <t>Q2-W03</t>
        </is>
      </c>
      <c r="F1347" t="inlineStr">
        <is>
          <t>Jia Hui</t>
        </is>
      </c>
      <c r="G1347" t="inlineStr">
        <is>
          <t>Customer</t>
        </is>
      </c>
      <c r="H1347" s="2" t="str">
        <f>=HYPERLINK("https://upbox.ajobthing.my/customer/153212", "https://upbox.ajobthing.my/customer/153212")</f>
        <v>https://upbox.ajobthing.my/customer/153212</v>
      </c>
      <c r="I1347" t="inlineStr">
        <is>
          <t>Verdant Solar Sdn Bhd</t>
        </is>
      </c>
      <c r="J1347" t="inlineStr">
        <is>
          <t>Whale</t>
        </is>
      </c>
      <c r="K1347" t="inlineStr">
        <is>
          <t>Jia Hui</t>
        </is>
      </c>
      <c r="L1347" s="4"/>
      <c r="M1347" s="4">
        <v>46134.45552083333</v>
      </c>
      <c r="N1347"/>
      <c r="O1347">
        <v>1296</v>
      </c>
      <c r="P1347" s="4"/>
      <c r="Q1347" s="4">
        <v>46142.61346064815</v>
      </c>
      <c r="R1347"/>
      <c r="S1347">
        <v>1296</v>
      </c>
      <c r="T1347" s="4">
        <v>46142.61346064815</v>
      </c>
      <c r="U1347" s="4"/>
      <c r="V1347"/>
      <c r="W1347">
        <v>1296</v>
      </c>
      <c r="X1347"/>
      <c r="Y1347" t="inlineStr">
        <is>
          <t>Pending Appointment</t>
        </is>
      </c>
      <c r="Z1347" t="inlineStr">
        <is>
          <t>Hiring Now</t>
        </is>
      </c>
      <c r="AA1347">
        <v>2.5</v>
      </c>
      <c r="AB1347" t="inlineStr">
        <is>
          <t>No Appointment Made</t>
        </is>
      </c>
      <c r="AC1347"/>
      <c r="AD1347" t="inlineStr">
        <is>
          <t xml:space="preserve">2-3 salesman </t>
        </is>
      </c>
      <c r="AE1347"/>
      <c r="AF1347">
        <v>500</v>
      </c>
      <c r="AG1347" s="4"/>
      <c r="AH1347" s="4"/>
      <c r="AI1347"/>
      <c r="AJ1347"/>
      <c r="AK1347" t="inlineStr">
        <is>
          <t>Yes, I have</t>
        </is>
      </c>
      <c r="AL1347"/>
      <c r="AM1347"/>
      <c r="AN1347"/>
      <c r="AO1347"/>
      <c r="AP1347" t="inlineStr">
        <is>
          <t>Once a year (25%)</t>
        </is>
      </c>
      <c r="AQ1347"/>
      <c r="AR1347"/>
      <c r="AS1347" t="inlineStr">
        <is>
          <t>- Headcount: 2
- Hiring Job Details: 2-3 salesman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
- Hiring Urgency: Hiring Now</t>
        </is>
      </c>
      <c r="AT1347">
        <v>95</v>
      </c>
      <c r="AU1347" t="inlineStr">
        <is>
          <t>0.95</t>
        </is>
      </c>
      <c r="AV1347" t="inlineStr">
        <is>
          <t>15</t>
        </is>
      </c>
      <c r="AW1347" t="inlineStr">
        <is>
          <t>0</t>
        </is>
      </c>
      <c r="AX1347" t="inlineStr">
        <is>
          <t>Not Qualified</t>
        </is>
      </c>
      <c r="AY1347" s="4"/>
      <c r="AZ1347"/>
      <c r="BA1347"/>
      <c r="BB1347"/>
      <c r="BC1347" t="inlineStr">
        <is>
          <t>customer paid</t>
        </is>
      </c>
      <c r="BD1347" s="4">
        <v>46142.608564814815</v>
      </c>
      <c r="BE1347" t="inlineStr">
        <is>
          <t>paid</t>
        </is>
      </c>
      <c r="BF1347" t="inlineStr">
        <is>
          <t>Q2-W04</t>
        </is>
      </c>
      <c r="BG1347" t="inlineStr">
        <is>
          <t>Reschedule</t>
        </is>
      </c>
      <c r="BH1347" t="inlineStr">
        <is>
          <t>Reagen</t>
        </is>
      </c>
      <c r="BI1347"/>
      <c r="BJ1347" s="4">
        <v>46144.7509375</v>
      </c>
      <c r="BK1347" s="4">
        <v>44679.4909375</v>
      </c>
      <c r="BL1347" t="inlineStr">
        <is>
          <t>1296.0</t>
        </is>
      </c>
      <c r="BM1347" t="inlineStr">
        <is>
          <t>19350.0</t>
        </is>
      </c>
      <c r="BN1347" t="inlineStr">
        <is>
          <t>View Jobmanager Page</t>
        </is>
      </c>
      <c r="BO1347" s="4">
        <v>45427.54646990741</v>
      </c>
      <c r="BP1347">
        <v>168227</v>
      </c>
      <c r="BQ1347">
        <v>95202</v>
      </c>
      <c r="BR1347" t="inlineStr">
        <is>
          <t>Online</t>
        </is>
      </c>
      <c r="BS1347"/>
      <c r="BT1347">
        <v>95202</v>
      </c>
      <c r="BU1347"/>
      <c r="BV1347">
        <v>2737739</v>
      </c>
      <c r="BW1347" t="inlineStr">
        <is>
          <t>Follow Up : Win - Customer Paid</t>
        </is>
      </c>
      <c r="BX1347">
        <v>1</v>
      </c>
      <c r="BY1347">
        <v>1</v>
      </c>
      <c r="BZ1347" s="4"/>
      <c r="CA1347"/>
      <c r="CB1347"/>
      <c r="CC1347" s="4"/>
      <c r="CD1347" t="inlineStr">
        <is>
          <t>20</t>
        </is>
      </c>
      <c r="CE1347" t="inlineStr">
        <is>
          <t>0</t>
        </is>
      </c>
      <c r="CF1347" t="inlineStr">
        <is>
          <t>Q2-W03</t>
        </is>
      </c>
      <c r="CG1347" t="inlineStr">
        <is>
          <t>Q2-W04</t>
        </is>
      </c>
      <c r="CH1347" t="inlineStr">
        <is>
          <t>Q2-W04</t>
        </is>
      </c>
      <c r="CI1347"/>
      <c r="CJ1347" t="inlineStr">
        <is>
          <t>Paid</t>
        </is>
      </c>
      <c r="CK1347" t="inlineStr">
        <is>
          <t>Eligible</t>
        </is>
      </c>
      <c r="CL1347"/>
      <c r="CM1347"/>
    </row>
    <row r="1348" ht="25.5" customHeight="1">
      <c r="A1348" t="inlineStr">
        <is>
          <t>203520</t>
        </is>
      </c>
      <c r="B1348" s="2"/>
      <c r="C1348"/>
      <c r="D1348" s="3">
        <v>46134.462175925924</v>
      </c>
      <c r="E1348" t="inlineStr">
        <is>
          <t>Q2-W03</t>
        </is>
      </c>
      <c r="F1348" t="inlineStr">
        <is>
          <t>Clover</t>
        </is>
      </c>
      <c r="G1348" t="inlineStr">
        <is>
          <t>Customer</t>
        </is>
      </c>
      <c r="H1348" s="2" t="str">
        <f>=HYPERLINK("https://upbox.ajobthing.my/customer/203520", "https://upbox.ajobthing.my/customer/203520")</f>
        <v>https://upbox.ajobthing.my/customer/203520</v>
      </c>
      <c r="I1348" t="inlineStr">
        <is>
          <t>Passion Care</t>
        </is>
      </c>
      <c r="J1348" t="inlineStr">
        <is>
          <t>Whale</t>
        </is>
      </c>
      <c r="K1348" t="inlineStr">
        <is>
          <t>Clover</t>
        </is>
      </c>
      <c r="L1348" s="4"/>
      <c r="M1348" s="4">
        <v>46134.458020833335</v>
      </c>
      <c r="N1348"/>
      <c r="O1348">
        <v>3888</v>
      </c>
      <c r="P1348" s="4"/>
      <c r="Q1348" s="4"/>
      <c r="R1348"/>
      <c r="S1348"/>
      <c r="T1348" s="4"/>
      <c r="U1348" s="4"/>
      <c r="V1348"/>
      <c r="W1348"/>
      <c r="X1348"/>
      <c r="Y1348" t="inlineStr">
        <is>
          <t>Pending Appointment</t>
        </is>
      </c>
      <c r="Z1348" t="inlineStr">
        <is>
          <t>Hiring Later</t>
        </is>
      </c>
      <c r="AA1348">
        <v>1</v>
      </c>
      <c r="AB1348" t="inlineStr">
        <is>
          <t>No Appointment Made</t>
        </is>
      </c>
      <c r="AC1348"/>
      <c r="AD1348" t="inlineStr">
        <is>
          <t>Call office 012-398 0878 ,  ask call pic again,, hire clinic assistant x1, clinic klang,  so far enough staff, survey only, suggest stand, PIC Ms Hana 0123980878</t>
        </is>
      </c>
      <c r="AE1348"/>
      <c r="AF1348">
        <v>3000</v>
      </c>
      <c r="AG1348" s="4"/>
      <c r="AH1348" s="4"/>
      <c r="AI1348">
        <v>3000</v>
      </c>
      <c r="AJ1348">
        <v>1</v>
      </c>
      <c r="AK1348" t="inlineStr">
        <is>
          <t>Yes, I have</t>
        </is>
      </c>
      <c r="AL1348">
        <v>1</v>
      </c>
      <c r="AM1348" t="inlineStr">
        <is>
          <t>No, but I want in future</t>
        </is>
      </c>
      <c r="AN1348"/>
      <c r="AO1348" t="inlineStr">
        <is>
          <t>No, but I want in future</t>
        </is>
      </c>
      <c r="AP1348" t="inlineStr">
        <is>
          <t>Twice a year (50%)</t>
        </is>
      </c>
      <c r="AQ1348">
        <v>2</v>
      </c>
      <c r="AR1348" t="inlineStr">
        <is>
          <t>Did not use any job portal</t>
        </is>
      </c>
      <c r="AS1348" t="inlineStr">
        <is>
          <t>- Headcount: 1
- Hiring Job Details: 1 clinic assistant (Klang clinic); contact Ms Hana (012-3980878) to confirm; survey only, suggest stand; sufficient staff currently
- Hiring Urgency: Hiring Later
- Number of outlets: 1
- Have recruiter team: Yes
- Number of recruiter in company: 1
- Have ATS system: No, but want in future
- Have career website: No, but want in future
- Current hiring budget: RM3,000.00
- Whole year budget: RM3,000.00
- Whole year number of vacancies: 2
- Hiring frequency: Twice a year (50%)
- External job portal: None used</t>
        </is>
      </c>
      <c r="AT1348">
        <v>105</v>
      </c>
      <c r="AU1348" t="inlineStr">
        <is>
          <t>1.05</t>
        </is>
      </c>
      <c r="AV1348" t="inlineStr">
        <is>
          <t>15</t>
        </is>
      </c>
      <c r="AW1348" t="inlineStr">
        <is>
          <t>0</t>
        </is>
      </c>
      <c r="AX1348" t="inlineStr">
        <is>
          <t>Not Qualified</t>
        </is>
      </c>
      <c r="AY1348" s="4"/>
      <c r="AZ1348"/>
      <c r="BA1348"/>
      <c r="BB1348"/>
      <c r="BC1348" t="inlineStr">
        <is>
          <t>Still considering</t>
        </is>
      </c>
      <c r="BD1348" s="4">
        <v>46136.67899305555</v>
      </c>
      <c r="BE1348"/>
      <c r="BF1348"/>
      <c r="BG1348" t="inlineStr">
        <is>
          <t>Reschedule</t>
        </is>
      </c>
      <c r="BH1348" t="inlineStr">
        <is>
          <t>Reagen</t>
        </is>
      </c>
      <c r="BI1348"/>
      <c r="BJ1348" s="4">
        <v>46144.754328703704</v>
      </c>
      <c r="BK1348" s="4">
        <v>46134.444398148145</v>
      </c>
      <c r="BL1348" t="inlineStr">
        <is>
          <t>0.0</t>
        </is>
      </c>
      <c r="BM1348" t="inlineStr">
        <is>
          <t>0.0</t>
        </is>
      </c>
      <c r="BN1348"/>
      <c r="BO1348" s="4"/>
      <c r="BP1348">
        <v>168229</v>
      </c>
      <c r="BQ1348"/>
      <c r="BR1348"/>
      <c r="BS1348"/>
      <c r="BT1348"/>
      <c r="BU1348"/>
      <c r="BV1348">
        <v>2727016</v>
      </c>
      <c r="BW1348" t="inlineStr">
        <is>
          <t>Follow Up : Decision Pending</t>
        </is>
      </c>
      <c r="BX1348"/>
      <c r="BY1348"/>
      <c r="BZ1348" s="4"/>
      <c r="CA1348"/>
      <c r="CB1348"/>
      <c r="CC1348" s="4"/>
      <c r="CD1348" t="inlineStr">
        <is>
          <t>20</t>
        </is>
      </c>
      <c r="CE1348" t="inlineStr">
        <is>
          <t>0</t>
        </is>
      </c>
      <c r="CF1348" t="inlineStr">
        <is>
          <t>Q2-W03</t>
        </is>
      </c>
      <c r="CG1348"/>
      <c r="CH1348"/>
      <c r="CI1348"/>
      <c r="CJ1348" t="inlineStr">
        <is>
          <t>No Paid</t>
        </is>
      </c>
      <c r="CK1348" t="inlineStr">
        <is>
          <t>Eligible</t>
        </is>
      </c>
      <c r="CL1348"/>
      <c r="CM1348"/>
    </row>
    <row r="1349" ht="25.5" customHeight="1">
      <c r="A1349" t="inlineStr">
        <is>
          <t>145558</t>
        </is>
      </c>
      <c r="B1349" s="2"/>
      <c r="C1349"/>
      <c r="D1349" s="3">
        <v>46134.47136574074</v>
      </c>
      <c r="E1349" t="inlineStr">
        <is>
          <t>Q2-W03</t>
        </is>
      </c>
      <c r="F1349" t="inlineStr">
        <is>
          <t>Alan KY</t>
        </is>
      </c>
      <c r="G1349" t="inlineStr">
        <is>
          <t>Customer</t>
        </is>
      </c>
      <c r="H1349" s="2" t="str">
        <f>=HYPERLINK("https://upbox.ajobthing.my/customer/145558", "https://upbox.ajobthing.my/customer/145558")</f>
        <v>https://upbox.ajobthing.my/customer/145558</v>
      </c>
      <c r="I1349" t="inlineStr">
        <is>
          <t>Empire Asia Events Marketing Sdn Bhd</t>
        </is>
      </c>
      <c r="J1349" t="inlineStr">
        <is>
          <t>Whale</t>
        </is>
      </c>
      <c r="K1349" t="inlineStr">
        <is>
          <t>Alan KY</t>
        </is>
      </c>
      <c r="L1349" s="4"/>
      <c r="M1349" s="4">
        <v>46134.474965277775</v>
      </c>
      <c r="N1349"/>
      <c r="O1349">
        <v>11448</v>
      </c>
      <c r="P1349" s="4"/>
      <c r="Q1349" s="4">
        <v>45923.41774305556</v>
      </c>
      <c r="R1349"/>
      <c r="S1349">
        <v>5832</v>
      </c>
      <c r="T1349" s="4">
        <v>45923.41774305556</v>
      </c>
      <c r="U1349" s="4"/>
      <c r="V1349"/>
      <c r="W1349">
        <v>5832</v>
      </c>
      <c r="X1349"/>
      <c r="Y1349" t="inlineStr">
        <is>
          <t>Pending Appointment</t>
        </is>
      </c>
      <c r="Z1349" t="inlineStr">
        <is>
          <t>Continuous Hiring</t>
        </is>
      </c>
      <c r="AA1349">
        <v>3</v>
      </c>
      <c r="AB1349" t="inlineStr">
        <is>
          <t>No Appointment Made</t>
        </is>
      </c>
      <c r="AC1349"/>
      <c r="AD1349" t="inlineStr">
        <is>
          <t xml:space="preserve">digital marketing, video editor and account, based in PJ </t>
        </is>
      </c>
      <c r="AE1349"/>
      <c r="AF1349"/>
      <c r="AG1349" s="4"/>
      <c r="AH1349" s="4"/>
      <c r="AI1349"/>
      <c r="AJ1349"/>
      <c r="AK1349" t="inlineStr">
        <is>
          <t>No, I don't need at all</t>
        </is>
      </c>
      <c r="AL1349"/>
      <c r="AM1349" t="inlineStr">
        <is>
          <t>No, I don't need at all</t>
        </is>
      </c>
      <c r="AN1349"/>
      <c r="AO1349" t="inlineStr">
        <is>
          <t>No, I don't need at all</t>
        </is>
      </c>
      <c r="AP1349" t="inlineStr">
        <is>
          <t>Once per quarter (75%)</t>
        </is>
      </c>
      <c r="AQ1349"/>
      <c r="AR1349" t="inlineStr">
        <is>
          <t>Jobstreet, Free Job Portal</t>
        </is>
      </c>
      <c r="AS1349" t="inlineStr">
        <is>
          <t>- Headcount: 3
- Hiring Job Details: digital marketing, video editor and account, based in PJ
- Hiring Urgency: Continuous Hiring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Jobstreet, Free Job Portal</t>
        </is>
      </c>
      <c r="AT1349">
        <v>75</v>
      </c>
      <c r="AU1349" t="inlineStr">
        <is>
          <t>0.75</t>
        </is>
      </c>
      <c r="AV1349" t="inlineStr">
        <is>
          <t>5</t>
        </is>
      </c>
      <c r="AW1349" t="inlineStr">
        <is>
          <t>0</t>
        </is>
      </c>
      <c r="AX1349" t="inlineStr">
        <is>
          <t>Not Qualified</t>
        </is>
      </c>
      <c r="AY1349" s="4"/>
      <c r="AZ1349"/>
      <c r="BA1349"/>
      <c r="BB1349"/>
      <c r="BC1349" t="inlineStr">
        <is>
          <t>Update job posting has done.</t>
        </is>
      </c>
      <c r="BD1349" s="4">
        <v>46139.50237268519</v>
      </c>
      <c r="BE1349" t="inlineStr">
        <is>
          <t>paid</t>
        </is>
      </c>
      <c r="BF1349"/>
      <c r="BG1349" t="inlineStr">
        <is>
          <t>Reschedule</t>
        </is>
      </c>
      <c r="BH1349" t="inlineStr">
        <is>
          <t>Reagen</t>
        </is>
      </c>
      <c r="BI1349" t="inlineStr">
        <is>
          <t>Exhibitions / Event Mgmt</t>
        </is>
      </c>
      <c r="BJ1349" s="4">
        <v>46144.75074074074</v>
      </c>
      <c r="BK1349" s="4">
        <v>44545.46622685185</v>
      </c>
      <c r="BL1349" t="inlineStr">
        <is>
          <t>5832.0</t>
        </is>
      </c>
      <c r="BM1349" t="inlineStr">
        <is>
          <t>4200.0</t>
        </is>
      </c>
      <c r="BN1349" t="inlineStr">
        <is>
          <t>View Candidate Search Page</t>
        </is>
      </c>
      <c r="BO1349" s="4">
        <v>46141.63003472222</v>
      </c>
      <c r="BP1349">
        <v>168243</v>
      </c>
      <c r="BQ1349">
        <v>82615</v>
      </c>
      <c r="BR1349" t="inlineStr">
        <is>
          <t>Online</t>
        </is>
      </c>
      <c r="BS1349"/>
      <c r="BT1349">
        <v>82615</v>
      </c>
      <c r="BU1349"/>
      <c r="BV1349">
        <v>2728908</v>
      </c>
      <c r="BW1349" t="inlineStr">
        <is>
          <t>Service / Technical : Help To Post Job</t>
        </is>
      </c>
      <c r="BX1349">
        <v>12</v>
      </c>
      <c r="BY1349">
        <v>1</v>
      </c>
      <c r="BZ1349" s="4">
        <v>46139.63501157407</v>
      </c>
      <c r="CA1349">
        <v>120</v>
      </c>
      <c r="CB1349">
        <v>98</v>
      </c>
      <c r="CC1349" s="4">
        <v>46090.61251157407</v>
      </c>
      <c r="CD1349" t="inlineStr">
        <is>
          <t>5</t>
        </is>
      </c>
      <c r="CE1349" t="inlineStr">
        <is>
          <t>0</t>
        </is>
      </c>
      <c r="CF1349" t="inlineStr">
        <is>
          <t>Q2-W03</t>
        </is>
      </c>
      <c r="CG1349"/>
      <c r="CH1349"/>
      <c r="CI1349"/>
      <c r="CJ1349" t="inlineStr">
        <is>
          <t>Paid</t>
        </is>
      </c>
      <c r="CK1349" t="inlineStr">
        <is>
          <t>Eligible</t>
        </is>
      </c>
      <c r="CL1349"/>
      <c r="CM1349"/>
    </row>
    <row r="1350" ht="25.5" customHeight="1">
      <c r="A1350" t="inlineStr">
        <is>
          <t>4284198</t>
        </is>
      </c>
      <c r="B1350" s="2"/>
      <c r="C1350"/>
      <c r="D1350" s="3">
        <v>46134.472719907404</v>
      </c>
      <c r="E1350" t="inlineStr">
        <is>
          <t>Q2-W03</t>
        </is>
      </c>
      <c r="F1350" t="inlineStr">
        <is>
          <t>Josh</t>
        </is>
      </c>
      <c r="G1350" t="inlineStr">
        <is>
          <t>Lead</t>
        </is>
      </c>
      <c r="H1350" s="2" t="str">
        <f>=HYPERLINK("https://upbox.ajobthing.my/leads/4284198", "https://upbox.ajobthing.my/leads/4284198")</f>
        <v>https://upbox.ajobthing.my/leads/4284198</v>
      </c>
      <c r="I1350" t="inlineStr">
        <is>
          <t>Kinetic Builders Sdn Bhd</t>
        </is>
      </c>
      <c r="J1350" t="inlineStr">
        <is>
          <t>Whale</t>
        </is>
      </c>
      <c r="K1350" t="inlineStr">
        <is>
          <t>Josh</t>
        </is>
      </c>
      <c r="L1350" s="4"/>
      <c r="M1350" s="4">
        <v>46134.469976851855</v>
      </c>
      <c r="N1350"/>
      <c r="O1350">
        <v>1296</v>
      </c>
      <c r="P1350" s="4"/>
      <c r="Q1350" s="4"/>
      <c r="R1350"/>
      <c r="S1350"/>
      <c r="T1350" s="4"/>
      <c r="U1350" s="4"/>
      <c r="V1350"/>
      <c r="W1350"/>
      <c r="X1350"/>
      <c r="Y1350" t="inlineStr">
        <is>
          <t>Pending Appointment</t>
        </is>
      </c>
      <c r="Z1350" t="inlineStr">
        <is>
          <t>Hiring Now</t>
        </is>
      </c>
      <c r="AA1350">
        <v>1</v>
      </c>
      <c r="AB1350" t="inlineStr">
        <is>
          <t>No Appointment Made</t>
        </is>
      </c>
      <c r="AC1350"/>
      <c r="AD1350" t="inlineStr">
        <is>
          <t xml:space="preserve">1 site supervisor </t>
        </is>
      </c>
      <c r="AE1350"/>
      <c r="AF1350">
        <v>1500</v>
      </c>
      <c r="AG1350" s="4"/>
      <c r="AH1350" s="4"/>
      <c r="AI1350"/>
      <c r="AJ1350"/>
      <c r="AK1350" t="inlineStr">
        <is>
          <t>Yes, I have</t>
        </is>
      </c>
      <c r="AL1350"/>
      <c r="AM1350"/>
      <c r="AN1350"/>
      <c r="AO1350"/>
      <c r="AP1350" t="inlineStr">
        <is>
          <t>Once a year (25%)</t>
        </is>
      </c>
      <c r="AQ1350"/>
      <c r="AR1350"/>
      <c r="AS1350" t="inlineStr">
        <is>
          <t>- Headcount: 1
- Hiring Job Details: 1 site supervisor
- Hiring Urgency: Hiring Now
- Number of outlets: Not specified
- Have recruiter team: Yes
- Number of recruiter in company: Not specified
- Have ATS system: Not specified
- Have career website: Not specified
- Current hiring budget: RM1,500.00
- Whole year budget: Not specified
- Whole year number of vacancies: Not specified
- Hiring frequency: Once a year (25%)
- External job portal: Not specified</t>
        </is>
      </c>
      <c r="AT1350">
        <v>95</v>
      </c>
      <c r="AU1350" t="inlineStr">
        <is>
          <t>0.95</t>
        </is>
      </c>
      <c r="AV1350" t="inlineStr">
        <is>
          <t>15</t>
        </is>
      </c>
      <c r="AW1350" t="inlineStr">
        <is>
          <t>0</t>
        </is>
      </c>
      <c r="AX1350" t="inlineStr">
        <is>
          <t>Not Qualified</t>
        </is>
      </c>
      <c r="AY1350" s="4"/>
      <c r="AZ1350"/>
      <c r="BA1350"/>
      <c r="BB1350"/>
      <c r="BC1350"/>
      <c r="BD1350" s="4"/>
      <c r="BE1350"/>
      <c r="BF1350"/>
      <c r="BG1350" t="inlineStr">
        <is>
          <t>Reschedule</t>
        </is>
      </c>
      <c r="BH1350" t="inlineStr">
        <is>
          <t>Fauziah Maharan</t>
        </is>
      </c>
      <c r="BI1350"/>
      <c r="BJ1350" s="4">
        <v>46144.755833333336</v>
      </c>
      <c r="BK1350" s="4">
        <v>46127.400671296295</v>
      </c>
      <c r="BL1350" t="inlineStr">
        <is>
          <t>0.0</t>
        </is>
      </c>
      <c r="BM1350" t="inlineStr">
        <is>
          <t>8400.0</t>
        </is>
      </c>
      <c r="BN1350"/>
      <c r="BO1350" s="4"/>
      <c r="BP1350">
        <v>168236</v>
      </c>
      <c r="BQ1350"/>
      <c r="BR1350"/>
      <c r="BS1350"/>
      <c r="BT1350"/>
      <c r="BU1350"/>
      <c r="BV1350"/>
      <c r="BW1350"/>
      <c r="BX1350"/>
      <c r="BY1350"/>
      <c r="BZ1350" s="4"/>
      <c r="CA1350"/>
      <c r="CB1350"/>
      <c r="CC1350" s="4"/>
      <c r="CD1350" t="inlineStr">
        <is>
          <t>20</t>
        </is>
      </c>
      <c r="CE1350" t="inlineStr">
        <is>
          <t>0</t>
        </is>
      </c>
      <c r="CF1350" t="inlineStr">
        <is>
          <t>Q2-W03</t>
        </is>
      </c>
      <c r="CG1350"/>
      <c r="CH1350"/>
      <c r="CI1350"/>
      <c r="CJ1350" t="inlineStr">
        <is>
          <t>No Paid</t>
        </is>
      </c>
      <c r="CK1350" t="inlineStr">
        <is>
          <t>Eligible</t>
        </is>
      </c>
      <c r="CL1350"/>
      <c r="CM1350"/>
    </row>
    <row r="1351" ht="25.5" customHeight="1">
      <c r="A1351" t="inlineStr">
        <is>
          <t>4312392</t>
        </is>
      </c>
      <c r="B1351" s="2"/>
      <c r="C1351"/>
      <c r="D1351" s="3">
        <v>46134.47373842593</v>
      </c>
      <c r="E1351" t="inlineStr">
        <is>
          <t>Q2-W03</t>
        </is>
      </c>
      <c r="F1351" t="inlineStr">
        <is>
          <t>Yuli</t>
        </is>
      </c>
      <c r="G1351" t="inlineStr">
        <is>
          <t>Lead</t>
        </is>
      </c>
      <c r="H1351" s="2" t="str">
        <f>=HYPERLINK("https://upbox.ajobthing.my/leads/4312392", "https://upbox.ajobthing.my/leads/4312392")</f>
        <v>https://upbox.ajobthing.my/leads/4312392</v>
      </c>
      <c r="I1351" t="inlineStr">
        <is>
          <t>North West Enterprise sdn bhd</t>
        </is>
      </c>
      <c r="J1351" t="inlineStr">
        <is>
          <t>Whale</t>
        </is>
      </c>
      <c r="K1351" t="inlineStr">
        <is>
          <t>YuLi</t>
        </is>
      </c>
      <c r="L1351" s="4"/>
      <c r="M1351" s="4">
        <v>46134.47827546296</v>
      </c>
      <c r="N1351"/>
      <c r="O1351">
        <v>5832</v>
      </c>
      <c r="P1351" s="4"/>
      <c r="Q1351" s="4"/>
      <c r="R1351"/>
      <c r="S1351"/>
      <c r="T1351" s="4"/>
      <c r="U1351" s="4"/>
      <c r="V1351"/>
      <c r="W1351"/>
      <c r="X1351"/>
      <c r="Y1351" t="inlineStr">
        <is>
          <t>Pending Appointment</t>
        </is>
      </c>
      <c r="Z1351" t="inlineStr">
        <is>
          <t>Hiring Now</t>
        </is>
      </c>
      <c r="AA1351">
        <v>3</v>
      </c>
      <c r="AB1351" t="inlineStr">
        <is>
          <t>No Appointment Made</t>
        </is>
      </c>
      <c r="AC1351"/>
      <c r="AD1351" t="inlineStr">
        <is>
          <t xml:space="preserve">sales coordinator-1 
sales executive-2 </t>
        </is>
      </c>
      <c r="AE1351"/>
      <c r="AF1351"/>
      <c r="AG1351" s="4"/>
      <c r="AH1351" s="4"/>
      <c r="AI1351"/>
      <c r="AJ1351"/>
      <c r="AK1351"/>
      <c r="AL1351"/>
      <c r="AM1351"/>
      <c r="AN1351"/>
      <c r="AO1351"/>
      <c r="AP1351" t="inlineStr">
        <is>
          <t>Once a year (25%)</t>
        </is>
      </c>
      <c r="AQ1351"/>
      <c r="AR1351" t="inlineStr">
        <is>
          <t>Jobstreet</t>
        </is>
      </c>
      <c r="AS1351" t="inlineStr">
        <is>
          <t>- Headcount: 3
- Hiring Job Details: 1 sales coordinator, 2 sales executives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Once a year (25%)
- External job portal: Jobstreet</t>
        </is>
      </c>
      <c r="AT1351">
        <v>75</v>
      </c>
      <c r="AU1351" t="inlineStr">
        <is>
          <t>0.75</t>
        </is>
      </c>
      <c r="AV1351" t="inlineStr">
        <is>
          <t>5</t>
        </is>
      </c>
      <c r="AW1351" t="inlineStr">
        <is>
          <t>0</t>
        </is>
      </c>
      <c r="AX1351" t="inlineStr">
        <is>
          <t>Not Qualified</t>
        </is>
      </c>
      <c r="AY1351" s="4"/>
      <c r="AZ1351"/>
      <c r="BA1351"/>
      <c r="BB1351"/>
      <c r="BC1351"/>
      <c r="BD1351" s="4"/>
      <c r="BE1351"/>
      <c r="BF1351"/>
      <c r="BG1351" t="inlineStr">
        <is>
          <t>Reschedule</t>
        </is>
      </c>
      <c r="BH1351" t="inlineStr">
        <is>
          <t>Fauziah Maharan</t>
        </is>
      </c>
      <c r="BI1351"/>
      <c r="BJ1351" s="4">
        <v>46144.755902777775</v>
      </c>
      <c r="BK1351" s="4">
        <v>46134.3975</v>
      </c>
      <c r="BL1351" t="inlineStr">
        <is>
          <t>0.0</t>
        </is>
      </c>
      <c r="BM1351" t="inlineStr">
        <is>
          <t>8400.0</t>
        </is>
      </c>
      <c r="BN1351"/>
      <c r="BO1351" s="4"/>
      <c r="BP1351">
        <v>168251</v>
      </c>
      <c r="BQ1351"/>
      <c r="BR1351"/>
      <c r="BS1351"/>
      <c r="BT1351"/>
      <c r="BU1351"/>
      <c r="BV1351"/>
      <c r="BW1351"/>
      <c r="BX1351"/>
      <c r="BY1351"/>
      <c r="BZ1351" s="4"/>
      <c r="CA1351"/>
      <c r="CB1351"/>
      <c r="CC1351" s="4"/>
      <c r="CD1351" t="inlineStr">
        <is>
          <t>5</t>
        </is>
      </c>
      <c r="CE1351" t="inlineStr">
        <is>
          <t>0</t>
        </is>
      </c>
      <c r="CF1351" t="inlineStr">
        <is>
          <t>Q2-W03</t>
        </is>
      </c>
      <c r="CG1351"/>
      <c r="CH1351"/>
      <c r="CI1351"/>
      <c r="CJ1351" t="inlineStr">
        <is>
          <t>No Paid</t>
        </is>
      </c>
      <c r="CK1351" t="inlineStr">
        <is>
          <t>Eligible</t>
        </is>
      </c>
      <c r="CL1351"/>
      <c r="CM1351"/>
    </row>
    <row r="1352" ht="25.5" customHeight="1">
      <c r="A1352" t="inlineStr">
        <is>
          <t>5503</t>
        </is>
      </c>
      <c r="B1352" s="2"/>
      <c r="C1352"/>
      <c r="D1352" s="3">
        <v>46134.48994212963</v>
      </c>
      <c r="E1352" t="inlineStr">
        <is>
          <t>Q2-W03</t>
        </is>
      </c>
      <c r="F1352" t="inlineStr">
        <is>
          <t>Eugene</t>
        </is>
      </c>
      <c r="G1352" t="inlineStr">
        <is>
          <t>Customer</t>
        </is>
      </c>
      <c r="H1352" s="2" t="str">
        <f>=HYPERLINK("https://upbox.ajobthing.my/customer/5503", "https://upbox.ajobthing.my/customer/5503")</f>
        <v>https://upbox.ajobthing.my/customer/5503</v>
      </c>
      <c r="I1352" t="inlineStr">
        <is>
          <t>Jump Retail Sdn Bhd</t>
        </is>
      </c>
      <c r="J1352" t="inlineStr">
        <is>
          <t>Whale</t>
        </is>
      </c>
      <c r="K1352" t="inlineStr">
        <is>
          <t>Eugene</t>
        </is>
      </c>
      <c r="L1352" s="4"/>
      <c r="M1352" s="4">
        <v>46136.70825231481</v>
      </c>
      <c r="N1352"/>
      <c r="O1352">
        <v>6048</v>
      </c>
      <c r="P1352" s="4"/>
      <c r="Q1352" s="4">
        <v>43677.3934375</v>
      </c>
      <c r="R1352"/>
      <c r="S1352">
        <v>1351.5</v>
      </c>
      <c r="T1352" s="4">
        <v>43677.3934375</v>
      </c>
      <c r="U1352" s="4"/>
      <c r="V1352"/>
      <c r="W1352">
        <v>1351.5</v>
      </c>
      <c r="X1352"/>
      <c r="Y1352" t="inlineStr">
        <is>
          <t>Pending Appointment</t>
        </is>
      </c>
      <c r="Z1352" t="inlineStr">
        <is>
          <t>Continuous Hiring</t>
        </is>
      </c>
      <c r="AA1352">
        <v>10</v>
      </c>
      <c r="AB1352" t="inlineStr">
        <is>
          <t>No Appointment Made</t>
        </is>
      </c>
      <c r="AC1352"/>
      <c r="AD1352" t="inlineStr">
        <is>
          <t>10 promoters, some white collar, based in Klang valley</t>
        </is>
      </c>
      <c r="AE1352"/>
      <c r="AF1352">
        <v>4000</v>
      </c>
      <c r="AG1352" s="4"/>
      <c r="AH1352" s="4"/>
      <c r="AI1352">
        <v>4000</v>
      </c>
      <c r="AJ1352">
        <v>1</v>
      </c>
      <c r="AK1352" t="inlineStr">
        <is>
          <t>No, I don't need at all</t>
        </is>
      </c>
      <c r="AL1352">
        <v>1</v>
      </c>
      <c r="AM1352" t="inlineStr">
        <is>
          <t>No, I don't need at all</t>
        </is>
      </c>
      <c r="AN1352"/>
      <c r="AO1352" t="inlineStr">
        <is>
          <t>No, I don't need at all</t>
        </is>
      </c>
      <c r="AP1352" t="inlineStr">
        <is>
          <t>Once per quarter (75%)</t>
        </is>
      </c>
      <c r="AQ1352">
        <v>10</v>
      </c>
      <c r="AR1352" t="inlineStr">
        <is>
          <t>Free Job Portal</t>
        </is>
      </c>
      <c r="AS1352" t="inlineStr">
        <is>
          <t>- Headcount: 10
- Hiring Job Details: 10 promoters, some white collar, based in Klang valley
- Hiring Urgency: Continuous Hiring
- Number of outlets: 1
- Have recruiter team: No, I don't need at all
- Number of recruiter in company: 1
- Have ATS system: No, I don't need at all
- Have career website: No, I don't need at all
- Current hiring budget: RM4,000
- Whole year budget: RM4,000.00
- Whole year number of vacancies: 10
- Hiring frequency: Once per quarter (75%)
- External job portal: Free Job Portal</t>
        </is>
      </c>
      <c r="AT1352">
        <v>105</v>
      </c>
      <c r="AU1352" t="inlineStr">
        <is>
          <t>1.05</t>
        </is>
      </c>
      <c r="AV1352" t="inlineStr">
        <is>
          <t>20</t>
        </is>
      </c>
      <c r="AW1352" t="inlineStr">
        <is>
          <t>0</t>
        </is>
      </c>
      <c r="AX1352" t="inlineStr">
        <is>
          <t>Not Qualified</t>
        </is>
      </c>
      <c r="AY1352" s="4"/>
      <c r="AZ1352"/>
      <c r="BA1352"/>
      <c r="BB1352"/>
      <c r="BC1352" t="inlineStr">
        <is>
          <t>- Headcount: 3
- Hiring Job Details: 3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30
- Hiring frequency: Twice a year (50%)
- External job portal: Jobstreet</t>
        </is>
      </c>
      <c r="BD1352" s="4">
        <v>46136.70837962963</v>
      </c>
      <c r="BE1352" t="inlineStr">
        <is>
          <t>paid</t>
        </is>
      </c>
      <c r="BF1352"/>
      <c r="BG1352" t="inlineStr">
        <is>
          <t>Reschedule</t>
        </is>
      </c>
      <c r="BH1352" t="inlineStr">
        <is>
          <t>Edward Hoo</t>
        </is>
      </c>
      <c r="BI1352"/>
      <c r="BJ1352" s="4">
        <v>46144.756064814814</v>
      </c>
      <c r="BK1352" s="4">
        <v>42402.426469907405</v>
      </c>
      <c r="BL1352" t="inlineStr">
        <is>
          <t>0.0</t>
        </is>
      </c>
      <c r="BM1352" t="inlineStr">
        <is>
          <t>13800.0</t>
        </is>
      </c>
      <c r="BN1352" t="inlineStr">
        <is>
          <t>View Company Page</t>
        </is>
      </c>
      <c r="BO1352" s="4">
        <v>43875.47300925926</v>
      </c>
      <c r="BP1352">
        <v>168877</v>
      </c>
      <c r="BQ1352">
        <v>18958</v>
      </c>
      <c r="BR1352" t="inlineStr">
        <is>
          <t>Online</t>
        </is>
      </c>
      <c r="BS1352"/>
      <c r="BT1352">
        <v>18958</v>
      </c>
      <c r="BU1352"/>
      <c r="BV1352">
        <v>2727198</v>
      </c>
      <c r="BW1352" t="inlineStr">
        <is>
          <t>Customer Inquiry</t>
        </is>
      </c>
      <c r="BX1352"/>
      <c r="BY1352"/>
      <c r="BZ1352" s="4"/>
      <c r="CA1352"/>
      <c r="CB1352"/>
      <c r="CC1352" s="4"/>
      <c r="CD1352" t="inlineStr">
        <is>
          <t>30</t>
        </is>
      </c>
      <c r="CE1352" t="inlineStr">
        <is>
          <t>0</t>
        </is>
      </c>
      <c r="CF1352" t="inlineStr">
        <is>
          <t>Q2-W04</t>
        </is>
      </c>
      <c r="CG1352"/>
      <c r="CH1352"/>
      <c r="CI1352"/>
      <c r="CJ1352" t="inlineStr">
        <is>
          <t>Paid</t>
        </is>
      </c>
      <c r="CK1352" t="inlineStr">
        <is>
          <t>Eligible</t>
        </is>
      </c>
      <c r="CL1352"/>
      <c r="CM1352"/>
    </row>
    <row r="1353" ht="25.5" customHeight="1">
      <c r="A1353" t="inlineStr">
        <is>
          <t>203524</t>
        </is>
      </c>
      <c r="B1353" s="2"/>
      <c r="C1353"/>
      <c r="D1353" s="3">
        <v>46134.494039351855</v>
      </c>
      <c r="E1353" t="inlineStr">
        <is>
          <t>Q2-W03</t>
        </is>
      </c>
      <c r="F1353" t="inlineStr">
        <is>
          <t>Clover</t>
        </is>
      </c>
      <c r="G1353" t="inlineStr">
        <is>
          <t>Customer</t>
        </is>
      </c>
      <c r="H1353" s="2" t="str">
        <f>=HYPERLINK("https://upbox.ajobthing.my/customer/203524", "https://upbox.ajobthing.my/customer/203524")</f>
        <v>https://upbox.ajobthing.my/customer/203524</v>
      </c>
      <c r="I1353" t="inlineStr">
        <is>
          <t>HOSPITAL UMRA</t>
        </is>
      </c>
      <c r="J1353" t="inlineStr">
        <is>
          <t>Whale</t>
        </is>
      </c>
      <c r="K1353" t="inlineStr">
        <is>
          <t>Clover</t>
        </is>
      </c>
      <c r="L1353" s="4"/>
      <c r="M1353" s="4">
        <v>46134.49458333333</v>
      </c>
      <c r="N1353"/>
      <c r="O1353">
        <v>6048</v>
      </c>
      <c r="P1353" s="4"/>
      <c r="Q1353" s="4"/>
      <c r="R1353"/>
      <c r="S1353"/>
      <c r="T1353" s="4"/>
      <c r="U1353" s="4"/>
      <c r="V1353"/>
      <c r="W1353"/>
      <c r="X1353"/>
      <c r="Y1353" t="inlineStr">
        <is>
          <t>Pending Appointment</t>
        </is>
      </c>
      <c r="Z1353" t="inlineStr">
        <is>
          <t>Hiring Now</t>
        </is>
      </c>
      <c r="AA1353">
        <v>4</v>
      </c>
      <c r="AB1353" t="inlineStr">
        <is>
          <t>No Appointment Made</t>
        </is>
      </c>
      <c r="AC1353"/>
      <c r="AD1353" t="inlineStr">
        <is>
          <t>Call office , Staff nurse x1, medical assistant x1 , PIC  Ms Raaji, hospital, shah alam, using indeed free, hire radiologic , medical technologist, suggest pro, email raaji@umra.com.my</t>
        </is>
      </c>
      <c r="AE1353"/>
      <c r="AF1353">
        <v>5000</v>
      </c>
      <c r="AG1353" s="4"/>
      <c r="AH1353" s="4"/>
      <c r="AI1353">
        <v>5000</v>
      </c>
      <c r="AJ1353">
        <v>1</v>
      </c>
      <c r="AK1353" t="inlineStr">
        <is>
          <t>No, but I want in future</t>
        </is>
      </c>
      <c r="AL1353">
        <v>1</v>
      </c>
      <c r="AM1353" t="inlineStr">
        <is>
          <t>No, but I want in future</t>
        </is>
      </c>
      <c r="AN1353"/>
      <c r="AO1353" t="inlineStr">
        <is>
          <t>No, but I want in future</t>
        </is>
      </c>
      <c r="AP1353" t="inlineStr">
        <is>
          <t>Twice a year (50%)</t>
        </is>
      </c>
      <c r="AQ1353">
        <v>2</v>
      </c>
      <c r="AR1353" t="inlineStr">
        <is>
          <t>Free Job Portal</t>
        </is>
      </c>
      <c r="AS1353" t="inlineStr">
        <is>
          <t>- Headcount: 4
- Hiring Job Details: Call office, Staff nurse x1, medical assistant x1, radiologic medical technologist; PIC Ms Raaji, hospital in Shah Alam, use Indeed free, suggest pro, email raaji@umra.com.my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Free Job Portal</t>
        </is>
      </c>
      <c r="AT1353">
        <v>110</v>
      </c>
      <c r="AU1353" t="inlineStr">
        <is>
          <t>1.10</t>
        </is>
      </c>
      <c r="AV1353" t="inlineStr">
        <is>
          <t>15</t>
        </is>
      </c>
      <c r="AW1353" t="inlineStr">
        <is>
          <t>0</t>
        </is>
      </c>
      <c r="AX1353" t="inlineStr">
        <is>
          <t>Not Qualified</t>
        </is>
      </c>
      <c r="AY1353" s="4"/>
      <c r="AZ1353"/>
      <c r="BA1353"/>
      <c r="BB1353"/>
      <c r="BC1353" t="inlineStr">
        <is>
          <t>Call office 03-5518 4319 Ms Raaji,  Still considering, email fu again</t>
        </is>
      </c>
      <c r="BD1353" s="4">
        <v>46136.65702546296</v>
      </c>
      <c r="BE1353"/>
      <c r="BF1353"/>
      <c r="BG1353" t="inlineStr">
        <is>
          <t>Reschedule</t>
        </is>
      </c>
      <c r="BH1353" t="inlineStr">
        <is>
          <t>Reagen</t>
        </is>
      </c>
      <c r="BI1353"/>
      <c r="BJ1353" s="4">
        <v>46144.754328703704</v>
      </c>
      <c r="BK1353" s="4">
        <v>46134.48799768519</v>
      </c>
      <c r="BL1353" t="inlineStr">
        <is>
          <t>0.0</t>
        </is>
      </c>
      <c r="BM1353" t="inlineStr">
        <is>
          <t>0.0</t>
        </is>
      </c>
      <c r="BN1353"/>
      <c r="BO1353" s="4"/>
      <c r="BP1353">
        <v>168269</v>
      </c>
      <c r="BQ1353"/>
      <c r="BR1353"/>
      <c r="BS1353"/>
      <c r="BT1353"/>
      <c r="BU1353"/>
      <c r="BV1353">
        <v>2726895</v>
      </c>
      <c r="BW1353" t="inlineStr">
        <is>
          <t>Follow Up : Decision Pending</t>
        </is>
      </c>
      <c r="BX1353"/>
      <c r="BY1353"/>
      <c r="BZ1353" s="4"/>
      <c r="CA1353"/>
      <c r="CB1353"/>
      <c r="CC1353" s="4"/>
      <c r="CD1353" t="inlineStr">
        <is>
          <t>20</t>
        </is>
      </c>
      <c r="CE1353" t="inlineStr">
        <is>
          <t>0</t>
        </is>
      </c>
      <c r="CF1353" t="inlineStr">
        <is>
          <t>Q2-W03</t>
        </is>
      </c>
      <c r="CG1353"/>
      <c r="CH1353"/>
      <c r="CI1353"/>
      <c r="CJ1353" t="inlineStr">
        <is>
          <t>No Paid</t>
        </is>
      </c>
      <c r="CK1353" t="inlineStr">
        <is>
          <t>Eligible</t>
        </is>
      </c>
      <c r="CL1353"/>
      <c r="CM1353"/>
    </row>
    <row r="1354" ht="25.5" customHeight="1">
      <c r="A1354" t="inlineStr">
        <is>
          <t>200846</t>
        </is>
      </c>
      <c r="B1354" s="2"/>
      <c r="C1354"/>
      <c r="D1354" s="3">
        <v>46134.53065972222</v>
      </c>
      <c r="E1354" t="inlineStr">
        <is>
          <t>Q2-W03</t>
        </is>
      </c>
      <c r="F1354" t="inlineStr">
        <is>
          <t>Yuli</t>
        </is>
      </c>
      <c r="G1354" t="inlineStr">
        <is>
          <t>Customer</t>
        </is>
      </c>
      <c r="H1354" s="2" t="str">
        <f>=HYPERLINK("https://upbox.ajobthing.my/customer/200846", "https://upbox.ajobthing.my/customer/200846")</f>
        <v>https://upbox.ajobthing.my/customer/200846</v>
      </c>
      <c r="I1354" t="inlineStr">
        <is>
          <t>Uniqcen Sales &amp; Services (Southern) Sdn Bhd</t>
        </is>
      </c>
      <c r="J1354" t="inlineStr">
        <is>
          <t>Whale</t>
        </is>
      </c>
      <c r="K1354" t="inlineStr">
        <is>
          <t>YuLi</t>
        </is>
      </c>
      <c r="L1354" s="4"/>
      <c r="M1354" s="4">
        <v>46134.53030092592</v>
      </c>
      <c r="N1354"/>
      <c r="O1354">
        <v>3672</v>
      </c>
      <c r="P1354" s="4"/>
      <c r="Q1354" s="4">
        <v>46132.64604166667</v>
      </c>
      <c r="R1354"/>
      <c r="S1354">
        <v>0</v>
      </c>
      <c r="T1354" s="4">
        <v>46058.93446759259</v>
      </c>
      <c r="U1354" s="4"/>
      <c r="V1354"/>
      <c r="W1354">
        <v>3672</v>
      </c>
      <c r="X1354"/>
      <c r="Y1354" t="inlineStr">
        <is>
          <t>Pending Appointment</t>
        </is>
      </c>
      <c r="Z1354" t="inlineStr">
        <is>
          <t>Hiring Now</t>
        </is>
      </c>
      <c r="AA1354">
        <v>1</v>
      </c>
      <c r="AB1354" t="inlineStr">
        <is>
          <t>No Appointment Made</t>
        </is>
      </c>
      <c r="AC1354"/>
      <c r="AD1354" t="inlineStr">
        <is>
          <t>QA/QC Coordinator-1 headcount
</t>
        </is>
      </c>
      <c r="AE1354"/>
      <c r="AF1354"/>
      <c r="AG1354" s="4"/>
      <c r="AH1354" s="4"/>
      <c r="AI1354"/>
      <c r="AJ1354"/>
      <c r="AK1354"/>
      <c r="AL1354"/>
      <c r="AM1354"/>
      <c r="AN1354"/>
      <c r="AO1354"/>
      <c r="AP1354"/>
      <c r="AQ1354"/>
      <c r="AR1354" t="inlineStr">
        <is>
          <t>Jobstreet</t>
        </is>
      </c>
      <c r="AS1354" t="inlineStr">
        <is>
          <t>- Headcount: 1
- Hiring Job Details: QA/QC Coordinator-1 headcount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1354">
        <v>85</v>
      </c>
      <c r="AU1354" t="inlineStr">
        <is>
          <t>0.85</t>
        </is>
      </c>
      <c r="AV1354" t="inlineStr">
        <is>
          <t>5</t>
        </is>
      </c>
      <c r="AW1354" t="inlineStr">
        <is>
          <t>0</t>
        </is>
      </c>
      <c r="AX1354" t="inlineStr">
        <is>
          <t>Not Qualified</t>
        </is>
      </c>
      <c r="AY1354" s="4"/>
      <c r="AZ1354"/>
      <c r="BA1354"/>
      <c r="BB1354"/>
      <c r="BC1354" t="inlineStr">
        <is>
          <t>- Headcount: 1
- Hiring Job Details: QA/QC Coordinator-1 headcount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BD1354" s="4">
        <v>46134.54168981482</v>
      </c>
      <c r="BE1354" t="inlineStr">
        <is>
          <t>paid</t>
        </is>
      </c>
      <c r="BF1354" t="inlineStr">
        <is>
          <t>Q1-W05</t>
        </is>
      </c>
      <c r="BG1354" t="inlineStr">
        <is>
          <t>Reschedule</t>
        </is>
      </c>
      <c r="BH1354" t="inlineStr">
        <is>
          <t>Fauziah Maharan</t>
        </is>
      </c>
      <c r="BI1354" t="inlineStr">
        <is>
          <t>Electrical / Electronics</t>
        </is>
      </c>
      <c r="BJ1354" s="4">
        <v>46144.753657407404</v>
      </c>
      <c r="BK1354" s="4">
        <v>46052.715891203705</v>
      </c>
      <c r="BL1354" t="inlineStr">
        <is>
          <t>3672.0</t>
        </is>
      </c>
      <c r="BM1354" t="inlineStr">
        <is>
          <t>2400.0</t>
        </is>
      </c>
      <c r="BN1354" t="inlineStr">
        <is>
          <t>View Company Page</t>
        </is>
      </c>
      <c r="BO1354" s="4">
        <v>46139.37414351852</v>
      </c>
      <c r="BP1354">
        <v>168288</v>
      </c>
      <c r="BQ1354">
        <v>123304</v>
      </c>
      <c r="BR1354" t="inlineStr">
        <is>
          <t>Proforma</t>
        </is>
      </c>
      <c r="BS1354" t="inlineStr">
        <is>
          <t>Free Part-Time Job</t>
        </is>
      </c>
      <c r="BT1354">
        <v>86417</v>
      </c>
      <c r="BU1354"/>
      <c r="BV1354">
        <v>2720361</v>
      </c>
      <c r="BW1354" t="inlineStr">
        <is>
          <t>Customer Inquiry</t>
        </is>
      </c>
      <c r="BX1354">
        <v>6</v>
      </c>
      <c r="BY1354">
        <v>0</v>
      </c>
      <c r="BZ1354" s="4">
        <v>46134.689884259256</v>
      </c>
      <c r="CA1354">
        <v>60</v>
      </c>
      <c r="CB1354">
        <v>0</v>
      </c>
      <c r="CC1354" s="4">
        <v>46107.48777777778</v>
      </c>
      <c r="CD1354" t="inlineStr">
        <is>
          <t>5</t>
        </is>
      </c>
      <c r="CE1354" t="inlineStr">
        <is>
          <t>0</t>
        </is>
      </c>
      <c r="CF1354" t="inlineStr">
        <is>
          <t>Q2-W03</t>
        </is>
      </c>
      <c r="CG1354" t="inlineStr">
        <is>
          <t>Q2-W03</t>
        </is>
      </c>
      <c r="CH1354" t="inlineStr">
        <is>
          <t>Q1-W05</t>
        </is>
      </c>
      <c r="CI1354"/>
      <c r="CJ1354" t="inlineStr">
        <is>
          <t>Paid</t>
        </is>
      </c>
      <c r="CK1354" t="inlineStr">
        <is>
          <t>Eligible</t>
        </is>
      </c>
      <c r="CL1354"/>
      <c r="CM1354"/>
    </row>
    <row r="1355" ht="25.5" customHeight="1">
      <c r="A1355" t="inlineStr">
        <is>
          <t>116222</t>
        </is>
      </c>
      <c r="B1355" s="2"/>
      <c r="C1355"/>
      <c r="D1355" s="3">
        <v>46134.6078587963</v>
      </c>
      <c r="E1355" t="inlineStr">
        <is>
          <t>Q2-W03</t>
        </is>
      </c>
      <c r="F1355" t="inlineStr">
        <is>
          <t>Keegan</t>
        </is>
      </c>
      <c r="G1355" t="inlineStr">
        <is>
          <t>Customer</t>
        </is>
      </c>
      <c r="H1355" s="2" t="str">
        <f>=HYPERLINK("https://upbox.ajobthing.my/customer/116222", "https://upbox.ajobthing.my/customer/116222")</f>
        <v>https://upbox.ajobthing.my/customer/116222</v>
      </c>
      <c r="I1355" t="inlineStr">
        <is>
          <t>Plastictecnic (M) Sdn Bhd</t>
        </is>
      </c>
      <c r="J1355" t="inlineStr">
        <is>
          <t>Whale</t>
        </is>
      </c>
      <c r="K1355" t="inlineStr">
        <is>
          <t>Keegan</t>
        </is>
      </c>
      <c r="L1355" s="4"/>
      <c r="M1355" s="4">
        <v>46134.60869212963</v>
      </c>
      <c r="N1355"/>
      <c r="O1355">
        <v>11448</v>
      </c>
      <c r="P1355" s="4"/>
      <c r="Q1355" s="4">
        <v>46045.41273148148</v>
      </c>
      <c r="R1355"/>
      <c r="S1355">
        <v>0</v>
      </c>
      <c r="T1355" s="4">
        <v>45006.55641203704</v>
      </c>
      <c r="U1355" s="4"/>
      <c r="V1355"/>
      <c r="W1355">
        <v>1696</v>
      </c>
      <c r="X1355"/>
      <c r="Y1355" t="inlineStr">
        <is>
          <t>Pending Appointment</t>
        </is>
      </c>
      <c r="Z1355" t="inlineStr">
        <is>
          <t>Hiring Now</t>
        </is>
      </c>
      <c r="AA1355">
        <v>6</v>
      </c>
      <c r="AB1355" t="inlineStr">
        <is>
          <t>No Appointment Made</t>
        </is>
      </c>
      <c r="AC1355"/>
      <c r="AD1355" t="inlineStr">
        <is>
          <t xml:space="preserve">1. Purchasing Officer
2. Front Desk 
3. Receptionist 
4. QACC inspector 
5. Supply Chain Officer
6. Sustainability Executive </t>
        </is>
      </c>
      <c r="AE1355"/>
      <c r="AF1355"/>
      <c r="AG1355" s="4"/>
      <c r="AH1355" s="4"/>
      <c r="AI1355"/>
      <c r="AJ1355">
        <v>2</v>
      </c>
      <c r="AK1355" t="inlineStr">
        <is>
          <t>No, I don't need at all</t>
        </is>
      </c>
      <c r="AL1355">
        <v>0</v>
      </c>
      <c r="AM1355" t="inlineStr">
        <is>
          <t>No, I don't need at all</t>
        </is>
      </c>
      <c r="AN1355"/>
      <c r="AO1355" t="inlineStr">
        <is>
          <t>No, I don't need at all</t>
        </is>
      </c>
      <c r="AP1355" t="inlineStr">
        <is>
          <t>Once per quarter (75%)</t>
        </is>
      </c>
      <c r="AQ1355"/>
      <c r="AR1355" t="inlineStr">
        <is>
          <t>Indeed (Paid)</t>
        </is>
      </c>
      <c r="AS1355" t="inlineStr">
        <is>
          <t>- Headcount: 6
- Hiring Job Details: 1. Purchasing Officer; 2. Front Desk; 3. Receptionist; 4. QACC inspector; 5. Supply Chain Officer; 6. Sustainability Executive
- Hiring Urgency: Hiring Now
- Number of outlets: 2
- Have recruiter team: No, I don't need at all
- Number of recruiter in company: 0
- Have ATS system: No, I don't need at all
- Have career website: No, I don't need at all
- Current hiring budget: No data
- Whole year budget: No data
- Whole year number of vacancies: No data
- Hiring frequency: Once per quarter (75%)
- External job portal: Indeed (Paid)</t>
        </is>
      </c>
      <c r="AT1355">
        <v>65</v>
      </c>
      <c r="AU1355" t="inlineStr">
        <is>
          <t>0.65</t>
        </is>
      </c>
      <c r="AV1355" t="inlineStr">
        <is>
          <t>10</t>
        </is>
      </c>
      <c r="AW1355" t="inlineStr">
        <is>
          <t>0</t>
        </is>
      </c>
      <c r="AX1355" t="inlineStr">
        <is>
          <t>Not Qualified</t>
        </is>
      </c>
      <c r="AY1355" s="4"/>
      <c r="AZ1355"/>
      <c r="BA1355"/>
      <c r="BB1355"/>
      <c r="BC1355" t="inlineStr">
        <is>
          <t>- Headcount: 6
- Hiring Job Details: 1. Purchasing Officer; 2. Front Desk; 3. Receptionist; 4. QACC inspector; 5. Supply Chain Officer; 6. Sustainability Executive
- Hiring Urgency: Hiring Now
- Number of outlets: 2
- Have recruiter team: No, I don't need at all
- Number of recruiter in company: 0
- Have ATS system: No, I don't need at all
- Have career website: No, I don't need at all
- Current hiring budget: No data
- Whole year budget: No data
- Whole year number of vacancies: No data
- Hiring frequency: Once per quarter (75%)
- External job portal: Indeed (Paid)</t>
        </is>
      </c>
      <c r="BD1355" s="4">
        <v>46134.6250462963</v>
      </c>
      <c r="BE1355" t="inlineStr">
        <is>
          <t>paid</t>
        </is>
      </c>
      <c r="BF1355"/>
      <c r="BG1355" t="inlineStr">
        <is>
          <t>Reschedule</t>
        </is>
      </c>
      <c r="BH1355" t="inlineStr">
        <is>
          <t>Edward Hoo</t>
        </is>
      </c>
      <c r="BI1355" t="inlineStr">
        <is>
          <t>Manufacturing / Production</t>
        </is>
      </c>
      <c r="BJ1355" s="4">
        <v>46144.75016203704</v>
      </c>
      <c r="BK1355" s="4">
        <v>43522.371469907404</v>
      </c>
      <c r="BL1355" t="inlineStr">
        <is>
          <t>0.0</t>
        </is>
      </c>
      <c r="BM1355" t="inlineStr">
        <is>
          <t>7200.0</t>
        </is>
      </c>
      <c r="BN1355" t="inlineStr">
        <is>
          <t>View Jobmanager Page</t>
        </is>
      </c>
      <c r="BO1355" s="4">
        <v>46049.656793981485</v>
      </c>
      <c r="BP1355">
        <v>168313</v>
      </c>
      <c r="BQ1355">
        <v>114305</v>
      </c>
      <c r="BR1355" t="inlineStr">
        <is>
          <t>Proforma</t>
        </is>
      </c>
      <c r="BS1355" t="inlineStr">
        <is>
          <t>Free Internship Job</t>
        </is>
      </c>
      <c r="BT1355">
        <v>56674</v>
      </c>
      <c r="BU1355"/>
      <c r="BV1355">
        <v>2720957</v>
      </c>
      <c r="BW1355" t="inlineStr">
        <is>
          <t>Customer Inquiry</t>
        </is>
      </c>
      <c r="BX1355"/>
      <c r="BY1355"/>
      <c r="BZ1355" s="4"/>
      <c r="CA1355"/>
      <c r="CB1355"/>
      <c r="CC1355" s="4"/>
      <c r="CD1355" t="inlineStr">
        <is>
          <t>15</t>
        </is>
      </c>
      <c r="CE1355" t="inlineStr">
        <is>
          <t>0</t>
        </is>
      </c>
      <c r="CF1355" t="inlineStr">
        <is>
          <t>Q2-W03</t>
        </is>
      </c>
      <c r="CG1355" t="inlineStr">
        <is>
          <t>Q1-W04</t>
        </is>
      </c>
      <c r="CH1355"/>
      <c r="CI1355"/>
      <c r="CJ1355" t="inlineStr">
        <is>
          <t>Paid</t>
        </is>
      </c>
      <c r="CK1355" t="inlineStr">
        <is>
          <t>Eligible</t>
        </is>
      </c>
      <c r="CL1355"/>
      <c r="CM1355"/>
    </row>
    <row r="1356" ht="25.5" customHeight="1">
      <c r="A1356" t="inlineStr">
        <is>
          <t>181595</t>
        </is>
      </c>
      <c r="B1356" s="2"/>
      <c r="C1356"/>
      <c r="D1356" s="3">
        <v>46134.60806712963</v>
      </c>
      <c r="E1356" t="inlineStr">
        <is>
          <t>Q2-W03</t>
        </is>
      </c>
      <c r="F1356" t="inlineStr">
        <is>
          <t>Alan KY</t>
        </is>
      </c>
      <c r="G1356" t="inlineStr">
        <is>
          <t>Customer</t>
        </is>
      </c>
      <c r="H1356" s="2" t="str">
        <f>=HYPERLINK("https://upbox.ajobthing.my/customer/181595", "https://upbox.ajobthing.my/customer/181595")</f>
        <v>https://upbox.ajobthing.my/customer/181595</v>
      </c>
      <c r="I1356" t="inlineStr">
        <is>
          <t>Shashinki Sdn Bhd</t>
        </is>
      </c>
      <c r="J1356" t="inlineStr">
        <is>
          <t>Whale</t>
        </is>
      </c>
      <c r="K1356" t="inlineStr">
        <is>
          <t>Alan KY</t>
        </is>
      </c>
      <c r="L1356" s="4"/>
      <c r="M1356" s="4">
        <v>46134.60909722222</v>
      </c>
      <c r="N1356"/>
      <c r="O1356">
        <v>3888</v>
      </c>
      <c r="P1356" s="4"/>
      <c r="Q1356" s="4">
        <v>46121.585335648146</v>
      </c>
      <c r="R1356"/>
      <c r="S1356">
        <v>0</v>
      </c>
      <c r="T1356" s="4"/>
      <c r="U1356" s="4"/>
      <c r="V1356"/>
      <c r="W1356"/>
      <c r="X1356"/>
      <c r="Y1356" t="inlineStr">
        <is>
          <t>Pending Appointment</t>
        </is>
      </c>
      <c r="Z1356" t="inlineStr">
        <is>
          <t>Hiring Now</t>
        </is>
      </c>
      <c r="AA1356">
        <v>1</v>
      </c>
      <c r="AB1356" t="inlineStr">
        <is>
          <t>No Appointment Made</t>
        </is>
      </c>
      <c r="AC1356"/>
      <c r="AD1356" t="inlineStr">
        <is>
          <t xml:space="preserve">1 retail assistant , johor </t>
        </is>
      </c>
      <c r="AE1356"/>
      <c r="AF1356"/>
      <c r="AG1356" s="4"/>
      <c r="AH1356" s="4"/>
      <c r="AI1356"/>
      <c r="AJ1356">
        <v>1</v>
      </c>
      <c r="AK1356" t="inlineStr">
        <is>
          <t>No, I don't need at all</t>
        </is>
      </c>
      <c r="AL1356"/>
      <c r="AM1356" t="inlineStr">
        <is>
          <t>No, I don't need at all</t>
        </is>
      </c>
      <c r="AN1356"/>
      <c r="AO1356" t="inlineStr">
        <is>
          <t>No, I don't need at all</t>
        </is>
      </c>
      <c r="AP1356" t="inlineStr">
        <is>
          <t>Once per quarter (75%)</t>
        </is>
      </c>
      <c r="AQ1356"/>
      <c r="AR1356" t="inlineStr">
        <is>
          <t>Free Job Portal</t>
        </is>
      </c>
      <c r="AS1356" t="inlineStr">
        <is>
          <t>- Headcount: 1
- Hiring Job Details: 1 retail assistant, johor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is>
      </c>
      <c r="AT1356">
        <v>100</v>
      </c>
      <c r="AU1356" t="inlineStr">
        <is>
          <t>1.00</t>
        </is>
      </c>
      <c r="AV1356" t="inlineStr">
        <is>
          <t>5</t>
        </is>
      </c>
      <c r="AW1356" t="inlineStr">
        <is>
          <t>0</t>
        </is>
      </c>
      <c r="AX1356" t="inlineStr">
        <is>
          <t>Not Qualified</t>
        </is>
      </c>
      <c r="AY1356" s="4"/>
      <c r="AZ1356"/>
      <c r="BA1356"/>
      <c r="BB1356"/>
      <c r="BC1356" t="inlineStr">
        <is>
          <t>- Headcount: 1
- Hiring Job Details: 1 retail assistant, johor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is>
      </c>
      <c r="BD1356" s="4">
        <v>46134.6250462963</v>
      </c>
      <c r="BE1356" t="inlineStr">
        <is>
          <t>paid</t>
        </is>
      </c>
      <c r="BF1356"/>
      <c r="BG1356" t="inlineStr">
        <is>
          <t>Reschedule</t>
        </is>
      </c>
      <c r="BH1356" t="inlineStr">
        <is>
          <t>Reagen</t>
        </is>
      </c>
      <c r="BI1356" t="inlineStr">
        <is>
          <t>Retail / Merchandise</t>
        </is>
      </c>
      <c r="BJ1356" s="4">
        <v>46144.751863425925</v>
      </c>
      <c r="BK1356" s="4">
        <v>45518.3849537037</v>
      </c>
      <c r="BL1356" t="inlineStr">
        <is>
          <t>0.0</t>
        </is>
      </c>
      <c r="BM1356" t="inlineStr">
        <is>
          <t>0.0</t>
        </is>
      </c>
      <c r="BN1356" t="inlineStr">
        <is>
          <t>View Company Page</t>
        </is>
      </c>
      <c r="BO1356" s="4">
        <v>45518.40412037037</v>
      </c>
      <c r="BP1356">
        <v>168315</v>
      </c>
      <c r="BQ1356">
        <v>121335</v>
      </c>
      <c r="BR1356" t="inlineStr">
        <is>
          <t>Proforma</t>
        </is>
      </c>
      <c r="BS1356" t="inlineStr">
        <is>
          <t>Free Internship Job</t>
        </is>
      </c>
      <c r="BT1356"/>
      <c r="BU1356"/>
      <c r="BV1356">
        <v>2720958</v>
      </c>
      <c r="BW1356" t="inlineStr">
        <is>
          <t>Customer Inquiry</t>
        </is>
      </c>
      <c r="BX1356"/>
      <c r="BY1356"/>
      <c r="BZ1356" s="4"/>
      <c r="CA1356"/>
      <c r="CB1356"/>
      <c r="CC1356" s="4"/>
      <c r="CD1356" t="inlineStr">
        <is>
          <t>5</t>
        </is>
      </c>
      <c r="CE1356" t="inlineStr">
        <is>
          <t>0</t>
        </is>
      </c>
      <c r="CF1356" t="inlineStr">
        <is>
          <t>Q2-W03</t>
        </is>
      </c>
      <c r="CG1356" t="inlineStr">
        <is>
          <t>Q2-W01</t>
        </is>
      </c>
      <c r="CH1356"/>
      <c r="CI1356"/>
      <c r="CJ1356" t="inlineStr">
        <is>
          <t>No Paid</t>
        </is>
      </c>
      <c r="CK1356" t="inlineStr">
        <is>
          <t>Eligible</t>
        </is>
      </c>
      <c r="CL1356"/>
      <c r="CM1356"/>
    </row>
    <row r="1357" ht="25.5" customHeight="1">
      <c r="A1357" t="inlineStr">
        <is>
          <t>179774</t>
        </is>
      </c>
      <c r="B1357" s="2"/>
      <c r="C1357"/>
      <c r="D1357" s="3">
        <v>46134.6134375</v>
      </c>
      <c r="E1357" t="inlineStr">
        <is>
          <t>Q2-W03</t>
        </is>
      </c>
      <c r="F1357" t="inlineStr">
        <is>
          <t>andy@ajobthing.com</t>
        </is>
      </c>
      <c r="G1357" t="inlineStr">
        <is>
          <t>Customer</t>
        </is>
      </c>
      <c r="H1357" s="2" t="str">
        <f>=HYPERLINK("https://upbox.ajobthing.my/customer/179774", "https://upbox.ajobthing.my/customer/179774")</f>
        <v>https://upbox.ajobthing.my/customer/179774</v>
      </c>
      <c r="I1357" t="inlineStr">
        <is>
          <t>Cadvision Systems Sdn Bhd</t>
        </is>
      </c>
      <c r="J1357" t="inlineStr">
        <is>
          <t>Whale</t>
        </is>
      </c>
      <c r="K1357" t="inlineStr">
        <is>
          <t>Andy</t>
        </is>
      </c>
      <c r="L1357" s="4"/>
      <c r="M1357" s="4">
        <v>46134.61649305555</v>
      </c>
      <c r="N1357"/>
      <c r="O1357">
        <v>3456</v>
      </c>
      <c r="P1357" s="4"/>
      <c r="Q1357" s="4">
        <v>46135.69179398148</v>
      </c>
      <c r="R1357"/>
      <c r="S1357">
        <v>0</v>
      </c>
      <c r="T1357" s="4"/>
      <c r="U1357" s="4"/>
      <c r="V1357"/>
      <c r="W1357"/>
      <c r="X1357" t="inlineStr">
        <is>
          <t>andy@ajobthing.com</t>
        </is>
      </c>
      <c r="Y1357" t="inlineStr">
        <is>
          <t>Done Appointment</t>
        </is>
      </c>
      <c r="Z1357" t="inlineStr">
        <is>
          <t>Continuous Hiring</t>
        </is>
      </c>
      <c r="AA1357">
        <v>5</v>
      </c>
      <c r="AB1357" t="inlineStr">
        <is>
          <t>Appointment Made</t>
        </is>
      </c>
      <c r="AC1357" t="inlineStr">
        <is>
          <t>Mid-size (50-100 employees)</t>
        </is>
      </c>
      <c r="AD1357" t="inlineStr">
        <is>
          <t>Technical, Marketing, Finance, Inside sales, Internship</t>
        </is>
      </c>
      <c r="AE1357" t="inlineStr">
        <is>
          <t>HR Manager / Talent Manager</t>
        </is>
      </c>
      <c r="AF1357">
        <v>10000</v>
      </c>
      <c r="AG1357" s="4">
        <v>46134.583333333336</v>
      </c>
      <c r="AH1357" s="4">
        <v>46134.604166666664</v>
      </c>
      <c r="AI1357">
        <v>10000</v>
      </c>
      <c r="AJ1357">
        <v>4</v>
      </c>
      <c r="AK1357" t="inlineStr">
        <is>
          <t>Yes, I have</t>
        </is>
      </c>
      <c r="AL1357">
        <v>1</v>
      </c>
      <c r="AM1357" t="inlineStr">
        <is>
          <t>No, but I want in future</t>
        </is>
      </c>
      <c r="AN1357"/>
      <c r="AO1357" t="inlineStr">
        <is>
          <t>Yes, I have</t>
        </is>
      </c>
      <c r="AP1357" t="inlineStr">
        <is>
          <t>Once per quarter (75%)</t>
        </is>
      </c>
      <c r="AQ1357">
        <v>60</v>
      </c>
      <c r="AR1357" t="inlineStr">
        <is>
          <t>Jobstreet, Hiredly, Free Job Portal</t>
        </is>
      </c>
      <c r="AS1357" t="inlineStr">
        <is>
          <t>- Headcount: 5
- Hiring Job Details: Technical, Marketing, Finance, Inside sales, Internship
- Hiring Urgency: Continuous Hiring
- Number of outlets: 4
- Have recruiter team: Yes
- Number of recruiter in company: 1
- Have ATS system: No, but want in future
- Have career website: Yes
- Current hiring budget: RM10,000
- Whole year budget: RM10,000.00
- Whole year number of vacancies: 60
- Hiring frequency: Once per quarter (75%)
- External job portal: Jobstreet, Hiredly, Free Job Portal</t>
        </is>
      </c>
      <c r="AT1357">
        <v>75</v>
      </c>
      <c r="AU1357" t="inlineStr">
        <is>
          <t>0.75</t>
        </is>
      </c>
      <c r="AV1357" t="inlineStr">
        <is>
          <t>40</t>
        </is>
      </c>
      <c r="AW1357" t="inlineStr">
        <is>
          <t>0.5</t>
        </is>
      </c>
      <c r="AX1357" t="inlineStr">
        <is>
          <t>Not Qualified</t>
        </is>
      </c>
      <c r="AY1357" s="4">
        <v>46134.6153125</v>
      </c>
      <c r="AZ1357" t="inlineStr">
        <is>
          <t>Base Assistant</t>
        </is>
      </c>
      <c r="BA1357"/>
      <c r="BB1357"/>
      <c r="BC1357" t="inlineStr">
        <is>
          <t>- Headcount: 5
- Hiring Job Details: Technical, Marketing, Finance, Inside sales, Internship
- Hiring Urgency: Continuous Hiring
- Number of outlets: 4
- Have recruiter team: Yes
- Number of recruiter in company: 1
- Have ATS system: No, but want in future
- Have career website: Yes
- Current hiring budget: RM10,000
- Whole year budget: RM10,000.00
- Whole year number of vacancies: 60
- Hiring frequency: Once per quarter (75%)
- External job portal: Jobstreet, Hiredly, Free Job Portal</t>
        </is>
      </c>
      <c r="BD1357" s="4">
        <v>46134.6250462963</v>
      </c>
      <c r="BE1357" t="inlineStr">
        <is>
          <t>paid</t>
        </is>
      </c>
      <c r="BF1357"/>
      <c r="BG1357" t="inlineStr">
        <is>
          <t>Reschedule</t>
        </is>
      </c>
      <c r="BH1357"/>
      <c r="BI1357" t="inlineStr">
        <is>
          <t>Engineering / Technical Consulting</t>
        </is>
      </c>
      <c r="BJ1357" s="4">
        <v>46144.75178240741</v>
      </c>
      <c r="BK1357" s="4">
        <v>45467.60118055555</v>
      </c>
      <c r="BL1357" t="inlineStr">
        <is>
          <t>0.0</t>
        </is>
      </c>
      <c r="BM1357" t="inlineStr">
        <is>
          <t>10500.0</t>
        </is>
      </c>
      <c r="BN1357" t="inlineStr">
        <is>
          <t>View Company Page</t>
        </is>
      </c>
      <c r="BO1357" s="4">
        <v>46142.517060185186</v>
      </c>
      <c r="BP1357">
        <v>168322</v>
      </c>
      <c r="BQ1357">
        <v>123626</v>
      </c>
      <c r="BR1357" t="inlineStr">
        <is>
          <t>Proforma</t>
        </is>
      </c>
      <c r="BS1357" t="inlineStr">
        <is>
          <t>Free Part-Time Job</t>
        </is>
      </c>
      <c r="BT1357"/>
      <c r="BU1357"/>
      <c r="BV1357">
        <v>2720962</v>
      </c>
      <c r="BW1357" t="inlineStr">
        <is>
          <t>Customer Inquiry</t>
        </is>
      </c>
      <c r="BX1357">
        <v>300</v>
      </c>
      <c r="BY1357">
        <v>287</v>
      </c>
      <c r="BZ1357" s="4">
        <v>46141.74039351852</v>
      </c>
      <c r="CA1357">
        <v>13</v>
      </c>
      <c r="CB1357">
        <v>13</v>
      </c>
      <c r="CC1357" s="4"/>
      <c r="CD1357" t="inlineStr">
        <is>
          <t>60</t>
        </is>
      </c>
      <c r="CE1357" t="inlineStr">
        <is>
          <t>0.8</t>
        </is>
      </c>
      <c r="CF1357" t="inlineStr">
        <is>
          <t>Q2-W03</t>
        </is>
      </c>
      <c r="CG1357" t="inlineStr">
        <is>
          <t>Q2-W03</t>
        </is>
      </c>
      <c r="CH1357"/>
      <c r="CI1357" t="inlineStr">
        <is>
          <t>Q2-W03</t>
        </is>
      </c>
      <c r="CJ1357" t="inlineStr">
        <is>
          <t>No Paid</t>
        </is>
      </c>
      <c r="CK1357" t="inlineStr">
        <is>
          <t>Eligible</t>
        </is>
      </c>
      <c r="CL1357"/>
      <c r="CM1357" t="inlineStr">
        <is>
          <t>Q2-W03</t>
        </is>
      </c>
    </row>
    <row r="1358" ht="25.5" customHeight="1">
      <c r="A1358" t="inlineStr">
        <is>
          <t>16681</t>
        </is>
      </c>
      <c r="B1358" s="2"/>
      <c r="C1358"/>
      <c r="D1358" s="3">
        <v>46134.61554398148</v>
      </c>
      <c r="E1358" t="inlineStr">
        <is>
          <t>Q2-W03</t>
        </is>
      </c>
      <c r="F1358" t="inlineStr">
        <is>
          <t>Ratha</t>
        </is>
      </c>
      <c r="G1358" t="inlineStr">
        <is>
          <t>Customer</t>
        </is>
      </c>
      <c r="H1358" s="2" t="str">
        <f>=HYPERLINK("https://upbox.ajobthing.my/customer/16681", "https://upbox.ajobthing.my/customer/16681")</f>
        <v>https://upbox.ajobthing.my/customer/16681</v>
      </c>
      <c r="I1358" t="inlineStr">
        <is>
          <t>Oversea Lighting &amp; Electric (M) Sdn Bhd</t>
        </is>
      </c>
      <c r="J1358" t="inlineStr">
        <is>
          <t>Whale</t>
        </is>
      </c>
      <c r="K1358" t="inlineStr">
        <is>
          <t>Ratha</t>
        </is>
      </c>
      <c r="L1358" s="4"/>
      <c r="M1358" s="4">
        <v>46134.61584490741</v>
      </c>
      <c r="N1358"/>
      <c r="O1358">
        <v>6048</v>
      </c>
      <c r="P1358" s="4"/>
      <c r="Q1358" s="4">
        <v>45324.68246527778</v>
      </c>
      <c r="R1358"/>
      <c r="S1358">
        <v>954</v>
      </c>
      <c r="T1358" s="4">
        <v>45324.68246527778</v>
      </c>
      <c r="U1358" s="4"/>
      <c r="V1358"/>
      <c r="W1358">
        <v>954</v>
      </c>
      <c r="X1358"/>
      <c r="Y1358" t="inlineStr">
        <is>
          <t>Pending Appointment</t>
        </is>
      </c>
      <c r="Z1358" t="inlineStr">
        <is>
          <t>Hiring Later</t>
        </is>
      </c>
      <c r="AA1358">
        <v>2</v>
      </c>
      <c r="AB1358" t="inlineStr">
        <is>
          <t>No Appointment Made</t>
        </is>
      </c>
      <c r="AC1358"/>
      <c r="AD1358" t="inlineStr">
        <is>
          <t xml:space="preserve">engineering 
manufacturing
Location : Seri Kembangan </t>
        </is>
      </c>
      <c r="AE1358"/>
      <c r="AF1358"/>
      <c r="AG1358" s="4"/>
      <c r="AH1358" s="4"/>
      <c r="AI1358">
        <v>0</v>
      </c>
      <c r="AJ1358">
        <v>1</v>
      </c>
      <c r="AK1358" t="inlineStr">
        <is>
          <t>Yes, I have</t>
        </is>
      </c>
      <c r="AL1358">
        <v>2</v>
      </c>
      <c r="AM1358" t="inlineStr">
        <is>
          <t>No, I don't need at all</t>
        </is>
      </c>
      <c r="AN1358"/>
      <c r="AO1358" t="inlineStr">
        <is>
          <t>Yes, I have</t>
        </is>
      </c>
      <c r="AP1358" t="inlineStr">
        <is>
          <t>Once per quarter (75%)</t>
        </is>
      </c>
      <c r="AQ1358">
        <v>0</v>
      </c>
      <c r="AR1358" t="inlineStr">
        <is>
          <t>Jobstreet, Free Job Portal</t>
        </is>
      </c>
      <c r="AS1358" t="inlineStr">
        <is>
          <t>- Headcount: 2
- Hiring Job Details: engineering, manufacturing (Location: Seri Kembangan)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is>
      </c>
      <c r="AT1358">
        <v>75</v>
      </c>
      <c r="AU1358" t="inlineStr">
        <is>
          <t>0.75</t>
        </is>
      </c>
      <c r="AV1358" t="inlineStr">
        <is>
          <t>5</t>
        </is>
      </c>
      <c r="AW1358" t="inlineStr">
        <is>
          <t>0</t>
        </is>
      </c>
      <c r="AX1358" t="inlineStr">
        <is>
          <t>Not Qualified</t>
        </is>
      </c>
      <c r="AY1358" s="4"/>
      <c r="AZ1358"/>
      <c r="BA1358"/>
      <c r="BB1358"/>
      <c r="BC1358" t="inlineStr">
        <is>
          <t>not proceed - comfortable with current portal</t>
        </is>
      </c>
      <c r="BD1358" s="4">
        <v>46140.64922453704</v>
      </c>
      <c r="BE1358" t="inlineStr">
        <is>
          <t>paid</t>
        </is>
      </c>
      <c r="BF1358"/>
      <c r="BG1358" t="inlineStr">
        <is>
          <t>Reschedule</t>
        </is>
      </c>
      <c r="BH1358" t="inlineStr">
        <is>
          <t>Fauziah Maharan</t>
        </is>
      </c>
      <c r="BI1358" t="inlineStr">
        <is>
          <t>Manufacturing / Production</t>
        </is>
      </c>
      <c r="BJ1358" s="4">
        <v>46144.751296296294</v>
      </c>
      <c r="BK1358" s="4">
        <v>42478.85659722222</v>
      </c>
      <c r="BL1358" t="inlineStr">
        <is>
          <t>0.0</t>
        </is>
      </c>
      <c r="BM1358" t="inlineStr">
        <is>
          <t>18600.0</t>
        </is>
      </c>
      <c r="BN1358" t="inlineStr">
        <is>
          <t>View Company Page</t>
        </is>
      </c>
      <c r="BO1358" s="4">
        <v>45825.49082175926</v>
      </c>
      <c r="BP1358">
        <v>168321</v>
      </c>
      <c r="BQ1358">
        <v>65740</v>
      </c>
      <c r="BR1358" t="inlineStr">
        <is>
          <t>Online</t>
        </is>
      </c>
      <c r="BS1358"/>
      <c r="BT1358">
        <v>65740</v>
      </c>
      <c r="BU1358"/>
      <c r="BV1358">
        <v>2733124</v>
      </c>
      <c r="BW1358" t="inlineStr">
        <is>
          <t>Follow Up : Lost - Paid Portal</t>
        </is>
      </c>
      <c r="BX1358"/>
      <c r="BY1358"/>
      <c r="BZ1358" s="4"/>
      <c r="CA1358"/>
      <c r="CB1358"/>
      <c r="CC1358" s="4"/>
      <c r="CD1358" t="inlineStr">
        <is>
          <t>5</t>
        </is>
      </c>
      <c r="CE1358" t="inlineStr">
        <is>
          <t>0</t>
        </is>
      </c>
      <c r="CF1358" t="inlineStr">
        <is>
          <t>Q2-W03</t>
        </is>
      </c>
      <c r="CG1358"/>
      <c r="CH1358"/>
      <c r="CI1358"/>
      <c r="CJ1358" t="inlineStr">
        <is>
          <t>Paid</t>
        </is>
      </c>
      <c r="CK1358" t="inlineStr">
        <is>
          <t>Eligible</t>
        </is>
      </c>
      <c r="CL1358"/>
      <c r="CM1358"/>
    </row>
    <row r="1359" ht="25.5" customHeight="1">
      <c r="A1359" t="inlineStr">
        <is>
          <t>203511</t>
        </is>
      </c>
      <c r="B1359" s="2"/>
      <c r="C1359"/>
      <c r="D1359" s="3">
        <v>46134.6172337963</v>
      </c>
      <c r="E1359" t="inlineStr">
        <is>
          <t>Q2-W03</t>
        </is>
      </c>
      <c r="F1359" t="inlineStr">
        <is>
          <t>Jess</t>
        </is>
      </c>
      <c r="G1359" t="inlineStr">
        <is>
          <t>Customer</t>
        </is>
      </c>
      <c r="H1359" s="2" t="str">
        <f>=HYPERLINK("https://upbox.ajobthing.my/customer/203511", "https://upbox.ajobthing.my/customer/203511")</f>
        <v>https://upbox.ajobthing.my/customer/203511</v>
      </c>
      <c r="I1359" t="inlineStr">
        <is>
          <t>NH Prima International Sdn Bhd</t>
        </is>
      </c>
      <c r="J1359" t="inlineStr">
        <is>
          <t>Whale</t>
        </is>
      </c>
      <c r="K1359" t="inlineStr">
        <is>
          <t>Jess Lim</t>
        </is>
      </c>
      <c r="L1359" s="4"/>
      <c r="M1359" s="4">
        <v>46134.05111111111</v>
      </c>
      <c r="N1359"/>
      <c r="O1359">
        <v>10800</v>
      </c>
      <c r="P1359" s="4"/>
      <c r="Q1359" s="4">
        <v>46141.67287037037</v>
      </c>
      <c r="R1359"/>
      <c r="S1359">
        <v>10800</v>
      </c>
      <c r="T1359" s="4">
        <v>46141.67287037037</v>
      </c>
      <c r="U1359" s="4"/>
      <c r="V1359"/>
      <c r="W1359">
        <v>10800</v>
      </c>
      <c r="X1359"/>
      <c r="Y1359" t="inlineStr">
        <is>
          <t>Pending Appointment</t>
        </is>
      </c>
      <c r="Z1359" t="inlineStr">
        <is>
          <t>Hiring Now</t>
        </is>
      </c>
      <c r="AA1359">
        <v>10</v>
      </c>
      <c r="AB1359" t="inlineStr">
        <is>
          <t>No Appointment Made</t>
        </is>
      </c>
      <c r="AC1359"/>
      <c r="AD1359" t="inlineStr">
        <is>
          <t>retail 10 all state in malaysia</t>
        </is>
      </c>
      <c r="AE1359"/>
      <c r="AF1359">
        <v>10000</v>
      </c>
      <c r="AG1359" s="4"/>
      <c r="AH1359" s="4"/>
      <c r="AI1359"/>
      <c r="AJ1359">
        <v>3</v>
      </c>
      <c r="AK1359" t="inlineStr">
        <is>
          <t>No, I don't need at all</t>
        </is>
      </c>
      <c r="AL1359">
        <v>4</v>
      </c>
      <c r="AM1359" t="inlineStr">
        <is>
          <t>No, I don't need at all</t>
        </is>
      </c>
      <c r="AN1359"/>
      <c r="AO1359" t="inlineStr">
        <is>
          <t>No, I don't need at all</t>
        </is>
      </c>
      <c r="AP1359" t="inlineStr">
        <is>
          <t>Every month (100%)</t>
        </is>
      </c>
      <c r="AQ1359"/>
      <c r="AR1359" t="inlineStr">
        <is>
          <t>Jobstreet</t>
        </is>
      </c>
      <c r="AS1359" t="inlineStr">
        <is>
          <t>- Headcount: 10
- Hiring Job Details: retail 10 all state in malaysia
- Hiring Urgency: Hiring Now
- Number of outlets: 3
- Have recruiter team: No, I don't need at all
- Number of recruiter in company: 4
- Have ATS system: No, I don't need at all
- Have career website: No, I don't need at all
- Current hiring budget: RM10,000.00
- Whole year budget: 
- Whole year number of vacancies: 
- Hiring frequency: Every month (100%)
- External job portal: Jobstreet</t>
        </is>
      </c>
      <c r="AT1359">
        <v>100</v>
      </c>
      <c r="AU1359" t="inlineStr">
        <is>
          <t>1.00</t>
        </is>
      </c>
      <c r="AV1359" t="inlineStr">
        <is>
          <t>20</t>
        </is>
      </c>
      <c r="AW1359" t="inlineStr">
        <is>
          <t>0</t>
        </is>
      </c>
      <c r="AX1359" t="inlineStr">
        <is>
          <t>Not Qualified</t>
        </is>
      </c>
      <c r="AY1359" s="4"/>
      <c r="AZ1359"/>
      <c r="BA1359"/>
      <c r="BB1359"/>
      <c r="BC1359" t="inlineStr">
        <is>
          <t>ask for documentation</t>
        </is>
      </c>
      <c r="BD1359" s="4">
        <v>46142.48983796296</v>
      </c>
      <c r="BE1359" t="inlineStr">
        <is>
          <t>paid</t>
        </is>
      </c>
      <c r="BF1359" t="inlineStr">
        <is>
          <t>Q2-W04</t>
        </is>
      </c>
      <c r="BG1359" t="inlineStr">
        <is>
          <t>Reschedule</t>
        </is>
      </c>
      <c r="BH1359" t="inlineStr">
        <is>
          <t>Fauziah Maharan</t>
        </is>
      </c>
      <c r="BI1359"/>
      <c r="BJ1359" s="4">
        <v>46144.754328703704</v>
      </c>
      <c r="BK1359" s="4">
        <v>46134.384421296294</v>
      </c>
      <c r="BL1359" t="inlineStr">
        <is>
          <t>10800.0</t>
        </is>
      </c>
      <c r="BM1359" t="inlineStr">
        <is>
          <t>0.0</t>
        </is>
      </c>
      <c r="BN1359" t="inlineStr">
        <is>
          <t>User Visit(Logged In)</t>
        </is>
      </c>
      <c r="BO1359" s="4">
        <v>46142.42644675926</v>
      </c>
      <c r="BP1359">
        <v>168175</v>
      </c>
      <c r="BQ1359">
        <v>7673</v>
      </c>
      <c r="BR1359" t="inlineStr">
        <is>
          <t>Manual (Paid)</t>
        </is>
      </c>
      <c r="BS1359" t="inlineStr">
        <is>
          <t>Job Ad 365 - SME 100
- Job Ad 365 (SME 100)
- Monthly quota of 20 Job Ads
- Total 240 Job Ads a year
- Each Job Ad will be published on Maukerja, Ricebowl and our partner platforms
- Each Job Ad lists for 30 days
- 1 Free Company Page (Brand Premium)
- AI Daily Talent Recommendation for up to 2 profiles per job
- AI Post Job Assistant</t>
        </is>
      </c>
      <c r="BT1359">
        <v>7673</v>
      </c>
      <c r="BU1359"/>
      <c r="BV1359">
        <v>2737223</v>
      </c>
      <c r="BW1359" t="inlineStr">
        <is>
          <t>Follow Up : Win - Customer Paid</t>
        </is>
      </c>
      <c r="BX1359">
        <v>240</v>
      </c>
      <c r="BY1359">
        <v>240</v>
      </c>
      <c r="BZ1359" s="4"/>
      <c r="CA1359"/>
      <c r="CB1359"/>
      <c r="CC1359" s="4"/>
      <c r="CD1359" t="inlineStr">
        <is>
          <t>30</t>
        </is>
      </c>
      <c r="CE1359" t="inlineStr">
        <is>
          <t>0</t>
        </is>
      </c>
      <c r="CF1359" t="inlineStr">
        <is>
          <t>Q2-W03</t>
        </is>
      </c>
      <c r="CG1359" t="inlineStr">
        <is>
          <t>Q2-W04</t>
        </is>
      </c>
      <c r="CH1359" t="inlineStr">
        <is>
          <t>Q2-W04</t>
        </is>
      </c>
      <c r="CI1359"/>
      <c r="CJ1359" t="inlineStr">
        <is>
          <t>Paid</t>
        </is>
      </c>
      <c r="CK1359" t="inlineStr">
        <is>
          <t>Eligible</t>
        </is>
      </c>
      <c r="CL1359"/>
      <c r="CM1359"/>
    </row>
    <row r="1360" ht="25.5" customHeight="1">
      <c r="A1360" t="inlineStr">
        <is>
          <t>15281</t>
        </is>
      </c>
      <c r="B1360" s="2"/>
      <c r="C1360"/>
      <c r="D1360" s="3">
        <v>46134.62369212963</v>
      </c>
      <c r="E1360" t="inlineStr">
        <is>
          <t>Q2-W03</t>
        </is>
      </c>
      <c r="F1360" t="inlineStr">
        <is>
          <t>Yvonne Lee</t>
        </is>
      </c>
      <c r="G1360" t="inlineStr">
        <is>
          <t>Customer</t>
        </is>
      </c>
      <c r="H1360" s="2" t="str">
        <f>=HYPERLINK("https://upbox.ajobthing.my/customer/15281", "https://upbox.ajobthing.my/customer/15281")</f>
        <v>https://upbox.ajobthing.my/customer/15281</v>
      </c>
      <c r="I1360" t="inlineStr">
        <is>
          <t>Ahmad Zaki Resources Berhad</t>
        </is>
      </c>
      <c r="J1360" t="inlineStr">
        <is>
          <t>Whale</t>
        </is>
      </c>
      <c r="K1360" t="inlineStr">
        <is>
          <t>Yvonne</t>
        </is>
      </c>
      <c r="L1360" s="4"/>
      <c r="M1360" s="4">
        <v>46134.48737268519</v>
      </c>
      <c r="N1360"/>
      <c r="O1360">
        <v>1728</v>
      </c>
      <c r="P1360" s="4"/>
      <c r="Q1360" s="4">
        <v>46136.63297453704</v>
      </c>
      <c r="R1360"/>
      <c r="S1360">
        <v>0</v>
      </c>
      <c r="T1360" s="4"/>
      <c r="U1360" s="4"/>
      <c r="V1360"/>
      <c r="W1360"/>
      <c r="X1360"/>
      <c r="Y1360" t="inlineStr">
        <is>
          <t>Pending Appointment</t>
        </is>
      </c>
      <c r="Z1360" t="inlineStr">
        <is>
          <t>Hiring Now</t>
        </is>
      </c>
      <c r="AA1360">
        <v>4</v>
      </c>
      <c r="AB1360" t="inlineStr">
        <is>
          <t>Appointment Made</t>
        </is>
      </c>
      <c r="AC1360"/>
      <c r="AD1360" t="inlineStr">
        <is>
          <t>1) Assistant Manager
2) Sales &amp; Marketing Executive
3) Senior Executive
4) Group Legal Executive
</t>
        </is>
      </c>
      <c r="AE1360"/>
      <c r="AF1360">
        <v>10000</v>
      </c>
      <c r="AG1360" s="4"/>
      <c r="AH1360" s="4"/>
      <c r="AI1360">
        <v>10000</v>
      </c>
      <c r="AJ1360">
        <v>1</v>
      </c>
      <c r="AK1360" t="inlineStr">
        <is>
          <t>Yes, I have</t>
        </is>
      </c>
      <c r="AL1360">
        <v>2</v>
      </c>
      <c r="AM1360" t="inlineStr">
        <is>
          <t>No, I don't need at all</t>
        </is>
      </c>
      <c r="AN1360"/>
      <c r="AO1360" t="inlineStr">
        <is>
          <t>Yes, I have</t>
        </is>
      </c>
      <c r="AP1360" t="inlineStr">
        <is>
          <t>Once per quarter (75%)</t>
        </is>
      </c>
      <c r="AQ1360">
        <v>30</v>
      </c>
      <c r="AR1360" t="inlineStr">
        <is>
          <t>Jobstreet, Linkedin (Paid)</t>
        </is>
      </c>
      <c r="AS1360" t="inlineStr">
        <is>
          <t>- Headcount: 4
- Hiring Job Details: 1) Assistant Manager, 2) Sales &amp; Marketing Executive, 3) Senior Executive, 4) Group Legal Executive
- Hiring Urgency: Hiring Now
- Number of outlets: 1
- Have recruiter team: Yes
- Number of recruiter in company: 2
- Have ATS system: No, I don't need at all
- Have career website: Yes
- Current hiring budget: RM10,000
- Whole year budget: RM10,000.00
- Whole year number of vacancies: 30
- Hiring frequency: Once per quarter (75%)
- External job portal: Jobstreet, Linkedin (Paid)</t>
        </is>
      </c>
      <c r="AT1360">
        <v>75</v>
      </c>
      <c r="AU1360" t="inlineStr">
        <is>
          <t>0.75</t>
        </is>
      </c>
      <c r="AV1360" t="inlineStr">
        <is>
          <t>15</t>
        </is>
      </c>
      <c r="AW1360" t="inlineStr">
        <is>
          <t>0</t>
        </is>
      </c>
      <c r="AX1360" t="inlineStr">
        <is>
          <t>Not Qualified</t>
        </is>
      </c>
      <c r="AY1360" s="4"/>
      <c r="AZ1360"/>
      <c r="BA1360"/>
      <c r="BB1360"/>
      <c r="BC1360" t="inlineStr">
        <is>
          <t>Requesting boost posting for free job postings.</t>
        </is>
      </c>
      <c r="BD1360" s="4">
        <v>46142.41446759259</v>
      </c>
      <c r="BE1360" t="inlineStr">
        <is>
          <t>paid</t>
        </is>
      </c>
      <c r="BF1360"/>
      <c r="BG1360" t="inlineStr">
        <is>
          <t>Reschedule</t>
        </is>
      </c>
      <c r="BH1360" t="inlineStr">
        <is>
          <t>andy@ajobthing.com</t>
        </is>
      </c>
      <c r="BI1360"/>
      <c r="BJ1360" s="4">
        <v>46144.750914351855</v>
      </c>
      <c r="BK1360" s="4">
        <v>42478.856574074074</v>
      </c>
      <c r="BL1360" t="inlineStr">
        <is>
          <t>0.0</t>
        </is>
      </c>
      <c r="BM1360" t="inlineStr">
        <is>
          <t>6000.0</t>
        </is>
      </c>
      <c r="BN1360" t="inlineStr">
        <is>
          <t>View Company Page</t>
        </is>
      </c>
      <c r="BO1360" s="4">
        <v>46142.649618055555</v>
      </c>
      <c r="BP1360">
        <v>168259</v>
      </c>
      <c r="BQ1360">
        <v>123681</v>
      </c>
      <c r="BR1360" t="inlineStr">
        <is>
          <t>Proforma</t>
        </is>
      </c>
      <c r="BS1360" t="inlineStr">
        <is>
          <t>Job Ad 365 - SME 100 Free Trial</t>
        </is>
      </c>
      <c r="BT1360"/>
      <c r="BU1360"/>
      <c r="BV1360">
        <v>2736613</v>
      </c>
      <c r="BW1360" t="inlineStr">
        <is>
          <t>Inquire for Hiring Needs : Budget Concern</t>
        </is>
      </c>
      <c r="BX1360">
        <v>300</v>
      </c>
      <c r="BY1360">
        <v>295</v>
      </c>
      <c r="BZ1360" s="4">
        <v>46142.48224537037</v>
      </c>
      <c r="CA1360"/>
      <c r="CB1360"/>
      <c r="CC1360" s="4"/>
      <c r="CD1360" t="inlineStr">
        <is>
          <t>20</t>
        </is>
      </c>
      <c r="CE1360" t="inlineStr">
        <is>
          <t>0</t>
        </is>
      </c>
      <c r="CF1360" t="inlineStr">
        <is>
          <t>Q2-W03</t>
        </is>
      </c>
      <c r="CG1360" t="inlineStr">
        <is>
          <t>Q2-W04</t>
        </is>
      </c>
      <c r="CH1360"/>
      <c r="CI1360"/>
      <c r="CJ1360" t="inlineStr">
        <is>
          <t>No Paid</t>
        </is>
      </c>
      <c r="CK1360" t="inlineStr">
        <is>
          <t>Eligible</t>
        </is>
      </c>
      <c r="CL1360"/>
      <c r="CM1360"/>
    </row>
    <row r="1361" ht="25.5" customHeight="1">
      <c r="A1361" t="inlineStr">
        <is>
          <t>44039</t>
        </is>
      </c>
      <c r="B1361" s="2"/>
      <c r="C1361"/>
      <c r="D1361" s="3">
        <v>46134.65008101852</v>
      </c>
      <c r="E1361" t="inlineStr">
        <is>
          <t>Q2-W03</t>
        </is>
      </c>
      <c r="F1361" t="inlineStr">
        <is>
          <t>Yuli</t>
        </is>
      </c>
      <c r="G1361" t="inlineStr">
        <is>
          <t>Customer</t>
        </is>
      </c>
      <c r="H1361" s="2" t="str">
        <f>=HYPERLINK("https://upbox.ajobthing.my/customer/44039", "https://upbox.ajobthing.my/customer/44039")</f>
        <v>https://upbox.ajobthing.my/customer/44039</v>
      </c>
      <c r="I1361" t="inlineStr">
        <is>
          <t>Hor Cheng Chang Enterprise Sdn. Bhd.	</t>
        </is>
      </c>
      <c r="J1361" t="inlineStr">
        <is>
          <t>Whale</t>
        </is>
      </c>
      <c r="K1361" t="inlineStr">
        <is>
          <t>YuLi</t>
        </is>
      </c>
      <c r="L1361" s="4"/>
      <c r="M1361" s="4">
        <v>46134.65060185185</v>
      </c>
      <c r="N1361"/>
      <c r="O1361">
        <v>3672</v>
      </c>
      <c r="P1361" s="4"/>
      <c r="Q1361" s="4">
        <v>46135.55243055556</v>
      </c>
      <c r="R1361"/>
      <c r="S1361">
        <v>864</v>
      </c>
      <c r="T1361" s="4">
        <v>46135.55243055556</v>
      </c>
      <c r="U1361" s="4"/>
      <c r="V1361"/>
      <c r="W1361">
        <v>864</v>
      </c>
      <c r="X1361"/>
      <c r="Y1361" t="inlineStr">
        <is>
          <t>Pending Appointment</t>
        </is>
      </c>
      <c r="Z1361" t="inlineStr">
        <is>
          <t>Hiring Now</t>
        </is>
      </c>
      <c r="AA1361">
        <v>1</v>
      </c>
      <c r="AB1361" t="inlineStr">
        <is>
          <t>No Appointment Made</t>
        </is>
      </c>
      <c r="AC1361"/>
      <c r="AD1361" t="inlineStr">
        <is>
          <t>1 Admin assistant</t>
        </is>
      </c>
      <c r="AE1361"/>
      <c r="AF1361"/>
      <c r="AG1361" s="4"/>
      <c r="AH1361" s="4"/>
      <c r="AI1361"/>
      <c r="AJ1361"/>
      <c r="AK1361" t="inlineStr">
        <is>
          <t>No, I don't need at all</t>
        </is>
      </c>
      <c r="AL1361"/>
      <c r="AM1361"/>
      <c r="AN1361"/>
      <c r="AO1361"/>
      <c r="AP1361"/>
      <c r="AQ1361"/>
      <c r="AR1361" t="inlineStr">
        <is>
          <t>Did not use any job portal</t>
        </is>
      </c>
      <c r="AS1361" t="inlineStr">
        <is>
          <t>- Headcount: 1
- Hiring Job Details: 1 Admin assistant
- Hiring Urgency: Hiring Now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is>
      </c>
      <c r="AT1361">
        <v>85</v>
      </c>
      <c r="AU1361" t="inlineStr">
        <is>
          <t>0.85</t>
        </is>
      </c>
      <c r="AV1361" t="inlineStr">
        <is>
          <t>5</t>
        </is>
      </c>
      <c r="AW1361" t="inlineStr">
        <is>
          <t>0</t>
        </is>
      </c>
      <c r="AX1361" t="inlineStr">
        <is>
          <t>Not Qualified</t>
        </is>
      </c>
      <c r="AY1361" s="4"/>
      <c r="AZ1361"/>
      <c r="BA1361"/>
      <c r="BB1361"/>
      <c r="BC1361" t="inlineStr">
        <is>
          <t>Received message from Xin Ying ask to edit the work locations</t>
        </is>
      </c>
      <c r="BD1361" s="4">
        <v>46140.66371527778</v>
      </c>
      <c r="BE1361" t="inlineStr">
        <is>
          <t>paid</t>
        </is>
      </c>
      <c r="BF1361" t="inlineStr">
        <is>
          <t>Q2-W03</t>
        </is>
      </c>
      <c r="BG1361" t="inlineStr">
        <is>
          <t>Reschedule</t>
        </is>
      </c>
      <c r="BH1361" t="inlineStr">
        <is>
          <t>Fauziah Maharan</t>
        </is>
      </c>
      <c r="BI1361" t="inlineStr">
        <is>
          <t>Retail / Merchandise</t>
        </is>
      </c>
      <c r="BJ1361" s="4">
        <v>46144.7559837963</v>
      </c>
      <c r="BK1361" s="4">
        <v>43064.03658564815</v>
      </c>
      <c r="BL1361" t="inlineStr">
        <is>
          <t>1728.0</t>
        </is>
      </c>
      <c r="BM1361" t="inlineStr">
        <is>
          <t>0.0</t>
        </is>
      </c>
      <c r="BN1361" t="inlineStr">
        <is>
          <t>View Company Page</t>
        </is>
      </c>
      <c r="BO1361" s="4">
        <v>46141.65791666666</v>
      </c>
      <c r="BP1361">
        <v>168353</v>
      </c>
      <c r="BQ1361">
        <v>94666</v>
      </c>
      <c r="BR1361" t="inlineStr">
        <is>
          <t>Online</t>
        </is>
      </c>
      <c r="BS1361"/>
      <c r="BT1361">
        <v>94666</v>
      </c>
      <c r="BU1361"/>
      <c r="BV1361">
        <v>2733251</v>
      </c>
      <c r="BW1361" t="inlineStr">
        <is>
          <t>Service / Technical : Job Outcome Enquiry</t>
        </is>
      </c>
      <c r="BX1361">
        <v>1</v>
      </c>
      <c r="BY1361">
        <v>0</v>
      </c>
      <c r="BZ1361" s="4">
        <v>46135.569085648145</v>
      </c>
      <c r="CA1361">
        <v>10</v>
      </c>
      <c r="CB1361">
        <v>10</v>
      </c>
      <c r="CC1361" s="4"/>
      <c r="CD1361" t="inlineStr">
        <is>
          <t>5</t>
        </is>
      </c>
      <c r="CE1361" t="inlineStr">
        <is>
          <t>0</t>
        </is>
      </c>
      <c r="CF1361" t="inlineStr">
        <is>
          <t>Q2-W03</t>
        </is>
      </c>
      <c r="CG1361" t="inlineStr">
        <is>
          <t>Q2-W03</t>
        </is>
      </c>
      <c r="CH1361" t="inlineStr">
        <is>
          <t>Q2-W03</t>
        </is>
      </c>
      <c r="CI1361"/>
      <c r="CJ1361" t="inlineStr">
        <is>
          <t>Paid</t>
        </is>
      </c>
      <c r="CK1361" t="inlineStr">
        <is>
          <t>Eligible</t>
        </is>
      </c>
      <c r="CL1361"/>
      <c r="CM1361"/>
    </row>
    <row r="1362" ht="25.5" customHeight="1">
      <c r="A1362" t="inlineStr">
        <is>
          <t>189229</t>
        </is>
      </c>
      <c r="B1362" s="2"/>
      <c r="C1362"/>
      <c r="D1362" s="3">
        <v>46134.66971064815</v>
      </c>
      <c r="E1362" t="inlineStr">
        <is>
          <t>Q2-W03</t>
        </is>
      </c>
      <c r="F1362" t="inlineStr">
        <is>
          <t>Evan</t>
        </is>
      </c>
      <c r="G1362" t="inlineStr">
        <is>
          <t>Customer</t>
        </is>
      </c>
      <c r="H1362" s="2" t="str">
        <f>=HYPERLINK("https://upbox.ajobthing.my/customer/189229", "https://upbox.ajobthing.my/customer/189229")</f>
        <v>https://upbox.ajobthing.my/customer/189229</v>
      </c>
      <c r="I1362" t="inlineStr">
        <is>
          <t>Farada Holdings Sdn Bhd</t>
        </is>
      </c>
      <c r="J1362" t="inlineStr">
        <is>
          <t>Whale</t>
        </is>
      </c>
      <c r="K1362" t="inlineStr">
        <is>
          <t>Evan</t>
        </is>
      </c>
      <c r="L1362" s="4"/>
      <c r="M1362" s="4">
        <v>46134.63196759259</v>
      </c>
      <c r="N1362"/>
      <c r="O1362">
        <v>1296</v>
      </c>
      <c r="P1362" s="4"/>
      <c r="Q1362" s="4">
        <v>45758.718148148146</v>
      </c>
      <c r="R1362"/>
      <c r="S1362">
        <v>1188</v>
      </c>
      <c r="T1362" s="4">
        <v>45758.718148148146</v>
      </c>
      <c r="U1362" s="4"/>
      <c r="V1362"/>
      <c r="W1362">
        <v>1188</v>
      </c>
      <c r="X1362"/>
      <c r="Y1362" t="inlineStr">
        <is>
          <t>Pending Appointment</t>
        </is>
      </c>
      <c r="Z1362" t="inlineStr">
        <is>
          <t>Hiring Now</t>
        </is>
      </c>
      <c r="AA1362">
        <v>1</v>
      </c>
      <c r="AB1362" t="inlineStr">
        <is>
          <t>No Appointment Made</t>
        </is>
      </c>
      <c r="AC1362"/>
      <c r="AD1362" t="inlineStr">
        <is>
          <t>1 editor, all base in KL</t>
        </is>
      </c>
      <c r="AE1362"/>
      <c r="AF1362">
        <v>1</v>
      </c>
      <c r="AG1362" s="4"/>
      <c r="AH1362" s="4"/>
      <c r="AI1362">
        <v>1</v>
      </c>
      <c r="AJ1362">
        <v>1</v>
      </c>
      <c r="AK1362" t="inlineStr">
        <is>
          <t>No, I don't need at all</t>
        </is>
      </c>
      <c r="AL1362">
        <v>0</v>
      </c>
      <c r="AM1362" t="inlineStr">
        <is>
          <t>No, I don't need at all</t>
        </is>
      </c>
      <c r="AN1362"/>
      <c r="AO1362" t="inlineStr">
        <is>
          <t>No, I don't need at all</t>
        </is>
      </c>
      <c r="AP1362" t="inlineStr">
        <is>
          <t>Once a year (25%)</t>
        </is>
      </c>
      <c r="AQ1362">
        <v>1</v>
      </c>
      <c r="AR1362" t="inlineStr">
        <is>
          <t>Did not use any job portal</t>
        </is>
      </c>
      <c r="AS1362" t="inlineStr">
        <is>
          <t>- Headcount: 1
- Hiring Job Details: 1 editor,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362">
        <v>110</v>
      </c>
      <c r="AU1362" t="inlineStr">
        <is>
          <t>1.10</t>
        </is>
      </c>
      <c r="AV1362" t="inlineStr">
        <is>
          <t>15</t>
        </is>
      </c>
      <c r="AW1362" t="inlineStr">
        <is>
          <t>0</t>
        </is>
      </c>
      <c r="AX1362" t="inlineStr">
        <is>
          <t>Not Qualified</t>
        </is>
      </c>
      <c r="AY1362" s="4"/>
      <c r="AZ1362"/>
      <c r="BA1362"/>
      <c r="BB1362"/>
      <c r="BC1362" t="inlineStr">
        <is>
          <t>pending boss</t>
        </is>
      </c>
      <c r="BD1362" s="4">
        <v>46135.587060185186</v>
      </c>
      <c r="BE1362" t="inlineStr">
        <is>
          <t>paid</t>
        </is>
      </c>
      <c r="BF1362"/>
      <c r="BG1362" t="inlineStr">
        <is>
          <t>Reschedule</t>
        </is>
      </c>
      <c r="BH1362" t="inlineStr">
        <is>
          <t>Edward Hoo</t>
        </is>
      </c>
      <c r="BI1362" t="inlineStr">
        <is>
          <t>Repair / Maintenance</t>
        </is>
      </c>
      <c r="BJ1362" s="4">
        <v>46144.75230324074</v>
      </c>
      <c r="BK1362" s="4">
        <v>45740.65042824074</v>
      </c>
      <c r="BL1362" t="inlineStr">
        <is>
          <t>0.0</t>
        </is>
      </c>
      <c r="BM1362" t="inlineStr">
        <is>
          <t>0.0</t>
        </is>
      </c>
      <c r="BN1362" t="inlineStr">
        <is>
          <t>View Candidate Search Page</t>
        </is>
      </c>
      <c r="BO1362" s="4">
        <v>46134.632048611114</v>
      </c>
      <c r="BP1362">
        <v>168333</v>
      </c>
      <c r="BQ1362">
        <v>78405</v>
      </c>
      <c r="BR1362" t="inlineStr">
        <is>
          <t>Online</t>
        </is>
      </c>
      <c r="BS1362"/>
      <c r="BT1362">
        <v>78405</v>
      </c>
      <c r="BU1362"/>
      <c r="BV1362">
        <v>2723346</v>
      </c>
      <c r="BW1362" t="inlineStr">
        <is>
          <t>Follow Up : Decision Pending</t>
        </is>
      </c>
      <c r="BX1362"/>
      <c r="BY1362"/>
      <c r="BZ1362" s="4"/>
      <c r="CA1362"/>
      <c r="CB1362"/>
      <c r="CC1362" s="4"/>
      <c r="CD1362" t="inlineStr">
        <is>
          <t>20</t>
        </is>
      </c>
      <c r="CE1362" t="inlineStr">
        <is>
          <t>0</t>
        </is>
      </c>
      <c r="CF1362" t="inlineStr">
        <is>
          <t>Q2-W03</t>
        </is>
      </c>
      <c r="CG1362"/>
      <c r="CH1362"/>
      <c r="CI1362"/>
      <c r="CJ1362" t="inlineStr">
        <is>
          <t>Paid</t>
        </is>
      </c>
      <c r="CK1362" t="inlineStr">
        <is>
          <t>Eligible</t>
        </is>
      </c>
      <c r="CL1362"/>
      <c r="CM1362"/>
    </row>
    <row r="1363" ht="25.5" customHeight="1">
      <c r="A1363" t="inlineStr">
        <is>
          <t>196123</t>
        </is>
      </c>
      <c r="B1363" s="2"/>
      <c r="C1363"/>
      <c r="D1363" s="3">
        <v>46134.67947916667</v>
      </c>
      <c r="E1363" t="inlineStr">
        <is>
          <t>Q2-W03</t>
        </is>
      </c>
      <c r="F1363" t="inlineStr">
        <is>
          <t>Eugene</t>
        </is>
      </c>
      <c r="G1363" t="inlineStr">
        <is>
          <t>Customer</t>
        </is>
      </c>
      <c r="H1363" s="2" t="str">
        <f>=HYPERLINK("https://upbox.ajobthing.my/customer/196123", "https://upbox.ajobthing.my/customer/196123")</f>
        <v>https://upbox.ajobthing.my/customer/196123</v>
      </c>
      <c r="I1363" t="inlineStr">
        <is>
          <t>Social Multiway Sdn Bhd</t>
        </is>
      </c>
      <c r="J1363" t="inlineStr">
        <is>
          <t>Whale</t>
        </is>
      </c>
      <c r="K1363" t="inlineStr">
        <is>
          <t>Eugene</t>
        </is>
      </c>
      <c r="L1363" s="4"/>
      <c r="M1363" s="4">
        <v>46134.67916666667</v>
      </c>
      <c r="N1363"/>
      <c r="O1363">
        <v>3888</v>
      </c>
      <c r="P1363" s="4"/>
      <c r="Q1363" s="4">
        <v>46139.421423611115</v>
      </c>
      <c r="R1363"/>
      <c r="S1363">
        <v>3672</v>
      </c>
      <c r="T1363" s="4">
        <v>46139.421423611115</v>
      </c>
      <c r="U1363" s="4"/>
      <c r="V1363"/>
      <c r="W1363">
        <v>3672</v>
      </c>
      <c r="X1363"/>
      <c r="Y1363" t="inlineStr">
        <is>
          <t>Pending Appointment</t>
        </is>
      </c>
      <c r="Z1363" t="inlineStr">
        <is>
          <t>Hiring Now</t>
        </is>
      </c>
      <c r="AA1363">
        <v>1</v>
      </c>
      <c r="AB1363" t="inlineStr">
        <is>
          <t>No Appointment Made</t>
        </is>
      </c>
      <c r="AC1363"/>
      <c r="AD1363" t="inlineStr">
        <is>
          <t>1 position, based in KL</t>
        </is>
      </c>
      <c r="AE1363"/>
      <c r="AF1363">
        <v>1000</v>
      </c>
      <c r="AG1363" s="4"/>
      <c r="AH1363" s="4"/>
      <c r="AI1363"/>
      <c r="AJ1363">
        <v>1</v>
      </c>
      <c r="AK1363"/>
      <c r="AL1363"/>
      <c r="AM1363"/>
      <c r="AN1363"/>
      <c r="AO1363"/>
      <c r="AP1363"/>
      <c r="AQ1363"/>
      <c r="AR1363" t="inlineStr">
        <is>
          <t>Free Job Portal</t>
        </is>
      </c>
      <c r="AS1363" t="inlineStr">
        <is>
          <t>- Headcount: 1
- Hiring Job Details: 1 position, based in KL
- Hiring Urgency: Hiring Now
- Number of outlets: 1
- Have recruiter team: Not specified
- Number of recruiter in company: Not specified
- Have ATS system: Not specified
- Have career website: Not specified
- Current hiring budget: RM1,000.00
- Whole year budget: Not specified
- Whole year number of vacancies: Not specified
- Hiring frequency: Not specified
- External job portal: Free Job Portal</t>
        </is>
      </c>
      <c r="AT1363">
        <v>75</v>
      </c>
      <c r="AU1363" t="inlineStr">
        <is>
          <t>0.75</t>
        </is>
      </c>
      <c r="AV1363" t="inlineStr">
        <is>
          <t>15</t>
        </is>
      </c>
      <c r="AW1363" t="inlineStr">
        <is>
          <t>0</t>
        </is>
      </c>
      <c r="AX1363" t="inlineStr">
        <is>
          <t>Not Qualified</t>
        </is>
      </c>
      <c r="AY1363" s="4"/>
      <c r="AZ1363"/>
      <c r="BA1363"/>
      <c r="BB1363"/>
      <c r="BC1363" t="inlineStr">
        <is>
          <t>won</t>
        </is>
      </c>
      <c r="BD1363" s="4">
        <v>46139.38506944444</v>
      </c>
      <c r="BE1363" t="inlineStr">
        <is>
          <t>paid</t>
        </is>
      </c>
      <c r="BF1363" t="inlineStr">
        <is>
          <t>Q2-W04</t>
        </is>
      </c>
      <c r="BG1363" t="inlineStr">
        <is>
          <t>Reschedule</t>
        </is>
      </c>
      <c r="BH1363" t="inlineStr">
        <is>
          <t>Edward Hoo</t>
        </is>
      </c>
      <c r="BI1363" t="inlineStr">
        <is>
          <t>IT / Software</t>
        </is>
      </c>
      <c r="BJ1363" s="4">
        <v>46144.7528125</v>
      </c>
      <c r="BK1363" s="4">
        <v>45915.00072916667</v>
      </c>
      <c r="BL1363" t="inlineStr">
        <is>
          <t>6912.0</t>
        </is>
      </c>
      <c r="BM1363" t="inlineStr">
        <is>
          <t>5400.0</t>
        </is>
      </c>
      <c r="BN1363" t="inlineStr">
        <is>
          <t>View Company Page</t>
        </is>
      </c>
      <c r="BO1363" s="4">
        <v>46144.56972222222</v>
      </c>
      <c r="BP1363">
        <v>168370</v>
      </c>
      <c r="BQ1363">
        <v>94778</v>
      </c>
      <c r="BR1363" t="inlineStr">
        <is>
          <t>Online</t>
        </is>
      </c>
      <c r="BS1363"/>
      <c r="BT1363">
        <v>94778</v>
      </c>
      <c r="BU1363"/>
      <c r="BV1363">
        <v>2728094</v>
      </c>
      <c r="BW1363" t="inlineStr">
        <is>
          <t>Follow Up : Win - Customer Paid</t>
        </is>
      </c>
      <c r="BX1363">
        <v>6</v>
      </c>
      <c r="BY1363">
        <v>5</v>
      </c>
      <c r="BZ1363" s="4">
        <v>46141.16347222222</v>
      </c>
      <c r="CA1363">
        <v>60</v>
      </c>
      <c r="CB1363">
        <v>60</v>
      </c>
      <c r="CC1363" s="4"/>
      <c r="CD1363" t="inlineStr">
        <is>
          <t>20</t>
        </is>
      </c>
      <c r="CE1363" t="inlineStr">
        <is>
          <t>0</t>
        </is>
      </c>
      <c r="CF1363" t="inlineStr">
        <is>
          <t>Q2-W03</t>
        </is>
      </c>
      <c r="CG1363" t="inlineStr">
        <is>
          <t>Q2-W04</t>
        </is>
      </c>
      <c r="CH1363" t="inlineStr">
        <is>
          <t>Q2-W04</t>
        </is>
      </c>
      <c r="CI1363"/>
      <c r="CJ1363" t="inlineStr">
        <is>
          <t>Paid</t>
        </is>
      </c>
      <c r="CK1363" t="inlineStr">
        <is>
          <t>Eligible</t>
        </is>
      </c>
      <c r="CL1363"/>
      <c r="CM1363"/>
    </row>
    <row r="1364" ht="25.5" customHeight="1">
      <c r="A1364" t="inlineStr">
        <is>
          <t>148545</t>
        </is>
      </c>
      <c r="B1364" s="2"/>
      <c r="C1364"/>
      <c r="D1364" s="3">
        <v>46134.68746527778</v>
      </c>
      <c r="E1364" t="inlineStr">
        <is>
          <t>Q2-W03</t>
        </is>
      </c>
      <c r="F1364" t="inlineStr">
        <is>
          <t>Yuli</t>
        </is>
      </c>
      <c r="G1364" t="inlineStr">
        <is>
          <t>Customer</t>
        </is>
      </c>
      <c r="H1364" s="2" t="str">
        <f>=HYPERLINK("https://upbox.ajobthing.my/customer/148545", "https://upbox.ajobthing.my/customer/148545")</f>
        <v>https://upbox.ajobthing.my/customer/148545</v>
      </c>
      <c r="I1364" t="inlineStr">
        <is>
          <t>AML Shipping Sdn Bhd</t>
        </is>
      </c>
      <c r="J1364" t="inlineStr">
        <is>
          <t>Whale</t>
        </is>
      </c>
      <c r="K1364" t="inlineStr">
        <is>
          <t>YuLi</t>
        </is>
      </c>
      <c r="L1364" s="4"/>
      <c r="M1364" s="4">
        <v>46140.50612268518</v>
      </c>
      <c r="N1364"/>
      <c r="O1364">
        <v>10381</v>
      </c>
      <c r="P1364" s="4"/>
      <c r="Q1364" s="4">
        <v>45877.4141087963</v>
      </c>
      <c r="R1364"/>
      <c r="S1364">
        <v>5832</v>
      </c>
      <c r="T1364" s="4">
        <v>45877.4141087963</v>
      </c>
      <c r="U1364" s="4"/>
      <c r="V1364"/>
      <c r="W1364">
        <v>5832</v>
      </c>
      <c r="X1364"/>
      <c r="Y1364" t="inlineStr">
        <is>
          <t>Pending Appointment</t>
        </is>
      </c>
      <c r="Z1364" t="inlineStr">
        <is>
          <t>Hiring Now</t>
        </is>
      </c>
      <c r="AA1364">
        <v>3</v>
      </c>
      <c r="AB1364" t="inlineStr">
        <is>
          <t>No Appointment Made</t>
        </is>
      </c>
      <c r="AC1364"/>
      <c r="AD1364" t="inlineStr">
        <is>
          <t>Sales Executive
Accounts Assistant
Admin Officer</t>
        </is>
      </c>
      <c r="AE1364"/>
      <c r="AF1364"/>
      <c r="AG1364" s="4"/>
      <c r="AH1364" s="4"/>
      <c r="AI1364"/>
      <c r="AJ1364"/>
      <c r="AK1364"/>
      <c r="AL1364"/>
      <c r="AM1364"/>
      <c r="AN1364"/>
      <c r="AO1364"/>
      <c r="AP1364" t="inlineStr">
        <is>
          <t>Every month (100%)</t>
        </is>
      </c>
      <c r="AQ1364"/>
      <c r="AR1364" t="inlineStr">
        <is>
          <t>Jobstreet</t>
        </is>
      </c>
      <c r="AS1364" t="inlineStr">
        <is>
          <t>- Headcount: 3
- Hiring Job Details: Sales Executive, Accounts Assistant, Admin Officer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Jobstreet</t>
        </is>
      </c>
      <c r="AT1364">
        <v>75</v>
      </c>
      <c r="AU1364" t="inlineStr">
        <is>
          <t>0.75</t>
        </is>
      </c>
      <c r="AV1364" t="inlineStr">
        <is>
          <t>5</t>
        </is>
      </c>
      <c r="AW1364" t="inlineStr">
        <is>
          <t>0</t>
        </is>
      </c>
      <c r="AX1364" t="inlineStr">
        <is>
          <t>Not Qualified</t>
        </is>
      </c>
      <c r="AY1364" s="4"/>
      <c r="AZ1364"/>
      <c r="BA1364"/>
      <c r="BB1364"/>
      <c r="BC1364" t="inlineStr">
        <is>
          <t>as per Jennie, her boss was on leave only can come back next week</t>
        </is>
      </c>
      <c r="BD1364" s="4">
        <v>46142.51082175926</v>
      </c>
      <c r="BE1364" t="inlineStr">
        <is>
          <t>paid</t>
        </is>
      </c>
      <c r="BF1364"/>
      <c r="BG1364" t="inlineStr">
        <is>
          <t>Reschedule</t>
        </is>
      </c>
      <c r="BH1364" t="inlineStr">
        <is>
          <t>Fauziah Maharan</t>
        </is>
      </c>
      <c r="BI1364" t="inlineStr">
        <is>
          <t>Transportation / Logistics</t>
        </is>
      </c>
      <c r="BJ1364" s="4">
        <v>46144.75079861111</v>
      </c>
      <c r="BK1364" s="4">
        <v>44608.46771990741</v>
      </c>
      <c r="BL1364" t="inlineStr">
        <is>
          <t>5832.0</t>
        </is>
      </c>
      <c r="BM1364" t="inlineStr">
        <is>
          <t>0.0</t>
        </is>
      </c>
      <c r="BN1364" t="inlineStr">
        <is>
          <t>User Visit(Logged In)</t>
        </is>
      </c>
      <c r="BO1364" s="4">
        <v>46134.688564814816</v>
      </c>
      <c r="BP1364">
        <v>169220</v>
      </c>
      <c r="BQ1364">
        <v>6211</v>
      </c>
      <c r="BR1364" t="inlineStr">
        <is>
          <t>Manual (Paid)</t>
        </is>
      </c>
      <c r="BS1364" t="inlineStr">
        <is>
          <t>AI Yearly Professional Plan-Rm 200 discount
- AI Yearly Professional Plan of 6 Instant Job Ads + 6 Free Instant Job Ads with Booster
- 12 AI Job Ad will be published on Maukerja, Ricebowl and our partner platforms
- 12 AI Job Ad will be published for 45 days
- 12 Booster Plus
- 120 Free Candidates Profiles Unlock
- 6 Free Intern or Manager Job
- 1 Free Company Page (Brand Basic)
- Package valid for 1 year
- AI Capability for each AI Job Ad
- AI Instant Match for 50 profiles
- AI Daily Talent Recommendation for 10 profiles daily
- AI "Open to Work" Detector for 10 profiles for 10 days
- AI Smart Filter
- AI Post Job Assistant
- AI Pre-Call Notifier
- Ajobthing CARE</t>
        </is>
      </c>
      <c r="BT1364">
        <v>6211</v>
      </c>
      <c r="BU1364"/>
      <c r="BV1364">
        <v>2737364</v>
      </c>
      <c r="BW1364" t="inlineStr">
        <is>
          <t>Follow Up : Decision Pending</t>
        </is>
      </c>
      <c r="BX1364">
        <v>12</v>
      </c>
      <c r="BY1364">
        <v>0</v>
      </c>
      <c r="BZ1364" s="4">
        <v>46134.68145833333</v>
      </c>
      <c r="CA1364">
        <v>120</v>
      </c>
      <c r="CB1364">
        <v>48</v>
      </c>
      <c r="CC1364" s="4">
        <v>46012.82572916667</v>
      </c>
      <c r="CD1364" t="inlineStr">
        <is>
          <t>5</t>
        </is>
      </c>
      <c r="CE1364" t="inlineStr">
        <is>
          <t>0</t>
        </is>
      </c>
      <c r="CF1364" t="inlineStr">
        <is>
          <t>Q2-W04</t>
        </is>
      </c>
      <c r="CG1364"/>
      <c r="CH1364"/>
      <c r="CI1364"/>
      <c r="CJ1364" t="inlineStr">
        <is>
          <t>Paid</t>
        </is>
      </c>
      <c r="CK1364" t="inlineStr">
        <is>
          <t>Eligible</t>
        </is>
      </c>
      <c r="CL1364"/>
      <c r="CM1364"/>
    </row>
    <row r="1365" ht="25.5" customHeight="1">
      <c r="A1365" t="inlineStr">
        <is>
          <t>179754</t>
        </is>
      </c>
      <c r="B1365" s="2"/>
      <c r="C1365"/>
      <c r="D1365" s="3">
        <v>46134.68921296296</v>
      </c>
      <c r="E1365" t="inlineStr">
        <is>
          <t>Q2-W03</t>
        </is>
      </c>
      <c r="F1365" t="inlineStr">
        <is>
          <t>Yvonne Lee</t>
        </is>
      </c>
      <c r="G1365" t="inlineStr">
        <is>
          <t>Customer</t>
        </is>
      </c>
      <c r="H1365" s="2" t="str">
        <f>=HYPERLINK("https://upbox.ajobthing.my/customer/179754", "https://upbox.ajobthing.my/customer/179754")</f>
        <v>https://upbox.ajobthing.my/customer/179754</v>
      </c>
      <c r="I1365" t="inlineStr">
        <is>
          <t>Mokky Food Service (M) Sdn Bhd</t>
        </is>
      </c>
      <c r="J1365" t="inlineStr">
        <is>
          <t>Whale</t>
        </is>
      </c>
      <c r="K1365" t="inlineStr">
        <is>
          <t>Yvonne</t>
        </is>
      </c>
      <c r="L1365" s="4"/>
      <c r="M1365" s="4">
        <v>46134.69260416667</v>
      </c>
      <c r="N1365"/>
      <c r="O1365">
        <v>21600</v>
      </c>
      <c r="P1365" s="4"/>
      <c r="Q1365" s="4">
        <v>46133.78512731481</v>
      </c>
      <c r="R1365"/>
      <c r="S1365">
        <v>0</v>
      </c>
      <c r="T1365" s="4">
        <v>45959.43791666667</v>
      </c>
      <c r="U1365" s="4"/>
      <c r="V1365"/>
      <c r="W1365">
        <v>6048</v>
      </c>
      <c r="X1365"/>
      <c r="Y1365" t="inlineStr">
        <is>
          <t>Pending Appointment</t>
        </is>
      </c>
      <c r="Z1365" t="inlineStr">
        <is>
          <t>Hiring Later</t>
        </is>
      </c>
      <c r="AA1365">
        <v>3</v>
      </c>
      <c r="AB1365" t="inlineStr">
        <is>
          <t>No Appointment Made</t>
        </is>
      </c>
      <c r="AC1365"/>
      <c r="AD1365" t="inlineStr">
        <is>
          <t>1) F&amp;B Supervisor
2) Chef De parte
3) Senior Restaurant</t>
        </is>
      </c>
      <c r="AE1365"/>
      <c r="AF1365">
        <v>12000</v>
      </c>
      <c r="AG1365" s="4"/>
      <c r="AH1365" s="4"/>
      <c r="AI1365">
        <v>12000</v>
      </c>
      <c r="AJ1365">
        <v>8</v>
      </c>
      <c r="AK1365" t="inlineStr">
        <is>
          <t>Yes, I have</t>
        </is>
      </c>
      <c r="AL1365">
        <v>2</v>
      </c>
      <c r="AM1365" t="inlineStr">
        <is>
          <t>No, but I want in future</t>
        </is>
      </c>
      <c r="AN1365"/>
      <c r="AO1365" t="inlineStr">
        <is>
          <t>No, I don't need at all</t>
        </is>
      </c>
      <c r="AP1365" t="inlineStr">
        <is>
          <t>Once per quarter (75%)</t>
        </is>
      </c>
      <c r="AQ1365">
        <v>50</v>
      </c>
      <c r="AR1365" t="inlineStr">
        <is>
          <t>Jobstreet</t>
        </is>
      </c>
      <c r="AS1365" t="inlineStr">
        <is>
          <t>- Headcount: 3
- Hiring Job Details: 1) F&amp;B Supervisor 2) Chef De parte 3) Senior Restaurant
- Hiring Urgency: Hiring Later
- Number of outlets: 8
- Have recruiter team: Yes
- Number of recruiter in company: 2
- Have ATS system: No, but want in future
- Have career website: No
- Current hiring budget: RM12,000
- Whole year budget: RM12,000.00
- Whole year number of vacancies: 50
- Hiring frequency: Once per quarter (75%)
- External job portal: Jobstreet</t>
        </is>
      </c>
      <c r="AT1365">
        <v>75</v>
      </c>
      <c r="AU1365" t="inlineStr">
        <is>
          <t>0.75</t>
        </is>
      </c>
      <c r="AV1365" t="inlineStr">
        <is>
          <t>20</t>
        </is>
      </c>
      <c r="AW1365" t="inlineStr">
        <is>
          <t>0</t>
        </is>
      </c>
      <c r="AX1365" t="inlineStr">
        <is>
          <t>Not Qualified</t>
        </is>
      </c>
      <c r="AY1365" s="4"/>
      <c r="AZ1365"/>
      <c r="BA1365"/>
      <c r="BB1365"/>
      <c r="BC1365" t="inlineStr">
        <is>
          <t>Quotation shared.</t>
        </is>
      </c>
      <c r="BD1365" s="4">
        <v>46135.41994212963</v>
      </c>
      <c r="BE1365" t="inlineStr">
        <is>
          <t>paid</t>
        </is>
      </c>
      <c r="BF1365"/>
      <c r="BG1365" t="inlineStr">
        <is>
          <t>Reschedule</t>
        </is>
      </c>
      <c r="BH1365" t="inlineStr">
        <is>
          <t>andy@ajobthing.com</t>
        </is>
      </c>
      <c r="BI1365" t="inlineStr">
        <is>
          <t>Food / Beverage</t>
        </is>
      </c>
      <c r="BJ1365" s="4">
        <v>46144.75178240741</v>
      </c>
      <c r="BK1365" s="4">
        <v>45467.44662037037</v>
      </c>
      <c r="BL1365" t="inlineStr">
        <is>
          <t>6048.0</t>
        </is>
      </c>
      <c r="BM1365" t="inlineStr">
        <is>
          <t>0.0</t>
        </is>
      </c>
      <c r="BN1365" t="inlineStr">
        <is>
          <t>View Company Page</t>
        </is>
      </c>
      <c r="BO1365" s="4">
        <v>46133.78560185185</v>
      </c>
      <c r="BP1365">
        <v>168374</v>
      </c>
      <c r="BQ1365">
        <v>123474</v>
      </c>
      <c r="BR1365" t="inlineStr">
        <is>
          <t>Proforma</t>
        </is>
      </c>
      <c r="BS1365" t="inlineStr">
        <is>
          <t>Free Part-Time Job</t>
        </is>
      </c>
      <c r="BT1365">
        <v>83731</v>
      </c>
      <c r="BU1365"/>
      <c r="BV1365">
        <v>2722359</v>
      </c>
      <c r="BW1365" t="inlineStr">
        <is>
          <t>Inquire for Hiring Needs : Quotation Sent 50%</t>
        </is>
      </c>
      <c r="BX1365">
        <v>12</v>
      </c>
      <c r="BY1365">
        <v>4</v>
      </c>
      <c r="BZ1365" s="4">
        <v>46029.41981481481</v>
      </c>
      <c r="CA1365">
        <v>120</v>
      </c>
      <c r="CB1365">
        <v>120</v>
      </c>
      <c r="CC1365" s="4"/>
      <c r="CD1365" t="inlineStr">
        <is>
          <t>25</t>
        </is>
      </c>
      <c r="CE1365" t="inlineStr">
        <is>
          <t>0</t>
        </is>
      </c>
      <c r="CF1365" t="inlineStr">
        <is>
          <t>Q2-W03</t>
        </is>
      </c>
      <c r="CG1365" t="inlineStr">
        <is>
          <t>Q2-W03</t>
        </is>
      </c>
      <c r="CH1365"/>
      <c r="CI1365"/>
      <c r="CJ1365" t="inlineStr">
        <is>
          <t>Paid</t>
        </is>
      </c>
      <c r="CK1365" t="inlineStr">
        <is>
          <t>Eligible</t>
        </is>
      </c>
      <c r="CL1365"/>
      <c r="CM1365"/>
    </row>
    <row r="1366" ht="25.5" customHeight="1">
      <c r="A1366" t="inlineStr">
        <is>
          <t>141352</t>
        </is>
      </c>
      <c r="B1366" s="2"/>
      <c r="C1366"/>
      <c r="D1366" s="3">
        <v>46134.706030092595</v>
      </c>
      <c r="E1366" t="inlineStr">
        <is>
          <t>Q2-W03</t>
        </is>
      </c>
      <c r="F1366" t="inlineStr">
        <is>
          <t>Ratha</t>
        </is>
      </c>
      <c r="G1366" t="inlineStr">
        <is>
          <t>Customer</t>
        </is>
      </c>
      <c r="H1366" s="2" t="str">
        <f>=HYPERLINK("https://upbox.ajobthing.my/customer/141352", "https://upbox.ajobthing.my/customer/141352")</f>
        <v>https://upbox.ajobthing.my/customer/141352</v>
      </c>
      <c r="I1366" t="inlineStr">
        <is>
          <t>Gyro Holdings Sdn Bhd</t>
        </is>
      </c>
      <c r="J1366" t="inlineStr">
        <is>
          <t>Whale</t>
        </is>
      </c>
      <c r="K1366" t="inlineStr">
        <is>
          <t>Ratha</t>
        </is>
      </c>
      <c r="L1366" s="4"/>
      <c r="M1366" s="4">
        <v>46134.70684027778</v>
      </c>
      <c r="N1366"/>
      <c r="O1366">
        <v>3672</v>
      </c>
      <c r="P1366" s="4"/>
      <c r="Q1366" s="4">
        <v>45468.73847222222</v>
      </c>
      <c r="R1366"/>
      <c r="S1366">
        <v>1944</v>
      </c>
      <c r="T1366" s="4">
        <v>45468.73847222222</v>
      </c>
      <c r="U1366" s="4"/>
      <c r="V1366"/>
      <c r="W1366">
        <v>1944</v>
      </c>
      <c r="X1366"/>
      <c r="Y1366" t="inlineStr">
        <is>
          <t>Pending Appointment</t>
        </is>
      </c>
      <c r="Z1366" t="inlineStr">
        <is>
          <t>Hiring Now</t>
        </is>
      </c>
      <c r="AA1366">
        <v>2</v>
      </c>
      <c r="AB1366" t="inlineStr">
        <is>
          <t>No Appointment Made</t>
        </is>
      </c>
      <c r="AC1366"/>
      <c r="AD1366" t="inlineStr">
        <is>
          <t>Sales : 1
Chef : 1
Location : Seremban</t>
        </is>
      </c>
      <c r="AE1366"/>
      <c r="AF1366"/>
      <c r="AG1366" s="4"/>
      <c r="AH1366" s="4"/>
      <c r="AI1366">
        <v>0</v>
      </c>
      <c r="AJ1366">
        <v>1</v>
      </c>
      <c r="AK1366" t="inlineStr">
        <is>
          <t>Yes, I have</t>
        </is>
      </c>
      <c r="AL1366">
        <v>2</v>
      </c>
      <c r="AM1366" t="inlineStr">
        <is>
          <t>No, I don't need at all</t>
        </is>
      </c>
      <c r="AN1366"/>
      <c r="AO1366" t="inlineStr">
        <is>
          <t>No, I don't need at all</t>
        </is>
      </c>
      <c r="AP1366" t="inlineStr">
        <is>
          <t>Once per quarter (75%)</t>
        </is>
      </c>
      <c r="AQ1366">
        <v>0</v>
      </c>
      <c r="AR1366" t="inlineStr">
        <is>
          <t>Jobstreet, Free Job Portal</t>
        </is>
      </c>
      <c r="AS1366" t="inlineStr">
        <is>
          <t>- Headcount: 2
- Hiring Job Details: 1 Sales, 1 Chef, Location: Seremban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1366">
        <v>95</v>
      </c>
      <c r="AU1366" t="inlineStr">
        <is>
          <t>0.95</t>
        </is>
      </c>
      <c r="AV1366" t="inlineStr">
        <is>
          <t>5</t>
        </is>
      </c>
      <c r="AW1366" t="inlineStr">
        <is>
          <t>0</t>
        </is>
      </c>
      <c r="AX1366" t="inlineStr">
        <is>
          <t>Not Qualified</t>
        </is>
      </c>
      <c r="AY1366" s="4"/>
      <c r="AZ1366"/>
      <c r="BA1366"/>
      <c r="BB1366"/>
      <c r="BC1366" t="inlineStr">
        <is>
          <t>no updates thus shares 288</t>
        </is>
      </c>
      <c r="BD1366" s="4">
        <v>46140.6328587963</v>
      </c>
      <c r="BE1366" t="inlineStr">
        <is>
          <t>paid</t>
        </is>
      </c>
      <c r="BF1366"/>
      <c r="BG1366" t="inlineStr">
        <is>
          <t>Reschedule</t>
        </is>
      </c>
      <c r="BH1366" t="inlineStr">
        <is>
          <t>Fauziah Maharan</t>
        </is>
      </c>
      <c r="BI1366" t="inlineStr">
        <is>
          <t>Entertainment / Media</t>
        </is>
      </c>
      <c r="BJ1366" s="4">
        <v>46144.75067129629</v>
      </c>
      <c r="BK1366" s="4">
        <v>44467.64717592593</v>
      </c>
      <c r="BL1366" t="inlineStr">
        <is>
          <t>0.0</t>
        </is>
      </c>
      <c r="BM1366" t="inlineStr">
        <is>
          <t>1800.0</t>
        </is>
      </c>
      <c r="BN1366" t="inlineStr">
        <is>
          <t>User Visit(Logged In)</t>
        </is>
      </c>
      <c r="BO1366" s="4">
        <v>46134.476435185185</v>
      </c>
      <c r="BP1366">
        <v>168387</v>
      </c>
      <c r="BQ1366">
        <v>70417</v>
      </c>
      <c r="BR1366" t="inlineStr">
        <is>
          <t>Online</t>
        </is>
      </c>
      <c r="BS1366"/>
      <c r="BT1366">
        <v>70417</v>
      </c>
      <c r="BU1366"/>
      <c r="BV1366">
        <v>2732993</v>
      </c>
      <c r="BW1366" t="inlineStr">
        <is>
          <t>Follow Up : Decision Pending</t>
        </is>
      </c>
      <c r="BX1366"/>
      <c r="BY1366"/>
      <c r="BZ1366" s="4"/>
      <c r="CA1366"/>
      <c r="CB1366"/>
      <c r="CC1366" s="4"/>
      <c r="CD1366" t="inlineStr">
        <is>
          <t>5</t>
        </is>
      </c>
      <c r="CE1366" t="inlineStr">
        <is>
          <t>0</t>
        </is>
      </c>
      <c r="CF1366" t="inlineStr">
        <is>
          <t>Q2-W03</t>
        </is>
      </c>
      <c r="CG1366"/>
      <c r="CH1366"/>
      <c r="CI1366"/>
      <c r="CJ1366" t="inlineStr">
        <is>
          <t>Paid</t>
        </is>
      </c>
      <c r="CK1366" t="inlineStr">
        <is>
          <t>Eligible</t>
        </is>
      </c>
      <c r="CL1366"/>
      <c r="CM1366"/>
    </row>
    <row r="1367" ht="25.5" customHeight="1">
      <c r="A1367" t="inlineStr">
        <is>
          <t>203546</t>
        </is>
      </c>
      <c r="B1367" s="2"/>
      <c r="C1367"/>
      <c r="D1367" s="3">
        <v>46134.71743055555</v>
      </c>
      <c r="E1367" t="inlineStr">
        <is>
          <t>Q2-W03</t>
        </is>
      </c>
      <c r="F1367" t="inlineStr">
        <is>
          <t>Yvonne Lee</t>
        </is>
      </c>
      <c r="G1367" t="inlineStr">
        <is>
          <t>Customer</t>
        </is>
      </c>
      <c r="H1367" s="2" t="str">
        <f>=HYPERLINK("https://upbox.ajobthing.my/customer/203546", "https://upbox.ajobthing.my/customer/203546")</f>
        <v>https://upbox.ajobthing.my/customer/203546</v>
      </c>
      <c r="I1367" t="inlineStr">
        <is>
          <t>SITI NUR ATIQAH</t>
        </is>
      </c>
      <c r="J1367" t="inlineStr">
        <is>
          <t>Whale</t>
        </is>
      </c>
      <c r="K1367" t="inlineStr">
        <is>
          <t>Yvonne</t>
        </is>
      </c>
      <c r="L1367" s="4"/>
      <c r="M1367" s="4">
        <v>46134.72017361111</v>
      </c>
      <c r="N1367"/>
      <c r="O1367">
        <v>21600</v>
      </c>
      <c r="P1367" s="4"/>
      <c r="Q1367" s="4"/>
      <c r="R1367"/>
      <c r="S1367"/>
      <c r="T1367" s="4"/>
      <c r="U1367" s="4"/>
      <c r="V1367"/>
      <c r="W1367"/>
      <c r="X1367"/>
      <c r="Y1367" t="inlineStr">
        <is>
          <t>Pending Appointment</t>
        </is>
      </c>
      <c r="Z1367" t="inlineStr">
        <is>
          <t>Hiring Now</t>
        </is>
      </c>
      <c r="AA1367">
        <v>2</v>
      </c>
      <c r="AB1367" t="inlineStr">
        <is>
          <t>No Appointment Made</t>
        </is>
      </c>
      <c r="AC1367"/>
      <c r="AD1367" t="inlineStr">
        <is>
          <t>1) engineering
2) draft engineer
</t>
        </is>
      </c>
      <c r="AE1367"/>
      <c r="AF1367">
        <v>12000</v>
      </c>
      <c r="AG1367" s="4"/>
      <c r="AH1367" s="4"/>
      <c r="AI1367">
        <v>12000</v>
      </c>
      <c r="AJ1367">
        <v>1</v>
      </c>
      <c r="AK1367" t="inlineStr">
        <is>
          <t>Yes, I have</t>
        </is>
      </c>
      <c r="AL1367">
        <v>5</v>
      </c>
      <c r="AM1367" t="inlineStr">
        <is>
          <t>No, but I want in future</t>
        </is>
      </c>
      <c r="AN1367"/>
      <c r="AO1367" t="inlineStr">
        <is>
          <t>Yes, I have</t>
        </is>
      </c>
      <c r="AP1367" t="inlineStr">
        <is>
          <t>Every month (100%)</t>
        </is>
      </c>
      <c r="AQ1367">
        <v>44</v>
      </c>
      <c r="AR1367" t="inlineStr">
        <is>
          <t>Jobstreet, Linkedin (Paid), Indeed (Paid)</t>
        </is>
      </c>
      <c r="AS1367" t="inlineStr">
        <is>
          <t>- Headcount: 2
- Hiring Job Details: 1) engineering 2) draft engineer
- Hiring Urgency: Hiring Now
- Number of outlets: 1
- Have recruiter team: Yes
- Number of recruiter in company: 5
- Have ATS system: No, but want in future
- Have career website: Yes
- Current hiring budget: RM12,000
- Whole year budget: RM12,000.00
- Whole year number of vacancies: 44
- Hiring frequency: Every month (100%)
- External job portal: Jobstreet, Linkedin (Paid), Indeed (Paid)</t>
        </is>
      </c>
      <c r="AT1367">
        <v>115</v>
      </c>
      <c r="AU1367" t="inlineStr">
        <is>
          <t>1.15</t>
        </is>
      </c>
      <c r="AV1367" t="inlineStr">
        <is>
          <t>20</t>
        </is>
      </c>
      <c r="AW1367" t="inlineStr">
        <is>
          <t>0</t>
        </is>
      </c>
      <c r="AX1367" t="inlineStr">
        <is>
          <t>Not Qualified</t>
        </is>
      </c>
      <c r="AY1367" s="4"/>
      <c r="AZ1367"/>
      <c r="BA1367"/>
      <c r="BB1367"/>
      <c r="BC1367" t="inlineStr">
        <is>
          <t>Spoken with Siti, they wanted to proceed but normally get approval estimation need 2 weeks time and still pending utility bill for verification change company name. And desperate looking for chinese cdd.</t>
        </is>
      </c>
      <c r="BD1367" s="4">
        <v>46141.75224537037</v>
      </c>
      <c r="BE1367"/>
      <c r="BF1367"/>
      <c r="BG1367" t="inlineStr">
        <is>
          <t>Reschedule</t>
        </is>
      </c>
      <c r="BH1367" t="inlineStr">
        <is>
          <t>andy@ajobthing.com</t>
        </is>
      </c>
      <c r="BI1367"/>
      <c r="BJ1367" s="4">
        <v>46144.75435185185</v>
      </c>
      <c r="BK1367" s="4">
        <v>46134.70947916667</v>
      </c>
      <c r="BL1367" t="inlineStr">
        <is>
          <t>0.0</t>
        </is>
      </c>
      <c r="BM1367" t="inlineStr">
        <is>
          <t>0.0</t>
        </is>
      </c>
      <c r="BN1367"/>
      <c r="BO1367" s="4"/>
      <c r="BP1367">
        <v>168390</v>
      </c>
      <c r="BQ1367"/>
      <c r="BR1367"/>
      <c r="BS1367"/>
      <c r="BT1367"/>
      <c r="BU1367"/>
      <c r="BV1367">
        <v>2736336</v>
      </c>
      <c r="BW1367" t="inlineStr">
        <is>
          <t>Inquire for Hiring Needs : Quotation Sent 50%</t>
        </is>
      </c>
      <c r="BX1367"/>
      <c r="BY1367"/>
      <c r="BZ1367" s="4"/>
      <c r="CA1367"/>
      <c r="CB1367"/>
      <c r="CC1367" s="4"/>
      <c r="CD1367" t="inlineStr">
        <is>
          <t>25</t>
        </is>
      </c>
      <c r="CE1367" t="inlineStr">
        <is>
          <t>0</t>
        </is>
      </c>
      <c r="CF1367" t="inlineStr">
        <is>
          <t>Q2-W03</t>
        </is>
      </c>
      <c r="CG1367"/>
      <c r="CH1367"/>
      <c r="CI1367"/>
      <c r="CJ1367" t="inlineStr">
        <is>
          <t>No Paid</t>
        </is>
      </c>
      <c r="CK1367" t="inlineStr">
        <is>
          <t>Eligible</t>
        </is>
      </c>
      <c r="CL1367"/>
      <c r="CM1367"/>
    </row>
    <row r="1368" ht="25.5" customHeight="1">
      <c r="A1368" t="inlineStr">
        <is>
          <t>176674</t>
        </is>
      </c>
      <c r="B1368" s="2"/>
      <c r="C1368"/>
      <c r="D1368" s="3">
        <v>46134.71962962963</v>
      </c>
      <c r="E1368" t="inlineStr">
        <is>
          <t>Q2-W03</t>
        </is>
      </c>
      <c r="F1368" t="inlineStr">
        <is>
          <t>Alan KY</t>
        </is>
      </c>
      <c r="G1368" t="inlineStr">
        <is>
          <t>Customer</t>
        </is>
      </c>
      <c r="H1368" s="2" t="str">
        <f>=HYPERLINK("https://upbox.ajobthing.my/customer/176674", "https://upbox.ajobthing.my/customer/176674")</f>
        <v>https://upbox.ajobthing.my/customer/176674</v>
      </c>
      <c r="I1368" t="inlineStr">
        <is>
          <t>Geekfix Sdn Bhd</t>
        </is>
      </c>
      <c r="J1368" t="inlineStr">
        <is>
          <t>Whale</t>
        </is>
      </c>
      <c r="K1368" t="inlineStr">
        <is>
          <t>Alan KY</t>
        </is>
      </c>
      <c r="L1368" s="4"/>
      <c r="M1368" s="4">
        <v>46134.704884259256</v>
      </c>
      <c r="N1368"/>
      <c r="O1368">
        <v>11448</v>
      </c>
      <c r="P1368" s="4"/>
      <c r="Q1368" s="4">
        <v>45827.604525462964</v>
      </c>
      <c r="R1368"/>
      <c r="S1368">
        <v>5508</v>
      </c>
      <c r="T1368" s="4">
        <v>45827.604525462964</v>
      </c>
      <c r="U1368" s="4"/>
      <c r="V1368"/>
      <c r="W1368">
        <v>5508</v>
      </c>
      <c r="X1368"/>
      <c r="Y1368" t="inlineStr">
        <is>
          <t>Pending Appointment</t>
        </is>
      </c>
      <c r="Z1368" t="inlineStr">
        <is>
          <t>Continuous Hiring</t>
        </is>
      </c>
      <c r="AA1368">
        <v>1</v>
      </c>
      <c r="AB1368" t="inlineStr">
        <is>
          <t>No Appointment Made</t>
        </is>
      </c>
      <c r="AC1368"/>
      <c r="AD1368" t="inlineStr">
        <is>
          <t xml:space="preserve">phone technician, for many outlets </t>
        </is>
      </c>
      <c r="AE1368"/>
      <c r="AF1368"/>
      <c r="AG1368" s="4"/>
      <c r="AH1368" s="4"/>
      <c r="AI1368"/>
      <c r="AJ1368">
        <v>15</v>
      </c>
      <c r="AK1368" t="inlineStr">
        <is>
          <t>No, I don't need at all</t>
        </is>
      </c>
      <c r="AL1368"/>
      <c r="AM1368" t="inlineStr">
        <is>
          <t>No, I don't need at all</t>
        </is>
      </c>
      <c r="AN1368"/>
      <c r="AO1368" t="inlineStr">
        <is>
          <t>No, I don't need at all</t>
        </is>
      </c>
      <c r="AP1368" t="inlineStr">
        <is>
          <t>Every month (100%)</t>
        </is>
      </c>
      <c r="AQ1368"/>
      <c r="AR1368"/>
      <c r="AS1368" t="inlineStr">
        <is>
          <t>- Headcount: 1
- Hiring Job Details: phone technician, for many outlets
- Hiring Urgency: Continuous Hiring
- Number of outlets: 15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Every month (100%)
- External job portal: Not provided</t>
        </is>
      </c>
      <c r="AT1368">
        <v>95</v>
      </c>
      <c r="AU1368" t="inlineStr">
        <is>
          <t>0.95</t>
        </is>
      </c>
      <c r="AV1368" t="inlineStr">
        <is>
          <t>5</t>
        </is>
      </c>
      <c r="AW1368" t="inlineStr">
        <is>
          <t>0</t>
        </is>
      </c>
      <c r="AX1368" t="inlineStr">
        <is>
          <t>Not Qualified</t>
        </is>
      </c>
      <c r="AY1368" s="4"/>
      <c r="AZ1368"/>
      <c r="BA1368"/>
      <c r="BB1368"/>
      <c r="BC1368" t="inlineStr">
        <is>
          <t>No answer</t>
        </is>
      </c>
      <c r="BD1368" s="4">
        <v>46139.63685185185</v>
      </c>
      <c r="BE1368" t="inlineStr">
        <is>
          <t>paid</t>
        </is>
      </c>
      <c r="BF1368"/>
      <c r="BG1368" t="inlineStr">
        <is>
          <t>Reschedule</t>
        </is>
      </c>
      <c r="BH1368" t="inlineStr">
        <is>
          <t>Reagen</t>
        </is>
      </c>
      <c r="BI1368" t="inlineStr">
        <is>
          <t>Electrical / Electronics</t>
        </is>
      </c>
      <c r="BJ1368" s="4">
        <v>46144.751655092594</v>
      </c>
      <c r="BK1368" s="4">
        <v>45373.51207175926</v>
      </c>
      <c r="BL1368" t="inlineStr">
        <is>
          <t>5508.0</t>
        </is>
      </c>
      <c r="BM1368" t="inlineStr">
        <is>
          <t>2850.0</t>
        </is>
      </c>
      <c r="BN1368" t="inlineStr">
        <is>
          <t>View Jobmanager Page</t>
        </is>
      </c>
      <c r="BO1368" s="4">
        <v>46001.43640046296</v>
      </c>
      <c r="BP1368">
        <v>168382</v>
      </c>
      <c r="BQ1368">
        <v>80220</v>
      </c>
      <c r="BR1368" t="inlineStr">
        <is>
          <t>Online</t>
        </is>
      </c>
      <c r="BS1368"/>
      <c r="BT1368">
        <v>80220</v>
      </c>
      <c r="BU1368"/>
      <c r="BV1368">
        <v>2730207</v>
      </c>
      <c r="BW1368" t="inlineStr">
        <is>
          <t>No Answer : Voicemail - WA sent to customer</t>
        </is>
      </c>
      <c r="BX1368">
        <v>12</v>
      </c>
      <c r="BY1368">
        <v>0</v>
      </c>
      <c r="BZ1368" s="4">
        <v>45884.50114583333</v>
      </c>
      <c r="CA1368">
        <v>120</v>
      </c>
      <c r="CB1368">
        <v>120</v>
      </c>
      <c r="CC1368" s="4"/>
      <c r="CD1368" t="inlineStr">
        <is>
          <t>5</t>
        </is>
      </c>
      <c r="CE1368" t="inlineStr">
        <is>
          <t>0</t>
        </is>
      </c>
      <c r="CF1368" t="inlineStr">
        <is>
          <t>Q2-W03</t>
        </is>
      </c>
      <c r="CG1368"/>
      <c r="CH1368"/>
      <c r="CI1368"/>
      <c r="CJ1368" t="inlineStr">
        <is>
          <t>Paid</t>
        </is>
      </c>
      <c r="CK1368" t="inlineStr">
        <is>
          <t>Eligible</t>
        </is>
      </c>
      <c r="CL1368"/>
      <c r="CM1368"/>
    </row>
    <row r="1369" ht="25.5" customHeight="1">
      <c r="A1369" t="inlineStr">
        <is>
          <t>4198638</t>
        </is>
      </c>
      <c r="B1369" s="2"/>
      <c r="C1369"/>
      <c r="D1369" s="3">
        <v>46134.719675925924</v>
      </c>
      <c r="E1369" t="inlineStr">
        <is>
          <t>Q2-W03</t>
        </is>
      </c>
      <c r="F1369" t="inlineStr">
        <is>
          <t>Josh</t>
        </is>
      </c>
      <c r="G1369" t="inlineStr">
        <is>
          <t>Lead</t>
        </is>
      </c>
      <c r="H1369" s="2" t="str">
        <f>=HYPERLINK("https://upbox.ajobthing.my/leads/4198638", "https://upbox.ajobthing.my/leads/4198638")</f>
        <v>https://upbox.ajobthing.my/leads/4198638</v>
      </c>
      <c r="I1369" t="inlineStr">
        <is>
          <t>MC CORPORATE CONSULTANT SDN BHD</t>
        </is>
      </c>
      <c r="J1369" t="inlineStr">
        <is>
          <t>Whale</t>
        </is>
      </c>
      <c r="K1369" t="inlineStr">
        <is>
          <t>Josh</t>
        </is>
      </c>
      <c r="L1369" s="4"/>
      <c r="M1369" s="4">
        <v>46136.70885416667</v>
      </c>
      <c r="N1369"/>
      <c r="O1369">
        <v>1512</v>
      </c>
      <c r="P1369" s="4"/>
      <c r="Q1369" s="4"/>
      <c r="R1369"/>
      <c r="S1369"/>
      <c r="T1369" s="4"/>
      <c r="U1369" s="4"/>
      <c r="V1369"/>
      <c r="W1369"/>
      <c r="X1369" t="inlineStr">
        <is>
          <t>Josh</t>
        </is>
      </c>
      <c r="Y1369" t="inlineStr">
        <is>
          <t>Done Appointment</t>
        </is>
      </c>
      <c r="Z1369" t="inlineStr">
        <is>
          <t>Continuous Hiring</t>
        </is>
      </c>
      <c r="AA1369">
        <v>1</v>
      </c>
      <c r="AB1369" t="inlineStr">
        <is>
          <t>Appointment Made</t>
        </is>
      </c>
      <c r="AC1369" t="inlineStr">
        <is>
          <t>Large (101-300 employees)</t>
        </is>
      </c>
      <c r="AD1369" t="inlineStr">
        <is>
          <t xml:space="preserve">1 admin </t>
        </is>
      </c>
      <c r="AE1369" t="inlineStr">
        <is>
          <t>Executive / HR Executive</t>
        </is>
      </c>
      <c r="AF1369">
        <v>5000</v>
      </c>
      <c r="AG1369" s="4">
        <v>46136.666666666664</v>
      </c>
      <c r="AH1369" s="4">
        <v>46136.708333333336</v>
      </c>
      <c r="AI1369"/>
      <c r="AJ1369"/>
      <c r="AK1369" t="inlineStr">
        <is>
          <t>Yes, I have</t>
        </is>
      </c>
      <c r="AL1369"/>
      <c r="AM1369"/>
      <c r="AN1369"/>
      <c r="AO1369"/>
      <c r="AP1369" t="inlineStr">
        <is>
          <t>Every month (100%)</t>
        </is>
      </c>
      <c r="AQ1369"/>
      <c r="AR1369"/>
      <c r="AS1369" t="inlineStr">
        <is>
          <t>- Headcount: 1
- Hiring Job Details: 1 admin
- Hiring Urgency: Continuous Hiring
- Number of outlets: Not provided
- Have recruiter team: Yes
- Number of recruiter in company: Not provided
- Have ATS system: Not provided
- Have career website: Not provided
- Current hiring budget: RM5,000.00
- Whole year budget: Not provided
- Whole year number of vacancies: Not provided
- Hiring frequency: Every month (100%)
- External job portal: Not provided</t>
        </is>
      </c>
      <c r="AT1369">
        <v>75</v>
      </c>
      <c r="AU1369" t="inlineStr">
        <is>
          <t>0.75</t>
        </is>
      </c>
      <c r="AV1369" t="inlineStr">
        <is>
          <t>35</t>
        </is>
      </c>
      <c r="AW1369" t="inlineStr">
        <is>
          <t>0</t>
        </is>
      </c>
      <c r="AX1369" t="inlineStr">
        <is>
          <t>Not Qualified</t>
        </is>
      </c>
      <c r="AY1369" s="4">
        <v>46136.74335648148</v>
      </c>
      <c r="AZ1369" t="inlineStr">
        <is>
          <t>Base Assistant</t>
        </is>
      </c>
      <c r="BA1369"/>
      <c r="BB1369"/>
      <c r="BC1369"/>
      <c r="BD1369" s="4"/>
      <c r="BE1369"/>
      <c r="BF1369"/>
      <c r="BG1369" t="inlineStr">
        <is>
          <t>Reschedule</t>
        </is>
      </c>
      <c r="BH1369" t="inlineStr">
        <is>
          <t>Fauziah Maharan</t>
        </is>
      </c>
      <c r="BI1369"/>
      <c r="BJ1369" s="4">
        <v>46144.755625</v>
      </c>
      <c r="BK1369" s="4">
        <v>46106.92223379629</v>
      </c>
      <c r="BL1369" t="inlineStr">
        <is>
          <t>0.0</t>
        </is>
      </c>
      <c r="BM1369" t="inlineStr">
        <is>
          <t>0.0</t>
        </is>
      </c>
      <c r="BN1369"/>
      <c r="BO1369" s="4"/>
      <c r="BP1369">
        <v>168878</v>
      </c>
      <c r="BQ1369"/>
      <c r="BR1369"/>
      <c r="BS1369"/>
      <c r="BT1369"/>
      <c r="BU1369"/>
      <c r="BV1369"/>
      <c r="BW1369"/>
      <c r="BX1369"/>
      <c r="BY1369"/>
      <c r="BZ1369" s="4"/>
      <c r="CA1369"/>
      <c r="CB1369"/>
      <c r="CC1369" s="4"/>
      <c r="CD1369" t="inlineStr">
        <is>
          <t>45</t>
        </is>
      </c>
      <c r="CE1369" t="inlineStr">
        <is>
          <t>0.5</t>
        </is>
      </c>
      <c r="CF1369" t="inlineStr">
        <is>
          <t>Q2-W04</t>
        </is>
      </c>
      <c r="CG1369"/>
      <c r="CH1369"/>
      <c r="CI1369" t="inlineStr">
        <is>
          <t>Q2-W04</t>
        </is>
      </c>
      <c r="CJ1369" t="inlineStr">
        <is>
          <t>No Paid</t>
        </is>
      </c>
      <c r="CK1369" t="inlineStr">
        <is>
          <t>Eligible</t>
        </is>
      </c>
      <c r="CL1369"/>
      <c r="CM1369" t="inlineStr">
        <is>
          <t>Q2-W04</t>
        </is>
      </c>
    </row>
    <row r="1370" ht="25.5" customHeight="1">
      <c r="A1370" t="inlineStr">
        <is>
          <t>155117</t>
        </is>
      </c>
      <c r="B1370" s="2"/>
      <c r="C1370"/>
      <c r="D1370" s="3">
        <v>46134.72824074074</v>
      </c>
      <c r="E1370" t="inlineStr">
        <is>
          <t>Q2-W03</t>
        </is>
      </c>
      <c r="F1370" t="inlineStr">
        <is>
          <t>Yuli</t>
        </is>
      </c>
      <c r="G1370" t="inlineStr">
        <is>
          <t>Customer</t>
        </is>
      </c>
      <c r="H1370" s="2" t="str">
        <f>=HYPERLINK("https://upbox.ajobthing.my/customer/155117", "https://upbox.ajobthing.my/customer/155117")</f>
        <v>https://upbox.ajobthing.my/customer/155117</v>
      </c>
      <c r="I1370" t="inlineStr">
        <is>
          <t>Prevents Plus Sdn Bhd</t>
        </is>
      </c>
      <c r="J1370" t="inlineStr">
        <is>
          <t>Whale</t>
        </is>
      </c>
      <c r="K1370" t="inlineStr">
        <is>
          <t>YuLi</t>
        </is>
      </c>
      <c r="L1370" s="4"/>
      <c r="M1370" s="4">
        <v>46134.73913194444</v>
      </c>
      <c r="N1370"/>
      <c r="O1370">
        <v>5832</v>
      </c>
      <c r="P1370" s="4"/>
      <c r="Q1370" s="4">
        <v>45947.40048611111</v>
      </c>
      <c r="R1370"/>
      <c r="S1370">
        <v>2376</v>
      </c>
      <c r="T1370" s="4">
        <v>45947.40048611111</v>
      </c>
      <c r="U1370" s="4"/>
      <c r="V1370"/>
      <c r="W1370">
        <v>2376</v>
      </c>
      <c r="X1370"/>
      <c r="Y1370" t="inlineStr">
        <is>
          <t>Pending Appointment</t>
        </is>
      </c>
      <c r="Z1370" t="inlineStr">
        <is>
          <t>Hiring Now</t>
        </is>
      </c>
      <c r="AA1370">
        <v>2</v>
      </c>
      <c r="AB1370" t="inlineStr">
        <is>
          <t>No Appointment Made</t>
        </is>
      </c>
      <c r="AC1370"/>
      <c r="AD1370" t="inlineStr">
        <is>
          <t>Senior Accounts Executive, Clinical Support</t>
        </is>
      </c>
      <c r="AE1370"/>
      <c r="AF1370"/>
      <c r="AG1370" s="4"/>
      <c r="AH1370" s="4"/>
      <c r="AI1370"/>
      <c r="AJ1370"/>
      <c r="AK1370"/>
      <c r="AL1370"/>
      <c r="AM1370"/>
      <c r="AN1370"/>
      <c r="AO1370"/>
      <c r="AP1370"/>
      <c r="AQ1370"/>
      <c r="AR1370" t="inlineStr">
        <is>
          <t>Free Job Portal</t>
        </is>
      </c>
      <c r="AS1370" t="inlineStr">
        <is>
          <t>- Headcount: 2
- Hiring Job Details: Senior Accounts Executive, Clinical Support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Free Job Portal</t>
        </is>
      </c>
      <c r="AT1370">
        <v>65</v>
      </c>
      <c r="AU1370" t="inlineStr">
        <is>
          <t>0.65</t>
        </is>
      </c>
      <c r="AV1370" t="inlineStr">
        <is>
          <t>5</t>
        </is>
      </c>
      <c r="AW1370" t="inlineStr">
        <is>
          <t>0</t>
        </is>
      </c>
      <c r="AX1370" t="inlineStr">
        <is>
          <t>Not Qualified</t>
        </is>
      </c>
      <c r="AY1370" s="4"/>
      <c r="AZ1370"/>
      <c r="BA1370"/>
      <c r="BB1370"/>
      <c r="BC1370" t="inlineStr">
        <is>
          <t>called but no answered</t>
        </is>
      </c>
      <c r="BD1370" s="4">
        <v>46140.48594907407</v>
      </c>
      <c r="BE1370" t="inlineStr">
        <is>
          <t>paid</t>
        </is>
      </c>
      <c r="BF1370"/>
      <c r="BG1370" t="inlineStr">
        <is>
          <t>Reschedule</t>
        </is>
      </c>
      <c r="BH1370" t="inlineStr">
        <is>
          <t>Fauziah Maharan</t>
        </is>
      </c>
      <c r="BI1370" t="inlineStr">
        <is>
          <t>Healthcare / Medical</t>
        </is>
      </c>
      <c r="BJ1370" s="4">
        <v>46144.75096064815</v>
      </c>
      <c r="BK1370" s="4">
        <v>44716.507789351854</v>
      </c>
      <c r="BL1370" t="inlineStr">
        <is>
          <t>3672.0</t>
        </is>
      </c>
      <c r="BM1370" t="inlineStr">
        <is>
          <t>150.0</t>
        </is>
      </c>
      <c r="BN1370" t="inlineStr">
        <is>
          <t>View Company Page</t>
        </is>
      </c>
      <c r="BO1370" s="4">
        <v>46141.48181712963</v>
      </c>
      <c r="BP1370">
        <v>168409</v>
      </c>
      <c r="BQ1370">
        <v>6551</v>
      </c>
      <c r="BR1370" t="inlineStr">
        <is>
          <t>Manual (Paid)</t>
        </is>
      </c>
      <c r="BS1370" t="inlineStr">
        <is>
          <t>-RM 200 discount until tomorrow
- JobAI by AJobThing
Upgrade to 5 AI job ad
Free up to 2 Manager posting for 45 days. 
Validity: 12 months.</t>
        </is>
      </c>
      <c r="BT1370">
        <v>6551</v>
      </c>
      <c r="BU1370"/>
      <c r="BV1370">
        <v>2732210</v>
      </c>
      <c r="BW1370" t="inlineStr">
        <is>
          <t>No Answer : Voicemail - WA sent to customer</t>
        </is>
      </c>
      <c r="BX1370">
        <v>5</v>
      </c>
      <c r="BY1370">
        <v>0</v>
      </c>
      <c r="BZ1370" s="4">
        <v>46134.70780092593</v>
      </c>
      <c r="CA1370">
        <v>50</v>
      </c>
      <c r="CB1370">
        <v>45</v>
      </c>
      <c r="CC1370" s="4">
        <v>46125.48872685185</v>
      </c>
      <c r="CD1370" t="inlineStr">
        <is>
          <t>5</t>
        </is>
      </c>
      <c r="CE1370" t="inlineStr">
        <is>
          <t>0</t>
        </is>
      </c>
      <c r="CF1370" t="inlineStr">
        <is>
          <t>Q2-W03</t>
        </is>
      </c>
      <c r="CG1370"/>
      <c r="CH1370"/>
      <c r="CI1370"/>
      <c r="CJ1370" t="inlineStr">
        <is>
          <t>Paid</t>
        </is>
      </c>
      <c r="CK1370" t="inlineStr">
        <is>
          <t>Eligible</t>
        </is>
      </c>
      <c r="CL1370"/>
      <c r="CM1370"/>
    </row>
    <row r="1371" ht="25.5" customHeight="1">
      <c r="A1371" t="inlineStr">
        <is>
          <t>203547</t>
        </is>
      </c>
      <c r="B1371" s="2"/>
      <c r="C1371"/>
      <c r="D1371" s="3">
        <v>46134.73075231481</v>
      </c>
      <c r="E1371" t="inlineStr">
        <is>
          <t>Q2-W03</t>
        </is>
      </c>
      <c r="F1371" t="inlineStr">
        <is>
          <t>Ratha</t>
        </is>
      </c>
      <c r="G1371" t="inlineStr">
        <is>
          <t>Customer</t>
        </is>
      </c>
      <c r="H1371" s="2" t="str">
        <f>=HYPERLINK("https://upbox.ajobthing.my/customer/203547", "https://upbox.ajobthing.my/customer/203547")</f>
        <v>https://upbox.ajobthing.my/customer/203547</v>
      </c>
      <c r="I1371" t="inlineStr">
        <is>
          <t>Autoplaygroup</t>
        </is>
      </c>
      <c r="J1371" t="inlineStr">
        <is>
          <t>Whale</t>
        </is>
      </c>
      <c r="K1371" t="inlineStr">
        <is>
          <t>Ratha</t>
        </is>
      </c>
      <c r="L1371" s="4"/>
      <c r="M1371" s="4">
        <v>46134.7312962963</v>
      </c>
      <c r="N1371"/>
      <c r="O1371">
        <v>3888</v>
      </c>
      <c r="P1371" s="4"/>
      <c r="Q1371" s="4"/>
      <c r="R1371"/>
      <c r="S1371"/>
      <c r="T1371" s="4"/>
      <c r="U1371" s="4"/>
      <c r="V1371"/>
      <c r="W1371"/>
      <c r="X1371"/>
      <c r="Y1371" t="inlineStr">
        <is>
          <t>Pending Appointment</t>
        </is>
      </c>
      <c r="Z1371" t="inlineStr">
        <is>
          <t>Hiring Later</t>
        </is>
      </c>
      <c r="AA1371">
        <v>1</v>
      </c>
      <c r="AB1371" t="inlineStr">
        <is>
          <t>No Appointment Made</t>
        </is>
      </c>
      <c r="AC1371"/>
      <c r="AD1371" t="inlineStr">
        <is>
          <t>Procurement Executive : 1
Location : JH</t>
        </is>
      </c>
      <c r="AE1371"/>
      <c r="AF1371"/>
      <c r="AG1371" s="4"/>
      <c r="AH1371" s="4"/>
      <c r="AI1371">
        <v>0</v>
      </c>
      <c r="AJ1371">
        <v>1</v>
      </c>
      <c r="AK1371" t="inlineStr">
        <is>
          <t>Yes, I have</t>
        </is>
      </c>
      <c r="AL1371">
        <v>2</v>
      </c>
      <c r="AM1371" t="inlineStr">
        <is>
          <t>No, I don't need at all</t>
        </is>
      </c>
      <c r="AN1371"/>
      <c r="AO1371" t="inlineStr">
        <is>
          <t>No, I don't need at all</t>
        </is>
      </c>
      <c r="AP1371" t="inlineStr">
        <is>
          <t>Once per quarter (75%)</t>
        </is>
      </c>
      <c r="AQ1371">
        <v>0</v>
      </c>
      <c r="AR1371" t="inlineStr">
        <is>
          <t>Free Job Portal</t>
        </is>
      </c>
      <c r="AS1371" t="inlineStr">
        <is>
          <t>- Headcount: 1
- Hiring Job Details: 1 Procurement Executive (Location: JH)
- Hiring Urgency: Hiring Later
- Number of outlets: 1
- Have recruiter team: Yes
- Number of recruiter in company: 2
- Have ATS system: No, I don't need at all
- Have career website: No, I don't need at all
- Current hiring budget: RM (not specified)
- Whole year budget: RM0.00
- Whole year number of vacancies: 0
- Hiring frequency: Once per quarter (75%)
- External job portal: Free Job Portal</t>
        </is>
      </c>
      <c r="AT1371">
        <v>105</v>
      </c>
      <c r="AU1371" t="inlineStr">
        <is>
          <t>1.05</t>
        </is>
      </c>
      <c r="AV1371" t="inlineStr">
        <is>
          <t>5</t>
        </is>
      </c>
      <c r="AW1371" t="inlineStr">
        <is>
          <t>0</t>
        </is>
      </c>
      <c r="AX1371" t="inlineStr">
        <is>
          <t>Not Qualified</t>
        </is>
      </c>
      <c r="AY1371" s="4"/>
      <c r="AZ1371"/>
      <c r="BA1371"/>
      <c r="BB1371"/>
      <c r="BC1371" t="inlineStr">
        <is>
          <t>concerning about the price - prefer free</t>
        </is>
      </c>
      <c r="BD1371" s="4">
        <v>46136.448171296295</v>
      </c>
      <c r="BE1371"/>
      <c r="BF1371"/>
      <c r="BG1371" t="inlineStr">
        <is>
          <t>Reschedule</t>
        </is>
      </c>
      <c r="BH1371" t="inlineStr">
        <is>
          <t>Fauziah Maharan</t>
        </is>
      </c>
      <c r="BI1371"/>
      <c r="BJ1371" s="4">
        <v>46144.75435185185</v>
      </c>
      <c r="BK1371" s="4">
        <v>46134.72255787037</v>
      </c>
      <c r="BL1371" t="inlineStr">
        <is>
          <t>0.0</t>
        </is>
      </c>
      <c r="BM1371" t="inlineStr">
        <is>
          <t>600.0</t>
        </is>
      </c>
      <c r="BN1371" t="inlineStr">
        <is>
          <t>View Create Job Page V4</t>
        </is>
      </c>
      <c r="BO1371" s="4">
        <v>46134.736967592595</v>
      </c>
      <c r="BP1371">
        <v>168403</v>
      </c>
      <c r="BQ1371"/>
      <c r="BR1371"/>
      <c r="BS1371"/>
      <c r="BT1371"/>
      <c r="BU1371"/>
      <c r="BV1371">
        <v>2725686</v>
      </c>
      <c r="BW1371" t="inlineStr">
        <is>
          <t>Follow Up : Budget Concern</t>
        </is>
      </c>
      <c r="BX1371"/>
      <c r="BY1371"/>
      <c r="BZ1371" s="4"/>
      <c r="CA1371"/>
      <c r="CB1371"/>
      <c r="CC1371" s="4"/>
      <c r="CD1371" t="inlineStr">
        <is>
          <t>5</t>
        </is>
      </c>
      <c r="CE1371" t="inlineStr">
        <is>
          <t>0</t>
        </is>
      </c>
      <c r="CF1371" t="inlineStr">
        <is>
          <t>Q2-W03</t>
        </is>
      </c>
      <c r="CG1371"/>
      <c r="CH1371"/>
      <c r="CI1371"/>
      <c r="CJ1371" t="inlineStr">
        <is>
          <t>No Paid</t>
        </is>
      </c>
      <c r="CK1371" t="inlineStr">
        <is>
          <t>Eligible</t>
        </is>
      </c>
      <c r="CL1371"/>
      <c r="CM1371"/>
    </row>
    <row r="1372" ht="25.5" customHeight="1">
      <c r="A1372" t="inlineStr">
        <is>
          <t>187571</t>
        </is>
      </c>
      <c r="B1372" s="2"/>
      <c r="C1372"/>
      <c r="D1372" s="3">
        <v>46135.38107638889</v>
      </c>
      <c r="E1372" t="inlineStr">
        <is>
          <t>Q2-W03</t>
        </is>
      </c>
      <c r="F1372" t="inlineStr">
        <is>
          <t>Alex Chan</t>
        </is>
      </c>
      <c r="G1372" t="inlineStr">
        <is>
          <t>Customer</t>
        </is>
      </c>
      <c r="H1372" s="2" t="str">
        <f>=HYPERLINK("https://upbox.ajobthing.my/customer/187571", "https://upbox.ajobthing.my/customer/187571")</f>
        <v>https://upbox.ajobthing.my/customer/187571</v>
      </c>
      <c r="I1372" t="inlineStr">
        <is>
          <t>Aisin Asia Sales Malaysia Sdn Bhd</t>
        </is>
      </c>
      <c r="J1372" t="inlineStr">
        <is>
          <t>Whale</t>
        </is>
      </c>
      <c r="K1372" t="inlineStr">
        <is>
          <t>Alex Chan</t>
        </is>
      </c>
      <c r="L1372" s="4"/>
      <c r="M1372" s="4">
        <v>46135.38270833333</v>
      </c>
      <c r="N1372"/>
      <c r="O1372">
        <v>3888</v>
      </c>
      <c r="P1372" s="4"/>
      <c r="Q1372" s="4">
        <v>46141.45483796296</v>
      </c>
      <c r="R1372"/>
      <c r="S1372">
        <v>3888</v>
      </c>
      <c r="T1372" s="4">
        <v>46133.757152777776</v>
      </c>
      <c r="U1372" s="4"/>
      <c r="V1372"/>
      <c r="W1372">
        <v>864</v>
      </c>
      <c r="X1372"/>
      <c r="Y1372" t="inlineStr">
        <is>
          <t>Pending Appointment</t>
        </is>
      </c>
      <c r="Z1372" t="inlineStr">
        <is>
          <t>Hiring Now</t>
        </is>
      </c>
      <c r="AA1372">
        <v>3</v>
      </c>
      <c r="AB1372" t="inlineStr">
        <is>
          <t>No Appointment Made</t>
        </is>
      </c>
      <c r="AC1372"/>
      <c r="AD1372" t="inlineStr">
        <is>
          <t>1x BD, 1x Technician Spare Part, 1x BD Manager</t>
        </is>
      </c>
      <c r="AE1372"/>
      <c r="AF1372">
        <v>3000</v>
      </c>
      <c r="AG1372" s="4"/>
      <c r="AH1372" s="4"/>
      <c r="AI1372">
        <v>3000</v>
      </c>
      <c r="AJ1372">
        <v>1</v>
      </c>
      <c r="AK1372" t="inlineStr">
        <is>
          <t>No, I don't need at all</t>
        </is>
      </c>
      <c r="AL1372">
        <v>1</v>
      </c>
      <c r="AM1372" t="inlineStr">
        <is>
          <t>No, I don't need at all</t>
        </is>
      </c>
      <c r="AN1372"/>
      <c r="AO1372" t="inlineStr">
        <is>
          <t>No, I don't need at all</t>
        </is>
      </c>
      <c r="AP1372" t="inlineStr">
        <is>
          <t>Once per quarter (75%)</t>
        </is>
      </c>
      <c r="AQ1372">
        <v>3</v>
      </c>
      <c r="AR1372" t="inlineStr">
        <is>
          <t>Free Job Portal</t>
        </is>
      </c>
      <c r="AS1372" t="inlineStr">
        <is>
          <t>- Headcount: 3
- Hiring Job Details: 1x BD, 1x Technician Spare Part, 1x BD Manager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per quarter (75%)
- External job portal: Free Job Portal</t>
        </is>
      </c>
      <c r="AT1372">
        <v>115</v>
      </c>
      <c r="AU1372" t="inlineStr">
        <is>
          <t>1.15</t>
        </is>
      </c>
      <c r="AV1372" t="inlineStr">
        <is>
          <t>15</t>
        </is>
      </c>
      <c r="AW1372" t="inlineStr">
        <is>
          <t>0</t>
        </is>
      </c>
      <c r="AX1372" t="inlineStr">
        <is>
          <t>Not Qualified</t>
        </is>
      </c>
      <c r="AY1372" s="4"/>
      <c r="AZ1372"/>
      <c r="BA1372"/>
      <c r="BB1372"/>
      <c r="BC1372" t="inlineStr">
        <is>
          <t>assist use system</t>
        </is>
      </c>
      <c r="BD1372" s="4">
        <v>46136.71461805556</v>
      </c>
      <c r="BE1372" t="inlineStr">
        <is>
          <t>pending</t>
        </is>
      </c>
      <c r="BF1372" t="inlineStr">
        <is>
          <t>Q2-W03</t>
        </is>
      </c>
      <c r="BG1372" t="inlineStr">
        <is>
          <t>Reschedule</t>
        </is>
      </c>
      <c r="BH1372" t="inlineStr">
        <is>
          <t>Reagen</t>
        </is>
      </c>
      <c r="BI1372" t="inlineStr">
        <is>
          <t>Automobile / Automotive</t>
        </is>
      </c>
      <c r="BJ1372" s="4">
        <v>46144.752175925925</v>
      </c>
      <c r="BK1372" s="4">
        <v>45700.708032407405</v>
      </c>
      <c r="BL1372" t="inlineStr">
        <is>
          <t>1728.0</t>
        </is>
      </c>
      <c r="BM1372" t="inlineStr">
        <is>
          <t>4800.0</t>
        </is>
      </c>
      <c r="BN1372" t="inlineStr">
        <is>
          <t>User Visit(Logged In)</t>
        </is>
      </c>
      <c r="BO1372" s="4">
        <v>46143.15443287037</v>
      </c>
      <c r="BP1372">
        <v>168420</v>
      </c>
      <c r="BQ1372">
        <v>124034</v>
      </c>
      <c r="BR1372" t="inlineStr">
        <is>
          <t>Proforma</t>
        </is>
      </c>
      <c r="BS1372" t="inlineStr">
        <is>
          <t>AI Yearly Standard Plan (Jan 26)</t>
        </is>
      </c>
      <c r="BT1372">
        <v>94555</v>
      </c>
      <c r="BU1372"/>
      <c r="BV1372">
        <v>2727244</v>
      </c>
      <c r="BW1372" t="inlineStr">
        <is>
          <t>Service / Technical : Job Outcome Enquiry</t>
        </is>
      </c>
      <c r="BX1372">
        <v>2</v>
      </c>
      <c r="BY1372">
        <v>1</v>
      </c>
      <c r="BZ1372" s="4">
        <v>46134.402916666666</v>
      </c>
      <c r="CA1372">
        <v>10</v>
      </c>
      <c r="CB1372">
        <v>8</v>
      </c>
      <c r="CC1372" s="4">
        <v>46134.73920138889</v>
      </c>
      <c r="CD1372" t="inlineStr">
        <is>
          <t>20</t>
        </is>
      </c>
      <c r="CE1372" t="inlineStr">
        <is>
          <t>0</t>
        </is>
      </c>
      <c r="CF1372" t="inlineStr">
        <is>
          <t>Q2-W03</t>
        </is>
      </c>
      <c r="CG1372" t="inlineStr">
        <is>
          <t>Q2-W04</t>
        </is>
      </c>
      <c r="CH1372" t="inlineStr">
        <is>
          <t>Q2-W03</t>
        </is>
      </c>
      <c r="CI1372"/>
      <c r="CJ1372" t="inlineStr">
        <is>
          <t>Paid</t>
        </is>
      </c>
      <c r="CK1372" t="inlineStr">
        <is>
          <t>Eligible</t>
        </is>
      </c>
      <c r="CL1372"/>
      <c r="CM1372"/>
    </row>
    <row r="1373" ht="25.5" customHeight="1">
      <c r="A1373" t="inlineStr">
        <is>
          <t>187192</t>
        </is>
      </c>
      <c r="B1373" s="2"/>
      <c r="C1373"/>
      <c r="D1373" s="3">
        <v>46135.39896990741</v>
      </c>
      <c r="E1373" t="inlineStr">
        <is>
          <t>Q2-W03</t>
        </is>
      </c>
      <c r="F1373" t="inlineStr">
        <is>
          <t>Ratha</t>
        </is>
      </c>
      <c r="G1373" t="inlineStr">
        <is>
          <t>Customer</t>
        </is>
      </c>
      <c r="H1373" s="2" t="str">
        <f>=HYPERLINK("https://upbox.ajobthing.my/customer/187192", "https://upbox.ajobthing.my/customer/187192")</f>
        <v>https://upbox.ajobthing.my/customer/187192</v>
      </c>
      <c r="I1373" t="inlineStr">
        <is>
          <t>Mctronic Plastic Sdn. Bhd.</t>
        </is>
      </c>
      <c r="J1373" t="inlineStr">
        <is>
          <t>Whale</t>
        </is>
      </c>
      <c r="K1373" t="inlineStr">
        <is>
          <t>Ratha</t>
        </is>
      </c>
      <c r="L1373" s="4"/>
      <c r="M1373" s="4">
        <v>46135.400358796294</v>
      </c>
      <c r="N1373"/>
      <c r="O1373">
        <v>3672</v>
      </c>
      <c r="P1373" s="4"/>
      <c r="Q1373" s="4">
        <v>46112.75959490741</v>
      </c>
      <c r="R1373"/>
      <c r="S1373">
        <v>0</v>
      </c>
      <c r="T1373" s="4"/>
      <c r="U1373" s="4"/>
      <c r="V1373"/>
      <c r="W1373"/>
      <c r="X1373"/>
      <c r="Y1373" t="inlineStr">
        <is>
          <t>Pending Appointment</t>
        </is>
      </c>
      <c r="Z1373" t="inlineStr">
        <is>
          <t>Hiring Now</t>
        </is>
      </c>
      <c r="AA1373">
        <v>4</v>
      </c>
      <c r="AB1373" t="inlineStr">
        <is>
          <t>No Appointment Made</t>
        </is>
      </c>
      <c r="AC1373"/>
      <c r="AD1373" t="inlineStr">
        <is>
          <t>Location : Johor
QA Manager (1 only)
qc (2)
lorry driver (1)</t>
        </is>
      </c>
      <c r="AE1373"/>
      <c r="AF1373"/>
      <c r="AG1373" s="4"/>
      <c r="AH1373" s="4"/>
      <c r="AI1373">
        <v>0</v>
      </c>
      <c r="AJ1373">
        <v>1</v>
      </c>
      <c r="AK1373" t="inlineStr">
        <is>
          <t>Yes, I have</t>
        </is>
      </c>
      <c r="AL1373">
        <v>2</v>
      </c>
      <c r="AM1373" t="inlineStr">
        <is>
          <t>No, I don't need at all</t>
        </is>
      </c>
      <c r="AN1373"/>
      <c r="AO1373" t="inlineStr">
        <is>
          <t>No, I don't need at all</t>
        </is>
      </c>
      <c r="AP1373" t="inlineStr">
        <is>
          <t>Once per quarter (75%)</t>
        </is>
      </c>
      <c r="AQ1373">
        <v>0</v>
      </c>
      <c r="AR1373" t="inlineStr">
        <is>
          <t>Free Job Portal</t>
        </is>
      </c>
      <c r="AS1373" t="inlineStr">
        <is>
          <t>- Headcount: 4
- Hiring Job Details: Johor location; 1 QA Manager, 2 QC, 1 lorry driver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Free Job Portal</t>
        </is>
      </c>
      <c r="AT1373">
        <v>95</v>
      </c>
      <c r="AU1373" t="inlineStr">
        <is>
          <t>0.95</t>
        </is>
      </c>
      <c r="AV1373" t="inlineStr">
        <is>
          <t>5</t>
        </is>
      </c>
      <c r="AW1373" t="inlineStr">
        <is>
          <t>0</t>
        </is>
      </c>
      <c r="AX1373" t="inlineStr">
        <is>
          <t>Not Qualified</t>
        </is>
      </c>
      <c r="AY1373" s="4"/>
      <c r="AZ1373"/>
      <c r="BA1373"/>
      <c r="BB1373"/>
      <c r="BC1373" t="inlineStr">
        <is>
          <t>no status</t>
        </is>
      </c>
      <c r="BD1373" s="4">
        <v>46139.644224537034</v>
      </c>
      <c r="BE1373" t="inlineStr">
        <is>
          <t>paid</t>
        </is>
      </c>
      <c r="BF1373"/>
      <c r="BG1373" t="inlineStr">
        <is>
          <t>Reschedule</t>
        </is>
      </c>
      <c r="BH1373" t="inlineStr">
        <is>
          <t>Fauziah Maharan</t>
        </is>
      </c>
      <c r="BI1373" t="inlineStr">
        <is>
          <t>Manufacturing / Production</t>
        </is>
      </c>
      <c r="BJ1373" s="4">
        <v>46144.75215277778</v>
      </c>
      <c r="BK1373" s="4">
        <v>45688.52266203704</v>
      </c>
      <c r="BL1373" t="inlineStr">
        <is>
          <t>0.0</t>
        </is>
      </c>
      <c r="BM1373" t="inlineStr">
        <is>
          <t>0.0</t>
        </is>
      </c>
      <c r="BN1373" t="inlineStr">
        <is>
          <t>View Company Page</t>
        </is>
      </c>
      <c r="BO1373" s="4">
        <v>46134.76482638889</v>
      </c>
      <c r="BP1373">
        <v>168428</v>
      </c>
      <c r="BQ1373">
        <v>119083</v>
      </c>
      <c r="BR1373" t="inlineStr">
        <is>
          <t>Proforma</t>
        </is>
      </c>
      <c r="BS1373" t="inlineStr">
        <is>
          <t>Free Singapore Job</t>
        </is>
      </c>
      <c r="BT1373"/>
      <c r="BU1373"/>
      <c r="BV1373">
        <v>2730260</v>
      </c>
      <c r="BW1373" t="inlineStr">
        <is>
          <t>Follow Up : Decision Pending</t>
        </is>
      </c>
      <c r="BX1373"/>
      <c r="BY1373"/>
      <c r="BZ1373" s="4"/>
      <c r="CA1373"/>
      <c r="CB1373"/>
      <c r="CC1373" s="4"/>
      <c r="CD1373" t="inlineStr">
        <is>
          <t>5</t>
        </is>
      </c>
      <c r="CE1373" t="inlineStr">
        <is>
          <t>0</t>
        </is>
      </c>
      <c r="CF1373" t="inlineStr">
        <is>
          <t>Q2-W03</t>
        </is>
      </c>
      <c r="CG1373" t="inlineStr">
        <is>
          <t>Q1-W13</t>
        </is>
      </c>
      <c r="CH1373"/>
      <c r="CI1373"/>
      <c r="CJ1373" t="inlineStr">
        <is>
          <t>No Paid</t>
        </is>
      </c>
      <c r="CK1373" t="inlineStr">
        <is>
          <t>Eligible</t>
        </is>
      </c>
      <c r="CL1373"/>
      <c r="CM1373"/>
    </row>
    <row r="1374" ht="25.5" customHeight="1">
      <c r="A1374" t="inlineStr">
        <is>
          <t>190238</t>
        </is>
      </c>
      <c r="B1374" s="2"/>
      <c r="C1374"/>
      <c r="D1374" s="3">
        <v>46135.41378472222</v>
      </c>
      <c r="E1374" t="inlineStr">
        <is>
          <t>Q2-W03</t>
        </is>
      </c>
      <c r="F1374" t="inlineStr">
        <is>
          <t>Yuli</t>
        </is>
      </c>
      <c r="G1374" t="inlineStr">
        <is>
          <t>Customer</t>
        </is>
      </c>
      <c r="H1374" s="2" t="str">
        <f>=HYPERLINK("https://upbox.ajobthing.my/customer/190238", "https://upbox.ajobthing.my/customer/190238")</f>
        <v>https://upbox.ajobthing.my/customer/190238</v>
      </c>
      <c r="I1374" t="inlineStr">
        <is>
          <t>Zhong An Asset Management Sdn. Bhd.</t>
        </is>
      </c>
      <c r="J1374" t="inlineStr">
        <is>
          <t>Whale</t>
        </is>
      </c>
      <c r="K1374" t="inlineStr">
        <is>
          <t>YuLi</t>
        </is>
      </c>
      <c r="L1374" s="4"/>
      <c r="M1374" s="4">
        <v>46135.41391203704</v>
      </c>
      <c r="N1374"/>
      <c r="O1374">
        <v>6048</v>
      </c>
      <c r="P1374" s="4"/>
      <c r="Q1374" s="4">
        <v>45772.82953703704</v>
      </c>
      <c r="R1374"/>
      <c r="S1374">
        <v>3132</v>
      </c>
      <c r="T1374" s="4">
        <v>45772.82953703704</v>
      </c>
      <c r="U1374" s="4"/>
      <c r="V1374"/>
      <c r="W1374">
        <v>3132</v>
      </c>
      <c r="X1374"/>
      <c r="Y1374" t="inlineStr">
        <is>
          <t>Pending Appointment</t>
        </is>
      </c>
      <c r="Z1374" t="inlineStr">
        <is>
          <t>Hiring Now</t>
        </is>
      </c>
      <c r="AA1374">
        <v>1</v>
      </c>
      <c r="AB1374" t="inlineStr">
        <is>
          <t>No Appointment Made</t>
        </is>
      </c>
      <c r="AC1374"/>
      <c r="AD1374" t="inlineStr">
        <is>
          <t>Marketing &amp; Media Executive</t>
        </is>
      </c>
      <c r="AE1374"/>
      <c r="AF1374"/>
      <c r="AG1374" s="4"/>
      <c r="AH1374" s="4"/>
      <c r="AI1374"/>
      <c r="AJ1374"/>
      <c r="AK1374"/>
      <c r="AL1374"/>
      <c r="AM1374"/>
      <c r="AN1374"/>
      <c r="AO1374"/>
      <c r="AP1374"/>
      <c r="AQ1374"/>
      <c r="AR1374" t="inlineStr">
        <is>
          <t>Did not use any job portal</t>
        </is>
      </c>
      <c r="AS1374" t="inlineStr">
        <is>
          <t>- Headcount: 1
- Hiring Job Details: Marketing &amp; Media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Did not use any job portal</t>
        </is>
      </c>
      <c r="AT1374">
        <v>60</v>
      </c>
      <c r="AU1374" t="inlineStr">
        <is>
          <t>0.60</t>
        </is>
      </c>
      <c r="AV1374" t="inlineStr">
        <is>
          <t>5</t>
        </is>
      </c>
      <c r="AW1374" t="inlineStr">
        <is>
          <t>0</t>
        </is>
      </c>
      <c r="AX1374" t="inlineStr">
        <is>
          <t>Not Qualified</t>
        </is>
      </c>
      <c r="AY1374" s="4"/>
      <c r="AZ1374"/>
      <c r="BA1374"/>
      <c r="BB1374"/>
      <c r="BC1374" t="inlineStr">
        <is>
          <t>called but no answered</t>
        </is>
      </c>
      <c r="BD1374" s="4">
        <v>46140.47589120371</v>
      </c>
      <c r="BE1374" t="inlineStr">
        <is>
          <t>paid</t>
        </is>
      </c>
      <c r="BF1374"/>
      <c r="BG1374" t="inlineStr">
        <is>
          <t>Reschedule</t>
        </is>
      </c>
      <c r="BH1374" t="inlineStr">
        <is>
          <t>Fauziah Maharan</t>
        </is>
      </c>
      <c r="BI1374" t="inlineStr">
        <is>
          <t>Property / Real Estate</t>
        </is>
      </c>
      <c r="BJ1374" s="4">
        <v>46144.75234953704</v>
      </c>
      <c r="BK1374" s="4">
        <v>45765.65587962963</v>
      </c>
      <c r="BL1374" t="inlineStr">
        <is>
          <t>0.0</t>
        </is>
      </c>
      <c r="BM1374" t="inlineStr">
        <is>
          <t>3000.0</t>
        </is>
      </c>
      <c r="BN1374" t="inlineStr">
        <is>
          <t>View Company Page</t>
        </is>
      </c>
      <c r="BO1374" s="4">
        <v>46139.4252662037</v>
      </c>
      <c r="BP1374">
        <v>168433</v>
      </c>
      <c r="BQ1374">
        <v>78806</v>
      </c>
      <c r="BR1374" t="inlineStr">
        <is>
          <t>Online</t>
        </is>
      </c>
      <c r="BS1374"/>
      <c r="BT1374">
        <v>78806</v>
      </c>
      <c r="BU1374"/>
      <c r="BV1374">
        <v>2732113</v>
      </c>
      <c r="BW1374" t="inlineStr">
        <is>
          <t>No Answer : Voicemail - Email sent to customer</t>
        </is>
      </c>
      <c r="BX1374"/>
      <c r="BY1374"/>
      <c r="BZ1374" s="4"/>
      <c r="CA1374"/>
      <c r="CB1374"/>
      <c r="CC1374" s="4"/>
      <c r="CD1374" t="inlineStr">
        <is>
          <t>5</t>
        </is>
      </c>
      <c r="CE1374" t="inlineStr">
        <is>
          <t>0</t>
        </is>
      </c>
      <c r="CF1374" t="inlineStr">
        <is>
          <t>Q2-W03</t>
        </is>
      </c>
      <c r="CG1374"/>
      <c r="CH1374"/>
      <c r="CI1374"/>
      <c r="CJ1374" t="inlineStr">
        <is>
          <t>Paid</t>
        </is>
      </c>
      <c r="CK1374" t="inlineStr">
        <is>
          <t>Eligible</t>
        </is>
      </c>
      <c r="CL1374"/>
      <c r="CM1374"/>
    </row>
    <row r="1375" ht="25.5" customHeight="1">
      <c r="A1375" t="inlineStr">
        <is>
          <t>170075</t>
        </is>
      </c>
      <c r="B1375" s="2"/>
      <c r="C1375"/>
      <c r="D1375" s="3">
        <v>46135.42271990741</v>
      </c>
      <c r="E1375" t="inlineStr">
        <is>
          <t>Q2-W03</t>
        </is>
      </c>
      <c r="F1375" t="inlineStr">
        <is>
          <t>Chia Yee</t>
        </is>
      </c>
      <c r="G1375" t="inlineStr">
        <is>
          <t>Customer</t>
        </is>
      </c>
      <c r="H1375" s="2" t="str">
        <f>=HYPERLINK("https://upbox.ajobthing.my/customer/170075", "https://upbox.ajobthing.my/customer/170075")</f>
        <v>https://upbox.ajobthing.my/customer/170075</v>
      </c>
      <c r="I1375" t="inlineStr">
        <is>
          <t>China Communications Construction Company (M) Sdn Bhd</t>
        </is>
      </c>
      <c r="J1375" t="inlineStr">
        <is>
          <t>Whale</t>
        </is>
      </c>
      <c r="K1375" t="inlineStr">
        <is>
          <t>Chia Yee</t>
        </is>
      </c>
      <c r="L1375" s="4"/>
      <c r="M1375" s="4">
        <v>46135.42282407408</v>
      </c>
      <c r="N1375"/>
      <c r="O1375">
        <v>6048</v>
      </c>
      <c r="P1375" s="4"/>
      <c r="Q1375" s="4">
        <v>45933.74849537037</v>
      </c>
      <c r="R1375"/>
      <c r="S1375">
        <v>864</v>
      </c>
      <c r="T1375" s="4">
        <v>45933.74849537037</v>
      </c>
      <c r="U1375" s="4"/>
      <c r="V1375"/>
      <c r="W1375">
        <v>864</v>
      </c>
      <c r="X1375"/>
      <c r="Y1375" t="inlineStr">
        <is>
          <t>Pending Appointment</t>
        </is>
      </c>
      <c r="Z1375" t="inlineStr">
        <is>
          <t>Hiring Now</t>
        </is>
      </c>
      <c r="AA1375">
        <v>7</v>
      </c>
      <c r="AB1375" t="inlineStr">
        <is>
          <t>No Appointment Made</t>
        </is>
      </c>
      <c r="AC1375"/>
      <c r="AD1375" t="inlineStr">
        <is>
          <t>4-5 person site safety supervisor, 2 person site engineer</t>
        </is>
      </c>
      <c r="AE1375"/>
      <c r="AF1375">
        <v>0</v>
      </c>
      <c r="AG1375" s="4"/>
      <c r="AH1375" s="4"/>
      <c r="AI1375">
        <v>0</v>
      </c>
      <c r="AJ1375">
        <v>1</v>
      </c>
      <c r="AK1375" t="inlineStr">
        <is>
          <t>No, I don't need at all</t>
        </is>
      </c>
      <c r="AL1375">
        <v>1</v>
      </c>
      <c r="AM1375" t="inlineStr">
        <is>
          <t>No, I don't need at all</t>
        </is>
      </c>
      <c r="AN1375"/>
      <c r="AO1375" t="inlineStr">
        <is>
          <t>No, I don't need at all</t>
        </is>
      </c>
      <c r="AP1375" t="inlineStr">
        <is>
          <t>Once a year (25%)</t>
        </is>
      </c>
      <c r="AQ1375">
        <v>7</v>
      </c>
      <c r="AR1375" t="inlineStr">
        <is>
          <t>Did not use any job portal</t>
        </is>
      </c>
      <c r="AS1375" t="inlineStr">
        <is>
          <t>- Headcount: 7
- Hiring Job Details: 4-5 person site safety supervisor, 2 person site engineer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7
- Hiring frequency: Once a year (25%)
- External job portal: Did not use any job portal</t>
        </is>
      </c>
      <c r="AT1375">
        <v>105</v>
      </c>
      <c r="AU1375" t="inlineStr">
        <is>
          <t>1.05</t>
        </is>
      </c>
      <c r="AV1375" t="inlineStr">
        <is>
          <t>20</t>
        </is>
      </c>
      <c r="AW1375" t="inlineStr">
        <is>
          <t>0</t>
        </is>
      </c>
      <c r="AX1375" t="inlineStr">
        <is>
          <t>Not Qualified</t>
        </is>
      </c>
      <c r="AY1375" s="4"/>
      <c r="AZ1375"/>
      <c r="BA1375"/>
      <c r="BB1375"/>
      <c r="BC1375" t="inlineStr">
        <is>
          <t>Replied: will inform u tomorrow morning</t>
        </is>
      </c>
      <c r="BD1375" s="4">
        <v>46142.59378472222</v>
      </c>
      <c r="BE1375" t="inlineStr">
        <is>
          <t>paid</t>
        </is>
      </c>
      <c r="BF1375"/>
      <c r="BG1375" t="inlineStr">
        <is>
          <t>Reschedule</t>
        </is>
      </c>
      <c r="BH1375" t="inlineStr">
        <is>
          <t>Reagen</t>
        </is>
      </c>
      <c r="BI1375"/>
      <c r="BJ1375" s="4">
        <v>46144.75140046296</v>
      </c>
      <c r="BK1375" s="4">
        <v>45149.67737268518</v>
      </c>
      <c r="BL1375" t="inlineStr">
        <is>
          <t>864.0</t>
        </is>
      </c>
      <c r="BM1375" t="inlineStr">
        <is>
          <t>21300.0</t>
        </is>
      </c>
      <c r="BN1375" t="inlineStr">
        <is>
          <t>View Jobmanager Page</t>
        </is>
      </c>
      <c r="BO1375" s="4">
        <v>45992.460810185185</v>
      </c>
      <c r="BP1375">
        <v>168444</v>
      </c>
      <c r="BQ1375">
        <v>82984</v>
      </c>
      <c r="BR1375" t="inlineStr">
        <is>
          <t>Online</t>
        </is>
      </c>
      <c r="BS1375"/>
      <c r="BT1375">
        <v>82984</v>
      </c>
      <c r="BU1375"/>
      <c r="BV1375">
        <v>2737657</v>
      </c>
      <c r="BW1375" t="inlineStr">
        <is>
          <t>Follow Up : Decision Pending</t>
        </is>
      </c>
      <c r="BX1375"/>
      <c r="BY1375"/>
      <c r="BZ1375" s="4"/>
      <c r="CA1375"/>
      <c r="CB1375"/>
      <c r="CC1375" s="4"/>
      <c r="CD1375" t="inlineStr">
        <is>
          <t>30</t>
        </is>
      </c>
      <c r="CE1375" t="inlineStr">
        <is>
          <t>0</t>
        </is>
      </c>
      <c r="CF1375" t="inlineStr">
        <is>
          <t>Q2-W03</t>
        </is>
      </c>
      <c r="CG1375"/>
      <c r="CH1375"/>
      <c r="CI1375"/>
      <c r="CJ1375" t="inlineStr">
        <is>
          <t>Paid</t>
        </is>
      </c>
      <c r="CK1375" t="inlineStr">
        <is>
          <t>Eligible</t>
        </is>
      </c>
      <c r="CL1375"/>
      <c r="CM1375"/>
    </row>
    <row r="1376" ht="25.5" customHeight="1">
      <c r="A1376" t="inlineStr">
        <is>
          <t>179457</t>
        </is>
      </c>
      <c r="B1376" s="2"/>
      <c r="C1376"/>
      <c r="D1376" s="3">
        <v>46135.436840277776</v>
      </c>
      <c r="E1376" t="inlineStr">
        <is>
          <t>Q2-W03</t>
        </is>
      </c>
      <c r="F1376" t="inlineStr">
        <is>
          <t>Ratha</t>
        </is>
      </c>
      <c r="G1376" t="inlineStr">
        <is>
          <t>Customer</t>
        </is>
      </c>
      <c r="H1376" s="2" t="str">
        <f>=HYPERLINK("https://upbox.ajobthing.my/customer/179457", "https://upbox.ajobthing.my/customer/179457")</f>
        <v>https://upbox.ajobthing.my/customer/179457</v>
      </c>
      <c r="I1376" t="inlineStr">
        <is>
          <t>Topmix Resources Sdn Bhd</t>
        </is>
      </c>
      <c r="J1376" t="inlineStr">
        <is>
          <t>Whale</t>
        </is>
      </c>
      <c r="K1376" t="inlineStr">
        <is>
          <t>Ratha</t>
        </is>
      </c>
      <c r="L1376" s="4"/>
      <c r="M1376" s="4">
        <v>46135.43791666667</v>
      </c>
      <c r="N1376"/>
      <c r="O1376">
        <v>3672</v>
      </c>
      <c r="P1376" s="4"/>
      <c r="Q1376" s="4">
        <v>46135.717361111114</v>
      </c>
      <c r="R1376"/>
      <c r="S1376">
        <v>3672</v>
      </c>
      <c r="T1376" s="4">
        <v>45949.42680555556</v>
      </c>
      <c r="U1376" s="4"/>
      <c r="V1376"/>
      <c r="W1376">
        <v>648</v>
      </c>
      <c r="X1376"/>
      <c r="Y1376" t="inlineStr">
        <is>
          <t>Pending Appointment</t>
        </is>
      </c>
      <c r="Z1376" t="inlineStr">
        <is>
          <t>Hiring Now</t>
        </is>
      </c>
      <c r="AA1376">
        <v>3</v>
      </c>
      <c r="AB1376" t="inlineStr">
        <is>
          <t>No Appointment Made</t>
        </is>
      </c>
      <c r="AC1376"/>
      <c r="AD1376" t="inlineStr">
        <is>
          <t>Admin : 3
Location : Johor</t>
        </is>
      </c>
      <c r="AE1376"/>
      <c r="AF1376"/>
      <c r="AG1376" s="4"/>
      <c r="AH1376" s="4"/>
      <c r="AI1376">
        <v>0</v>
      </c>
      <c r="AJ1376">
        <v>1</v>
      </c>
      <c r="AK1376" t="inlineStr">
        <is>
          <t>Yes, I have</t>
        </is>
      </c>
      <c r="AL1376">
        <v>2</v>
      </c>
      <c r="AM1376" t="inlineStr">
        <is>
          <t>No, I don't need at all</t>
        </is>
      </c>
      <c r="AN1376"/>
      <c r="AO1376" t="inlineStr">
        <is>
          <t>No, I don't need at all</t>
        </is>
      </c>
      <c r="AP1376" t="inlineStr">
        <is>
          <t>Once per quarter (75%)</t>
        </is>
      </c>
      <c r="AQ1376">
        <v>0</v>
      </c>
      <c r="AR1376" t="inlineStr">
        <is>
          <t>Jobstreet, Free Job Portal</t>
        </is>
      </c>
      <c r="AS1376" t="inlineStr">
        <is>
          <t>- Headcount: 3
- Hiring Job Details: 3 admin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1376">
        <v>110</v>
      </c>
      <c r="AU1376" t="inlineStr">
        <is>
          <t>1.10</t>
        </is>
      </c>
      <c r="AV1376" t="inlineStr">
        <is>
          <t>5</t>
        </is>
      </c>
      <c r="AW1376" t="inlineStr">
        <is>
          <t>0</t>
        </is>
      </c>
      <c r="AX1376" t="inlineStr">
        <is>
          <t>Not Qualified</t>
        </is>
      </c>
      <c r="AY1376" s="4"/>
      <c r="AZ1376"/>
      <c r="BA1376"/>
      <c r="BB1376"/>
      <c r="BC1376" t="inlineStr">
        <is>
          <t>paid</t>
        </is>
      </c>
      <c r="BD1376" s="4">
        <v>46140.404641203706</v>
      </c>
      <c r="BE1376" t="inlineStr">
        <is>
          <t>pending</t>
        </is>
      </c>
      <c r="BF1376"/>
      <c r="BG1376" t="inlineStr">
        <is>
          <t>Reschedule</t>
        </is>
      </c>
      <c r="BH1376" t="inlineStr">
        <is>
          <t>Fauziah Maharan</t>
        </is>
      </c>
      <c r="BI1376" t="inlineStr">
        <is>
          <t>Manufacturing / Production</t>
        </is>
      </c>
      <c r="BJ1376" s="4">
        <v>46144.75178240741</v>
      </c>
      <c r="BK1376" s="4">
        <v>45457.64282407407</v>
      </c>
      <c r="BL1376" t="inlineStr">
        <is>
          <t>648.0</t>
        </is>
      </c>
      <c r="BM1376" t="inlineStr">
        <is>
          <t>13200.0</t>
        </is>
      </c>
      <c r="BN1376" t="inlineStr">
        <is>
          <t>View Company Page</t>
        </is>
      </c>
      <c r="BO1376" s="4">
        <v>46135.44055555556</v>
      </c>
      <c r="BP1376">
        <v>168463</v>
      </c>
      <c r="BQ1376">
        <v>123627</v>
      </c>
      <c r="BR1376" t="inlineStr">
        <is>
          <t>Proforma</t>
        </is>
      </c>
      <c r="BS1376" t="inlineStr">
        <is>
          <t>AI Yearly Standard Plan (Jan 26)</t>
        </is>
      </c>
      <c r="BT1376">
        <v>83413</v>
      </c>
      <c r="BU1376"/>
      <c r="BV1376">
        <v>2731723</v>
      </c>
      <c r="BW1376" t="inlineStr">
        <is>
          <t>Follow Up : Win - Customer Paid</t>
        </is>
      </c>
      <c r="BX1376"/>
      <c r="BY1376"/>
      <c r="BZ1376" s="4"/>
      <c r="CA1376"/>
      <c r="CB1376"/>
      <c r="CC1376" s="4"/>
      <c r="CD1376" t="inlineStr">
        <is>
          <t>5</t>
        </is>
      </c>
      <c r="CE1376" t="inlineStr">
        <is>
          <t>0</t>
        </is>
      </c>
      <c r="CF1376" t="inlineStr">
        <is>
          <t>Q2-W03</t>
        </is>
      </c>
      <c r="CG1376" t="inlineStr">
        <is>
          <t>Q2-W03</t>
        </is>
      </c>
      <c r="CH1376"/>
      <c r="CI1376"/>
      <c r="CJ1376" t="inlineStr">
        <is>
          <t>Paid</t>
        </is>
      </c>
      <c r="CK1376" t="inlineStr">
        <is>
          <t>Eligible</t>
        </is>
      </c>
      <c r="CL1376"/>
      <c r="CM1376"/>
    </row>
    <row r="1377" ht="25.5" customHeight="1">
      <c r="A1377" t="inlineStr">
        <is>
          <t>159451</t>
        </is>
      </c>
      <c r="B1377" s="2"/>
      <c r="C1377"/>
      <c r="D1377" s="3">
        <v>46135.438472222224</v>
      </c>
      <c r="E1377" t="inlineStr">
        <is>
          <t>Q2-W03</t>
        </is>
      </c>
      <c r="F1377" t="inlineStr">
        <is>
          <t>Alan KY</t>
        </is>
      </c>
      <c r="G1377" t="inlineStr">
        <is>
          <t>Customer</t>
        </is>
      </c>
      <c r="H1377" s="2" t="str">
        <f>=HYPERLINK("https://upbox.ajobthing.my/customer/159451", "https://upbox.ajobthing.my/customer/159451")</f>
        <v>https://upbox.ajobthing.my/customer/159451</v>
      </c>
      <c r="I1377" t="inlineStr">
        <is>
          <t>Eden Flame Sdn. Bhd.</t>
        </is>
      </c>
      <c r="J1377" t="inlineStr">
        <is>
          <t>Whale</t>
        </is>
      </c>
      <c r="K1377" t="inlineStr">
        <is>
          <t>Alan KY</t>
        </is>
      </c>
      <c r="L1377" s="4"/>
      <c r="M1377" s="4">
        <v>46135.43711805555</v>
      </c>
      <c r="N1377"/>
      <c r="O1377">
        <v>3888</v>
      </c>
      <c r="P1377" s="4"/>
      <c r="Q1377" s="4">
        <v>46140.65162037037</v>
      </c>
      <c r="R1377"/>
      <c r="S1377">
        <v>5412.96</v>
      </c>
      <c r="T1377" s="4">
        <v>45464.70707175926</v>
      </c>
      <c r="U1377" s="4"/>
      <c r="V1377"/>
      <c r="W1377">
        <v>2700</v>
      </c>
      <c r="X1377"/>
      <c r="Y1377" t="inlineStr">
        <is>
          <t>Pending Appointment</t>
        </is>
      </c>
      <c r="Z1377" t="inlineStr">
        <is>
          <t>Hiring Now</t>
        </is>
      </c>
      <c r="AA1377">
        <v>3</v>
      </c>
      <c r="AB1377" t="inlineStr">
        <is>
          <t>No Appointment Made</t>
        </is>
      </c>
      <c r="AC1377"/>
      <c r="AD1377" t="inlineStr">
        <is>
          <t xml:space="preserve">1 admin, 1 account exe, 1 logistics , based in Johor </t>
        </is>
      </c>
      <c r="AE1377"/>
      <c r="AF1377"/>
      <c r="AG1377" s="4"/>
      <c r="AH1377" s="4"/>
      <c r="AI1377"/>
      <c r="AJ1377">
        <v>2</v>
      </c>
      <c r="AK1377" t="inlineStr">
        <is>
          <t>No, I don't need at all</t>
        </is>
      </c>
      <c r="AL1377">
        <v>0</v>
      </c>
      <c r="AM1377" t="inlineStr">
        <is>
          <t>No, I don't need at all</t>
        </is>
      </c>
      <c r="AN1377"/>
      <c r="AO1377" t="inlineStr">
        <is>
          <t>No, I don't need at all</t>
        </is>
      </c>
      <c r="AP1377" t="inlineStr">
        <is>
          <t>Once per quarter (75%)</t>
        </is>
      </c>
      <c r="AQ1377"/>
      <c r="AR1377" t="inlineStr">
        <is>
          <t>Jobstreet</t>
        </is>
      </c>
      <c r="AS1377" t="inlineStr">
        <is>
          <t>- Headcount: 3
- Hiring Job Details: 1 admin, 1 account exe, 1 logistics, based in Johor
- Hiring Urgency: Hiring Now
- Number of outlets: 2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377">
        <v>105</v>
      </c>
      <c r="AU1377" t="inlineStr">
        <is>
          <t>1.05</t>
        </is>
      </c>
      <c r="AV1377" t="inlineStr">
        <is>
          <t>5</t>
        </is>
      </c>
      <c r="AW1377" t="inlineStr">
        <is>
          <t>0</t>
        </is>
      </c>
      <c r="AX1377" t="inlineStr">
        <is>
          <t>Not Qualified</t>
        </is>
      </c>
      <c r="AY1377" s="4"/>
      <c r="AZ1377"/>
      <c r="BA1377"/>
      <c r="BB1377"/>
      <c r="BC1377" t="inlineStr">
        <is>
          <t>confirm with package, advice on the next step. 
give price offer, share invoice</t>
        </is>
      </c>
      <c r="BD1377" s="4">
        <v>46140.76112268519</v>
      </c>
      <c r="BE1377" t="inlineStr">
        <is>
          <t>pending</t>
        </is>
      </c>
      <c r="BF1377"/>
      <c r="BG1377" t="inlineStr">
        <is>
          <t>Reschedule</t>
        </is>
      </c>
      <c r="BH1377" t="inlineStr">
        <is>
          <t>Reagen</t>
        </is>
      </c>
      <c r="BI1377" t="inlineStr">
        <is>
          <t>Manufacturing / Production</t>
        </is>
      </c>
      <c r="BJ1377" s="4">
        <v>46144.751064814816</v>
      </c>
      <c r="BK1377" s="4">
        <v>44810.65604166667</v>
      </c>
      <c r="BL1377" t="inlineStr">
        <is>
          <t>0.0</t>
        </is>
      </c>
      <c r="BM1377" t="inlineStr">
        <is>
          <t>1800.0</t>
        </is>
      </c>
      <c r="BN1377" t="inlineStr">
        <is>
          <t>View Jobmanager Page</t>
        </is>
      </c>
      <c r="BO1377" s="4">
        <v>45967.49916666667</v>
      </c>
      <c r="BP1377">
        <v>168462</v>
      </c>
      <c r="BQ1377">
        <v>123936</v>
      </c>
      <c r="BR1377" t="inlineStr">
        <is>
          <t>Proforma</t>
        </is>
      </c>
      <c r="BS1377" t="inlineStr">
        <is>
          <t>AI Yearly Professional Plan (Jan 26)</t>
        </is>
      </c>
      <c r="BT1377">
        <v>70311</v>
      </c>
      <c r="BU1377"/>
      <c r="BV1377">
        <v>2733987</v>
      </c>
      <c r="BW1377" t="inlineStr">
        <is>
          <t>Follow Up : Invoice Sent 75%</t>
        </is>
      </c>
      <c r="BX1377"/>
      <c r="BY1377"/>
      <c r="BZ1377" s="4"/>
      <c r="CA1377"/>
      <c r="CB1377"/>
      <c r="CC1377" s="4"/>
      <c r="CD1377" t="inlineStr">
        <is>
          <t>5</t>
        </is>
      </c>
      <c r="CE1377" t="inlineStr">
        <is>
          <t>0</t>
        </is>
      </c>
      <c r="CF1377" t="inlineStr">
        <is>
          <t>Q2-W03</t>
        </is>
      </c>
      <c r="CG1377" t="inlineStr">
        <is>
          <t>Q2-W04</t>
        </is>
      </c>
      <c r="CH1377"/>
      <c r="CI1377"/>
      <c r="CJ1377" t="inlineStr">
        <is>
          <t>Paid</t>
        </is>
      </c>
      <c r="CK1377" t="inlineStr">
        <is>
          <t>Eligible</t>
        </is>
      </c>
      <c r="CL1377"/>
      <c r="CM1377"/>
    </row>
    <row r="1378" ht="25.5" customHeight="1">
      <c r="A1378" t="inlineStr">
        <is>
          <t>159783</t>
        </is>
      </c>
      <c r="B1378" s="2"/>
      <c r="C1378"/>
      <c r="D1378" s="3">
        <v>46135.44206018518</v>
      </c>
      <c r="E1378" t="inlineStr">
        <is>
          <t>Q2-W03</t>
        </is>
      </c>
      <c r="F1378" t="inlineStr">
        <is>
          <t>Jess</t>
        </is>
      </c>
      <c r="G1378" t="inlineStr">
        <is>
          <t>Customer</t>
        </is>
      </c>
      <c r="H1378" s="2" t="str">
        <f>=HYPERLINK("https://upbox.ajobthing.my/customer/159783", "https://upbox.ajobthing.my/customer/159783")</f>
        <v>https://upbox.ajobthing.my/customer/159783</v>
      </c>
      <c r="I1378" t="inlineStr">
        <is>
          <t>SP Autism Behavioral Center Sdn Bhd</t>
        </is>
      </c>
      <c r="J1378" t="inlineStr">
        <is>
          <t>Whale</t>
        </is>
      </c>
      <c r="K1378" t="inlineStr">
        <is>
          <t>Jess Lim</t>
        </is>
      </c>
      <c r="L1378" s="4"/>
      <c r="M1378" s="4">
        <v>46135.441342592596</v>
      </c>
      <c r="N1378"/>
      <c r="O1378">
        <v>11232</v>
      </c>
      <c r="P1378" s="4"/>
      <c r="Q1378" s="4">
        <v>46142.63658564815</v>
      </c>
      <c r="R1378"/>
      <c r="S1378">
        <v>6048</v>
      </c>
      <c r="T1378" s="4">
        <v>46142.63658564815</v>
      </c>
      <c r="U1378" s="4"/>
      <c r="V1378"/>
      <c r="W1378">
        <v>6048</v>
      </c>
      <c r="X1378"/>
      <c r="Y1378" t="inlineStr">
        <is>
          <t>Pending Appointment</t>
        </is>
      </c>
      <c r="Z1378" t="inlineStr">
        <is>
          <t>Hiring Now</t>
        </is>
      </c>
      <c r="AA1378">
        <v>2</v>
      </c>
      <c r="AB1378" t="inlineStr">
        <is>
          <t>No Appointment Made</t>
        </is>
      </c>
      <c r="AC1378"/>
      <c r="AD1378" t="inlineStr">
        <is>
          <t>teacher account admin 2 kl</t>
        </is>
      </c>
      <c r="AE1378"/>
      <c r="AF1378">
        <v>5000</v>
      </c>
      <c r="AG1378" s="4"/>
      <c r="AH1378" s="4"/>
      <c r="AI1378"/>
      <c r="AJ1378">
        <v>1</v>
      </c>
      <c r="AK1378" t="inlineStr">
        <is>
          <t>No, I don't need at all</t>
        </is>
      </c>
      <c r="AL1378">
        <v>1</v>
      </c>
      <c r="AM1378" t="inlineStr">
        <is>
          <t>No, I don't need at all</t>
        </is>
      </c>
      <c r="AN1378"/>
      <c r="AO1378" t="inlineStr">
        <is>
          <t>No, I don't need at all</t>
        </is>
      </c>
      <c r="AP1378" t="inlineStr">
        <is>
          <t>Once a year (25%)</t>
        </is>
      </c>
      <c r="AQ1378"/>
      <c r="AR1378" t="inlineStr">
        <is>
          <t>Jobstreet</t>
        </is>
      </c>
      <c r="AS1378" t="inlineStr">
        <is>
          <t>- Headcount: 2
- Hiring Job Details: teacher account admin 2 kl
- Hiring Urgency: Hiring Now
- Number of outlets: 1
- Have recruiter team: No, I don't need at all
- Number of recruiter in company: 1
- Have ATS system: No, I don't need at all
- Have career website: No, I don't need at all
- Current hiring budget: RM5,000.00
- Whole year budget: 
- Whole year number of vacancies: 
- Hiring frequency: Once a year (25%)
- External job portal: Jobstreet</t>
        </is>
      </c>
      <c r="AT1378">
        <v>105</v>
      </c>
      <c r="AU1378" t="inlineStr">
        <is>
          <t>1.05</t>
        </is>
      </c>
      <c r="AV1378" t="inlineStr">
        <is>
          <t>15</t>
        </is>
      </c>
      <c r="AW1378" t="inlineStr">
        <is>
          <t>0</t>
        </is>
      </c>
      <c r="AX1378" t="inlineStr">
        <is>
          <t>Not Qualified</t>
        </is>
      </c>
      <c r="AY1378" s="4"/>
      <c r="AZ1378"/>
      <c r="BA1378"/>
      <c r="BB1378"/>
      <c r="BC1378" t="inlineStr">
        <is>
          <t>help to post job special teacher</t>
        </is>
      </c>
      <c r="BD1378" s="4">
        <v>46142.65758101852</v>
      </c>
      <c r="BE1378" t="inlineStr">
        <is>
          <t>paid</t>
        </is>
      </c>
      <c r="BF1378" t="inlineStr">
        <is>
          <t>Q2-W04</t>
        </is>
      </c>
      <c r="BG1378" t="inlineStr">
        <is>
          <t>Reschedule</t>
        </is>
      </c>
      <c r="BH1378" t="inlineStr">
        <is>
          <t>Fauziah Maharan</t>
        </is>
      </c>
      <c r="BI1378" t="inlineStr">
        <is>
          <t>Education / Training</t>
        </is>
      </c>
      <c r="BJ1378" s="4">
        <v>46144.751064814816</v>
      </c>
      <c r="BK1378" s="4">
        <v>44818.38920138889</v>
      </c>
      <c r="BL1378" t="inlineStr">
        <is>
          <t>6048.0</t>
        </is>
      </c>
      <c r="BM1378" t="inlineStr">
        <is>
          <t>6000.0</t>
        </is>
      </c>
      <c r="BN1378" t="inlineStr">
        <is>
          <t>PA Visit - Job Card</t>
        </is>
      </c>
      <c r="BO1378" s="4">
        <v>46142.70207175926</v>
      </c>
      <c r="BP1378">
        <v>168467</v>
      </c>
      <c r="BQ1378">
        <v>95204</v>
      </c>
      <c r="BR1378" t="inlineStr">
        <is>
          <t>Online</t>
        </is>
      </c>
      <c r="BS1378"/>
      <c r="BT1378">
        <v>95204</v>
      </c>
      <c r="BU1378"/>
      <c r="BV1378">
        <v>2738020</v>
      </c>
      <c r="BW1378" t="inlineStr">
        <is>
          <t>Service / Technical : Help To Post Job</t>
        </is>
      </c>
      <c r="BX1378">
        <v>18</v>
      </c>
      <c r="BY1378">
        <v>17</v>
      </c>
      <c r="BZ1378" s="4">
        <v>46142.66028935185</v>
      </c>
      <c r="CA1378">
        <v>160</v>
      </c>
      <c r="CB1378">
        <v>160</v>
      </c>
      <c r="CC1378" s="4"/>
      <c r="CD1378" t="inlineStr">
        <is>
          <t>20</t>
        </is>
      </c>
      <c r="CE1378" t="inlineStr">
        <is>
          <t>0</t>
        </is>
      </c>
      <c r="CF1378" t="inlineStr">
        <is>
          <t>Q2-W03</t>
        </is>
      </c>
      <c r="CG1378" t="inlineStr">
        <is>
          <t>Q2-W04</t>
        </is>
      </c>
      <c r="CH1378" t="inlineStr">
        <is>
          <t>Q2-W04</t>
        </is>
      </c>
      <c r="CI1378"/>
      <c r="CJ1378" t="inlineStr">
        <is>
          <t>Paid</t>
        </is>
      </c>
      <c r="CK1378" t="inlineStr">
        <is>
          <t>Eligible</t>
        </is>
      </c>
      <c r="CL1378"/>
      <c r="CM1378"/>
    </row>
    <row r="1379" ht="25.5" customHeight="1">
      <c r="A1379" t="inlineStr">
        <is>
          <t>114755</t>
        </is>
      </c>
      <c r="B1379" s="2"/>
      <c r="C1379"/>
      <c r="D1379" s="3">
        <v>46135.4525462963</v>
      </c>
      <c r="E1379" t="inlineStr">
        <is>
          <t>Q2-W03</t>
        </is>
      </c>
      <c r="F1379" t="inlineStr">
        <is>
          <t>Evan</t>
        </is>
      </c>
      <c r="G1379" t="inlineStr">
        <is>
          <t>Customer</t>
        </is>
      </c>
      <c r="H1379" s="2" t="str">
        <f>=HYPERLINK("https://upbox.ajobthing.my/customer/114755", "https://upbox.ajobthing.my/customer/114755")</f>
        <v>https://upbox.ajobthing.my/customer/114755</v>
      </c>
      <c r="I1379" t="inlineStr">
        <is>
          <t>Megalift Sdn Bhd</t>
        </is>
      </c>
      <c r="J1379" t="inlineStr">
        <is>
          <t>Whale</t>
        </is>
      </c>
      <c r="K1379" t="inlineStr">
        <is>
          <t>Evan</t>
        </is>
      </c>
      <c r="L1379" s="4"/>
      <c r="M1379" s="4">
        <v>46133.63359953704</v>
      </c>
      <c r="N1379"/>
      <c r="O1379">
        <v>10800</v>
      </c>
      <c r="P1379" s="4"/>
      <c r="Q1379" s="4">
        <v>46136.708287037036</v>
      </c>
      <c r="R1379"/>
      <c r="S1379">
        <v>0</v>
      </c>
      <c r="T1379" s="4">
        <v>46135.69773148148</v>
      </c>
      <c r="U1379" s="4"/>
      <c r="V1379"/>
      <c r="W1379">
        <v>6048</v>
      </c>
      <c r="X1379"/>
      <c r="Y1379" t="inlineStr">
        <is>
          <t>Pending Appointment</t>
        </is>
      </c>
      <c r="Z1379" t="inlineStr">
        <is>
          <t>Hiring Now</t>
        </is>
      </c>
      <c r="AA1379">
        <v>1</v>
      </c>
      <c r="AB1379" t="inlineStr">
        <is>
          <t>No Appointment Made</t>
        </is>
      </c>
      <c r="AC1379"/>
      <c r="AD1379" t="inlineStr">
        <is>
          <t>1 collector, all base in klang</t>
        </is>
      </c>
      <c r="AE1379"/>
      <c r="AF1379">
        <v>1</v>
      </c>
      <c r="AG1379" s="4"/>
      <c r="AH1379" s="4"/>
      <c r="AI1379">
        <v>1</v>
      </c>
      <c r="AJ1379">
        <v>1</v>
      </c>
      <c r="AK1379" t="inlineStr">
        <is>
          <t>Yes, I have</t>
        </is>
      </c>
      <c r="AL1379">
        <v>1</v>
      </c>
      <c r="AM1379" t="inlineStr">
        <is>
          <t>No, I don't need at all</t>
        </is>
      </c>
      <c r="AN1379"/>
      <c r="AO1379" t="inlineStr">
        <is>
          <t>No, I don't need at all</t>
        </is>
      </c>
      <c r="AP1379" t="inlineStr">
        <is>
          <t>Once a year (25%)</t>
        </is>
      </c>
      <c r="AQ1379">
        <v>1</v>
      </c>
      <c r="AR1379" t="inlineStr">
        <is>
          <t>Jobstreet</t>
        </is>
      </c>
      <c r="AS1379" t="inlineStr">
        <is>
          <t>- Headcount: 1
- Hiring Job Details: 1 collector, all base in klang
- Hiring Urgency: Hiring Now
- Number of outlets: 1
- Have recruiter team: Yes
- Number of recruiter in company: 1
- Have ATS system: No, I don't need at all
- Have career website: No, I don't need at all
- Current hiring budget: RM1
- Whole year budget: RM1.00
- Whole year number of vacancies: 1
- Hiring frequency: Once a year (25%)
- External job portal: Jobstreet</t>
        </is>
      </c>
      <c r="AT1379">
        <v>115</v>
      </c>
      <c r="AU1379" t="inlineStr">
        <is>
          <t>1.15</t>
        </is>
      </c>
      <c r="AV1379" t="inlineStr">
        <is>
          <t>15</t>
        </is>
      </c>
      <c r="AW1379" t="inlineStr">
        <is>
          <t>0</t>
        </is>
      </c>
      <c r="AX1379" t="inlineStr">
        <is>
          <t>Not Qualified</t>
        </is>
      </c>
      <c r="AY1379" s="4"/>
      <c r="AZ1379"/>
      <c r="BA1379"/>
      <c r="BB1379"/>
      <c r="BC1379" t="inlineStr">
        <is>
          <t>paid</t>
        </is>
      </c>
      <c r="BD1379" s="4">
        <v>46136.41605324074</v>
      </c>
      <c r="BE1379" t="inlineStr">
        <is>
          <t>paid</t>
        </is>
      </c>
      <c r="BF1379" t="inlineStr">
        <is>
          <t>Q2-W03</t>
        </is>
      </c>
      <c r="BG1379" t="inlineStr">
        <is>
          <t>Reschedule</t>
        </is>
      </c>
      <c r="BH1379" t="inlineStr">
        <is>
          <t>Edward Hoo</t>
        </is>
      </c>
      <c r="BI1379" t="inlineStr">
        <is>
          <t>Transportation / Logistics</t>
        </is>
      </c>
      <c r="BJ1379" s="4">
        <v>46144.750127314815</v>
      </c>
      <c r="BK1379" s="4">
        <v>43468.65472222222</v>
      </c>
      <c r="BL1379" t="inlineStr">
        <is>
          <t>6048.0</t>
        </is>
      </c>
      <c r="BM1379" t="inlineStr">
        <is>
          <t>1800.0</t>
        </is>
      </c>
      <c r="BN1379" t="inlineStr">
        <is>
          <t>View Company Page</t>
        </is>
      </c>
      <c r="BO1379" s="4">
        <v>46142.54201388889</v>
      </c>
      <c r="BP1379">
        <v>168070</v>
      </c>
      <c r="BQ1379">
        <v>123702</v>
      </c>
      <c r="BR1379" t="inlineStr">
        <is>
          <t>Proforma</t>
        </is>
      </c>
      <c r="BS1379" t="inlineStr">
        <is>
          <t>Free Part-Time Job</t>
        </is>
      </c>
      <c r="BT1379">
        <v>94683</v>
      </c>
      <c r="BU1379"/>
      <c r="BV1379">
        <v>2725473</v>
      </c>
      <c r="BW1379" t="inlineStr">
        <is>
          <t>Follow Up : Win - Customer Paid</t>
        </is>
      </c>
      <c r="BX1379">
        <v>16</v>
      </c>
      <c r="BY1379">
        <v>13</v>
      </c>
      <c r="BZ1379" s="4">
        <v>46141.38153935185</v>
      </c>
      <c r="CA1379">
        <v>173</v>
      </c>
      <c r="CB1379">
        <v>173</v>
      </c>
      <c r="CC1379" s="4"/>
      <c r="CD1379" t="inlineStr">
        <is>
          <t>20</t>
        </is>
      </c>
      <c r="CE1379" t="inlineStr">
        <is>
          <t>0</t>
        </is>
      </c>
      <c r="CF1379" t="inlineStr">
        <is>
          <t>Q2-W03</t>
        </is>
      </c>
      <c r="CG1379" t="inlineStr">
        <is>
          <t>Q2-W04</t>
        </is>
      </c>
      <c r="CH1379" t="inlineStr">
        <is>
          <t>Q2-W03</t>
        </is>
      </c>
      <c r="CI1379"/>
      <c r="CJ1379" t="inlineStr">
        <is>
          <t>Paid</t>
        </is>
      </c>
      <c r="CK1379" t="inlineStr">
        <is>
          <t>Eligible</t>
        </is>
      </c>
      <c r="CL1379"/>
      <c r="CM1379"/>
    </row>
    <row r="1380" ht="25.5" customHeight="1">
      <c r="A1380" t="inlineStr">
        <is>
          <t>23289</t>
        </is>
      </c>
      <c r="B1380" s="2"/>
      <c r="C1380"/>
      <c r="D1380" s="3">
        <v>46135.466840277775</v>
      </c>
      <c r="E1380" t="inlineStr">
        <is>
          <t>Q2-W03</t>
        </is>
      </c>
      <c r="F1380" t="inlineStr">
        <is>
          <t>Ken Yi</t>
        </is>
      </c>
      <c r="G1380" t="inlineStr">
        <is>
          <t>Customer</t>
        </is>
      </c>
      <c r="H1380" s="2" t="str">
        <f>=HYPERLINK("https://upbox.ajobthing.my/customer/23289", "https://upbox.ajobthing.my/customer/23289")</f>
        <v>https://upbox.ajobthing.my/customer/23289</v>
      </c>
      <c r="I1380" t="inlineStr">
        <is>
          <t>Sin Yuan Group</t>
        </is>
      </c>
      <c r="J1380" t="inlineStr">
        <is>
          <t>Whale</t>
        </is>
      </c>
      <c r="K1380" t="inlineStr">
        <is>
          <t>Kenyi</t>
        </is>
      </c>
      <c r="L1380" s="4"/>
      <c r="M1380" s="4">
        <v>46135.469513888886</v>
      </c>
      <c r="N1380"/>
      <c r="O1380">
        <v>6048</v>
      </c>
      <c r="P1380" s="4"/>
      <c r="Q1380" s="4">
        <v>45779.468726851854</v>
      </c>
      <c r="R1380"/>
      <c r="S1380">
        <v>216</v>
      </c>
      <c r="T1380" s="4">
        <v>45779.468726851854</v>
      </c>
      <c r="U1380" s="4"/>
      <c r="V1380"/>
      <c r="W1380">
        <v>216</v>
      </c>
      <c r="X1380"/>
      <c r="Y1380" t="inlineStr">
        <is>
          <t>Pending Appointment</t>
        </is>
      </c>
      <c r="Z1380" t="inlineStr">
        <is>
          <t>Hiring Now</t>
        </is>
      </c>
      <c r="AA1380">
        <v>2</v>
      </c>
      <c r="AB1380" t="inlineStr">
        <is>
          <t>No Appointment Made</t>
        </is>
      </c>
      <c r="AC1380"/>
      <c r="AD1380" t="inlineStr">
        <is>
          <t xml:space="preserve">Supervisor, sales </t>
        </is>
      </c>
      <c r="AE1380"/>
      <c r="AF1380">
        <v>6048</v>
      </c>
      <c r="AG1380" s="4"/>
      <c r="AH1380" s="4"/>
      <c r="AI1380">
        <v>6048</v>
      </c>
      <c r="AJ1380">
        <v>1</v>
      </c>
      <c r="AK1380" t="inlineStr">
        <is>
          <t>Yes, I have</t>
        </is>
      </c>
      <c r="AL1380">
        <v>1</v>
      </c>
      <c r="AM1380" t="inlineStr">
        <is>
          <t>No, I don't need at all</t>
        </is>
      </c>
      <c r="AN1380"/>
      <c r="AO1380" t="inlineStr">
        <is>
          <t>No, I don't need at all</t>
        </is>
      </c>
      <c r="AP1380" t="inlineStr">
        <is>
          <t>Every month (100%)</t>
        </is>
      </c>
      <c r="AQ1380">
        <v>5</v>
      </c>
      <c r="AR1380" t="inlineStr">
        <is>
          <t>Jobstreet, Hiredly</t>
        </is>
      </c>
      <c r="AS1380" t="inlineStr">
        <is>
          <t>- Headcount: 2
- Hiring Job Details: Supervisor, sales
- Hiring Urgency: Hiring Now
- Number of outlets: 1
- Have recruiter team: Yes
- Number of recruiter in company: 1
- Have ATS system: No, I don't need at all
- Have career website: No, I don't need at all
- Current hiring budget: RM6,048
- Whole year budget: RM6,048.00
- Whole year number of vacancies: 5
- Hiring frequency: Every month (100%)
- External job portal: Jobstreet, Hiredly</t>
        </is>
      </c>
      <c r="AT1380">
        <v>115</v>
      </c>
      <c r="AU1380" t="inlineStr">
        <is>
          <t>1.15</t>
        </is>
      </c>
      <c r="AV1380" t="inlineStr">
        <is>
          <t>15</t>
        </is>
      </c>
      <c r="AW1380" t="inlineStr">
        <is>
          <t>0</t>
        </is>
      </c>
      <c r="AX1380" t="inlineStr">
        <is>
          <t>Not Qualified</t>
        </is>
      </c>
      <c r="AY1380" s="4"/>
      <c r="AZ1380"/>
      <c r="BA1380"/>
      <c r="BB1380"/>
      <c r="BC1380" t="inlineStr">
        <is>
          <t>follow up with client, pending management decisino</t>
        </is>
      </c>
      <c r="BD1380" s="4">
        <v>46141.37994212963</v>
      </c>
      <c r="BE1380" t="inlineStr">
        <is>
          <t>paid</t>
        </is>
      </c>
      <c r="BF1380"/>
      <c r="BG1380" t="inlineStr">
        <is>
          <t>Reschedule</t>
        </is>
      </c>
      <c r="BH1380" t="inlineStr">
        <is>
          <t>Fauziah Maharan</t>
        </is>
      </c>
      <c r="BI1380" t="inlineStr">
        <is>
          <t>Construction / Building</t>
        </is>
      </c>
      <c r="BJ1380" s="4">
        <v>46144.75444444444</v>
      </c>
      <c r="BK1380" s="4">
        <v>42508.3578125</v>
      </c>
      <c r="BL1380" t="inlineStr">
        <is>
          <t>3132.0</t>
        </is>
      </c>
      <c r="BM1380" t="inlineStr">
        <is>
          <t>3450.0</t>
        </is>
      </c>
      <c r="BN1380" t="inlineStr">
        <is>
          <t>View Company Page</t>
        </is>
      </c>
      <c r="BO1380" s="4">
        <v>46129.49623842593</v>
      </c>
      <c r="BP1380">
        <v>168490</v>
      </c>
      <c r="BQ1380">
        <v>5784</v>
      </c>
      <c r="BR1380" t="inlineStr">
        <is>
          <t>Manual (Paid)</t>
        </is>
      </c>
      <c r="BS1380" t="inlineStr">
        <is>
          <t>Standard Package ( Balance )</t>
        </is>
      </c>
      <c r="BT1380">
        <v>5784</v>
      </c>
      <c r="BU1380"/>
      <c r="BV1380">
        <v>2734084</v>
      </c>
      <c r="BW1380" t="inlineStr">
        <is>
          <t>Follow Up : Decision Pending</t>
        </is>
      </c>
      <c r="BX1380"/>
      <c r="BY1380"/>
      <c r="BZ1380" s="4"/>
      <c r="CA1380"/>
      <c r="CB1380"/>
      <c r="CC1380" s="4"/>
      <c r="CD1380" t="inlineStr">
        <is>
          <t>20</t>
        </is>
      </c>
      <c r="CE1380" t="inlineStr">
        <is>
          <t>0</t>
        </is>
      </c>
      <c r="CF1380" t="inlineStr">
        <is>
          <t>Q2-W03</t>
        </is>
      </c>
      <c r="CG1380"/>
      <c r="CH1380"/>
      <c r="CI1380"/>
      <c r="CJ1380" t="inlineStr">
        <is>
          <t>Paid</t>
        </is>
      </c>
      <c r="CK1380" t="inlineStr">
        <is>
          <t>Eligible</t>
        </is>
      </c>
      <c r="CL1380"/>
      <c r="CM1380"/>
    </row>
    <row r="1381" ht="25.5" customHeight="1">
      <c r="A1381" t="inlineStr">
        <is>
          <t>154352</t>
        </is>
      </c>
      <c r="B1381" s="2"/>
      <c r="C1381"/>
      <c r="D1381" s="3">
        <v>46135.4844212963</v>
      </c>
      <c r="E1381" t="inlineStr">
        <is>
          <t>Q2-W03</t>
        </is>
      </c>
      <c r="F1381" t="inlineStr">
        <is>
          <t>Yvonne Lee</t>
        </is>
      </c>
      <c r="G1381" t="inlineStr">
        <is>
          <t>Customer</t>
        </is>
      </c>
      <c r="H1381" s="2" t="str">
        <f>=HYPERLINK("https://upbox.ajobthing.my/customer/154352", "https://upbox.ajobthing.my/customer/154352")</f>
        <v>https://upbox.ajobthing.my/customer/154352</v>
      </c>
      <c r="I1381" t="inlineStr">
        <is>
          <t>EHH Food Industry Sdn Bhd</t>
        </is>
      </c>
      <c r="J1381" t="inlineStr">
        <is>
          <t>Whale</t>
        </is>
      </c>
      <c r="K1381" t="inlineStr">
        <is>
          <t>Yvonne</t>
        </is>
      </c>
      <c r="L1381" s="4"/>
      <c r="M1381" s="4">
        <v>46135.496099537035</v>
      </c>
      <c r="N1381"/>
      <c r="O1381">
        <v>12960</v>
      </c>
      <c r="P1381" s="4"/>
      <c r="Q1381" s="4">
        <v>46135.67895833333</v>
      </c>
      <c r="R1381"/>
      <c r="S1381">
        <v>0</v>
      </c>
      <c r="T1381" s="4">
        <v>44705.40638888889</v>
      </c>
      <c r="U1381" s="4"/>
      <c r="V1381"/>
      <c r="W1381">
        <v>2120</v>
      </c>
      <c r="X1381"/>
      <c r="Y1381" t="inlineStr">
        <is>
          <t>Pending Appointment</t>
        </is>
      </c>
      <c r="Z1381" t="inlineStr">
        <is>
          <t>Hiring Now</t>
        </is>
      </c>
      <c r="AA1381">
        <v>3</v>
      </c>
      <c r="AB1381" t="inlineStr">
        <is>
          <t>Appointment Made</t>
        </is>
      </c>
      <c r="AC1381"/>
      <c r="AD1381" t="inlineStr">
        <is>
          <t>1) Executive
2) Driver
3) Operator</t>
        </is>
      </c>
      <c r="AE1381"/>
      <c r="AF1381">
        <v>10000</v>
      </c>
      <c r="AG1381" s="4"/>
      <c r="AH1381" s="4"/>
      <c r="AI1381">
        <v>10000</v>
      </c>
      <c r="AJ1381">
        <v>2</v>
      </c>
      <c r="AK1381" t="inlineStr">
        <is>
          <t>Yes, I have</t>
        </is>
      </c>
      <c r="AL1381">
        <v>2</v>
      </c>
      <c r="AM1381" t="inlineStr">
        <is>
          <t>No, I don't need at all</t>
        </is>
      </c>
      <c r="AN1381"/>
      <c r="AO1381" t="inlineStr">
        <is>
          <t>Yes, I have</t>
        </is>
      </c>
      <c r="AP1381" t="inlineStr">
        <is>
          <t>Once per quarter (75%)</t>
        </is>
      </c>
      <c r="AQ1381">
        <v>22</v>
      </c>
      <c r="AR1381" t="inlineStr">
        <is>
          <t>Jobstreet, Free Job Portal, Linkedin (Paid)</t>
        </is>
      </c>
      <c r="AS1381" t="inlineStr">
        <is>
          <t>- Headcount: 3
- Hiring Job Details: 1 Executive, 2 Driver, 3 Operator
- Hiring Urgency: Hiring Now
- Number of outlets: 2
- Have recruiter team: Yes
- Number of recruiter in company: 2
- Have ATS system: No, I don't need at all
- Have career website: Yes
- Current hiring budget: RM10,000
- Whole year budget: RM10,000.00
- Whole year number of vacancies: 22
- Hiring frequency: Once per quarter (75%)
- External job portal: Jobstreet, Free Job Portal, Linkedin (Paid)</t>
        </is>
      </c>
      <c r="AT1381">
        <v>105</v>
      </c>
      <c r="AU1381" t="inlineStr">
        <is>
          <t>1.05</t>
        </is>
      </c>
      <c r="AV1381" t="inlineStr">
        <is>
          <t>15</t>
        </is>
      </c>
      <c r="AW1381" t="inlineStr">
        <is>
          <t>0</t>
        </is>
      </c>
      <c r="AX1381" t="inlineStr">
        <is>
          <t>Not Qualified</t>
        </is>
      </c>
      <c r="AY1381" s="4"/>
      <c r="AZ1381"/>
      <c r="BA1381"/>
      <c r="BB1381"/>
      <c r="BC1381" t="inlineStr">
        <is>
          <t>discuss to pump more posting for the free trial.</t>
        </is>
      </c>
      <c r="BD1381" s="4">
        <v>46142.41048611111</v>
      </c>
      <c r="BE1381" t="inlineStr">
        <is>
          <t>paid</t>
        </is>
      </c>
      <c r="BF1381"/>
      <c r="BG1381" t="inlineStr">
        <is>
          <t>Reschedule</t>
        </is>
      </c>
      <c r="BH1381" t="inlineStr">
        <is>
          <t>andy@ajobthing.com</t>
        </is>
      </c>
      <c r="BI1381" t="inlineStr">
        <is>
          <t>Food / Beverage</t>
        </is>
      </c>
      <c r="BJ1381" s="4">
        <v>46144.7509375</v>
      </c>
      <c r="BK1381" s="4">
        <v>44701.456099537034</v>
      </c>
      <c r="BL1381" t="inlineStr">
        <is>
          <t>0.0</t>
        </is>
      </c>
      <c r="BM1381" t="inlineStr">
        <is>
          <t>8400.0</t>
        </is>
      </c>
      <c r="BN1381" t="inlineStr">
        <is>
          <t>View Company Page</t>
        </is>
      </c>
      <c r="BO1381" s="4">
        <v>46140.63972222222</v>
      </c>
      <c r="BP1381">
        <v>168506</v>
      </c>
      <c r="BQ1381">
        <v>123622</v>
      </c>
      <c r="BR1381" t="inlineStr">
        <is>
          <t>Proforma</t>
        </is>
      </c>
      <c r="BS1381" t="inlineStr">
        <is>
          <t>Job Ad 365 - SME 100 Free Trial</t>
        </is>
      </c>
      <c r="BT1381">
        <v>45283</v>
      </c>
      <c r="BU1381"/>
      <c r="BV1381">
        <v>2736587</v>
      </c>
      <c r="BW1381" t="inlineStr">
        <is>
          <t>Inquire for Hiring Needs : Budget Concern</t>
        </is>
      </c>
      <c r="BX1381">
        <v>300</v>
      </c>
      <c r="BY1381">
        <v>282</v>
      </c>
      <c r="BZ1381" s="4">
        <v>46140.63569444444</v>
      </c>
      <c r="CA1381">
        <v>13</v>
      </c>
      <c r="CB1381">
        <v>13</v>
      </c>
      <c r="CC1381" s="4"/>
      <c r="CD1381" t="inlineStr">
        <is>
          <t>20</t>
        </is>
      </c>
      <c r="CE1381" t="inlineStr">
        <is>
          <t>0</t>
        </is>
      </c>
      <c r="CF1381" t="inlineStr">
        <is>
          <t>Q2-W03</t>
        </is>
      </c>
      <c r="CG1381" t="inlineStr">
        <is>
          <t>Q2-W03</t>
        </is>
      </c>
      <c r="CH1381"/>
      <c r="CI1381"/>
      <c r="CJ1381" t="inlineStr">
        <is>
          <t>Paid</t>
        </is>
      </c>
      <c r="CK1381" t="inlineStr">
        <is>
          <t>Eligible</t>
        </is>
      </c>
      <c r="CL1381"/>
      <c r="CM1381"/>
    </row>
    <row r="1382" ht="25.5" customHeight="1">
      <c r="A1382" t="inlineStr">
        <is>
          <t>44039</t>
        </is>
      </c>
      <c r="B1382" s="2"/>
      <c r="C1382"/>
      <c r="D1382" s="3">
        <v>46135.49290509259</v>
      </c>
      <c r="E1382" t="inlineStr">
        <is>
          <t>Q2-W03</t>
        </is>
      </c>
      <c r="F1382" t="inlineStr">
        <is>
          <t>Yuli</t>
        </is>
      </c>
      <c r="G1382" t="inlineStr">
        <is>
          <t>Customer</t>
        </is>
      </c>
      <c r="H1382" s="2" t="str">
        <f>=HYPERLINK("https://upbox.ajobthing.my/customer/44039", "https://upbox.ajobthing.my/customer/44039")</f>
        <v>https://upbox.ajobthing.my/customer/44039</v>
      </c>
      <c r="I1382" t="inlineStr">
        <is>
          <t>Hor Cheng Chang Enterprise Sdn. Bhd.	</t>
        </is>
      </c>
      <c r="J1382" t="inlineStr">
        <is>
          <t>Whale</t>
        </is>
      </c>
      <c r="K1382" t="inlineStr">
        <is>
          <t>YuLi</t>
        </is>
      </c>
      <c r="L1382" s="4"/>
      <c r="M1382" s="4">
        <v>46134.65060185185</v>
      </c>
      <c r="N1382"/>
      <c r="O1382">
        <v>3672</v>
      </c>
      <c r="P1382" s="4"/>
      <c r="Q1382" s="4">
        <v>46135.55243055556</v>
      </c>
      <c r="R1382"/>
      <c r="S1382">
        <v>864</v>
      </c>
      <c r="T1382" s="4">
        <v>46135.55243055556</v>
      </c>
      <c r="U1382" s="4"/>
      <c r="V1382"/>
      <c r="W1382">
        <v>864</v>
      </c>
      <c r="X1382"/>
      <c r="Y1382" t="inlineStr">
        <is>
          <t>Pending Appointment</t>
        </is>
      </c>
      <c r="Z1382" t="inlineStr">
        <is>
          <t>Hiring Now</t>
        </is>
      </c>
      <c r="AA1382">
        <v>1</v>
      </c>
      <c r="AB1382" t="inlineStr">
        <is>
          <t>No Appointment Made</t>
        </is>
      </c>
      <c r="AC1382"/>
      <c r="AD1382" t="inlineStr">
        <is>
          <t>1 HR Assistant</t>
        </is>
      </c>
      <c r="AE1382"/>
      <c r="AF1382"/>
      <c r="AG1382" s="4"/>
      <c r="AH1382" s="4"/>
      <c r="AI1382"/>
      <c r="AJ1382"/>
      <c r="AK1382" t="inlineStr">
        <is>
          <t>No, I don't need at all</t>
        </is>
      </c>
      <c r="AL1382"/>
      <c r="AM1382"/>
      <c r="AN1382"/>
      <c r="AO1382"/>
      <c r="AP1382"/>
      <c r="AQ1382"/>
      <c r="AR1382" t="inlineStr">
        <is>
          <t>Jobstreet</t>
        </is>
      </c>
      <c r="AS1382" t="inlineStr">
        <is>
          <t>- Headcount: 1
- Hiring Job Details: 1 HR Assistant
- Hiring Urgency: Hiring Now
- Number of outlets: Not available
- Have recruiter team: No, I don't need at all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1382">
        <v>65</v>
      </c>
      <c r="AU1382" t="inlineStr">
        <is>
          <t>0.65</t>
        </is>
      </c>
      <c r="AV1382" t="inlineStr">
        <is>
          <t>5</t>
        </is>
      </c>
      <c r="AW1382" t="inlineStr">
        <is>
          <t>0</t>
        </is>
      </c>
      <c r="AX1382" t="inlineStr">
        <is>
          <t>Not Qualified</t>
        </is>
      </c>
      <c r="AY1382" s="4"/>
      <c r="AZ1382"/>
      <c r="BA1382"/>
      <c r="BB1382"/>
      <c r="BC1382" t="inlineStr">
        <is>
          <t>Received message from Xin Ying ask to edit the work locations</t>
        </is>
      </c>
      <c r="BD1382" s="4">
        <v>46140.66371527778</v>
      </c>
      <c r="BE1382" t="inlineStr">
        <is>
          <t>paid</t>
        </is>
      </c>
      <c r="BF1382" t="inlineStr">
        <is>
          <t>Q2-W03</t>
        </is>
      </c>
      <c r="BG1382" t="inlineStr">
        <is>
          <t>Reschedule</t>
        </is>
      </c>
      <c r="BH1382" t="inlineStr">
        <is>
          <t>Fauziah Maharan</t>
        </is>
      </c>
      <c r="BI1382" t="inlineStr">
        <is>
          <t>Retail / Merchandise</t>
        </is>
      </c>
      <c r="BJ1382" s="4">
        <v>46144.7559837963</v>
      </c>
      <c r="BK1382" s="4">
        <v>43064.03658564815</v>
      </c>
      <c r="BL1382" t="inlineStr">
        <is>
          <t>1728.0</t>
        </is>
      </c>
      <c r="BM1382" t="inlineStr">
        <is>
          <t>0.0</t>
        </is>
      </c>
      <c r="BN1382" t="inlineStr">
        <is>
          <t>View Company Page</t>
        </is>
      </c>
      <c r="BO1382" s="4">
        <v>46141.65791666666</v>
      </c>
      <c r="BP1382">
        <v>168353</v>
      </c>
      <c r="BQ1382">
        <v>94666</v>
      </c>
      <c r="BR1382" t="inlineStr">
        <is>
          <t>Online</t>
        </is>
      </c>
      <c r="BS1382"/>
      <c r="BT1382">
        <v>94666</v>
      </c>
      <c r="BU1382"/>
      <c r="BV1382">
        <v>2733251</v>
      </c>
      <c r="BW1382" t="inlineStr">
        <is>
          <t>Service / Technical : Job Outcome Enquiry</t>
        </is>
      </c>
      <c r="BX1382">
        <v>1</v>
      </c>
      <c r="BY1382">
        <v>0</v>
      </c>
      <c r="BZ1382" s="4">
        <v>46135.569085648145</v>
      </c>
      <c r="CA1382">
        <v>10</v>
      </c>
      <c r="CB1382">
        <v>10</v>
      </c>
      <c r="CC1382" s="4"/>
      <c r="CD1382" t="inlineStr">
        <is>
          <t>5</t>
        </is>
      </c>
      <c r="CE1382" t="inlineStr">
        <is>
          <t>0</t>
        </is>
      </c>
      <c r="CF1382" t="inlineStr">
        <is>
          <t>Q2-W03</t>
        </is>
      </c>
      <c r="CG1382" t="inlineStr">
        <is>
          <t>Q2-W03</t>
        </is>
      </c>
      <c r="CH1382" t="inlineStr">
        <is>
          <t>Q2-W03</t>
        </is>
      </c>
      <c r="CI1382"/>
      <c r="CJ1382" t="inlineStr">
        <is>
          <t>Paid</t>
        </is>
      </c>
      <c r="CK1382" t="inlineStr">
        <is>
          <t>Eligible</t>
        </is>
      </c>
      <c r="CL1382"/>
      <c r="CM1382"/>
    </row>
    <row r="1383" ht="25.5" customHeight="1">
      <c r="A1383" t="inlineStr">
        <is>
          <t>123456</t>
        </is>
      </c>
      <c r="B1383" s="2"/>
      <c r="C1383"/>
      <c r="D1383" s="3">
        <v>46135.49501157407</v>
      </c>
      <c r="E1383" t="inlineStr">
        <is>
          <t>Q2-W03</t>
        </is>
      </c>
      <c r="F1383" t="inlineStr">
        <is>
          <t>Jia Hui</t>
        </is>
      </c>
      <c r="G1383" t="inlineStr">
        <is>
          <t>Customer</t>
        </is>
      </c>
      <c r="H1383" s="2" t="str">
        <f>=HYPERLINK("https://upbox.ajobthing.my/customer/123456", "https://upbox.ajobthing.my/customer/123456")</f>
        <v>https://upbox.ajobthing.my/customer/123456</v>
      </c>
      <c r="I1383" t="inlineStr">
        <is>
          <t xml:space="preserve">SCE Distributor Sdn Bhd </t>
        </is>
      </c>
      <c r="J1383" t="inlineStr">
        <is>
          <t>Whale</t>
        </is>
      </c>
      <c r="K1383" t="inlineStr">
        <is>
          <t>Jia Hui</t>
        </is>
      </c>
      <c r="L1383" s="4"/>
      <c r="M1383" s="4">
        <v>46135.48936342593</v>
      </c>
      <c r="N1383"/>
      <c r="O1383">
        <v>6048</v>
      </c>
      <c r="P1383" s="4"/>
      <c r="Q1383" s="4">
        <v>46140.74600694444</v>
      </c>
      <c r="R1383"/>
      <c r="S1383">
        <v>5412.96</v>
      </c>
      <c r="T1383" s="4">
        <v>46140.74600694444</v>
      </c>
      <c r="U1383" s="4"/>
      <c r="V1383"/>
      <c r="W1383">
        <v>5412.96</v>
      </c>
      <c r="X1383"/>
      <c r="Y1383" t="inlineStr">
        <is>
          <t>Pending Appointment</t>
        </is>
      </c>
      <c r="Z1383" t="inlineStr">
        <is>
          <t>Hiring Now</t>
        </is>
      </c>
      <c r="AA1383">
        <v>1</v>
      </c>
      <c r="AB1383" t="inlineStr">
        <is>
          <t>No Appointment Made</t>
        </is>
      </c>
      <c r="AC1383"/>
      <c r="AD1383" t="inlineStr">
        <is>
          <t xml:space="preserve">1 editor </t>
        </is>
      </c>
      <c r="AE1383"/>
      <c r="AF1383">
        <v>500</v>
      </c>
      <c r="AG1383" s="4"/>
      <c r="AH1383" s="4"/>
      <c r="AI1383"/>
      <c r="AJ1383"/>
      <c r="AK1383" t="inlineStr">
        <is>
          <t>Yes, I have</t>
        </is>
      </c>
      <c r="AL1383"/>
      <c r="AM1383"/>
      <c r="AN1383"/>
      <c r="AO1383"/>
      <c r="AP1383" t="inlineStr">
        <is>
          <t>Once a year (25%)</t>
        </is>
      </c>
      <c r="AQ1383"/>
      <c r="AR1383"/>
      <c r="AS1383" t="inlineStr">
        <is>
          <t>- Headcount: 1
- Hiring Job Details: 1 editor
- Hiring Urgency: Hiring Now
- Number of outlets: Not provided
- Have recruiter team: Yes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is>
      </c>
      <c r="AT1383">
        <v>75</v>
      </c>
      <c r="AU1383" t="inlineStr">
        <is>
          <t>0.75</t>
        </is>
      </c>
      <c r="AV1383" t="inlineStr">
        <is>
          <t>15</t>
        </is>
      </c>
      <c r="AW1383" t="inlineStr">
        <is>
          <t>0</t>
        </is>
      </c>
      <c r="AX1383" t="inlineStr">
        <is>
          <t>Not Qualified</t>
        </is>
      </c>
      <c r="AY1383" s="4"/>
      <c r="AZ1383"/>
      <c r="BA1383"/>
      <c r="BB1383"/>
      <c r="BC1383" t="inlineStr">
        <is>
          <t>request to upload for company photos</t>
        </is>
      </c>
      <c r="BD1383" s="4">
        <v>46142.596238425926</v>
      </c>
      <c r="BE1383" t="inlineStr">
        <is>
          <t>paid</t>
        </is>
      </c>
      <c r="BF1383" t="inlineStr">
        <is>
          <t>Q2-W04</t>
        </is>
      </c>
      <c r="BG1383" t="inlineStr">
        <is>
          <t>Reschedule</t>
        </is>
      </c>
      <c r="BH1383" t="inlineStr">
        <is>
          <t>Reagen</t>
        </is>
      </c>
      <c r="BI1383" t="inlineStr">
        <is>
          <t>Entertainment / Media</t>
        </is>
      </c>
      <c r="BJ1383" s="4">
        <v>46144.7503125</v>
      </c>
      <c r="BK1383" s="4">
        <v>43791.893483796295</v>
      </c>
      <c r="BL1383" t="inlineStr">
        <is>
          <t>8544.0</t>
        </is>
      </c>
      <c r="BM1383" t="inlineStr">
        <is>
          <t>0.0</t>
        </is>
      </c>
      <c r="BN1383" t="inlineStr">
        <is>
          <t>View Company Page</t>
        </is>
      </c>
      <c r="BO1383" s="4">
        <v>46144.55427083333</v>
      </c>
      <c r="BP1383">
        <v>168498</v>
      </c>
      <c r="BQ1383">
        <v>7733</v>
      </c>
      <c r="BR1383" t="inlineStr">
        <is>
          <t>Manual (Paid)</t>
        </is>
      </c>
      <c r="BS1383" t="inlineStr">
        <is>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16 months
- AI Capability for each AI Job Ad
- AI Instant Match for 30 profiles
- AI Daily Talent Recommendation for 2 profiles daily
- AI "Open to Work" Detector for 2 profiles
- AI Smart Filter
- AI Post Job Assistant
- Ajobthing CARE</t>
        </is>
      </c>
      <c r="BT1383">
        <v>7733</v>
      </c>
      <c r="BU1383"/>
      <c r="BV1383">
        <v>2737664</v>
      </c>
      <c r="BW1383" t="inlineStr">
        <is>
          <t>Service / Technical : Job Outcome Enquiry</t>
        </is>
      </c>
      <c r="BX1383">
        <v>22</v>
      </c>
      <c r="BY1383">
        <v>14</v>
      </c>
      <c r="BZ1383" s="4">
        <v>46141.50962962963</v>
      </c>
      <c r="CA1383">
        <v>280</v>
      </c>
      <c r="CB1383">
        <v>274</v>
      </c>
      <c r="CC1383" s="4">
        <v>46144.55175925926</v>
      </c>
      <c r="CD1383" t="inlineStr">
        <is>
          <t>20</t>
        </is>
      </c>
      <c r="CE1383" t="inlineStr">
        <is>
          <t>0</t>
        </is>
      </c>
      <c r="CF1383" t="inlineStr">
        <is>
          <t>Q2-W03</t>
        </is>
      </c>
      <c r="CG1383" t="inlineStr">
        <is>
          <t>Q2-W04</t>
        </is>
      </c>
      <c r="CH1383" t="inlineStr">
        <is>
          <t>Q2-W04</t>
        </is>
      </c>
      <c r="CI1383"/>
      <c r="CJ1383" t="inlineStr">
        <is>
          <t>Paid</t>
        </is>
      </c>
      <c r="CK1383" t="inlineStr">
        <is>
          <t>Eligible</t>
        </is>
      </c>
      <c r="CL1383"/>
      <c r="CM1383"/>
    </row>
    <row r="1384" ht="25.5" customHeight="1">
      <c r="A1384" t="inlineStr">
        <is>
          <t>203566</t>
        </is>
      </c>
      <c r="B1384" s="2"/>
      <c r="C1384"/>
      <c r="D1384" s="3">
        <v>46135.507002314815</v>
      </c>
      <c r="E1384" t="inlineStr">
        <is>
          <t>Q2-W03</t>
        </is>
      </c>
      <c r="F1384" t="inlineStr">
        <is>
          <t>Ratha</t>
        </is>
      </c>
      <c r="G1384" t="inlineStr">
        <is>
          <t>Customer</t>
        </is>
      </c>
      <c r="H1384" s="2" t="str">
        <f>=HYPERLINK("https://upbox.ajobthing.my/customer/203566", "https://upbox.ajobthing.my/customer/203566")</f>
        <v>https://upbox.ajobthing.my/customer/203566</v>
      </c>
      <c r="I1384" t="inlineStr">
        <is>
          <t>Jk Integrated Planning</t>
        </is>
      </c>
      <c r="J1384" t="inlineStr">
        <is>
          <t>Whale</t>
        </is>
      </c>
      <c r="K1384" t="inlineStr">
        <is>
          <t>Ratha</t>
        </is>
      </c>
      <c r="L1384" s="4"/>
      <c r="M1384" s="4">
        <v>46135.508043981485</v>
      </c>
      <c r="N1384"/>
      <c r="O1384">
        <v>5832</v>
      </c>
      <c r="P1384" s="4"/>
      <c r="Q1384" s="4">
        <v>46142.8819212963</v>
      </c>
      <c r="R1384"/>
      <c r="S1384">
        <v>3888</v>
      </c>
      <c r="T1384" s="4">
        <v>46142.8819212963</v>
      </c>
      <c r="U1384" s="4"/>
      <c r="V1384"/>
      <c r="W1384">
        <v>3888</v>
      </c>
      <c r="X1384"/>
      <c r="Y1384" t="inlineStr">
        <is>
          <t>Pending Appointment</t>
        </is>
      </c>
      <c r="Z1384" t="inlineStr">
        <is>
          <t>Continuous Hiring</t>
        </is>
      </c>
      <c r="AA1384">
        <v>2</v>
      </c>
      <c r="AB1384" t="inlineStr">
        <is>
          <t>No Appointment Made</t>
        </is>
      </c>
      <c r="AC1384"/>
      <c r="AD1384" t="inlineStr">
        <is>
          <t>BD : 1
Recruitment : 1
Location : Ipoh</t>
        </is>
      </c>
      <c r="AE1384"/>
      <c r="AF1384"/>
      <c r="AG1384" s="4"/>
      <c r="AH1384" s="4"/>
      <c r="AI1384">
        <v>0</v>
      </c>
      <c r="AJ1384">
        <v>1</v>
      </c>
      <c r="AK1384" t="inlineStr">
        <is>
          <t>Yes, I have</t>
        </is>
      </c>
      <c r="AL1384">
        <v>2</v>
      </c>
      <c r="AM1384" t="inlineStr">
        <is>
          <t>No, I don't need at all</t>
        </is>
      </c>
      <c r="AN1384"/>
      <c r="AO1384" t="inlineStr">
        <is>
          <t>No, I don't need at all</t>
        </is>
      </c>
      <c r="AP1384" t="inlineStr">
        <is>
          <t>Every month (100%)</t>
        </is>
      </c>
      <c r="AQ1384">
        <v>0</v>
      </c>
      <c r="AR1384" t="inlineStr">
        <is>
          <t>Jobstreet, Free Job Portal</t>
        </is>
      </c>
      <c r="AS1384" t="inlineStr">
        <is>
          <t>- Headcount: 2
- Hiring Job Details: 1 BD, 1 Recruitment (Location: Ipoh)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Jobstreet, Free Job Portal</t>
        </is>
      </c>
      <c r="AT1384">
        <v>105</v>
      </c>
      <c r="AU1384" t="inlineStr">
        <is>
          <t>1.05</t>
        </is>
      </c>
      <c r="AV1384" t="inlineStr">
        <is>
          <t>5</t>
        </is>
      </c>
      <c r="AW1384" t="inlineStr">
        <is>
          <t>0</t>
        </is>
      </c>
      <c r="AX1384" t="inlineStr">
        <is>
          <t>Not Qualified</t>
        </is>
      </c>
      <c r="AY1384" s="4"/>
      <c r="AZ1384"/>
      <c r="BA1384"/>
      <c r="BB1384"/>
      <c r="BC1384" t="inlineStr">
        <is>
          <t>paid</t>
        </is>
      </c>
      <c r="BD1384" s="4">
        <v>46142.490428240744</v>
      </c>
      <c r="BE1384" t="inlineStr">
        <is>
          <t>paid</t>
        </is>
      </c>
      <c r="BF1384" t="inlineStr">
        <is>
          <t>Q2-W04</t>
        </is>
      </c>
      <c r="BG1384" t="inlineStr">
        <is>
          <t>Reschedule</t>
        </is>
      </c>
      <c r="BH1384" t="inlineStr">
        <is>
          <t>Fauziah Maharan</t>
        </is>
      </c>
      <c r="BI1384" t="inlineStr">
        <is>
          <t>Insurance</t>
        </is>
      </c>
      <c r="BJ1384" s="4">
        <v>46144.75435185185</v>
      </c>
      <c r="BK1384" s="4">
        <v>46135.480405092596</v>
      </c>
      <c r="BL1384" t="inlineStr">
        <is>
          <t>3888.0</t>
        </is>
      </c>
      <c r="BM1384" t="inlineStr">
        <is>
          <t>3000.0</t>
        </is>
      </c>
      <c r="BN1384" t="inlineStr">
        <is>
          <t>View Company Page</t>
        </is>
      </c>
      <c r="BO1384" s="4">
        <v>46142.66814814815</v>
      </c>
      <c r="BP1384">
        <v>168525</v>
      </c>
      <c r="BQ1384">
        <v>95228</v>
      </c>
      <c r="BR1384" t="inlineStr">
        <is>
          <t>Online</t>
        </is>
      </c>
      <c r="BS1384"/>
      <c r="BT1384">
        <v>95228</v>
      </c>
      <c r="BU1384"/>
      <c r="BV1384">
        <v>2737225</v>
      </c>
      <c r="BW1384" t="inlineStr">
        <is>
          <t>Follow Up : Win - Customer Paid</t>
        </is>
      </c>
      <c r="BX1384">
        <v>6</v>
      </c>
      <c r="BY1384">
        <v>6</v>
      </c>
      <c r="BZ1384" s="4"/>
      <c r="CA1384">
        <v>60</v>
      </c>
      <c r="CB1384">
        <v>60</v>
      </c>
      <c r="CC1384" s="4"/>
      <c r="CD1384" t="inlineStr">
        <is>
          <t>5</t>
        </is>
      </c>
      <c r="CE1384" t="inlineStr">
        <is>
          <t>0</t>
        </is>
      </c>
      <c r="CF1384" t="inlineStr">
        <is>
          <t>Q2-W03</t>
        </is>
      </c>
      <c r="CG1384" t="inlineStr">
        <is>
          <t>Q2-W04</t>
        </is>
      </c>
      <c r="CH1384" t="inlineStr">
        <is>
          <t>Q2-W04</t>
        </is>
      </c>
      <c r="CI1384"/>
      <c r="CJ1384" t="inlineStr">
        <is>
          <t>Paid</t>
        </is>
      </c>
      <c r="CK1384" t="inlineStr">
        <is>
          <t>Eligible</t>
        </is>
      </c>
      <c r="CL1384"/>
      <c r="CM1384"/>
    </row>
    <row r="1385" ht="25.5" customHeight="1">
      <c r="A1385" t="inlineStr">
        <is>
          <t>4315358</t>
        </is>
      </c>
      <c r="B1385" s="2"/>
      <c r="C1385"/>
      <c r="D1385" s="3">
        <v>46135.55844907407</v>
      </c>
      <c r="E1385" t="inlineStr">
        <is>
          <t>Q2-W03</t>
        </is>
      </c>
      <c r="F1385" t="inlineStr">
        <is>
          <t>Yuli</t>
        </is>
      </c>
      <c r="G1385" t="inlineStr">
        <is>
          <t>Lead</t>
        </is>
      </c>
      <c r="H1385" s="2" t="str">
        <f>=HYPERLINK("https://upbox.ajobthing.my/leads/4315358", "https://upbox.ajobthing.my/leads/4315358")</f>
        <v>https://upbox.ajobthing.my/leads/4315358</v>
      </c>
      <c r="I1385" t="inlineStr">
        <is>
          <t>Tan Chong motor assembly</t>
        </is>
      </c>
      <c r="J1385" t="inlineStr">
        <is>
          <t>Whale</t>
        </is>
      </c>
      <c r="K1385" t="inlineStr">
        <is>
          <t>YuLi</t>
        </is>
      </c>
      <c r="L1385" s="4"/>
      <c r="M1385" s="4">
        <v>46135.562418981484</v>
      </c>
      <c r="N1385"/>
      <c r="O1385">
        <v>5832</v>
      </c>
      <c r="P1385" s="4"/>
      <c r="Q1385" s="4"/>
      <c r="R1385"/>
      <c r="S1385"/>
      <c r="T1385" s="4"/>
      <c r="U1385" s="4"/>
      <c r="V1385"/>
      <c r="W1385"/>
      <c r="X1385"/>
      <c r="Y1385" t="inlineStr">
        <is>
          <t>Pending Appointment</t>
        </is>
      </c>
      <c r="Z1385"/>
      <c r="AA1385">
        <v>5</v>
      </c>
      <c r="AB1385" t="inlineStr">
        <is>
          <t>No Appointment Made</t>
        </is>
      </c>
      <c r="AC1385"/>
      <c r="AD1385" t="inlineStr">
        <is>
          <t>5 headcount for car paint technician</t>
        </is>
      </c>
      <c r="AE1385"/>
      <c r="AF1385"/>
      <c r="AG1385" s="4"/>
      <c r="AH1385" s="4"/>
      <c r="AI1385"/>
      <c r="AJ1385"/>
      <c r="AK1385" t="inlineStr">
        <is>
          <t>No, I don't need at all</t>
        </is>
      </c>
      <c r="AL1385"/>
      <c r="AM1385"/>
      <c r="AN1385"/>
      <c r="AO1385"/>
      <c r="AP1385"/>
      <c r="AQ1385"/>
      <c r="AR1385" t="inlineStr">
        <is>
          <t>Jobstreet, Free Job Portal</t>
        </is>
      </c>
      <c r="AS1385" t="inlineStr">
        <is>
          <t>- Headcount: 5
- Hiring Job Details: 5 headcount for car paint technician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Free Job Portal
- Hiring Urgency: Not provided</t>
        </is>
      </c>
      <c r="AT1385">
        <v>65</v>
      </c>
      <c r="AU1385" t="inlineStr">
        <is>
          <t>0.65</t>
        </is>
      </c>
      <c r="AV1385" t="inlineStr">
        <is>
          <t>10</t>
        </is>
      </c>
      <c r="AW1385" t="inlineStr">
        <is>
          <t>0</t>
        </is>
      </c>
      <c r="AX1385" t="inlineStr">
        <is>
          <t>Not Qualified</t>
        </is>
      </c>
      <c r="AY1385" s="4"/>
      <c r="AZ1385"/>
      <c r="BA1385"/>
      <c r="BB1385"/>
      <c r="BC1385"/>
      <c r="BD1385" s="4"/>
      <c r="BE1385"/>
      <c r="BF1385"/>
      <c r="BG1385" t="inlineStr">
        <is>
          <t>Reschedule</t>
        </is>
      </c>
      <c r="BH1385" t="inlineStr">
        <is>
          <t>Fauziah Maharan</t>
        </is>
      </c>
      <c r="BI1385"/>
      <c r="BJ1385" s="4">
        <v>46144.755902777775</v>
      </c>
      <c r="BK1385" s="4">
        <v>46135.4462037037</v>
      </c>
      <c r="BL1385" t="inlineStr">
        <is>
          <t>0.0</t>
        </is>
      </c>
      <c r="BM1385" t="inlineStr">
        <is>
          <t>0.0</t>
        </is>
      </c>
      <c r="BN1385"/>
      <c r="BO1385" s="4"/>
      <c r="BP1385">
        <v>168530</v>
      </c>
      <c r="BQ1385"/>
      <c r="BR1385"/>
      <c r="BS1385"/>
      <c r="BT1385"/>
      <c r="BU1385"/>
      <c r="BV1385"/>
      <c r="BW1385"/>
      <c r="BX1385"/>
      <c r="BY1385"/>
      <c r="BZ1385" s="4"/>
      <c r="CA1385"/>
      <c r="CB1385"/>
      <c r="CC1385" s="4"/>
      <c r="CD1385" t="inlineStr">
        <is>
          <t>15</t>
        </is>
      </c>
      <c r="CE1385" t="inlineStr">
        <is>
          <t>0</t>
        </is>
      </c>
      <c r="CF1385" t="inlineStr">
        <is>
          <t>Q2-W03</t>
        </is>
      </c>
      <c r="CG1385"/>
      <c r="CH1385"/>
      <c r="CI1385"/>
      <c r="CJ1385" t="inlineStr">
        <is>
          <t>No Paid</t>
        </is>
      </c>
      <c r="CK1385" t="inlineStr">
        <is>
          <t>Eligible</t>
        </is>
      </c>
      <c r="CL1385"/>
      <c r="CM1385"/>
    </row>
    <row r="1386" ht="25.5" customHeight="1">
      <c r="A1386" t="inlineStr">
        <is>
          <t>201844</t>
        </is>
      </c>
      <c r="B1386" s="2"/>
      <c r="C1386"/>
      <c r="D1386" s="3">
        <v>46135.588738425926</v>
      </c>
      <c r="E1386" t="inlineStr">
        <is>
          <t>Q2-W03</t>
        </is>
      </c>
      <c r="F1386" t="inlineStr">
        <is>
          <t>Xin Quan</t>
        </is>
      </c>
      <c r="G1386" t="inlineStr">
        <is>
          <t>Customer</t>
        </is>
      </c>
      <c r="H1386" s="2" t="str">
        <f>=HYPERLINK("https://upbox.ajobthing.my/customer/201844", "https://upbox.ajobthing.my/customer/201844")</f>
        <v>https://upbox.ajobthing.my/customer/201844</v>
      </c>
      <c r="I1386" t="inlineStr">
        <is>
          <t>GREEN VIEW FOOD AND SERVICES SDN BHD</t>
        </is>
      </c>
      <c r="J1386" t="inlineStr">
        <is>
          <t>Whale</t>
        </is>
      </c>
      <c r="K1386" t="inlineStr">
        <is>
          <t>Xin Quan</t>
        </is>
      </c>
      <c r="L1386" s="4"/>
      <c r="M1386" s="4">
        <v>46091.59930555556</v>
      </c>
      <c r="N1386"/>
      <c r="O1386">
        <v>3888</v>
      </c>
      <c r="P1386" s="4"/>
      <c r="Q1386" s="4">
        <v>46139.45209490741</v>
      </c>
      <c r="R1386"/>
      <c r="S1386">
        <v>3888</v>
      </c>
      <c r="T1386" s="4">
        <v>46139.45209490741</v>
      </c>
      <c r="U1386" s="4"/>
      <c r="V1386"/>
      <c r="W1386">
        <v>3888</v>
      </c>
      <c r="X1386"/>
      <c r="Y1386" t="inlineStr">
        <is>
          <t>Pending Appointment</t>
        </is>
      </c>
      <c r="Z1386" t="inlineStr">
        <is>
          <t>Hiring Now</t>
        </is>
      </c>
      <c r="AA1386">
        <v>1</v>
      </c>
      <c r="AB1386" t="inlineStr">
        <is>
          <t>No Appointment Made</t>
        </is>
      </c>
      <c r="AC1386"/>
      <c r="AD1386" t="inlineStr">
        <is>
          <t>1 Admin , Base in KL</t>
        </is>
      </c>
      <c r="AE1386"/>
      <c r="AF1386">
        <v>2000</v>
      </c>
      <c r="AG1386" s="4"/>
      <c r="AH1386" s="4"/>
      <c r="AI1386">
        <v>24000</v>
      </c>
      <c r="AJ1386">
        <v>1</v>
      </c>
      <c r="AK1386" t="inlineStr">
        <is>
          <t>No, I don't need at all</t>
        </is>
      </c>
      <c r="AL1386">
        <v>1</v>
      </c>
      <c r="AM1386" t="inlineStr">
        <is>
          <t>No, I don't need at all</t>
        </is>
      </c>
      <c r="AN1386"/>
      <c r="AO1386" t="inlineStr">
        <is>
          <t>No, I don't need at all</t>
        </is>
      </c>
      <c r="AP1386" t="inlineStr">
        <is>
          <t>Once a year (25%)</t>
        </is>
      </c>
      <c r="AQ1386">
        <v>1</v>
      </c>
      <c r="AR1386"/>
      <c r="AS1386" t="inlineStr">
        <is>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1386">
        <v>115</v>
      </c>
      <c r="AU1386" t="inlineStr">
        <is>
          <t>1.15</t>
        </is>
      </c>
      <c r="AV1386" t="inlineStr">
        <is>
          <t>15</t>
        </is>
      </c>
      <c r="AW1386" t="inlineStr">
        <is>
          <t>0</t>
        </is>
      </c>
      <c r="AX1386" t="inlineStr">
        <is>
          <t>Not Qualified</t>
        </is>
      </c>
      <c r="AY1386" s="4"/>
      <c r="AZ1386"/>
      <c r="BA1386"/>
      <c r="BB1386"/>
      <c r="BC1386" t="inlineStr">
        <is>
          <t>Done payment and help job post</t>
        </is>
      </c>
      <c r="BD1386" s="4">
        <v>46140.41851851852</v>
      </c>
      <c r="BE1386" t="inlineStr">
        <is>
          <t>paid</t>
        </is>
      </c>
      <c r="BF1386" t="inlineStr">
        <is>
          <t>Q2-W04</t>
        </is>
      </c>
      <c r="BG1386" t="inlineStr">
        <is>
          <t>Reschedule</t>
        </is>
      </c>
      <c r="BH1386" t="inlineStr">
        <is>
          <t>Edward Hoo</t>
        </is>
      </c>
      <c r="BI1386" t="inlineStr">
        <is>
          <t>Food / Beverage</t>
        </is>
      </c>
      <c r="BJ1386" s="4">
        <v>46144.75387731481</v>
      </c>
      <c r="BK1386" s="4">
        <v>46090.41392361111</v>
      </c>
      <c r="BL1386" t="inlineStr">
        <is>
          <t>3888.0</t>
        </is>
      </c>
      <c r="BM1386" t="inlineStr">
        <is>
          <t>3000.0</t>
        </is>
      </c>
      <c r="BN1386" t="inlineStr">
        <is>
          <t>User Visit(Logged In)</t>
        </is>
      </c>
      <c r="BO1386" s="4">
        <v>46140.60763888889</v>
      </c>
      <c r="BP1386">
        <v>161400</v>
      </c>
      <c r="BQ1386">
        <v>7695</v>
      </c>
      <c r="BR1386" t="inlineStr">
        <is>
          <t>Manual (Paid)</t>
        </is>
      </c>
      <c r="BS1386"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1386">
        <v>7695</v>
      </c>
      <c r="BU1386"/>
      <c r="BV1386">
        <v>2731757</v>
      </c>
      <c r="BW1386" t="inlineStr">
        <is>
          <t>Follow Up : Win - Customer Paid</t>
        </is>
      </c>
      <c r="BX1386">
        <v>6</v>
      </c>
      <c r="BY1386">
        <v>4</v>
      </c>
      <c r="BZ1386" s="4">
        <v>46140.5883912037</v>
      </c>
      <c r="CA1386">
        <v>60</v>
      </c>
      <c r="CB1386">
        <v>60</v>
      </c>
      <c r="CC1386" s="4"/>
      <c r="CD1386" t="inlineStr">
        <is>
          <t>20</t>
        </is>
      </c>
      <c r="CE1386" t="inlineStr">
        <is>
          <t>0</t>
        </is>
      </c>
      <c r="CF1386" t="inlineStr">
        <is>
          <t>Q1-W10</t>
        </is>
      </c>
      <c r="CG1386" t="inlineStr">
        <is>
          <t>Q2-W04</t>
        </is>
      </c>
      <c r="CH1386" t="inlineStr">
        <is>
          <t>Q2-W04</t>
        </is>
      </c>
      <c r="CI1386"/>
      <c r="CJ1386" t="inlineStr">
        <is>
          <t>Paid</t>
        </is>
      </c>
      <c r="CK1386" t="inlineStr">
        <is>
          <t>Eligible</t>
        </is>
      </c>
      <c r="CL1386"/>
      <c r="CM1386"/>
    </row>
    <row r="1387" ht="25.5" customHeight="1">
      <c r="A1387" t="inlineStr">
        <is>
          <t>168291</t>
        </is>
      </c>
      <c r="B1387" s="2"/>
      <c r="C1387"/>
      <c r="D1387" s="3">
        <v>46135.620729166665</v>
      </c>
      <c r="E1387" t="inlineStr">
        <is>
          <t>Q2-W03</t>
        </is>
      </c>
      <c r="F1387" t="inlineStr">
        <is>
          <t>Ken Yi</t>
        </is>
      </c>
      <c r="G1387" t="inlineStr">
        <is>
          <t>Customer</t>
        </is>
      </c>
      <c r="H1387" s="2" t="str">
        <f>=HYPERLINK("https://upbox.ajobthing.my/customer/168291", "https://upbox.ajobthing.my/customer/168291")</f>
        <v>https://upbox.ajobthing.my/customer/168291</v>
      </c>
      <c r="I1387" t="inlineStr">
        <is>
          <t>Pacific Enterprise Solutions Sdn Bhd</t>
        </is>
      </c>
      <c r="J1387" t="inlineStr">
        <is>
          <t>Whale</t>
        </is>
      </c>
      <c r="K1387" t="inlineStr">
        <is>
          <t>Kenyi</t>
        </is>
      </c>
      <c r="L1387" s="4"/>
      <c r="M1387" s="4">
        <v>46135.62290509259</v>
      </c>
      <c r="N1387"/>
      <c r="O1387">
        <v>10800</v>
      </c>
      <c r="P1387" s="4"/>
      <c r="Q1387" s="4">
        <v>46021.73752314815</v>
      </c>
      <c r="R1387"/>
      <c r="S1387">
        <v>6048</v>
      </c>
      <c r="T1387" s="4">
        <v>46021.73752314815</v>
      </c>
      <c r="U1387" s="4"/>
      <c r="V1387"/>
      <c r="W1387">
        <v>6048</v>
      </c>
      <c r="X1387"/>
      <c r="Y1387" t="inlineStr">
        <is>
          <t>Pending Appointment</t>
        </is>
      </c>
      <c r="Z1387" t="inlineStr">
        <is>
          <t>Hiring Now</t>
        </is>
      </c>
      <c r="AA1387">
        <v>5</v>
      </c>
      <c r="AB1387" t="inlineStr">
        <is>
          <t>No Appointment Made</t>
        </is>
      </c>
      <c r="AC1387"/>
      <c r="AD1387" t="inlineStr">
        <is>
          <t>Administrative 1, operation 1, HQ 3</t>
        </is>
      </c>
      <c r="AE1387"/>
      <c r="AF1387">
        <v>10000</v>
      </c>
      <c r="AG1387" s="4"/>
      <c r="AH1387" s="4"/>
      <c r="AI1387">
        <v>0</v>
      </c>
      <c r="AJ1387">
        <v>1</v>
      </c>
      <c r="AK1387" t="inlineStr">
        <is>
          <t>Yes, I have</t>
        </is>
      </c>
      <c r="AL1387">
        <v>2</v>
      </c>
      <c r="AM1387" t="inlineStr">
        <is>
          <t>No, I don't need at all</t>
        </is>
      </c>
      <c r="AN1387"/>
      <c r="AO1387" t="inlineStr">
        <is>
          <t>No, I don't need at all</t>
        </is>
      </c>
      <c r="AP1387" t="inlineStr">
        <is>
          <t>Every month (100%)</t>
        </is>
      </c>
      <c r="AQ1387">
        <v>5</v>
      </c>
      <c r="AR1387" t="inlineStr">
        <is>
          <t>Jobstreet, Hiredly, Free Job Portal</t>
        </is>
      </c>
      <c r="AS1387" t="inlineStr">
        <is>
          <t>- Headcount: 5
- Hiring Job Details: Administrative 1, operation 1, HQ 3
- Hiring Urgency: Hiring Now
- Number of outlets: 1
- Have recruiter team: Yes
- Number of recruiter in company: 2
- Have ATS system: No, I don't need at all
- Have career website: No, I don't need at all
- Current hiring budget: RM10,000
- Whole year budget: RM0.00
- Whole year number of vacancies: 5
- Hiring frequency: Every month (100%)
- External job portal: Jobstreet, Hiredly, Free Job Portal</t>
        </is>
      </c>
      <c r="AT1387">
        <v>115</v>
      </c>
      <c r="AU1387" t="inlineStr">
        <is>
          <t>1.15</t>
        </is>
      </c>
      <c r="AV1387" t="inlineStr">
        <is>
          <t>20</t>
        </is>
      </c>
      <c r="AW1387" t="inlineStr">
        <is>
          <t>0</t>
        </is>
      </c>
      <c r="AX1387" t="inlineStr">
        <is>
          <t>Not Qualified</t>
        </is>
      </c>
      <c r="AY1387" s="4"/>
      <c r="AZ1387"/>
      <c r="BA1387"/>
      <c r="BB1387"/>
      <c r="BC1387" t="inlineStr">
        <is>
          <t>- Headcount: 5
- Hiring Job Details: Administrative 1, operation 1, HQ 3
- Hiring Urgency: Hiring Now
- Number of outlets: 1
- Have recruiter team: Yes
- Number of recruiter in company: 2
- Have ATS system: No, I don't need at all
- Have career website: No, I don't need at all
- Current hiring budget: RM10,000
- Whole year budget: RM0.00
- Whole year number of vacancies: 5
- Hiring frequency: Every month (100%)
- External job portal: Jobstreet, Hiredly, Free Job Portal</t>
        </is>
      </c>
      <c r="BD1387" s="4">
        <v>46135.62503472222</v>
      </c>
      <c r="BE1387" t="inlineStr">
        <is>
          <t>paid</t>
        </is>
      </c>
      <c r="BF1387"/>
      <c r="BG1387" t="inlineStr">
        <is>
          <t>Reschedule</t>
        </is>
      </c>
      <c r="BH1387" t="inlineStr">
        <is>
          <t>Fauziah Maharan</t>
        </is>
      </c>
      <c r="BI1387" t="inlineStr">
        <is>
          <t>Call Center / BPO</t>
        </is>
      </c>
      <c r="BJ1387" s="4">
        <v>46144.75134259259</v>
      </c>
      <c r="BK1387" s="4">
        <v>45097.3894212963</v>
      </c>
      <c r="BL1387" t="inlineStr">
        <is>
          <t>6048.0</t>
        </is>
      </c>
      <c r="BM1387" t="inlineStr">
        <is>
          <t>0.0</t>
        </is>
      </c>
      <c r="BN1387" t="inlineStr">
        <is>
          <t>View Company Page</t>
        </is>
      </c>
      <c r="BO1387" s="4">
        <v>46138.677511574075</v>
      </c>
      <c r="BP1387">
        <v>168579</v>
      </c>
      <c r="BQ1387">
        <v>85261</v>
      </c>
      <c r="BR1387" t="inlineStr">
        <is>
          <t>Online</t>
        </is>
      </c>
      <c r="BS1387"/>
      <c r="BT1387">
        <v>85261</v>
      </c>
      <c r="BU1387"/>
      <c r="BV1387">
        <v>2723802</v>
      </c>
      <c r="BW1387" t="inlineStr">
        <is>
          <t>Customer Inquiry</t>
        </is>
      </c>
      <c r="BX1387">
        <v>3</v>
      </c>
      <c r="BY1387">
        <v>-33</v>
      </c>
      <c r="BZ1387" s="4">
        <v>46132.47409722222</v>
      </c>
      <c r="CA1387">
        <v>245</v>
      </c>
      <c r="CB1387">
        <v>245</v>
      </c>
      <c r="CC1387" s="4"/>
      <c r="CD1387" t="inlineStr">
        <is>
          <t>30</t>
        </is>
      </c>
      <c r="CE1387" t="inlineStr">
        <is>
          <t>0</t>
        </is>
      </c>
      <c r="CF1387" t="inlineStr">
        <is>
          <t>Q2-W03</t>
        </is>
      </c>
      <c r="CG1387"/>
      <c r="CH1387"/>
      <c r="CI1387"/>
      <c r="CJ1387" t="inlineStr">
        <is>
          <t>Paid</t>
        </is>
      </c>
      <c r="CK1387" t="inlineStr">
        <is>
          <t>Eligible</t>
        </is>
      </c>
      <c r="CL1387"/>
      <c r="CM1387"/>
    </row>
    <row r="1388" ht="25.5" customHeight="1">
      <c r="A1388" t="inlineStr">
        <is>
          <t>203572</t>
        </is>
      </c>
      <c r="B1388" s="2"/>
      <c r="C1388"/>
      <c r="D1388" s="3">
        <v>46135.62293981481</v>
      </c>
      <c r="E1388" t="inlineStr">
        <is>
          <t>Q2-W03</t>
        </is>
      </c>
      <c r="F1388" t="inlineStr">
        <is>
          <t>Clover</t>
        </is>
      </c>
      <c r="G1388" t="inlineStr">
        <is>
          <t>Customer</t>
        </is>
      </c>
      <c r="H1388" s="2" t="str">
        <f>=HYPERLINK("https://upbox.ajobthing.my/customer/203572", "https://upbox.ajobthing.my/customer/203572")</f>
        <v>https://upbox.ajobthing.my/customer/203572</v>
      </c>
      <c r="I1388" t="inlineStr">
        <is>
          <t>Shapadu Corporation Sdn Bhd</t>
        </is>
      </c>
      <c r="J1388" t="inlineStr">
        <is>
          <t>Whale</t>
        </is>
      </c>
      <c r="K1388" t="inlineStr">
        <is>
          <t>Clover</t>
        </is>
      </c>
      <c r="L1388" s="4"/>
      <c r="M1388" s="4">
        <v>46135.623391203706</v>
      </c>
      <c r="N1388"/>
      <c r="O1388">
        <v>6048</v>
      </c>
      <c r="P1388" s="4"/>
      <c r="Q1388" s="4"/>
      <c r="R1388"/>
      <c r="S1388"/>
      <c r="T1388" s="4"/>
      <c r="U1388" s="4"/>
      <c r="V1388"/>
      <c r="W1388"/>
      <c r="X1388"/>
      <c r="Y1388" t="inlineStr">
        <is>
          <t>Pending Appointment</t>
        </is>
      </c>
      <c r="Z1388" t="inlineStr">
        <is>
          <t>Hiring Now</t>
        </is>
      </c>
      <c r="AA1388">
        <v>4</v>
      </c>
      <c r="AB1388" t="inlineStr">
        <is>
          <t>No Appointment Made</t>
        </is>
      </c>
      <c r="AC1388"/>
      <c r="AD1388" t="inlineStr">
        <is>
          <t>Hire buyer/expeditor x1-2, business development x1-2, all races, Oil and gas, shah alam, suggest pro</t>
        </is>
      </c>
      <c r="AE1388"/>
      <c r="AF1388">
        <v>5000</v>
      </c>
      <c r="AG1388" s="4"/>
      <c r="AH1388" s="4"/>
      <c r="AI1388">
        <v>5000</v>
      </c>
      <c r="AJ1388">
        <v>1</v>
      </c>
      <c r="AK1388" t="inlineStr">
        <is>
          <t>No, but I want in future</t>
        </is>
      </c>
      <c r="AL1388">
        <v>1</v>
      </c>
      <c r="AM1388" t="inlineStr">
        <is>
          <t>No, but I want in future</t>
        </is>
      </c>
      <c r="AN1388"/>
      <c r="AO1388" t="inlineStr">
        <is>
          <t>No, but I want in future</t>
        </is>
      </c>
      <c r="AP1388" t="inlineStr">
        <is>
          <t>Once per quarter (75%)</t>
        </is>
      </c>
      <c r="AQ1388">
        <v>4</v>
      </c>
      <c r="AR1388" t="inlineStr">
        <is>
          <t>Free Job Portal</t>
        </is>
      </c>
      <c r="AS1388" t="inlineStr">
        <is>
          <t>- Headcount: 4
- Hiring Job Details: Hire buyer/expeditor x1-2, business development x1-2, all races, Oil and gas, shah alam,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Free Job Portal</t>
        </is>
      </c>
      <c r="AT1388">
        <v>105</v>
      </c>
      <c r="AU1388" t="inlineStr">
        <is>
          <t>1.05</t>
        </is>
      </c>
      <c r="AV1388" t="inlineStr">
        <is>
          <t>15</t>
        </is>
      </c>
      <c r="AW1388" t="inlineStr">
        <is>
          <t>0</t>
        </is>
      </c>
      <c r="AX1388" t="inlineStr">
        <is>
          <t>Not Qualified</t>
        </is>
      </c>
      <c r="AY1388" s="4"/>
      <c r="AZ1388"/>
      <c r="BA1388"/>
      <c r="BB1388"/>
      <c r="BC1388" t="inlineStr">
        <is>
          <t>pending management update, wa again</t>
        </is>
      </c>
      <c r="BD1388" s="4">
        <v>46140.684965277775</v>
      </c>
      <c r="BE1388"/>
      <c r="BF1388"/>
      <c r="BG1388" t="inlineStr">
        <is>
          <t>Reschedule</t>
        </is>
      </c>
      <c r="BH1388" t="inlineStr">
        <is>
          <t>Reagen</t>
        </is>
      </c>
      <c r="BI1388" t="inlineStr">
        <is>
          <t>Other industries</t>
        </is>
      </c>
      <c r="BJ1388" s="4">
        <v>46144.75435185185</v>
      </c>
      <c r="BK1388" s="4">
        <v>46135.503125</v>
      </c>
      <c r="BL1388" t="inlineStr">
        <is>
          <t>0.0</t>
        </is>
      </c>
      <c r="BM1388" t="inlineStr">
        <is>
          <t>0.0</t>
        </is>
      </c>
      <c r="BN1388" t="inlineStr">
        <is>
          <t>View Account User</t>
        </is>
      </c>
      <c r="BO1388" s="4">
        <v>46135.705300925925</v>
      </c>
      <c r="BP1388">
        <v>168580</v>
      </c>
      <c r="BQ1388"/>
      <c r="BR1388"/>
      <c r="BS1388"/>
      <c r="BT1388"/>
      <c r="BU1388"/>
      <c r="BV1388">
        <v>2733448</v>
      </c>
      <c r="BW1388" t="inlineStr">
        <is>
          <t>Follow Up : Decision Pending</t>
        </is>
      </c>
      <c r="BX1388"/>
      <c r="BY1388"/>
      <c r="BZ1388" s="4"/>
      <c r="CA1388"/>
      <c r="CB1388"/>
      <c r="CC1388" s="4"/>
      <c r="CD1388" t="inlineStr">
        <is>
          <t>20</t>
        </is>
      </c>
      <c r="CE1388" t="inlineStr">
        <is>
          <t>0</t>
        </is>
      </c>
      <c r="CF1388" t="inlineStr">
        <is>
          <t>Q2-W03</t>
        </is>
      </c>
      <c r="CG1388"/>
      <c r="CH1388"/>
      <c r="CI1388"/>
      <c r="CJ1388" t="inlineStr">
        <is>
          <t>No Paid</t>
        </is>
      </c>
      <c r="CK1388" t="inlineStr">
        <is>
          <t>Eligible</t>
        </is>
      </c>
      <c r="CL1388"/>
      <c r="CM1388"/>
    </row>
    <row r="1389" ht="25.5" customHeight="1">
      <c r="A1389" t="inlineStr">
        <is>
          <t>172662</t>
        </is>
      </c>
      <c r="B1389" s="2"/>
      <c r="C1389"/>
      <c r="D1389" s="3">
        <v>46135.632361111115</v>
      </c>
      <c r="E1389" t="inlineStr">
        <is>
          <t>Q2-W03</t>
        </is>
      </c>
      <c r="F1389" t="inlineStr">
        <is>
          <t>Angel  Low</t>
        </is>
      </c>
      <c r="G1389" t="inlineStr">
        <is>
          <t>Customer</t>
        </is>
      </c>
      <c r="H1389" s="2" t="str">
        <f>=HYPERLINK("https://upbox.ajobthing.my/customer/172662", "https://upbox.ajobthing.my/customer/172662")</f>
        <v>https://upbox.ajobthing.my/customer/172662</v>
      </c>
      <c r="I1389" t="inlineStr">
        <is>
          <t>Billion Onsen Spa Sdn Bhd</t>
        </is>
      </c>
      <c r="J1389" t="inlineStr">
        <is>
          <t>Whale</t>
        </is>
      </c>
      <c r="K1389" t="inlineStr">
        <is>
          <t>Angel Low</t>
        </is>
      </c>
      <c r="L1389" s="4"/>
      <c r="M1389" s="4">
        <v>46135.63383101852</v>
      </c>
      <c r="N1389"/>
      <c r="O1389">
        <v>5508</v>
      </c>
      <c r="P1389" s="4"/>
      <c r="Q1389" s="4">
        <v>46141.70974537037</v>
      </c>
      <c r="R1389"/>
      <c r="S1389">
        <v>3672</v>
      </c>
      <c r="T1389" s="4">
        <v>46141.70974537037</v>
      </c>
      <c r="U1389" s="4"/>
      <c r="V1389"/>
      <c r="W1389">
        <v>3672</v>
      </c>
      <c r="X1389"/>
      <c r="Y1389" t="inlineStr">
        <is>
          <t>Pending Appointment</t>
        </is>
      </c>
      <c r="Z1389"/>
      <c r="AA1389">
        <v>1</v>
      </c>
      <c r="AB1389" t="inlineStr">
        <is>
          <t>No Appointment Made</t>
        </is>
      </c>
      <c r="AC1389"/>
      <c r="AD1389" t="inlineStr">
        <is>
          <t xml:space="preserve">beautician </t>
        </is>
      </c>
      <c r="AE1389"/>
      <c r="AF1389"/>
      <c r="AG1389" s="4"/>
      <c r="AH1389" s="4"/>
      <c r="AI1389"/>
      <c r="AJ1389"/>
      <c r="AK1389"/>
      <c r="AL1389"/>
      <c r="AM1389"/>
      <c r="AN1389"/>
      <c r="AO1389"/>
      <c r="AP1389"/>
      <c r="AQ1389"/>
      <c r="AR1389"/>
      <c r="AS1389" t="inlineStr">
        <is>
          <t>- Headcount: 1
- Hiring Job Details: beautician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389">
        <v>60</v>
      </c>
      <c r="AU1389" t="inlineStr">
        <is>
          <t>0.60</t>
        </is>
      </c>
      <c r="AV1389" t="inlineStr">
        <is>
          <t>5</t>
        </is>
      </c>
      <c r="AW1389" t="inlineStr">
        <is>
          <t>0</t>
        </is>
      </c>
      <c r="AX1389" t="inlineStr">
        <is>
          <t>Not Qualified</t>
        </is>
      </c>
      <c r="AY1389" s="4"/>
      <c r="AZ1389"/>
      <c r="BA1389"/>
      <c r="BB1389"/>
      <c r="BC1389" t="inlineStr">
        <is>
          <t>pending</t>
        </is>
      </c>
      <c r="BD1389" s="4">
        <v>46141.423854166664</v>
      </c>
      <c r="BE1389" t="inlineStr">
        <is>
          <t>paid</t>
        </is>
      </c>
      <c r="BF1389" t="inlineStr">
        <is>
          <t>Q2-W04</t>
        </is>
      </c>
      <c r="BG1389" t="inlineStr">
        <is>
          <t>Reschedule</t>
        </is>
      </c>
      <c r="BH1389" t="inlineStr">
        <is>
          <t>Fauziah Maharan</t>
        </is>
      </c>
      <c r="BI1389" t="inlineStr">
        <is>
          <t>Beauty / Fitness</t>
        </is>
      </c>
      <c r="BJ1389" s="4">
        <v>46144.75148148148</v>
      </c>
      <c r="BK1389" s="4">
        <v>45236.480625</v>
      </c>
      <c r="BL1389" t="inlineStr">
        <is>
          <t>3672.0</t>
        </is>
      </c>
      <c r="BM1389" t="inlineStr">
        <is>
          <t>4200.0</t>
        </is>
      </c>
      <c r="BN1389" t="inlineStr">
        <is>
          <t>View Company Page</t>
        </is>
      </c>
      <c r="BO1389" s="4">
        <v>46141.79619212963</v>
      </c>
      <c r="BP1389">
        <v>168591</v>
      </c>
      <c r="BQ1389">
        <v>95129</v>
      </c>
      <c r="BR1389" t="inlineStr">
        <is>
          <t>Online</t>
        </is>
      </c>
      <c r="BS1389"/>
      <c r="BT1389">
        <v>95129</v>
      </c>
      <c r="BU1389"/>
      <c r="BV1389">
        <v>2734316</v>
      </c>
      <c r="BW1389" t="inlineStr">
        <is>
          <t>Follow Up : Payment Pending</t>
        </is>
      </c>
      <c r="BX1389">
        <v>6</v>
      </c>
      <c r="BY1389">
        <v>6</v>
      </c>
      <c r="BZ1389" s="4"/>
      <c r="CA1389">
        <v>60</v>
      </c>
      <c r="CB1389">
        <v>60</v>
      </c>
      <c r="CC1389" s="4"/>
      <c r="CD1389" t="inlineStr">
        <is>
          <t>5</t>
        </is>
      </c>
      <c r="CE1389" t="inlineStr">
        <is>
          <t>0</t>
        </is>
      </c>
      <c r="CF1389" t="inlineStr">
        <is>
          <t>Q2-W03</t>
        </is>
      </c>
      <c r="CG1389" t="inlineStr">
        <is>
          <t>Q2-W04</t>
        </is>
      </c>
      <c r="CH1389" t="inlineStr">
        <is>
          <t>Q2-W04</t>
        </is>
      </c>
      <c r="CI1389"/>
      <c r="CJ1389" t="inlineStr">
        <is>
          <t>Paid</t>
        </is>
      </c>
      <c r="CK1389" t="inlineStr">
        <is>
          <t>Eligible</t>
        </is>
      </c>
      <c r="CL1389"/>
      <c r="CM1389"/>
    </row>
    <row r="1390" ht="25.5" customHeight="1">
      <c r="A1390" t="inlineStr">
        <is>
          <t>193633</t>
        </is>
      </c>
      <c r="B1390" s="2"/>
      <c r="C1390"/>
      <c r="D1390" s="3">
        <v>46135.638645833336</v>
      </c>
      <c r="E1390" t="inlineStr">
        <is>
          <t>Q2-W03</t>
        </is>
      </c>
      <c r="F1390" t="inlineStr">
        <is>
          <t>Dickson</t>
        </is>
      </c>
      <c r="G1390" t="inlineStr">
        <is>
          <t>Customer</t>
        </is>
      </c>
      <c r="H1390" s="2" t="str">
        <f>=HYPERLINK("https://upbox.ajobthing.my/customer/193633", "https://upbox.ajobthing.my/customer/193633")</f>
        <v>https://upbox.ajobthing.my/customer/193633</v>
      </c>
      <c r="I1390" t="inlineStr">
        <is>
          <t>QM Print Sdn Bhd</t>
        </is>
      </c>
      <c r="J1390" t="inlineStr">
        <is>
          <t>Whale</t>
        </is>
      </c>
      <c r="K1390" t="inlineStr">
        <is>
          <t>Dickson</t>
        </is>
      </c>
      <c r="L1390" s="4"/>
      <c r="M1390" s="4">
        <v>46135.638715277775</v>
      </c>
      <c r="N1390"/>
      <c r="O1390">
        <v>3888</v>
      </c>
      <c r="P1390" s="4"/>
      <c r="Q1390" s="4">
        <v>46142.644837962966</v>
      </c>
      <c r="R1390"/>
      <c r="S1390">
        <v>3576.96</v>
      </c>
      <c r="T1390" s="4">
        <v>46142.644837962966</v>
      </c>
      <c r="U1390" s="4"/>
      <c r="V1390"/>
      <c r="W1390">
        <v>3576.96</v>
      </c>
      <c r="X1390"/>
      <c r="Y1390" t="inlineStr">
        <is>
          <t>Pending Appointment</t>
        </is>
      </c>
      <c r="Z1390" t="inlineStr">
        <is>
          <t>Hiring Now</t>
        </is>
      </c>
      <c r="AA1390">
        <v>2</v>
      </c>
      <c r="AB1390" t="inlineStr">
        <is>
          <t>No Appointment Made</t>
        </is>
      </c>
      <c r="AC1390"/>
      <c r="AD1390" t="inlineStr">
        <is>
          <t>1 account executive, 1 front desk cx</t>
        </is>
      </c>
      <c r="AE1390"/>
      <c r="AF1390"/>
      <c r="AG1390" s="4"/>
      <c r="AH1390" s="4"/>
      <c r="AI1390"/>
      <c r="AJ1390">
        <v>1</v>
      </c>
      <c r="AK1390" t="inlineStr">
        <is>
          <t>No, I don't need at all</t>
        </is>
      </c>
      <c r="AL1390"/>
      <c r="AM1390" t="inlineStr">
        <is>
          <t>No, I don't need at all</t>
        </is>
      </c>
      <c r="AN1390"/>
      <c r="AO1390" t="inlineStr">
        <is>
          <t>No, I don't need at all</t>
        </is>
      </c>
      <c r="AP1390" t="inlineStr">
        <is>
          <t>Once per quarter (75%)</t>
        </is>
      </c>
      <c r="AQ1390"/>
      <c r="AR1390"/>
      <c r="AS1390" t="inlineStr">
        <is>
          <t>- Headcount: 2
- Hiring Job Details: 1 account executive, 1 front desk cx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is>
      </c>
      <c r="AT1390">
        <v>95</v>
      </c>
      <c r="AU1390" t="inlineStr">
        <is>
          <t>0.95</t>
        </is>
      </c>
      <c r="AV1390" t="inlineStr">
        <is>
          <t>5</t>
        </is>
      </c>
      <c r="AW1390" t="inlineStr">
        <is>
          <t>0</t>
        </is>
      </c>
      <c r="AX1390" t="inlineStr">
        <is>
          <t>Not Qualified</t>
        </is>
      </c>
      <c r="AY1390" s="4"/>
      <c r="AZ1390"/>
      <c r="BA1390"/>
      <c r="BB1390"/>
      <c r="BC1390" t="inlineStr">
        <is>
          <t>sent invoice</t>
        </is>
      </c>
      <c r="BD1390" s="4">
        <v>46142.43561342593</v>
      </c>
      <c r="BE1390" t="inlineStr">
        <is>
          <t>paid</t>
        </is>
      </c>
      <c r="BF1390" t="inlineStr">
        <is>
          <t>Q2-W04</t>
        </is>
      </c>
      <c r="BG1390" t="inlineStr">
        <is>
          <t>Reschedule</t>
        </is>
      </c>
      <c r="BH1390" t="inlineStr">
        <is>
          <t>Edward Hoo</t>
        </is>
      </c>
      <c r="BI1390" t="inlineStr">
        <is>
          <t>Printing / Publishing</t>
        </is>
      </c>
      <c r="BJ1390" s="4">
        <v>46144.75263888889</v>
      </c>
      <c r="BK1390" s="4">
        <v>45849.47550925926</v>
      </c>
      <c r="BL1390" t="inlineStr">
        <is>
          <t>4656.96</t>
        </is>
      </c>
      <c r="BM1390" t="inlineStr">
        <is>
          <t>600.0</t>
        </is>
      </c>
      <c r="BN1390" t="inlineStr">
        <is>
          <t>View Jobmanager Page</t>
        </is>
      </c>
      <c r="BO1390" s="4">
        <v>45959.54107638889</v>
      </c>
      <c r="BP1390">
        <v>168592</v>
      </c>
      <c r="BQ1390">
        <v>95208</v>
      </c>
      <c r="BR1390" t="inlineStr">
        <is>
          <t>Online</t>
        </is>
      </c>
      <c r="BS1390"/>
      <c r="BT1390">
        <v>95208</v>
      </c>
      <c r="BU1390"/>
      <c r="BV1390">
        <v>2736763</v>
      </c>
      <c r="BW1390" t="inlineStr">
        <is>
          <t>Follow Up : Invoice Sent 75%</t>
        </is>
      </c>
      <c r="BX1390">
        <v>6</v>
      </c>
      <c r="BY1390">
        <v>6</v>
      </c>
      <c r="BZ1390" s="4"/>
      <c r="CA1390">
        <v>60</v>
      </c>
      <c r="CB1390">
        <v>60</v>
      </c>
      <c r="CC1390" s="4"/>
      <c r="CD1390" t="inlineStr">
        <is>
          <t>5</t>
        </is>
      </c>
      <c r="CE1390" t="inlineStr">
        <is>
          <t>0</t>
        </is>
      </c>
      <c r="CF1390" t="inlineStr">
        <is>
          <t>Q2-W03</t>
        </is>
      </c>
      <c r="CG1390" t="inlineStr">
        <is>
          <t>Q2-W04</t>
        </is>
      </c>
      <c r="CH1390" t="inlineStr">
        <is>
          <t>Q2-W04</t>
        </is>
      </c>
      <c r="CI1390"/>
      <c r="CJ1390" t="inlineStr">
        <is>
          <t>Paid</t>
        </is>
      </c>
      <c r="CK1390" t="inlineStr">
        <is>
          <t>Eligible</t>
        </is>
      </c>
      <c r="CL1390"/>
      <c r="CM1390"/>
    </row>
    <row r="1391" ht="25.5" customHeight="1">
      <c r="A1391" t="inlineStr">
        <is>
          <t>4315659</t>
        </is>
      </c>
      <c r="B1391" s="2"/>
      <c r="C1391"/>
      <c r="D1391" s="3">
        <v>46135.64827546296</v>
      </c>
      <c r="E1391" t="inlineStr">
        <is>
          <t>Q2-W03</t>
        </is>
      </c>
      <c r="F1391" t="inlineStr">
        <is>
          <t>Ratha</t>
        </is>
      </c>
      <c r="G1391" t="inlineStr">
        <is>
          <t>Lead</t>
        </is>
      </c>
      <c r="H1391" s="2" t="str">
        <f>=HYPERLINK("https://upbox.ajobthing.my/leads/4315659", "https://upbox.ajobthing.my/leads/4315659")</f>
        <v>https://upbox.ajobthing.my/leads/4315659</v>
      </c>
      <c r="I1391" t="inlineStr">
        <is>
          <t>Wawasan Cojaya Sdn Bhd</t>
        </is>
      </c>
      <c r="J1391" t="inlineStr">
        <is>
          <t>Whale</t>
        </is>
      </c>
      <c r="K1391" t="inlineStr">
        <is>
          <t>Ratha</t>
        </is>
      </c>
      <c r="L1391" s="4"/>
      <c r="M1391" s="4">
        <v>46135.64949074074</v>
      </c>
      <c r="N1391"/>
      <c r="O1391">
        <v>11232</v>
      </c>
      <c r="P1391" s="4"/>
      <c r="Q1391" s="4"/>
      <c r="R1391"/>
      <c r="S1391"/>
      <c r="T1391" s="4"/>
      <c r="U1391" s="4"/>
      <c r="V1391"/>
      <c r="W1391"/>
      <c r="X1391"/>
      <c r="Y1391" t="inlineStr">
        <is>
          <t>Pending Appointment</t>
        </is>
      </c>
      <c r="Z1391" t="inlineStr">
        <is>
          <t>Continuous Hiring</t>
        </is>
      </c>
      <c r="AA1391">
        <v>2</v>
      </c>
      <c r="AB1391" t="inlineStr">
        <is>
          <t>No Appointment Made</t>
        </is>
      </c>
      <c r="AC1391"/>
      <c r="AD1391" t="inlineStr">
        <is>
          <t>Call Center
Tele Collector
Location : Bangsar</t>
        </is>
      </c>
      <c r="AE1391"/>
      <c r="AF1391"/>
      <c r="AG1391" s="4"/>
      <c r="AH1391" s="4"/>
      <c r="AI1391">
        <v>0</v>
      </c>
      <c r="AJ1391">
        <v>1</v>
      </c>
      <c r="AK1391" t="inlineStr">
        <is>
          <t>Yes, I have</t>
        </is>
      </c>
      <c r="AL1391">
        <v>3</v>
      </c>
      <c r="AM1391" t="inlineStr">
        <is>
          <t>No, I don't need at all</t>
        </is>
      </c>
      <c r="AN1391"/>
      <c r="AO1391" t="inlineStr">
        <is>
          <t>No, I don't need at all</t>
        </is>
      </c>
      <c r="AP1391" t="inlineStr">
        <is>
          <t>Every month (100%)</t>
        </is>
      </c>
      <c r="AQ1391">
        <v>0</v>
      </c>
      <c r="AR1391" t="inlineStr">
        <is>
          <t>Jobstreet, Free Job Portal</t>
        </is>
      </c>
      <c r="AS1391" t="inlineStr">
        <is>
          <t>- Headcount: 2
- Hiring Job Details: Call Center, Tele Collector (Location: Bangsar)
- Hiring Urgency: Continuous Hiring
- Number of outlets: 1
- Have recruiter team: Yes
- Number of recruiter in company: 3
- Have ATS system: No, I don't need at all
- Have career website: No, I don't need at all
- Current hiring budget: Not specified
- Whole year budget: RM0.00
- Whole year number of vacancies: 0
- Hiring frequency: Every month (100%)
- External job portal: Jobstreet, Free Job Portal</t>
        </is>
      </c>
      <c r="AT1391">
        <v>90</v>
      </c>
      <c r="AU1391" t="inlineStr">
        <is>
          <t>0.90</t>
        </is>
      </c>
      <c r="AV1391" t="inlineStr">
        <is>
          <t>5</t>
        </is>
      </c>
      <c r="AW1391" t="inlineStr">
        <is>
          <t>0</t>
        </is>
      </c>
      <c r="AX1391" t="inlineStr">
        <is>
          <t>Not Qualified</t>
        </is>
      </c>
      <c r="AY1391" s="4"/>
      <c r="AZ1391"/>
      <c r="BA1391"/>
      <c r="BB1391"/>
      <c r="BC1391"/>
      <c r="BD1391" s="4"/>
      <c r="BE1391"/>
      <c r="BF1391"/>
      <c r="BG1391" t="inlineStr">
        <is>
          <t>Reschedule</t>
        </is>
      </c>
      <c r="BH1391" t="inlineStr">
        <is>
          <t>Fauziah Maharan</t>
        </is>
      </c>
      <c r="BI1391"/>
      <c r="BJ1391" s="4">
        <v>46144.755902777775</v>
      </c>
      <c r="BK1391" s="4">
        <v>46135.5840625</v>
      </c>
      <c r="BL1391" t="inlineStr">
        <is>
          <t>0.0</t>
        </is>
      </c>
      <c r="BM1391" t="inlineStr">
        <is>
          <t>19200.0</t>
        </is>
      </c>
      <c r="BN1391"/>
      <c r="BO1391" s="4"/>
      <c r="BP1391">
        <v>168598</v>
      </c>
      <c r="BQ1391"/>
      <c r="BR1391"/>
      <c r="BS1391"/>
      <c r="BT1391"/>
      <c r="BU1391"/>
      <c r="BV1391"/>
      <c r="BW1391"/>
      <c r="BX1391"/>
      <c r="BY1391"/>
      <c r="BZ1391" s="4"/>
      <c r="CA1391"/>
      <c r="CB1391"/>
      <c r="CC1391" s="4"/>
      <c r="CD1391" t="inlineStr">
        <is>
          <t>5</t>
        </is>
      </c>
      <c r="CE1391" t="inlineStr">
        <is>
          <t>0</t>
        </is>
      </c>
      <c r="CF1391" t="inlineStr">
        <is>
          <t>Q2-W03</t>
        </is>
      </c>
      <c r="CG1391"/>
      <c r="CH1391"/>
      <c r="CI1391"/>
      <c r="CJ1391" t="inlineStr">
        <is>
          <t>No Paid</t>
        </is>
      </c>
      <c r="CK1391" t="inlineStr">
        <is>
          <t>Eligible</t>
        </is>
      </c>
      <c r="CL1391"/>
      <c r="CM1391"/>
    </row>
    <row r="1392" ht="25.5" customHeight="1">
      <c r="A1392" t="inlineStr">
        <is>
          <t>203590</t>
        </is>
      </c>
      <c r="B1392" s="2"/>
      <c r="C1392"/>
      <c r="D1392" s="3">
        <v>46135.66189814815</v>
      </c>
      <c r="E1392" t="inlineStr">
        <is>
          <t>Q2-W03</t>
        </is>
      </c>
      <c r="F1392" t="inlineStr">
        <is>
          <t>Yvonne Lee</t>
        </is>
      </c>
      <c r="G1392" t="inlineStr">
        <is>
          <t>Customer</t>
        </is>
      </c>
      <c r="H1392" s="2" t="str">
        <f>=HYPERLINK("https://upbox.ajobthing.my/customer/203590", "https://upbox.ajobthing.my/customer/203590")</f>
        <v>https://upbox.ajobthing.my/customer/203590</v>
      </c>
      <c r="I1392" t="inlineStr">
        <is>
          <t>Gathering Dream Group Sdn Bhd</t>
        </is>
      </c>
      <c r="J1392" t="inlineStr">
        <is>
          <t>Whale</t>
        </is>
      </c>
      <c r="K1392" t="inlineStr">
        <is>
          <t>Yvonne</t>
        </is>
      </c>
      <c r="L1392" s="4"/>
      <c r="M1392" s="4">
        <v>46135.6771875</v>
      </c>
      <c r="N1392"/>
      <c r="O1392">
        <v>11448</v>
      </c>
      <c r="P1392" s="4"/>
      <c r="Q1392" s="4"/>
      <c r="R1392"/>
      <c r="S1392"/>
      <c r="T1392" s="4"/>
      <c r="U1392" s="4"/>
      <c r="V1392"/>
      <c r="W1392"/>
      <c r="X1392"/>
      <c r="Y1392" t="inlineStr">
        <is>
          <t>Pending Appointment</t>
        </is>
      </c>
      <c r="Z1392" t="inlineStr">
        <is>
          <t>Hiring Now</t>
        </is>
      </c>
      <c r="AA1392">
        <v>2</v>
      </c>
      <c r="AB1392" t="inlineStr">
        <is>
          <t>No Appointment Made</t>
        </is>
      </c>
      <c r="AC1392"/>
      <c r="AD1392" t="inlineStr">
        <is>
          <t>1) Executive
2) Social media Executive</t>
        </is>
      </c>
      <c r="AE1392"/>
      <c r="AF1392">
        <v>10000</v>
      </c>
      <c r="AG1392" s="4"/>
      <c r="AH1392" s="4"/>
      <c r="AI1392">
        <v>10000</v>
      </c>
      <c r="AJ1392">
        <v>1</v>
      </c>
      <c r="AK1392" t="inlineStr">
        <is>
          <t>Yes, I have</t>
        </is>
      </c>
      <c r="AL1392">
        <v>2</v>
      </c>
      <c r="AM1392" t="inlineStr">
        <is>
          <t>No, I don't need at all</t>
        </is>
      </c>
      <c r="AN1392"/>
      <c r="AO1392" t="inlineStr">
        <is>
          <t>No, I don't need at all</t>
        </is>
      </c>
      <c r="AP1392" t="inlineStr">
        <is>
          <t>Once per quarter (75%)</t>
        </is>
      </c>
      <c r="AQ1392">
        <v>20</v>
      </c>
      <c r="AR1392" t="inlineStr">
        <is>
          <t>Jobstreet, Linkedin (Paid)</t>
        </is>
      </c>
      <c r="AS1392" t="inlineStr">
        <is>
          <t>- Headcount: 2
- Hiring Job Details: 1) Executive 2) Social media Executive
- Hiring Urgency: Hiring Now
- Number of outlets: 1
- Have recruiter team: Yes
- Number of recruiter in company: 2
- Have ATS system: No, I don't need at all
- Have career website: No, I don't need at all
- Current hiring budget: RM10,000
- Whole year budget: RM10,000.00
- Whole year number of vacancies: 20
- Hiring frequency: Once per quarter (75%)
- External job portal: Jobstreet, Linkedin (Paid)</t>
        </is>
      </c>
      <c r="AT1392">
        <v>100</v>
      </c>
      <c r="AU1392" t="inlineStr">
        <is>
          <t>1.00</t>
        </is>
      </c>
      <c r="AV1392" t="inlineStr">
        <is>
          <t>15</t>
        </is>
      </c>
      <c r="AW1392" t="inlineStr">
        <is>
          <t>0</t>
        </is>
      </c>
      <c r="AX1392" t="inlineStr">
        <is>
          <t>Not Qualified</t>
        </is>
      </c>
      <c r="AY1392" s="4"/>
      <c r="AZ1392"/>
      <c r="BA1392"/>
      <c r="BB1392"/>
      <c r="BC1392" t="inlineStr">
        <is>
          <t>management consideration no to proceed and discussion with boss.</t>
        </is>
      </c>
      <c r="BD1392" s="4">
        <v>46141.562997685185</v>
      </c>
      <c r="BE1392"/>
      <c r="BF1392"/>
      <c r="BG1392" t="inlineStr">
        <is>
          <t>Reschedule</t>
        </is>
      </c>
      <c r="BH1392" t="inlineStr">
        <is>
          <t>andy@ajobthing.com</t>
        </is>
      </c>
      <c r="BI1392"/>
      <c r="BJ1392" s="4">
        <v>46144.75435185185</v>
      </c>
      <c r="BK1392" s="4">
        <v>46135.643483796295</v>
      </c>
      <c r="BL1392" t="inlineStr">
        <is>
          <t>0.0</t>
        </is>
      </c>
      <c r="BM1392" t="inlineStr">
        <is>
          <t>19950.0</t>
        </is>
      </c>
      <c r="BN1392" t="inlineStr">
        <is>
          <t>View Company Page</t>
        </is>
      </c>
      <c r="BO1392" s="4">
        <v>46135.66888888889</v>
      </c>
      <c r="BP1392">
        <v>168615</v>
      </c>
      <c r="BQ1392"/>
      <c r="BR1392"/>
      <c r="BS1392"/>
      <c r="BT1392"/>
      <c r="BU1392"/>
      <c r="BV1392">
        <v>2735046</v>
      </c>
      <c r="BW1392" t="inlineStr">
        <is>
          <t>Follow Up : Budget Concern</t>
        </is>
      </c>
      <c r="BX1392"/>
      <c r="BY1392"/>
      <c r="BZ1392" s="4"/>
      <c r="CA1392"/>
      <c r="CB1392"/>
      <c r="CC1392" s="4"/>
      <c r="CD1392" t="inlineStr">
        <is>
          <t>20</t>
        </is>
      </c>
      <c r="CE1392" t="inlineStr">
        <is>
          <t>0</t>
        </is>
      </c>
      <c r="CF1392" t="inlineStr">
        <is>
          <t>Q2-W03</t>
        </is>
      </c>
      <c r="CG1392"/>
      <c r="CH1392"/>
      <c r="CI1392"/>
      <c r="CJ1392" t="inlineStr">
        <is>
          <t>No Paid</t>
        </is>
      </c>
      <c r="CK1392" t="inlineStr">
        <is>
          <t>Eligible</t>
        </is>
      </c>
      <c r="CL1392"/>
      <c r="CM1392"/>
    </row>
    <row r="1393" ht="25.5" customHeight="1">
      <c r="A1393" t="inlineStr">
        <is>
          <t>7995</t>
        </is>
      </c>
      <c r="B1393" s="2"/>
      <c r="C1393"/>
      <c r="D1393" s="3">
        <v>46135.71034722222</v>
      </c>
      <c r="E1393" t="inlineStr">
        <is>
          <t>Q2-W03</t>
        </is>
      </c>
      <c r="F1393" t="inlineStr">
        <is>
          <t>Alan KY</t>
        </is>
      </c>
      <c r="G1393" t="inlineStr">
        <is>
          <t>Customer</t>
        </is>
      </c>
      <c r="H1393" s="2" t="str">
        <f>=HYPERLINK("https://upbox.ajobthing.my/customer/7995", "https://upbox.ajobthing.my/customer/7995")</f>
        <v>https://upbox.ajobthing.my/customer/7995</v>
      </c>
      <c r="I1393" t="inlineStr">
        <is>
          <t>Cutie Cottage Sdn Bhd</t>
        </is>
      </c>
      <c r="J1393" t="inlineStr">
        <is>
          <t>Whale</t>
        </is>
      </c>
      <c r="K1393" t="inlineStr">
        <is>
          <t>Alan KY</t>
        </is>
      </c>
      <c r="L1393" s="4"/>
      <c r="M1393" s="4">
        <v>46135.706782407404</v>
      </c>
      <c r="N1393"/>
      <c r="O1393">
        <v>5508</v>
      </c>
      <c r="P1393" s="4"/>
      <c r="Q1393" s="4">
        <v>45749.603217592594</v>
      </c>
      <c r="R1393"/>
      <c r="S1393">
        <v>4860</v>
      </c>
      <c r="T1393" s="4">
        <v>45749.603217592594</v>
      </c>
      <c r="U1393" s="4"/>
      <c r="V1393"/>
      <c r="W1393">
        <v>4860</v>
      </c>
      <c r="X1393"/>
      <c r="Y1393" t="inlineStr">
        <is>
          <t>Pending Appointment</t>
        </is>
      </c>
      <c r="Z1393" t="inlineStr">
        <is>
          <t>Continuous Hiring</t>
        </is>
      </c>
      <c r="AA1393">
        <v>4</v>
      </c>
      <c r="AB1393" t="inlineStr">
        <is>
          <t>No Appointment Made</t>
        </is>
      </c>
      <c r="AC1393"/>
      <c r="AD1393" t="inlineStr">
        <is>
          <t xml:space="preserve">2 mandarin teacher , 1 english teacher , supervisor 1 , based in KL/ selangor </t>
        </is>
      </c>
      <c r="AE1393"/>
      <c r="AF1393"/>
      <c r="AG1393" s="4"/>
      <c r="AH1393" s="4"/>
      <c r="AI1393"/>
      <c r="AJ1393">
        <v>3</v>
      </c>
      <c r="AK1393" t="inlineStr">
        <is>
          <t>No, I don't need at all</t>
        </is>
      </c>
      <c r="AL1393">
        <v>0</v>
      </c>
      <c r="AM1393" t="inlineStr">
        <is>
          <t>No, I don't need at all</t>
        </is>
      </c>
      <c r="AN1393"/>
      <c r="AO1393" t="inlineStr">
        <is>
          <t>No, I don't need at all</t>
        </is>
      </c>
      <c r="AP1393" t="inlineStr">
        <is>
          <t>Every month (100%)</t>
        </is>
      </c>
      <c r="AQ1393"/>
      <c r="AR1393" t="inlineStr">
        <is>
          <t>Jobstreet</t>
        </is>
      </c>
      <c r="AS1393" t="inlineStr">
        <is>
          <t>- Headcount: 4
- Hiring Job Details: 2 mandarin teacher, 1 english teacher, 1 supervisor (based in KL/selangor)
- Hiring Urgency: Continuous Hiring
- Number of outlets: 3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Jobstreet</t>
        </is>
      </c>
      <c r="AT1393">
        <v>95</v>
      </c>
      <c r="AU1393" t="inlineStr">
        <is>
          <t>0.95</t>
        </is>
      </c>
      <c r="AV1393" t="inlineStr">
        <is>
          <t>5</t>
        </is>
      </c>
      <c r="AW1393" t="inlineStr">
        <is>
          <t>0</t>
        </is>
      </c>
      <c r="AX1393" t="inlineStr">
        <is>
          <t>Not Qualified</t>
        </is>
      </c>
      <c r="AY1393" s="4"/>
      <c r="AZ1393"/>
      <c r="BA1393"/>
      <c r="BB1393"/>
      <c r="BC1393" t="inlineStr">
        <is>
          <t>Feedback on job posting, assist her</t>
        </is>
      </c>
      <c r="BD1393" s="4">
        <v>46142.41646990741</v>
      </c>
      <c r="BE1393" t="inlineStr">
        <is>
          <t>paid</t>
        </is>
      </c>
      <c r="BF1393"/>
      <c r="BG1393" t="inlineStr">
        <is>
          <t>Reschedule</t>
        </is>
      </c>
      <c r="BH1393" t="inlineStr">
        <is>
          <t>Reagen</t>
        </is>
      </c>
      <c r="BI1393" t="inlineStr">
        <is>
          <t>Education / Training</t>
        </is>
      </c>
      <c r="BJ1393" s="4">
        <v>46144.756157407406</v>
      </c>
      <c r="BK1393" s="4">
        <v>42471.676099537035</v>
      </c>
      <c r="BL1393" t="inlineStr">
        <is>
          <t>0.0</t>
        </is>
      </c>
      <c r="BM1393" t="inlineStr">
        <is>
          <t>0.0</t>
        </is>
      </c>
      <c r="BN1393" t="inlineStr">
        <is>
          <t>View Company Page</t>
        </is>
      </c>
      <c r="BO1393" s="4">
        <v>46144.412673611114</v>
      </c>
      <c r="BP1393">
        <v>168635</v>
      </c>
      <c r="BQ1393">
        <v>78103</v>
      </c>
      <c r="BR1393" t="inlineStr">
        <is>
          <t>Online</t>
        </is>
      </c>
      <c r="BS1393"/>
      <c r="BT1393">
        <v>78103</v>
      </c>
      <c r="BU1393"/>
      <c r="BV1393">
        <v>2736626</v>
      </c>
      <c r="BW1393" t="inlineStr">
        <is>
          <t>Service / Technical : Job Outcome Enquiry</t>
        </is>
      </c>
      <c r="BX1393">
        <v>12</v>
      </c>
      <c r="BY1393">
        <v>0</v>
      </c>
      <c r="BZ1393" s="4">
        <v>46142.87534722222</v>
      </c>
      <c r="CA1393">
        <v>240</v>
      </c>
      <c r="CB1393">
        <v>148</v>
      </c>
      <c r="CC1393" s="4">
        <v>46144.411886574075</v>
      </c>
      <c r="CD1393" t="inlineStr">
        <is>
          <t>5</t>
        </is>
      </c>
      <c r="CE1393" t="inlineStr">
        <is>
          <t>0</t>
        </is>
      </c>
      <c r="CF1393" t="inlineStr">
        <is>
          <t>Q2-W03</t>
        </is>
      </c>
      <c r="CG1393"/>
      <c r="CH1393"/>
      <c r="CI1393"/>
      <c r="CJ1393" t="inlineStr">
        <is>
          <t>Paid</t>
        </is>
      </c>
      <c r="CK1393" t="inlineStr">
        <is>
          <t>Eligible</t>
        </is>
      </c>
      <c r="CL1393"/>
      <c r="CM1393"/>
    </row>
    <row r="1394" ht="25.5" customHeight="1">
      <c r="A1394" t="inlineStr">
        <is>
          <t>203588</t>
        </is>
      </c>
      <c r="B1394" s="2"/>
      <c r="C1394"/>
      <c r="D1394" s="3">
        <v>46135.72487268518</v>
      </c>
      <c r="E1394" t="inlineStr">
        <is>
          <t>Q2-W03</t>
        </is>
      </c>
      <c r="F1394" t="inlineStr">
        <is>
          <t>Carmen</t>
        </is>
      </c>
      <c r="G1394" t="inlineStr">
        <is>
          <t>Customer</t>
        </is>
      </c>
      <c r="H1394" s="2" t="str">
        <f>=HYPERLINK("https://upbox.ajobthing.my/customer/203588", "https://upbox.ajobthing.my/customer/203588")</f>
        <v>https://upbox.ajobthing.my/customer/203588</v>
      </c>
      <c r="I1394" t="inlineStr">
        <is>
          <t>Welsend Malaysia</t>
        </is>
      </c>
      <c r="J1394" t="inlineStr">
        <is>
          <t>Whale</t>
        </is>
      </c>
      <c r="K1394" t="inlineStr">
        <is>
          <t>Carmen</t>
        </is>
      </c>
      <c r="L1394" s="4"/>
      <c r="M1394" s="4">
        <v>46135.716145833336</v>
      </c>
      <c r="N1394"/>
      <c r="O1394">
        <v>22248</v>
      </c>
      <c r="P1394" s="4"/>
      <c r="Q1394" s="4">
        <v>46140.60362268519</v>
      </c>
      <c r="R1394"/>
      <c r="S1394">
        <v>0</v>
      </c>
      <c r="T1394" s="4">
        <v>46136.5799537037</v>
      </c>
      <c r="U1394" s="4"/>
      <c r="V1394"/>
      <c r="W1394">
        <v>3672</v>
      </c>
      <c r="X1394"/>
      <c r="Y1394" t="inlineStr">
        <is>
          <t>Pending Appointment</t>
        </is>
      </c>
      <c r="Z1394" t="inlineStr">
        <is>
          <t>Continuous Hiring</t>
        </is>
      </c>
      <c r="AA1394">
        <v>10</v>
      </c>
      <c r="AB1394" t="inlineStr">
        <is>
          <t>No Appointment Made</t>
        </is>
      </c>
      <c r="AC1394"/>
      <c r="AD1394" t="inlineStr">
        <is>
          <t>10 position per month</t>
        </is>
      </c>
      <c r="AE1394"/>
      <c r="AF1394">
        <v>4000</v>
      </c>
      <c r="AG1394" s="4"/>
      <c r="AH1394" s="4"/>
      <c r="AI1394"/>
      <c r="AJ1394"/>
      <c r="AK1394" t="inlineStr">
        <is>
          <t>Yes, I have</t>
        </is>
      </c>
      <c r="AL1394"/>
      <c r="AM1394"/>
      <c r="AN1394"/>
      <c r="AO1394"/>
      <c r="AP1394" t="inlineStr">
        <is>
          <t>Every month (100%)</t>
        </is>
      </c>
      <c r="AQ1394"/>
      <c r="AR1394"/>
      <c r="AS1394" t="inlineStr">
        <is>
          <t>- Headcount: 10
- Hiring Job Details: 10 positions per month
- Hiring Urgency: Continuous Hiring
- Number of outlets: Not available
- Have recruiter team: Yes
- Number of recruiter in company: Not available
- Have ATS system: Not available
- Have career website: Not available
- Current hiring budget: RM4,000.00
- Whole year budget: Not available
- Whole year number of vacancies: Not available
- Hiring frequency: Every month (100%)
- External job portal: Not available</t>
        </is>
      </c>
      <c r="AT1394">
        <v>35</v>
      </c>
      <c r="AU1394" t="inlineStr">
        <is>
          <t>0.35</t>
        </is>
      </c>
      <c r="AV1394" t="inlineStr">
        <is>
          <t>20</t>
        </is>
      </c>
      <c r="AW1394" t="inlineStr">
        <is>
          <t>0</t>
        </is>
      </c>
      <c r="AX1394" t="inlineStr">
        <is>
          <t>Not Qualified</t>
        </is>
      </c>
      <c r="AY1394" s="4"/>
      <c r="AZ1394"/>
      <c r="BA1394"/>
      <c r="BB1394"/>
      <c r="BC1394" t="inlineStr">
        <is>
          <t>remind her</t>
        </is>
      </c>
      <c r="BD1394" s="4">
        <v>46140.6872337963</v>
      </c>
      <c r="BE1394" t="inlineStr">
        <is>
          <t>paid</t>
        </is>
      </c>
      <c r="BF1394" t="inlineStr">
        <is>
          <t>Q2-W04</t>
        </is>
      </c>
      <c r="BG1394" t="inlineStr">
        <is>
          <t>Reschedule</t>
        </is>
      </c>
      <c r="BH1394" t="inlineStr">
        <is>
          <t>Reagen</t>
        </is>
      </c>
      <c r="BI1394" t="inlineStr">
        <is>
          <t>Business / Mgmt Consulting</t>
        </is>
      </c>
      <c r="BJ1394" s="4">
        <v>46144.75435185185</v>
      </c>
      <c r="BK1394" s="4">
        <v>46135.62981481481</v>
      </c>
      <c r="BL1394" t="inlineStr">
        <is>
          <t>3672.0</t>
        </is>
      </c>
      <c r="BM1394" t="inlineStr">
        <is>
          <t>4200.0</t>
        </is>
      </c>
      <c r="BN1394" t="inlineStr">
        <is>
          <t>User Visit(Logged In)</t>
        </is>
      </c>
      <c r="BO1394" s="4">
        <v>46144.68451388889</v>
      </c>
      <c r="BP1394">
        <v>168645</v>
      </c>
      <c r="BQ1394">
        <v>123917</v>
      </c>
      <c r="BR1394" t="inlineStr">
        <is>
          <t>Proforma</t>
        </is>
      </c>
      <c r="BS1394" t="inlineStr">
        <is>
          <t>Free Freelance Job</t>
        </is>
      </c>
      <c r="BT1394">
        <v>94716</v>
      </c>
      <c r="BU1394"/>
      <c r="BV1394">
        <v>2733467</v>
      </c>
      <c r="BW1394" t="inlineStr">
        <is>
          <t>Service / Technical : Help To Post Job</t>
        </is>
      </c>
      <c r="BX1394">
        <v>8</v>
      </c>
      <c r="BY1394">
        <v>7</v>
      </c>
      <c r="BZ1394" s="4">
        <v>46136.584965277776</v>
      </c>
      <c r="CA1394">
        <v>73</v>
      </c>
      <c r="CB1394">
        <v>73</v>
      </c>
      <c r="CC1394" s="4"/>
      <c r="CD1394" t="inlineStr">
        <is>
          <t>30</t>
        </is>
      </c>
      <c r="CE1394" t="inlineStr">
        <is>
          <t>0</t>
        </is>
      </c>
      <c r="CF1394" t="inlineStr">
        <is>
          <t>Q2-W03</t>
        </is>
      </c>
      <c r="CG1394" t="inlineStr">
        <is>
          <t>Q2-W04</t>
        </is>
      </c>
      <c r="CH1394" t="inlineStr">
        <is>
          <t>Q2-W04</t>
        </is>
      </c>
      <c r="CI1394"/>
      <c r="CJ1394" t="inlineStr">
        <is>
          <t>Paid</t>
        </is>
      </c>
      <c r="CK1394" t="inlineStr">
        <is>
          <t>Eligible</t>
        </is>
      </c>
      <c r="CL1394"/>
      <c r="CM1394"/>
    </row>
    <row r="1395" ht="25.5" customHeight="1">
      <c r="A1395" t="inlineStr">
        <is>
          <t>203599</t>
        </is>
      </c>
      <c r="B1395" s="2"/>
      <c r="C1395"/>
      <c r="D1395" s="3">
        <v>46135.74039351852</v>
      </c>
      <c r="E1395" t="inlineStr">
        <is>
          <t>Q2-W03</t>
        </is>
      </c>
      <c r="F1395" t="inlineStr">
        <is>
          <t>Yuli</t>
        </is>
      </c>
      <c r="G1395" t="inlineStr">
        <is>
          <t>Customer</t>
        </is>
      </c>
      <c r="H1395" s="2" t="str">
        <f>=HYPERLINK("https://upbox.ajobthing.my/customer/203599", "https://upbox.ajobthing.my/customer/203599")</f>
        <v>https://upbox.ajobthing.my/customer/203599</v>
      </c>
      <c r="I1395" t="inlineStr">
        <is>
          <t>Shui Xing Ventures Sdn Bhd</t>
        </is>
      </c>
      <c r="J1395" t="inlineStr">
        <is>
          <t>Whale</t>
        </is>
      </c>
      <c r="K1395" t="inlineStr">
        <is>
          <t>YuLi</t>
        </is>
      </c>
      <c r="L1395" s="4"/>
      <c r="M1395" s="4">
        <v>46135.74767361111</v>
      </c>
      <c r="N1395"/>
      <c r="O1395">
        <v>11232</v>
      </c>
      <c r="P1395" s="4"/>
      <c r="Q1395" s="4">
        <v>46135.75784722222</v>
      </c>
      <c r="R1395"/>
      <c r="S1395">
        <v>0</v>
      </c>
      <c r="T1395" s="4"/>
      <c r="U1395" s="4"/>
      <c r="V1395"/>
      <c r="W1395"/>
      <c r="X1395"/>
      <c r="Y1395" t="inlineStr">
        <is>
          <t>Pending Appointment</t>
        </is>
      </c>
      <c r="Z1395" t="inlineStr">
        <is>
          <t>Hiring Now</t>
        </is>
      </c>
      <c r="AA1395">
        <v>1</v>
      </c>
      <c r="AB1395" t="inlineStr">
        <is>
          <t>No Appointment Made</t>
        </is>
      </c>
      <c r="AC1395"/>
      <c r="AD1395" t="inlineStr">
        <is>
          <t>Intern IT support, full time position less than 10 headcount</t>
        </is>
      </c>
      <c r="AE1395"/>
      <c r="AF1395"/>
      <c r="AG1395" s="4"/>
      <c r="AH1395" s="4"/>
      <c r="AI1395"/>
      <c r="AJ1395"/>
      <c r="AK1395"/>
      <c r="AL1395"/>
      <c r="AM1395"/>
      <c r="AN1395"/>
      <c r="AO1395"/>
      <c r="AP1395" t="inlineStr">
        <is>
          <t>Every month (100%)</t>
        </is>
      </c>
      <c r="AQ1395"/>
      <c r="AR1395" t="inlineStr">
        <is>
          <t>Jobstreet</t>
        </is>
      </c>
      <c r="AS1395" t="inlineStr">
        <is>
          <t>- Headcount: 1
- Hiring Job Details: Intern IT support, full time position less than 10 headcount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Jobstreet</t>
        </is>
      </c>
      <c r="AT1395">
        <v>75</v>
      </c>
      <c r="AU1395" t="inlineStr">
        <is>
          <t>0.75</t>
        </is>
      </c>
      <c r="AV1395" t="inlineStr">
        <is>
          <t>5</t>
        </is>
      </c>
      <c r="AW1395" t="inlineStr">
        <is>
          <t>0</t>
        </is>
      </c>
      <c r="AX1395" t="inlineStr">
        <is>
          <t>Not Qualified</t>
        </is>
      </c>
      <c r="AY1395" s="4"/>
      <c r="AZ1395"/>
      <c r="BA1395"/>
      <c r="BB1395"/>
      <c r="BC1395" t="inlineStr">
        <is>
          <t>called and spoke to Ms. Randy, as per her, will not comsider us at the moment due to they already have another job portal.</t>
        </is>
      </c>
      <c r="BD1395" s="4">
        <v>46140.482511574075</v>
      </c>
      <c r="BE1395" t="inlineStr">
        <is>
          <t>paid</t>
        </is>
      </c>
      <c r="BF1395"/>
      <c r="BG1395" t="inlineStr">
        <is>
          <t>Reschedule</t>
        </is>
      </c>
      <c r="BH1395" t="inlineStr">
        <is>
          <t>Fauziah Maharan</t>
        </is>
      </c>
      <c r="BI1395" t="inlineStr">
        <is>
          <t>Transportation / Logistics</t>
        </is>
      </c>
      <c r="BJ1395" s="4">
        <v>46144.75435185185</v>
      </c>
      <c r="BK1395" s="4">
        <v>46135.72368055556</v>
      </c>
      <c r="BL1395" t="inlineStr">
        <is>
          <t>0.0</t>
        </is>
      </c>
      <c r="BM1395" t="inlineStr">
        <is>
          <t>0.0</t>
        </is>
      </c>
      <c r="BN1395" t="inlineStr">
        <is>
          <t>User Visit(Logged In)</t>
        </is>
      </c>
      <c r="BO1395" s="4">
        <v>46141.40783564815</v>
      </c>
      <c r="BP1395">
        <v>168666</v>
      </c>
      <c r="BQ1395">
        <v>123634</v>
      </c>
      <c r="BR1395" t="inlineStr">
        <is>
          <t>Proforma</t>
        </is>
      </c>
      <c r="BS1395" t="inlineStr">
        <is>
          <t>Free Part-Time Job</t>
        </is>
      </c>
      <c r="BT1395"/>
      <c r="BU1395"/>
      <c r="BV1395">
        <v>2732180</v>
      </c>
      <c r="BW1395" t="inlineStr">
        <is>
          <t>Follow Up : Lost - Paid Portal</t>
        </is>
      </c>
      <c r="BX1395"/>
      <c r="BY1395"/>
      <c r="BZ1395" s="4"/>
      <c r="CA1395"/>
      <c r="CB1395"/>
      <c r="CC1395" s="4"/>
      <c r="CD1395" t="inlineStr">
        <is>
          <t>5</t>
        </is>
      </c>
      <c r="CE1395" t="inlineStr">
        <is>
          <t>0</t>
        </is>
      </c>
      <c r="CF1395" t="inlineStr">
        <is>
          <t>Q2-W03</t>
        </is>
      </c>
      <c r="CG1395" t="inlineStr">
        <is>
          <t>Q2-W03</t>
        </is>
      </c>
      <c r="CH1395"/>
      <c r="CI1395"/>
      <c r="CJ1395" t="inlineStr">
        <is>
          <t>No Paid</t>
        </is>
      </c>
      <c r="CK1395" t="inlineStr">
        <is>
          <t>Eligible</t>
        </is>
      </c>
      <c r="CL1395"/>
      <c r="CM1395"/>
    </row>
    <row r="1396" ht="25.5" customHeight="1">
      <c r="A1396" t="inlineStr">
        <is>
          <t>137927</t>
        </is>
      </c>
      <c r="B1396" s="2"/>
      <c r="C1396"/>
      <c r="D1396" s="3">
        <v>46135.75166666666</v>
      </c>
      <c r="E1396" t="inlineStr">
        <is>
          <t>Q2-W03</t>
        </is>
      </c>
      <c r="F1396" t="inlineStr">
        <is>
          <t>Yuli</t>
        </is>
      </c>
      <c r="G1396" t="inlineStr">
        <is>
          <t>Customer</t>
        </is>
      </c>
      <c r="H1396" s="2" t="str">
        <f>=HYPERLINK("https://upbox.ajobthing.my/customer/137927", "https://upbox.ajobthing.my/customer/137927")</f>
        <v>https://upbox.ajobthing.my/customer/137927</v>
      </c>
      <c r="I1396" t="inlineStr">
        <is>
          <t>V Fifth Group Sdn Bhd</t>
        </is>
      </c>
      <c r="J1396" t="inlineStr">
        <is>
          <t>Whale</t>
        </is>
      </c>
      <c r="K1396" t="inlineStr">
        <is>
          <t>YuLi</t>
        </is>
      </c>
      <c r="L1396" s="4"/>
      <c r="M1396" s="4">
        <v>46140.50409722222</v>
      </c>
      <c r="N1396"/>
      <c r="O1396">
        <v>3576.96</v>
      </c>
      <c r="P1396" s="4"/>
      <c r="Q1396" s="4">
        <v>46126.744039351855</v>
      </c>
      <c r="R1396"/>
      <c r="S1396">
        <v>1728</v>
      </c>
      <c r="T1396" s="4">
        <v>46126.744039351855</v>
      </c>
      <c r="U1396" s="4"/>
      <c r="V1396"/>
      <c r="W1396">
        <v>1728</v>
      </c>
      <c r="X1396"/>
      <c r="Y1396" t="inlineStr">
        <is>
          <t>Pending Appointment</t>
        </is>
      </c>
      <c r="Z1396" t="inlineStr">
        <is>
          <t>Hiring Now</t>
        </is>
      </c>
      <c r="AA1396">
        <v>3</v>
      </c>
      <c r="AB1396" t="inlineStr">
        <is>
          <t>No Appointment Made</t>
        </is>
      </c>
      <c r="AC1396"/>
      <c r="AD1396" t="inlineStr">
        <is>
          <t>Video editor Content Creator, Marketer</t>
        </is>
      </c>
      <c r="AE1396"/>
      <c r="AF1396"/>
      <c r="AG1396" s="4"/>
      <c r="AH1396" s="4"/>
      <c r="AI1396"/>
      <c r="AJ1396"/>
      <c r="AK1396"/>
      <c r="AL1396"/>
      <c r="AM1396"/>
      <c r="AN1396"/>
      <c r="AO1396"/>
      <c r="AP1396"/>
      <c r="AQ1396"/>
      <c r="AR1396" t="inlineStr">
        <is>
          <t>Jobstreet</t>
        </is>
      </c>
      <c r="AS1396" t="inlineStr">
        <is>
          <t>- Headcount: 3
- Hiring Job Details: Video editor, Content Creator, Marketer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 Hiring Urgency: Hiring Now</t>
        </is>
      </c>
      <c r="AT1396">
        <v>65</v>
      </c>
      <c r="AU1396" t="inlineStr">
        <is>
          <t>0.65</t>
        </is>
      </c>
      <c r="AV1396" t="inlineStr">
        <is>
          <t>5</t>
        </is>
      </c>
      <c r="AW1396" t="inlineStr">
        <is>
          <t>0</t>
        </is>
      </c>
      <c r="AX1396" t="inlineStr">
        <is>
          <t>Not Qualified</t>
        </is>
      </c>
      <c r="AY1396" s="4"/>
      <c r="AZ1396"/>
      <c r="BA1396"/>
      <c r="BB1396"/>
      <c r="BC1396" t="inlineStr">
        <is>
          <t>share quotation</t>
        </is>
      </c>
      <c r="BD1396" s="4">
        <v>46140.54944444444</v>
      </c>
      <c r="BE1396" t="inlineStr">
        <is>
          <t>paid</t>
        </is>
      </c>
      <c r="BF1396" t="inlineStr">
        <is>
          <t>Q2-W02</t>
        </is>
      </c>
      <c r="BG1396" t="inlineStr">
        <is>
          <t>Reschedule</t>
        </is>
      </c>
      <c r="BH1396" t="inlineStr">
        <is>
          <t>Fauziah Maharan</t>
        </is>
      </c>
      <c r="BI1396" t="inlineStr">
        <is>
          <t>Property / Real Estate</t>
        </is>
      </c>
      <c r="BJ1396" s="4">
        <v>46144.750613425924</v>
      </c>
      <c r="BK1396" s="4">
        <v>44322.57864583333</v>
      </c>
      <c r="BL1396" t="inlineStr">
        <is>
          <t>1728.0</t>
        </is>
      </c>
      <c r="BM1396" t="inlineStr">
        <is>
          <t>1800.0</t>
        </is>
      </c>
      <c r="BN1396" t="inlineStr">
        <is>
          <t>View Candidate Search Page</t>
        </is>
      </c>
      <c r="BO1396" s="4">
        <v>46144.55611111111</v>
      </c>
      <c r="BP1396">
        <v>169217</v>
      </c>
      <c r="BQ1396">
        <v>7556</v>
      </c>
      <c r="BR1396" t="inlineStr">
        <is>
          <t>Manual (Paid)</t>
        </is>
      </c>
      <c r="BS1396" t="inlineStr">
        <is>
          <t>AI Ala Carte
- A la carte for 2 AI Job Ad
- 2 AI Job Ad will be published on Maukerja, Ricebowl and our partner platforms
- 2 AI Job Ad will be published for 45 days
- 20 Free Candidates Profiles Unlock
- 6 Free Job Ad for any type of Intern / High Pay / Part-time / Volunteer / Freelance / Singapore Job
- Package valid for 2 month
- AI Capability
- AI Instant Match for 30 profiles
- AI Daily Talent Recommendation for 2 profiles daily for 45 days
- AI "Open to Work" Detector for 2 profiles for 10 days
- AI Smart Filter
- AI Post Job Assistant
- Ajobthing CARE</t>
        </is>
      </c>
      <c r="BT1396">
        <v>7556</v>
      </c>
      <c r="BU1396"/>
      <c r="BV1396">
        <v>2732521</v>
      </c>
      <c r="BW1396" t="inlineStr">
        <is>
          <t>No Answer : Voicemail - WA sent to customer</t>
        </is>
      </c>
      <c r="BX1396">
        <v>2</v>
      </c>
      <c r="BY1396">
        <v>0</v>
      </c>
      <c r="BZ1396" s="4">
        <v>46127.50335648148</v>
      </c>
      <c r="CA1396">
        <v>33</v>
      </c>
      <c r="CB1396">
        <v>3</v>
      </c>
      <c r="CC1396" s="4">
        <v>46135.59210648148</v>
      </c>
      <c r="CD1396" t="inlineStr">
        <is>
          <t>5</t>
        </is>
      </c>
      <c r="CE1396" t="inlineStr">
        <is>
          <t>0</t>
        </is>
      </c>
      <c r="CF1396" t="inlineStr">
        <is>
          <t>Q2-W04</t>
        </is>
      </c>
      <c r="CG1396" t="inlineStr">
        <is>
          <t>Q2-W02</t>
        </is>
      </c>
      <c r="CH1396" t="inlineStr">
        <is>
          <t>Q2-W02</t>
        </is>
      </c>
      <c r="CI1396"/>
      <c r="CJ1396" t="inlineStr">
        <is>
          <t>Paid</t>
        </is>
      </c>
      <c r="CK1396" t="inlineStr">
        <is>
          <t>Eligible</t>
        </is>
      </c>
      <c r="CL1396"/>
      <c r="CM1396"/>
    </row>
    <row r="1397" ht="25.5" customHeight="1">
      <c r="A1397" t="inlineStr">
        <is>
          <t>157740</t>
        </is>
      </c>
      <c r="B1397" s="2"/>
      <c r="C1397"/>
      <c r="D1397" s="3">
        <v>46135.758368055554</v>
      </c>
      <c r="E1397" t="inlineStr">
        <is>
          <t>Q2-W03</t>
        </is>
      </c>
      <c r="F1397" t="inlineStr">
        <is>
          <t>Alan KY</t>
        </is>
      </c>
      <c r="G1397" t="inlineStr">
        <is>
          <t>Customer</t>
        </is>
      </c>
      <c r="H1397" s="2" t="str">
        <f>=HYPERLINK("https://upbox.ajobthing.my/customer/157740", "https://upbox.ajobthing.my/customer/157740")</f>
        <v>https://upbox.ajobthing.my/customer/157740</v>
      </c>
      <c r="I1397" t="inlineStr">
        <is>
          <t>Filter Man Supply Sdn Bhd</t>
        </is>
      </c>
      <c r="J1397" t="inlineStr">
        <is>
          <t>Whale</t>
        </is>
      </c>
      <c r="K1397" t="inlineStr">
        <is>
          <t>Alan KY</t>
        </is>
      </c>
      <c r="L1397" s="4"/>
      <c r="M1397" s="4">
        <v>46135.756886574076</v>
      </c>
      <c r="N1397"/>
      <c r="O1397">
        <v>7452</v>
      </c>
      <c r="P1397" s="4"/>
      <c r="Q1397" s="4">
        <v>46123.37241898148</v>
      </c>
      <c r="R1397"/>
      <c r="S1397">
        <v>0</v>
      </c>
      <c r="T1397" s="4">
        <v>45777.59473379629</v>
      </c>
      <c r="U1397" s="4"/>
      <c r="V1397"/>
      <c r="W1397">
        <v>5724</v>
      </c>
      <c r="X1397"/>
      <c r="Y1397" t="inlineStr">
        <is>
          <t>Pending Appointment</t>
        </is>
      </c>
      <c r="Z1397" t="inlineStr">
        <is>
          <t>Continuous Hiring</t>
        </is>
      </c>
      <c r="AA1397">
        <v>4</v>
      </c>
      <c r="AB1397" t="inlineStr">
        <is>
          <t>No Appointment Made</t>
        </is>
      </c>
      <c r="AC1397"/>
      <c r="AD1397" t="inlineStr">
        <is>
          <t xml:space="preserve">1 HR , 3 sales and more 
Based in selangor </t>
        </is>
      </c>
      <c r="AE1397"/>
      <c r="AF1397"/>
      <c r="AG1397" s="4"/>
      <c r="AH1397" s="4"/>
      <c r="AI1397"/>
      <c r="AJ1397">
        <v>1</v>
      </c>
      <c r="AK1397" t="inlineStr">
        <is>
          <t>No, I don't need at all</t>
        </is>
      </c>
      <c r="AL1397">
        <v>0</v>
      </c>
      <c r="AM1397" t="inlineStr">
        <is>
          <t>No, I don't need at all</t>
        </is>
      </c>
      <c r="AN1397"/>
      <c r="AO1397" t="inlineStr">
        <is>
          <t>No, I don't need at all</t>
        </is>
      </c>
      <c r="AP1397" t="inlineStr">
        <is>
          <t>Every month (100%)</t>
        </is>
      </c>
      <c r="AQ1397"/>
      <c r="AR1397" t="inlineStr">
        <is>
          <t>Jobstreet, Linkedin (Paid)</t>
        </is>
      </c>
      <c r="AS1397" t="inlineStr">
        <is>
          <t>- Headcount: 4
- Hiring Job Details: 1 HR, 3 sales and more; based in Selangor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Jobstreet, Linkedin (Paid)</t>
        </is>
      </c>
      <c r="AT1397">
        <v>95</v>
      </c>
      <c r="AU1397" t="inlineStr">
        <is>
          <t>0.95</t>
        </is>
      </c>
      <c r="AV1397" t="inlineStr">
        <is>
          <t>5</t>
        </is>
      </c>
      <c r="AW1397" t="inlineStr">
        <is>
          <t>0</t>
        </is>
      </c>
      <c r="AX1397" t="inlineStr">
        <is>
          <t>Not Qualified</t>
        </is>
      </c>
      <c r="AY1397" s="4"/>
      <c r="AZ1397"/>
      <c r="BA1397"/>
      <c r="BB1397"/>
      <c r="BC1397" t="inlineStr">
        <is>
          <t>Pending decision</t>
        </is>
      </c>
      <c r="BD1397" s="4">
        <v>46141.65918981482</v>
      </c>
      <c r="BE1397" t="inlineStr">
        <is>
          <t>paid</t>
        </is>
      </c>
      <c r="BF1397"/>
      <c r="BG1397" t="inlineStr">
        <is>
          <t>Reschedule</t>
        </is>
      </c>
      <c r="BH1397" t="inlineStr">
        <is>
          <t>Reagen</t>
        </is>
      </c>
      <c r="BI1397" t="inlineStr">
        <is>
          <t>Consumer Products / FMCG</t>
        </is>
      </c>
      <c r="BJ1397" s="4">
        <v>46144.75101851852</v>
      </c>
      <c r="BK1397" s="4">
        <v>44770.36383101852</v>
      </c>
      <c r="BL1397" t="inlineStr">
        <is>
          <t>5724.0</t>
        </is>
      </c>
      <c r="BM1397" t="inlineStr">
        <is>
          <t>3000.0</t>
        </is>
      </c>
      <c r="BN1397" t="inlineStr">
        <is>
          <t>View Company Page</t>
        </is>
      </c>
      <c r="BO1397" s="4">
        <v>46141.78451388889</v>
      </c>
      <c r="BP1397">
        <v>168676</v>
      </c>
      <c r="BQ1397">
        <v>121831</v>
      </c>
      <c r="BR1397" t="inlineStr">
        <is>
          <t>Proforma</t>
        </is>
      </c>
      <c r="BS1397" t="inlineStr">
        <is>
          <t>Free Part-Time Job</t>
        </is>
      </c>
      <c r="BT1397">
        <v>78910</v>
      </c>
      <c r="BU1397"/>
      <c r="BV1397">
        <v>2735721</v>
      </c>
      <c r="BW1397" t="inlineStr">
        <is>
          <t>Follow Up : Decision Pending</t>
        </is>
      </c>
      <c r="BX1397"/>
      <c r="BY1397"/>
      <c r="BZ1397" s="4"/>
      <c r="CA1397"/>
      <c r="CB1397"/>
      <c r="CC1397" s="4"/>
      <c r="CD1397" t="inlineStr">
        <is>
          <t>5</t>
        </is>
      </c>
      <c r="CE1397" t="inlineStr">
        <is>
          <t>0</t>
        </is>
      </c>
      <c r="CF1397" t="inlineStr">
        <is>
          <t>Q2-W03</t>
        </is>
      </c>
      <c r="CG1397" t="inlineStr">
        <is>
          <t>Q2-W02</t>
        </is>
      </c>
      <c r="CH1397"/>
      <c r="CI1397"/>
      <c r="CJ1397" t="inlineStr">
        <is>
          <t>Paid</t>
        </is>
      </c>
      <c r="CK1397" t="inlineStr">
        <is>
          <t>Eligible</t>
        </is>
      </c>
      <c r="CL1397"/>
      <c r="CM1397"/>
    </row>
    <row r="1398" ht="25.5" customHeight="1">
      <c r="A1398" t="inlineStr">
        <is>
          <t>186215</t>
        </is>
      </c>
      <c r="B1398" s="2"/>
      <c r="C1398"/>
      <c r="D1398" s="3">
        <v>46135.85402777778</v>
      </c>
      <c r="E1398" t="inlineStr">
        <is>
          <t>Q2-W03</t>
        </is>
      </c>
      <c r="F1398" t="inlineStr">
        <is>
          <t>Yuli</t>
        </is>
      </c>
      <c r="G1398" t="inlineStr">
        <is>
          <t>Customer</t>
        </is>
      </c>
      <c r="H1398" s="2" t="str">
        <f>=HYPERLINK("https://upbox.ajobthing.my/customer/186215", "https://upbox.ajobthing.my/customer/186215")</f>
        <v>https://upbox.ajobthing.my/customer/186215</v>
      </c>
      <c r="I1398" t="inlineStr">
        <is>
          <t>Adas Hightex Sdn Bhd</t>
        </is>
      </c>
      <c r="J1398" t="inlineStr">
        <is>
          <t>Whale</t>
        </is>
      </c>
      <c r="K1398" t="inlineStr">
        <is>
          <t>YuLi</t>
        </is>
      </c>
      <c r="L1398" s="4"/>
      <c r="M1398" s="4">
        <v>46135.855775462966</v>
      </c>
      <c r="N1398"/>
      <c r="O1398">
        <v>5832</v>
      </c>
      <c r="P1398" s="4"/>
      <c r="Q1398" s="4">
        <v>45661</v>
      </c>
      <c r="R1398"/>
      <c r="S1398">
        <v>2505.6</v>
      </c>
      <c r="T1398" s="4">
        <v>45661</v>
      </c>
      <c r="U1398" s="4"/>
      <c r="V1398"/>
      <c r="W1398">
        <v>2505.6</v>
      </c>
      <c r="X1398"/>
      <c r="Y1398" t="inlineStr">
        <is>
          <t>Pending Appointment</t>
        </is>
      </c>
      <c r="Z1398" t="inlineStr">
        <is>
          <t>Hiring Now</t>
        </is>
      </c>
      <c r="AA1398">
        <v>3</v>
      </c>
      <c r="AB1398" t="inlineStr">
        <is>
          <t>No Appointment Made</t>
        </is>
      </c>
      <c r="AC1398"/>
      <c r="AD1398" t="inlineStr">
        <is>
          <t>2 for project engineers 
1 for safety supervisor</t>
        </is>
      </c>
      <c r="AE1398"/>
      <c r="AF1398"/>
      <c r="AG1398" s="4"/>
      <c r="AH1398" s="4"/>
      <c r="AI1398"/>
      <c r="AJ1398"/>
      <c r="AK1398"/>
      <c r="AL1398"/>
      <c r="AM1398"/>
      <c r="AN1398"/>
      <c r="AO1398"/>
      <c r="AP1398" t="inlineStr">
        <is>
          <t>Once per quarter (75%)</t>
        </is>
      </c>
      <c r="AQ1398"/>
      <c r="AR1398" t="inlineStr">
        <is>
          <t>Did not use any job portal</t>
        </is>
      </c>
      <c r="AS1398" t="inlineStr">
        <is>
          <t>- Headcount: 3
- Hiring Job Details: 2 for project engineers, 1 for safety supervisor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Once per quarter (75%)
- External job portal: Did not use any job portal</t>
        </is>
      </c>
      <c r="AT1398">
        <v>90</v>
      </c>
      <c r="AU1398" t="inlineStr">
        <is>
          <t>0.90</t>
        </is>
      </c>
      <c r="AV1398" t="inlineStr">
        <is>
          <t>5</t>
        </is>
      </c>
      <c r="AW1398" t="inlineStr">
        <is>
          <t>0</t>
        </is>
      </c>
      <c r="AX1398" t="inlineStr">
        <is>
          <t>Not Qualified</t>
        </is>
      </c>
      <c r="AY1398" s="4"/>
      <c r="AZ1398"/>
      <c r="BA1398"/>
      <c r="BB1398"/>
      <c r="BC1398" t="inlineStr">
        <is>
          <t>share whatsapp</t>
        </is>
      </c>
      <c r="BD1398" s="4">
        <v>46140.4474537037</v>
      </c>
      <c r="BE1398" t="inlineStr">
        <is>
          <t>paid</t>
        </is>
      </c>
      <c r="BF1398"/>
      <c r="BG1398" t="inlineStr">
        <is>
          <t>Reschedule</t>
        </is>
      </c>
      <c r="BH1398" t="inlineStr">
        <is>
          <t>Fauziah Maharan</t>
        </is>
      </c>
      <c r="BI1398" t="inlineStr">
        <is>
          <t>Construction / Building</t>
        </is>
      </c>
      <c r="BJ1398" s="4">
        <v>46144.75209490741</v>
      </c>
      <c r="BK1398" s="4">
        <v>45654.62804398148</v>
      </c>
      <c r="BL1398" t="inlineStr">
        <is>
          <t>0.0</t>
        </is>
      </c>
      <c r="BM1398" t="inlineStr">
        <is>
          <t>0.0</t>
        </is>
      </c>
      <c r="BN1398" t="inlineStr">
        <is>
          <t>View Company Page</t>
        </is>
      </c>
      <c r="BO1398" s="4">
        <v>46135.704409722224</v>
      </c>
      <c r="BP1398">
        <v>168688</v>
      </c>
      <c r="BQ1398">
        <v>75905</v>
      </c>
      <c r="BR1398" t="inlineStr">
        <is>
          <t>Online</t>
        </is>
      </c>
      <c r="BS1398"/>
      <c r="BT1398">
        <v>75905</v>
      </c>
      <c r="BU1398"/>
      <c r="BV1398">
        <v>2731921</v>
      </c>
      <c r="BW1398" t="inlineStr">
        <is>
          <t>No Answer : Voicemail - WA sent to customer</t>
        </is>
      </c>
      <c r="BX1398"/>
      <c r="BY1398"/>
      <c r="BZ1398" s="4"/>
      <c r="CA1398"/>
      <c r="CB1398"/>
      <c r="CC1398" s="4"/>
      <c r="CD1398" t="inlineStr">
        <is>
          <t>5</t>
        </is>
      </c>
      <c r="CE1398" t="inlineStr">
        <is>
          <t>0</t>
        </is>
      </c>
      <c r="CF1398" t="inlineStr">
        <is>
          <t>Q2-W03</t>
        </is>
      </c>
      <c r="CG1398"/>
      <c r="CH1398"/>
      <c r="CI1398"/>
      <c r="CJ1398" t="inlineStr">
        <is>
          <t>Paid</t>
        </is>
      </c>
      <c r="CK1398" t="inlineStr">
        <is>
          <t>Eligible</t>
        </is>
      </c>
      <c r="CL1398"/>
      <c r="CM1398"/>
    </row>
    <row r="1399" ht="25.5" customHeight="1">
      <c r="A1399" t="inlineStr">
        <is>
          <t>4267023</t>
        </is>
      </c>
      <c r="B1399" s="2"/>
      <c r="C1399"/>
      <c r="D1399" s="3">
        <v>46129.4362962963</v>
      </c>
      <c r="E1399" t="inlineStr">
        <is>
          <t>Q2-W03</t>
        </is>
      </c>
      <c r="F1399" t="inlineStr">
        <is>
          <t>Derek Lim</t>
        </is>
      </c>
      <c r="G1399" t="inlineStr">
        <is>
          <t>Lead</t>
        </is>
      </c>
      <c r="H1399" s="2" t="str">
        <f>=HYPERLINK("https://upbox.ajobthing.my/leads/4267023", "https://upbox.ajobthing.my/leads/4267023")</f>
        <v>https://upbox.ajobthing.my/leads/4267023</v>
      </c>
      <c r="I1399" t="inlineStr">
        <is>
          <t>AZKA GROUP</t>
        </is>
      </c>
      <c r="J1399"/>
      <c r="K1399" t="inlineStr">
        <is>
          <t>Derek Lim</t>
        </is>
      </c>
      <c r="L1399" s="4"/>
      <c r="M1399" s="4">
        <v>46129.43817129629</v>
      </c>
      <c r="N1399"/>
      <c r="O1399">
        <v>6048</v>
      </c>
      <c r="P1399" s="4"/>
      <c r="Q1399" s="4"/>
      <c r="R1399"/>
      <c r="S1399"/>
      <c r="T1399" s="4"/>
      <c r="U1399" s="4"/>
      <c r="V1399"/>
      <c r="W1399"/>
      <c r="X1399"/>
      <c r="Y1399" t="inlineStr">
        <is>
          <t>Pending Appointment</t>
        </is>
      </c>
      <c r="Z1399" t="inlineStr">
        <is>
          <t>Hiring Now</t>
        </is>
      </c>
      <c r="AA1399">
        <v>10</v>
      </c>
      <c r="AB1399" t="inlineStr">
        <is>
          <t>No Appointment Made</t>
        </is>
      </c>
      <c r="AC1399"/>
      <c r="AD1399" t="inlineStr">
        <is>
          <t>Sales - 10</t>
        </is>
      </c>
      <c r="AE1399"/>
      <c r="AF1399">
        <v>500</v>
      </c>
      <c r="AG1399" s="4"/>
      <c r="AH1399" s="4"/>
      <c r="AI1399">
        <v>1000</v>
      </c>
      <c r="AJ1399">
        <v>1</v>
      </c>
      <c r="AK1399" t="inlineStr">
        <is>
          <t>No, I don't need at all</t>
        </is>
      </c>
      <c r="AL1399">
        <v>0</v>
      </c>
      <c r="AM1399" t="inlineStr">
        <is>
          <t>No, I don't need at all</t>
        </is>
      </c>
      <c r="AN1399"/>
      <c r="AO1399" t="inlineStr">
        <is>
          <t>No, I don't need at all</t>
        </is>
      </c>
      <c r="AP1399" t="inlineStr">
        <is>
          <t>Once a year (25%)</t>
        </is>
      </c>
      <c r="AQ1399">
        <v>10</v>
      </c>
      <c r="AR1399" t="inlineStr">
        <is>
          <t>Free Job Portal</t>
        </is>
      </c>
      <c r="AS1399" t="inlineStr">
        <is>
          <t>- Headcount: 10
- Hiring Job Details: 10 Sales
- Hiring Urgency: Hiring Now
- Number of outlets: 1
- Have recruiter team: No, I don't need at all
- Number of recruiter in company: 0
- Have ATS system: No, I don't need at all
- Have career website: No, I don't need at all
- Current hiring budget: RM500
- Whole year budget: RM1,000.00
- Whole year number of vacancies: 10
- Hiring frequency: Once a year (25%)
- External job portal: Free Job Portal</t>
        </is>
      </c>
      <c r="AT1399">
        <v>110</v>
      </c>
      <c r="AU1399" t="inlineStr">
        <is>
          <t>1.10</t>
        </is>
      </c>
      <c r="AV1399" t="inlineStr">
        <is>
          <t>20</t>
        </is>
      </c>
      <c r="AW1399" t="inlineStr">
        <is>
          <t>0</t>
        </is>
      </c>
      <c r="AX1399" t="inlineStr">
        <is>
          <t>Not Qualified</t>
        </is>
      </c>
      <c r="AY1399" s="4"/>
      <c r="AZ1399"/>
      <c r="BA1399"/>
      <c r="BB1399"/>
      <c r="BC1399"/>
      <c r="BD1399" s="4"/>
      <c r="BE1399"/>
      <c r="BF1399"/>
      <c r="BG1399" t="inlineStr">
        <is>
          <t>Reschedule</t>
        </is>
      </c>
      <c r="BH1399" t="inlineStr">
        <is>
          <t>Edward Hoo</t>
        </is>
      </c>
      <c r="BI1399"/>
      <c r="BJ1399" s="4">
        <v>46144.75578703704</v>
      </c>
      <c r="BK1399" s="4">
        <v>46122.022685185184</v>
      </c>
      <c r="BL1399"/>
      <c r="BM1399"/>
      <c r="BN1399"/>
      <c r="BO1399" s="4"/>
      <c r="BP1399">
        <v>167534</v>
      </c>
      <c r="BQ1399"/>
      <c r="BR1399"/>
      <c r="BS1399"/>
      <c r="BT1399"/>
      <c r="BU1399"/>
      <c r="BV1399"/>
      <c r="BW1399"/>
      <c r="BX1399"/>
      <c r="BY1399"/>
      <c r="BZ1399" s="4"/>
      <c r="CA1399"/>
      <c r="CB1399"/>
      <c r="CC1399" s="4"/>
      <c r="CD1399" t="inlineStr">
        <is>
          <t>30</t>
        </is>
      </c>
      <c r="CE1399" t="inlineStr">
        <is>
          <t>0</t>
        </is>
      </c>
      <c r="CF1399" t="inlineStr">
        <is>
          <t>Q2-W03</t>
        </is>
      </c>
      <c r="CG1399"/>
      <c r="CH1399"/>
      <c r="CI1399"/>
      <c r="CJ1399" t="inlineStr">
        <is>
          <t>No Paid</t>
        </is>
      </c>
      <c r="CK1399" t="inlineStr">
        <is>
          <t>Eligible</t>
        </is>
      </c>
      <c r="CL1399"/>
      <c r="CM1399"/>
    </row>
    <row r="1400" ht="25.5" customHeight="1">
      <c r="A1400" t="inlineStr">
        <is>
          <t>4257483</t>
        </is>
      </c>
      <c r="B1400" s="2"/>
      <c r="C1400"/>
      <c r="D1400" s="3">
        <v>46129.437210648146</v>
      </c>
      <c r="E1400" t="inlineStr">
        <is>
          <t>Q2-W03</t>
        </is>
      </c>
      <c r="F1400" t="inlineStr">
        <is>
          <t>Janice Yap</t>
        </is>
      </c>
      <c r="G1400" t="inlineStr">
        <is>
          <t>Lead</t>
        </is>
      </c>
      <c r="H1400" s="2" t="str">
        <f>=HYPERLINK("https://upbox.ajobthing.my/leads/4257483", "https://upbox.ajobthing.my/leads/4257483")</f>
        <v>https://upbox.ajobthing.my/leads/4257483</v>
      </c>
      <c r="I1400" t="inlineStr">
        <is>
          <t>Lifatt Construction Sdn Bhd</t>
        </is>
      </c>
      <c r="J1400"/>
      <c r="K1400" t="inlineStr">
        <is>
          <t>Janice</t>
        </is>
      </c>
      <c r="L1400" s="4"/>
      <c r="M1400" s="4">
        <v>46129.43394675926</v>
      </c>
      <c r="N1400"/>
      <c r="O1400">
        <v>3888</v>
      </c>
      <c r="P1400" s="4"/>
      <c r="Q1400" s="4"/>
      <c r="R1400"/>
      <c r="S1400"/>
      <c r="T1400" s="4"/>
      <c r="U1400" s="4"/>
      <c r="V1400"/>
      <c r="W1400"/>
      <c r="X1400"/>
      <c r="Y1400" t="inlineStr">
        <is>
          <t>Pending Appointment</t>
        </is>
      </c>
      <c r="Z1400" t="inlineStr">
        <is>
          <t>Hiring Now</t>
        </is>
      </c>
      <c r="AA1400">
        <v>1</v>
      </c>
      <c r="AB1400" t="inlineStr">
        <is>
          <t>No Appointment Made</t>
        </is>
      </c>
      <c r="AC1400"/>
      <c r="AD1400" t="inlineStr">
        <is>
          <t>1 QC</t>
        </is>
      </c>
      <c r="AE1400"/>
      <c r="AF1400">
        <v>0</v>
      </c>
      <c r="AG1400" s="4"/>
      <c r="AH1400" s="4"/>
      <c r="AI1400">
        <v>0</v>
      </c>
      <c r="AJ1400"/>
      <c r="AK1400" t="inlineStr">
        <is>
          <t>No, I don't need at all</t>
        </is>
      </c>
      <c r="AL1400">
        <v>0</v>
      </c>
      <c r="AM1400" t="inlineStr">
        <is>
          <t>No, I don't need at all</t>
        </is>
      </c>
      <c r="AN1400"/>
      <c r="AO1400" t="inlineStr">
        <is>
          <t>No, I don't need at all</t>
        </is>
      </c>
      <c r="AP1400" t="inlineStr">
        <is>
          <t>Once a year (25%)</t>
        </is>
      </c>
      <c r="AQ1400">
        <v>1</v>
      </c>
      <c r="AR1400"/>
      <c r="AS1400" t="inlineStr">
        <is>
          <t>- Headcount: 1
- Hiring Job Details: 1 QC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1400">
        <v>110</v>
      </c>
      <c r="AU1400" t="inlineStr">
        <is>
          <t>1.10</t>
        </is>
      </c>
      <c r="AV1400" t="inlineStr">
        <is>
          <t>15</t>
        </is>
      </c>
      <c r="AW1400" t="inlineStr">
        <is>
          <t>0</t>
        </is>
      </c>
      <c r="AX1400" t="inlineStr">
        <is>
          <t>Not Qualified</t>
        </is>
      </c>
      <c r="AY1400" s="4"/>
      <c r="AZ1400"/>
      <c r="BA1400"/>
      <c r="BB1400"/>
      <c r="BC1400"/>
      <c r="BD1400" s="4"/>
      <c r="BE1400"/>
      <c r="BF1400"/>
      <c r="BG1400" t="inlineStr">
        <is>
          <t>Reschedule</t>
        </is>
      </c>
      <c r="BH1400" t="inlineStr">
        <is>
          <t>Yee Hang</t>
        </is>
      </c>
      <c r="BI1400"/>
      <c r="BJ1400" s="4">
        <v>46144.755740740744</v>
      </c>
      <c r="BK1400" s="4">
        <v>46119.8549537037</v>
      </c>
      <c r="BL1400"/>
      <c r="BM1400"/>
      <c r="BN1400"/>
      <c r="BO1400" s="4"/>
      <c r="BP1400">
        <v>167532</v>
      </c>
      <c r="BQ1400"/>
      <c r="BR1400"/>
      <c r="BS1400"/>
      <c r="BT1400"/>
      <c r="BU1400"/>
      <c r="BV1400"/>
      <c r="BW1400"/>
      <c r="BX1400"/>
      <c r="BY1400"/>
      <c r="BZ1400" s="4"/>
      <c r="CA1400"/>
      <c r="CB1400"/>
      <c r="CC1400" s="4"/>
      <c r="CD1400" t="inlineStr">
        <is>
          <t>20</t>
        </is>
      </c>
      <c r="CE1400" t="inlineStr">
        <is>
          <t>0</t>
        </is>
      </c>
      <c r="CF1400" t="inlineStr">
        <is>
          <t>Q2-W03</t>
        </is>
      </c>
      <c r="CG1400"/>
      <c r="CH1400"/>
      <c r="CI1400"/>
      <c r="CJ1400" t="inlineStr">
        <is>
          <t>No Paid</t>
        </is>
      </c>
      <c r="CK1400" t="inlineStr">
        <is>
          <t>Not Eligible</t>
        </is>
      </c>
      <c r="CL1400"/>
      <c r="CM1400"/>
    </row>
    <row r="1401" ht="25.5" customHeight="1">
      <c r="A1401" t="inlineStr">
        <is>
          <t>4206372</t>
        </is>
      </c>
      <c r="B1401" s="2"/>
      <c r="C1401"/>
      <c r="D1401" s="3">
        <v>46129.498136574075</v>
      </c>
      <c r="E1401" t="inlineStr">
        <is>
          <t>Q2-W03</t>
        </is>
      </c>
      <c r="F1401" t="inlineStr">
        <is>
          <t>Clover</t>
        </is>
      </c>
      <c r="G1401" t="inlineStr">
        <is>
          <t>Lead</t>
        </is>
      </c>
      <c r="H1401" s="2" t="str">
        <f>=HYPERLINK("https://upbox.ajobthing.my/leads/4206372", "https://upbox.ajobthing.my/leads/4206372")</f>
        <v>https://upbox.ajobthing.my/leads/4206372</v>
      </c>
      <c r="I1401" t="inlineStr">
        <is>
          <t>AF ENERGY CENTRE ENTERPRISE</t>
        </is>
      </c>
      <c r="J1401"/>
      <c r="K1401" t="inlineStr">
        <is>
          <t>Clover</t>
        </is>
      </c>
      <c r="L1401" s="4"/>
      <c r="M1401" s="4">
        <v>46129.498611111114</v>
      </c>
      <c r="N1401"/>
      <c r="O1401">
        <v>6048</v>
      </c>
      <c r="P1401" s="4"/>
      <c r="Q1401" s="4"/>
      <c r="R1401"/>
      <c r="S1401"/>
      <c r="T1401" s="4"/>
      <c r="U1401" s="4"/>
      <c r="V1401"/>
      <c r="W1401"/>
      <c r="X1401"/>
      <c r="Y1401" t="inlineStr">
        <is>
          <t>Pending Appointment</t>
        </is>
      </c>
      <c r="Z1401" t="inlineStr">
        <is>
          <t>Hiring Now</t>
        </is>
      </c>
      <c r="AA1401">
        <v>2</v>
      </c>
      <c r="AB1401" t="inlineStr">
        <is>
          <t>No Appointment Made</t>
        </is>
      </c>
      <c r="AC1401"/>
      <c r="AD1401" t="inlineStr">
        <is>
          <t>Call office 6063361651 ,  hire Technician electrical wiring x1 Malay  need experience, social media marketing x1 Malay, supply aircond, supply,  1 HQ 1 retail , melaka, wa 60166853909</t>
        </is>
      </c>
      <c r="AE1401"/>
      <c r="AF1401">
        <v>5000</v>
      </c>
      <c r="AG1401" s="4"/>
      <c r="AH1401" s="4"/>
      <c r="AI1401">
        <v>5000</v>
      </c>
      <c r="AJ1401">
        <v>1</v>
      </c>
      <c r="AK1401" t="inlineStr">
        <is>
          <t>No, but I want in future</t>
        </is>
      </c>
      <c r="AL1401">
        <v>1</v>
      </c>
      <c r="AM1401" t="inlineStr">
        <is>
          <t>No, but I want in future</t>
        </is>
      </c>
      <c r="AN1401"/>
      <c r="AO1401" t="inlineStr">
        <is>
          <t>No, but I want in future</t>
        </is>
      </c>
      <c r="AP1401" t="inlineStr">
        <is>
          <t>Twice a year (50%)</t>
        </is>
      </c>
      <c r="AQ1401">
        <v>2</v>
      </c>
      <c r="AR1401" t="inlineStr">
        <is>
          <t>Jobstreet</t>
        </is>
      </c>
      <c r="AS1401" t="inlineStr">
        <is>
          <t>- Headcount: 2
- Hiring Job Details: 1 Malay electrical wiring technician (with experience), 1 Malay social media marketer; contact office 6063361651 or WA 60166853909; supply aircond; 1 HQ 1 retail in Melaka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Jobstreet</t>
        </is>
      </c>
      <c r="AT1401">
        <v>115</v>
      </c>
      <c r="AU1401" t="inlineStr">
        <is>
          <t>1.15</t>
        </is>
      </c>
      <c r="AV1401" t="inlineStr">
        <is>
          <t>15</t>
        </is>
      </c>
      <c r="AW1401" t="inlineStr">
        <is>
          <t>0</t>
        </is>
      </c>
      <c r="AX1401" t="inlineStr">
        <is>
          <t>Not Qualified</t>
        </is>
      </c>
      <c r="AY1401" s="4"/>
      <c r="AZ1401"/>
      <c r="BA1401"/>
      <c r="BB1401"/>
      <c r="BC1401"/>
      <c r="BD1401" s="4"/>
      <c r="BE1401"/>
      <c r="BF1401"/>
      <c r="BG1401" t="inlineStr">
        <is>
          <t>Reschedule</t>
        </is>
      </c>
      <c r="BH1401" t="inlineStr">
        <is>
          <t>Reagen</t>
        </is>
      </c>
      <c r="BI1401"/>
      <c r="BJ1401" s="4">
        <v>46144.75564814815</v>
      </c>
      <c r="BK1401" s="4">
        <v>46109.33650462963</v>
      </c>
      <c r="BL1401"/>
      <c r="BM1401"/>
      <c r="BN1401"/>
      <c r="BO1401" s="4"/>
      <c r="BP1401">
        <v>167580</v>
      </c>
      <c r="BQ1401"/>
      <c r="BR1401"/>
      <c r="BS1401"/>
      <c r="BT1401"/>
      <c r="BU1401"/>
      <c r="BV1401"/>
      <c r="BW1401"/>
      <c r="BX1401"/>
      <c r="BY1401"/>
      <c r="BZ1401" s="4"/>
      <c r="CA1401"/>
      <c r="CB1401"/>
      <c r="CC1401" s="4"/>
      <c r="CD1401" t="inlineStr">
        <is>
          <t>20</t>
        </is>
      </c>
      <c r="CE1401" t="inlineStr">
        <is>
          <t>0</t>
        </is>
      </c>
      <c r="CF1401" t="inlineStr">
        <is>
          <t>Q2-W03</t>
        </is>
      </c>
      <c r="CG1401"/>
      <c r="CH1401"/>
      <c r="CI1401"/>
      <c r="CJ1401" t="inlineStr">
        <is>
          <t>No Paid</t>
        </is>
      </c>
      <c r="CK1401" t="inlineStr">
        <is>
          <t>Not Eligible</t>
        </is>
      </c>
      <c r="CL1401"/>
      <c r="CM1401"/>
    </row>
    <row r="1402" ht="25.5" customHeight="1">
      <c r="A1402" t="inlineStr">
        <is>
          <t>4294633</t>
        </is>
      </c>
      <c r="B1402" s="2"/>
      <c r="C1402"/>
      <c r="D1402" s="3">
        <v>46129.658483796295</v>
      </c>
      <c r="E1402" t="inlineStr">
        <is>
          <t>Q2-W03</t>
        </is>
      </c>
      <c r="F1402" t="inlineStr">
        <is>
          <t>Dickson</t>
        </is>
      </c>
      <c r="G1402" t="inlineStr">
        <is>
          <t>Lead</t>
        </is>
      </c>
      <c r="H1402" s="2" t="str">
        <f>=HYPERLINK("https://upbox.ajobthing.my/leads/4294633", "https://upbox.ajobthing.my/leads/4294633")</f>
        <v>https://upbox.ajobthing.my/leads/4294633</v>
      </c>
      <c r="I1402" t="inlineStr">
        <is>
          <t xml:space="preserve">Alauddin </t>
        </is>
      </c>
      <c r="J1402"/>
      <c r="K1402" t="inlineStr">
        <is>
          <t>Dickson</t>
        </is>
      </c>
      <c r="L1402" s="4"/>
      <c r="M1402" s="4">
        <v>46129.65866898148</v>
      </c>
      <c r="N1402"/>
      <c r="O1402">
        <v>3888</v>
      </c>
      <c r="P1402" s="4"/>
      <c r="Q1402" s="4"/>
      <c r="R1402"/>
      <c r="S1402"/>
      <c r="T1402" s="4"/>
      <c r="U1402" s="4"/>
      <c r="V1402"/>
      <c r="W1402"/>
      <c r="X1402"/>
      <c r="Y1402" t="inlineStr">
        <is>
          <t>Pending Appointment</t>
        </is>
      </c>
      <c r="Z1402" t="inlineStr">
        <is>
          <t>Hiring Now</t>
        </is>
      </c>
      <c r="AA1402">
        <v>2.5</v>
      </c>
      <c r="AB1402" t="inlineStr">
        <is>
          <t>No Appointment Made</t>
        </is>
      </c>
      <c r="AC1402"/>
      <c r="AD1402" t="inlineStr">
        <is>
          <t>2-3 waiters</t>
        </is>
      </c>
      <c r="AE1402"/>
      <c r="AF1402"/>
      <c r="AG1402" s="4"/>
      <c r="AH1402" s="4"/>
      <c r="AI1402"/>
      <c r="AJ1402">
        <v>1</v>
      </c>
      <c r="AK1402" t="inlineStr">
        <is>
          <t>No, I don't need at all</t>
        </is>
      </c>
      <c r="AL1402"/>
      <c r="AM1402" t="inlineStr">
        <is>
          <t>No, I don't need at all</t>
        </is>
      </c>
      <c r="AN1402"/>
      <c r="AO1402" t="inlineStr">
        <is>
          <t>No, I don't need at all</t>
        </is>
      </c>
      <c r="AP1402" t="inlineStr">
        <is>
          <t>Once per quarter (75%)</t>
        </is>
      </c>
      <c r="AQ1402"/>
      <c r="AR1402"/>
      <c r="AS1402" t="inlineStr">
        <is>
          <t>- Headcount: 2
- Hiring Job Details: 2-3 waiters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AT1402">
        <v>95</v>
      </c>
      <c r="AU1402" t="inlineStr">
        <is>
          <t>0.95</t>
        </is>
      </c>
      <c r="AV1402" t="inlineStr">
        <is>
          <t>5</t>
        </is>
      </c>
      <c r="AW1402" t="inlineStr">
        <is>
          <t>0</t>
        </is>
      </c>
      <c r="AX1402" t="inlineStr">
        <is>
          <t>Not Qualified</t>
        </is>
      </c>
      <c r="AY1402" s="4"/>
      <c r="AZ1402"/>
      <c r="BA1402"/>
      <c r="BB1402"/>
      <c r="BC1402"/>
      <c r="BD1402" s="4"/>
      <c r="BE1402"/>
      <c r="BF1402"/>
      <c r="BG1402" t="inlineStr">
        <is>
          <t>Reschedule</t>
        </is>
      </c>
      <c r="BH1402" t="inlineStr">
        <is>
          <t>Edward Hoo</t>
        </is>
      </c>
      <c r="BI1402"/>
      <c r="BJ1402" s="4">
        <v>46144.75585648148</v>
      </c>
      <c r="BK1402" s="4">
        <v>46129.61263888889</v>
      </c>
      <c r="BL1402"/>
      <c r="BM1402"/>
      <c r="BN1402"/>
      <c r="BO1402" s="4"/>
      <c r="BP1402">
        <v>167659</v>
      </c>
      <c r="BQ1402"/>
      <c r="BR1402"/>
      <c r="BS1402"/>
      <c r="BT1402"/>
      <c r="BU1402"/>
      <c r="BV1402"/>
      <c r="BW1402"/>
      <c r="BX1402"/>
      <c r="BY1402"/>
      <c r="BZ1402" s="4"/>
      <c r="CA1402"/>
      <c r="CB1402"/>
      <c r="CC1402" s="4"/>
      <c r="CD1402" t="inlineStr">
        <is>
          <t>5</t>
        </is>
      </c>
      <c r="CE1402" t="inlineStr">
        <is>
          <t>0</t>
        </is>
      </c>
      <c r="CF1402" t="inlineStr">
        <is>
          <t>Q2-W03</t>
        </is>
      </c>
      <c r="CG1402"/>
      <c r="CH1402"/>
      <c r="CI1402"/>
      <c r="CJ1402" t="inlineStr">
        <is>
          <t>No Paid</t>
        </is>
      </c>
      <c r="CK1402" t="inlineStr">
        <is>
          <t>Not Eligible</t>
        </is>
      </c>
      <c r="CL1402"/>
      <c r="CM1402"/>
    </row>
    <row r="1403" ht="25.5" customHeight="1">
      <c r="A1403" t="inlineStr">
        <is>
          <t>4295043</t>
        </is>
      </c>
      <c r="B1403" s="2"/>
      <c r="C1403"/>
      <c r="D1403" s="3">
        <v>46129.70042824074</v>
      </c>
      <c r="E1403" t="inlineStr">
        <is>
          <t>Q2-W03</t>
        </is>
      </c>
      <c r="F1403" t="inlineStr">
        <is>
          <t>Ratha</t>
        </is>
      </c>
      <c r="G1403" t="inlineStr">
        <is>
          <t>Lead</t>
        </is>
      </c>
      <c r="H1403" s="2" t="str">
        <f>=HYPERLINK("https://upbox.ajobthing.my/leads/4295043", "https://upbox.ajobthing.my/leads/4295043")</f>
        <v>https://upbox.ajobthing.my/leads/4295043</v>
      </c>
      <c r="I1403" t="inlineStr">
        <is>
          <t xml:space="preserve">AL ISRA’ GROUP </t>
        </is>
      </c>
      <c r="J1403"/>
      <c r="K1403" t="inlineStr">
        <is>
          <t>Ratha</t>
        </is>
      </c>
      <c r="L1403" s="4"/>
      <c r="M1403" s="4">
        <v>46129.7028587963</v>
      </c>
      <c r="N1403"/>
      <c r="O1403">
        <v>4968</v>
      </c>
      <c r="P1403" s="4"/>
      <c r="Q1403" s="4"/>
      <c r="R1403"/>
      <c r="S1403"/>
      <c r="T1403" s="4"/>
      <c r="U1403" s="4"/>
      <c r="V1403"/>
      <c r="W1403"/>
      <c r="X1403"/>
      <c r="Y1403" t="inlineStr">
        <is>
          <t>Pending Appointment</t>
        </is>
      </c>
      <c r="Z1403" t="inlineStr">
        <is>
          <t>Continuous Hiring</t>
        </is>
      </c>
      <c r="AA1403">
        <v>10</v>
      </c>
      <c r="AB1403" t="inlineStr">
        <is>
          <t>No Appointment Made</t>
        </is>
      </c>
      <c r="AC1403"/>
      <c r="AD1403" t="inlineStr">
        <is>
          <t>Associate Consultant  :10
Location : Ara damansara (klang valley)</t>
        </is>
      </c>
      <c r="AE1403"/>
      <c r="AF1403"/>
      <c r="AG1403" s="4"/>
      <c r="AH1403" s="4"/>
      <c r="AI1403">
        <v>0</v>
      </c>
      <c r="AJ1403">
        <v>1</v>
      </c>
      <c r="AK1403" t="inlineStr">
        <is>
          <t>Yes, I have</t>
        </is>
      </c>
      <c r="AL1403">
        <v>2</v>
      </c>
      <c r="AM1403" t="inlineStr">
        <is>
          <t>No, I don't need at all</t>
        </is>
      </c>
      <c r="AN1403"/>
      <c r="AO1403" t="inlineStr">
        <is>
          <t>No, I don't need at all</t>
        </is>
      </c>
      <c r="AP1403" t="inlineStr">
        <is>
          <t>Every month (100%)</t>
        </is>
      </c>
      <c r="AQ1403">
        <v>0</v>
      </c>
      <c r="AR1403" t="inlineStr">
        <is>
          <t>Free Job Portal</t>
        </is>
      </c>
      <c r="AS1403" t="inlineStr">
        <is>
          <t>- Headcount: 10
- Hiring Job Details: 10 Associate Consultant
- Hiring Urgency: Continuous Hiring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Free Job Portal</t>
        </is>
      </c>
      <c r="AT1403">
        <v>100</v>
      </c>
      <c r="AU1403" t="inlineStr">
        <is>
          <t>1.00</t>
        </is>
      </c>
      <c r="AV1403" t="inlineStr">
        <is>
          <t>10</t>
        </is>
      </c>
      <c r="AW1403" t="inlineStr">
        <is>
          <t>0</t>
        </is>
      </c>
      <c r="AX1403" t="inlineStr">
        <is>
          <t>Not Qualified</t>
        </is>
      </c>
      <c r="AY1403" s="4"/>
      <c r="AZ1403"/>
      <c r="BA1403"/>
      <c r="BB1403"/>
      <c r="BC1403"/>
      <c r="BD1403" s="4"/>
      <c r="BE1403"/>
      <c r="BF1403"/>
      <c r="BG1403" t="inlineStr">
        <is>
          <t>Reschedule</t>
        </is>
      </c>
      <c r="BH1403" t="inlineStr">
        <is>
          <t>Fauziah Maharan</t>
        </is>
      </c>
      <c r="BI1403"/>
      <c r="BJ1403" s="4">
        <v>46144.75585648148</v>
      </c>
      <c r="BK1403" s="4">
        <v>46129.68896990741</v>
      </c>
      <c r="BL1403"/>
      <c r="BM1403"/>
      <c r="BN1403"/>
      <c r="BO1403" s="4"/>
      <c r="BP1403">
        <v>167685</v>
      </c>
      <c r="BQ1403"/>
      <c r="BR1403"/>
      <c r="BS1403"/>
      <c r="BT1403"/>
      <c r="BU1403"/>
      <c r="BV1403"/>
      <c r="BW1403"/>
      <c r="BX1403"/>
      <c r="BY1403"/>
      <c r="BZ1403" s="4"/>
      <c r="CA1403"/>
      <c r="CB1403"/>
      <c r="CC1403" s="4"/>
      <c r="CD1403" t="inlineStr">
        <is>
          <t>15</t>
        </is>
      </c>
      <c r="CE1403" t="inlineStr">
        <is>
          <t>0</t>
        </is>
      </c>
      <c r="CF1403" t="inlineStr">
        <is>
          <t>Q2-W03</t>
        </is>
      </c>
      <c r="CG1403"/>
      <c r="CH1403"/>
      <c r="CI1403"/>
      <c r="CJ1403" t="inlineStr">
        <is>
          <t>No Paid</t>
        </is>
      </c>
      <c r="CK1403" t="inlineStr">
        <is>
          <t>Eligible</t>
        </is>
      </c>
      <c r="CL1403"/>
      <c r="CM1403"/>
    </row>
    <row r="1404" ht="25.5" customHeight="1">
      <c r="A1404" t="inlineStr">
        <is>
          <t>4261846</t>
        </is>
      </c>
      <c r="B1404" s="2"/>
      <c r="C1404"/>
      <c r="D1404" s="3">
        <v>46129.72076388889</v>
      </c>
      <c r="E1404" t="inlineStr">
        <is>
          <t>Q2-W03</t>
        </is>
      </c>
      <c r="F1404" t="inlineStr">
        <is>
          <t>Carmen</t>
        </is>
      </c>
      <c r="G1404" t="inlineStr">
        <is>
          <t>Lead</t>
        </is>
      </c>
      <c r="H1404" s="2" t="str">
        <f>=HYPERLINK("https://upbox.ajobthing.my/leads/4261846", "https://upbox.ajobthing.my/leads/4261846")</f>
        <v>https://upbox.ajobthing.my/leads/4261846</v>
      </c>
      <c r="I1404" t="inlineStr">
        <is>
          <t>One Percent Fitness Signature</t>
        </is>
      </c>
      <c r="J1404"/>
      <c r="K1404" t="inlineStr">
        <is>
          <t>Carmen</t>
        </is>
      </c>
      <c r="L1404" s="4"/>
      <c r="M1404" s="4">
        <v>46129.662777777776</v>
      </c>
      <c r="N1404"/>
      <c r="O1404">
        <v>3888</v>
      </c>
      <c r="P1404" s="4"/>
      <c r="Q1404" s="4"/>
      <c r="R1404"/>
      <c r="S1404"/>
      <c r="T1404" s="4"/>
      <c r="U1404" s="4"/>
      <c r="V1404"/>
      <c r="W1404"/>
      <c r="X1404"/>
      <c r="Y1404" t="inlineStr">
        <is>
          <t>Pending Appointment</t>
        </is>
      </c>
      <c r="Z1404" t="inlineStr">
        <is>
          <t>Hiring Now</t>
        </is>
      </c>
      <c r="AA1404">
        <v>2</v>
      </c>
      <c r="AB1404" t="inlineStr">
        <is>
          <t>No Appointment Made</t>
        </is>
      </c>
      <c r="AC1404"/>
      <c r="AD1404" t="inlineStr">
        <is>
          <t>1 admin 1 gym consultnat</t>
        </is>
      </c>
      <c r="AE1404"/>
      <c r="AF1404">
        <v>0</v>
      </c>
      <c r="AG1404" s="4"/>
      <c r="AH1404" s="4"/>
      <c r="AI1404"/>
      <c r="AJ1404"/>
      <c r="AK1404"/>
      <c r="AL1404"/>
      <c r="AM1404"/>
      <c r="AN1404"/>
      <c r="AO1404"/>
      <c r="AP1404"/>
      <c r="AQ1404"/>
      <c r="AR1404"/>
      <c r="AS1404" t="inlineStr">
        <is>
          <t>- Headcount: 2
- Hiring Job Details: 1 admin, 1 gym consultant
- Number of outlets: Not available
- Have recruiter team: Not available
- Number of recruiter in company: Not available
- Have ATS system: Not available
- Have career website: Not available
- Current hiring budget: RM0.00
- Hiring frequency: Not available
- Whole year budget: Not available
- Whole year number of vacancies: Not available
- External job portal: Not available
- Hiring Urgency: Hiring Now</t>
        </is>
      </c>
      <c r="AT1404">
        <v>75</v>
      </c>
      <c r="AU1404" t="inlineStr">
        <is>
          <t>0.75</t>
        </is>
      </c>
      <c r="AV1404" t="inlineStr">
        <is>
          <t>15</t>
        </is>
      </c>
      <c r="AW1404" t="inlineStr">
        <is>
          <t>0</t>
        </is>
      </c>
      <c r="AX1404" t="inlineStr">
        <is>
          <t>Not Qualified</t>
        </is>
      </c>
      <c r="AY1404" s="4"/>
      <c r="AZ1404"/>
      <c r="BA1404"/>
      <c r="BB1404"/>
      <c r="BC1404"/>
      <c r="BD1404" s="4"/>
      <c r="BE1404"/>
      <c r="BF1404"/>
      <c r="BG1404" t="inlineStr">
        <is>
          <t>Reschedule</t>
        </is>
      </c>
      <c r="BH1404" t="inlineStr">
        <is>
          <t>Reagen</t>
        </is>
      </c>
      <c r="BI1404"/>
      <c r="BJ1404" s="4">
        <v>46144.75576388889</v>
      </c>
      <c r="BK1404" s="4">
        <v>46120.843043981484</v>
      </c>
      <c r="BL1404"/>
      <c r="BM1404"/>
      <c r="BN1404"/>
      <c r="BO1404" s="4"/>
      <c r="BP1404">
        <v>167661</v>
      </c>
      <c r="BQ1404"/>
      <c r="BR1404"/>
      <c r="BS1404"/>
      <c r="BT1404"/>
      <c r="BU1404"/>
      <c r="BV1404"/>
      <c r="BW1404"/>
      <c r="BX1404"/>
      <c r="BY1404"/>
      <c r="BZ1404" s="4"/>
      <c r="CA1404"/>
      <c r="CB1404"/>
      <c r="CC1404" s="4"/>
      <c r="CD1404" t="inlineStr">
        <is>
          <t>20</t>
        </is>
      </c>
      <c r="CE1404" t="inlineStr">
        <is>
          <t>0</t>
        </is>
      </c>
      <c r="CF1404" t="inlineStr">
        <is>
          <t>Q2-W03</t>
        </is>
      </c>
      <c r="CG1404"/>
      <c r="CH1404"/>
      <c r="CI1404"/>
      <c r="CJ1404" t="inlineStr">
        <is>
          <t>No Paid</t>
        </is>
      </c>
      <c r="CK1404" t="inlineStr">
        <is>
          <t>Not Eligible</t>
        </is>
      </c>
      <c r="CL1404"/>
      <c r="CM1404"/>
    </row>
    <row r="1405" ht="25.5" customHeight="1">
      <c r="A1405" t="inlineStr">
        <is>
          <t>4268088</t>
        </is>
      </c>
      <c r="B1405" s="2"/>
      <c r="C1405"/>
      <c r="D1405" s="3">
        <v>46129.72482638889</v>
      </c>
      <c r="E1405" t="inlineStr">
        <is>
          <t>Q2-W03</t>
        </is>
      </c>
      <c r="F1405" t="inlineStr">
        <is>
          <t>Chia Yee</t>
        </is>
      </c>
      <c r="G1405" t="inlineStr">
        <is>
          <t>Lead</t>
        </is>
      </c>
      <c r="H1405" s="2" t="str">
        <f>=HYPERLINK("https://upbox.ajobthing.my/leads/4268088", "https://upbox.ajobthing.my/leads/4268088")</f>
        <v>https://upbox.ajobthing.my/leads/4268088</v>
      </c>
      <c r="I1405" t="inlineStr">
        <is>
          <t>Shake Ur Barn Barn Sdn Bhd</t>
        </is>
      </c>
      <c r="J1405"/>
      <c r="K1405" t="inlineStr">
        <is>
          <t>Chia Yee</t>
        </is>
      </c>
      <c r="L1405" s="4"/>
      <c r="M1405" s="4">
        <v>46129.725069444445</v>
      </c>
      <c r="N1405"/>
      <c r="O1405">
        <v>1296</v>
      </c>
      <c r="P1405" s="4"/>
      <c r="Q1405" s="4"/>
      <c r="R1405"/>
      <c r="S1405"/>
      <c r="T1405" s="4"/>
      <c r="U1405" s="4"/>
      <c r="V1405"/>
      <c r="W1405"/>
      <c r="X1405"/>
      <c r="Y1405" t="inlineStr">
        <is>
          <t>Pending Appointment</t>
        </is>
      </c>
      <c r="Z1405" t="inlineStr">
        <is>
          <t>Hiring Now</t>
        </is>
      </c>
      <c r="AA1405">
        <v>1</v>
      </c>
      <c r="AB1405" t="inlineStr">
        <is>
          <t>No Appointment Made</t>
        </is>
      </c>
      <c r="AC1405"/>
      <c r="AD1405" t="inlineStr">
        <is>
          <t>1 Business development exe</t>
        </is>
      </c>
      <c r="AE1405"/>
      <c r="AF1405">
        <v>0</v>
      </c>
      <c r="AG1405" s="4"/>
      <c r="AH1405" s="4"/>
      <c r="AI1405">
        <v>0</v>
      </c>
      <c r="AJ1405">
        <v>1</v>
      </c>
      <c r="AK1405" t="inlineStr">
        <is>
          <t>No, I don't need at all</t>
        </is>
      </c>
      <c r="AL1405">
        <v>1</v>
      </c>
      <c r="AM1405" t="inlineStr">
        <is>
          <t>No, I don't need at all</t>
        </is>
      </c>
      <c r="AN1405"/>
      <c r="AO1405" t="inlineStr">
        <is>
          <t>No, I don't need at all</t>
        </is>
      </c>
      <c r="AP1405" t="inlineStr">
        <is>
          <t>Once a year (25%)</t>
        </is>
      </c>
      <c r="AQ1405">
        <v>1</v>
      </c>
      <c r="AR1405" t="inlineStr">
        <is>
          <t>Did not use any job portal</t>
        </is>
      </c>
      <c r="AS1405" t="inlineStr">
        <is>
          <t>- Headcount: 1
- Hiring Job Details: 1 Business development exe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1405">
        <v>110</v>
      </c>
      <c r="AU1405" t="inlineStr">
        <is>
          <t>1.10</t>
        </is>
      </c>
      <c r="AV1405" t="inlineStr">
        <is>
          <t>15</t>
        </is>
      </c>
      <c r="AW1405" t="inlineStr">
        <is>
          <t>0</t>
        </is>
      </c>
      <c r="AX1405" t="inlineStr">
        <is>
          <t>Not Qualified</t>
        </is>
      </c>
      <c r="AY1405" s="4"/>
      <c r="AZ1405"/>
      <c r="BA1405"/>
      <c r="BB1405"/>
      <c r="BC1405"/>
      <c r="BD1405" s="4"/>
      <c r="BE1405"/>
      <c r="BF1405"/>
      <c r="BG1405" t="inlineStr">
        <is>
          <t>Reschedule</t>
        </is>
      </c>
      <c r="BH1405" t="inlineStr">
        <is>
          <t>Reagen</t>
        </is>
      </c>
      <c r="BI1405"/>
      <c r="BJ1405" s="4">
        <v>46144.75578703704</v>
      </c>
      <c r="BK1405" s="4">
        <v>46122.41711805556</v>
      </c>
      <c r="BL1405"/>
      <c r="BM1405"/>
      <c r="BN1405"/>
      <c r="BO1405" s="4"/>
      <c r="BP1405">
        <v>167707</v>
      </c>
      <c r="BQ1405"/>
      <c r="BR1405"/>
      <c r="BS1405"/>
      <c r="BT1405"/>
      <c r="BU1405"/>
      <c r="BV1405"/>
      <c r="BW1405"/>
      <c r="BX1405"/>
      <c r="BY1405"/>
      <c r="BZ1405" s="4"/>
      <c r="CA1405"/>
      <c r="CB1405"/>
      <c r="CC1405" s="4"/>
      <c r="CD1405" t="inlineStr">
        <is>
          <t>20</t>
        </is>
      </c>
      <c r="CE1405" t="inlineStr">
        <is>
          <t>0</t>
        </is>
      </c>
      <c r="CF1405" t="inlineStr">
        <is>
          <t>Q2-W03</t>
        </is>
      </c>
      <c r="CG1405"/>
      <c r="CH1405"/>
      <c r="CI1405"/>
      <c r="CJ1405" t="inlineStr">
        <is>
          <t>No Paid</t>
        </is>
      </c>
      <c r="CK1405" t="inlineStr">
        <is>
          <t>Not Eligible</t>
        </is>
      </c>
      <c r="CL1405"/>
      <c r="CM1405"/>
    </row>
    <row r="1406" ht="25.5" customHeight="1">
      <c r="A1406" t="inlineStr">
        <is>
          <t>4281219</t>
        </is>
      </c>
      <c r="B1406" s="2"/>
      <c r="C1406"/>
      <c r="D1406" s="3">
        <v>46132.39407407407</v>
      </c>
      <c r="E1406" t="inlineStr">
        <is>
          <t>Q2-W03</t>
        </is>
      </c>
      <c r="F1406" t="inlineStr">
        <is>
          <t>Ratha</t>
        </is>
      </c>
      <c r="G1406" t="inlineStr">
        <is>
          <t>Lead</t>
        </is>
      </c>
      <c r="H1406" s="2" t="str">
        <f>=HYPERLINK("https://upbox.ajobthing.my/leads/4281219", "https://upbox.ajobthing.my/leads/4281219")</f>
        <v>https://upbox.ajobthing.my/leads/4281219</v>
      </c>
      <c r="I1406" t="inlineStr">
        <is>
          <t xml:space="preserve"> Unitar International University</t>
        </is>
      </c>
      <c r="J1406"/>
      <c r="K1406" t="inlineStr">
        <is>
          <t>Ratha</t>
        </is>
      </c>
      <c r="L1406" s="4"/>
      <c r="M1406" s="4">
        <v>46132.395162037035</v>
      </c>
      <c r="N1406"/>
      <c r="O1406">
        <v>22248</v>
      </c>
      <c r="P1406" s="4"/>
      <c r="Q1406" s="4"/>
      <c r="R1406"/>
      <c r="S1406"/>
      <c r="T1406" s="4"/>
      <c r="U1406" s="4"/>
      <c r="V1406"/>
      <c r="W1406"/>
      <c r="X1406"/>
      <c r="Y1406" t="inlineStr">
        <is>
          <t>Pending Appointment</t>
        </is>
      </c>
      <c r="Z1406" t="inlineStr">
        <is>
          <t>Continuous Hiring</t>
        </is>
      </c>
      <c r="AA1406">
        <v>10</v>
      </c>
      <c r="AB1406" t="inlineStr">
        <is>
          <t>No Appointment Made</t>
        </is>
      </c>
      <c r="AC1406"/>
      <c r="AD1406" t="inlineStr">
        <is>
          <t>Job titles / roles: Academic (Lecturers across various faculties), Faculty Administration, and selected corporate roles (HR, Finance, IT and more)
Number of positions / headcounts: Approximately 10–15 positions (subject to ongoing approvals)</t>
        </is>
      </c>
      <c r="AE1406"/>
      <c r="AF1406"/>
      <c r="AG1406" s="4"/>
      <c r="AH1406" s="4"/>
      <c r="AI1406">
        <v>0</v>
      </c>
      <c r="AJ1406"/>
      <c r="AK1406" t="inlineStr">
        <is>
          <t>Yes, I have</t>
        </is>
      </c>
      <c r="AL1406">
        <v>4</v>
      </c>
      <c r="AM1406" t="inlineStr">
        <is>
          <t>No, I don't need at all</t>
        </is>
      </c>
      <c r="AN1406"/>
      <c r="AO1406" t="inlineStr">
        <is>
          <t>Yes, I have</t>
        </is>
      </c>
      <c r="AP1406" t="inlineStr">
        <is>
          <t>Every month (100%)</t>
        </is>
      </c>
      <c r="AQ1406">
        <v>0</v>
      </c>
      <c r="AR1406" t="inlineStr">
        <is>
          <t>Jobstreet, Free Job Portal</t>
        </is>
      </c>
      <c r="AS1406" t="inlineStr">
        <is>
          <t>- Headcount: 10
- Hiring Job Details: 10–15 positions (subject to approval) covering academic lecturers, faculty administration and selected corporate roles
- Hiring Urgency: Continuous Hiring
- Number of outlets: Not specified
- Have recruiter team: Yes
- Number of recruiter in company: 4
- Have ATS system: No, not needed at all
- Have career website: Yes
- Current hiring budget: Not specified
- Whole year budget: RM0.00
- Whole year number of vacancies: 0
- Hiring frequency: Every month (100%)
- External job portal: Jobstreet, Free Job Portal</t>
        </is>
      </c>
      <c r="AT1406">
        <v>75</v>
      </c>
      <c r="AU1406" t="inlineStr">
        <is>
          <t>0.75</t>
        </is>
      </c>
      <c r="AV1406" t="inlineStr">
        <is>
          <t>10</t>
        </is>
      </c>
      <c r="AW1406" t="inlineStr">
        <is>
          <t>0</t>
        </is>
      </c>
      <c r="AX1406" t="inlineStr">
        <is>
          <t>Not Qualified</t>
        </is>
      </c>
      <c r="AY1406" s="4"/>
      <c r="AZ1406"/>
      <c r="BA1406"/>
      <c r="BB1406"/>
      <c r="BC1406"/>
      <c r="BD1406" s="4"/>
      <c r="BE1406"/>
      <c r="BF1406"/>
      <c r="BG1406" t="inlineStr">
        <is>
          <t>Reschedule</t>
        </is>
      </c>
      <c r="BH1406" t="inlineStr">
        <is>
          <t>Fauziah Maharan</t>
        </is>
      </c>
      <c r="BI1406"/>
      <c r="BJ1406" s="4">
        <v>46144.755833333336</v>
      </c>
      <c r="BK1406" s="4">
        <v>46126.60269675926</v>
      </c>
      <c r="BL1406"/>
      <c r="BM1406"/>
      <c r="BN1406"/>
      <c r="BO1406" s="4"/>
      <c r="BP1406">
        <v>167740</v>
      </c>
      <c r="BQ1406"/>
      <c r="BR1406"/>
      <c r="BS1406"/>
      <c r="BT1406"/>
      <c r="BU1406"/>
      <c r="BV1406"/>
      <c r="BW1406"/>
      <c r="BX1406"/>
      <c r="BY1406"/>
      <c r="BZ1406" s="4"/>
      <c r="CA1406"/>
      <c r="CB1406"/>
      <c r="CC1406" s="4"/>
      <c r="CD1406" t="inlineStr">
        <is>
          <t>15</t>
        </is>
      </c>
      <c r="CE1406" t="inlineStr">
        <is>
          <t>0</t>
        </is>
      </c>
      <c r="CF1406" t="inlineStr">
        <is>
          <t>Q2-W03</t>
        </is>
      </c>
      <c r="CG1406"/>
      <c r="CH1406"/>
      <c r="CI1406"/>
      <c r="CJ1406" t="inlineStr">
        <is>
          <t>No Paid</t>
        </is>
      </c>
      <c r="CK1406" t="inlineStr">
        <is>
          <t>Eligible</t>
        </is>
      </c>
      <c r="CL1406"/>
      <c r="CM1406"/>
    </row>
    <row r="1407" ht="25.5" customHeight="1">
      <c r="A1407" t="inlineStr">
        <is>
          <t>4304996</t>
        </is>
      </c>
      <c r="B1407" s="2"/>
      <c r="C1407"/>
      <c r="D1407" s="3">
        <v>46132.60333333333</v>
      </c>
      <c r="E1407" t="inlineStr">
        <is>
          <t>Q2-W03</t>
        </is>
      </c>
      <c r="F1407" t="inlineStr">
        <is>
          <t>Lucas</t>
        </is>
      </c>
      <c r="G1407" t="inlineStr">
        <is>
          <t>Lead</t>
        </is>
      </c>
      <c r="H1407" s="2" t="str">
        <f>=HYPERLINK("https://upbox.ajobthing.my/leads/4304996", "https://upbox.ajobthing.my/leads/4304996")</f>
        <v>https://upbox.ajobthing.my/leads/4304996</v>
      </c>
      <c r="I1407" t="inlineStr">
        <is>
          <t xml:space="preserve">Wak kok car audio &amp; accessories </t>
        </is>
      </c>
      <c r="J1407"/>
      <c r="K1407" t="inlineStr">
        <is>
          <t>Lucas</t>
        </is>
      </c>
      <c r="L1407" s="4"/>
      <c r="M1407" s="4">
        <v>46132.602222222224</v>
      </c>
      <c r="N1407"/>
      <c r="O1407">
        <v>3888</v>
      </c>
      <c r="P1407" s="4"/>
      <c r="Q1407" s="4"/>
      <c r="R1407"/>
      <c r="S1407"/>
      <c r="T1407" s="4"/>
      <c r="U1407" s="4"/>
      <c r="V1407"/>
      <c r="W1407"/>
      <c r="X1407"/>
      <c r="Y1407" t="inlineStr">
        <is>
          <t>Pending Appointment</t>
        </is>
      </c>
      <c r="Z1407" t="inlineStr">
        <is>
          <t>Hiring Now</t>
        </is>
      </c>
      <c r="AA1407">
        <v>1</v>
      </c>
      <c r="AB1407" t="inlineStr">
        <is>
          <t>No Appointment Made</t>
        </is>
      </c>
      <c r="AC1407"/>
      <c r="AD1407" t="inlineStr">
        <is>
          <t xml:space="preserve">1 installer </t>
        </is>
      </c>
      <c r="AE1407"/>
      <c r="AF1407">
        <v>0</v>
      </c>
      <c r="AG1407" s="4"/>
      <c r="AH1407" s="4"/>
      <c r="AI1407">
        <v>0</v>
      </c>
      <c r="AJ1407"/>
      <c r="AK1407" t="inlineStr">
        <is>
          <t>No, I don't need at all</t>
        </is>
      </c>
      <c r="AL1407">
        <v>0</v>
      </c>
      <c r="AM1407" t="inlineStr">
        <is>
          <t>No, I don't need at all</t>
        </is>
      </c>
      <c r="AN1407"/>
      <c r="AO1407" t="inlineStr">
        <is>
          <t>No, I don't need at all</t>
        </is>
      </c>
      <c r="AP1407" t="inlineStr">
        <is>
          <t>Once a year (25%)</t>
        </is>
      </c>
      <c r="AQ1407">
        <v>1</v>
      </c>
      <c r="AR1407" t="inlineStr">
        <is>
          <t>Did not use any job portal</t>
        </is>
      </c>
      <c r="AS1407" t="inlineStr">
        <is>
          <t>- Headcount: 1
- Hiring Job Details: 1 installer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407">
        <v>110</v>
      </c>
      <c r="AU1407" t="inlineStr">
        <is>
          <t>1.10</t>
        </is>
      </c>
      <c r="AV1407" t="inlineStr">
        <is>
          <t>15</t>
        </is>
      </c>
      <c r="AW1407" t="inlineStr">
        <is>
          <t>0</t>
        </is>
      </c>
      <c r="AX1407" t="inlineStr">
        <is>
          <t>Not Qualified</t>
        </is>
      </c>
      <c r="AY1407" s="4"/>
      <c r="AZ1407"/>
      <c r="BA1407"/>
      <c r="BB1407"/>
      <c r="BC1407"/>
      <c r="BD1407" s="4"/>
      <c r="BE1407"/>
      <c r="BF1407"/>
      <c r="BG1407" t="inlineStr">
        <is>
          <t>Reschedule</t>
        </is>
      </c>
      <c r="BH1407" t="inlineStr">
        <is>
          <t>Yee Hang</t>
        </is>
      </c>
      <c r="BI1407"/>
      <c r="BJ1407" s="4">
        <v>46144.75587962963</v>
      </c>
      <c r="BK1407" s="4">
        <v>46132.527025462965</v>
      </c>
      <c r="BL1407"/>
      <c r="BM1407"/>
      <c r="BN1407"/>
      <c r="BO1407" s="4"/>
      <c r="BP1407">
        <v>167836</v>
      </c>
      <c r="BQ1407"/>
      <c r="BR1407"/>
      <c r="BS1407"/>
      <c r="BT1407"/>
      <c r="BU1407"/>
      <c r="BV1407"/>
      <c r="BW1407"/>
      <c r="BX1407"/>
      <c r="BY1407"/>
      <c r="BZ1407" s="4"/>
      <c r="CA1407"/>
      <c r="CB1407"/>
      <c r="CC1407" s="4"/>
      <c r="CD1407" t="inlineStr">
        <is>
          <t>20</t>
        </is>
      </c>
      <c r="CE1407" t="inlineStr">
        <is>
          <t>0</t>
        </is>
      </c>
      <c r="CF1407" t="inlineStr">
        <is>
          <t>Q2-W03</t>
        </is>
      </c>
      <c r="CG1407"/>
      <c r="CH1407"/>
      <c r="CI1407"/>
      <c r="CJ1407" t="inlineStr">
        <is>
          <t>No Paid</t>
        </is>
      </c>
      <c r="CK1407" t="inlineStr">
        <is>
          <t>Not Eligible</t>
        </is>
      </c>
      <c r="CL1407"/>
      <c r="CM1407"/>
    </row>
    <row r="1408" ht="25.5" customHeight="1">
      <c r="A1408" t="inlineStr">
        <is>
          <t>4304828</t>
        </is>
      </c>
      <c r="B1408" s="2"/>
      <c r="C1408"/>
      <c r="D1408" s="3">
        <v>46132.63502314815</v>
      </c>
      <c r="E1408" t="inlineStr">
        <is>
          <t>Q2-W03</t>
        </is>
      </c>
      <c r="F1408" t="inlineStr">
        <is>
          <t>Jess</t>
        </is>
      </c>
      <c r="G1408" t="inlineStr">
        <is>
          <t>Lead</t>
        </is>
      </c>
      <c r="H1408" s="2" t="str">
        <f>=HYPERLINK("https://upbox.ajobthing.my/leads/4304828", "https://upbox.ajobthing.my/leads/4304828")</f>
        <v>https://upbox.ajobthing.my/leads/4304828</v>
      </c>
      <c r="I1408" t="inlineStr">
        <is>
          <t xml:space="preserve">Unique Eats Sdn Bhd </t>
        </is>
      </c>
      <c r="J1408"/>
      <c r="K1408" t="inlineStr">
        <is>
          <t>Jess Lim</t>
        </is>
      </c>
      <c r="L1408" s="4"/>
      <c r="M1408" s="4">
        <v>46132.63694444444</v>
      </c>
      <c r="N1408"/>
      <c r="O1408">
        <v>3888</v>
      </c>
      <c r="P1408" s="4"/>
      <c r="Q1408" s="4"/>
      <c r="R1408"/>
      <c r="S1408"/>
      <c r="T1408" s="4"/>
      <c r="U1408" s="4"/>
      <c r="V1408"/>
      <c r="W1408"/>
      <c r="X1408"/>
      <c r="Y1408" t="inlineStr">
        <is>
          <t>Pending Appointment</t>
        </is>
      </c>
      <c r="Z1408" t="inlineStr">
        <is>
          <t>Hiring Now</t>
        </is>
      </c>
      <c r="AA1408">
        <v>1</v>
      </c>
      <c r="AB1408" t="inlineStr">
        <is>
          <t>No Appointment Made</t>
        </is>
      </c>
      <c r="AC1408"/>
      <c r="AD1408" t="inlineStr">
        <is>
          <t>service crew Chinese malay pj jaya cheras3-4</t>
        </is>
      </c>
      <c r="AE1408"/>
      <c r="AF1408">
        <v>500</v>
      </c>
      <c r="AG1408" s="4"/>
      <c r="AH1408" s="4"/>
      <c r="AI1408"/>
      <c r="AJ1408">
        <v>1</v>
      </c>
      <c r="AK1408" t="inlineStr">
        <is>
          <t>No, I don't need at all</t>
        </is>
      </c>
      <c r="AL1408">
        <v>1</v>
      </c>
      <c r="AM1408" t="inlineStr">
        <is>
          <t>No, I don't need at all</t>
        </is>
      </c>
      <c r="AN1408"/>
      <c r="AO1408" t="inlineStr">
        <is>
          <t>No, I don't need at all</t>
        </is>
      </c>
      <c r="AP1408" t="inlineStr">
        <is>
          <t>Once a year (25%)</t>
        </is>
      </c>
      <c r="AQ1408"/>
      <c r="AR1408" t="inlineStr">
        <is>
          <t>Jobstreet</t>
        </is>
      </c>
      <c r="AS1408" t="inlineStr">
        <is>
          <t>- Headcount: 1
- Hiring Job Details: service crew Chinese malay pj jaya cheras3-4
- Hiring Urgency: Hiring Now
- Number of outlets: 1
- Have recruiter team: No, I don't need at all
- Number of recruiter in company: 1
- Have ATS system: No, I don't need at all
- Have career website: No, I don't need at all
- Current hiring budget: RM500.00
- Whole year budget: 
- Whole year number of vacancies: 
- Hiring frequency: Once a year (25%)
- External job portal: Jobstreet</t>
        </is>
      </c>
      <c r="AT1408">
        <v>75</v>
      </c>
      <c r="AU1408" t="inlineStr">
        <is>
          <t>0.75</t>
        </is>
      </c>
      <c r="AV1408" t="inlineStr">
        <is>
          <t>15</t>
        </is>
      </c>
      <c r="AW1408" t="inlineStr">
        <is>
          <t>0</t>
        </is>
      </c>
      <c r="AX1408" t="inlineStr">
        <is>
          <t>Not Qualified</t>
        </is>
      </c>
      <c r="AY1408" s="4"/>
      <c r="AZ1408"/>
      <c r="BA1408"/>
      <c r="BB1408"/>
      <c r="BC1408"/>
      <c r="BD1408" s="4"/>
      <c r="BE1408"/>
      <c r="BF1408"/>
      <c r="BG1408" t="inlineStr">
        <is>
          <t>Reschedule</t>
        </is>
      </c>
      <c r="BH1408" t="inlineStr">
        <is>
          <t>Fauziah Maharan</t>
        </is>
      </c>
      <c r="BI1408"/>
      <c r="BJ1408" s="4">
        <v>46144.75585648148</v>
      </c>
      <c r="BK1408" s="4">
        <v>46132.49859953704</v>
      </c>
      <c r="BL1408"/>
      <c r="BM1408"/>
      <c r="BN1408"/>
      <c r="BO1408" s="4"/>
      <c r="BP1408">
        <v>167861</v>
      </c>
      <c r="BQ1408"/>
      <c r="BR1408"/>
      <c r="BS1408"/>
      <c r="BT1408"/>
      <c r="BU1408"/>
      <c r="BV1408"/>
      <c r="BW1408"/>
      <c r="BX1408"/>
      <c r="BY1408"/>
      <c r="BZ1408" s="4"/>
      <c r="CA1408"/>
      <c r="CB1408"/>
      <c r="CC1408" s="4"/>
      <c r="CD1408" t="inlineStr">
        <is>
          <t>20</t>
        </is>
      </c>
      <c r="CE1408" t="inlineStr">
        <is>
          <t>0</t>
        </is>
      </c>
      <c r="CF1408" t="inlineStr">
        <is>
          <t>Q2-W03</t>
        </is>
      </c>
      <c r="CG1408"/>
      <c r="CH1408"/>
      <c r="CI1408"/>
      <c r="CJ1408" t="inlineStr">
        <is>
          <t>No Paid</t>
        </is>
      </c>
      <c r="CK1408" t="inlineStr">
        <is>
          <t>Not Eligible</t>
        </is>
      </c>
      <c r="CL1408"/>
      <c r="CM1408"/>
    </row>
    <row r="1409" ht="25.5" customHeight="1">
      <c r="A1409" t="inlineStr">
        <is>
          <t>4306740</t>
        </is>
      </c>
      <c r="B1409" s="2"/>
      <c r="C1409"/>
      <c r="D1409" s="3">
        <v>46133.40539351852</v>
      </c>
      <c r="E1409" t="inlineStr">
        <is>
          <t>Q2-W03</t>
        </is>
      </c>
      <c r="F1409" t="inlineStr">
        <is>
          <t>Luqman</t>
        </is>
      </c>
      <c r="G1409" t="inlineStr">
        <is>
          <t>Lead</t>
        </is>
      </c>
      <c r="H1409" s="2" t="str">
        <f>=HYPERLINK("https://upbox.ajobthing.my/leads/4306740", "https://upbox.ajobthing.my/leads/4306740")</f>
        <v>https://upbox.ajobthing.my/leads/4306740</v>
      </c>
      <c r="I1409" t="inlineStr">
        <is>
          <t xml:space="preserve">Aspirenstrive </t>
        </is>
      </c>
      <c r="J1409"/>
      <c r="K1409" t="inlineStr">
        <is>
          <t>Luqman</t>
        </is>
      </c>
      <c r="L1409" s="4"/>
      <c r="M1409" s="4">
        <v>46133.405798611115</v>
      </c>
      <c r="N1409"/>
      <c r="O1409">
        <v>3888</v>
      </c>
      <c r="P1409" s="4"/>
      <c r="Q1409" s="4"/>
      <c r="R1409"/>
      <c r="S1409"/>
      <c r="T1409" s="4"/>
      <c r="U1409" s="4"/>
      <c r="V1409"/>
      <c r="W1409"/>
      <c r="X1409"/>
      <c r="Y1409" t="inlineStr">
        <is>
          <t>Pending Appointment</t>
        </is>
      </c>
      <c r="Z1409" t="inlineStr">
        <is>
          <t>Hiring Now</t>
        </is>
      </c>
      <c r="AA1409">
        <v>3</v>
      </c>
      <c r="AB1409" t="inlineStr">
        <is>
          <t>No Appointment Made</t>
        </is>
      </c>
      <c r="AC1409"/>
      <c r="AD1409" t="inlineStr">
        <is>
          <t xml:space="preserve">1. Content Creator  
2. Clinic Dental Assistant 
3. Marketing Assistant  </t>
        </is>
      </c>
      <c r="AE1409"/>
      <c r="AF1409">
        <v>3600</v>
      </c>
      <c r="AG1409" s="4"/>
      <c r="AH1409" s="4"/>
      <c r="AI1409">
        <v>3600</v>
      </c>
      <c r="AJ1409"/>
      <c r="AK1409" t="inlineStr">
        <is>
          <t>No, I don't need at all</t>
        </is>
      </c>
      <c r="AL1409">
        <v>1</v>
      </c>
      <c r="AM1409" t="inlineStr">
        <is>
          <t>No, I don't need at all</t>
        </is>
      </c>
      <c r="AN1409"/>
      <c r="AO1409" t="inlineStr">
        <is>
          <t>No, I don't need at all</t>
        </is>
      </c>
      <c r="AP1409" t="inlineStr">
        <is>
          <t>Once a year (25%)</t>
        </is>
      </c>
      <c r="AQ1409">
        <v>3</v>
      </c>
      <c r="AR1409" t="inlineStr">
        <is>
          <t>Free Job Portal</t>
        </is>
      </c>
      <c r="AS1409" t="inlineStr">
        <is>
          <t>- Headcount: 3
- Hiring Job Details: 1. Content Creator 2. Clinic Dental Assistant 3. Marketing Assistant
- Hiring Urgency: Hiring Now
- Number of outlets: N/A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is>
      </c>
      <c r="AT1409">
        <v>95</v>
      </c>
      <c r="AU1409" t="inlineStr">
        <is>
          <t>0.95</t>
        </is>
      </c>
      <c r="AV1409" t="inlineStr">
        <is>
          <t>15</t>
        </is>
      </c>
      <c r="AW1409" t="inlineStr">
        <is>
          <t>0</t>
        </is>
      </c>
      <c r="AX1409" t="inlineStr">
        <is>
          <t>Not Qualified</t>
        </is>
      </c>
      <c r="AY1409" s="4"/>
      <c r="AZ1409"/>
      <c r="BA1409"/>
      <c r="BB1409"/>
      <c r="BC1409"/>
      <c r="BD1409" s="4"/>
      <c r="BE1409"/>
      <c r="BF1409"/>
      <c r="BG1409" t="inlineStr">
        <is>
          <t>Reschedule</t>
        </is>
      </c>
      <c r="BH1409" t="inlineStr">
        <is>
          <t>Edward Hoo</t>
        </is>
      </c>
      <c r="BI1409"/>
      <c r="BJ1409" s="4">
        <v>46144.75587962963</v>
      </c>
      <c r="BK1409" s="4">
        <v>46132.918912037036</v>
      </c>
      <c r="BL1409"/>
      <c r="BM1409"/>
      <c r="BN1409"/>
      <c r="BO1409" s="4"/>
      <c r="BP1409">
        <v>167930</v>
      </c>
      <c r="BQ1409"/>
      <c r="BR1409"/>
      <c r="BS1409"/>
      <c r="BT1409"/>
      <c r="BU1409"/>
      <c r="BV1409"/>
      <c r="BW1409"/>
      <c r="BX1409"/>
      <c r="BY1409"/>
      <c r="BZ1409" s="4"/>
      <c r="CA1409"/>
      <c r="CB1409"/>
      <c r="CC1409" s="4"/>
      <c r="CD1409" t="inlineStr">
        <is>
          <t>20</t>
        </is>
      </c>
      <c r="CE1409" t="inlineStr">
        <is>
          <t>0</t>
        </is>
      </c>
      <c r="CF1409" t="inlineStr">
        <is>
          <t>Q2-W03</t>
        </is>
      </c>
      <c r="CG1409"/>
      <c r="CH1409"/>
      <c r="CI1409"/>
      <c r="CJ1409" t="inlineStr">
        <is>
          <t>No Paid</t>
        </is>
      </c>
      <c r="CK1409" t="inlineStr">
        <is>
          <t>Not Eligible</t>
        </is>
      </c>
      <c r="CL1409"/>
      <c r="CM1409"/>
    </row>
    <row r="1410" ht="25.5" customHeight="1">
      <c r="A1410" t="inlineStr">
        <is>
          <t>4306612</t>
        </is>
      </c>
      <c r="B1410" s="2"/>
      <c r="C1410"/>
      <c r="D1410" s="3">
        <v>46133.47041666666</v>
      </c>
      <c r="E1410" t="inlineStr">
        <is>
          <t>Q2-W03</t>
        </is>
      </c>
      <c r="F1410" t="inlineStr">
        <is>
          <t>Jia Hui</t>
        </is>
      </c>
      <c r="G1410" t="inlineStr">
        <is>
          <t>Lead</t>
        </is>
      </c>
      <c r="H1410" s="2" t="str">
        <f>=HYPERLINK("https://upbox.ajobthing.my/leads/4306612", "https://upbox.ajobthing.my/leads/4306612")</f>
        <v>https://upbox.ajobthing.my/leads/4306612</v>
      </c>
      <c r="I1410" t="inlineStr">
        <is>
          <t>Warisan Ayur</t>
        </is>
      </c>
      <c r="J1410"/>
      <c r="K1410" t="inlineStr">
        <is>
          <t>Jia Hui</t>
        </is>
      </c>
      <c r="L1410" s="4"/>
      <c r="M1410" s="4">
        <v>46133.47087962963</v>
      </c>
      <c r="N1410"/>
      <c r="O1410">
        <v>1296</v>
      </c>
      <c r="P1410" s="4"/>
      <c r="Q1410" s="4"/>
      <c r="R1410"/>
      <c r="S1410"/>
      <c r="T1410" s="4"/>
      <c r="U1410" s="4"/>
      <c r="V1410"/>
      <c r="W1410"/>
      <c r="X1410"/>
      <c r="Y1410" t="inlineStr">
        <is>
          <t>Pending Appointment</t>
        </is>
      </c>
      <c r="Z1410" t="inlineStr">
        <is>
          <t>Hiring Now</t>
        </is>
      </c>
      <c r="AA1410">
        <v>1</v>
      </c>
      <c r="AB1410" t="inlineStr">
        <is>
          <t>No Appointment Made</t>
        </is>
      </c>
      <c r="AC1410"/>
      <c r="AD1410" t="inlineStr">
        <is>
          <t xml:space="preserve">1 account cum admin </t>
        </is>
      </c>
      <c r="AE1410"/>
      <c r="AF1410">
        <v>300</v>
      </c>
      <c r="AG1410" s="4"/>
      <c r="AH1410" s="4"/>
      <c r="AI1410"/>
      <c r="AJ1410"/>
      <c r="AK1410" t="inlineStr">
        <is>
          <t>No, but I want in future</t>
        </is>
      </c>
      <c r="AL1410"/>
      <c r="AM1410"/>
      <c r="AN1410"/>
      <c r="AO1410"/>
      <c r="AP1410" t="inlineStr">
        <is>
          <t>Once a year (25%)</t>
        </is>
      </c>
      <c r="AQ1410"/>
      <c r="AR1410"/>
      <c r="AS1410" t="inlineStr">
        <is>
          <t>- Headcount: 1
- Hiring Job Details: 1 account cum admin
- Hiring Urgency: Hiring Now
- Number of outlets: Not specified
- Have recruiter team: No, but I want in future
- Number of recruiter in company: Not specified
- Have ATS system: Not specified
- Have career website: Not specified
- Current hiring budget: RM300.00
- Whole year budget: Not specified
- Whole year number of vacancies: Not specified
- Hiring frequency: Once a year (25%)
- External job portal: Not specified</t>
        </is>
      </c>
      <c r="AT1410">
        <v>75</v>
      </c>
      <c r="AU1410" t="inlineStr">
        <is>
          <t>0.75</t>
        </is>
      </c>
      <c r="AV1410" t="inlineStr">
        <is>
          <t>15</t>
        </is>
      </c>
      <c r="AW1410" t="inlineStr">
        <is>
          <t>0</t>
        </is>
      </c>
      <c r="AX1410" t="inlineStr">
        <is>
          <t>Not Qualified</t>
        </is>
      </c>
      <c r="AY1410" s="4"/>
      <c r="AZ1410"/>
      <c r="BA1410"/>
      <c r="BB1410"/>
      <c r="BC1410"/>
      <c r="BD1410" s="4"/>
      <c r="BE1410"/>
      <c r="BF1410"/>
      <c r="BG1410" t="inlineStr">
        <is>
          <t>Reschedule</t>
        </is>
      </c>
      <c r="BH1410" t="inlineStr">
        <is>
          <t>Reagen</t>
        </is>
      </c>
      <c r="BI1410"/>
      <c r="BJ1410" s="4">
        <v>46144.75587962963</v>
      </c>
      <c r="BK1410" s="4">
        <v>46132.85975694445</v>
      </c>
      <c r="BL1410"/>
      <c r="BM1410"/>
      <c r="BN1410"/>
      <c r="BO1410" s="4"/>
      <c r="BP1410">
        <v>167980</v>
      </c>
      <c r="BQ1410"/>
      <c r="BR1410"/>
      <c r="BS1410"/>
      <c r="BT1410"/>
      <c r="BU1410"/>
      <c r="BV1410"/>
      <c r="BW1410"/>
      <c r="BX1410"/>
      <c r="BY1410"/>
      <c r="BZ1410" s="4"/>
      <c r="CA1410"/>
      <c r="CB1410"/>
      <c r="CC1410" s="4"/>
      <c r="CD1410" t="inlineStr">
        <is>
          <t>20</t>
        </is>
      </c>
      <c r="CE1410" t="inlineStr">
        <is>
          <t>0</t>
        </is>
      </c>
      <c r="CF1410" t="inlineStr">
        <is>
          <t>Q2-W03</t>
        </is>
      </c>
      <c r="CG1410"/>
      <c r="CH1410"/>
      <c r="CI1410"/>
      <c r="CJ1410" t="inlineStr">
        <is>
          <t>No Paid</t>
        </is>
      </c>
      <c r="CK1410" t="inlineStr">
        <is>
          <t>Not Eligible</t>
        </is>
      </c>
      <c r="CL1410"/>
      <c r="CM1410"/>
    </row>
    <row r="1411" ht="25.5" customHeight="1">
      <c r="A1411" t="inlineStr">
        <is>
          <t>4308867</t>
        </is>
      </c>
      <c r="B1411" s="2"/>
      <c r="C1411"/>
      <c r="D1411" s="3">
        <v>46133.476319444446</v>
      </c>
      <c r="E1411" t="inlineStr">
        <is>
          <t>Q2-W03</t>
        </is>
      </c>
      <c r="F1411" t="inlineStr">
        <is>
          <t>Chia Yee</t>
        </is>
      </c>
      <c r="G1411" t="inlineStr">
        <is>
          <t>Lead</t>
        </is>
      </c>
      <c r="H1411" s="2" t="str">
        <f>=HYPERLINK("https://upbox.ajobthing.my/leads/4308867", "https://upbox.ajobthing.my/leads/4308867")</f>
        <v>https://upbox.ajobthing.my/leads/4308867</v>
      </c>
      <c r="I1411" t="inlineStr">
        <is>
          <t xml:space="preserve">Eutag global (m) Sdn Bhd </t>
        </is>
      </c>
      <c r="J1411"/>
      <c r="K1411" t="inlineStr">
        <is>
          <t>Chia Yee</t>
        </is>
      </c>
      <c r="L1411" s="4"/>
      <c r="M1411" s="4">
        <v>46133.47692129629</v>
      </c>
      <c r="N1411"/>
      <c r="O1411">
        <v>3888</v>
      </c>
      <c r="P1411" s="4"/>
      <c r="Q1411" s="4"/>
      <c r="R1411"/>
      <c r="S1411"/>
      <c r="T1411" s="4"/>
      <c r="U1411" s="4"/>
      <c r="V1411"/>
      <c r="W1411"/>
      <c r="X1411"/>
      <c r="Y1411" t="inlineStr">
        <is>
          <t>Pending Appointment</t>
        </is>
      </c>
      <c r="Z1411" t="inlineStr">
        <is>
          <t>Hiring Now</t>
        </is>
      </c>
      <c r="AA1411">
        <v>1</v>
      </c>
      <c r="AB1411" t="inlineStr">
        <is>
          <t>No Appointment Made</t>
        </is>
      </c>
      <c r="AC1411"/>
      <c r="AD1411" t="inlineStr">
        <is>
          <t xml:space="preserve">1 designer (main) cum merchadiser </t>
        </is>
      </c>
      <c r="AE1411"/>
      <c r="AF1411">
        <v>0</v>
      </c>
      <c r="AG1411" s="4"/>
      <c r="AH1411" s="4"/>
      <c r="AI1411">
        <v>0</v>
      </c>
      <c r="AJ1411">
        <v>1</v>
      </c>
      <c r="AK1411"/>
      <c r="AL1411">
        <v>1</v>
      </c>
      <c r="AM1411" t="inlineStr">
        <is>
          <t>No, I don't need at all</t>
        </is>
      </c>
      <c r="AN1411"/>
      <c r="AO1411" t="inlineStr">
        <is>
          <t>No, I don't need at all</t>
        </is>
      </c>
      <c r="AP1411" t="inlineStr">
        <is>
          <t>Once a year (25%)</t>
        </is>
      </c>
      <c r="AQ1411">
        <v>1</v>
      </c>
      <c r="AR1411" t="inlineStr">
        <is>
          <t>Did not use any job portal</t>
        </is>
      </c>
      <c r="AS1411" t="inlineStr">
        <is>
          <t>- Headcount: 1
- Hiring Job Details: 1 designer (main) cum merchandiser
- Hiring Urgency: Hiring Now
- Number of outlets: 1
- Have recruiter team: Not specified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1411">
        <v>115</v>
      </c>
      <c r="AU1411" t="inlineStr">
        <is>
          <t>1.15</t>
        </is>
      </c>
      <c r="AV1411" t="inlineStr">
        <is>
          <t>15</t>
        </is>
      </c>
      <c r="AW1411" t="inlineStr">
        <is>
          <t>0</t>
        </is>
      </c>
      <c r="AX1411" t="inlineStr">
        <is>
          <t>Not Qualified</t>
        </is>
      </c>
      <c r="AY1411" s="4"/>
      <c r="AZ1411"/>
      <c r="BA1411"/>
      <c r="BB1411"/>
      <c r="BC1411"/>
      <c r="BD1411" s="4"/>
      <c r="BE1411"/>
      <c r="BF1411"/>
      <c r="BG1411" t="inlineStr">
        <is>
          <t>Reschedule</t>
        </is>
      </c>
      <c r="BH1411" t="inlineStr">
        <is>
          <t>Reagen</t>
        </is>
      </c>
      <c r="BI1411"/>
      <c r="BJ1411" s="4">
        <v>46144.75587962963</v>
      </c>
      <c r="BK1411" s="4">
        <v>46133.4678587963</v>
      </c>
      <c r="BL1411"/>
      <c r="BM1411"/>
      <c r="BN1411"/>
      <c r="BO1411" s="4"/>
      <c r="BP1411">
        <v>167983</v>
      </c>
      <c r="BQ1411"/>
      <c r="BR1411"/>
      <c r="BS1411"/>
      <c r="BT1411"/>
      <c r="BU1411"/>
      <c r="BV1411"/>
      <c r="BW1411"/>
      <c r="BX1411"/>
      <c r="BY1411"/>
      <c r="BZ1411" s="4"/>
      <c r="CA1411"/>
      <c r="CB1411"/>
      <c r="CC1411" s="4"/>
      <c r="CD1411" t="inlineStr">
        <is>
          <t>20</t>
        </is>
      </c>
      <c r="CE1411" t="inlineStr">
        <is>
          <t>0</t>
        </is>
      </c>
      <c r="CF1411" t="inlineStr">
        <is>
          <t>Q2-W03</t>
        </is>
      </c>
      <c r="CG1411"/>
      <c r="CH1411"/>
      <c r="CI1411"/>
      <c r="CJ1411" t="inlineStr">
        <is>
          <t>No Paid</t>
        </is>
      </c>
      <c r="CK1411" t="inlineStr">
        <is>
          <t>Not Eligible</t>
        </is>
      </c>
      <c r="CL1411"/>
      <c r="CM1411"/>
    </row>
    <row r="1412" ht="25.5" customHeight="1">
      <c r="A1412" t="inlineStr">
        <is>
          <t>4193898</t>
        </is>
      </c>
      <c r="B1412" s="2"/>
      <c r="C1412"/>
      <c r="D1412" s="3">
        <v>46133.591412037036</v>
      </c>
      <c r="E1412" t="inlineStr">
        <is>
          <t>Q2-W03</t>
        </is>
      </c>
      <c r="F1412" t="inlineStr">
        <is>
          <t>Ratha</t>
        </is>
      </c>
      <c r="G1412" t="inlineStr">
        <is>
          <t>Lead</t>
        </is>
      </c>
      <c r="H1412" s="2" t="str">
        <f>=HYPERLINK("https://upbox.ajobthing.my/leads/4193898", "https://upbox.ajobthing.my/leads/4193898")</f>
        <v>https://upbox.ajobthing.my/leads/4193898</v>
      </c>
      <c r="I1412" t="inlineStr">
        <is>
          <t xml:space="preserve">SERI MANJA HOTEL SDN BHD </t>
        </is>
      </c>
      <c r="J1412"/>
      <c r="K1412" t="inlineStr">
        <is>
          <t>Ratha</t>
        </is>
      </c>
      <c r="L1412" s="4"/>
      <c r="M1412" s="4">
        <v>46133.591886574075</v>
      </c>
      <c r="N1412"/>
      <c r="O1412">
        <v>3888</v>
      </c>
      <c r="P1412" s="4"/>
      <c r="Q1412" s="4"/>
      <c r="R1412"/>
      <c r="S1412"/>
      <c r="T1412" s="4"/>
      <c r="U1412" s="4"/>
      <c r="V1412"/>
      <c r="W1412"/>
      <c r="X1412"/>
      <c r="Y1412" t="inlineStr">
        <is>
          <t>Pending Appointment</t>
        </is>
      </c>
      <c r="Z1412" t="inlineStr">
        <is>
          <t>Hiring Later</t>
        </is>
      </c>
      <c r="AA1412">
        <v>3</v>
      </c>
      <c r="AB1412" t="inlineStr">
        <is>
          <t>No Appointment Made</t>
        </is>
      </c>
      <c r="AC1412"/>
      <c r="AD1412" t="inlineStr">
        <is>
          <t xml:space="preserve">Hospitality : 2
Admin : 1
Location : Kuantan </t>
        </is>
      </c>
      <c r="AE1412"/>
      <c r="AF1412"/>
      <c r="AG1412" s="4"/>
      <c r="AH1412" s="4"/>
      <c r="AI1412">
        <v>0</v>
      </c>
      <c r="AJ1412">
        <v>1</v>
      </c>
      <c r="AK1412" t="inlineStr">
        <is>
          <t>Yes, I have</t>
        </is>
      </c>
      <c r="AL1412">
        <v>2</v>
      </c>
      <c r="AM1412" t="inlineStr">
        <is>
          <t>No, I don't need at all</t>
        </is>
      </c>
      <c r="AN1412"/>
      <c r="AO1412" t="inlineStr">
        <is>
          <t>No, I don't need at all</t>
        </is>
      </c>
      <c r="AP1412" t="inlineStr">
        <is>
          <t>Once per quarter (75%)</t>
        </is>
      </c>
      <c r="AQ1412">
        <v>0</v>
      </c>
      <c r="AR1412" t="inlineStr">
        <is>
          <t>Free Job Portal</t>
        </is>
      </c>
      <c r="AS1412" t="inlineStr">
        <is>
          <t>- Headcount: 3
- Hiring Job Details: 2 Hospitality, 1 Admin (Location: Kuantan)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1412">
        <v>105</v>
      </c>
      <c r="AU1412" t="inlineStr">
        <is>
          <t>1.05</t>
        </is>
      </c>
      <c r="AV1412" t="inlineStr">
        <is>
          <t>5</t>
        </is>
      </c>
      <c r="AW1412" t="inlineStr">
        <is>
          <t>0</t>
        </is>
      </c>
      <c r="AX1412" t="inlineStr">
        <is>
          <t>Not Qualified</t>
        </is>
      </c>
      <c r="AY1412" s="4"/>
      <c r="AZ1412"/>
      <c r="BA1412"/>
      <c r="BB1412"/>
      <c r="BC1412"/>
      <c r="BD1412" s="4"/>
      <c r="BE1412"/>
      <c r="BF1412"/>
      <c r="BG1412" t="inlineStr">
        <is>
          <t>Reschedule</t>
        </is>
      </c>
      <c r="BH1412" t="inlineStr">
        <is>
          <t>Fauziah Maharan</t>
        </is>
      </c>
      <c r="BI1412"/>
      <c r="BJ1412" s="4">
        <v>46144.755625</v>
      </c>
      <c r="BK1412" s="4">
        <v>46105.59140046296</v>
      </c>
      <c r="BL1412"/>
      <c r="BM1412"/>
      <c r="BN1412"/>
      <c r="BO1412" s="4"/>
      <c r="BP1412">
        <v>168028</v>
      </c>
      <c r="BQ1412"/>
      <c r="BR1412"/>
      <c r="BS1412"/>
      <c r="BT1412"/>
      <c r="BU1412"/>
      <c r="BV1412"/>
      <c r="BW1412"/>
      <c r="BX1412"/>
      <c r="BY1412"/>
      <c r="BZ1412" s="4"/>
      <c r="CA1412"/>
      <c r="CB1412"/>
      <c r="CC1412" s="4"/>
      <c r="CD1412" t="inlineStr">
        <is>
          <t>5</t>
        </is>
      </c>
      <c r="CE1412" t="inlineStr">
        <is>
          <t>0</t>
        </is>
      </c>
      <c r="CF1412" t="inlineStr">
        <is>
          <t>Q2-W03</t>
        </is>
      </c>
      <c r="CG1412"/>
      <c r="CH1412"/>
      <c r="CI1412"/>
      <c r="CJ1412" t="inlineStr">
        <is>
          <t>No Paid</t>
        </is>
      </c>
      <c r="CK1412" t="inlineStr">
        <is>
          <t>Not Eligible</t>
        </is>
      </c>
      <c r="CL1412"/>
      <c r="CM1412"/>
    </row>
    <row r="1413" ht="25.5" customHeight="1">
      <c r="A1413" t="inlineStr">
        <is>
          <t>4300215</t>
        </is>
      </c>
      <c r="B1413" s="2"/>
      <c r="C1413"/>
      <c r="D1413" s="3">
        <v>46133.656435185185</v>
      </c>
      <c r="E1413" t="inlineStr">
        <is>
          <t>Q2-W03</t>
        </is>
      </c>
      <c r="F1413" t="inlineStr">
        <is>
          <t>Janice Yap</t>
        </is>
      </c>
      <c r="G1413" t="inlineStr">
        <is>
          <t>Lead</t>
        </is>
      </c>
      <c r="H1413" s="2" t="str">
        <f>=HYPERLINK("https://upbox.ajobthing.my/leads/4300215", "https://upbox.ajobthing.my/leads/4300215")</f>
        <v>https://upbox.ajobthing.my/leads/4300215</v>
      </c>
      <c r="I1413" t="inlineStr">
        <is>
          <t xml:space="preserve">CIO CONSULTANT </t>
        </is>
      </c>
      <c r="J1413"/>
      <c r="K1413" t="inlineStr">
        <is>
          <t>Janice</t>
        </is>
      </c>
      <c r="L1413" s="4"/>
      <c r="M1413" s="4">
        <v>46133.65238425926</v>
      </c>
      <c r="N1413"/>
      <c r="O1413">
        <v>3888</v>
      </c>
      <c r="P1413" s="4"/>
      <c r="Q1413" s="4"/>
      <c r="R1413"/>
      <c r="S1413"/>
      <c r="T1413" s="4"/>
      <c r="U1413" s="4"/>
      <c r="V1413"/>
      <c r="W1413"/>
      <c r="X1413"/>
      <c r="Y1413" t="inlineStr">
        <is>
          <t>Pending Appointment</t>
        </is>
      </c>
      <c r="Z1413" t="inlineStr">
        <is>
          <t>Hiring Now</t>
        </is>
      </c>
      <c r="AA1413">
        <v>20</v>
      </c>
      <c r="AB1413" t="inlineStr">
        <is>
          <t>No Appointment Made</t>
        </is>
      </c>
      <c r="AC1413"/>
      <c r="AD1413" t="inlineStr">
        <is>
          <t>10 customer services // 10 telemarketing</t>
        </is>
      </c>
      <c r="AE1413"/>
      <c r="AF1413">
        <v>0</v>
      </c>
      <c r="AG1413" s="4"/>
      <c r="AH1413" s="4"/>
      <c r="AI1413">
        <v>0</v>
      </c>
      <c r="AJ1413"/>
      <c r="AK1413" t="inlineStr">
        <is>
          <t>No, I don't need at all</t>
        </is>
      </c>
      <c r="AL1413">
        <v>0</v>
      </c>
      <c r="AM1413" t="inlineStr">
        <is>
          <t>No, I don't need at all</t>
        </is>
      </c>
      <c r="AN1413"/>
      <c r="AO1413" t="inlineStr">
        <is>
          <t>No, I don't need at all</t>
        </is>
      </c>
      <c r="AP1413" t="inlineStr">
        <is>
          <t>Once a year (25%)</t>
        </is>
      </c>
      <c r="AQ1413">
        <v>24</v>
      </c>
      <c r="AR1413"/>
      <c r="AS1413" t="inlineStr">
        <is>
          <t>- Headcount: 20
- Hiring Job Details: 10 customer services // 10 telemarketing
- Hiring Urgency: Hiring Now
- Number of outlets: Not available
- Have recruiter team: No, I don't need at all
- Number of recruiter in company: 0
- Have ATS system: No, I don't need at all
- Have career website: No, I don't need at all
- Current hiring budget: RM0
- Whole year budget: RM0.00
- Whole year number of vacancies: 24
- Hiring frequency: Once a year (25%)
- External job portal: Not available</t>
        </is>
      </c>
      <c r="AT1413">
        <v>100</v>
      </c>
      <c r="AU1413" t="inlineStr">
        <is>
          <t>1.00</t>
        </is>
      </c>
      <c r="AV1413" t="inlineStr">
        <is>
          <t>25</t>
        </is>
      </c>
      <c r="AW1413" t="inlineStr">
        <is>
          <t>0</t>
        </is>
      </c>
      <c r="AX1413" t="inlineStr">
        <is>
          <t>Not Qualified</t>
        </is>
      </c>
      <c r="AY1413" s="4"/>
      <c r="AZ1413"/>
      <c r="BA1413"/>
      <c r="BB1413"/>
      <c r="BC1413"/>
      <c r="BD1413" s="4"/>
      <c r="BE1413"/>
      <c r="BF1413"/>
      <c r="BG1413" t="inlineStr">
        <is>
          <t>Reschedule</t>
        </is>
      </c>
      <c r="BH1413" t="inlineStr">
        <is>
          <t>Yee Hang</t>
        </is>
      </c>
      <c r="BI1413"/>
      <c r="BJ1413" s="4">
        <v>46144.75585648148</v>
      </c>
      <c r="BK1413" s="4">
        <v>46131.00378472222</v>
      </c>
      <c r="BL1413"/>
      <c r="BM1413"/>
      <c r="BN1413"/>
      <c r="BO1413" s="4"/>
      <c r="BP1413">
        <v>168086</v>
      </c>
      <c r="BQ1413"/>
      <c r="BR1413"/>
      <c r="BS1413"/>
      <c r="BT1413"/>
      <c r="BU1413"/>
      <c r="BV1413"/>
      <c r="BW1413"/>
      <c r="BX1413"/>
      <c r="BY1413"/>
      <c r="BZ1413" s="4"/>
      <c r="CA1413"/>
      <c r="CB1413"/>
      <c r="CC1413" s="4"/>
      <c r="CD1413" t="inlineStr">
        <is>
          <t>35</t>
        </is>
      </c>
      <c r="CE1413" t="inlineStr">
        <is>
          <t>0</t>
        </is>
      </c>
      <c r="CF1413" t="inlineStr">
        <is>
          <t>Q2-W03</t>
        </is>
      </c>
      <c r="CG1413"/>
      <c r="CH1413"/>
      <c r="CI1413"/>
      <c r="CJ1413" t="inlineStr">
        <is>
          <t>No Paid</t>
        </is>
      </c>
      <c r="CK1413" t="inlineStr">
        <is>
          <t>Eligible</t>
        </is>
      </c>
      <c r="CL1413"/>
      <c r="CM1413"/>
    </row>
    <row r="1414" ht="25.5" customHeight="1">
      <c r="A1414" t="inlineStr">
        <is>
          <t>4312736</t>
        </is>
      </c>
      <c r="B1414" s="2"/>
      <c r="C1414"/>
      <c r="D1414" s="3">
        <v>46134.47267361111</v>
      </c>
      <c r="E1414" t="inlineStr">
        <is>
          <t>Q2-W03</t>
        </is>
      </c>
      <c r="F1414" t="inlineStr">
        <is>
          <t>Lucas</t>
        </is>
      </c>
      <c r="G1414" t="inlineStr">
        <is>
          <t>Lead</t>
        </is>
      </c>
      <c r="H1414" s="2" t="str">
        <f>=HYPERLINK("https://upbox.ajobthing.my/leads/4312736", "https://upbox.ajobthing.my/leads/4312736")</f>
        <v>https://upbox.ajobthing.my/leads/4312736</v>
      </c>
      <c r="I1414" t="inlineStr">
        <is>
          <t>Allied Intelligence Enterprise</t>
        </is>
      </c>
      <c r="J1414"/>
      <c r="K1414" t="inlineStr">
        <is>
          <t>Lucas</t>
        </is>
      </c>
      <c r="L1414" s="4"/>
      <c r="M1414" s="4">
        <v>46134.470555555556</v>
      </c>
      <c r="N1414"/>
      <c r="O1414">
        <v>3888</v>
      </c>
      <c r="P1414" s="4"/>
      <c r="Q1414" s="4"/>
      <c r="R1414"/>
      <c r="S1414"/>
      <c r="T1414" s="4"/>
      <c r="U1414" s="4"/>
      <c r="V1414"/>
      <c r="W1414"/>
      <c r="X1414"/>
      <c r="Y1414" t="inlineStr">
        <is>
          <t>Pending Appointment</t>
        </is>
      </c>
      <c r="Z1414" t="inlineStr">
        <is>
          <t>Hiring Now</t>
        </is>
      </c>
      <c r="AA1414">
        <v>1</v>
      </c>
      <c r="AB1414" t="inlineStr">
        <is>
          <t>No Appointment Made</t>
        </is>
      </c>
      <c r="AC1414"/>
      <c r="AD1414" t="inlineStr">
        <is>
          <t>1 sale person</t>
        </is>
      </c>
      <c r="AE1414"/>
      <c r="AF1414">
        <v>0</v>
      </c>
      <c r="AG1414" s="4"/>
      <c r="AH1414" s="4"/>
      <c r="AI1414">
        <v>0</v>
      </c>
      <c r="AJ1414">
        <v>0</v>
      </c>
      <c r="AK1414" t="inlineStr">
        <is>
          <t>No, I don't need at all</t>
        </is>
      </c>
      <c r="AL1414">
        <v>0</v>
      </c>
      <c r="AM1414" t="inlineStr">
        <is>
          <t>No, I don't need at all</t>
        </is>
      </c>
      <c r="AN1414"/>
      <c r="AO1414" t="inlineStr">
        <is>
          <t>No, I don't need at all</t>
        </is>
      </c>
      <c r="AP1414" t="inlineStr">
        <is>
          <t>Once a year (25%)</t>
        </is>
      </c>
      <c r="AQ1414">
        <v>1</v>
      </c>
      <c r="AR1414" t="inlineStr">
        <is>
          <t>Jobstreet</t>
        </is>
      </c>
      <c r="AS1414" t="inlineStr">
        <is>
          <t>- Headcount: 1
- Hiring Job Details: 1 sale person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1414">
        <v>105</v>
      </c>
      <c r="AU1414" t="inlineStr">
        <is>
          <t>1.05</t>
        </is>
      </c>
      <c r="AV1414" t="inlineStr">
        <is>
          <t>15</t>
        </is>
      </c>
      <c r="AW1414" t="inlineStr">
        <is>
          <t>0</t>
        </is>
      </c>
      <c r="AX1414" t="inlineStr">
        <is>
          <t>Not Qualified</t>
        </is>
      </c>
      <c r="AY1414" s="4"/>
      <c r="AZ1414"/>
      <c r="BA1414"/>
      <c r="BB1414"/>
      <c r="BC1414"/>
      <c r="BD1414" s="4"/>
      <c r="BE1414"/>
      <c r="BF1414"/>
      <c r="BG1414" t="inlineStr">
        <is>
          <t>Reschedule</t>
        </is>
      </c>
      <c r="BH1414" t="inlineStr">
        <is>
          <t>Yee Hang</t>
        </is>
      </c>
      <c r="BI1414"/>
      <c r="BJ1414" s="4">
        <v>46144.755902777775</v>
      </c>
      <c r="BK1414" s="4">
        <v>46134.45122685185</v>
      </c>
      <c r="BL1414"/>
      <c r="BM1414"/>
      <c r="BN1414"/>
      <c r="BO1414" s="4"/>
      <c r="BP1414">
        <v>168239</v>
      </c>
      <c r="BQ1414"/>
      <c r="BR1414"/>
      <c r="BS1414"/>
      <c r="BT1414"/>
      <c r="BU1414"/>
      <c r="BV1414"/>
      <c r="BW1414"/>
      <c r="BX1414"/>
      <c r="BY1414"/>
      <c r="BZ1414" s="4"/>
      <c r="CA1414"/>
      <c r="CB1414"/>
      <c r="CC1414" s="4"/>
      <c r="CD1414" t="inlineStr">
        <is>
          <t>20</t>
        </is>
      </c>
      <c r="CE1414" t="inlineStr">
        <is>
          <t>0</t>
        </is>
      </c>
      <c r="CF1414" t="inlineStr">
        <is>
          <t>Q2-W03</t>
        </is>
      </c>
      <c r="CG1414"/>
      <c r="CH1414"/>
      <c r="CI1414"/>
      <c r="CJ1414" t="inlineStr">
        <is>
          <t>No Paid</t>
        </is>
      </c>
      <c r="CK1414" t="inlineStr">
        <is>
          <t>Not Eligible</t>
        </is>
      </c>
      <c r="CL1414"/>
      <c r="CM1414"/>
    </row>
    <row r="1415" ht="25.5" customHeight="1">
      <c r="A1415" t="inlineStr">
        <is>
          <t>4310750</t>
        </is>
      </c>
      <c r="B1415" s="2"/>
      <c r="C1415"/>
      <c r="D1415" s="3">
        <v>46134.58642361111</v>
      </c>
      <c r="E1415" t="inlineStr">
        <is>
          <t>Q2-W03</t>
        </is>
      </c>
      <c r="F1415" t="inlineStr">
        <is>
          <t>Jess</t>
        </is>
      </c>
      <c r="G1415" t="inlineStr">
        <is>
          <t>Lead</t>
        </is>
      </c>
      <c r="H1415" s="2" t="str">
        <f>=HYPERLINK("https://upbox.ajobthing.my/leads/4310750", "https://upbox.ajobthing.my/leads/4310750")</f>
        <v>https://upbox.ajobthing.my/leads/4310750</v>
      </c>
      <c r="I1415" t="inlineStr">
        <is>
          <t>Share Corner 01 Enterprise</t>
        </is>
      </c>
      <c r="J1415"/>
      <c r="K1415" t="inlineStr">
        <is>
          <t>Jess Lim</t>
        </is>
      </c>
      <c r="L1415" s="4"/>
      <c r="M1415" s="4">
        <v>46134.587175925924</v>
      </c>
      <c r="N1415"/>
      <c r="O1415">
        <v>3888</v>
      </c>
      <c r="P1415" s="4"/>
      <c r="Q1415" s="4"/>
      <c r="R1415"/>
      <c r="S1415"/>
      <c r="T1415" s="4"/>
      <c r="U1415" s="4"/>
      <c r="V1415"/>
      <c r="W1415"/>
      <c r="X1415"/>
      <c r="Y1415" t="inlineStr">
        <is>
          <t>Pending Appointment</t>
        </is>
      </c>
      <c r="Z1415" t="inlineStr">
        <is>
          <t>Hiring Now</t>
        </is>
      </c>
      <c r="AA1415">
        <v>1</v>
      </c>
      <c r="AB1415" t="inlineStr">
        <is>
          <t>No Appointment Made</t>
        </is>
      </c>
      <c r="AC1415"/>
      <c r="AD1415" t="inlineStr">
        <is>
          <t>video editor 1</t>
        </is>
      </c>
      <c r="AE1415"/>
      <c r="AF1415">
        <v>1200</v>
      </c>
      <c r="AG1415" s="4"/>
      <c r="AH1415" s="4"/>
      <c r="AI1415"/>
      <c r="AJ1415"/>
      <c r="AK1415" t="inlineStr">
        <is>
          <t>No, I don't need at all</t>
        </is>
      </c>
      <c r="AL1415">
        <v>0</v>
      </c>
      <c r="AM1415" t="inlineStr">
        <is>
          <t>No, I don't need at all</t>
        </is>
      </c>
      <c r="AN1415"/>
      <c r="AO1415" t="inlineStr">
        <is>
          <t>No, I don't need at all</t>
        </is>
      </c>
      <c r="AP1415" t="inlineStr">
        <is>
          <t>Once a year (25%)</t>
        </is>
      </c>
      <c r="AQ1415"/>
      <c r="AR1415" t="inlineStr">
        <is>
          <t>Free Job Portal</t>
        </is>
      </c>
      <c r="AS1415" t="inlineStr">
        <is>
          <t>- Headcount: 1
- Hiring Job Details: 1 video editor
- Hiring Urgency: Hiring Now
- Number of outlets: Not specified
- Have recruiter team: No, I don't need at all
- Number of recruiter in company: 0
- Have ATS system: No, I don't need at all
- Have career website: No, I don't need at all
- Current hiring budget: RM1,200.00
- Whole year budget: Not specified
- Whole year number of vacancies: Not specified
- Hiring frequency: Once a year (25%)
- External job portal: Free Job Portal</t>
        </is>
      </c>
      <c r="AT1415">
        <v>95</v>
      </c>
      <c r="AU1415" t="inlineStr">
        <is>
          <t>0.95</t>
        </is>
      </c>
      <c r="AV1415" t="inlineStr">
        <is>
          <t>15</t>
        </is>
      </c>
      <c r="AW1415" t="inlineStr">
        <is>
          <t>0</t>
        </is>
      </c>
      <c r="AX1415" t="inlineStr">
        <is>
          <t>Not Qualified</t>
        </is>
      </c>
      <c r="AY1415" s="4"/>
      <c r="AZ1415"/>
      <c r="BA1415"/>
      <c r="BB1415"/>
      <c r="BC1415"/>
      <c r="BD1415" s="4"/>
      <c r="BE1415"/>
      <c r="BF1415"/>
      <c r="BG1415" t="inlineStr">
        <is>
          <t>Reschedule</t>
        </is>
      </c>
      <c r="BH1415" t="inlineStr">
        <is>
          <t>Fauziah Maharan</t>
        </is>
      </c>
      <c r="BI1415"/>
      <c r="BJ1415" s="4">
        <v>46144.75587962963</v>
      </c>
      <c r="BK1415" s="4">
        <v>46133.792719907404</v>
      </c>
      <c r="BL1415"/>
      <c r="BM1415"/>
      <c r="BN1415"/>
      <c r="BO1415" s="4"/>
      <c r="BP1415">
        <v>168303</v>
      </c>
      <c r="BQ1415"/>
      <c r="BR1415"/>
      <c r="BS1415"/>
      <c r="BT1415"/>
      <c r="BU1415"/>
      <c r="BV1415"/>
      <c r="BW1415"/>
      <c r="BX1415"/>
      <c r="BY1415"/>
      <c r="BZ1415" s="4"/>
      <c r="CA1415"/>
      <c r="CB1415"/>
      <c r="CC1415" s="4"/>
      <c r="CD1415" t="inlineStr">
        <is>
          <t>20</t>
        </is>
      </c>
      <c r="CE1415" t="inlineStr">
        <is>
          <t>0</t>
        </is>
      </c>
      <c r="CF1415" t="inlineStr">
        <is>
          <t>Q2-W03</t>
        </is>
      </c>
      <c r="CG1415"/>
      <c r="CH1415"/>
      <c r="CI1415"/>
      <c r="CJ1415" t="inlineStr">
        <is>
          <t>No Paid</t>
        </is>
      </c>
      <c r="CK1415" t="inlineStr">
        <is>
          <t>Not Eligible</t>
        </is>
      </c>
      <c r="CL1415"/>
      <c r="CM1415"/>
    </row>
    <row r="1416" ht="25.5" customHeight="1">
      <c r="A1416" t="inlineStr">
        <is>
          <t>4313798</t>
        </is>
      </c>
      <c r="B1416" s="2"/>
      <c r="C1416"/>
      <c r="D1416" s="3">
        <v>46134.65991898148</v>
      </c>
      <c r="E1416" t="inlineStr">
        <is>
          <t>Q2-W03</t>
        </is>
      </c>
      <c r="F1416" t="inlineStr">
        <is>
          <t>Ratha</t>
        </is>
      </c>
      <c r="G1416" t="inlineStr">
        <is>
          <t>Lead</t>
        </is>
      </c>
      <c r="H1416" s="2" t="str">
        <f>=HYPERLINK("https://upbox.ajobthing.my/leads/4313798", "https://upbox.ajobthing.my/leads/4313798")</f>
        <v>https://upbox.ajobthing.my/leads/4313798</v>
      </c>
      <c r="I1416" t="inlineStr">
        <is>
          <t>JX MEDIA SDN BHD</t>
        </is>
      </c>
      <c r="J1416"/>
      <c r="K1416" t="inlineStr">
        <is>
          <t>Ratha</t>
        </is>
      </c>
      <c r="L1416" s="4"/>
      <c r="M1416" s="4">
        <v>46134.66181712963</v>
      </c>
      <c r="N1416"/>
      <c r="O1416">
        <v>3672</v>
      </c>
      <c r="P1416" s="4"/>
      <c r="Q1416" s="4"/>
      <c r="R1416"/>
      <c r="S1416"/>
      <c r="T1416" s="4"/>
      <c r="U1416" s="4"/>
      <c r="V1416"/>
      <c r="W1416"/>
      <c r="X1416"/>
      <c r="Y1416" t="inlineStr">
        <is>
          <t>Pending Appointment</t>
        </is>
      </c>
      <c r="Z1416" t="inlineStr">
        <is>
          <t>Hiring Now</t>
        </is>
      </c>
      <c r="AA1416">
        <v>6</v>
      </c>
      <c r="AB1416" t="inlineStr">
        <is>
          <t>No Appointment Made</t>
        </is>
      </c>
      <c r="AC1416"/>
      <c r="AD1416" t="inlineStr">
        <is>
          <t>HR : 6
Location : KL</t>
        </is>
      </c>
      <c r="AE1416"/>
      <c r="AF1416"/>
      <c r="AG1416" s="4"/>
      <c r="AH1416" s="4"/>
      <c r="AI1416">
        <v>0</v>
      </c>
      <c r="AJ1416">
        <v>1</v>
      </c>
      <c r="AK1416" t="inlineStr">
        <is>
          <t>Yes, I have</t>
        </is>
      </c>
      <c r="AL1416">
        <v>2</v>
      </c>
      <c r="AM1416" t="inlineStr">
        <is>
          <t>No, I don't need at all</t>
        </is>
      </c>
      <c r="AN1416"/>
      <c r="AO1416" t="inlineStr">
        <is>
          <t>No, I don't need at all</t>
        </is>
      </c>
      <c r="AP1416" t="inlineStr">
        <is>
          <t>Once per quarter (75%)</t>
        </is>
      </c>
      <c r="AQ1416">
        <v>0</v>
      </c>
      <c r="AR1416" t="inlineStr">
        <is>
          <t>Free Job Portal</t>
        </is>
      </c>
      <c r="AS1416" t="inlineStr">
        <is>
          <t>- Headcount: 6
- Hiring Job Details: 6 HR
- Hiring Urgency: Hiring Now
- Number of outlets: 1
- Have recruiter team: Yes
- Number of recruiter in company: 2
- Have ATS system: No, I don't need at all
- Have career website: No, I don't need at all
- Current hiring budget: RM (not specified)
- Whole year budget: RM0.00
- Whole year number of vacancies: 0
- Hiring frequency: Once per quarter (75%)
- External job portal: Free Job Portal</t>
        </is>
      </c>
      <c r="AT1416">
        <v>95</v>
      </c>
      <c r="AU1416" t="inlineStr">
        <is>
          <t>0.95</t>
        </is>
      </c>
      <c r="AV1416" t="inlineStr">
        <is>
          <t>10</t>
        </is>
      </c>
      <c r="AW1416" t="inlineStr">
        <is>
          <t>0</t>
        </is>
      </c>
      <c r="AX1416" t="inlineStr">
        <is>
          <t>Not Qualified</t>
        </is>
      </c>
      <c r="AY1416" s="4"/>
      <c r="AZ1416"/>
      <c r="BA1416"/>
      <c r="BB1416"/>
      <c r="BC1416"/>
      <c r="BD1416" s="4"/>
      <c r="BE1416"/>
      <c r="BF1416"/>
      <c r="BG1416" t="inlineStr">
        <is>
          <t>Reschedule</t>
        </is>
      </c>
      <c r="BH1416" t="inlineStr">
        <is>
          <t>Fauziah Maharan</t>
        </is>
      </c>
      <c r="BI1416"/>
      <c r="BJ1416" s="4">
        <v>46144.755902777775</v>
      </c>
      <c r="BK1416" s="4">
        <v>46134.64293981482</v>
      </c>
      <c r="BL1416"/>
      <c r="BM1416"/>
      <c r="BN1416"/>
      <c r="BO1416" s="4"/>
      <c r="BP1416">
        <v>168360</v>
      </c>
      <c r="BQ1416"/>
      <c r="BR1416"/>
      <c r="BS1416"/>
      <c r="BT1416"/>
      <c r="BU1416"/>
      <c r="BV1416"/>
      <c r="BW1416"/>
      <c r="BX1416"/>
      <c r="BY1416"/>
      <c r="BZ1416" s="4"/>
      <c r="CA1416"/>
      <c r="CB1416"/>
      <c r="CC1416" s="4"/>
      <c r="CD1416" t="inlineStr">
        <is>
          <t>15</t>
        </is>
      </c>
      <c r="CE1416" t="inlineStr">
        <is>
          <t>0</t>
        </is>
      </c>
      <c r="CF1416" t="inlineStr">
        <is>
          <t>Q2-W03</t>
        </is>
      </c>
      <c r="CG1416"/>
      <c r="CH1416"/>
      <c r="CI1416"/>
      <c r="CJ1416" t="inlineStr">
        <is>
          <t>No Paid</t>
        </is>
      </c>
      <c r="CK1416" t="inlineStr">
        <is>
          <t>Not Eligible</t>
        </is>
      </c>
      <c r="CL1416"/>
      <c r="CM1416"/>
    </row>
    <row r="1417" ht="25.5" customHeight="1">
      <c r="A1417" t="inlineStr">
        <is>
          <t>4313702</t>
        </is>
      </c>
      <c r="B1417" s="2"/>
      <c r="C1417"/>
      <c r="D1417" s="3">
        <v>46134.70369212963</v>
      </c>
      <c r="E1417" t="inlineStr">
        <is>
          <t>Q2-W03</t>
        </is>
      </c>
      <c r="F1417" t="inlineStr">
        <is>
          <t>Luqman</t>
        </is>
      </c>
      <c r="G1417" t="inlineStr">
        <is>
          <t>Lead</t>
        </is>
      </c>
      <c r="H1417" s="2" t="str">
        <f>=HYPERLINK("https://upbox.ajobthing.my/leads/4313702", "https://upbox.ajobthing.my/leads/4313702")</f>
        <v>https://upbox.ajobthing.my/leads/4313702</v>
      </c>
      <c r="I1417" t="inlineStr">
        <is>
          <t>ADINDA BERKAT RESOURCES</t>
        </is>
      </c>
      <c r="J1417"/>
      <c r="K1417" t="inlineStr">
        <is>
          <t>Luqman</t>
        </is>
      </c>
      <c r="L1417" s="4"/>
      <c r="M1417" s="4">
        <v>46134.70525462963</v>
      </c>
      <c r="N1417"/>
      <c r="O1417">
        <v>864</v>
      </c>
      <c r="P1417" s="4"/>
      <c r="Q1417" s="4"/>
      <c r="R1417"/>
      <c r="S1417"/>
      <c r="T1417" s="4"/>
      <c r="U1417" s="4"/>
      <c r="V1417"/>
      <c r="W1417"/>
      <c r="X1417"/>
      <c r="Y1417" t="inlineStr">
        <is>
          <t>Pending Appointment</t>
        </is>
      </c>
      <c r="Z1417" t="inlineStr">
        <is>
          <t>Hiring Now</t>
        </is>
      </c>
      <c r="AA1417">
        <v>1</v>
      </c>
      <c r="AB1417" t="inlineStr">
        <is>
          <t>No Appointment Made</t>
        </is>
      </c>
      <c r="AC1417"/>
      <c r="AD1417" t="inlineStr">
        <is>
          <t xml:space="preserve">1. Spa </t>
        </is>
      </c>
      <c r="AE1417"/>
      <c r="AF1417">
        <v>1200</v>
      </c>
      <c r="AG1417" s="4"/>
      <c r="AH1417" s="4"/>
      <c r="AI1417">
        <v>1200</v>
      </c>
      <c r="AJ1417"/>
      <c r="AK1417" t="inlineStr">
        <is>
          <t>No, I don't need at all</t>
        </is>
      </c>
      <c r="AL1417">
        <v>1</v>
      </c>
      <c r="AM1417" t="inlineStr">
        <is>
          <t>No, I don't need at all</t>
        </is>
      </c>
      <c r="AN1417"/>
      <c r="AO1417" t="inlineStr">
        <is>
          <t>No, I don't need at all</t>
        </is>
      </c>
      <c r="AP1417" t="inlineStr">
        <is>
          <t>Twice a year (50%)</t>
        </is>
      </c>
      <c r="AQ1417">
        <v>2</v>
      </c>
      <c r="AR1417" t="inlineStr">
        <is>
          <t>Free Job Portal</t>
        </is>
      </c>
      <c r="AS1417" t="inlineStr">
        <is>
          <t>- Headcount: 1
- Hiring Job Details: 1 Spa
- Hiring Urgency: Hiring Now
- Number of outlets: 
- Have recruiter team: No, I don't need at all
- Number of recruiter in company: 1
- Have ATS system: No, I don't need at all
- Have career website: No, I don't need at all
- Current hiring budget: RM1,200
- Whole year budget: RM1,200.00
- Whole year number of vacancies: 2
- Hiring frequency: Twice a year (50%)
- External job portal: Free Job Portal</t>
        </is>
      </c>
      <c r="AT1417">
        <v>95</v>
      </c>
      <c r="AU1417" t="inlineStr">
        <is>
          <t>0.95</t>
        </is>
      </c>
      <c r="AV1417" t="inlineStr">
        <is>
          <t>15</t>
        </is>
      </c>
      <c r="AW1417" t="inlineStr">
        <is>
          <t>0</t>
        </is>
      </c>
      <c r="AX1417" t="inlineStr">
        <is>
          <t>Not Qualified</t>
        </is>
      </c>
      <c r="AY1417" s="4"/>
      <c r="AZ1417"/>
      <c r="BA1417"/>
      <c r="BB1417"/>
      <c r="BC1417"/>
      <c r="BD1417" s="4"/>
      <c r="BE1417"/>
      <c r="BF1417"/>
      <c r="BG1417" t="inlineStr">
        <is>
          <t>Reschedule</t>
        </is>
      </c>
      <c r="BH1417" t="inlineStr">
        <is>
          <t>Edward Hoo</t>
        </is>
      </c>
      <c r="BI1417"/>
      <c r="BJ1417" s="4">
        <v>46144.755902777775</v>
      </c>
      <c r="BK1417" s="4">
        <v>46134.62001157407</v>
      </c>
      <c r="BL1417"/>
      <c r="BM1417"/>
      <c r="BN1417"/>
      <c r="BO1417" s="4"/>
      <c r="BP1417">
        <v>168384</v>
      </c>
      <c r="BQ1417"/>
      <c r="BR1417"/>
      <c r="BS1417"/>
      <c r="BT1417"/>
      <c r="BU1417"/>
      <c r="BV1417"/>
      <c r="BW1417"/>
      <c r="BX1417"/>
      <c r="BY1417"/>
      <c r="BZ1417" s="4"/>
      <c r="CA1417"/>
      <c r="CB1417"/>
      <c r="CC1417" s="4"/>
      <c r="CD1417" t="inlineStr">
        <is>
          <t>20</t>
        </is>
      </c>
      <c r="CE1417" t="inlineStr">
        <is>
          <t>0</t>
        </is>
      </c>
      <c r="CF1417" t="inlineStr">
        <is>
          <t>Q2-W03</t>
        </is>
      </c>
      <c r="CG1417"/>
      <c r="CH1417"/>
      <c r="CI1417"/>
      <c r="CJ1417" t="inlineStr">
        <is>
          <t>No Paid</t>
        </is>
      </c>
      <c r="CK1417" t="inlineStr">
        <is>
          <t>Not Eligible</t>
        </is>
      </c>
      <c r="CL1417"/>
      <c r="CM1417"/>
    </row>
    <row r="1418" ht="25.5" customHeight="1">
      <c r="A1418" t="inlineStr">
        <is>
          <t>4070608</t>
        </is>
      </c>
      <c r="B1418" s="2"/>
      <c r="C1418"/>
      <c r="D1418" s="3">
        <v>46134.74493055556</v>
      </c>
      <c r="E1418" t="inlineStr">
        <is>
          <t>Q2-W03</t>
        </is>
      </c>
      <c r="F1418" t="inlineStr">
        <is>
          <t>Josh</t>
        </is>
      </c>
      <c r="G1418" t="inlineStr">
        <is>
          <t>Lead</t>
        </is>
      </c>
      <c r="H1418" s="2" t="str">
        <f>=HYPERLINK("https://upbox.ajobthing.my/leads/4070608", "https://upbox.ajobthing.my/leads/4070608")</f>
        <v>https://upbox.ajobthing.my/leads/4070608</v>
      </c>
      <c r="I1418" t="inlineStr">
        <is>
          <t xml:space="preserve">Restoran Sri Kumaran </t>
        </is>
      </c>
      <c r="J1418"/>
      <c r="K1418" t="inlineStr">
        <is>
          <t>Josh</t>
        </is>
      </c>
      <c r="L1418" s="4"/>
      <c r="M1418" s="4">
        <v>46134.74528935185</v>
      </c>
      <c r="N1418"/>
      <c r="O1418">
        <v>4968</v>
      </c>
      <c r="P1418" s="4"/>
      <c r="Q1418" s="4"/>
      <c r="R1418"/>
      <c r="S1418"/>
      <c r="T1418" s="4"/>
      <c r="U1418" s="4"/>
      <c r="V1418"/>
      <c r="W1418"/>
      <c r="X1418"/>
      <c r="Y1418" t="inlineStr">
        <is>
          <t>Pending Appointment</t>
        </is>
      </c>
      <c r="Z1418" t="inlineStr">
        <is>
          <t>Hiring Later</t>
        </is>
      </c>
      <c r="AA1418">
        <v>1</v>
      </c>
      <c r="AB1418" t="inlineStr">
        <is>
          <t>No Appointment Made</t>
        </is>
      </c>
      <c r="AC1418"/>
      <c r="AD1418" t="inlineStr">
        <is>
          <t xml:space="preserve">1 crew </t>
        </is>
      </c>
      <c r="AE1418"/>
      <c r="AF1418">
        <v>3000</v>
      </c>
      <c r="AG1418" s="4"/>
      <c r="AH1418" s="4"/>
      <c r="AI1418"/>
      <c r="AJ1418"/>
      <c r="AK1418" t="inlineStr">
        <is>
          <t>Yes, I have</t>
        </is>
      </c>
      <c r="AL1418"/>
      <c r="AM1418"/>
      <c r="AN1418"/>
      <c r="AO1418"/>
      <c r="AP1418" t="inlineStr">
        <is>
          <t>Once a year (25%)</t>
        </is>
      </c>
      <c r="AQ1418"/>
      <c r="AR1418"/>
      <c r="AS1418" t="inlineStr">
        <is>
          <t>- Headcount: 1
- Hiring Job Details: 1 crew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
- Hiring Urgency: Hiring Later</t>
        </is>
      </c>
      <c r="AT1418">
        <v>35</v>
      </c>
      <c r="AU1418" t="inlineStr">
        <is>
          <t>0.35</t>
        </is>
      </c>
      <c r="AV1418" t="inlineStr">
        <is>
          <t>15</t>
        </is>
      </c>
      <c r="AW1418" t="inlineStr">
        <is>
          <t>0</t>
        </is>
      </c>
      <c r="AX1418" t="inlineStr">
        <is>
          <t>Not Qualified</t>
        </is>
      </c>
      <c r="AY1418" s="4"/>
      <c r="AZ1418"/>
      <c r="BA1418"/>
      <c r="BB1418"/>
      <c r="BC1418"/>
      <c r="BD1418" s="4"/>
      <c r="BE1418"/>
      <c r="BF1418"/>
      <c r="BG1418" t="inlineStr">
        <is>
          <t>Reschedule</t>
        </is>
      </c>
      <c r="BH1418" t="inlineStr">
        <is>
          <t>Fauziah Maharan</t>
        </is>
      </c>
      <c r="BI1418"/>
      <c r="BJ1418" s="4">
        <v>46144.75530092593</v>
      </c>
      <c r="BK1418" s="4">
        <v>46065.89042824074</v>
      </c>
      <c r="BL1418"/>
      <c r="BM1418"/>
      <c r="BN1418"/>
      <c r="BO1418" s="4"/>
      <c r="BP1418">
        <v>168413</v>
      </c>
      <c r="BQ1418"/>
      <c r="BR1418"/>
      <c r="BS1418"/>
      <c r="BT1418"/>
      <c r="BU1418"/>
      <c r="BV1418"/>
      <c r="BW1418"/>
      <c r="BX1418"/>
      <c r="BY1418"/>
      <c r="BZ1418" s="4"/>
      <c r="CA1418"/>
      <c r="CB1418"/>
      <c r="CC1418" s="4"/>
      <c r="CD1418" t="inlineStr">
        <is>
          <t>20</t>
        </is>
      </c>
      <c r="CE1418" t="inlineStr">
        <is>
          <t>0</t>
        </is>
      </c>
      <c r="CF1418" t="inlineStr">
        <is>
          <t>Q2-W03</t>
        </is>
      </c>
      <c r="CG1418"/>
      <c r="CH1418"/>
      <c r="CI1418"/>
      <c r="CJ1418" t="inlineStr">
        <is>
          <t>No Paid</t>
        </is>
      </c>
      <c r="CK1418" t="inlineStr">
        <is>
          <t>Not Eligible</t>
        </is>
      </c>
      <c r="CL1418"/>
      <c r="CM1418"/>
    </row>
    <row r="1419" ht="25.5" customHeight="1">
      <c r="A1419" t="inlineStr">
        <is>
          <t>4130688</t>
        </is>
      </c>
      <c r="B1419" s="2"/>
      <c r="C1419"/>
      <c r="D1419" s="3">
        <v>46135.61858796296</v>
      </c>
      <c r="E1419" t="inlineStr">
        <is>
          <t>Q2-W03</t>
        </is>
      </c>
      <c r="F1419" t="inlineStr">
        <is>
          <t>Josh</t>
        </is>
      </c>
      <c r="G1419" t="inlineStr">
        <is>
          <t>Lead</t>
        </is>
      </c>
      <c r="H1419" s="2" t="str">
        <f>=HYPERLINK("https://upbox.ajobthing.my/leads/4130688", "https://upbox.ajobthing.my/leads/4130688")</f>
        <v>https://upbox.ajobthing.my/leads/4130688</v>
      </c>
      <c r="I1419" t="inlineStr">
        <is>
          <t>MEXX CARE SDN BHD</t>
        </is>
      </c>
      <c r="J1419"/>
      <c r="K1419" t="inlineStr">
        <is>
          <t>Josh</t>
        </is>
      </c>
      <c r="L1419" s="4"/>
      <c r="M1419" s="4">
        <v>46135.618784722225</v>
      </c>
      <c r="N1419"/>
      <c r="O1419">
        <v>6048</v>
      </c>
      <c r="P1419" s="4"/>
      <c r="Q1419" s="4"/>
      <c r="R1419"/>
      <c r="S1419"/>
      <c r="T1419" s="4"/>
      <c r="U1419" s="4"/>
      <c r="V1419"/>
      <c r="W1419"/>
      <c r="X1419"/>
      <c r="Y1419" t="inlineStr">
        <is>
          <t>Pending Appointment</t>
        </is>
      </c>
      <c r="Z1419" t="inlineStr">
        <is>
          <t>Hiring Later</t>
        </is>
      </c>
      <c r="AA1419">
        <v>1</v>
      </c>
      <c r="AB1419" t="inlineStr">
        <is>
          <t>No Appointment Made</t>
        </is>
      </c>
      <c r="AC1419"/>
      <c r="AD1419" t="inlineStr">
        <is>
          <t xml:space="preserve">1 sales </t>
        </is>
      </c>
      <c r="AE1419"/>
      <c r="AF1419">
        <v>3000</v>
      </c>
      <c r="AG1419" s="4"/>
      <c r="AH1419" s="4"/>
      <c r="AI1419"/>
      <c r="AJ1419"/>
      <c r="AK1419" t="inlineStr">
        <is>
          <t>Yes, I have</t>
        </is>
      </c>
      <c r="AL1419"/>
      <c r="AM1419"/>
      <c r="AN1419"/>
      <c r="AO1419"/>
      <c r="AP1419" t="inlineStr">
        <is>
          <t>Once a year (25%)</t>
        </is>
      </c>
      <c r="AQ1419"/>
      <c r="AR1419"/>
      <c r="AS1419" t="inlineStr">
        <is>
          <t>- Headcount: 1
- Hiring Job Details: 1 sales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
- Hiring Urgency: Hiring Later</t>
        </is>
      </c>
      <c r="AT1419">
        <v>75</v>
      </c>
      <c r="AU1419" t="inlineStr">
        <is>
          <t>0.75</t>
        </is>
      </c>
      <c r="AV1419" t="inlineStr">
        <is>
          <t>15</t>
        </is>
      </c>
      <c r="AW1419" t="inlineStr">
        <is>
          <t>0</t>
        </is>
      </c>
      <c r="AX1419" t="inlineStr">
        <is>
          <t>Not Qualified</t>
        </is>
      </c>
      <c r="AY1419" s="4"/>
      <c r="AZ1419"/>
      <c r="BA1419"/>
      <c r="BB1419"/>
      <c r="BC1419"/>
      <c r="BD1419" s="4"/>
      <c r="BE1419"/>
      <c r="BF1419"/>
      <c r="BG1419" t="inlineStr">
        <is>
          <t>Reschedule</t>
        </is>
      </c>
      <c r="BH1419" t="inlineStr">
        <is>
          <t>Fauziah Maharan</t>
        </is>
      </c>
      <c r="BI1419"/>
      <c r="BJ1419" s="4">
        <v>46144.75543981481</v>
      </c>
      <c r="BK1419" s="4">
        <v>46086.49949074074</v>
      </c>
      <c r="BL1419"/>
      <c r="BM1419"/>
      <c r="BN1419"/>
      <c r="BO1419" s="4"/>
      <c r="BP1419">
        <v>168574</v>
      </c>
      <c r="BQ1419"/>
      <c r="BR1419"/>
      <c r="BS1419"/>
      <c r="BT1419"/>
      <c r="BU1419"/>
      <c r="BV1419"/>
      <c r="BW1419"/>
      <c r="BX1419"/>
      <c r="BY1419"/>
      <c r="BZ1419" s="4"/>
      <c r="CA1419"/>
      <c r="CB1419"/>
      <c r="CC1419" s="4"/>
      <c r="CD1419" t="inlineStr">
        <is>
          <t>20</t>
        </is>
      </c>
      <c r="CE1419" t="inlineStr">
        <is>
          <t>0</t>
        </is>
      </c>
      <c r="CF1419" t="inlineStr">
        <is>
          <t>Q2-W03</t>
        </is>
      </c>
      <c r="CG1419"/>
      <c r="CH1419"/>
      <c r="CI1419"/>
      <c r="CJ1419" t="inlineStr">
        <is>
          <t>No Paid</t>
        </is>
      </c>
      <c r="CK1419" t="inlineStr">
        <is>
          <t>Not Eligible</t>
        </is>
      </c>
      <c r="CL1419"/>
      <c r="CM1419"/>
    </row>
    <row r="1420" ht="25.5" customHeight="1">
      <c r="A1420" t="inlineStr">
        <is>
          <t>4313987</t>
        </is>
      </c>
      <c r="B1420" s="2"/>
      <c r="C1420"/>
      <c r="D1420" s="3">
        <v>46135.62579861111</v>
      </c>
      <c r="E1420" t="inlineStr">
        <is>
          <t>Q2-W03</t>
        </is>
      </c>
      <c r="F1420" t="inlineStr">
        <is>
          <t>Angel  Low</t>
        </is>
      </c>
      <c r="G1420" t="inlineStr">
        <is>
          <t>Lead</t>
        </is>
      </c>
      <c r="H1420" s="2" t="str">
        <f>=HYPERLINK("https://upbox.ajobthing.my/leads/4313987", "https://upbox.ajobthing.my/leads/4313987")</f>
        <v>https://upbox.ajobthing.my/leads/4313987</v>
      </c>
      <c r="I1420" t="inlineStr">
        <is>
          <t xml:space="preserve">Reset integrative health SDN BHD  </t>
        </is>
      </c>
      <c r="J1420"/>
      <c r="K1420" t="inlineStr">
        <is>
          <t>Angel Low</t>
        </is>
      </c>
      <c r="L1420" s="4"/>
      <c r="M1420" s="4">
        <v>46135.62667824074</v>
      </c>
      <c r="N1420"/>
      <c r="O1420">
        <v>3672</v>
      </c>
      <c r="P1420" s="4"/>
      <c r="Q1420" s="4"/>
      <c r="R1420"/>
      <c r="S1420"/>
      <c r="T1420" s="4"/>
      <c r="U1420" s="4"/>
      <c r="V1420"/>
      <c r="W1420"/>
      <c r="X1420"/>
      <c r="Y1420" t="inlineStr">
        <is>
          <t>Pending Appointment</t>
        </is>
      </c>
      <c r="Z1420"/>
      <c r="AA1420">
        <v>1</v>
      </c>
      <c r="AB1420" t="inlineStr">
        <is>
          <t>No Appointment Made</t>
        </is>
      </c>
      <c r="AC1420"/>
      <c r="AD1420" t="inlineStr">
        <is>
          <t>1 marketer mandarin speaker</t>
        </is>
      </c>
      <c r="AE1420"/>
      <c r="AF1420"/>
      <c r="AG1420" s="4"/>
      <c r="AH1420" s="4"/>
      <c r="AI1420"/>
      <c r="AJ1420"/>
      <c r="AK1420"/>
      <c r="AL1420"/>
      <c r="AM1420"/>
      <c r="AN1420"/>
      <c r="AO1420"/>
      <c r="AP1420"/>
      <c r="AQ1420"/>
      <c r="AR1420"/>
      <c r="AS1420" t="inlineStr">
        <is>
          <t>- Headcount: 1
- Hiring Job Details: 1 mandarin speaker marketer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420">
        <v>65</v>
      </c>
      <c r="AU1420" t="inlineStr">
        <is>
          <t>0.65</t>
        </is>
      </c>
      <c r="AV1420" t="inlineStr">
        <is>
          <t>5</t>
        </is>
      </c>
      <c r="AW1420" t="inlineStr">
        <is>
          <t>0</t>
        </is>
      </c>
      <c r="AX1420" t="inlineStr">
        <is>
          <t>Not Qualified</t>
        </is>
      </c>
      <c r="AY1420" s="4"/>
      <c r="AZ1420"/>
      <c r="BA1420"/>
      <c r="BB1420"/>
      <c r="BC1420"/>
      <c r="BD1420" s="4"/>
      <c r="BE1420"/>
      <c r="BF1420"/>
      <c r="BG1420" t="inlineStr">
        <is>
          <t>Reschedule</t>
        </is>
      </c>
      <c r="BH1420" t="inlineStr">
        <is>
          <t>Fauziah Maharan</t>
        </is>
      </c>
      <c r="BI1420"/>
      <c r="BJ1420" s="4">
        <v>46144.755902777775</v>
      </c>
      <c r="BK1420" s="4">
        <v>46134.81396990741</v>
      </c>
      <c r="BL1420"/>
      <c r="BM1420"/>
      <c r="BN1420"/>
      <c r="BO1420" s="4"/>
      <c r="BP1420">
        <v>168585</v>
      </c>
      <c r="BQ1420"/>
      <c r="BR1420"/>
      <c r="BS1420"/>
      <c r="BT1420"/>
      <c r="BU1420"/>
      <c r="BV1420"/>
      <c r="BW1420"/>
      <c r="BX1420"/>
      <c r="BY1420"/>
      <c r="BZ1420" s="4"/>
      <c r="CA1420"/>
      <c r="CB1420"/>
      <c r="CC1420" s="4"/>
      <c r="CD1420" t="inlineStr">
        <is>
          <t>5</t>
        </is>
      </c>
      <c r="CE1420" t="inlineStr">
        <is>
          <t>0</t>
        </is>
      </c>
      <c r="CF1420" t="inlineStr">
        <is>
          <t>Q2-W03</t>
        </is>
      </c>
      <c r="CG1420"/>
      <c r="CH1420"/>
      <c r="CI1420"/>
      <c r="CJ1420" t="inlineStr">
        <is>
          <t>No Paid</t>
        </is>
      </c>
      <c r="CK1420" t="inlineStr">
        <is>
          <t>Not Eligible</t>
        </is>
      </c>
      <c r="CL1420"/>
      <c r="CM1420"/>
    </row>
    <row r="1421" ht="25.5" customHeight="1">
      <c r="A1421" t="inlineStr">
        <is>
          <t>4313813</t>
        </is>
      </c>
      <c r="B1421" s="2"/>
      <c r="C1421"/>
      <c r="D1421" s="3">
        <v>46135.677835648145</v>
      </c>
      <c r="E1421" t="inlineStr">
        <is>
          <t>Q2-W03</t>
        </is>
      </c>
      <c r="F1421" t="inlineStr">
        <is>
          <t>Ken Yi</t>
        </is>
      </c>
      <c r="G1421" t="inlineStr">
        <is>
          <t>Lead</t>
        </is>
      </c>
      <c r="H1421" s="2" t="str">
        <f>=HYPERLINK("https://upbox.ajobthing.my/leads/4313813", "https://upbox.ajobthing.my/leads/4313813")</f>
        <v>https://upbox.ajobthing.my/leads/4313813</v>
      </c>
      <c r="I1421" t="inlineStr">
        <is>
          <t>OC Sdn Bhd</t>
        </is>
      </c>
      <c r="J1421"/>
      <c r="K1421" t="inlineStr">
        <is>
          <t>Kenyi</t>
        </is>
      </c>
      <c r="L1421" s="4"/>
      <c r="M1421" s="4">
        <v>46135.67872685185</v>
      </c>
      <c r="N1421"/>
      <c r="O1421">
        <v>3888</v>
      </c>
      <c r="P1421" s="4"/>
      <c r="Q1421" s="4"/>
      <c r="R1421"/>
      <c r="S1421"/>
      <c r="T1421" s="4"/>
      <c r="U1421" s="4"/>
      <c r="V1421"/>
      <c r="W1421"/>
      <c r="X1421"/>
      <c r="Y1421" t="inlineStr">
        <is>
          <t>Pending Appointment</t>
        </is>
      </c>
      <c r="Z1421" t="inlineStr">
        <is>
          <t>Hiring Now</t>
        </is>
      </c>
      <c r="AA1421">
        <v>1</v>
      </c>
      <c r="AB1421" t="inlineStr">
        <is>
          <t>No Appointment Made</t>
        </is>
      </c>
      <c r="AC1421"/>
      <c r="AD1421" t="inlineStr">
        <is>
          <t>Country Manager 1</t>
        </is>
      </c>
      <c r="AE1421"/>
      <c r="AF1421">
        <v>0</v>
      </c>
      <c r="AG1421" s="4"/>
      <c r="AH1421" s="4"/>
      <c r="AI1421">
        <v>0</v>
      </c>
      <c r="AJ1421">
        <v>1</v>
      </c>
      <c r="AK1421" t="inlineStr">
        <is>
          <t>Yes, I have</t>
        </is>
      </c>
      <c r="AL1421">
        <v>1</v>
      </c>
      <c r="AM1421" t="inlineStr">
        <is>
          <t>No, I don't need at all</t>
        </is>
      </c>
      <c r="AN1421"/>
      <c r="AO1421" t="inlineStr">
        <is>
          <t>No, I don't need at all</t>
        </is>
      </c>
      <c r="AP1421" t="inlineStr">
        <is>
          <t>Once a year (25%)</t>
        </is>
      </c>
      <c r="AQ1421">
        <v>1</v>
      </c>
      <c r="AR1421" t="inlineStr">
        <is>
          <t>Did not use any job portal</t>
        </is>
      </c>
      <c r="AS1421" t="inlineStr">
        <is>
          <t>- Headcount: 1
- Hiring Job Details: 1 Country Manager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1421">
        <v>110</v>
      </c>
      <c r="AU1421" t="inlineStr">
        <is>
          <t>1.10</t>
        </is>
      </c>
      <c r="AV1421" t="inlineStr">
        <is>
          <t>15</t>
        </is>
      </c>
      <c r="AW1421" t="inlineStr">
        <is>
          <t>0</t>
        </is>
      </c>
      <c r="AX1421" t="inlineStr">
        <is>
          <t>Not Qualified</t>
        </is>
      </c>
      <c r="AY1421" s="4"/>
      <c r="AZ1421"/>
      <c r="BA1421"/>
      <c r="BB1421"/>
      <c r="BC1421"/>
      <c r="BD1421" s="4"/>
      <c r="BE1421"/>
      <c r="BF1421"/>
      <c r="BG1421" t="inlineStr">
        <is>
          <t>Reschedule</t>
        </is>
      </c>
      <c r="BH1421" t="inlineStr">
        <is>
          <t>Fauziah Maharan</t>
        </is>
      </c>
      <c r="BI1421"/>
      <c r="BJ1421" s="4">
        <v>46144.755902777775</v>
      </c>
      <c r="BK1421" s="4">
        <v>46134.65513888889</v>
      </c>
      <c r="BL1421"/>
      <c r="BM1421"/>
      <c r="BN1421"/>
      <c r="BO1421" s="4"/>
      <c r="BP1421">
        <v>168621</v>
      </c>
      <c r="BQ1421"/>
      <c r="BR1421"/>
      <c r="BS1421"/>
      <c r="BT1421"/>
      <c r="BU1421"/>
      <c r="BV1421"/>
      <c r="BW1421"/>
      <c r="BX1421"/>
      <c r="BY1421"/>
      <c r="BZ1421" s="4"/>
      <c r="CA1421"/>
      <c r="CB1421"/>
      <c r="CC1421" s="4"/>
      <c r="CD1421" t="inlineStr">
        <is>
          <t>20</t>
        </is>
      </c>
      <c r="CE1421" t="inlineStr">
        <is>
          <t>0</t>
        </is>
      </c>
      <c r="CF1421" t="inlineStr">
        <is>
          <t>Q2-W03</t>
        </is>
      </c>
      <c r="CG1421"/>
      <c r="CH1421"/>
      <c r="CI1421"/>
      <c r="CJ1421" t="inlineStr">
        <is>
          <t>No Paid</t>
        </is>
      </c>
      <c r="CK1421" t="inlineStr">
        <is>
          <t>Not Eligible</t>
        </is>
      </c>
      <c r="CL1421"/>
      <c r="CM1421"/>
    </row>
    <row r="1422" ht="25.5" customHeight="1">
      <c r="A1422" t="inlineStr">
        <is>
          <t>840</t>
        </is>
      </c>
      <c r="B1422" s="2"/>
      <c r="C1422"/>
      <c r="D1422" s="3">
        <v>46135.71523148148</v>
      </c>
      <c r="E1422" t="inlineStr">
        <is>
          <t>Q2-W03</t>
        </is>
      </c>
      <c r="F1422" t="inlineStr">
        <is>
          <t>Chia Yee</t>
        </is>
      </c>
      <c r="G1422" t="inlineStr">
        <is>
          <t>Lead</t>
        </is>
      </c>
      <c r="H1422" s="2" t="str">
        <f>=HYPERLINK("https://upbox.ajobthing.my/leads/840", "https://upbox.ajobthing.my/leads/840")</f>
        <v>https://upbox.ajobthing.my/leads/840</v>
      </c>
      <c r="I1422" t="inlineStr">
        <is>
          <t>Sanctuary Health Sdn Bhd</t>
        </is>
      </c>
      <c r="J1422"/>
      <c r="K1422" t="inlineStr">
        <is>
          <t>Chia Yee</t>
        </is>
      </c>
      <c r="L1422" s="4"/>
      <c r="M1422" s="4">
        <v>46135.71579861111</v>
      </c>
      <c r="N1422"/>
      <c r="O1422">
        <v>11448</v>
      </c>
      <c r="P1422" s="4"/>
      <c r="Q1422" s="4"/>
      <c r="R1422"/>
      <c r="S1422"/>
      <c r="T1422" s="4"/>
      <c r="U1422" s="4"/>
      <c r="V1422"/>
      <c r="W1422"/>
      <c r="X1422"/>
      <c r="Y1422" t="inlineStr">
        <is>
          <t>Pending Appointment</t>
        </is>
      </c>
      <c r="Z1422" t="inlineStr">
        <is>
          <t>Hiring Now</t>
        </is>
      </c>
      <c r="AA1422">
        <v>19</v>
      </c>
      <c r="AB1422" t="inlineStr">
        <is>
          <t>No Appointment Made</t>
        </is>
      </c>
      <c r="AC1422"/>
      <c r="AD1422" t="inlineStr">
        <is>
          <t xml:space="preserve">10 Operator, 2  Module machine operator, Technician, 1 Maintenance executive, 2 QC inpector, QA Execitive, Production executive. </t>
        </is>
      </c>
      <c r="AE1422"/>
      <c r="AF1422">
        <v>0</v>
      </c>
      <c r="AG1422" s="4"/>
      <c r="AH1422" s="4"/>
      <c r="AI1422">
        <v>0</v>
      </c>
      <c r="AJ1422">
        <v>1</v>
      </c>
      <c r="AK1422" t="inlineStr">
        <is>
          <t>No, I don't need at all</t>
        </is>
      </c>
      <c r="AL1422">
        <v>1</v>
      </c>
      <c r="AM1422" t="inlineStr">
        <is>
          <t>No, I don't need at all</t>
        </is>
      </c>
      <c r="AN1422"/>
      <c r="AO1422" t="inlineStr">
        <is>
          <t>Yes, I have</t>
        </is>
      </c>
      <c r="AP1422" t="inlineStr">
        <is>
          <t>Once a year (25%)</t>
        </is>
      </c>
      <c r="AQ1422">
        <v>20</v>
      </c>
      <c r="AR1422" t="inlineStr">
        <is>
          <t>Did not use any job portal</t>
        </is>
      </c>
      <c r="AS1422" t="inlineStr">
        <is>
          <t>- Headcount: 19
- Hiring Job Details: 10 Operator, 2 Module machine operator, Technician, 1 Maintenance executive, 2 QC inpector, QA Execitive, Production executive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20
- Hiring frequency: Once a year (25%)
- External job portal: Did not use any job portal</t>
        </is>
      </c>
      <c r="AT1422">
        <v>65</v>
      </c>
      <c r="AU1422" t="inlineStr">
        <is>
          <t>0.65</t>
        </is>
      </c>
      <c r="AV1422" t="inlineStr">
        <is>
          <t>25</t>
        </is>
      </c>
      <c r="AW1422" t="inlineStr">
        <is>
          <t>0</t>
        </is>
      </c>
      <c r="AX1422" t="inlineStr">
        <is>
          <t>Not Qualified</t>
        </is>
      </c>
      <c r="AY1422" s="4"/>
      <c r="AZ1422"/>
      <c r="BA1422"/>
      <c r="BB1422"/>
      <c r="BC1422"/>
      <c r="BD1422" s="4"/>
      <c r="BE1422"/>
      <c r="BF1422"/>
      <c r="BG1422" t="inlineStr">
        <is>
          <t>Reschedule</t>
        </is>
      </c>
      <c r="BH1422" t="inlineStr">
        <is>
          <t>Reagen</t>
        </is>
      </c>
      <c r="BI1422"/>
      <c r="BJ1422" s="4">
        <v>46144.756157407406</v>
      </c>
      <c r="BK1422" s="4">
        <v>43381.45806712963</v>
      </c>
      <c r="BL1422"/>
      <c r="BM1422"/>
      <c r="BN1422"/>
      <c r="BO1422" s="4"/>
      <c r="BP1422">
        <v>168644</v>
      </c>
      <c r="BQ1422"/>
      <c r="BR1422"/>
      <c r="BS1422"/>
      <c r="BT1422"/>
      <c r="BU1422"/>
      <c r="BV1422"/>
      <c r="BW1422"/>
      <c r="BX1422"/>
      <c r="BY1422"/>
      <c r="BZ1422" s="4"/>
      <c r="CA1422"/>
      <c r="CB1422"/>
      <c r="CC1422" s="4"/>
      <c r="CD1422" t="inlineStr">
        <is>
          <t>35</t>
        </is>
      </c>
      <c r="CE1422" t="inlineStr">
        <is>
          <t>0</t>
        </is>
      </c>
      <c r="CF1422" t="inlineStr">
        <is>
          <t>Q2-W03</t>
        </is>
      </c>
      <c r="CG1422"/>
      <c r="CH1422"/>
      <c r="CI1422"/>
      <c r="CJ1422" t="inlineStr">
        <is>
          <t>No Paid</t>
        </is>
      </c>
      <c r="CK1422" t="inlineStr">
        <is>
          <t>Eligible</t>
        </is>
      </c>
      <c r="CL1422"/>
      <c r="CM1422"/>
    </row>
    <row r="1423" ht="25.5" customHeight="1">
      <c r="A1423" t="inlineStr">
        <is>
          <t>182402</t>
        </is>
      </c>
      <c r="B1423" s="2"/>
      <c r="C1423"/>
      <c r="D1423" s="3">
        <v>46122.41532407407</v>
      </c>
      <c r="E1423" t="inlineStr">
        <is>
          <t>Q2-W02</t>
        </is>
      </c>
      <c r="F1423" t="inlineStr">
        <is>
          <t>Derek Lim</t>
        </is>
      </c>
      <c r="G1423" t="inlineStr">
        <is>
          <t>Customer</t>
        </is>
      </c>
      <c r="H1423" s="2" t="str">
        <f>=HYPERLINK("https://upbox.ajobthing.my/customer/182402", "https://upbox.ajobthing.my/customer/182402")</f>
        <v>https://upbox.ajobthing.my/customer/182402</v>
      </c>
      <c r="I1423" t="inlineStr">
        <is>
          <t>JCN Distribution Sdn Bhd</t>
        </is>
      </c>
      <c r="J1423" t="inlineStr">
        <is>
          <t>Dolphin</t>
        </is>
      </c>
      <c r="K1423" t="inlineStr">
        <is>
          <t>Derek Lim</t>
        </is>
      </c>
      <c r="L1423" s="4"/>
      <c r="M1423" s="4">
        <v>46121.73420138889</v>
      </c>
      <c r="N1423"/>
      <c r="O1423">
        <v>6048</v>
      </c>
      <c r="P1423" s="4"/>
      <c r="Q1423" s="4">
        <v>46127.58966435185</v>
      </c>
      <c r="R1423"/>
      <c r="S1423">
        <v>0</v>
      </c>
      <c r="T1423" s="4">
        <v>45947.60555555556</v>
      </c>
      <c r="U1423" s="4"/>
      <c r="V1423"/>
      <c r="W1423">
        <v>3888</v>
      </c>
      <c r="X1423"/>
      <c r="Y1423" t="inlineStr">
        <is>
          <t>Pending Appointment</t>
        </is>
      </c>
      <c r="Z1423" t="inlineStr">
        <is>
          <t>Hiring Now</t>
        </is>
      </c>
      <c r="AA1423">
        <v>1</v>
      </c>
      <c r="AB1423" t="inlineStr">
        <is>
          <t>No Appointment Made</t>
        </is>
      </c>
      <c r="AC1423"/>
      <c r="AD1423" t="inlineStr">
        <is>
          <t>admin - 1</t>
        </is>
      </c>
      <c r="AE1423"/>
      <c r="AF1423">
        <v>1000</v>
      </c>
      <c r="AG1423" s="4"/>
      <c r="AH1423" s="4"/>
      <c r="AI1423">
        <v>2000</v>
      </c>
      <c r="AJ1423">
        <v>1</v>
      </c>
      <c r="AK1423" t="inlineStr">
        <is>
          <t>No, I don't need at all</t>
        </is>
      </c>
      <c r="AL1423">
        <v>0</v>
      </c>
      <c r="AM1423" t="inlineStr">
        <is>
          <t>No, I don't need at all</t>
        </is>
      </c>
      <c r="AN1423"/>
      <c r="AO1423" t="inlineStr">
        <is>
          <t>No, I don't need at all</t>
        </is>
      </c>
      <c r="AP1423" t="inlineStr">
        <is>
          <t>Twice a year (50%)</t>
        </is>
      </c>
      <c r="AQ1423">
        <v>2</v>
      </c>
      <c r="AR1423" t="inlineStr">
        <is>
          <t>Free Job Portal</t>
        </is>
      </c>
      <c r="AS1423"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RM1,000
- Whole year budget: RM2,000.00
- Whole year number of vacancies: 2
- Hiring frequency: Twice a year (50%)
- External job portal: Free Job Portal</t>
        </is>
      </c>
      <c r="AT1423">
        <v>115</v>
      </c>
      <c r="AU1423" t="inlineStr">
        <is>
          <t>1.15</t>
        </is>
      </c>
      <c r="AV1423" t="inlineStr">
        <is>
          <t>15</t>
        </is>
      </c>
      <c r="AW1423" t="inlineStr">
        <is>
          <t>0</t>
        </is>
      </c>
      <c r="AX1423" t="inlineStr">
        <is>
          <t>Not Qualified</t>
        </is>
      </c>
      <c r="AY1423" s="4"/>
      <c r="AZ1423"/>
      <c r="BA1423"/>
      <c r="BB1423"/>
      <c r="BC1423"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RM1,000
- Whole year budget: RM2,000.00
- Whole year number of vacancies: 2
- Hiring frequency: Twice a year (50%)
- External job portal: Free Job Portal</t>
        </is>
      </c>
      <c r="BD1423" s="4">
        <v>46122.41678240741</v>
      </c>
      <c r="BE1423" t="inlineStr">
        <is>
          <t>paid</t>
        </is>
      </c>
      <c r="BF1423"/>
      <c r="BG1423" t="inlineStr">
        <is>
          <t>Reschedule</t>
        </is>
      </c>
      <c r="BH1423" t="inlineStr">
        <is>
          <t>Edward Hoo</t>
        </is>
      </c>
      <c r="BI1423" t="inlineStr">
        <is>
          <t>Electrical / Electronics</t>
        </is>
      </c>
      <c r="BJ1423" s="4">
        <v>46144.751921296294</v>
      </c>
      <c r="BK1423" s="4">
        <v>45540.43835648148</v>
      </c>
      <c r="BL1423" t="inlineStr">
        <is>
          <t>3888.0</t>
        </is>
      </c>
      <c r="BM1423" t="inlineStr">
        <is>
          <t>0.0</t>
        </is>
      </c>
      <c r="BN1423" t="inlineStr">
        <is>
          <t>View Company Page</t>
        </is>
      </c>
      <c r="BO1423" s="4">
        <v>46139.57922453704</v>
      </c>
      <c r="BP1423">
        <v>166304</v>
      </c>
      <c r="BQ1423">
        <v>122504</v>
      </c>
      <c r="BR1423" t="inlineStr">
        <is>
          <t>Proforma</t>
        </is>
      </c>
      <c r="BS1423" t="inlineStr">
        <is>
          <t>Free High Pay Job</t>
        </is>
      </c>
      <c r="BT1423">
        <v>83385</v>
      </c>
      <c r="BU1423"/>
      <c r="BV1423">
        <v>2697332</v>
      </c>
      <c r="BW1423" t="inlineStr">
        <is>
          <t>Customer Inquiry</t>
        </is>
      </c>
      <c r="BX1423">
        <v>6</v>
      </c>
      <c r="BY1423">
        <v>1</v>
      </c>
      <c r="BZ1423" s="4">
        <v>46118.608935185184</v>
      </c>
      <c r="CA1423">
        <v>60</v>
      </c>
      <c r="CB1423">
        <v>35</v>
      </c>
      <c r="CC1423" s="4">
        <v>46132.663831018515</v>
      </c>
      <c r="CD1423" t="inlineStr">
        <is>
          <t>20</t>
        </is>
      </c>
      <c r="CE1423" t="inlineStr">
        <is>
          <t>0</t>
        </is>
      </c>
      <c r="CF1423" t="inlineStr">
        <is>
          <t>Q2-W01</t>
        </is>
      </c>
      <c r="CG1423" t="inlineStr">
        <is>
          <t>Q2-W02</t>
        </is>
      </c>
      <c r="CH1423"/>
      <c r="CI1423"/>
      <c r="CJ1423" t="inlineStr">
        <is>
          <t>Paid</t>
        </is>
      </c>
      <c r="CK1423" t="inlineStr">
        <is>
          <t>Not Eligible</t>
        </is>
      </c>
      <c r="CL1423"/>
      <c r="CM1423"/>
    </row>
    <row r="1424" ht="25.5" customHeight="1">
      <c r="A1424" t="inlineStr">
        <is>
          <t>203069</t>
        </is>
      </c>
      <c r="B1424" s="2"/>
      <c r="C1424"/>
      <c r="D1424" s="3">
        <v>46122.41600694445</v>
      </c>
      <c r="E1424" t="inlineStr">
        <is>
          <t>Q2-W02</t>
        </is>
      </c>
      <c r="F1424" t="inlineStr">
        <is>
          <t>Xin Quan</t>
        </is>
      </c>
      <c r="G1424" t="inlineStr">
        <is>
          <t>Customer</t>
        </is>
      </c>
      <c r="H1424" s="2" t="str">
        <f>=HYPERLINK("https://upbox.ajobthing.my/customer/203069", "https://upbox.ajobthing.my/customer/203069")</f>
        <v>https://upbox.ajobthing.my/customer/203069</v>
      </c>
      <c r="I1424" t="inlineStr">
        <is>
          <t>Innotribe Solutions Sdn Bhd</t>
        </is>
      </c>
      <c r="J1424" t="inlineStr">
        <is>
          <t>Dolphin</t>
        </is>
      </c>
      <c r="K1424" t="inlineStr">
        <is>
          <t>Xin Quan</t>
        </is>
      </c>
      <c r="L1424" s="4"/>
      <c r="M1424" s="4">
        <v>46122.41627314815</v>
      </c>
      <c r="N1424"/>
      <c r="O1424">
        <v>3888</v>
      </c>
      <c r="P1424" s="4"/>
      <c r="Q1424" s="4"/>
      <c r="R1424"/>
      <c r="S1424"/>
      <c r="T1424" s="4"/>
      <c r="U1424" s="4"/>
      <c r="V1424"/>
      <c r="W1424"/>
      <c r="X1424"/>
      <c r="Y1424" t="inlineStr">
        <is>
          <t>Pending Appointment</t>
        </is>
      </c>
      <c r="Z1424" t="inlineStr">
        <is>
          <t>Hiring Now</t>
        </is>
      </c>
      <c r="AA1424">
        <v>2</v>
      </c>
      <c r="AB1424" t="inlineStr">
        <is>
          <t>No Appointment Made</t>
        </is>
      </c>
      <c r="AC1424"/>
      <c r="AD1424" t="inlineStr">
        <is>
          <t>2 Translator , Base in KL</t>
        </is>
      </c>
      <c r="AE1424"/>
      <c r="AF1424">
        <v>4000</v>
      </c>
      <c r="AG1424" s="4"/>
      <c r="AH1424" s="4"/>
      <c r="AI1424">
        <v>48000</v>
      </c>
      <c r="AJ1424">
        <v>1</v>
      </c>
      <c r="AK1424"/>
      <c r="AL1424"/>
      <c r="AM1424"/>
      <c r="AN1424"/>
      <c r="AO1424"/>
      <c r="AP1424"/>
      <c r="AQ1424">
        <v>2</v>
      </c>
      <c r="AR1424"/>
      <c r="AS1424" t="inlineStr">
        <is>
          <t>- Headcount: 2
- Hiring Job Details: 2 Translator,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1424">
        <v>100</v>
      </c>
      <c r="AU1424" t="inlineStr">
        <is>
          <t>1.00</t>
        </is>
      </c>
      <c r="AV1424" t="inlineStr">
        <is>
          <t>15</t>
        </is>
      </c>
      <c r="AW1424" t="inlineStr">
        <is>
          <t>0</t>
        </is>
      </c>
      <c r="AX1424" t="inlineStr">
        <is>
          <t>Not Qualified</t>
        </is>
      </c>
      <c r="AY1424" s="4"/>
      <c r="AZ1424"/>
      <c r="BA1424"/>
      <c r="BB1424"/>
      <c r="BC1424" t="inlineStr">
        <is>
          <t>End</t>
        </is>
      </c>
      <c r="BD1424" s="4">
        <v>46133.41918981481</v>
      </c>
      <c r="BE1424"/>
      <c r="BF1424"/>
      <c r="BG1424" t="inlineStr">
        <is>
          <t>Reschedule</t>
        </is>
      </c>
      <c r="BH1424" t="inlineStr">
        <is>
          <t>Edward Hoo</t>
        </is>
      </c>
      <c r="BI1424"/>
      <c r="BJ1424" s="4">
        <v>46144.754212962966</v>
      </c>
      <c r="BK1424" s="4">
        <v>46122.41478009259</v>
      </c>
      <c r="BL1424" t="inlineStr">
        <is>
          <t>0.0</t>
        </is>
      </c>
      <c r="BM1424" t="inlineStr">
        <is>
          <t>0.0</t>
        </is>
      </c>
      <c r="BN1424"/>
      <c r="BO1424" s="4"/>
      <c r="BP1424">
        <v>166331</v>
      </c>
      <c r="BQ1424"/>
      <c r="BR1424"/>
      <c r="BS1424"/>
      <c r="BT1424"/>
      <c r="BU1424"/>
      <c r="BV1424">
        <v>2717013</v>
      </c>
      <c r="BW1424" t="inlineStr">
        <is>
          <t>Inquire for Hiring Needs : Budget Concern</t>
        </is>
      </c>
      <c r="BX1424"/>
      <c r="BY1424"/>
      <c r="BZ1424" s="4"/>
      <c r="CA1424"/>
      <c r="CB1424"/>
      <c r="CC1424" s="4"/>
      <c r="CD1424" t="inlineStr">
        <is>
          <t>20</t>
        </is>
      </c>
      <c r="CE1424" t="inlineStr">
        <is>
          <t>0</t>
        </is>
      </c>
      <c r="CF1424" t="inlineStr">
        <is>
          <t>Q2-W02</t>
        </is>
      </c>
      <c r="CG1424"/>
      <c r="CH1424"/>
      <c r="CI1424"/>
      <c r="CJ1424" t="inlineStr">
        <is>
          <t>No Paid</t>
        </is>
      </c>
      <c r="CK1424" t="inlineStr">
        <is>
          <t>Not Eligible</t>
        </is>
      </c>
      <c r="CL1424"/>
      <c r="CM1424"/>
    </row>
    <row r="1425" ht="25.5" customHeight="1">
      <c r="A1425" t="inlineStr">
        <is>
          <t>200759</t>
        </is>
      </c>
      <c r="B1425" s="2"/>
      <c r="C1425"/>
      <c r="D1425" s="3">
        <v>46122.41607638889</v>
      </c>
      <c r="E1425" t="inlineStr">
        <is>
          <t>Q2-W02</t>
        </is>
      </c>
      <c r="F1425" t="inlineStr">
        <is>
          <t>Ken Yi</t>
        </is>
      </c>
      <c r="G1425" t="inlineStr">
        <is>
          <t>Customer</t>
        </is>
      </c>
      <c r="H1425" s="2" t="str">
        <f>=HYPERLINK("https://upbox.ajobthing.my/customer/200759", "https://upbox.ajobthing.my/customer/200759")</f>
        <v>https://upbox.ajobthing.my/customer/200759</v>
      </c>
      <c r="I1425" t="inlineStr">
        <is>
          <t>Sin Lian Concrete Sdn Bhd</t>
        </is>
      </c>
      <c r="J1425" t="inlineStr">
        <is>
          <t>Dolphin</t>
        </is>
      </c>
      <c r="K1425" t="inlineStr">
        <is>
          <t>Kenyi</t>
        </is>
      </c>
      <c r="L1425" s="4"/>
      <c r="M1425" s="4">
        <v>46128.44155092593</v>
      </c>
      <c r="N1425"/>
      <c r="O1425">
        <v>3672</v>
      </c>
      <c r="P1425" s="4"/>
      <c r="Q1425" s="4"/>
      <c r="R1425"/>
      <c r="S1425"/>
      <c r="T1425" s="4"/>
      <c r="U1425" s="4"/>
      <c r="V1425"/>
      <c r="W1425"/>
      <c r="X1425"/>
      <c r="Y1425" t="inlineStr">
        <is>
          <t>Pending Appointment</t>
        </is>
      </c>
      <c r="Z1425" t="inlineStr">
        <is>
          <t>Hiring Now</t>
        </is>
      </c>
      <c r="AA1425">
        <v>2</v>
      </c>
      <c r="AB1425" t="inlineStr">
        <is>
          <t>No Appointment Made</t>
        </is>
      </c>
      <c r="AC1425"/>
      <c r="AD1425" t="inlineStr">
        <is>
          <t>HR x2 confirmed</t>
        </is>
      </c>
      <c r="AE1425"/>
      <c r="AF1425">
        <v>5000</v>
      </c>
      <c r="AG1425" s="4"/>
      <c r="AH1425" s="4"/>
      <c r="AI1425">
        <v>5000</v>
      </c>
      <c r="AJ1425">
        <v>3</v>
      </c>
      <c r="AK1425"/>
      <c r="AL1425">
        <v>1</v>
      </c>
      <c r="AM1425" t="inlineStr">
        <is>
          <t>No, I don't need at all</t>
        </is>
      </c>
      <c r="AN1425"/>
      <c r="AO1425" t="inlineStr">
        <is>
          <t>No, I don't need at all</t>
        </is>
      </c>
      <c r="AP1425" t="inlineStr">
        <is>
          <t>Every month (100%)</t>
        </is>
      </c>
      <c r="AQ1425">
        <v>3</v>
      </c>
      <c r="AR1425" t="inlineStr">
        <is>
          <t>Jobstreet, Free Job Portal</t>
        </is>
      </c>
      <c r="AS1425" t="inlineStr">
        <is>
          <t>- Headcount: 2
- Hiring Job Details: HR x2 confirmed
- Hiring Urgency: Hiring Now
- Number of outlets: 3
- Have recruiter team: Not specified
- Number of recruiter in company: 1
- Have ATS system: No, I don't need at all
- Have career website: No, I don't need at all
- Current hiring budget: RM5,000
- Whole year budget: RM5,000.00
- Whole year number of vacancies: 3
- Hiring frequency: Every month (100%)
- External job portal: Jobstreet, Free Job Portal</t>
        </is>
      </c>
      <c r="AT1425">
        <v>115</v>
      </c>
      <c r="AU1425" t="inlineStr">
        <is>
          <t>1.15</t>
        </is>
      </c>
      <c r="AV1425" t="inlineStr">
        <is>
          <t>15</t>
        </is>
      </c>
      <c r="AW1425" t="inlineStr">
        <is>
          <t>0</t>
        </is>
      </c>
      <c r="AX1425" t="inlineStr">
        <is>
          <t>Not Qualified</t>
        </is>
      </c>
      <c r="AY1425" s="4"/>
      <c r="AZ1425"/>
      <c r="BA1425"/>
      <c r="BB1425"/>
      <c r="BC1425" t="inlineStr">
        <is>
          <t>follow up with client and management decision still on the pending proposal</t>
        </is>
      </c>
      <c r="BD1425" s="4">
        <v>46133.6665162037</v>
      </c>
      <c r="BE1425"/>
      <c r="BF1425"/>
      <c r="BG1425" t="inlineStr">
        <is>
          <t>Reschedule</t>
        </is>
      </c>
      <c r="BH1425" t="inlineStr">
        <is>
          <t>Fauziah Maharan</t>
        </is>
      </c>
      <c r="BI1425"/>
      <c r="BJ1425" s="4">
        <v>46142.87862268519</v>
      </c>
      <c r="BK1425" s="4">
        <v>46050.566087962965</v>
      </c>
      <c r="BL1425" t="inlineStr">
        <is>
          <t>0.0</t>
        </is>
      </c>
      <c r="BM1425" t="inlineStr">
        <is>
          <t>0.0</t>
        </is>
      </c>
      <c r="BN1425" t="inlineStr">
        <is>
          <t>View Create Job Page V4</t>
        </is>
      </c>
      <c r="BO1425" s="4">
        <v>46050.57855324074</v>
      </c>
      <c r="BP1425">
        <v>167316</v>
      </c>
      <c r="BQ1425"/>
      <c r="BR1425"/>
      <c r="BS1425"/>
      <c r="BT1425"/>
      <c r="BU1425"/>
      <c r="BV1425">
        <v>2718684</v>
      </c>
      <c r="BW1425" t="inlineStr">
        <is>
          <t>Follow Up : Decision Pending</t>
        </is>
      </c>
      <c r="BX1425"/>
      <c r="BY1425"/>
      <c r="BZ1425" s="4"/>
      <c r="CA1425"/>
      <c r="CB1425"/>
      <c r="CC1425" s="4"/>
      <c r="CD1425" t="inlineStr">
        <is>
          <t>20</t>
        </is>
      </c>
      <c r="CE1425" t="inlineStr">
        <is>
          <t>0</t>
        </is>
      </c>
      <c r="CF1425" t="inlineStr">
        <is>
          <t>Q2-W02</t>
        </is>
      </c>
      <c r="CG1425"/>
      <c r="CH1425"/>
      <c r="CI1425"/>
      <c r="CJ1425" t="inlineStr">
        <is>
          <t>No Paid</t>
        </is>
      </c>
      <c r="CK1425" t="inlineStr">
        <is>
          <t>Not Eligible</t>
        </is>
      </c>
      <c r="CL1425"/>
      <c r="CM1425"/>
    </row>
    <row r="1426" ht="25.5" customHeight="1">
      <c r="A1426" t="inlineStr">
        <is>
          <t>146138</t>
        </is>
      </c>
      <c r="B1426" s="2"/>
      <c r="C1426"/>
      <c r="D1426" s="3">
        <v>46122.419641203705</v>
      </c>
      <c r="E1426" t="inlineStr">
        <is>
          <t>Q2-W02</t>
        </is>
      </c>
      <c r="F1426" t="inlineStr">
        <is>
          <t>Keegan</t>
        </is>
      </c>
      <c r="G1426" t="inlineStr">
        <is>
          <t>Customer</t>
        </is>
      </c>
      <c r="H1426" s="2" t="str">
        <f>=HYPERLINK("https://upbox.ajobthing.my/customer/146138", "https://upbox.ajobthing.my/customer/146138")</f>
        <v>https://upbox.ajobthing.my/customer/146138</v>
      </c>
      <c r="I1426" t="inlineStr">
        <is>
          <t>Leeboh Trading &amp; Transport Sdn Bhd</t>
        </is>
      </c>
      <c r="J1426" t="inlineStr">
        <is>
          <t>Dolphin</t>
        </is>
      </c>
      <c r="K1426" t="inlineStr">
        <is>
          <t>Keegan</t>
        </is>
      </c>
      <c r="L1426" s="4"/>
      <c r="M1426" s="4">
        <v>46140.69236111111</v>
      </c>
      <c r="N1426"/>
      <c r="O1426">
        <v>3576.96</v>
      </c>
      <c r="P1426" s="4"/>
      <c r="Q1426" s="4">
        <v>44728.55431712963</v>
      </c>
      <c r="R1426"/>
      <c r="S1426">
        <v>424</v>
      </c>
      <c r="T1426" s="4">
        <v>44728.55431712963</v>
      </c>
      <c r="U1426" s="4"/>
      <c r="V1426"/>
      <c r="W1426">
        <v>424</v>
      </c>
      <c r="X1426"/>
      <c r="Y1426" t="inlineStr">
        <is>
          <t>Pending Appointment</t>
        </is>
      </c>
      <c r="Z1426" t="inlineStr">
        <is>
          <t>Hiring Now</t>
        </is>
      </c>
      <c r="AA1426">
        <v>1</v>
      </c>
      <c r="AB1426" t="inlineStr">
        <is>
          <t>No Appointment Made</t>
        </is>
      </c>
      <c r="AC1426"/>
      <c r="AD1426" t="inlineStr">
        <is>
          <t xml:space="preserve">1. Driver </t>
        </is>
      </c>
      <c r="AE1426"/>
      <c r="AF1426"/>
      <c r="AG1426" s="4"/>
      <c r="AH1426" s="4"/>
      <c r="AI1426"/>
      <c r="AJ1426">
        <v>1</v>
      </c>
      <c r="AK1426" t="inlineStr">
        <is>
          <t>No, I don't need at all</t>
        </is>
      </c>
      <c r="AL1426">
        <v>0</v>
      </c>
      <c r="AM1426" t="inlineStr">
        <is>
          <t>No, I don't need at all</t>
        </is>
      </c>
      <c r="AN1426"/>
      <c r="AO1426" t="inlineStr">
        <is>
          <t>No, I don't need at all</t>
        </is>
      </c>
      <c r="AP1426" t="inlineStr">
        <is>
          <t>Once per quarter (75%)</t>
        </is>
      </c>
      <c r="AQ1426"/>
      <c r="AR1426" t="inlineStr">
        <is>
          <t>Did not use any job portal</t>
        </is>
      </c>
      <c r="AS1426" t="inlineStr">
        <is>
          <t>- Headcount: 1
- Hiring Job Details: 1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426">
        <v>95</v>
      </c>
      <c r="AU1426" t="inlineStr">
        <is>
          <t>0.95</t>
        </is>
      </c>
      <c r="AV1426" t="inlineStr">
        <is>
          <t>5</t>
        </is>
      </c>
      <c r="AW1426" t="inlineStr">
        <is>
          <t>0</t>
        </is>
      </c>
      <c r="AX1426" t="inlineStr">
        <is>
          <t>Not Qualified</t>
        </is>
      </c>
      <c r="AY1426" s="4"/>
      <c r="AZ1426"/>
      <c r="BA1426"/>
      <c r="BB1426"/>
      <c r="BC1426" t="inlineStr">
        <is>
          <t>Sharing latest labour day promo package to client</t>
        </is>
      </c>
      <c r="BD1426" s="4">
        <v>46140.693715277775</v>
      </c>
      <c r="BE1426" t="inlineStr">
        <is>
          <t>paid</t>
        </is>
      </c>
      <c r="BF1426"/>
      <c r="BG1426" t="inlineStr">
        <is>
          <t>Reschedule</t>
        </is>
      </c>
      <c r="BH1426" t="inlineStr">
        <is>
          <t>Edward Hoo</t>
        </is>
      </c>
      <c r="BI1426" t="inlineStr">
        <is>
          <t>Transportation / Logistics</t>
        </is>
      </c>
      <c r="BJ1426" s="4">
        <v>46144.75077546296</v>
      </c>
      <c r="BK1426" s="4">
        <v>44558.59475694445</v>
      </c>
      <c r="BL1426" t="inlineStr">
        <is>
          <t>0.0</t>
        </is>
      </c>
      <c r="BM1426" t="inlineStr">
        <is>
          <t>0.0</t>
        </is>
      </c>
      <c r="BN1426" t="inlineStr">
        <is>
          <t>View PeopleSearch Page</t>
        </is>
      </c>
      <c r="BO1426" s="4">
        <v>45314.57690972222</v>
      </c>
      <c r="BP1426">
        <v>169333</v>
      </c>
      <c r="BQ1426">
        <v>46506</v>
      </c>
      <c r="BR1426" t="inlineStr">
        <is>
          <t>Online</t>
        </is>
      </c>
      <c r="BS1426"/>
      <c r="BT1426">
        <v>46506</v>
      </c>
      <c r="BU1426"/>
      <c r="BV1426">
        <v>2733516</v>
      </c>
      <c r="BW1426" t="inlineStr">
        <is>
          <t>Inquire for Hiring Needs : Quotation Sent 50%</t>
        </is>
      </c>
      <c r="BX1426"/>
      <c r="BY1426"/>
      <c r="BZ1426" s="4"/>
      <c r="CA1426"/>
      <c r="CB1426"/>
      <c r="CC1426" s="4"/>
      <c r="CD1426" t="inlineStr">
        <is>
          <t>5</t>
        </is>
      </c>
      <c r="CE1426" t="inlineStr">
        <is>
          <t>0</t>
        </is>
      </c>
      <c r="CF1426" t="inlineStr">
        <is>
          <t>Q2-W04</t>
        </is>
      </c>
      <c r="CG1426"/>
      <c r="CH1426"/>
      <c r="CI1426"/>
      <c r="CJ1426" t="inlineStr">
        <is>
          <t>Paid</t>
        </is>
      </c>
      <c r="CK1426" t="inlineStr">
        <is>
          <t>Not Eligible</t>
        </is>
      </c>
      <c r="CL1426"/>
      <c r="CM1426"/>
    </row>
    <row r="1427" ht="25.5" customHeight="1">
      <c r="A1427" t="inlineStr">
        <is>
          <t>4266063</t>
        </is>
      </c>
      <c r="B1427" s="2"/>
      <c r="C1427"/>
      <c r="D1427" s="3">
        <v>46122.424479166664</v>
      </c>
      <c r="E1427" t="inlineStr">
        <is>
          <t>Q2-W02</t>
        </is>
      </c>
      <c r="F1427" t="inlineStr">
        <is>
          <t>Jess</t>
        </is>
      </c>
      <c r="G1427" t="inlineStr">
        <is>
          <t>Lead</t>
        </is>
      </c>
      <c r="H1427" s="2" t="str">
        <f>=HYPERLINK("https://upbox.ajobthing.my/leads/4266063", "https://upbox.ajobthing.my/leads/4266063")</f>
        <v>https://upbox.ajobthing.my/leads/4266063</v>
      </c>
      <c r="I1427" t="inlineStr">
        <is>
          <t>A&amp;W Pavilion Bukit Jalil</t>
        </is>
      </c>
      <c r="J1427" t="inlineStr">
        <is>
          <t>Dolphin</t>
        </is>
      </c>
      <c r="K1427" t="inlineStr">
        <is>
          <t>Jess Lim</t>
        </is>
      </c>
      <c r="L1427" s="4"/>
      <c r="M1427" s="4">
        <v>46122.42581018519</v>
      </c>
      <c r="N1427"/>
      <c r="O1427">
        <v>6048</v>
      </c>
      <c r="P1427" s="4"/>
      <c r="Q1427" s="4"/>
      <c r="R1427"/>
      <c r="S1427"/>
      <c r="T1427" s="4"/>
      <c r="U1427" s="4"/>
      <c r="V1427"/>
      <c r="W1427"/>
      <c r="X1427"/>
      <c r="Y1427" t="inlineStr">
        <is>
          <t>Pending Appointment</t>
        </is>
      </c>
      <c r="Z1427" t="inlineStr">
        <is>
          <t>Hiring Now</t>
        </is>
      </c>
      <c r="AA1427">
        <v>1</v>
      </c>
      <c r="AB1427" t="inlineStr">
        <is>
          <t>No Appointment Made</t>
        </is>
      </c>
      <c r="AC1427"/>
      <c r="AD1427" t="inlineStr">
        <is>
          <t>service crew 1 branch</t>
        </is>
      </c>
      <c r="AE1427"/>
      <c r="AF1427">
        <v>1000</v>
      </c>
      <c r="AG1427" s="4"/>
      <c r="AH1427" s="4"/>
      <c r="AI1427"/>
      <c r="AJ1427">
        <v>1</v>
      </c>
      <c r="AK1427" t="inlineStr">
        <is>
          <t>No, I don't need at all</t>
        </is>
      </c>
      <c r="AL1427">
        <v>1</v>
      </c>
      <c r="AM1427" t="inlineStr">
        <is>
          <t>No, I don't need at all</t>
        </is>
      </c>
      <c r="AN1427"/>
      <c r="AO1427" t="inlineStr">
        <is>
          <t>No, I don't need at all</t>
        </is>
      </c>
      <c r="AP1427" t="inlineStr">
        <is>
          <t>Once a year (25%)</t>
        </is>
      </c>
      <c r="AQ1427"/>
      <c r="AR1427" t="inlineStr">
        <is>
          <t>Jobstreet</t>
        </is>
      </c>
      <c r="AS1427" t="inlineStr">
        <is>
          <t>- Headcount: 1
- Hiring Job Details: service crew 1 branch
- Hiring Urgency: Hiring Now
- Number of outlets: 1
- Have recruiter team: No, I don't need at all
- Number of recruiter in company: 1
- Have ATS system: No, I don't need at all
- Have career website: No, I don't need at all
- Current hiring budget: RM1,000.00
- Whole year budget: 
- Whole year number of vacancies: 
- Hiring frequency: Once a year (25%)
- External job portal: Jobstreet</t>
        </is>
      </c>
      <c r="AT1427">
        <v>100</v>
      </c>
      <c r="AU1427" t="inlineStr">
        <is>
          <t>1.00</t>
        </is>
      </c>
      <c r="AV1427" t="inlineStr">
        <is>
          <t>15</t>
        </is>
      </c>
      <c r="AW1427" t="inlineStr">
        <is>
          <t>0</t>
        </is>
      </c>
      <c r="AX1427" t="inlineStr">
        <is>
          <t>Not Qualified</t>
        </is>
      </c>
      <c r="AY1427" s="4"/>
      <c r="AZ1427"/>
      <c r="BA1427"/>
      <c r="BB1427"/>
      <c r="BC1427"/>
      <c r="BD1427" s="4"/>
      <c r="BE1427"/>
      <c r="BF1427"/>
      <c r="BG1427" t="inlineStr">
        <is>
          <t>Reschedule</t>
        </is>
      </c>
      <c r="BH1427" t="inlineStr">
        <is>
          <t>Fauziah Maharan</t>
        </is>
      </c>
      <c r="BI1427"/>
      <c r="BJ1427" s="4">
        <v>46144.75578703704</v>
      </c>
      <c r="BK1427" s="4">
        <v>46121.79791666667</v>
      </c>
      <c r="BL1427" t="inlineStr">
        <is>
          <t>0.0</t>
        </is>
      </c>
      <c r="BM1427" t="inlineStr">
        <is>
          <t>0.0</t>
        </is>
      </c>
      <c r="BN1427"/>
      <c r="BO1427" s="4"/>
      <c r="BP1427">
        <v>166342</v>
      </c>
      <c r="BQ1427"/>
      <c r="BR1427"/>
      <c r="BS1427"/>
      <c r="BT1427"/>
      <c r="BU1427"/>
      <c r="BV1427"/>
      <c r="BW1427"/>
      <c r="BX1427"/>
      <c r="BY1427"/>
      <c r="BZ1427" s="4"/>
      <c r="CA1427"/>
      <c r="CB1427"/>
      <c r="CC1427" s="4"/>
      <c r="CD1427" t="inlineStr">
        <is>
          <t>20</t>
        </is>
      </c>
      <c r="CE1427" t="inlineStr">
        <is>
          <t>0</t>
        </is>
      </c>
      <c r="CF1427" t="inlineStr">
        <is>
          <t>Q2-W02</t>
        </is>
      </c>
      <c r="CG1427"/>
      <c r="CH1427"/>
      <c r="CI1427"/>
      <c r="CJ1427" t="inlineStr">
        <is>
          <t>No Paid</t>
        </is>
      </c>
      <c r="CK1427" t="inlineStr">
        <is>
          <t>Not Eligible</t>
        </is>
      </c>
      <c r="CL1427"/>
      <c r="CM1427"/>
    </row>
    <row r="1428" ht="25.5" customHeight="1">
      <c r="A1428" t="inlineStr">
        <is>
          <t>158553</t>
        </is>
      </c>
      <c r="B1428" s="2"/>
      <c r="C1428"/>
      <c r="D1428" s="3">
        <v>46122.426770833335</v>
      </c>
      <c r="E1428" t="inlineStr">
        <is>
          <t>Q2-W02</t>
        </is>
      </c>
      <c r="F1428" t="inlineStr">
        <is>
          <t>Carmen</t>
        </is>
      </c>
      <c r="G1428" t="inlineStr">
        <is>
          <t>Customer</t>
        </is>
      </c>
      <c r="H1428" s="2" t="str">
        <f>=HYPERLINK("https://upbox.ajobthing.my/customer/158553", "https://upbox.ajobthing.my/customer/158553")</f>
        <v>https://upbox.ajobthing.my/customer/158553</v>
      </c>
      <c r="I1428" t="inlineStr">
        <is>
          <t>The Luxe Clinic</t>
        </is>
      </c>
      <c r="J1428" t="inlineStr">
        <is>
          <t>Dolphin</t>
        </is>
      </c>
      <c r="K1428" t="inlineStr">
        <is>
          <t>Carmen</t>
        </is>
      </c>
      <c r="L1428" s="4"/>
      <c r="M1428" s="4">
        <v>46126.41075231481</v>
      </c>
      <c r="N1428"/>
      <c r="O1428">
        <v>2592</v>
      </c>
      <c r="P1428" s="4"/>
      <c r="Q1428" s="4">
        <v>45768.639085648145</v>
      </c>
      <c r="R1428"/>
      <c r="S1428">
        <v>1728</v>
      </c>
      <c r="T1428" s="4">
        <v>45768.639085648145</v>
      </c>
      <c r="U1428" s="4"/>
      <c r="V1428"/>
      <c r="W1428">
        <v>1728</v>
      </c>
      <c r="X1428"/>
      <c r="Y1428" t="inlineStr">
        <is>
          <t>Pending Appointment</t>
        </is>
      </c>
      <c r="Z1428" t="inlineStr">
        <is>
          <t>Hiring Now</t>
        </is>
      </c>
      <c r="AA1428">
        <v>1</v>
      </c>
      <c r="AB1428" t="inlineStr">
        <is>
          <t>No Appointment Made</t>
        </is>
      </c>
      <c r="AC1428"/>
      <c r="AD1428" t="inlineStr">
        <is>
          <t>1 marketing executive</t>
        </is>
      </c>
      <c r="AE1428"/>
      <c r="AF1428">
        <v>0</v>
      </c>
      <c r="AG1428" s="4"/>
      <c r="AH1428" s="4"/>
      <c r="AI1428"/>
      <c r="AJ1428"/>
      <c r="AK1428"/>
      <c r="AL1428"/>
      <c r="AM1428"/>
      <c r="AN1428"/>
      <c r="AO1428"/>
      <c r="AP1428"/>
      <c r="AQ1428"/>
      <c r="AR1428"/>
      <c r="AS1428" t="inlineStr">
        <is>
          <t>- Headcount: 1
- Hiring Job Details: 1 marketing executive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1428">
        <v>65</v>
      </c>
      <c r="AU1428" t="inlineStr">
        <is>
          <t>0.65</t>
        </is>
      </c>
      <c r="AV1428" t="inlineStr">
        <is>
          <t>15</t>
        </is>
      </c>
      <c r="AW1428" t="inlineStr">
        <is>
          <t>0</t>
        </is>
      </c>
      <c r="AX1428" t="inlineStr">
        <is>
          <t>Not Qualified</t>
        </is>
      </c>
      <c r="AY1428" s="4"/>
      <c r="AZ1428"/>
      <c r="BA1428"/>
      <c r="BB1428"/>
      <c r="BC1428" t="inlineStr">
        <is>
          <t>share her the latest discount</t>
        </is>
      </c>
      <c r="BD1428" s="4">
        <v>46141.70743055556</v>
      </c>
      <c r="BE1428" t="inlineStr">
        <is>
          <t>paid</t>
        </is>
      </c>
      <c r="BF1428"/>
      <c r="BG1428" t="inlineStr">
        <is>
          <t>Reschedule</t>
        </is>
      </c>
      <c r="BH1428" t="inlineStr">
        <is>
          <t>Reagen</t>
        </is>
      </c>
      <c r="BI1428" t="inlineStr">
        <is>
          <t>Healthcare / Medical</t>
        </is>
      </c>
      <c r="BJ1428" s="4">
        <v>46144.75104166667</v>
      </c>
      <c r="BK1428" s="4">
        <v>44788.66954861111</v>
      </c>
      <c r="BL1428" t="inlineStr">
        <is>
          <t>0.0</t>
        </is>
      </c>
      <c r="BM1428" t="inlineStr">
        <is>
          <t>0.0</t>
        </is>
      </c>
      <c r="BN1428" t="inlineStr">
        <is>
          <t>View Company Page</t>
        </is>
      </c>
      <c r="BO1428" s="4">
        <v>46127.465949074074</v>
      </c>
      <c r="BP1428">
        <v>166864</v>
      </c>
      <c r="BQ1428">
        <v>78628</v>
      </c>
      <c r="BR1428" t="inlineStr">
        <is>
          <t>Online</t>
        </is>
      </c>
      <c r="BS1428"/>
      <c r="BT1428">
        <v>78628</v>
      </c>
      <c r="BU1428"/>
      <c r="BV1428">
        <v>2736055</v>
      </c>
      <c r="BW1428" t="inlineStr">
        <is>
          <t>Follow Up : Callback Request</t>
        </is>
      </c>
      <c r="BX1428"/>
      <c r="BY1428"/>
      <c r="BZ1428" s="4"/>
      <c r="CA1428"/>
      <c r="CB1428"/>
      <c r="CC1428" s="4"/>
      <c r="CD1428" t="inlineStr">
        <is>
          <t>20</t>
        </is>
      </c>
      <c r="CE1428" t="inlineStr">
        <is>
          <t>0</t>
        </is>
      </c>
      <c r="CF1428" t="inlineStr">
        <is>
          <t>Q2-W02</t>
        </is>
      </c>
      <c r="CG1428"/>
      <c r="CH1428"/>
      <c r="CI1428"/>
      <c r="CJ1428" t="inlineStr">
        <is>
          <t>Paid</t>
        </is>
      </c>
      <c r="CK1428" t="inlineStr">
        <is>
          <t>Not Eligible</t>
        </is>
      </c>
      <c r="CL1428"/>
      <c r="CM1428"/>
    </row>
    <row r="1429" ht="25.5" customHeight="1">
      <c r="A1429" t="inlineStr">
        <is>
          <t>202449</t>
        </is>
      </c>
      <c r="B1429" s="2"/>
      <c r="C1429"/>
      <c r="D1429" s="3">
        <v>46122.42988425926</v>
      </c>
      <c r="E1429" t="inlineStr">
        <is>
          <t>Q2-W02</t>
        </is>
      </c>
      <c r="F1429" t="inlineStr">
        <is>
          <t>Clover</t>
        </is>
      </c>
      <c r="G1429" t="inlineStr">
        <is>
          <t>Customer</t>
        </is>
      </c>
      <c r="H1429" s="2" t="str">
        <f>=HYPERLINK("https://upbox.ajobthing.my/customer/202449", "https://upbox.ajobthing.my/customer/202449")</f>
        <v>https://upbox.ajobthing.my/customer/202449</v>
      </c>
      <c r="I1429" t="inlineStr">
        <is>
          <t>The HR Ecology Pte Ltd</t>
        </is>
      </c>
      <c r="J1429" t="inlineStr">
        <is>
          <t>Dolphin</t>
        </is>
      </c>
      <c r="K1429" t="inlineStr">
        <is>
          <t>Clover</t>
        </is>
      </c>
      <c r="L1429" s="4"/>
      <c r="M1429" s="4">
        <v>46122.42350694445</v>
      </c>
      <c r="N1429"/>
      <c r="O1429">
        <v>5832</v>
      </c>
      <c r="P1429" s="4"/>
      <c r="Q1429" s="4"/>
      <c r="R1429"/>
      <c r="S1429"/>
      <c r="T1429" s="4"/>
      <c r="U1429" s="4"/>
      <c r="V1429"/>
      <c r="W1429"/>
      <c r="X1429"/>
      <c r="Y1429" t="inlineStr">
        <is>
          <t>Pending Appointment</t>
        </is>
      </c>
      <c r="Z1429" t="inlineStr">
        <is>
          <t>Hiring Now</t>
        </is>
      </c>
      <c r="AA1429">
        <v>10</v>
      </c>
      <c r="AB1429" t="inlineStr">
        <is>
          <t>No Appointment Made</t>
        </is>
      </c>
      <c r="AC1429"/>
      <c r="AD1429" t="inlineStr">
        <is>
          <t>, hire recruiter, singapore bus driver, production, blue collar, warehouse, estimate 10 vacancies, recruitment company at sg</t>
        </is>
      </c>
      <c r="AE1429"/>
      <c r="AF1429">
        <v>5000</v>
      </c>
      <c r="AG1429" s="4"/>
      <c r="AH1429" s="4"/>
      <c r="AI1429">
        <v>5000</v>
      </c>
      <c r="AJ1429">
        <v>1</v>
      </c>
      <c r="AK1429" t="inlineStr">
        <is>
          <t>No, but I want in future</t>
        </is>
      </c>
      <c r="AL1429">
        <v>1</v>
      </c>
      <c r="AM1429" t="inlineStr">
        <is>
          <t>No, but I want in future</t>
        </is>
      </c>
      <c r="AN1429"/>
      <c r="AO1429" t="inlineStr">
        <is>
          <t>No, but I want in future</t>
        </is>
      </c>
      <c r="AP1429" t="inlineStr">
        <is>
          <t>Once per quarter (75%)</t>
        </is>
      </c>
      <c r="AQ1429">
        <v>10</v>
      </c>
      <c r="AR1429" t="inlineStr">
        <is>
          <t>Did not use any job portal</t>
        </is>
      </c>
      <c r="AS1429" t="inlineStr">
        <is>
          <t>- Headcount: 10
- Hiring Job Details: hire recruiter, singapore bus driver, production, blue collar, warehouse, estimate 10 vacancies, recruitment company at sg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10
- Hiring frequency: Once per quarter (75%)
- External job portal: Did not use any job portal</t>
        </is>
      </c>
      <c r="AT1429">
        <v>95</v>
      </c>
      <c r="AU1429" t="inlineStr">
        <is>
          <t>0.95</t>
        </is>
      </c>
      <c r="AV1429" t="inlineStr">
        <is>
          <t>20</t>
        </is>
      </c>
      <c r="AW1429" t="inlineStr">
        <is>
          <t>0</t>
        </is>
      </c>
      <c r="AX1429" t="inlineStr">
        <is>
          <t>Not Qualified</t>
        </is>
      </c>
      <c r="AY1429" s="4"/>
      <c r="AZ1429"/>
      <c r="BA1429"/>
      <c r="BB1429"/>
      <c r="BC1429" t="inlineStr">
        <is>
          <t>wa call, need discuss with wife, busy nowadays, will update again</t>
        </is>
      </c>
      <c r="BD1429" s="4">
        <v>46133.68127314815</v>
      </c>
      <c r="BE1429"/>
      <c r="BF1429"/>
      <c r="BG1429" t="inlineStr">
        <is>
          <t>Reschedule</t>
        </is>
      </c>
      <c r="BH1429" t="inlineStr">
        <is>
          <t>Reagen</t>
        </is>
      </c>
      <c r="BI1429"/>
      <c r="BJ1429" s="4">
        <v>46144.75405092593</v>
      </c>
      <c r="BK1429" s="4">
        <v>46107.59017361111</v>
      </c>
      <c r="BL1429" t="inlineStr">
        <is>
          <t>0.0</t>
        </is>
      </c>
      <c r="BM1429" t="inlineStr">
        <is>
          <t>0.0</t>
        </is>
      </c>
      <c r="BN1429"/>
      <c r="BO1429" s="4"/>
      <c r="BP1429">
        <v>166338</v>
      </c>
      <c r="BQ1429"/>
      <c r="BR1429"/>
      <c r="BS1429"/>
      <c r="BT1429"/>
      <c r="BU1429"/>
      <c r="BV1429">
        <v>2718783</v>
      </c>
      <c r="BW1429" t="inlineStr">
        <is>
          <t>Follow Up : Decision Pending</t>
        </is>
      </c>
      <c r="BX1429"/>
      <c r="BY1429"/>
      <c r="BZ1429" s="4"/>
      <c r="CA1429"/>
      <c r="CB1429"/>
      <c r="CC1429" s="4"/>
      <c r="CD1429" t="inlineStr">
        <is>
          <t>30</t>
        </is>
      </c>
      <c r="CE1429" t="inlineStr">
        <is>
          <t>0</t>
        </is>
      </c>
      <c r="CF1429" t="inlineStr">
        <is>
          <t>Q2-W02</t>
        </is>
      </c>
      <c r="CG1429"/>
      <c r="CH1429"/>
      <c r="CI1429"/>
      <c r="CJ1429" t="inlineStr">
        <is>
          <t>No Paid</t>
        </is>
      </c>
      <c r="CK1429" t="inlineStr">
        <is>
          <t>Eligible</t>
        </is>
      </c>
      <c r="CL1429"/>
      <c r="CM1429"/>
    </row>
    <row r="1430" ht="25.5" customHeight="1">
      <c r="A1430" t="inlineStr">
        <is>
          <t>196929</t>
        </is>
      </c>
      <c r="B1430" s="2"/>
      <c r="C1430"/>
      <c r="D1430" s="3">
        <v>46122.43451388889</v>
      </c>
      <c r="E1430" t="inlineStr">
        <is>
          <t>Q2-W02</t>
        </is>
      </c>
      <c r="F1430" t="inlineStr">
        <is>
          <t>Eugene</t>
        </is>
      </c>
      <c r="G1430" t="inlineStr">
        <is>
          <t>Customer</t>
        </is>
      </c>
      <c r="H1430" s="2" t="str">
        <f>=HYPERLINK("https://upbox.ajobthing.my/customer/196929", "https://upbox.ajobthing.my/customer/196929")</f>
        <v>https://upbox.ajobthing.my/customer/196929</v>
      </c>
      <c r="I1430" t="inlineStr">
        <is>
          <t>United Power &amp; Resources Sdn Bhd</t>
        </is>
      </c>
      <c r="J1430" t="inlineStr">
        <is>
          <t>Dolphin</t>
        </is>
      </c>
      <c r="K1430" t="inlineStr">
        <is>
          <t>Eugene</t>
        </is>
      </c>
      <c r="L1430" s="4"/>
      <c r="M1430" s="4">
        <v>46122.43461805556</v>
      </c>
      <c r="N1430"/>
      <c r="O1430">
        <v>6048</v>
      </c>
      <c r="P1430" s="4"/>
      <c r="Q1430" s="4">
        <v>46122.45885416667</v>
      </c>
      <c r="R1430"/>
      <c r="S1430">
        <v>0</v>
      </c>
      <c r="T1430" s="4">
        <v>45944.586863425924</v>
      </c>
      <c r="U1430" s="4"/>
      <c r="V1430"/>
      <c r="W1430">
        <v>3672</v>
      </c>
      <c r="X1430"/>
      <c r="Y1430" t="inlineStr">
        <is>
          <t>Pending Appointment</t>
        </is>
      </c>
      <c r="Z1430" t="inlineStr">
        <is>
          <t>Hiring Now</t>
        </is>
      </c>
      <c r="AA1430">
        <v>8</v>
      </c>
      <c r="AB1430" t="inlineStr">
        <is>
          <t>No Appointment Made</t>
        </is>
      </c>
      <c r="AC1430"/>
      <c r="AD1430" t="inlineStr">
        <is>
          <t>8 positions, based in Johor</t>
        </is>
      </c>
      <c r="AE1430"/>
      <c r="AF1430">
        <v>5600</v>
      </c>
      <c r="AG1430" s="4"/>
      <c r="AH1430" s="4"/>
      <c r="AI1430">
        <v>5600</v>
      </c>
      <c r="AJ1430">
        <v>1</v>
      </c>
      <c r="AK1430" t="inlineStr">
        <is>
          <t>No, I don't need at all</t>
        </is>
      </c>
      <c r="AL1430">
        <v>1</v>
      </c>
      <c r="AM1430" t="inlineStr">
        <is>
          <t>No, I don't need at all</t>
        </is>
      </c>
      <c r="AN1430"/>
      <c r="AO1430" t="inlineStr">
        <is>
          <t>No, I don't need at all</t>
        </is>
      </c>
      <c r="AP1430" t="inlineStr">
        <is>
          <t>Once per quarter (75%)</t>
        </is>
      </c>
      <c r="AQ1430">
        <v>10</v>
      </c>
      <c r="AR1430" t="inlineStr">
        <is>
          <t>Free Job Portal</t>
        </is>
      </c>
      <c r="AS1430" t="inlineStr">
        <is>
          <t>- Headcount: 8
- Hiring Job Details: 8 positions, based in Johor
- Hiring Urgency: Hiring Now
- Number of outlets: 1
- Have recruiter team: No, I don't need at all
- Number of recruiter in company: 1
- Have ATS system: No, I don't need at all
- Have career website: No, I don't need at all
- Current hiring budget: RM5,600
- Whole year budget: RM5,600.00
- Whole year number of vacancies: 10
- Hiring frequency: Once per quarter (75%)
- External job portal: Free Job Portal</t>
        </is>
      </c>
      <c r="AT1430">
        <v>95</v>
      </c>
      <c r="AU1430" t="inlineStr">
        <is>
          <t>0.95</t>
        </is>
      </c>
      <c r="AV1430" t="inlineStr">
        <is>
          <t>20</t>
        </is>
      </c>
      <c r="AW1430" t="inlineStr">
        <is>
          <t>0</t>
        </is>
      </c>
      <c r="AX1430" t="inlineStr">
        <is>
          <t>Not Qualified</t>
        </is>
      </c>
      <c r="AY1430" s="4"/>
      <c r="AZ1430"/>
      <c r="BA1430"/>
      <c r="BB1430"/>
      <c r="BC1430" t="inlineStr">
        <is>
          <t>nxt month</t>
        </is>
      </c>
      <c r="BD1430" s="4">
        <v>46133.7075</v>
      </c>
      <c r="BE1430" t="inlineStr">
        <is>
          <t>paid</t>
        </is>
      </c>
      <c r="BF1430"/>
      <c r="BG1430" t="inlineStr">
        <is>
          <t>Reschedule</t>
        </is>
      </c>
      <c r="BH1430" t="inlineStr">
        <is>
          <t>Edward Hoo</t>
        </is>
      </c>
      <c r="BI1430" t="inlineStr">
        <is>
          <t>Electrical / Electronics</t>
        </is>
      </c>
      <c r="BJ1430" s="4">
        <v>46144.752858796295</v>
      </c>
      <c r="BK1430" s="4">
        <v>45936.71824074074</v>
      </c>
      <c r="BL1430" t="inlineStr">
        <is>
          <t>3672.0</t>
        </is>
      </c>
      <c r="BM1430" t="inlineStr">
        <is>
          <t>0.0</t>
        </is>
      </c>
      <c r="BN1430" t="inlineStr">
        <is>
          <t>PA Visit - Job Card</t>
        </is>
      </c>
      <c r="BO1430" s="4">
        <v>46142.709386574075</v>
      </c>
      <c r="BP1430">
        <v>166348</v>
      </c>
      <c r="BQ1430">
        <v>121611</v>
      </c>
      <c r="BR1430" t="inlineStr">
        <is>
          <t>Proforma</t>
        </is>
      </c>
      <c r="BS1430" t="inlineStr">
        <is>
          <t>Free Internship Job</t>
        </is>
      </c>
      <c r="BT1430">
        <v>83277</v>
      </c>
      <c r="BU1430"/>
      <c r="BV1430">
        <v>2718944</v>
      </c>
      <c r="BW1430" t="inlineStr">
        <is>
          <t>Follow Up : Lost - Free Portal</t>
        </is>
      </c>
      <c r="BX1430">
        <v>6</v>
      </c>
      <c r="BY1430">
        <v>0</v>
      </c>
      <c r="BZ1430" s="4">
        <v>46121.605787037035</v>
      </c>
      <c r="CA1430">
        <v>60</v>
      </c>
      <c r="CB1430">
        <v>0</v>
      </c>
      <c r="CC1430" s="4">
        <v>46127.49277777778</v>
      </c>
      <c r="CD1430" t="inlineStr">
        <is>
          <t>30</t>
        </is>
      </c>
      <c r="CE1430" t="inlineStr">
        <is>
          <t>0</t>
        </is>
      </c>
      <c r="CF1430" t="inlineStr">
        <is>
          <t>Q2-W02</t>
        </is>
      </c>
      <c r="CG1430" t="inlineStr">
        <is>
          <t>Q2-W02</t>
        </is>
      </c>
      <c r="CH1430"/>
      <c r="CI1430"/>
      <c r="CJ1430" t="inlineStr">
        <is>
          <t>Paid</t>
        </is>
      </c>
      <c r="CK1430" t="inlineStr">
        <is>
          <t>Eligible</t>
        </is>
      </c>
      <c r="CL1430"/>
      <c r="CM1430"/>
    </row>
    <row r="1431" ht="25.5" customHeight="1">
      <c r="A1431" t="inlineStr">
        <is>
          <t>203066</t>
        </is>
      </c>
      <c r="B1431" s="2"/>
      <c r="C1431"/>
      <c r="D1431" s="3">
        <v>46122.43760416667</v>
      </c>
      <c r="E1431" t="inlineStr">
        <is>
          <t>Q2-W02</t>
        </is>
      </c>
      <c r="F1431" t="inlineStr">
        <is>
          <t>Clover</t>
        </is>
      </c>
      <c r="G1431" t="inlineStr">
        <is>
          <t>Customer</t>
        </is>
      </c>
      <c r="H1431" s="2" t="str">
        <f>=HYPERLINK("https://upbox.ajobthing.my/customer/203066", "https://upbox.ajobthing.my/customer/203066")</f>
        <v>https://upbox.ajobthing.my/customer/203066</v>
      </c>
      <c r="I1431" t="inlineStr">
        <is>
          <t>Pengurusan Pondok Ilmu</t>
        </is>
      </c>
      <c r="J1431" t="inlineStr">
        <is>
          <t>Dolphin</t>
        </is>
      </c>
      <c r="K1431" t="inlineStr">
        <is>
          <t>Clover</t>
        </is>
      </c>
      <c r="L1431" s="4"/>
      <c r="M1431" s="4">
        <v>46122.43818287037</v>
      </c>
      <c r="N1431"/>
      <c r="O1431">
        <v>3888</v>
      </c>
      <c r="P1431" s="4"/>
      <c r="Q1431" s="4"/>
      <c r="R1431"/>
      <c r="S1431"/>
      <c r="T1431" s="4"/>
      <c r="U1431" s="4"/>
      <c r="V1431"/>
      <c r="W1431"/>
      <c r="X1431"/>
      <c r="Y1431" t="inlineStr">
        <is>
          <t>Pending Appointment</t>
        </is>
      </c>
      <c r="Z1431" t="inlineStr">
        <is>
          <t>Hiring Now</t>
        </is>
      </c>
      <c r="AA1431">
        <v>1</v>
      </c>
      <c r="AB1431" t="inlineStr">
        <is>
          <t>No Appointment Made</t>
        </is>
      </c>
      <c r="AC1431"/>
      <c r="AD1431" t="inlineStr">
        <is>
          <t>Hire personal assistant x1 malay, add man power,   institusi pendidikan Islam, johor, suggest stand</t>
        </is>
      </c>
      <c r="AE1431"/>
      <c r="AF1431">
        <v>3000</v>
      </c>
      <c r="AG1431" s="4"/>
      <c r="AH1431" s="4"/>
      <c r="AI1431">
        <v>3000</v>
      </c>
      <c r="AJ1431">
        <v>1</v>
      </c>
      <c r="AK1431" t="inlineStr">
        <is>
          <t>No, but I want in future</t>
        </is>
      </c>
      <c r="AL1431">
        <v>1</v>
      </c>
      <c r="AM1431" t="inlineStr">
        <is>
          <t>No, but I want in future</t>
        </is>
      </c>
      <c r="AN1431"/>
      <c r="AO1431" t="inlineStr">
        <is>
          <t>No, but I want in future</t>
        </is>
      </c>
      <c r="AP1431" t="inlineStr">
        <is>
          <t>Twice a year (50%)</t>
        </is>
      </c>
      <c r="AQ1431">
        <v>1</v>
      </c>
      <c r="AR1431" t="inlineStr">
        <is>
          <t>Did not use any job portal</t>
        </is>
      </c>
      <c r="AS1431" t="inlineStr">
        <is>
          <t>- Headcount: 1
- Hiring Job Details: 1 Malay personal assistant; add manpower; institusi pendidikan Islam, Johor;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is>
      </c>
      <c r="AT1431">
        <v>115</v>
      </c>
      <c r="AU1431" t="inlineStr">
        <is>
          <t>1.15</t>
        </is>
      </c>
      <c r="AV1431" t="inlineStr">
        <is>
          <t>15</t>
        </is>
      </c>
      <c r="AW1431" t="inlineStr">
        <is>
          <t>0</t>
        </is>
      </c>
      <c r="AX1431" t="inlineStr">
        <is>
          <t>Not Qualified</t>
        </is>
      </c>
      <c r="AY1431" s="4"/>
      <c r="AZ1431"/>
      <c r="BA1431"/>
      <c r="BB1431"/>
      <c r="BC1431" t="inlineStr">
        <is>
          <t>on hold, no need post first</t>
        </is>
      </c>
      <c r="BD1431" s="4">
        <v>46133.68274305556</v>
      </c>
      <c r="BE1431"/>
      <c r="BF1431"/>
      <c r="BG1431" t="inlineStr">
        <is>
          <t>Reschedule</t>
        </is>
      </c>
      <c r="BH1431" t="inlineStr">
        <is>
          <t>Reagen</t>
        </is>
      </c>
      <c r="BI1431"/>
      <c r="BJ1431" s="4">
        <v>46144.754212962966</v>
      </c>
      <c r="BK1431" s="4">
        <v>46121.736805555556</v>
      </c>
      <c r="BL1431" t="inlineStr">
        <is>
          <t>0.0</t>
        </is>
      </c>
      <c r="BM1431" t="inlineStr">
        <is>
          <t>0.0</t>
        </is>
      </c>
      <c r="BN1431"/>
      <c r="BO1431" s="4"/>
      <c r="BP1431">
        <v>166350</v>
      </c>
      <c r="BQ1431"/>
      <c r="BR1431"/>
      <c r="BS1431"/>
      <c r="BT1431"/>
      <c r="BU1431"/>
      <c r="BV1431">
        <v>2718794</v>
      </c>
      <c r="BW1431" t="inlineStr">
        <is>
          <t>Follow Up : Lost - Free Portal</t>
        </is>
      </c>
      <c r="BX1431"/>
      <c r="BY1431"/>
      <c r="BZ1431" s="4"/>
      <c r="CA1431"/>
      <c r="CB1431"/>
      <c r="CC1431" s="4"/>
      <c r="CD1431" t="inlineStr">
        <is>
          <t>20</t>
        </is>
      </c>
      <c r="CE1431" t="inlineStr">
        <is>
          <t>0</t>
        </is>
      </c>
      <c r="CF1431" t="inlineStr">
        <is>
          <t>Q2-W02</t>
        </is>
      </c>
      <c r="CG1431"/>
      <c r="CH1431"/>
      <c r="CI1431"/>
      <c r="CJ1431" t="inlineStr">
        <is>
          <t>No Paid</t>
        </is>
      </c>
      <c r="CK1431" t="inlineStr">
        <is>
          <t>Not Eligible</t>
        </is>
      </c>
      <c r="CL1431"/>
      <c r="CM1431"/>
    </row>
    <row r="1432" ht="25.5" customHeight="1">
      <c r="A1432" t="inlineStr">
        <is>
          <t>201399</t>
        </is>
      </c>
      <c r="B1432" s="2"/>
      <c r="C1432"/>
      <c r="D1432" s="3">
        <v>46122.44834490741</v>
      </c>
      <c r="E1432" t="inlineStr">
        <is>
          <t>Q2-W02</t>
        </is>
      </c>
      <c r="F1432" t="inlineStr">
        <is>
          <t>Carmen</t>
        </is>
      </c>
      <c r="G1432" t="inlineStr">
        <is>
          <t>Customer</t>
        </is>
      </c>
      <c r="H1432" s="2" t="str">
        <f>=HYPERLINK("https://upbox.ajobthing.my/customer/201399", "https://upbox.ajobthing.my/customer/201399")</f>
        <v>https://upbox.ajobthing.my/customer/201399</v>
      </c>
      <c r="I1432" t="inlineStr">
        <is>
          <t>Hero Agency Sdn. Bhd.</t>
        </is>
      </c>
      <c r="J1432" t="inlineStr">
        <is>
          <t>Dolphin</t>
        </is>
      </c>
      <c r="K1432" t="inlineStr">
        <is>
          <t>Carmen</t>
        </is>
      </c>
      <c r="L1432" s="4"/>
      <c r="M1432" s="4">
        <v>46122.44987268518</v>
      </c>
      <c r="N1432"/>
      <c r="O1432">
        <v>4968</v>
      </c>
      <c r="P1432" s="4"/>
      <c r="Q1432" s="4">
        <v>46125.47083333333</v>
      </c>
      <c r="R1432"/>
      <c r="S1432">
        <v>0</v>
      </c>
      <c r="T1432" s="4">
        <v>46080.40211805556</v>
      </c>
      <c r="U1432" s="4"/>
      <c r="V1432"/>
      <c r="W1432">
        <v>1296</v>
      </c>
      <c r="X1432"/>
      <c r="Y1432" t="inlineStr">
        <is>
          <t>Pending Appointment</t>
        </is>
      </c>
      <c r="Z1432" t="inlineStr">
        <is>
          <t>Continuous Hiring</t>
        </is>
      </c>
      <c r="AA1432">
        <v>100</v>
      </c>
      <c r="AB1432" t="inlineStr">
        <is>
          <t>No Appointment Made</t>
        </is>
      </c>
      <c r="AC1432"/>
      <c r="AD1432" t="inlineStr">
        <is>
          <t>100 live tiktok</t>
        </is>
      </c>
      <c r="AE1432"/>
      <c r="AF1432">
        <v>1200</v>
      </c>
      <c r="AG1432" s="4"/>
      <c r="AH1432" s="4"/>
      <c r="AI1432"/>
      <c r="AJ1432"/>
      <c r="AK1432"/>
      <c r="AL1432"/>
      <c r="AM1432"/>
      <c r="AN1432"/>
      <c r="AO1432"/>
      <c r="AP1432"/>
      <c r="AQ1432"/>
      <c r="AR1432"/>
      <c r="AS1432" t="inlineStr">
        <is>
          <t>- Headcount: 100
- Hiring Job Details: 100 live tiktok
- Hiring Urgency: Continuous Hiring
- Number of outlets: N/A
- Have recruiter team: N/A
- Number of recruiter in company: N/A
- Have ATS system: N/A
- Have career website: N/A
- Current hiring budget: RM1,200.00
- Whole year budget: N/A
- Whole year number of vacancies: N/A
- Hiring frequency: N/A
- External job portal: N/A</t>
        </is>
      </c>
      <c r="AT1432">
        <v>65</v>
      </c>
      <c r="AU1432" t="inlineStr">
        <is>
          <t>0.65</t>
        </is>
      </c>
      <c r="AV1432" t="inlineStr">
        <is>
          <t>35</t>
        </is>
      </c>
      <c r="AW1432" t="inlineStr">
        <is>
          <t>0</t>
        </is>
      </c>
      <c r="AX1432" t="inlineStr">
        <is>
          <t>Not Qualified</t>
        </is>
      </c>
      <c r="AY1432" s="4"/>
      <c r="AZ1432"/>
      <c r="BA1432"/>
      <c r="BB1432"/>
      <c r="BC1432" t="inlineStr">
        <is>
          <t>totally no, then he said he asked his friend also no hire dao == that position cs, got 12 mandarin speaker, with 864 also say no good, so he needs to consider first already</t>
        </is>
      </c>
      <c r="BD1432" s="4">
        <v>46127.47652777778</v>
      </c>
      <c r="BE1432" t="inlineStr">
        <is>
          <t>paid</t>
        </is>
      </c>
      <c r="BF1432" t="inlineStr">
        <is>
          <t>Q1-W09</t>
        </is>
      </c>
      <c r="BG1432" t="inlineStr">
        <is>
          <t>Reschedule</t>
        </is>
      </c>
      <c r="BH1432" t="inlineStr">
        <is>
          <t>Reagen</t>
        </is>
      </c>
      <c r="BI1432" t="inlineStr">
        <is>
          <t>Entertainment / Media</t>
        </is>
      </c>
      <c r="BJ1432" s="4">
        <v>46144.75378472222</v>
      </c>
      <c r="BK1432" s="4">
        <v>46077.57895833333</v>
      </c>
      <c r="BL1432" t="inlineStr">
        <is>
          <t>1296.0</t>
        </is>
      </c>
      <c r="BM1432" t="inlineStr">
        <is>
          <t>0.0</t>
        </is>
      </c>
      <c r="BN1432" t="inlineStr">
        <is>
          <t>PA Visit - Email</t>
        </is>
      </c>
      <c r="BO1432" s="4">
        <v>46140.622511574074</v>
      </c>
      <c r="BP1432">
        <v>166356</v>
      </c>
      <c r="BQ1432">
        <v>121963</v>
      </c>
      <c r="BR1432" t="inlineStr">
        <is>
          <t>Proforma</t>
        </is>
      </c>
      <c r="BS1432" t="inlineStr">
        <is>
          <t>A La Carte AI Job Ad Free</t>
        </is>
      </c>
      <c r="BT1432">
        <v>87212</v>
      </c>
      <c r="BU1432"/>
      <c r="BV1432">
        <v>2705423</v>
      </c>
      <c r="BW1432" t="inlineStr">
        <is>
          <t>Service / Technical : Job Outcome Enquiry</t>
        </is>
      </c>
      <c r="BX1432">
        <v>1</v>
      </c>
      <c r="BY1432">
        <v>0</v>
      </c>
      <c r="BZ1432" s="4">
        <v>46125.51005787037</v>
      </c>
      <c r="CA1432"/>
      <c r="CB1432"/>
      <c r="CC1432" s="4"/>
      <c r="CD1432" t="inlineStr">
        <is>
          <t>50</t>
        </is>
      </c>
      <c r="CE1432" t="inlineStr">
        <is>
          <t>0</t>
        </is>
      </c>
      <c r="CF1432" t="inlineStr">
        <is>
          <t>Q2-W02</t>
        </is>
      </c>
      <c r="CG1432" t="inlineStr">
        <is>
          <t>Q2-W02</t>
        </is>
      </c>
      <c r="CH1432" t="inlineStr">
        <is>
          <t>Q1-W09</t>
        </is>
      </c>
      <c r="CI1432"/>
      <c r="CJ1432" t="inlineStr">
        <is>
          <t>Paid</t>
        </is>
      </c>
      <c r="CK1432" t="inlineStr">
        <is>
          <t>Eligible</t>
        </is>
      </c>
      <c r="CL1432"/>
      <c r="CM1432"/>
    </row>
    <row r="1433" ht="25.5" customHeight="1">
      <c r="A1433" t="inlineStr">
        <is>
          <t>196929</t>
        </is>
      </c>
      <c r="B1433" s="2"/>
      <c r="C1433"/>
      <c r="D1433" s="3">
        <v>46122.450787037036</v>
      </c>
      <c r="E1433" t="inlineStr">
        <is>
          <t>Q2-W02</t>
        </is>
      </c>
      <c r="F1433" t="inlineStr">
        <is>
          <t>Eugene</t>
        </is>
      </c>
      <c r="G1433" t="inlineStr">
        <is>
          <t>Customer</t>
        </is>
      </c>
      <c r="H1433" s="2" t="str">
        <f>=HYPERLINK("https://upbox.ajobthing.my/customer/196929", "https://upbox.ajobthing.my/customer/196929")</f>
        <v>https://upbox.ajobthing.my/customer/196929</v>
      </c>
      <c r="I1433" t="inlineStr">
        <is>
          <t>United Power &amp; Resources Sdn Bhd</t>
        </is>
      </c>
      <c r="J1433" t="inlineStr">
        <is>
          <t>Dolphin</t>
        </is>
      </c>
      <c r="K1433" t="inlineStr">
        <is>
          <t>Eugene</t>
        </is>
      </c>
      <c r="L1433" s="4"/>
      <c r="M1433" s="4">
        <v>46122.43461805556</v>
      </c>
      <c r="N1433"/>
      <c r="O1433">
        <v>6048</v>
      </c>
      <c r="P1433" s="4"/>
      <c r="Q1433" s="4">
        <v>46122.45885416667</v>
      </c>
      <c r="R1433"/>
      <c r="S1433">
        <v>0</v>
      </c>
      <c r="T1433" s="4">
        <v>45944.586863425924</v>
      </c>
      <c r="U1433" s="4"/>
      <c r="V1433"/>
      <c r="W1433">
        <v>3672</v>
      </c>
      <c r="X1433"/>
      <c r="Y1433" t="inlineStr">
        <is>
          <t>Pending Appointment</t>
        </is>
      </c>
      <c r="Z1433" t="inlineStr">
        <is>
          <t>Hiring Now</t>
        </is>
      </c>
      <c r="AA1433">
        <v>8</v>
      </c>
      <c r="AB1433" t="inlineStr">
        <is>
          <t>No Appointment Made</t>
        </is>
      </c>
      <c r="AC1433"/>
      <c r="AD1433" t="inlineStr">
        <is>
          <t>8 positions, based in Johor</t>
        </is>
      </c>
      <c r="AE1433"/>
      <c r="AF1433">
        <v>5600</v>
      </c>
      <c r="AG1433" s="4"/>
      <c r="AH1433" s="4"/>
      <c r="AI1433">
        <v>5600</v>
      </c>
      <c r="AJ1433">
        <v>1</v>
      </c>
      <c r="AK1433" t="inlineStr">
        <is>
          <t>No, I don't need at all</t>
        </is>
      </c>
      <c r="AL1433">
        <v>1</v>
      </c>
      <c r="AM1433" t="inlineStr">
        <is>
          <t>No, I don't need at all</t>
        </is>
      </c>
      <c r="AN1433"/>
      <c r="AO1433" t="inlineStr">
        <is>
          <t>No, I don't need at all</t>
        </is>
      </c>
      <c r="AP1433" t="inlineStr">
        <is>
          <t>Once per quarter (75%)</t>
        </is>
      </c>
      <c r="AQ1433">
        <v>10</v>
      </c>
      <c r="AR1433" t="inlineStr">
        <is>
          <t>Free Job Portal</t>
        </is>
      </c>
      <c r="AS1433" t="inlineStr">
        <is>
          <t>- Headcount: 8
- Hiring Job Details: 8 positions, based in Johor
- Hiring Urgency: Hiring Now
- Number of outlets: 1
- Have recruiter team: No, I don't need at all
- Number of recruiter in company: 1
- Have ATS system: No, I don't need at all
- Have career website: No, I don't need at all
- Current hiring budget: RM5,600
- Whole year budget: RM5,600.00
- Whole year number of vacancies: 10
- Hiring frequency: Once per quarter (75%)
- External job portal: Free Job Portal</t>
        </is>
      </c>
      <c r="AT1433">
        <v>95</v>
      </c>
      <c r="AU1433" t="inlineStr">
        <is>
          <t>0.95</t>
        </is>
      </c>
      <c r="AV1433" t="inlineStr">
        <is>
          <t>20</t>
        </is>
      </c>
      <c r="AW1433" t="inlineStr">
        <is>
          <t>0</t>
        </is>
      </c>
      <c r="AX1433" t="inlineStr">
        <is>
          <t>Not Qualified</t>
        </is>
      </c>
      <c r="AY1433" s="4"/>
      <c r="AZ1433"/>
      <c r="BA1433"/>
      <c r="BB1433"/>
      <c r="BC1433" t="inlineStr">
        <is>
          <t>nxt month</t>
        </is>
      </c>
      <c r="BD1433" s="4">
        <v>46133.7075</v>
      </c>
      <c r="BE1433" t="inlineStr">
        <is>
          <t>paid</t>
        </is>
      </c>
      <c r="BF1433"/>
      <c r="BG1433" t="inlineStr">
        <is>
          <t>Reschedule</t>
        </is>
      </c>
      <c r="BH1433" t="inlineStr">
        <is>
          <t>Edward Hoo</t>
        </is>
      </c>
      <c r="BI1433" t="inlineStr">
        <is>
          <t>Electrical / Electronics</t>
        </is>
      </c>
      <c r="BJ1433" s="4">
        <v>46144.752858796295</v>
      </c>
      <c r="BK1433" s="4">
        <v>45936.71824074074</v>
      </c>
      <c r="BL1433" t="inlineStr">
        <is>
          <t>3672.0</t>
        </is>
      </c>
      <c r="BM1433" t="inlineStr">
        <is>
          <t>0.0</t>
        </is>
      </c>
      <c r="BN1433" t="inlineStr">
        <is>
          <t>PA Visit - Job Card</t>
        </is>
      </c>
      <c r="BO1433" s="4">
        <v>46142.709386574075</v>
      </c>
      <c r="BP1433">
        <v>166348</v>
      </c>
      <c r="BQ1433">
        <v>121611</v>
      </c>
      <c r="BR1433" t="inlineStr">
        <is>
          <t>Proforma</t>
        </is>
      </c>
      <c r="BS1433" t="inlineStr">
        <is>
          <t>Free Internship Job</t>
        </is>
      </c>
      <c r="BT1433">
        <v>83277</v>
      </c>
      <c r="BU1433"/>
      <c r="BV1433">
        <v>2718944</v>
      </c>
      <c r="BW1433" t="inlineStr">
        <is>
          <t>Follow Up : Lost - Free Portal</t>
        </is>
      </c>
      <c r="BX1433">
        <v>6</v>
      </c>
      <c r="BY1433">
        <v>0</v>
      </c>
      <c r="BZ1433" s="4">
        <v>46121.605787037035</v>
      </c>
      <c r="CA1433">
        <v>60</v>
      </c>
      <c r="CB1433">
        <v>0</v>
      </c>
      <c r="CC1433" s="4">
        <v>46127.49277777778</v>
      </c>
      <c r="CD1433" t="inlineStr">
        <is>
          <t>30</t>
        </is>
      </c>
      <c r="CE1433" t="inlineStr">
        <is>
          <t>0</t>
        </is>
      </c>
      <c r="CF1433" t="inlineStr">
        <is>
          <t>Q2-W02</t>
        </is>
      </c>
      <c r="CG1433" t="inlineStr">
        <is>
          <t>Q2-W02</t>
        </is>
      </c>
      <c r="CH1433"/>
      <c r="CI1433"/>
      <c r="CJ1433" t="inlineStr">
        <is>
          <t>Paid</t>
        </is>
      </c>
      <c r="CK1433" t="inlineStr">
        <is>
          <t>Eligible</t>
        </is>
      </c>
      <c r="CL1433"/>
      <c r="CM1433"/>
    </row>
    <row r="1434" ht="25.5" customHeight="1">
      <c r="A1434" t="inlineStr">
        <is>
          <t>202515</t>
        </is>
      </c>
      <c r="B1434" s="2"/>
      <c r="C1434"/>
      <c r="D1434" s="3">
        <v>46122.452048611114</v>
      </c>
      <c r="E1434" t="inlineStr">
        <is>
          <t>Q2-W02</t>
        </is>
      </c>
      <c r="F1434" t="inlineStr">
        <is>
          <t>Jess</t>
        </is>
      </c>
      <c r="G1434" t="inlineStr">
        <is>
          <t>Customer</t>
        </is>
      </c>
      <c r="H1434" s="2" t="str">
        <f>=HYPERLINK("https://upbox.ajobthing.my/customer/202515", "https://upbox.ajobthing.my/customer/202515")</f>
        <v>https://upbox.ajobthing.my/customer/202515</v>
      </c>
      <c r="I1434" t="inlineStr">
        <is>
          <t>Skyway Manufacturing Sdn Bhd</t>
        </is>
      </c>
      <c r="J1434" t="inlineStr">
        <is>
          <t>Dolphin</t>
        </is>
      </c>
      <c r="K1434" t="inlineStr">
        <is>
          <t>Jess Lim</t>
        </is>
      </c>
      <c r="L1434" s="4"/>
      <c r="M1434" s="4">
        <v>46122.45259259259</v>
      </c>
      <c r="N1434"/>
      <c r="O1434">
        <v>11448</v>
      </c>
      <c r="P1434" s="4"/>
      <c r="Q1434" s="4"/>
      <c r="R1434"/>
      <c r="S1434"/>
      <c r="T1434" s="4"/>
      <c r="U1434" s="4"/>
      <c r="V1434"/>
      <c r="W1434"/>
      <c r="X1434"/>
      <c r="Y1434" t="inlineStr">
        <is>
          <t>Pending Appointment</t>
        </is>
      </c>
      <c r="Z1434" t="inlineStr">
        <is>
          <t>Hiring Now</t>
        </is>
      </c>
      <c r="AA1434">
        <v>1</v>
      </c>
      <c r="AB1434" t="inlineStr">
        <is>
          <t>No Appointment Made</t>
        </is>
      </c>
      <c r="AC1434"/>
      <c r="AD1434" t="inlineStr">
        <is>
          <t xml:space="preserve">operator </t>
        </is>
      </c>
      <c r="AE1434"/>
      <c r="AF1434">
        <v>1000</v>
      </c>
      <c r="AG1434" s="4"/>
      <c r="AH1434" s="4"/>
      <c r="AI1434"/>
      <c r="AJ1434">
        <v>1</v>
      </c>
      <c r="AK1434" t="inlineStr">
        <is>
          <t>Yes, I have</t>
        </is>
      </c>
      <c r="AL1434">
        <v>1</v>
      </c>
      <c r="AM1434" t="inlineStr">
        <is>
          <t>No, I don't need at all</t>
        </is>
      </c>
      <c r="AN1434"/>
      <c r="AO1434"/>
      <c r="AP1434" t="inlineStr">
        <is>
          <t>Once a year (25%)</t>
        </is>
      </c>
      <c r="AQ1434"/>
      <c r="AR1434" t="inlineStr">
        <is>
          <t>Jobstreet</t>
        </is>
      </c>
      <c r="AS1434" t="inlineStr">
        <is>
          <t>- Headcount: 1
- Hiring Job Details: 1 operator
- Hiring Urgency: Hiring Now
- Number of outlets: 1
- Have recruiter team: Yes
- Number of recruiter in company: 1
- Have ATS system: No, I don't need at all
- Have career website: Not specified
- Current hiring budget: RM1,000.00
- Whole year budget: Not specified
- Whole year number of vacancies: Not specified
- Hiring frequency: Once a year (25%)
- External job portal: Jobstreet</t>
        </is>
      </c>
      <c r="AT1434">
        <v>100</v>
      </c>
      <c r="AU1434" t="inlineStr">
        <is>
          <t>1.00</t>
        </is>
      </c>
      <c r="AV1434" t="inlineStr">
        <is>
          <t>15</t>
        </is>
      </c>
      <c r="AW1434" t="inlineStr">
        <is>
          <t>0</t>
        </is>
      </c>
      <c r="AX1434" t="inlineStr">
        <is>
          <t>Not Qualified</t>
        </is>
      </c>
      <c r="AY1434" s="4"/>
      <c r="AZ1434"/>
      <c r="BA1434"/>
      <c r="BB1434"/>
      <c r="BC1434" t="inlineStr">
        <is>
          <t>use free portal mu future job and jobstreet</t>
        </is>
      </c>
      <c r="BD1434" s="4">
        <v>46135.45994212963</v>
      </c>
      <c r="BE1434"/>
      <c r="BF1434"/>
      <c r="BG1434" t="inlineStr">
        <is>
          <t>Reschedule</t>
        </is>
      </c>
      <c r="BH1434" t="inlineStr">
        <is>
          <t>Fauziah Maharan</t>
        </is>
      </c>
      <c r="BI1434" t="inlineStr">
        <is>
          <t>Manufacturing / Production</t>
        </is>
      </c>
      <c r="BJ1434" s="4">
        <v>46144.75405092593</v>
      </c>
      <c r="BK1434" s="4">
        <v>46109.486354166664</v>
      </c>
      <c r="BL1434" t="inlineStr">
        <is>
          <t>0.0</t>
        </is>
      </c>
      <c r="BM1434" t="inlineStr">
        <is>
          <t>0.0</t>
        </is>
      </c>
      <c r="BN1434" t="inlineStr">
        <is>
          <t>User Visit(Logged In)</t>
        </is>
      </c>
      <c r="BO1434" s="4">
        <v>46135.52153935185</v>
      </c>
      <c r="BP1434">
        <v>166364</v>
      </c>
      <c r="BQ1434"/>
      <c r="BR1434"/>
      <c r="BS1434"/>
      <c r="BT1434"/>
      <c r="BU1434"/>
      <c r="BV1434">
        <v>2722706</v>
      </c>
      <c r="BW1434" t="inlineStr">
        <is>
          <t>Follow Up : Lost - Free Portal</t>
        </is>
      </c>
      <c r="BX1434"/>
      <c r="BY1434"/>
      <c r="BZ1434" s="4"/>
      <c r="CA1434"/>
      <c r="CB1434"/>
      <c r="CC1434" s="4"/>
      <c r="CD1434" t="inlineStr">
        <is>
          <t>20</t>
        </is>
      </c>
      <c r="CE1434" t="inlineStr">
        <is>
          <t>0</t>
        </is>
      </c>
      <c r="CF1434" t="inlineStr">
        <is>
          <t>Q2-W02</t>
        </is>
      </c>
      <c r="CG1434"/>
      <c r="CH1434"/>
      <c r="CI1434"/>
      <c r="CJ1434" t="inlineStr">
        <is>
          <t>No Paid</t>
        </is>
      </c>
      <c r="CK1434" t="inlineStr">
        <is>
          <t>Not Eligible</t>
        </is>
      </c>
      <c r="CL1434"/>
      <c r="CM1434"/>
    </row>
    <row r="1435" ht="25.5" customHeight="1">
      <c r="A1435" t="inlineStr">
        <is>
          <t>136826</t>
        </is>
      </c>
      <c r="B1435" s="2"/>
      <c r="C1435"/>
      <c r="D1435" s="3">
        <v>46122.453055555554</v>
      </c>
      <c r="E1435" t="inlineStr">
        <is>
          <t>Q2-W02</t>
        </is>
      </c>
      <c r="F1435" t="inlineStr">
        <is>
          <t>Ken Yi</t>
        </is>
      </c>
      <c r="G1435" t="inlineStr">
        <is>
          <t>Customer</t>
        </is>
      </c>
      <c r="H1435" s="2" t="str">
        <f>=HYPERLINK("https://upbox.ajobthing.my/customer/136826", "https://upbox.ajobthing.my/customer/136826")</f>
        <v>https://upbox.ajobthing.my/customer/136826</v>
      </c>
      <c r="I1435" t="inlineStr">
        <is>
          <t>MP Success Group Sdn Bhd</t>
        </is>
      </c>
      <c r="J1435" t="inlineStr">
        <is>
          <t>Dolphin</t>
        </is>
      </c>
      <c r="K1435" t="inlineStr">
        <is>
          <t>Kenyi</t>
        </is>
      </c>
      <c r="L1435" s="4"/>
      <c r="M1435" s="4">
        <v>46122.4540625</v>
      </c>
      <c r="N1435"/>
      <c r="O1435">
        <v>10800</v>
      </c>
      <c r="P1435" s="4"/>
      <c r="Q1435" s="4">
        <v>45301.69631944445</v>
      </c>
      <c r="R1435"/>
      <c r="S1435">
        <v>2862</v>
      </c>
      <c r="T1435" s="4">
        <v>45301.69631944445</v>
      </c>
      <c r="U1435" s="4"/>
      <c r="V1435"/>
      <c r="W1435">
        <v>2862</v>
      </c>
      <c r="X1435"/>
      <c r="Y1435" t="inlineStr">
        <is>
          <t>Pending Appointment</t>
        </is>
      </c>
      <c r="Z1435" t="inlineStr">
        <is>
          <t>Continuous Hiring</t>
        </is>
      </c>
      <c r="AA1435">
        <v>10</v>
      </c>
      <c r="AB1435" t="inlineStr">
        <is>
          <t>No Appointment Made</t>
        </is>
      </c>
      <c r="AC1435"/>
      <c r="AD1435" t="inlineStr">
        <is>
          <t>customer service 10</t>
        </is>
      </c>
      <c r="AE1435"/>
      <c r="AF1435">
        <v>0</v>
      </c>
      <c r="AG1435" s="4"/>
      <c r="AH1435" s="4"/>
      <c r="AI1435">
        <v>0</v>
      </c>
      <c r="AJ1435">
        <v>1</v>
      </c>
      <c r="AK1435" t="inlineStr">
        <is>
          <t>Yes, I have</t>
        </is>
      </c>
      <c r="AL1435">
        <v>0</v>
      </c>
      <c r="AM1435" t="inlineStr">
        <is>
          <t>No, I don't need at all</t>
        </is>
      </c>
      <c r="AN1435"/>
      <c r="AO1435" t="inlineStr">
        <is>
          <t>No, I don't need at all</t>
        </is>
      </c>
      <c r="AP1435" t="inlineStr">
        <is>
          <t>Every month (100%)</t>
        </is>
      </c>
      <c r="AQ1435">
        <v>1</v>
      </c>
      <c r="AR1435" t="inlineStr">
        <is>
          <t>Jobstreet, Linkedin (Paid), Free Job Portal</t>
        </is>
      </c>
      <c r="AS1435" t="inlineStr">
        <is>
          <t>- Headcount: 10
- Hiring Job Details: 10 customer service
- Hiring Urgency: Continuous Hiring
- Number of outlets: 1
- Have recruiter team: Yes
- Number of recruiter in company: 0
- Have ATS system: No, I don't need at all
- Have career website: No, I don't need at all
- Current hiring budget: RM0
- Whole year budget: RM0.00
- Whole year number of vacancies: 1
- Hiring frequency: Every month (100%)
- External job portal: Jobstreet, Linkedin (Paid), Free Job Portal</t>
        </is>
      </c>
      <c r="AT1435">
        <v>105</v>
      </c>
      <c r="AU1435" t="inlineStr">
        <is>
          <t>1.05</t>
        </is>
      </c>
      <c r="AV1435" t="inlineStr">
        <is>
          <t>20</t>
        </is>
      </c>
      <c r="AW1435" t="inlineStr">
        <is>
          <t>0</t>
        </is>
      </c>
      <c r="AX1435" t="inlineStr">
        <is>
          <t>Not Qualified</t>
        </is>
      </c>
      <c r="AY1435" s="4"/>
      <c r="AZ1435"/>
      <c r="BA1435"/>
      <c r="BB1435"/>
      <c r="BC1435" t="inlineStr">
        <is>
          <t>- Headcount: 10
- Hiring Job Details: 10 customer service
- Hiring Urgency: Continuous Hiring
- Number of outlets: 1
- Have recruiter team: Yes
- Number of recruiter in company: 0
- Have ATS system: No, I don't need at all
- Have career website: No, I don't need at all
- Current hiring budget: RM0
- Whole year budget: RM0.00
- Whole year number of vacancies: 1
- Hiring frequency: Every month (100%)
- External job portal: Jobstreet, Linkedin (Paid), Free Job Portal</t>
        </is>
      </c>
      <c r="BD1435" s="4">
        <v>46122.45835648148</v>
      </c>
      <c r="BE1435" t="inlineStr">
        <is>
          <t>paid</t>
        </is>
      </c>
      <c r="BF1435"/>
      <c r="BG1435" t="inlineStr">
        <is>
          <t>Reschedule</t>
        </is>
      </c>
      <c r="BH1435" t="inlineStr">
        <is>
          <t>Fauziah Maharan</t>
        </is>
      </c>
      <c r="BI1435" t="inlineStr">
        <is>
          <t>Call Center / BPO</t>
        </is>
      </c>
      <c r="BJ1435" s="4">
        <v>46144.75059027778</v>
      </c>
      <c r="BK1435" s="4">
        <v>44294.72819444445</v>
      </c>
      <c r="BL1435" t="inlineStr">
        <is>
          <t>0.0</t>
        </is>
      </c>
      <c r="BM1435" t="inlineStr">
        <is>
          <t>3000.0</t>
        </is>
      </c>
      <c r="BN1435" t="inlineStr">
        <is>
          <t>View Company Page</t>
        </is>
      </c>
      <c r="BO1435" s="4">
        <v>46035.83650462963</v>
      </c>
      <c r="BP1435">
        <v>166367</v>
      </c>
      <c r="BQ1435">
        <v>65192</v>
      </c>
      <c r="BR1435" t="inlineStr">
        <is>
          <t>Online</t>
        </is>
      </c>
      <c r="BS1435"/>
      <c r="BT1435">
        <v>65192</v>
      </c>
      <c r="BU1435"/>
      <c r="BV1435">
        <v>2697605</v>
      </c>
      <c r="BW1435" t="inlineStr">
        <is>
          <t>Customer Inquiry</t>
        </is>
      </c>
      <c r="BX1435"/>
      <c r="BY1435"/>
      <c r="BZ1435" s="4"/>
      <c r="CA1435"/>
      <c r="CB1435"/>
      <c r="CC1435" s="4"/>
      <c r="CD1435" t="inlineStr">
        <is>
          <t>30</t>
        </is>
      </c>
      <c r="CE1435" t="inlineStr">
        <is>
          <t>0</t>
        </is>
      </c>
      <c r="CF1435" t="inlineStr">
        <is>
          <t>Q2-W02</t>
        </is>
      </c>
      <c r="CG1435"/>
      <c r="CH1435"/>
      <c r="CI1435"/>
      <c r="CJ1435" t="inlineStr">
        <is>
          <t>Paid</t>
        </is>
      </c>
      <c r="CK1435" t="inlineStr">
        <is>
          <t>Eligible</t>
        </is>
      </c>
      <c r="CL1435"/>
      <c r="CM1435"/>
    </row>
    <row r="1436" ht="25.5" customHeight="1">
      <c r="A1436" t="inlineStr">
        <is>
          <t>121863</t>
        </is>
      </c>
      <c r="B1436" s="2"/>
      <c r="C1436"/>
      <c r="D1436" s="3">
        <v>46122.47293981481</v>
      </c>
      <c r="E1436" t="inlineStr">
        <is>
          <t>Q2-W02</t>
        </is>
      </c>
      <c r="F1436" t="inlineStr">
        <is>
          <t>Eugene</t>
        </is>
      </c>
      <c r="G1436" t="inlineStr">
        <is>
          <t>Customer</t>
        </is>
      </c>
      <c r="H1436" s="2" t="str">
        <f>=HYPERLINK("https://upbox.ajobthing.my/customer/121863", "https://upbox.ajobthing.my/customer/121863")</f>
        <v>https://upbox.ajobthing.my/customer/121863</v>
      </c>
      <c r="I1436" t="inlineStr">
        <is>
          <t>Greenroom One Three Six Enterprise</t>
        </is>
      </c>
      <c r="J1436" t="inlineStr">
        <is>
          <t>Dolphin</t>
        </is>
      </c>
      <c r="K1436" t="inlineStr">
        <is>
          <t>Eugene</t>
        </is>
      </c>
      <c r="L1436" s="4"/>
      <c r="M1436" s="4">
        <v>46122.47204861111</v>
      </c>
      <c r="N1436"/>
      <c r="O1436">
        <v>3888</v>
      </c>
      <c r="P1436" s="4"/>
      <c r="Q1436" s="4">
        <v>45321.47300925926</v>
      </c>
      <c r="R1436"/>
      <c r="S1436">
        <v>742</v>
      </c>
      <c r="T1436" s="4">
        <v>45321.47300925926</v>
      </c>
      <c r="U1436" s="4"/>
      <c r="V1436"/>
      <c r="W1436">
        <v>742</v>
      </c>
      <c r="X1436"/>
      <c r="Y1436" t="inlineStr">
        <is>
          <t>Pending Appointment</t>
        </is>
      </c>
      <c r="Z1436" t="inlineStr">
        <is>
          <t>Hiring Later</t>
        </is>
      </c>
      <c r="AA1436">
        <v>2</v>
      </c>
      <c r="AB1436" t="inlineStr">
        <is>
          <t>No Appointment Made</t>
        </is>
      </c>
      <c r="AC1436"/>
      <c r="AD1436" t="inlineStr">
        <is>
          <t>2 retails, based in KL</t>
        </is>
      </c>
      <c r="AE1436"/>
      <c r="AF1436">
        <v>3600</v>
      </c>
      <c r="AG1436" s="4"/>
      <c r="AH1436" s="4"/>
      <c r="AI1436">
        <v>3600</v>
      </c>
      <c r="AJ1436">
        <v>1</v>
      </c>
      <c r="AK1436" t="inlineStr">
        <is>
          <t>No, I don't need at all</t>
        </is>
      </c>
      <c r="AL1436">
        <v>1</v>
      </c>
      <c r="AM1436" t="inlineStr">
        <is>
          <t>No, I don't need at all</t>
        </is>
      </c>
      <c r="AN1436"/>
      <c r="AO1436" t="inlineStr">
        <is>
          <t>No, I don't need at all</t>
        </is>
      </c>
      <c r="AP1436" t="inlineStr">
        <is>
          <t>Twice a year (50%)</t>
        </is>
      </c>
      <c r="AQ1436">
        <v>4</v>
      </c>
      <c r="AR1436" t="inlineStr">
        <is>
          <t>Free Job Portal</t>
        </is>
      </c>
      <c r="AS1436" t="inlineStr">
        <is>
          <t>- Headcount: 2
- Hiring Job Details: 2 retails, based in KL
- Hiring Urgency: Hiring Later
- Number of outlets: 1
- Have recruiter team: No, I don't need at all
- Number of recruiter in company: 1
- Have ATS system: No, I don't need at all
- Have career website: No, I don't need at all
- Current hiring budget: RM3,600
- Whole year budget: RM3,600.00
- Whole year number of vacancies: 4
- Hiring frequency: Twice a year (50%)
- External job portal: Free Job Portal</t>
        </is>
      </c>
      <c r="AT1436">
        <v>110</v>
      </c>
      <c r="AU1436" t="inlineStr">
        <is>
          <t>1.10</t>
        </is>
      </c>
      <c r="AV1436" t="inlineStr">
        <is>
          <t>15</t>
        </is>
      </c>
      <c r="AW1436" t="inlineStr">
        <is>
          <t>0</t>
        </is>
      </c>
      <c r="AX1436" t="inlineStr">
        <is>
          <t>Not Qualified</t>
        </is>
      </c>
      <c r="AY1436" s="4"/>
      <c r="AZ1436"/>
      <c r="BA1436"/>
      <c r="BB1436"/>
      <c r="BC1436" t="inlineStr">
        <is>
          <t>posting on socmed first</t>
        </is>
      </c>
      <c r="BD1436" s="4">
        <v>46129.602175925924</v>
      </c>
      <c r="BE1436" t="inlineStr">
        <is>
          <t>paid</t>
        </is>
      </c>
      <c r="BF1436"/>
      <c r="BG1436" t="inlineStr">
        <is>
          <t>Reschedule</t>
        </is>
      </c>
      <c r="BH1436" t="inlineStr">
        <is>
          <t>Edward Hoo</t>
        </is>
      </c>
      <c r="BI1436" t="inlineStr">
        <is>
          <t>Apparel</t>
        </is>
      </c>
      <c r="BJ1436" s="4">
        <v>46144.75025462963</v>
      </c>
      <c r="BK1436" s="4">
        <v>43731.45332175926</v>
      </c>
      <c r="BL1436" t="inlineStr">
        <is>
          <t>0.0</t>
        </is>
      </c>
      <c r="BM1436" t="inlineStr">
        <is>
          <t>0.0</t>
        </is>
      </c>
      <c r="BN1436" t="inlineStr">
        <is>
          <t>View Jobmanager Page</t>
        </is>
      </c>
      <c r="BO1436" s="4">
        <v>45401.675358796296</v>
      </c>
      <c r="BP1436">
        <v>166378</v>
      </c>
      <c r="BQ1436">
        <v>65638</v>
      </c>
      <c r="BR1436" t="inlineStr">
        <is>
          <t>Online</t>
        </is>
      </c>
      <c r="BS1436"/>
      <c r="BT1436">
        <v>65638</v>
      </c>
      <c r="BU1436"/>
      <c r="BV1436">
        <v>2712139</v>
      </c>
      <c r="BW1436" t="inlineStr">
        <is>
          <t>Follow Up : Lost - Free Portal</t>
        </is>
      </c>
      <c r="BX1436"/>
      <c r="BY1436"/>
      <c r="BZ1436" s="4"/>
      <c r="CA1436"/>
      <c r="CB1436"/>
      <c r="CC1436" s="4"/>
      <c r="CD1436" t="inlineStr">
        <is>
          <t>20</t>
        </is>
      </c>
      <c r="CE1436" t="inlineStr">
        <is>
          <t>0</t>
        </is>
      </c>
      <c r="CF1436" t="inlineStr">
        <is>
          <t>Q2-W02</t>
        </is>
      </c>
      <c r="CG1436"/>
      <c r="CH1436"/>
      <c r="CI1436"/>
      <c r="CJ1436" t="inlineStr">
        <is>
          <t>Paid</t>
        </is>
      </c>
      <c r="CK1436" t="inlineStr">
        <is>
          <t>Not Eligible</t>
        </is>
      </c>
      <c r="CL1436"/>
      <c r="CM1436"/>
    </row>
    <row r="1437" ht="25.5" customHeight="1">
      <c r="A1437" t="inlineStr">
        <is>
          <t>203053</t>
        </is>
      </c>
      <c r="B1437" s="2"/>
      <c r="C1437"/>
      <c r="D1437" s="3">
        <v>46122.47740740741</v>
      </c>
      <c r="E1437" t="inlineStr">
        <is>
          <t>Q2-W02</t>
        </is>
      </c>
      <c r="F1437" t="inlineStr">
        <is>
          <t>Evan</t>
        </is>
      </c>
      <c r="G1437" t="inlineStr">
        <is>
          <t>Customer</t>
        </is>
      </c>
      <c r="H1437" s="2" t="str">
        <f>=HYPERLINK("https://upbox.ajobthing.my/customer/203053", "https://upbox.ajobthing.my/customer/203053")</f>
        <v>https://upbox.ajobthing.my/customer/203053</v>
      </c>
      <c r="I1437" t="inlineStr">
        <is>
          <t>Agensi Pekerjaan Kingfisher Recruitment (Malaysia) Sdn Bhd</t>
        </is>
      </c>
      <c r="J1437" t="inlineStr">
        <is>
          <t>Dolphin</t>
        </is>
      </c>
      <c r="K1437" t="inlineStr">
        <is>
          <t>Evan</t>
        </is>
      </c>
      <c r="L1437" s="4"/>
      <c r="M1437" s="4">
        <v>46122.47491898148</v>
      </c>
      <c r="N1437"/>
      <c r="O1437">
        <v>11448</v>
      </c>
      <c r="P1437" s="4"/>
      <c r="Q1437" s="4"/>
      <c r="R1437"/>
      <c r="S1437"/>
      <c r="T1437" s="4"/>
      <c r="U1437" s="4"/>
      <c r="V1437"/>
      <c r="W1437"/>
      <c r="X1437"/>
      <c r="Y1437" t="inlineStr">
        <is>
          <t>Pending Appointment</t>
        </is>
      </c>
      <c r="Z1437" t="inlineStr">
        <is>
          <t>Continuous Hiring</t>
        </is>
      </c>
      <c r="AA1437">
        <v>10</v>
      </c>
      <c r="AB1437" t="inlineStr">
        <is>
          <t>No Appointment Made</t>
        </is>
      </c>
      <c r="AC1437"/>
      <c r="AD1437" t="inlineStr">
        <is>
          <t>10 cx, all base in malaysia</t>
        </is>
      </c>
      <c r="AE1437"/>
      <c r="AF1437">
        <v>1</v>
      </c>
      <c r="AG1437" s="4"/>
      <c r="AH1437" s="4"/>
      <c r="AI1437">
        <v>1</v>
      </c>
      <c r="AJ1437">
        <v>1</v>
      </c>
      <c r="AK1437" t="inlineStr">
        <is>
          <t>Yes, I have</t>
        </is>
      </c>
      <c r="AL1437">
        <v>5</v>
      </c>
      <c r="AM1437" t="inlineStr">
        <is>
          <t>No, I don't need at all</t>
        </is>
      </c>
      <c r="AN1437"/>
      <c r="AO1437" t="inlineStr">
        <is>
          <t>No, I don't need at all</t>
        </is>
      </c>
      <c r="AP1437" t="inlineStr">
        <is>
          <t>Every month (100%)</t>
        </is>
      </c>
      <c r="AQ1437">
        <v>10</v>
      </c>
      <c r="AR1437" t="inlineStr">
        <is>
          <t>Jobstreet</t>
        </is>
      </c>
      <c r="AS1437" t="inlineStr">
        <is>
          <t>- Headcount: 10
- Hiring Job Details: 10 cx, all base in malaysia
- Hiring Urgency: Continuous Hiring
- Number of outlets: 1
- Have recruiter team: Yes
- Number of recruiter in company: 5
- Have ATS system: No, I don't need at all
- Have career website: No, I don't need at all
- Current hiring budget: RM1.00
- Whole year budget: RM1.00
- Whole year number of vacancies: 10
- Hiring frequency: Every month (100%)
- External job portal: Jobstreet</t>
        </is>
      </c>
      <c r="AT1437">
        <v>115</v>
      </c>
      <c r="AU1437" t="inlineStr">
        <is>
          <t>1.15</t>
        </is>
      </c>
      <c r="AV1437" t="inlineStr">
        <is>
          <t>20</t>
        </is>
      </c>
      <c r="AW1437" t="inlineStr">
        <is>
          <t>0</t>
        </is>
      </c>
      <c r="AX1437" t="inlineStr">
        <is>
          <t>Not Qualified</t>
        </is>
      </c>
      <c r="AY1437" s="4"/>
      <c r="AZ1437"/>
      <c r="BA1437"/>
      <c r="BB1437"/>
      <c r="BC1437" t="inlineStr">
        <is>
          <t>long process</t>
        </is>
      </c>
      <c r="BD1437" s="4">
        <v>46135.65859953704</v>
      </c>
      <c r="BE1437"/>
      <c r="BF1437"/>
      <c r="BG1437" t="inlineStr">
        <is>
          <t>Reschedule</t>
        </is>
      </c>
      <c r="BH1437" t="inlineStr">
        <is>
          <t>Edward Hoo</t>
        </is>
      </c>
      <c r="BI1437" t="inlineStr">
        <is>
          <t>HR Mgmt / Consulting</t>
        </is>
      </c>
      <c r="BJ1437" s="4">
        <v>46144.75418981481</v>
      </c>
      <c r="BK1437" s="4">
        <v>46121.614120370374</v>
      </c>
      <c r="BL1437" t="inlineStr">
        <is>
          <t>0.0</t>
        </is>
      </c>
      <c r="BM1437" t="inlineStr">
        <is>
          <t>0.0</t>
        </is>
      </c>
      <c r="BN1437" t="inlineStr">
        <is>
          <t>User Visit(Logged In)</t>
        </is>
      </c>
      <c r="BO1437" s="4">
        <v>46135.75017361111</v>
      </c>
      <c r="BP1437">
        <v>166382</v>
      </c>
      <c r="BQ1437"/>
      <c r="BR1437"/>
      <c r="BS1437"/>
      <c r="BT1437"/>
      <c r="BU1437"/>
      <c r="BV1437">
        <v>2724508</v>
      </c>
      <c r="BW1437" t="inlineStr">
        <is>
          <t>Follow Up : Decision Pending</t>
        </is>
      </c>
      <c r="BX1437"/>
      <c r="BY1437"/>
      <c r="BZ1437" s="4"/>
      <c r="CA1437"/>
      <c r="CB1437"/>
      <c r="CC1437" s="4"/>
      <c r="CD1437" t="inlineStr">
        <is>
          <t>30</t>
        </is>
      </c>
      <c r="CE1437" t="inlineStr">
        <is>
          <t>0</t>
        </is>
      </c>
      <c r="CF1437" t="inlineStr">
        <is>
          <t>Q2-W02</t>
        </is>
      </c>
      <c r="CG1437"/>
      <c r="CH1437"/>
      <c r="CI1437"/>
      <c r="CJ1437" t="inlineStr">
        <is>
          <t>No Paid</t>
        </is>
      </c>
      <c r="CK1437" t="inlineStr">
        <is>
          <t>Eligible</t>
        </is>
      </c>
      <c r="CL1437"/>
      <c r="CM1437"/>
    </row>
    <row r="1438" ht="25.5" customHeight="1">
      <c r="A1438" t="inlineStr">
        <is>
          <t>121863</t>
        </is>
      </c>
      <c r="B1438" s="2"/>
      <c r="C1438"/>
      <c r="D1438" s="3">
        <v>46122.49017361111</v>
      </c>
      <c r="E1438" t="inlineStr">
        <is>
          <t>Q2-W02</t>
        </is>
      </c>
      <c r="F1438" t="inlineStr">
        <is>
          <t>Eugene</t>
        </is>
      </c>
      <c r="G1438" t="inlineStr">
        <is>
          <t>Customer</t>
        </is>
      </c>
      <c r="H1438" s="2" t="str">
        <f>=HYPERLINK("https://upbox.ajobthing.my/customer/121863", "https://upbox.ajobthing.my/customer/121863")</f>
        <v>https://upbox.ajobthing.my/customer/121863</v>
      </c>
      <c r="I1438" t="inlineStr">
        <is>
          <t>Greenroom One Three Six Enterprise</t>
        </is>
      </c>
      <c r="J1438" t="inlineStr">
        <is>
          <t>Dolphin</t>
        </is>
      </c>
      <c r="K1438" t="inlineStr">
        <is>
          <t>Eugene</t>
        </is>
      </c>
      <c r="L1438" s="4"/>
      <c r="M1438" s="4">
        <v>46122.47204861111</v>
      </c>
      <c r="N1438"/>
      <c r="O1438">
        <v>3888</v>
      </c>
      <c r="P1438" s="4"/>
      <c r="Q1438" s="4">
        <v>45321.47300925926</v>
      </c>
      <c r="R1438"/>
      <c r="S1438">
        <v>742</v>
      </c>
      <c r="T1438" s="4">
        <v>45321.47300925926</v>
      </c>
      <c r="U1438" s="4"/>
      <c r="V1438"/>
      <c r="W1438">
        <v>742</v>
      </c>
      <c r="X1438"/>
      <c r="Y1438" t="inlineStr">
        <is>
          <t>Pending Appointment</t>
        </is>
      </c>
      <c r="Z1438" t="inlineStr">
        <is>
          <t>Hiring Now</t>
        </is>
      </c>
      <c r="AA1438">
        <v>2</v>
      </c>
      <c r="AB1438" t="inlineStr">
        <is>
          <t>No Appointment Made</t>
        </is>
      </c>
      <c r="AC1438"/>
      <c r="AD1438" t="inlineStr">
        <is>
          <t>2 retail sales, based in kl</t>
        </is>
      </c>
      <c r="AE1438"/>
      <c r="AF1438">
        <v>3000</v>
      </c>
      <c r="AG1438" s="4"/>
      <c r="AH1438" s="4"/>
      <c r="AI1438">
        <v>3000</v>
      </c>
      <c r="AJ1438">
        <v>1</v>
      </c>
      <c r="AK1438" t="inlineStr">
        <is>
          <t>No, I don't need at all</t>
        </is>
      </c>
      <c r="AL1438">
        <v>1</v>
      </c>
      <c r="AM1438" t="inlineStr">
        <is>
          <t>No, I don't need at all</t>
        </is>
      </c>
      <c r="AN1438"/>
      <c r="AO1438" t="inlineStr">
        <is>
          <t>No, I don't need at all</t>
        </is>
      </c>
      <c r="AP1438" t="inlineStr">
        <is>
          <t>Once a year (25%)</t>
        </is>
      </c>
      <c r="AQ1438">
        <v>4</v>
      </c>
      <c r="AR1438" t="inlineStr">
        <is>
          <t>Free Job Portal</t>
        </is>
      </c>
      <c r="AS1438" t="inlineStr">
        <is>
          <t>- Headcount: 2
- Hiring Job Details: 2 retail sales,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Once a year (25%)
- External job portal: Free Job Portal</t>
        </is>
      </c>
      <c r="AT1438">
        <v>115</v>
      </c>
      <c r="AU1438" t="inlineStr">
        <is>
          <t>1.15</t>
        </is>
      </c>
      <c r="AV1438" t="inlineStr">
        <is>
          <t>15</t>
        </is>
      </c>
      <c r="AW1438" t="inlineStr">
        <is>
          <t>0</t>
        </is>
      </c>
      <c r="AX1438" t="inlineStr">
        <is>
          <t>Not Qualified</t>
        </is>
      </c>
      <c r="AY1438" s="4"/>
      <c r="AZ1438"/>
      <c r="BA1438"/>
      <c r="BB1438"/>
      <c r="BC1438" t="inlineStr">
        <is>
          <t>posting on socmed first</t>
        </is>
      </c>
      <c r="BD1438" s="4">
        <v>46129.602175925924</v>
      </c>
      <c r="BE1438" t="inlineStr">
        <is>
          <t>paid</t>
        </is>
      </c>
      <c r="BF1438"/>
      <c r="BG1438" t="inlineStr">
        <is>
          <t>Reschedule</t>
        </is>
      </c>
      <c r="BH1438" t="inlineStr">
        <is>
          <t>Edward Hoo</t>
        </is>
      </c>
      <c r="BI1438" t="inlineStr">
        <is>
          <t>Apparel</t>
        </is>
      </c>
      <c r="BJ1438" s="4">
        <v>46144.75025462963</v>
      </c>
      <c r="BK1438" s="4">
        <v>43731.45332175926</v>
      </c>
      <c r="BL1438" t="inlineStr">
        <is>
          <t>0.0</t>
        </is>
      </c>
      <c r="BM1438" t="inlineStr">
        <is>
          <t>0.0</t>
        </is>
      </c>
      <c r="BN1438" t="inlineStr">
        <is>
          <t>View Jobmanager Page</t>
        </is>
      </c>
      <c r="BO1438" s="4">
        <v>45401.675358796296</v>
      </c>
      <c r="BP1438">
        <v>166378</v>
      </c>
      <c r="BQ1438">
        <v>65638</v>
      </c>
      <c r="BR1438" t="inlineStr">
        <is>
          <t>Online</t>
        </is>
      </c>
      <c r="BS1438"/>
      <c r="BT1438">
        <v>65638</v>
      </c>
      <c r="BU1438"/>
      <c r="BV1438">
        <v>2712139</v>
      </c>
      <c r="BW1438" t="inlineStr">
        <is>
          <t>Follow Up : Lost - Free Portal</t>
        </is>
      </c>
      <c r="BX1438"/>
      <c r="BY1438"/>
      <c r="BZ1438" s="4"/>
      <c r="CA1438"/>
      <c r="CB1438"/>
      <c r="CC1438" s="4"/>
      <c r="CD1438" t="inlineStr">
        <is>
          <t>20</t>
        </is>
      </c>
      <c r="CE1438" t="inlineStr">
        <is>
          <t>0</t>
        </is>
      </c>
      <c r="CF1438" t="inlineStr">
        <is>
          <t>Q2-W02</t>
        </is>
      </c>
      <c r="CG1438"/>
      <c r="CH1438"/>
      <c r="CI1438"/>
      <c r="CJ1438" t="inlineStr">
        <is>
          <t>Paid</t>
        </is>
      </c>
      <c r="CK1438" t="inlineStr">
        <is>
          <t>Not Eligible</t>
        </is>
      </c>
      <c r="CL1438"/>
      <c r="CM1438"/>
    </row>
    <row r="1439" ht="25.5" customHeight="1">
      <c r="A1439" t="inlineStr">
        <is>
          <t>203079</t>
        </is>
      </c>
      <c r="B1439" s="2"/>
      <c r="C1439"/>
      <c r="D1439" s="3">
        <v>46122.49383101852</v>
      </c>
      <c r="E1439" t="inlineStr">
        <is>
          <t>Q2-W02</t>
        </is>
      </c>
      <c r="F1439" t="inlineStr">
        <is>
          <t>Clover</t>
        </is>
      </c>
      <c r="G1439" t="inlineStr">
        <is>
          <t>Customer</t>
        </is>
      </c>
      <c r="H1439" s="2" t="str">
        <f>=HYPERLINK("https://upbox.ajobthing.my/customer/203079", "https://upbox.ajobthing.my/customer/203079")</f>
        <v>https://upbox.ajobthing.my/customer/203079</v>
      </c>
      <c r="I1439" t="inlineStr">
        <is>
          <t>FLORA SENTOSA SERVICES SDN BHD</t>
        </is>
      </c>
      <c r="J1439" t="inlineStr">
        <is>
          <t>Dolphin</t>
        </is>
      </c>
      <c r="K1439" t="inlineStr">
        <is>
          <t>Clover</t>
        </is>
      </c>
      <c r="L1439" s="4"/>
      <c r="M1439" s="4">
        <v>46122.494421296295</v>
      </c>
      <c r="N1439"/>
      <c r="O1439">
        <v>3888</v>
      </c>
      <c r="P1439" s="4"/>
      <c r="Q1439" s="4">
        <v>46123.11417824074</v>
      </c>
      <c r="R1439"/>
      <c r="S1439">
        <v>0</v>
      </c>
      <c r="T1439" s="4"/>
      <c r="U1439" s="4"/>
      <c r="V1439"/>
      <c r="W1439"/>
      <c r="X1439"/>
      <c r="Y1439" t="inlineStr">
        <is>
          <t>Pending Appointment</t>
        </is>
      </c>
      <c r="Z1439" t="inlineStr">
        <is>
          <t>Hiring Now</t>
        </is>
      </c>
      <c r="AA1439">
        <v>2</v>
      </c>
      <c r="AB1439" t="inlineStr">
        <is>
          <t>No Appointment Made</t>
        </is>
      </c>
      <c r="AC1439"/>
      <c r="AD1439" t="inlineStr">
        <is>
          <t xml:space="preserve">Pic npy , call office 03-7832 5712,  admin x1, lorry driver x1 E license 7.5 tan , prefer malay, prefer email, shah alam, suggest stand, </t>
        </is>
      </c>
      <c r="AE1439"/>
      <c r="AF1439">
        <v>3000</v>
      </c>
      <c r="AG1439" s="4"/>
      <c r="AH1439" s="4"/>
      <c r="AI1439">
        <v>3000</v>
      </c>
      <c r="AJ1439">
        <v>1</v>
      </c>
      <c r="AK1439" t="inlineStr">
        <is>
          <t>No, but I want in future</t>
        </is>
      </c>
      <c r="AL1439">
        <v>1</v>
      </c>
      <c r="AM1439" t="inlineStr">
        <is>
          <t>No, but I want in future</t>
        </is>
      </c>
      <c r="AN1439"/>
      <c r="AO1439" t="inlineStr">
        <is>
          <t>No, but I want in future</t>
        </is>
      </c>
      <c r="AP1439" t="inlineStr">
        <is>
          <t>Twice a year (50%)</t>
        </is>
      </c>
      <c r="AQ1439">
        <v>2</v>
      </c>
      <c r="AR1439" t="inlineStr">
        <is>
          <t>Free Job Portal</t>
        </is>
      </c>
      <c r="AS1439" t="inlineStr">
        <is>
          <t>- Headcount: 2
- Hiring Job Details: 1 admin, 1 E license 7.5 tan lorry driver (prefer Malay, email; Shah Alam; contact 03-7832 5712, suggest stand, Pic npy)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1439">
        <v>115</v>
      </c>
      <c r="AU1439" t="inlineStr">
        <is>
          <t>1.15</t>
        </is>
      </c>
      <c r="AV1439" t="inlineStr">
        <is>
          <t>15</t>
        </is>
      </c>
      <c r="AW1439" t="inlineStr">
        <is>
          <t>0</t>
        </is>
      </c>
      <c r="AX1439" t="inlineStr">
        <is>
          <t>Not Qualified</t>
        </is>
      </c>
      <c r="AY1439" s="4"/>
      <c r="AZ1439"/>
      <c r="BA1439"/>
      <c r="BB1439"/>
      <c r="BC1439" t="inlineStr">
        <is>
          <t>call office 03-7832 5712 Ms Nor Farhana, job filled, anything prefer email</t>
        </is>
      </c>
      <c r="BD1439" s="4">
        <v>46136.70275462963</v>
      </c>
      <c r="BE1439" t="inlineStr">
        <is>
          <t>paid</t>
        </is>
      </c>
      <c r="BF1439"/>
      <c r="BG1439" t="inlineStr">
        <is>
          <t>Reschedule</t>
        </is>
      </c>
      <c r="BH1439" t="inlineStr">
        <is>
          <t>Reagen</t>
        </is>
      </c>
      <c r="BI1439"/>
      <c r="BJ1439" s="4">
        <v>46144.754212962966</v>
      </c>
      <c r="BK1439" s="4">
        <v>46122.487349537034</v>
      </c>
      <c r="BL1439" t="inlineStr">
        <is>
          <t>0.0</t>
        </is>
      </c>
      <c r="BM1439" t="inlineStr">
        <is>
          <t>0.0</t>
        </is>
      </c>
      <c r="BN1439"/>
      <c r="BO1439" s="4"/>
      <c r="BP1439">
        <v>166390</v>
      </c>
      <c r="BQ1439">
        <v>121822</v>
      </c>
      <c r="BR1439" t="inlineStr">
        <is>
          <t>Proforma</t>
        </is>
      </c>
      <c r="BS1439" t="inlineStr">
        <is>
          <t>Free Singapore Job</t>
        </is>
      </c>
      <c r="BT1439"/>
      <c r="BU1439"/>
      <c r="BV1439">
        <v>2727153</v>
      </c>
      <c r="BW1439" t="inlineStr">
        <is>
          <t>Follow Up : Lost - Free Portal</t>
        </is>
      </c>
      <c r="BX1439"/>
      <c r="BY1439"/>
      <c r="BZ1439" s="4"/>
      <c r="CA1439"/>
      <c r="CB1439"/>
      <c r="CC1439" s="4"/>
      <c r="CD1439" t="inlineStr">
        <is>
          <t>20</t>
        </is>
      </c>
      <c r="CE1439" t="inlineStr">
        <is>
          <t>0</t>
        </is>
      </c>
      <c r="CF1439" t="inlineStr">
        <is>
          <t>Q2-W02</t>
        </is>
      </c>
      <c r="CG1439" t="inlineStr">
        <is>
          <t>Q2-W02</t>
        </is>
      </c>
      <c r="CH1439"/>
      <c r="CI1439"/>
      <c r="CJ1439" t="inlineStr">
        <is>
          <t>No Paid</t>
        </is>
      </c>
      <c r="CK1439" t="inlineStr">
        <is>
          <t>Not Eligible</t>
        </is>
      </c>
      <c r="CL1439"/>
      <c r="CM1439"/>
    </row>
    <row r="1440" ht="25.5" customHeight="1">
      <c r="A1440" t="inlineStr">
        <is>
          <t>29231</t>
        </is>
      </c>
      <c r="B1440" s="2"/>
      <c r="C1440"/>
      <c r="D1440" s="3">
        <v>46122.494675925926</v>
      </c>
      <c r="E1440" t="inlineStr">
        <is>
          <t>Q2-W02</t>
        </is>
      </c>
      <c r="F1440" t="inlineStr">
        <is>
          <t>Jia Hui</t>
        </is>
      </c>
      <c r="G1440" t="inlineStr">
        <is>
          <t>Customer</t>
        </is>
      </c>
      <c r="H1440" s="2" t="str">
        <f>=HYPERLINK("https://upbox.ajobthing.my/customer/29231", "https://upbox.ajobthing.my/customer/29231")</f>
        <v>https://upbox.ajobthing.my/customer/29231</v>
      </c>
      <c r="I1440" t="inlineStr">
        <is>
          <t>Luxbee Enterprise Sdn Bhd</t>
        </is>
      </c>
      <c r="J1440" t="inlineStr">
        <is>
          <t>Dolphin</t>
        </is>
      </c>
      <c r="K1440" t="inlineStr">
        <is>
          <t>Jia Hui</t>
        </is>
      </c>
      <c r="L1440" s="4"/>
      <c r="M1440" s="4">
        <v>46122.49230324074</v>
      </c>
      <c r="N1440"/>
      <c r="O1440">
        <v>6048</v>
      </c>
      <c r="P1440" s="4"/>
      <c r="Q1440" s="4">
        <v>45688.580196759256</v>
      </c>
      <c r="R1440"/>
      <c r="S1440">
        <v>4498.2</v>
      </c>
      <c r="T1440" s="4">
        <v>45688.580196759256</v>
      </c>
      <c r="U1440" s="4"/>
      <c r="V1440"/>
      <c r="W1440">
        <v>4498.2</v>
      </c>
      <c r="X1440"/>
      <c r="Y1440" t="inlineStr">
        <is>
          <t>Pending Appointment</t>
        </is>
      </c>
      <c r="Z1440" t="inlineStr">
        <is>
          <t>Hiring Later</t>
        </is>
      </c>
      <c r="AA1440">
        <v>2</v>
      </c>
      <c r="AB1440" t="inlineStr">
        <is>
          <t>No Appointment Made</t>
        </is>
      </c>
      <c r="AC1440"/>
      <c r="AD1440" t="inlineStr">
        <is>
          <t>1 admin, 1 customer service</t>
        </is>
      </c>
      <c r="AE1440"/>
      <c r="AF1440">
        <v>500</v>
      </c>
      <c r="AG1440" s="4"/>
      <c r="AH1440" s="4"/>
      <c r="AI1440"/>
      <c r="AJ1440"/>
      <c r="AK1440" t="inlineStr">
        <is>
          <t>Yes, I have</t>
        </is>
      </c>
      <c r="AL1440"/>
      <c r="AM1440"/>
      <c r="AN1440"/>
      <c r="AO1440"/>
      <c r="AP1440" t="inlineStr">
        <is>
          <t>Once a year (25%)</t>
        </is>
      </c>
      <c r="AQ1440"/>
      <c r="AR1440"/>
      <c r="AS1440" t="inlineStr">
        <is>
          <t>- Headcount: 2
- Hiring Job Details: 1 admin, 1 customer service
- Hiring Urgency: Hiring Later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440">
        <v>75</v>
      </c>
      <c r="AU1440" t="inlineStr">
        <is>
          <t>0.75</t>
        </is>
      </c>
      <c r="AV1440" t="inlineStr">
        <is>
          <t>15</t>
        </is>
      </c>
      <c r="AW1440" t="inlineStr">
        <is>
          <t>0</t>
        </is>
      </c>
      <c r="AX1440" t="inlineStr">
        <is>
          <t>Not Qualified</t>
        </is>
      </c>
      <c r="AY1440" s="4"/>
      <c r="AZ1440"/>
      <c r="BA1440"/>
      <c r="BB1440"/>
      <c r="BC1440" t="inlineStr">
        <is>
          <t>no hiring atm, will let me know if have any hiring plan, usually company will let her know on the spot if needed</t>
        </is>
      </c>
      <c r="BD1440" s="4">
        <v>46129.718194444446</v>
      </c>
      <c r="BE1440" t="inlineStr">
        <is>
          <t>paid</t>
        </is>
      </c>
      <c r="BF1440"/>
      <c r="BG1440" t="inlineStr">
        <is>
          <t>Reschedule</t>
        </is>
      </c>
      <c r="BH1440" t="inlineStr">
        <is>
          <t>Reagen</t>
        </is>
      </c>
      <c r="BI1440" t="inlineStr">
        <is>
          <t>Construction / Building</t>
        </is>
      </c>
      <c r="BJ1440" s="4">
        <v>46144.75451388889</v>
      </c>
      <c r="BK1440" s="4">
        <v>42642.62262731481</v>
      </c>
      <c r="BL1440" t="inlineStr">
        <is>
          <t>0.0</t>
        </is>
      </c>
      <c r="BM1440" t="inlineStr">
        <is>
          <t>1200.0</t>
        </is>
      </c>
      <c r="BN1440" t="inlineStr">
        <is>
          <t>View Jobmanager Page</t>
        </is>
      </c>
      <c r="BO1440" s="4">
        <v>46132.47248842593</v>
      </c>
      <c r="BP1440">
        <v>166389</v>
      </c>
      <c r="BQ1440">
        <v>76422</v>
      </c>
      <c r="BR1440" t="inlineStr">
        <is>
          <t>Online</t>
        </is>
      </c>
      <c r="BS1440"/>
      <c r="BT1440">
        <v>76422</v>
      </c>
      <c r="BU1440"/>
      <c r="BV1440">
        <v>2713540</v>
      </c>
      <c r="BW1440" t="inlineStr">
        <is>
          <t>Inquire for Hiring Needs : No Hiring</t>
        </is>
      </c>
      <c r="BX1440"/>
      <c r="BY1440"/>
      <c r="BZ1440" s="4"/>
      <c r="CA1440"/>
      <c r="CB1440"/>
      <c r="CC1440" s="4"/>
      <c r="CD1440" t="inlineStr">
        <is>
          <t>20</t>
        </is>
      </c>
      <c r="CE1440" t="inlineStr">
        <is>
          <t>0</t>
        </is>
      </c>
      <c r="CF1440" t="inlineStr">
        <is>
          <t>Q2-W02</t>
        </is>
      </c>
      <c r="CG1440"/>
      <c r="CH1440"/>
      <c r="CI1440"/>
      <c r="CJ1440" t="inlineStr">
        <is>
          <t>Paid</t>
        </is>
      </c>
      <c r="CK1440" t="inlineStr">
        <is>
          <t>Not Eligible</t>
        </is>
      </c>
      <c r="CL1440"/>
      <c r="CM1440"/>
    </row>
    <row r="1441" ht="25.5" customHeight="1">
      <c r="A1441" t="inlineStr">
        <is>
          <t>176738</t>
        </is>
      </c>
      <c r="B1441" s="2"/>
      <c r="C1441"/>
      <c r="D1441" s="3">
        <v>46122.49664351852</v>
      </c>
      <c r="E1441" t="inlineStr">
        <is>
          <t>Q2-W02</t>
        </is>
      </c>
      <c r="F1441" t="inlineStr">
        <is>
          <t>Ken Yi</t>
        </is>
      </c>
      <c r="G1441" t="inlineStr">
        <is>
          <t>Customer</t>
        </is>
      </c>
      <c r="H1441" s="2" t="str">
        <f>=HYPERLINK("https://upbox.ajobthing.my/customer/176738", "https://upbox.ajobthing.my/customer/176738")</f>
        <v>https://upbox.ajobthing.my/customer/176738</v>
      </c>
      <c r="I1441" t="inlineStr">
        <is>
          <t>Digital Furniture Sdn. Bhd.</t>
        </is>
      </c>
      <c r="J1441" t="inlineStr">
        <is>
          <t>Dolphin</t>
        </is>
      </c>
      <c r="K1441" t="inlineStr">
        <is>
          <t>Kenyi</t>
        </is>
      </c>
      <c r="L1441" s="4"/>
      <c r="M1441" s="4">
        <v>46122.47388888889</v>
      </c>
      <c r="N1441"/>
      <c r="O1441">
        <v>10800</v>
      </c>
      <c r="P1441" s="4"/>
      <c r="Q1441" s="4">
        <v>45764.60273148148</v>
      </c>
      <c r="R1441"/>
      <c r="S1441">
        <v>3672</v>
      </c>
      <c r="T1441" s="4">
        <v>45764.60273148148</v>
      </c>
      <c r="U1441" s="4"/>
      <c r="V1441"/>
      <c r="W1441">
        <v>3672</v>
      </c>
      <c r="X1441"/>
      <c r="Y1441" t="inlineStr">
        <is>
          <t>Pending Appointment</t>
        </is>
      </c>
      <c r="Z1441" t="inlineStr">
        <is>
          <t>Hiring Now</t>
        </is>
      </c>
      <c r="AA1441">
        <v>1</v>
      </c>
      <c r="AB1441" t="inlineStr">
        <is>
          <t>No Appointment Made</t>
        </is>
      </c>
      <c r="AC1441"/>
      <c r="AD1441" t="inlineStr">
        <is>
          <t>Marketing 1</t>
        </is>
      </c>
      <c r="AE1441"/>
      <c r="AF1441">
        <v>0</v>
      </c>
      <c r="AG1441" s="4"/>
      <c r="AH1441" s="4"/>
      <c r="AI1441">
        <v>0</v>
      </c>
      <c r="AJ1441">
        <v>1</v>
      </c>
      <c r="AK1441"/>
      <c r="AL1441">
        <v>0</v>
      </c>
      <c r="AM1441" t="inlineStr">
        <is>
          <t>No, I don't need at all</t>
        </is>
      </c>
      <c r="AN1441"/>
      <c r="AO1441" t="inlineStr">
        <is>
          <t>No, I don't need at all</t>
        </is>
      </c>
      <c r="AP1441" t="inlineStr">
        <is>
          <t>Every month (100%)</t>
        </is>
      </c>
      <c r="AQ1441">
        <v>0</v>
      </c>
      <c r="AR1441" t="inlineStr">
        <is>
          <t>Jobstreet</t>
        </is>
      </c>
      <c r="AS1441" t="inlineStr">
        <is>
          <t>- Headcount: 1
- Hiring Job Details: 1 Marketing
- Hiring Urgency: Hiring Now
- Number of outlets: 1
- Have recruiter team: Not specified
- Number of recruiter in company: 0
- Have ATS system: No, I don't need at all
- Have career website: No, I don't need at all
- Current hiring budget: RM0.00
- Whole year budget: RM0.00
- Whole year number of vacancies: 0
- Hiring frequency: Every month (100%)
- External job portal: Jobstreet</t>
        </is>
      </c>
      <c r="AT1441">
        <v>95</v>
      </c>
      <c r="AU1441" t="inlineStr">
        <is>
          <t>0.95</t>
        </is>
      </c>
      <c r="AV1441" t="inlineStr">
        <is>
          <t>15</t>
        </is>
      </c>
      <c r="AW1441" t="inlineStr">
        <is>
          <t>0</t>
        </is>
      </c>
      <c r="AX1441" t="inlineStr">
        <is>
          <t>Not Qualified</t>
        </is>
      </c>
      <c r="AY1441" s="4"/>
      <c r="AZ1441"/>
      <c r="BA1441"/>
      <c r="BB1441"/>
      <c r="BC1441" t="inlineStr">
        <is>
          <t>- Headcount: 1
- Hiring Job Details: 1 Marketing
- Hiring Urgency: Hiring Now
- Number of outlets: 1
- Have recruiter team: Not specified
- Number of recruiter in company: 0
- Have ATS system: No, I don't need at all
- Have career website: No, I don't need at all
- Current hiring budget: RM0.00
- Whole year budget: RM0.00
- Whole year number of vacancies: 0
- Hiring frequency: Every month (100%)
- External job portal: Jobstreet</t>
        </is>
      </c>
      <c r="BD1441" s="4">
        <v>46122.50003472222</v>
      </c>
      <c r="BE1441" t="inlineStr">
        <is>
          <t>paid</t>
        </is>
      </c>
      <c r="BF1441"/>
      <c r="BG1441" t="inlineStr">
        <is>
          <t>Reschedule</t>
        </is>
      </c>
      <c r="BH1441" t="inlineStr">
        <is>
          <t>Fauziah Maharan</t>
        </is>
      </c>
      <c r="BI1441" t="inlineStr">
        <is>
          <t>Manufacturing / Production</t>
        </is>
      </c>
      <c r="BJ1441" s="4">
        <v>46144.751655092594</v>
      </c>
      <c r="BK1441" s="4">
        <v>45376.57302083333</v>
      </c>
      <c r="BL1441" t="inlineStr">
        <is>
          <t>3672.0</t>
        </is>
      </c>
      <c r="BM1441" t="inlineStr">
        <is>
          <t>0.0</t>
        </is>
      </c>
      <c r="BN1441" t="inlineStr">
        <is>
          <t>People Search Page : Unlock Candidate</t>
        </is>
      </c>
      <c r="BO1441" s="4">
        <v>46122.60270833333</v>
      </c>
      <c r="BP1441">
        <v>166380</v>
      </c>
      <c r="BQ1441">
        <v>78554</v>
      </c>
      <c r="BR1441" t="inlineStr">
        <is>
          <t>Online</t>
        </is>
      </c>
      <c r="BS1441"/>
      <c r="BT1441">
        <v>78554</v>
      </c>
      <c r="BU1441"/>
      <c r="BV1441">
        <v>2697876</v>
      </c>
      <c r="BW1441" t="inlineStr">
        <is>
          <t>Customer Inquiry</t>
        </is>
      </c>
      <c r="BX1441"/>
      <c r="BY1441"/>
      <c r="BZ1441" s="4"/>
      <c r="CA1441"/>
      <c r="CB1441"/>
      <c r="CC1441" s="4"/>
      <c r="CD1441" t="inlineStr">
        <is>
          <t>20</t>
        </is>
      </c>
      <c r="CE1441" t="inlineStr">
        <is>
          <t>0</t>
        </is>
      </c>
      <c r="CF1441" t="inlineStr">
        <is>
          <t>Q2-W02</t>
        </is>
      </c>
      <c r="CG1441"/>
      <c r="CH1441"/>
      <c r="CI1441"/>
      <c r="CJ1441" t="inlineStr">
        <is>
          <t>Paid</t>
        </is>
      </c>
      <c r="CK1441" t="inlineStr">
        <is>
          <t>Not Eligible</t>
        </is>
      </c>
      <c r="CL1441"/>
      <c r="CM1441"/>
    </row>
    <row r="1442" ht="25.5" customHeight="1">
      <c r="A1442" t="inlineStr">
        <is>
          <t>190949</t>
        </is>
      </c>
      <c r="B1442" s="2"/>
      <c r="C1442"/>
      <c r="D1442" s="3">
        <v>46122.496770833335</v>
      </c>
      <c r="E1442" t="inlineStr">
        <is>
          <t>Q2-W02</t>
        </is>
      </c>
      <c r="F1442" t="inlineStr">
        <is>
          <t>Dickson</t>
        </is>
      </c>
      <c r="G1442" t="inlineStr">
        <is>
          <t>Customer</t>
        </is>
      </c>
      <c r="H1442" s="2" t="str">
        <f>=HYPERLINK("https://upbox.ajobthing.my/customer/190949", "https://upbox.ajobthing.my/customer/190949")</f>
        <v>https://upbox.ajobthing.my/customer/190949</v>
      </c>
      <c r="I1442" t="inlineStr">
        <is>
          <t>Artechra Sdn Bhd</t>
        </is>
      </c>
      <c r="J1442" t="inlineStr">
        <is>
          <t>Dolphin</t>
        </is>
      </c>
      <c r="K1442" t="inlineStr">
        <is>
          <t>Dickson</t>
        </is>
      </c>
      <c r="L1442" s="4"/>
      <c r="M1442" s="4">
        <v>46122.49797453704</v>
      </c>
      <c r="N1442"/>
      <c r="O1442">
        <v>3672</v>
      </c>
      <c r="P1442" s="4"/>
      <c r="Q1442" s="4">
        <v>45791.438101851854</v>
      </c>
      <c r="R1442"/>
      <c r="S1442">
        <v>648</v>
      </c>
      <c r="T1442" s="4">
        <v>45791.438101851854</v>
      </c>
      <c r="U1442" s="4"/>
      <c r="V1442"/>
      <c r="W1442">
        <v>648</v>
      </c>
      <c r="X1442"/>
      <c r="Y1442" t="inlineStr">
        <is>
          <t>Pending Appointment</t>
        </is>
      </c>
      <c r="Z1442" t="inlineStr">
        <is>
          <t>Hiring Now</t>
        </is>
      </c>
      <c r="AA1442">
        <v>2</v>
      </c>
      <c r="AB1442" t="inlineStr">
        <is>
          <t>No Appointment Made</t>
        </is>
      </c>
      <c r="AC1442"/>
      <c r="AD1442" t="inlineStr">
        <is>
          <t>1 operation executive, 1 admin</t>
        </is>
      </c>
      <c r="AE1442"/>
      <c r="AF1442"/>
      <c r="AG1442" s="4"/>
      <c r="AH1442" s="4"/>
      <c r="AI1442"/>
      <c r="AJ1442">
        <v>1</v>
      </c>
      <c r="AK1442" t="inlineStr">
        <is>
          <t>No, I don't need at all</t>
        </is>
      </c>
      <c r="AL1442"/>
      <c r="AM1442" t="inlineStr">
        <is>
          <t>No, I don't need at all</t>
        </is>
      </c>
      <c r="AN1442"/>
      <c r="AO1442" t="inlineStr">
        <is>
          <t>No, I don't need at all</t>
        </is>
      </c>
      <c r="AP1442" t="inlineStr">
        <is>
          <t>Once per quarter (75%)</t>
        </is>
      </c>
      <c r="AQ1442"/>
      <c r="AR1442" t="inlineStr">
        <is>
          <t>Jobstreet</t>
        </is>
      </c>
      <c r="AS1442" t="inlineStr">
        <is>
          <t>- Headcount: 2
- Hiring Job Details: 1 operation executive, 1 admin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442">
        <v>95</v>
      </c>
      <c r="AU1442" t="inlineStr">
        <is>
          <t>0.95</t>
        </is>
      </c>
      <c r="AV1442" t="inlineStr">
        <is>
          <t>5</t>
        </is>
      </c>
      <c r="AW1442" t="inlineStr">
        <is>
          <t>0</t>
        </is>
      </c>
      <c r="AX1442" t="inlineStr">
        <is>
          <t>Not Qualified</t>
        </is>
      </c>
      <c r="AY1442" s="4"/>
      <c r="AZ1442"/>
      <c r="BA1442"/>
      <c r="BB1442"/>
      <c r="BC1442" t="inlineStr">
        <is>
          <t>previous bad experience, budget concern, not willing to try again. just share promo</t>
        </is>
      </c>
      <c r="BD1442" s="4">
        <v>46122.500393518516</v>
      </c>
      <c r="BE1442" t="inlineStr">
        <is>
          <t>paid</t>
        </is>
      </c>
      <c r="BF1442"/>
      <c r="BG1442" t="inlineStr">
        <is>
          <t>Reschedule</t>
        </is>
      </c>
      <c r="BH1442" t="inlineStr">
        <is>
          <t>Edward Hoo</t>
        </is>
      </c>
      <c r="BI1442" t="inlineStr">
        <is>
          <t>Advertising / Marketing</t>
        </is>
      </c>
      <c r="BJ1442" s="4">
        <v>46144.75239583333</v>
      </c>
      <c r="BK1442" s="4">
        <v>45784.59478009259</v>
      </c>
      <c r="BL1442" t="inlineStr">
        <is>
          <t>648.0</t>
        </is>
      </c>
      <c r="BM1442" t="inlineStr">
        <is>
          <t>600.0</t>
        </is>
      </c>
      <c r="BN1442" t="inlineStr">
        <is>
          <t>PA Visit - Applicant Manager</t>
        </is>
      </c>
      <c r="BO1442" s="4">
        <v>45831.665</v>
      </c>
      <c r="BP1442">
        <v>166395</v>
      </c>
      <c r="BQ1442">
        <v>79243</v>
      </c>
      <c r="BR1442" t="inlineStr">
        <is>
          <t>Online</t>
        </is>
      </c>
      <c r="BS1442"/>
      <c r="BT1442">
        <v>79243</v>
      </c>
      <c r="BU1442"/>
      <c r="BV1442">
        <v>2697883</v>
      </c>
      <c r="BW1442" t="inlineStr">
        <is>
          <t>Inquire for Hiring Needs : Budget Concern</t>
        </is>
      </c>
      <c r="BX1442"/>
      <c r="BY1442"/>
      <c r="BZ1442" s="4"/>
      <c r="CA1442"/>
      <c r="CB1442"/>
      <c r="CC1442" s="4"/>
      <c r="CD1442" t="inlineStr">
        <is>
          <t>5</t>
        </is>
      </c>
      <c r="CE1442" t="inlineStr">
        <is>
          <t>0</t>
        </is>
      </c>
      <c r="CF1442" t="inlineStr">
        <is>
          <t>Q2-W02</t>
        </is>
      </c>
      <c r="CG1442"/>
      <c r="CH1442"/>
      <c r="CI1442"/>
      <c r="CJ1442" t="inlineStr">
        <is>
          <t>Paid</t>
        </is>
      </c>
      <c r="CK1442" t="inlineStr">
        <is>
          <t>Not Eligible</t>
        </is>
      </c>
      <c r="CL1442"/>
      <c r="CM1442"/>
    </row>
    <row r="1443" ht="25.5" customHeight="1">
      <c r="A1443" t="inlineStr">
        <is>
          <t>203079</t>
        </is>
      </c>
      <c r="B1443" s="2"/>
      <c r="C1443"/>
      <c r="D1443" s="3">
        <v>46122.49998842592</v>
      </c>
      <c r="E1443" t="inlineStr">
        <is>
          <t>Q2-W02</t>
        </is>
      </c>
      <c r="F1443" t="inlineStr">
        <is>
          <t>Clover</t>
        </is>
      </c>
      <c r="G1443" t="inlineStr">
        <is>
          <t>Customer</t>
        </is>
      </c>
      <c r="H1443" s="2" t="str">
        <f>=HYPERLINK("https://upbox.ajobthing.my/customer/203079", "https://upbox.ajobthing.my/customer/203079")</f>
        <v>https://upbox.ajobthing.my/customer/203079</v>
      </c>
      <c r="I1443" t="inlineStr">
        <is>
          <t>FLORA SENTOSA SERVICES SDN BHD</t>
        </is>
      </c>
      <c r="J1443" t="inlineStr">
        <is>
          <t>Dolphin</t>
        </is>
      </c>
      <c r="K1443" t="inlineStr">
        <is>
          <t>Clover</t>
        </is>
      </c>
      <c r="L1443" s="4"/>
      <c r="M1443" s="4">
        <v>46122.494421296295</v>
      </c>
      <c r="N1443"/>
      <c r="O1443">
        <v>3888</v>
      </c>
      <c r="P1443" s="4"/>
      <c r="Q1443" s="4">
        <v>46123.11417824074</v>
      </c>
      <c r="R1443"/>
      <c r="S1443">
        <v>0</v>
      </c>
      <c r="T1443" s="4"/>
      <c r="U1443" s="4"/>
      <c r="V1443"/>
      <c r="W1443"/>
      <c r="X1443"/>
      <c r="Y1443" t="inlineStr">
        <is>
          <t>Pending Appointment</t>
        </is>
      </c>
      <c r="Z1443" t="inlineStr">
        <is>
          <t>Hiring Now</t>
        </is>
      </c>
      <c r="AA1443">
        <v>2</v>
      </c>
      <c r="AB1443" t="inlineStr">
        <is>
          <t>No Appointment Made</t>
        </is>
      </c>
      <c r="AC1443"/>
      <c r="AD1443" t="inlineStr">
        <is>
          <t>Pic npy , call office 03-7832 5712, admin x1, lorry driver x1 E license 7.5 tan , prefer malay, try indeed free result ok, survey now, prefer email, shah alam, suggest stand</t>
        </is>
      </c>
      <c r="AE1443"/>
      <c r="AF1443">
        <v>3000</v>
      </c>
      <c r="AG1443" s="4"/>
      <c r="AH1443" s="4"/>
      <c r="AI1443">
        <v>3000</v>
      </c>
      <c r="AJ1443">
        <v>1</v>
      </c>
      <c r="AK1443" t="inlineStr">
        <is>
          <t>No, but I want in future</t>
        </is>
      </c>
      <c r="AL1443">
        <v>1</v>
      </c>
      <c r="AM1443" t="inlineStr">
        <is>
          <t>No, but I want in future</t>
        </is>
      </c>
      <c r="AN1443"/>
      <c r="AO1443" t="inlineStr">
        <is>
          <t>No, but I want in future</t>
        </is>
      </c>
      <c r="AP1443" t="inlineStr">
        <is>
          <t>Twice a year (50%)</t>
        </is>
      </c>
      <c r="AQ1443">
        <v>2</v>
      </c>
      <c r="AR1443" t="inlineStr">
        <is>
          <t>Did not use any job portal</t>
        </is>
      </c>
      <c r="AS1443" t="inlineStr">
        <is>
          <t>- Headcount: 2
- Hiring Job Details: 1 admin, 1 lorry driver (E license, 7.5 tan; prefer Malay, email; Shah Alam; suggest stand, survey now; call 03-7832 5712; try Indeed free)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is>
      </c>
      <c r="AT1443">
        <v>115</v>
      </c>
      <c r="AU1443" t="inlineStr">
        <is>
          <t>1.15</t>
        </is>
      </c>
      <c r="AV1443" t="inlineStr">
        <is>
          <t>15</t>
        </is>
      </c>
      <c r="AW1443" t="inlineStr">
        <is>
          <t>0</t>
        </is>
      </c>
      <c r="AX1443" t="inlineStr">
        <is>
          <t>Not Qualified</t>
        </is>
      </c>
      <c r="AY1443" s="4"/>
      <c r="AZ1443"/>
      <c r="BA1443"/>
      <c r="BB1443"/>
      <c r="BC1443" t="inlineStr">
        <is>
          <t>call office 03-7832 5712 Ms Nor Farhana, job filled, anything prefer email</t>
        </is>
      </c>
      <c r="BD1443" s="4">
        <v>46136.70275462963</v>
      </c>
      <c r="BE1443" t="inlineStr">
        <is>
          <t>paid</t>
        </is>
      </c>
      <c r="BF1443"/>
      <c r="BG1443" t="inlineStr">
        <is>
          <t>Reschedule</t>
        </is>
      </c>
      <c r="BH1443" t="inlineStr">
        <is>
          <t>Reagen</t>
        </is>
      </c>
      <c r="BI1443"/>
      <c r="BJ1443" s="4">
        <v>46144.754212962966</v>
      </c>
      <c r="BK1443" s="4">
        <v>46122.487349537034</v>
      </c>
      <c r="BL1443" t="inlineStr">
        <is>
          <t>0.0</t>
        </is>
      </c>
      <c r="BM1443" t="inlineStr">
        <is>
          <t>0.0</t>
        </is>
      </c>
      <c r="BN1443"/>
      <c r="BO1443" s="4"/>
      <c r="BP1443">
        <v>166390</v>
      </c>
      <c r="BQ1443">
        <v>121822</v>
      </c>
      <c r="BR1443" t="inlineStr">
        <is>
          <t>Proforma</t>
        </is>
      </c>
      <c r="BS1443" t="inlineStr">
        <is>
          <t>Free Singapore Job</t>
        </is>
      </c>
      <c r="BT1443"/>
      <c r="BU1443"/>
      <c r="BV1443">
        <v>2727153</v>
      </c>
      <c r="BW1443" t="inlineStr">
        <is>
          <t>Follow Up : Lost - Free Portal</t>
        </is>
      </c>
      <c r="BX1443"/>
      <c r="BY1443"/>
      <c r="BZ1443" s="4"/>
      <c r="CA1443"/>
      <c r="CB1443"/>
      <c r="CC1443" s="4"/>
      <c r="CD1443" t="inlineStr">
        <is>
          <t>20</t>
        </is>
      </c>
      <c r="CE1443" t="inlineStr">
        <is>
          <t>0</t>
        </is>
      </c>
      <c r="CF1443" t="inlineStr">
        <is>
          <t>Q2-W02</t>
        </is>
      </c>
      <c r="CG1443" t="inlineStr">
        <is>
          <t>Q2-W02</t>
        </is>
      </c>
      <c r="CH1443"/>
      <c r="CI1443"/>
      <c r="CJ1443" t="inlineStr">
        <is>
          <t>No Paid</t>
        </is>
      </c>
      <c r="CK1443" t="inlineStr">
        <is>
          <t>Not Eligible</t>
        </is>
      </c>
      <c r="CL1443"/>
      <c r="CM1443"/>
    </row>
    <row r="1444" ht="25.5" customHeight="1">
      <c r="A1444" t="inlineStr">
        <is>
          <t>200525</t>
        </is>
      </c>
      <c r="B1444" s="2"/>
      <c r="C1444"/>
      <c r="D1444" s="3">
        <v>46122.50638888889</v>
      </c>
      <c r="E1444" t="inlineStr">
        <is>
          <t>Q2-W02</t>
        </is>
      </c>
      <c r="F1444" t="inlineStr">
        <is>
          <t>Josh</t>
        </is>
      </c>
      <c r="G1444" t="inlineStr">
        <is>
          <t>Customer</t>
        </is>
      </c>
      <c r="H1444" s="2" t="str">
        <f>=HYPERLINK("https://upbox.ajobthing.my/customer/200525", "https://upbox.ajobthing.my/customer/200525")</f>
        <v>https://upbox.ajobthing.my/customer/200525</v>
      </c>
      <c r="I1444" t="inlineStr">
        <is>
          <t>Ezzah Elia &amp; Associates</t>
        </is>
      </c>
      <c r="J1444" t="inlineStr">
        <is>
          <t>Dolphin</t>
        </is>
      </c>
      <c r="K1444" t="inlineStr">
        <is>
          <t>Josh</t>
        </is>
      </c>
      <c r="L1444" s="4"/>
      <c r="M1444" s="4">
        <v>46122.506516203706</v>
      </c>
      <c r="N1444"/>
      <c r="O1444">
        <v>3888</v>
      </c>
      <c r="P1444" s="4"/>
      <c r="Q1444" s="4">
        <v>46043.58642361111</v>
      </c>
      <c r="R1444"/>
      <c r="S1444">
        <v>0</v>
      </c>
      <c r="T1444" s="4"/>
      <c r="U1444" s="4"/>
      <c r="V1444"/>
      <c r="W1444"/>
      <c r="X1444"/>
      <c r="Y1444" t="inlineStr">
        <is>
          <t>Pending Appointment</t>
        </is>
      </c>
      <c r="Z1444" t="inlineStr">
        <is>
          <t>Hiring Now</t>
        </is>
      </c>
      <c r="AA1444">
        <v>1</v>
      </c>
      <c r="AB1444" t="inlineStr">
        <is>
          <t>No Appointment Made</t>
        </is>
      </c>
      <c r="AC1444"/>
      <c r="AD1444" t="inlineStr">
        <is>
          <t>1 admin</t>
        </is>
      </c>
      <c r="AE1444"/>
      <c r="AF1444">
        <v>3000</v>
      </c>
      <c r="AG1444" s="4"/>
      <c r="AH1444" s="4"/>
      <c r="AI1444"/>
      <c r="AJ1444"/>
      <c r="AK1444" t="inlineStr">
        <is>
          <t>Yes, I have</t>
        </is>
      </c>
      <c r="AL1444"/>
      <c r="AM1444"/>
      <c r="AN1444"/>
      <c r="AO1444"/>
      <c r="AP1444" t="inlineStr">
        <is>
          <t>Once a year (25%)</t>
        </is>
      </c>
      <c r="AQ1444"/>
      <c r="AR1444"/>
      <c r="AS1444" t="inlineStr">
        <is>
          <t>- Headcount: 1
- Hiring Job Details: 1 admin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444">
        <v>75</v>
      </c>
      <c r="AU1444" t="inlineStr">
        <is>
          <t>0.75</t>
        </is>
      </c>
      <c r="AV1444" t="inlineStr">
        <is>
          <t>15</t>
        </is>
      </c>
      <c r="AW1444" t="inlineStr">
        <is>
          <t>0</t>
        </is>
      </c>
      <c r="AX1444" t="inlineStr">
        <is>
          <t>Not Qualified</t>
        </is>
      </c>
      <c r="AY1444" s="4"/>
      <c r="AZ1444"/>
      <c r="BA1444"/>
      <c r="BB1444"/>
      <c r="BC1444" t="inlineStr">
        <is>
          <t>- Headcount: 1
- Hiring Job Details: 1 admin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BD1444" s="4">
        <v>46122.54168981482</v>
      </c>
      <c r="BE1444" t="inlineStr">
        <is>
          <t>paid</t>
        </is>
      </c>
      <c r="BF1444"/>
      <c r="BG1444" t="inlineStr">
        <is>
          <t>Reschedule</t>
        </is>
      </c>
      <c r="BH1444" t="inlineStr">
        <is>
          <t>Fauziah Maharan</t>
        </is>
      </c>
      <c r="BI1444" t="inlineStr">
        <is>
          <t>Law / Legal</t>
        </is>
      </c>
      <c r="BJ1444" s="4">
        <v>46144.753599537034</v>
      </c>
      <c r="BK1444" s="4">
        <v>46043.58545138889</v>
      </c>
      <c r="BL1444" t="inlineStr">
        <is>
          <t>0.0</t>
        </is>
      </c>
      <c r="BM1444" t="inlineStr">
        <is>
          <t>600.0</t>
        </is>
      </c>
      <c r="BN1444" t="inlineStr">
        <is>
          <t>View Jobmanager Page</t>
        </is>
      </c>
      <c r="BO1444" s="4">
        <v>46076.35361111111</v>
      </c>
      <c r="BP1444">
        <v>166401</v>
      </c>
      <c r="BQ1444">
        <v>114145</v>
      </c>
      <c r="BR1444" t="inlineStr">
        <is>
          <t>Proforma</t>
        </is>
      </c>
      <c r="BS1444" t="inlineStr">
        <is>
          <t>Free Internship Job</t>
        </is>
      </c>
      <c r="BT1444"/>
      <c r="BU1444"/>
      <c r="BV1444">
        <v>2697957</v>
      </c>
      <c r="BW1444" t="inlineStr">
        <is>
          <t>Customer Inquiry</t>
        </is>
      </c>
      <c r="BX1444"/>
      <c r="BY1444"/>
      <c r="BZ1444" s="4"/>
      <c r="CA1444"/>
      <c r="CB1444"/>
      <c r="CC1444" s="4"/>
      <c r="CD1444" t="inlineStr">
        <is>
          <t>20</t>
        </is>
      </c>
      <c r="CE1444" t="inlineStr">
        <is>
          <t>0</t>
        </is>
      </c>
      <c r="CF1444" t="inlineStr">
        <is>
          <t>Q2-W02</t>
        </is>
      </c>
      <c r="CG1444" t="inlineStr">
        <is>
          <t>Q1-W03</t>
        </is>
      </c>
      <c r="CH1444"/>
      <c r="CI1444"/>
      <c r="CJ1444" t="inlineStr">
        <is>
          <t>No Paid</t>
        </is>
      </c>
      <c r="CK1444" t="inlineStr">
        <is>
          <t>Not Eligible</t>
        </is>
      </c>
      <c r="CL1444"/>
      <c r="CM1444"/>
    </row>
    <row r="1445" ht="25.5" customHeight="1">
      <c r="A1445" t="inlineStr">
        <is>
          <t>200562</t>
        </is>
      </c>
      <c r="B1445" s="2"/>
      <c r="C1445"/>
      <c r="D1445" s="3">
        <v>46122.50965277778</v>
      </c>
      <c r="E1445" t="inlineStr">
        <is>
          <t>Q2-W02</t>
        </is>
      </c>
      <c r="F1445" t="inlineStr">
        <is>
          <t>Josh</t>
        </is>
      </c>
      <c r="G1445" t="inlineStr">
        <is>
          <t>Customer</t>
        </is>
      </c>
      <c r="H1445" s="2" t="str">
        <f>=HYPERLINK("https://upbox.ajobthing.my/customer/200562", "https://upbox.ajobthing.my/customer/200562")</f>
        <v>https://upbox.ajobthing.my/customer/200562</v>
      </c>
      <c r="I1445" t="inlineStr">
        <is>
          <t>Sterna Group Sdn Bhd</t>
        </is>
      </c>
      <c r="J1445" t="inlineStr">
        <is>
          <t>Dolphin</t>
        </is>
      </c>
      <c r="K1445" t="inlineStr">
        <is>
          <t>Josh</t>
        </is>
      </c>
      <c r="L1445" s="4"/>
      <c r="M1445" s="4">
        <v>46122.509722222225</v>
      </c>
      <c r="N1445"/>
      <c r="O1445">
        <v>6048</v>
      </c>
      <c r="P1445" s="4"/>
      <c r="Q1445" s="4"/>
      <c r="R1445"/>
      <c r="S1445"/>
      <c r="T1445" s="4"/>
      <c r="U1445" s="4"/>
      <c r="V1445"/>
      <c r="W1445"/>
      <c r="X1445"/>
      <c r="Y1445" t="inlineStr">
        <is>
          <t>Pending Appointment</t>
        </is>
      </c>
      <c r="Z1445" t="inlineStr">
        <is>
          <t>Hiring Now</t>
        </is>
      </c>
      <c r="AA1445">
        <v>1</v>
      </c>
      <c r="AB1445" t="inlineStr">
        <is>
          <t>No Appointment Made</t>
        </is>
      </c>
      <c r="AC1445"/>
      <c r="AD1445" t="inlineStr">
        <is>
          <t xml:space="preserve">1 marketing </t>
        </is>
      </c>
      <c r="AE1445"/>
      <c r="AF1445">
        <v>3000</v>
      </c>
      <c r="AG1445" s="4"/>
      <c r="AH1445" s="4"/>
      <c r="AI1445"/>
      <c r="AJ1445"/>
      <c r="AK1445" t="inlineStr">
        <is>
          <t>Yes, I have</t>
        </is>
      </c>
      <c r="AL1445"/>
      <c r="AM1445"/>
      <c r="AN1445"/>
      <c r="AO1445"/>
      <c r="AP1445" t="inlineStr">
        <is>
          <t>Once a year (25%)</t>
        </is>
      </c>
      <c r="AQ1445"/>
      <c r="AR1445"/>
      <c r="AS1445" t="inlineStr">
        <is>
          <t>- Headcount: 1
- Hiring Job Details: 1 marketing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1445">
        <v>75</v>
      </c>
      <c r="AU1445" t="inlineStr">
        <is>
          <t>0.75</t>
        </is>
      </c>
      <c r="AV1445" t="inlineStr">
        <is>
          <t>15</t>
        </is>
      </c>
      <c r="AW1445" t="inlineStr">
        <is>
          <t>0</t>
        </is>
      </c>
      <c r="AX1445" t="inlineStr">
        <is>
          <t>Not Qualified</t>
        </is>
      </c>
      <c r="AY1445" s="4"/>
      <c r="AZ1445"/>
      <c r="BA1445"/>
      <c r="BB1445"/>
      <c r="BC1445" t="inlineStr">
        <is>
          <t>- Headcount: 1
- Hiring Job Details: 1 marketing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BD1445" s="4">
        <v>46122.54168981482</v>
      </c>
      <c r="BE1445"/>
      <c r="BF1445"/>
      <c r="BG1445" t="inlineStr">
        <is>
          <t>Reschedule</t>
        </is>
      </c>
      <c r="BH1445" t="inlineStr">
        <is>
          <t>Fauziah Maharan</t>
        </is>
      </c>
      <c r="BI1445"/>
      <c r="BJ1445" s="4">
        <v>46144.753599537034</v>
      </c>
      <c r="BK1445" s="4">
        <v>46044.47634259259</v>
      </c>
      <c r="BL1445" t="inlineStr">
        <is>
          <t>0.0</t>
        </is>
      </c>
      <c r="BM1445" t="inlineStr">
        <is>
          <t>1200.0</t>
        </is>
      </c>
      <c r="BN1445" t="inlineStr">
        <is>
          <t>User Visit(Logged In)</t>
        </is>
      </c>
      <c r="BO1445" s="4">
        <v>46044.49083333334</v>
      </c>
      <c r="BP1445">
        <v>166402</v>
      </c>
      <c r="BQ1445"/>
      <c r="BR1445"/>
      <c r="BS1445"/>
      <c r="BT1445"/>
      <c r="BU1445"/>
      <c r="BV1445">
        <v>2697958</v>
      </c>
      <c r="BW1445" t="inlineStr">
        <is>
          <t>Customer Inquiry</t>
        </is>
      </c>
      <c r="BX1445"/>
      <c r="BY1445"/>
      <c r="BZ1445" s="4"/>
      <c r="CA1445"/>
      <c r="CB1445"/>
      <c r="CC1445" s="4"/>
      <c r="CD1445" t="inlineStr">
        <is>
          <t>20</t>
        </is>
      </c>
      <c r="CE1445" t="inlineStr">
        <is>
          <t>0</t>
        </is>
      </c>
      <c r="CF1445" t="inlineStr">
        <is>
          <t>Q2-W02</t>
        </is>
      </c>
      <c r="CG1445"/>
      <c r="CH1445"/>
      <c r="CI1445"/>
      <c r="CJ1445" t="inlineStr">
        <is>
          <t>No Paid</t>
        </is>
      </c>
      <c r="CK1445" t="inlineStr">
        <is>
          <t>Not Eligible</t>
        </is>
      </c>
      <c r="CL1445"/>
      <c r="CM1445"/>
    </row>
    <row r="1446" ht="25.5" customHeight="1">
      <c r="A1446" t="inlineStr">
        <is>
          <t>200599</t>
        </is>
      </c>
      <c r="B1446" s="2"/>
      <c r="C1446"/>
      <c r="D1446" s="3">
        <v>46122.517476851855</v>
      </c>
      <c r="E1446" t="inlineStr">
        <is>
          <t>Q2-W02</t>
        </is>
      </c>
      <c r="F1446" t="inlineStr">
        <is>
          <t>Josh</t>
        </is>
      </c>
      <c r="G1446" t="inlineStr">
        <is>
          <t>Customer</t>
        </is>
      </c>
      <c r="H1446" s="2" t="str">
        <f>=HYPERLINK("https://upbox.ajobthing.my/customer/200599", "https://upbox.ajobthing.my/customer/200599")</f>
        <v>https://upbox.ajobthing.my/customer/200599</v>
      </c>
      <c r="I1446" t="inlineStr">
        <is>
          <t>Elixir Healthcare Sdn Bhd</t>
        </is>
      </c>
      <c r="J1446" t="inlineStr">
        <is>
          <t>Dolphin</t>
        </is>
      </c>
      <c r="K1446" t="inlineStr">
        <is>
          <t>Josh</t>
        </is>
      </c>
      <c r="L1446" s="4"/>
      <c r="M1446" s="4">
        <v>46122.51758101852</v>
      </c>
      <c r="N1446"/>
      <c r="O1446">
        <v>3888</v>
      </c>
      <c r="P1446" s="4"/>
      <c r="Q1446" s="4">
        <v>46045.460231481484</v>
      </c>
      <c r="R1446"/>
      <c r="S1446">
        <v>0</v>
      </c>
      <c r="T1446" s="4"/>
      <c r="U1446" s="4"/>
      <c r="V1446"/>
      <c r="W1446"/>
      <c r="X1446"/>
      <c r="Y1446" t="inlineStr">
        <is>
          <t>Pending Appointment</t>
        </is>
      </c>
      <c r="Z1446" t="inlineStr">
        <is>
          <t>Hiring Later</t>
        </is>
      </c>
      <c r="AA1446">
        <v>1</v>
      </c>
      <c r="AB1446" t="inlineStr">
        <is>
          <t>No Appointment Made</t>
        </is>
      </c>
      <c r="AC1446"/>
      <c r="AD1446" t="inlineStr">
        <is>
          <t>1 Intern</t>
        </is>
      </c>
      <c r="AE1446"/>
      <c r="AF1446">
        <v>1000</v>
      </c>
      <c r="AG1446" s="4"/>
      <c r="AH1446" s="4"/>
      <c r="AI1446"/>
      <c r="AJ1446"/>
      <c r="AK1446" t="inlineStr">
        <is>
          <t>Yes, I have</t>
        </is>
      </c>
      <c r="AL1446"/>
      <c r="AM1446"/>
      <c r="AN1446"/>
      <c r="AO1446"/>
      <c r="AP1446" t="inlineStr">
        <is>
          <t>Once a year (25%)</t>
        </is>
      </c>
      <c r="AQ1446"/>
      <c r="AR1446"/>
      <c r="AS1446" t="inlineStr">
        <is>
          <t>- Headcount: 1
- Hiring Job Details: 1 Intern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
- Hiring Urgency: Hiring Later</t>
        </is>
      </c>
      <c r="AT1446">
        <v>75</v>
      </c>
      <c r="AU1446" t="inlineStr">
        <is>
          <t>0.75</t>
        </is>
      </c>
      <c r="AV1446" t="inlineStr">
        <is>
          <t>15</t>
        </is>
      </c>
      <c r="AW1446" t="inlineStr">
        <is>
          <t>0</t>
        </is>
      </c>
      <c r="AX1446" t="inlineStr">
        <is>
          <t>Not Qualified</t>
        </is>
      </c>
      <c r="AY1446" s="4"/>
      <c r="AZ1446"/>
      <c r="BA1446"/>
      <c r="BB1446"/>
      <c r="BC1446" t="inlineStr">
        <is>
          <t>- Headcount: 1
- Hiring Job Details: 1 Intern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
- Hiring Urgency: Hiring Later</t>
        </is>
      </c>
      <c r="BD1446" s="4">
        <v>46122.54168981482</v>
      </c>
      <c r="BE1446" t="inlineStr">
        <is>
          <t>paid</t>
        </is>
      </c>
      <c r="BF1446"/>
      <c r="BG1446" t="inlineStr">
        <is>
          <t>Reschedule</t>
        </is>
      </c>
      <c r="BH1446" t="inlineStr">
        <is>
          <t>Fauziah Maharan</t>
        </is>
      </c>
      <c r="BI1446" t="inlineStr">
        <is>
          <t>Healthcare / Medical</t>
        </is>
      </c>
      <c r="BJ1446" s="4">
        <v>46144.75361111111</v>
      </c>
      <c r="BK1446" s="4">
        <v>46045.459872685184</v>
      </c>
      <c r="BL1446" t="inlineStr">
        <is>
          <t>0.0</t>
        </is>
      </c>
      <c r="BM1446" t="inlineStr">
        <is>
          <t>0.0</t>
        </is>
      </c>
      <c r="BN1446" t="inlineStr">
        <is>
          <t>View Company Page</t>
        </is>
      </c>
      <c r="BO1446" s="4">
        <v>46045.64059027778</v>
      </c>
      <c r="BP1446">
        <v>166405</v>
      </c>
      <c r="BQ1446">
        <v>114314</v>
      </c>
      <c r="BR1446" t="inlineStr">
        <is>
          <t>Proforma</t>
        </is>
      </c>
      <c r="BS1446" t="inlineStr">
        <is>
          <t>Free Internship Job</t>
        </is>
      </c>
      <c r="BT1446"/>
      <c r="BU1446"/>
      <c r="BV1446">
        <v>2697960</v>
      </c>
      <c r="BW1446" t="inlineStr">
        <is>
          <t>Customer Inquiry</t>
        </is>
      </c>
      <c r="BX1446"/>
      <c r="BY1446"/>
      <c r="BZ1446" s="4"/>
      <c r="CA1446"/>
      <c r="CB1446"/>
      <c r="CC1446" s="4"/>
      <c r="CD1446" t="inlineStr">
        <is>
          <t>20</t>
        </is>
      </c>
      <c r="CE1446" t="inlineStr">
        <is>
          <t>0</t>
        </is>
      </c>
      <c r="CF1446" t="inlineStr">
        <is>
          <t>Q2-W02</t>
        </is>
      </c>
      <c r="CG1446" t="inlineStr">
        <is>
          <t>Q1-W04</t>
        </is>
      </c>
      <c r="CH1446"/>
      <c r="CI1446"/>
      <c r="CJ1446" t="inlineStr">
        <is>
          <t>No Paid</t>
        </is>
      </c>
      <c r="CK1446" t="inlineStr">
        <is>
          <t>Not Eligible</t>
        </is>
      </c>
      <c r="CL1446"/>
      <c r="CM1446"/>
    </row>
    <row r="1447" ht="25.5" customHeight="1">
      <c r="A1447" t="inlineStr">
        <is>
          <t>190085</t>
        </is>
      </c>
      <c r="B1447" s="2"/>
      <c r="C1447"/>
      <c r="D1447" s="3">
        <v>46122.54300925926</v>
      </c>
      <c r="E1447" t="inlineStr">
        <is>
          <t>Q2-W02</t>
        </is>
      </c>
      <c r="F1447" t="inlineStr">
        <is>
          <t>Dickson</t>
        </is>
      </c>
      <c r="G1447" t="inlineStr">
        <is>
          <t>Customer</t>
        </is>
      </c>
      <c r="H1447" s="2" t="str">
        <f>=HYPERLINK("https://upbox.ajobthing.my/customer/190085", "https://upbox.ajobthing.my/customer/190085")</f>
        <v>https://upbox.ajobthing.my/customer/190085</v>
      </c>
      <c r="I1447" t="inlineStr">
        <is>
          <t>Nexgen Media Sdn Bhd</t>
        </is>
      </c>
      <c r="J1447" t="inlineStr">
        <is>
          <t>Dolphin</t>
        </is>
      </c>
      <c r="K1447" t="inlineStr">
        <is>
          <t>Dickson</t>
        </is>
      </c>
      <c r="L1447" s="4"/>
      <c r="M1447" s="4">
        <v>46122.54324074074</v>
      </c>
      <c r="N1447"/>
      <c r="O1447">
        <v>3888</v>
      </c>
      <c r="P1447" s="4"/>
      <c r="Q1447" s="4">
        <v>45770.64202546296</v>
      </c>
      <c r="R1447"/>
      <c r="S1447">
        <v>648</v>
      </c>
      <c r="T1447" s="4">
        <v>45770.64202546296</v>
      </c>
      <c r="U1447" s="4"/>
      <c r="V1447"/>
      <c r="W1447">
        <v>648</v>
      </c>
      <c r="X1447"/>
      <c r="Y1447" t="inlineStr">
        <is>
          <t>Pending Appointment</t>
        </is>
      </c>
      <c r="Z1447" t="inlineStr">
        <is>
          <t>Hiring Now</t>
        </is>
      </c>
      <c r="AA1447">
        <v>3</v>
      </c>
      <c r="AB1447" t="inlineStr">
        <is>
          <t>No Appointment Made</t>
        </is>
      </c>
      <c r="AC1447"/>
      <c r="AD1447" t="inlineStr">
        <is>
          <t>1 creators, 1 talent scout, 1 dance tutor</t>
        </is>
      </c>
      <c r="AE1447"/>
      <c r="AF1447"/>
      <c r="AG1447" s="4"/>
      <c r="AH1447" s="4"/>
      <c r="AI1447"/>
      <c r="AJ1447">
        <v>1</v>
      </c>
      <c r="AK1447" t="inlineStr">
        <is>
          <t>No, I don't need at all</t>
        </is>
      </c>
      <c r="AL1447"/>
      <c r="AM1447" t="inlineStr">
        <is>
          <t>No, I don't need at all</t>
        </is>
      </c>
      <c r="AN1447"/>
      <c r="AO1447" t="inlineStr">
        <is>
          <t>No, I don't need at all</t>
        </is>
      </c>
      <c r="AP1447" t="inlineStr">
        <is>
          <t>Once per quarter (75%)</t>
        </is>
      </c>
      <c r="AQ1447"/>
      <c r="AR1447" t="inlineStr">
        <is>
          <t>Jobstreet</t>
        </is>
      </c>
      <c r="AS1447" t="inlineStr">
        <is>
          <t>- Headcount: 3
- Hiring Job Details: 1 creator, 1 talent scout, 1 dance tutor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447">
        <v>95</v>
      </c>
      <c r="AU1447" t="inlineStr">
        <is>
          <t>0.95</t>
        </is>
      </c>
      <c r="AV1447" t="inlineStr">
        <is>
          <t>5</t>
        </is>
      </c>
      <c r="AW1447" t="inlineStr">
        <is>
          <t>0</t>
        </is>
      </c>
      <c r="AX1447" t="inlineStr">
        <is>
          <t>Not Qualified</t>
        </is>
      </c>
      <c r="AY1447" s="4"/>
      <c r="AZ1447"/>
      <c r="BA1447"/>
      <c r="BB1447"/>
      <c r="BC1447" t="inlineStr">
        <is>
          <t>- Headcount: 3
- Hiring Job Details: 1 creator, 1 talent scout, 1 dance tutor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BD1447" s="4">
        <v>46122.58354166667</v>
      </c>
      <c r="BE1447" t="inlineStr">
        <is>
          <t>paid</t>
        </is>
      </c>
      <c r="BF1447"/>
      <c r="BG1447" t="inlineStr">
        <is>
          <t>Reschedule</t>
        </is>
      </c>
      <c r="BH1447" t="inlineStr">
        <is>
          <t>Edward Hoo</t>
        </is>
      </c>
      <c r="BI1447" t="inlineStr">
        <is>
          <t>Entertainment / Media</t>
        </is>
      </c>
      <c r="BJ1447" s="4">
        <v>46144.75234953704</v>
      </c>
      <c r="BK1447" s="4">
        <v>45762.78824074074</v>
      </c>
      <c r="BL1447" t="inlineStr">
        <is>
          <t>0.0</t>
        </is>
      </c>
      <c r="BM1447" t="inlineStr">
        <is>
          <t>3000.0</t>
        </is>
      </c>
      <c r="BN1447" t="inlineStr">
        <is>
          <t>View Jobmanager Page</t>
        </is>
      </c>
      <c r="BO1447" s="4">
        <v>45819.641689814816</v>
      </c>
      <c r="BP1447">
        <v>166409</v>
      </c>
      <c r="BQ1447">
        <v>78728</v>
      </c>
      <c r="BR1447" t="inlineStr">
        <is>
          <t>Online</t>
        </is>
      </c>
      <c r="BS1447"/>
      <c r="BT1447">
        <v>78728</v>
      </c>
      <c r="BU1447"/>
      <c r="BV1447">
        <v>2698058</v>
      </c>
      <c r="BW1447" t="inlineStr">
        <is>
          <t>Customer Inquiry</t>
        </is>
      </c>
      <c r="BX1447"/>
      <c r="BY1447"/>
      <c r="BZ1447" s="4"/>
      <c r="CA1447"/>
      <c r="CB1447"/>
      <c r="CC1447" s="4"/>
      <c r="CD1447" t="inlineStr">
        <is>
          <t>5</t>
        </is>
      </c>
      <c r="CE1447" t="inlineStr">
        <is>
          <t>0</t>
        </is>
      </c>
      <c r="CF1447" t="inlineStr">
        <is>
          <t>Q2-W02</t>
        </is>
      </c>
      <c r="CG1447"/>
      <c r="CH1447"/>
      <c r="CI1447"/>
      <c r="CJ1447" t="inlineStr">
        <is>
          <t>Paid</t>
        </is>
      </c>
      <c r="CK1447" t="inlineStr">
        <is>
          <t>Not Eligible</t>
        </is>
      </c>
      <c r="CL1447"/>
      <c r="CM1447"/>
    </row>
    <row r="1448" ht="25.5" customHeight="1">
      <c r="A1448" t="inlineStr">
        <is>
          <t>135998</t>
        </is>
      </c>
      <c r="B1448" s="2"/>
      <c r="C1448"/>
      <c r="D1448" s="3">
        <v>46122.548784722225</v>
      </c>
      <c r="E1448" t="inlineStr">
        <is>
          <t>Q2-W02</t>
        </is>
      </c>
      <c r="F1448" t="inlineStr">
        <is>
          <t>Josh</t>
        </is>
      </c>
      <c r="G1448" t="inlineStr">
        <is>
          <t>Customer</t>
        </is>
      </c>
      <c r="H1448" s="2" t="str">
        <f>=HYPERLINK("https://upbox.ajobthing.my/customer/135998", "https://upbox.ajobthing.my/customer/135998")</f>
        <v>https://upbox.ajobthing.my/customer/135998</v>
      </c>
      <c r="I1448" t="inlineStr">
        <is>
          <t>Sugalution Sdn Bhd</t>
        </is>
      </c>
      <c r="J1448" t="inlineStr">
        <is>
          <t>Dolphin</t>
        </is>
      </c>
      <c r="K1448" t="inlineStr">
        <is>
          <t>Josh</t>
        </is>
      </c>
      <c r="L1448" s="4"/>
      <c r="M1448" s="4">
        <v>46125.38550925926</v>
      </c>
      <c r="N1448"/>
      <c r="O1448">
        <v>6480</v>
      </c>
      <c r="P1448" s="4"/>
      <c r="Q1448" s="4">
        <v>46125.65083333333</v>
      </c>
      <c r="R1448"/>
      <c r="S1448">
        <v>4752</v>
      </c>
      <c r="T1448" s="4">
        <v>46125.65083333333</v>
      </c>
      <c r="U1448" s="4"/>
      <c r="V1448"/>
      <c r="W1448">
        <v>4752</v>
      </c>
      <c r="X1448"/>
      <c r="Y1448" t="inlineStr">
        <is>
          <t>Pending Appointment</t>
        </is>
      </c>
      <c r="Z1448" t="inlineStr">
        <is>
          <t>Hiring Now</t>
        </is>
      </c>
      <c r="AA1448">
        <v>1</v>
      </c>
      <c r="AB1448" t="inlineStr">
        <is>
          <t>No Appointment Made</t>
        </is>
      </c>
      <c r="AC1448"/>
      <c r="AD1448" t="inlineStr">
        <is>
          <t xml:space="preserve">1 Kol executive </t>
        </is>
      </c>
      <c r="AE1448"/>
      <c r="AF1448">
        <v>3000</v>
      </c>
      <c r="AG1448" s="4"/>
      <c r="AH1448" s="4"/>
      <c r="AI1448"/>
      <c r="AJ1448"/>
      <c r="AK1448" t="inlineStr">
        <is>
          <t>Yes, I have</t>
        </is>
      </c>
      <c r="AL1448">
        <v>1</v>
      </c>
      <c r="AM1448"/>
      <c r="AN1448"/>
      <c r="AO1448"/>
      <c r="AP1448" t="inlineStr">
        <is>
          <t>Once a year (25%)</t>
        </is>
      </c>
      <c r="AQ1448"/>
      <c r="AR1448"/>
      <c r="AS1448" t="inlineStr">
        <is>
          <t>- Headcount: 1
- Hiring Job Details: 1 Kol executive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is>
      </c>
      <c r="AT1448">
        <v>75</v>
      </c>
      <c r="AU1448" t="inlineStr">
        <is>
          <t>0.75</t>
        </is>
      </c>
      <c r="AV1448" t="inlineStr">
        <is>
          <t>15</t>
        </is>
      </c>
      <c r="AW1448" t="inlineStr">
        <is>
          <t>0</t>
        </is>
      </c>
      <c r="AX1448" t="inlineStr">
        <is>
          <t>Not Qualified</t>
        </is>
      </c>
      <c r="AY1448" s="4"/>
      <c r="AZ1448"/>
      <c r="BA1448"/>
      <c r="BB1448"/>
      <c r="BC1448" t="inlineStr">
        <is>
          <t>assist boost job</t>
        </is>
      </c>
      <c r="BD1448" s="4">
        <v>46132.56790509259</v>
      </c>
      <c r="BE1448" t="inlineStr">
        <is>
          <t>paid</t>
        </is>
      </c>
      <c r="BF1448" t="inlineStr">
        <is>
          <t>Q2-W02</t>
        </is>
      </c>
      <c r="BG1448" t="inlineStr">
        <is>
          <t>Reschedule</t>
        </is>
      </c>
      <c r="BH1448" t="inlineStr">
        <is>
          <t>Fauziah Maharan</t>
        </is>
      </c>
      <c r="BI1448" t="inlineStr">
        <is>
          <t>Food / Beverage</t>
        </is>
      </c>
      <c r="BJ1448" s="4">
        <v>46144.750555555554</v>
      </c>
      <c r="BK1448" s="4">
        <v>44278.469722222224</v>
      </c>
      <c r="BL1448" t="inlineStr">
        <is>
          <t>0.0</t>
        </is>
      </c>
      <c r="BM1448" t="inlineStr">
        <is>
          <t>0.0</t>
        </is>
      </c>
      <c r="BN1448" t="inlineStr">
        <is>
          <t>View Company Page</t>
        </is>
      </c>
      <c r="BO1448" s="4">
        <v>46133.79070601852</v>
      </c>
      <c r="BP1448">
        <v>166625</v>
      </c>
      <c r="BQ1448">
        <v>93174</v>
      </c>
      <c r="BR1448" t="inlineStr">
        <is>
          <t>Online</t>
        </is>
      </c>
      <c r="BS1448"/>
      <c r="BT1448">
        <v>93174</v>
      </c>
      <c r="BU1448"/>
      <c r="BV1448">
        <v>2715497</v>
      </c>
      <c r="BW1448" t="inlineStr">
        <is>
          <t>Service / Technical : Job Outcome Enquiry</t>
        </is>
      </c>
      <c r="BX1448">
        <v>1</v>
      </c>
      <c r="BY1448">
        <v>0</v>
      </c>
      <c r="BZ1448" s="4">
        <v>46126.86927083333</v>
      </c>
      <c r="CA1448"/>
      <c r="CB1448"/>
      <c r="CC1448" s="4"/>
      <c r="CD1448" t="inlineStr">
        <is>
          <t>20</t>
        </is>
      </c>
      <c r="CE1448" t="inlineStr">
        <is>
          <t>0</t>
        </is>
      </c>
      <c r="CF1448" t="inlineStr">
        <is>
          <t>Q2-W02</t>
        </is>
      </c>
      <c r="CG1448" t="inlineStr">
        <is>
          <t>Q2-W02</t>
        </is>
      </c>
      <c r="CH1448" t="inlineStr">
        <is>
          <t>Q2-W02</t>
        </is>
      </c>
      <c r="CI1448"/>
      <c r="CJ1448" t="inlineStr">
        <is>
          <t>Paid</t>
        </is>
      </c>
      <c r="CK1448" t="inlineStr">
        <is>
          <t>Not Eligible</t>
        </is>
      </c>
      <c r="CL1448"/>
      <c r="CM1448"/>
    </row>
    <row r="1449" ht="25.5" customHeight="1">
      <c r="A1449" t="inlineStr">
        <is>
          <t>187748</t>
        </is>
      </c>
      <c r="B1449" s="2"/>
      <c r="C1449"/>
      <c r="D1449" s="3">
        <v>46122.57376157407</v>
      </c>
      <c r="E1449" t="inlineStr">
        <is>
          <t>Q2-W02</t>
        </is>
      </c>
      <c r="F1449" t="inlineStr">
        <is>
          <t>Xin Quan</t>
        </is>
      </c>
      <c r="G1449" t="inlineStr">
        <is>
          <t>Customer</t>
        </is>
      </c>
      <c r="H1449" s="2" t="str">
        <f>=HYPERLINK("https://upbox.ajobthing.my/customer/187748", "https://upbox.ajobthing.my/customer/187748")</f>
        <v>https://upbox.ajobthing.my/customer/187748</v>
      </c>
      <c r="I1449" t="inlineStr">
        <is>
          <t>DYC Metal World Enterprise Sdn Bhd</t>
        </is>
      </c>
      <c r="J1449" t="inlineStr">
        <is>
          <t>Dolphin</t>
        </is>
      </c>
      <c r="K1449" t="inlineStr">
        <is>
          <t>Xin Quan</t>
        </is>
      </c>
      <c r="L1449" s="4"/>
      <c r="M1449" s="4">
        <v>46121.451365740744</v>
      </c>
      <c r="N1449"/>
      <c r="O1449">
        <v>1296</v>
      </c>
      <c r="P1449" s="4"/>
      <c r="Q1449" s="4">
        <v>46125.44363425926</v>
      </c>
      <c r="R1449"/>
      <c r="S1449">
        <v>1296</v>
      </c>
      <c r="T1449" s="4">
        <v>46125.44363425926</v>
      </c>
      <c r="U1449" s="4"/>
      <c r="V1449"/>
      <c r="W1449">
        <v>1296</v>
      </c>
      <c r="X1449"/>
      <c r="Y1449" t="inlineStr">
        <is>
          <t>Pending Appointment</t>
        </is>
      </c>
      <c r="Z1449" t="inlineStr">
        <is>
          <t>Hiring Now</t>
        </is>
      </c>
      <c r="AA1449">
        <v>1</v>
      </c>
      <c r="AB1449" t="inlineStr">
        <is>
          <t>No Appointment Made</t>
        </is>
      </c>
      <c r="AC1449"/>
      <c r="AD1449" t="inlineStr">
        <is>
          <t>1 Sales , Base in KL</t>
        </is>
      </c>
      <c r="AE1449"/>
      <c r="AF1449">
        <v>2000</v>
      </c>
      <c r="AG1449" s="4"/>
      <c r="AH1449" s="4"/>
      <c r="AI1449">
        <v>24000</v>
      </c>
      <c r="AJ1449">
        <v>1</v>
      </c>
      <c r="AK1449"/>
      <c r="AL1449"/>
      <c r="AM1449"/>
      <c r="AN1449"/>
      <c r="AO1449"/>
      <c r="AP1449"/>
      <c r="AQ1449">
        <v>1</v>
      </c>
      <c r="AR1449"/>
      <c r="AS1449" t="inlineStr">
        <is>
          <t>- Headcount: 1
- Hiring Job Details: 1 Sales,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449">
        <v>100</v>
      </c>
      <c r="AU1449" t="inlineStr">
        <is>
          <t>1.00</t>
        </is>
      </c>
      <c r="AV1449" t="inlineStr">
        <is>
          <t>15</t>
        </is>
      </c>
      <c r="AW1449" t="inlineStr">
        <is>
          <t>0</t>
        </is>
      </c>
      <c r="AX1449" t="inlineStr">
        <is>
          <t>Not Qualified</t>
        </is>
      </c>
      <c r="AY1449" s="4"/>
      <c r="AZ1449"/>
      <c r="BA1449"/>
      <c r="BB1449"/>
      <c r="BC1449" t="inlineStr">
        <is>
          <t>Ask application</t>
        </is>
      </c>
      <c r="BD1449" s="4">
        <v>46136.410092592596</v>
      </c>
      <c r="BE1449" t="inlineStr">
        <is>
          <t>paid</t>
        </is>
      </c>
      <c r="BF1449" t="inlineStr">
        <is>
          <t>Q2-W02</t>
        </is>
      </c>
      <c r="BG1449" t="inlineStr">
        <is>
          <t>Reschedule</t>
        </is>
      </c>
      <c r="BH1449" t="inlineStr">
        <is>
          <t>Edward Hoo</t>
        </is>
      </c>
      <c r="BI1449" t="inlineStr">
        <is>
          <t>Other industries</t>
        </is>
      </c>
      <c r="BJ1449" s="4">
        <v>46144.75219907407</v>
      </c>
      <c r="BK1449" s="4">
        <v>45705.484398148146</v>
      </c>
      <c r="BL1449" t="inlineStr">
        <is>
          <t>1296.0</t>
        </is>
      </c>
      <c r="BM1449" t="inlineStr">
        <is>
          <t>0.0</t>
        </is>
      </c>
      <c r="BN1449" t="inlineStr">
        <is>
          <t>View Company Page</t>
        </is>
      </c>
      <c r="BO1449" s="4">
        <v>46141.51179398148</v>
      </c>
      <c r="BP1449">
        <v>166120</v>
      </c>
      <c r="BQ1449">
        <v>93088</v>
      </c>
      <c r="BR1449" t="inlineStr">
        <is>
          <t>Online</t>
        </is>
      </c>
      <c r="BS1449"/>
      <c r="BT1449">
        <v>93088</v>
      </c>
      <c r="BU1449"/>
      <c r="BV1449">
        <v>2725450</v>
      </c>
      <c r="BW1449" t="inlineStr">
        <is>
          <t>Service / Technical : Success Hire (MKRB)</t>
        </is>
      </c>
      <c r="BX1449">
        <v>1</v>
      </c>
      <c r="BY1449">
        <v>0</v>
      </c>
      <c r="BZ1449" s="4">
        <v>46126.66818287037</v>
      </c>
      <c r="CA1449">
        <v>10</v>
      </c>
      <c r="CB1449">
        <v>10</v>
      </c>
      <c r="CC1449" s="4"/>
      <c r="CD1449" t="inlineStr">
        <is>
          <t>20</t>
        </is>
      </c>
      <c r="CE1449" t="inlineStr">
        <is>
          <t>0</t>
        </is>
      </c>
      <c r="CF1449" t="inlineStr">
        <is>
          <t>Q2-W01</t>
        </is>
      </c>
      <c r="CG1449" t="inlineStr">
        <is>
          <t>Q2-W02</t>
        </is>
      </c>
      <c r="CH1449" t="inlineStr">
        <is>
          <t>Q2-W02</t>
        </is>
      </c>
      <c r="CI1449"/>
      <c r="CJ1449" t="inlineStr">
        <is>
          <t>Paid</t>
        </is>
      </c>
      <c r="CK1449" t="inlineStr">
        <is>
          <t>Not Eligible</t>
        </is>
      </c>
      <c r="CL1449"/>
      <c r="CM1449"/>
    </row>
    <row r="1450" ht="25.5" customHeight="1">
      <c r="A1450" t="inlineStr">
        <is>
          <t>203065</t>
        </is>
      </c>
      <c r="B1450" s="2"/>
      <c r="C1450"/>
      <c r="D1450" s="3">
        <v>46122.57858796296</v>
      </c>
      <c r="E1450" t="inlineStr">
        <is>
          <t>Q2-W02</t>
        </is>
      </c>
      <c r="F1450" t="inlineStr">
        <is>
          <t>Clover</t>
        </is>
      </c>
      <c r="G1450" t="inlineStr">
        <is>
          <t>Customer</t>
        </is>
      </c>
      <c r="H1450" s="2" t="str">
        <f>=HYPERLINK("https://upbox.ajobthing.my/customer/203065", "https://upbox.ajobthing.my/customer/203065")</f>
        <v>https://upbox.ajobthing.my/customer/203065</v>
      </c>
      <c r="I1450" t="inlineStr">
        <is>
          <t>Perk Idea Sdn Bhd</t>
        </is>
      </c>
      <c r="J1450" t="inlineStr">
        <is>
          <t>Dolphin</t>
        </is>
      </c>
      <c r="K1450" t="inlineStr">
        <is>
          <t>Clover</t>
        </is>
      </c>
      <c r="L1450" s="4"/>
      <c r="M1450" s="4">
        <v>46122.579421296294</v>
      </c>
      <c r="N1450"/>
      <c r="O1450">
        <v>3888</v>
      </c>
      <c r="P1450" s="4"/>
      <c r="Q1450" s="4"/>
      <c r="R1450"/>
      <c r="S1450"/>
      <c r="T1450" s="4"/>
      <c r="U1450" s="4"/>
      <c r="V1450"/>
      <c r="W1450"/>
      <c r="X1450"/>
      <c r="Y1450" t="inlineStr">
        <is>
          <t>Pending Appointment</t>
        </is>
      </c>
      <c r="Z1450" t="inlineStr">
        <is>
          <t>Hiring Later</t>
        </is>
      </c>
      <c r="AA1450">
        <v>1</v>
      </c>
      <c r="AB1450" t="inlineStr">
        <is>
          <t>No Appointment Made</t>
        </is>
      </c>
      <c r="AC1450"/>
      <c r="AD1450" t="inlineStr">
        <is>
          <t>Want to hire admin exec x1, prefer chi, future not sure, event management, selangor, suggest stand</t>
        </is>
      </c>
      <c r="AE1450"/>
      <c r="AF1450">
        <v>3000</v>
      </c>
      <c r="AG1450" s="4"/>
      <c r="AH1450" s="4"/>
      <c r="AI1450">
        <v>3000</v>
      </c>
      <c r="AJ1450">
        <v>1</v>
      </c>
      <c r="AK1450" t="inlineStr">
        <is>
          <t>No, but I want in future</t>
        </is>
      </c>
      <c r="AL1450">
        <v>1</v>
      </c>
      <c r="AM1450" t="inlineStr">
        <is>
          <t>No, but I want in future</t>
        </is>
      </c>
      <c r="AN1450"/>
      <c r="AO1450" t="inlineStr">
        <is>
          <t>No, but I want in future</t>
        </is>
      </c>
      <c r="AP1450" t="inlineStr">
        <is>
          <t>Twice a year (50%)</t>
        </is>
      </c>
      <c r="AQ1450">
        <v>1</v>
      </c>
      <c r="AR1450" t="inlineStr">
        <is>
          <t>Did not use any job portal</t>
        </is>
      </c>
      <c r="AS1450" t="inlineStr">
        <is>
          <t>- Headcount: 1
- Hiring Job Details: 1 admin exec, prefer chi, future not sure, event management, selangor, suggest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is>
      </c>
      <c r="AT1450">
        <v>115</v>
      </c>
      <c r="AU1450" t="inlineStr">
        <is>
          <t>1.15</t>
        </is>
      </c>
      <c r="AV1450" t="inlineStr">
        <is>
          <t>15</t>
        </is>
      </c>
      <c r="AW1450" t="inlineStr">
        <is>
          <t>0</t>
        </is>
      </c>
      <c r="AX1450" t="inlineStr">
        <is>
          <t>Not Qualified</t>
        </is>
      </c>
      <c r="AY1450" s="4"/>
      <c r="AZ1450"/>
      <c r="BA1450"/>
      <c r="BB1450"/>
      <c r="BC1450" t="inlineStr">
        <is>
          <t>Manager using hiredly not yet finish, on hold, maybe consider if future still have hiring</t>
        </is>
      </c>
      <c r="BD1450" s="4">
        <v>46139.40216435185</v>
      </c>
      <c r="BE1450"/>
      <c r="BF1450"/>
      <c r="BG1450" t="inlineStr">
        <is>
          <t>Reschedule</t>
        </is>
      </c>
      <c r="BH1450" t="inlineStr">
        <is>
          <t>Reagen</t>
        </is>
      </c>
      <c r="BI1450"/>
      <c r="BJ1450" s="4">
        <v>46144.754212962966</v>
      </c>
      <c r="BK1450" s="4">
        <v>46121.7293287037</v>
      </c>
      <c r="BL1450" t="inlineStr">
        <is>
          <t>0.0</t>
        </is>
      </c>
      <c r="BM1450" t="inlineStr">
        <is>
          <t>300.0</t>
        </is>
      </c>
      <c r="BN1450"/>
      <c r="BO1450" s="4"/>
      <c r="BP1450">
        <v>166418</v>
      </c>
      <c r="BQ1450"/>
      <c r="BR1450"/>
      <c r="BS1450"/>
      <c r="BT1450"/>
      <c r="BU1450"/>
      <c r="BV1450">
        <v>2728177</v>
      </c>
      <c r="BW1450" t="inlineStr">
        <is>
          <t>Follow Up : Lost - Paid Portal</t>
        </is>
      </c>
      <c r="BX1450"/>
      <c r="BY1450"/>
      <c r="BZ1450" s="4"/>
      <c r="CA1450"/>
      <c r="CB1450"/>
      <c r="CC1450" s="4"/>
      <c r="CD1450" t="inlineStr">
        <is>
          <t>20</t>
        </is>
      </c>
      <c r="CE1450" t="inlineStr">
        <is>
          <t>0</t>
        </is>
      </c>
      <c r="CF1450" t="inlineStr">
        <is>
          <t>Q2-W02</t>
        </is>
      </c>
      <c r="CG1450"/>
      <c r="CH1450"/>
      <c r="CI1450"/>
      <c r="CJ1450" t="inlineStr">
        <is>
          <t>No Paid</t>
        </is>
      </c>
      <c r="CK1450" t="inlineStr">
        <is>
          <t>Not Eligible</t>
        </is>
      </c>
      <c r="CL1450"/>
      <c r="CM1450"/>
    </row>
    <row r="1451" ht="25.5" customHeight="1">
      <c r="A1451" t="inlineStr">
        <is>
          <t>151819</t>
        </is>
      </c>
      <c r="B1451" s="2"/>
      <c r="C1451"/>
      <c r="D1451" s="3">
        <v>46122.583287037036</v>
      </c>
      <c r="E1451" t="inlineStr">
        <is>
          <t>Q2-W02</t>
        </is>
      </c>
      <c r="F1451" t="inlineStr">
        <is>
          <t>Jess</t>
        </is>
      </c>
      <c r="G1451" t="inlineStr">
        <is>
          <t>Customer</t>
        </is>
      </c>
      <c r="H1451" s="2" t="str">
        <f>=HYPERLINK("https://upbox.ajobthing.my/customer/151819", "https://upbox.ajobthing.my/customer/151819")</f>
        <v>https://upbox.ajobthing.my/customer/151819</v>
      </c>
      <c r="I1451" t="inlineStr">
        <is>
          <t>DCT Excel Sdn Bhd</t>
        </is>
      </c>
      <c r="J1451" t="inlineStr">
        <is>
          <t>Dolphin</t>
        </is>
      </c>
      <c r="K1451" t="inlineStr">
        <is>
          <t>Jess Lim</t>
        </is>
      </c>
      <c r="L1451" s="4"/>
      <c r="M1451" s="4">
        <v>46122.58392361111</v>
      </c>
      <c r="N1451"/>
      <c r="O1451">
        <v>6048</v>
      </c>
      <c r="P1451" s="4"/>
      <c r="Q1451" s="4">
        <v>46126.46606481481</v>
      </c>
      <c r="R1451"/>
      <c r="S1451">
        <v>3888</v>
      </c>
      <c r="T1451" s="4">
        <v>44824.49162037037</v>
      </c>
      <c r="U1451" s="4"/>
      <c r="V1451"/>
      <c r="W1451">
        <v>636</v>
      </c>
      <c r="X1451"/>
      <c r="Y1451" t="inlineStr">
        <is>
          <t>Pending Appointment</t>
        </is>
      </c>
      <c r="Z1451" t="inlineStr">
        <is>
          <t>Hiring Now</t>
        </is>
      </c>
      <c r="AA1451">
        <v>1</v>
      </c>
      <c r="AB1451" t="inlineStr">
        <is>
          <t>No Appointment Made</t>
        </is>
      </c>
      <c r="AC1451"/>
      <c r="AD1451" t="inlineStr">
        <is>
          <t>sales 1</t>
        </is>
      </c>
      <c r="AE1451"/>
      <c r="AF1451">
        <v>1200</v>
      </c>
      <c r="AG1451" s="4"/>
      <c r="AH1451" s="4"/>
      <c r="AI1451"/>
      <c r="AJ1451">
        <v>1</v>
      </c>
      <c r="AK1451" t="inlineStr">
        <is>
          <t>No, I don't need at all</t>
        </is>
      </c>
      <c r="AL1451">
        <v>1</v>
      </c>
      <c r="AM1451" t="inlineStr">
        <is>
          <t>No, I don't need at all</t>
        </is>
      </c>
      <c r="AN1451"/>
      <c r="AO1451"/>
      <c r="AP1451" t="inlineStr">
        <is>
          <t>Once a year (25%)</t>
        </is>
      </c>
      <c r="AQ1451"/>
      <c r="AR1451" t="inlineStr">
        <is>
          <t>Jobstreet</t>
        </is>
      </c>
      <c r="AS1451" t="inlineStr">
        <is>
          <t>- Headcount: 1
- Hiring Job Details: 1 sales
- Hiring Urgency: Hiring Now
- Number of outlets: 1
- Have recruiter team: No, I don't need at all
- Number of recruiter in company: 1
- Have ATS system: No, I don't need at all
- Have career website: Not specified
- Current hiring budget: RM1,200.00
- Whole year budget: Not specified
- Whole year number of vacancies: Not specified
- Hiring frequency: Once a year (25%)
- External job portal: Jobstreet</t>
        </is>
      </c>
      <c r="AT1451">
        <v>100</v>
      </c>
      <c r="AU1451" t="inlineStr">
        <is>
          <t>1.00</t>
        </is>
      </c>
      <c r="AV1451" t="inlineStr">
        <is>
          <t>15</t>
        </is>
      </c>
      <c r="AW1451" t="inlineStr">
        <is>
          <t>0</t>
        </is>
      </c>
      <c r="AX1451" t="inlineStr">
        <is>
          <t>Not Qualified</t>
        </is>
      </c>
      <c r="AY1451" s="4"/>
      <c r="AZ1451"/>
      <c r="BA1451"/>
      <c r="BB1451"/>
      <c r="BC1451" t="inlineStr">
        <is>
          <t>hiring put on hold</t>
        </is>
      </c>
      <c r="BD1451" s="4">
        <v>46142.50020833333</v>
      </c>
      <c r="BE1451" t="inlineStr">
        <is>
          <t>pending</t>
        </is>
      </c>
      <c r="BF1451"/>
      <c r="BG1451" t="inlineStr">
        <is>
          <t>Reschedule</t>
        </is>
      </c>
      <c r="BH1451" t="inlineStr">
        <is>
          <t>Fauziah Maharan</t>
        </is>
      </c>
      <c r="BI1451" t="inlineStr">
        <is>
          <t>Education / Training</t>
        </is>
      </c>
      <c r="BJ1451" s="4">
        <v>46144.75087962963</v>
      </c>
      <c r="BK1451" s="4">
        <v>44658.5978125</v>
      </c>
      <c r="BL1451" t="inlineStr">
        <is>
          <t>0.0</t>
        </is>
      </c>
      <c r="BM1451" t="inlineStr">
        <is>
          <t>0.0</t>
        </is>
      </c>
      <c r="BN1451" t="inlineStr">
        <is>
          <t>View Company Page</t>
        </is>
      </c>
      <c r="BO1451" s="4">
        <v>46126.463229166664</v>
      </c>
      <c r="BP1451">
        <v>166422</v>
      </c>
      <c r="BQ1451">
        <v>122185</v>
      </c>
      <c r="BR1451" t="inlineStr">
        <is>
          <t>Proforma</t>
        </is>
      </c>
      <c r="BS1451" t="inlineStr">
        <is>
          <t>AI Yearly Standard Plan (Jan 26)</t>
        </is>
      </c>
      <c r="BT1451">
        <v>50696</v>
      </c>
      <c r="BU1451"/>
      <c r="BV1451">
        <v>2737311</v>
      </c>
      <c r="BW1451" t="inlineStr">
        <is>
          <t>Follow Up : Budget Concern</t>
        </is>
      </c>
      <c r="BX1451"/>
      <c r="BY1451"/>
      <c r="BZ1451" s="4"/>
      <c r="CA1451"/>
      <c r="CB1451"/>
      <c r="CC1451" s="4"/>
      <c r="CD1451" t="inlineStr">
        <is>
          <t>20</t>
        </is>
      </c>
      <c r="CE1451" t="inlineStr">
        <is>
          <t>0</t>
        </is>
      </c>
      <c r="CF1451" t="inlineStr">
        <is>
          <t>Q2-W02</t>
        </is>
      </c>
      <c r="CG1451" t="inlineStr">
        <is>
          <t>Q2-W02</t>
        </is>
      </c>
      <c r="CH1451"/>
      <c r="CI1451"/>
      <c r="CJ1451" t="inlineStr">
        <is>
          <t>Paid</t>
        </is>
      </c>
      <c r="CK1451" t="inlineStr">
        <is>
          <t>Not Eligible</t>
        </is>
      </c>
      <c r="CL1451"/>
      <c r="CM1451"/>
    </row>
    <row r="1452" ht="25.5" customHeight="1">
      <c r="A1452" t="inlineStr">
        <is>
          <t>35356</t>
        </is>
      </c>
      <c r="B1452" s="2"/>
      <c r="C1452"/>
      <c r="D1452" s="3">
        <v>46122.60078703704</v>
      </c>
      <c r="E1452" t="inlineStr">
        <is>
          <t>Q2-W02</t>
        </is>
      </c>
      <c r="F1452" t="inlineStr">
        <is>
          <t>Jess</t>
        </is>
      </c>
      <c r="G1452" t="inlineStr">
        <is>
          <t>Customer</t>
        </is>
      </c>
      <c r="H1452" s="2" t="str">
        <f>=HYPERLINK("https://upbox.ajobthing.my/customer/35356", "https://upbox.ajobthing.my/customer/35356")</f>
        <v>https://upbox.ajobthing.my/customer/35356</v>
      </c>
      <c r="I1452" t="inlineStr">
        <is>
          <t>Socio Intelligence</t>
        </is>
      </c>
      <c r="J1452" t="inlineStr">
        <is>
          <t>Dolphin</t>
        </is>
      </c>
      <c r="K1452" t="inlineStr">
        <is>
          <t>Jess Lim</t>
        </is>
      </c>
      <c r="L1452" s="4"/>
      <c r="M1452" s="4">
        <v>46122.60357638889</v>
      </c>
      <c r="N1452"/>
      <c r="O1452">
        <v>6048</v>
      </c>
      <c r="P1452" s="4"/>
      <c r="Q1452" s="4">
        <v>43793.789456018516</v>
      </c>
      <c r="R1452"/>
      <c r="S1452">
        <v>1945.1</v>
      </c>
      <c r="T1452" s="4">
        <v>43793.789456018516</v>
      </c>
      <c r="U1452" s="4"/>
      <c r="V1452"/>
      <c r="W1452">
        <v>1945.1</v>
      </c>
      <c r="X1452"/>
      <c r="Y1452" t="inlineStr">
        <is>
          <t>Pending Appointment</t>
        </is>
      </c>
      <c r="Z1452" t="inlineStr">
        <is>
          <t>Hiring Now</t>
        </is>
      </c>
      <c r="AA1452">
        <v>2</v>
      </c>
      <c r="AB1452" t="inlineStr">
        <is>
          <t>No Appointment Made</t>
        </is>
      </c>
      <c r="AC1452"/>
      <c r="AD1452" t="inlineStr">
        <is>
          <t>customer service social media</t>
        </is>
      </c>
      <c r="AE1452"/>
      <c r="AF1452">
        <v>3600</v>
      </c>
      <c r="AG1452" s="4"/>
      <c r="AH1452" s="4"/>
      <c r="AI1452"/>
      <c r="AJ1452">
        <v>1</v>
      </c>
      <c r="AK1452" t="inlineStr">
        <is>
          <t>No, I don't need at all</t>
        </is>
      </c>
      <c r="AL1452">
        <v>1</v>
      </c>
      <c r="AM1452" t="inlineStr">
        <is>
          <t>No, I don't need at all</t>
        </is>
      </c>
      <c r="AN1452"/>
      <c r="AO1452"/>
      <c r="AP1452" t="inlineStr">
        <is>
          <t>Once a year (25%)</t>
        </is>
      </c>
      <c r="AQ1452"/>
      <c r="AR1452" t="inlineStr">
        <is>
          <t>Jobstreet</t>
        </is>
      </c>
      <c r="AS1452" t="inlineStr">
        <is>
          <t>- Headcount: 2
- Hiring Job Details: customer service social media
- Hiring Urgency: Hiring Now
- Number of outlets: 1
- Have recruiter team: No, I don't need at all
- Number of recruiter in company: 1
- Have ATS system: No, I don't need at all
- Have career website: Not specified
- Current hiring budget: RM3,600.00
- Whole year budget: Not specified
- Whole year number of vacancies: Not specified
- Hiring frequency: Once a year (25%)
- External job portal: Jobstreet</t>
        </is>
      </c>
      <c r="AT1452">
        <v>95</v>
      </c>
      <c r="AU1452" t="inlineStr">
        <is>
          <t>0.95</t>
        </is>
      </c>
      <c r="AV1452" t="inlineStr">
        <is>
          <t>15</t>
        </is>
      </c>
      <c r="AW1452" t="inlineStr">
        <is>
          <t>0</t>
        </is>
      </c>
      <c r="AX1452" t="inlineStr">
        <is>
          <t>Not Qualified</t>
        </is>
      </c>
      <c r="AY1452" s="4"/>
      <c r="AZ1452"/>
      <c r="BA1452"/>
      <c r="BB1452"/>
      <c r="BC1452" t="inlineStr">
        <is>
          <t>duplicate</t>
        </is>
      </c>
      <c r="BD1452" s="4">
        <v>46140.38391203704</v>
      </c>
      <c r="BE1452" t="inlineStr">
        <is>
          <t>paid</t>
        </is>
      </c>
      <c r="BF1452"/>
      <c r="BG1452" t="inlineStr">
        <is>
          <t>Reschedule</t>
        </is>
      </c>
      <c r="BH1452" t="inlineStr">
        <is>
          <t>Fauziah Maharan</t>
        </is>
      </c>
      <c r="BI1452" t="inlineStr">
        <is>
          <t>Advertising / Marketing</t>
        </is>
      </c>
      <c r="BJ1452" s="4">
        <v>46144.754594907405</v>
      </c>
      <c r="BK1452" s="4">
        <v>42821.7440625</v>
      </c>
      <c r="BL1452" t="inlineStr">
        <is>
          <t>0.0</t>
        </is>
      </c>
      <c r="BM1452" t="inlineStr">
        <is>
          <t>0.0</t>
        </is>
      </c>
      <c r="BN1452" t="inlineStr">
        <is>
          <t>View Create Job Page</t>
        </is>
      </c>
      <c r="BO1452" s="4">
        <v>44650.747708333336</v>
      </c>
      <c r="BP1452">
        <v>166442</v>
      </c>
      <c r="BQ1452">
        <v>21707</v>
      </c>
      <c r="BR1452" t="inlineStr">
        <is>
          <t>Online</t>
        </is>
      </c>
      <c r="BS1452"/>
      <c r="BT1452">
        <v>21707</v>
      </c>
      <c r="BU1452"/>
      <c r="BV1452">
        <v>2731668</v>
      </c>
      <c r="BW1452" t="inlineStr">
        <is>
          <t>No Answer : Voicemail - WA sent to customer</t>
        </is>
      </c>
      <c r="BX1452"/>
      <c r="BY1452"/>
      <c r="BZ1452" s="4"/>
      <c r="CA1452"/>
      <c r="CB1452"/>
      <c r="CC1452" s="4"/>
      <c r="CD1452" t="inlineStr">
        <is>
          <t>20</t>
        </is>
      </c>
      <c r="CE1452" t="inlineStr">
        <is>
          <t>0</t>
        </is>
      </c>
      <c r="CF1452" t="inlineStr">
        <is>
          <t>Q2-W02</t>
        </is>
      </c>
      <c r="CG1452"/>
      <c r="CH1452"/>
      <c r="CI1452"/>
      <c r="CJ1452" t="inlineStr">
        <is>
          <t>Paid</t>
        </is>
      </c>
      <c r="CK1452" t="inlineStr">
        <is>
          <t>Not Eligible</t>
        </is>
      </c>
      <c r="CL1452"/>
      <c r="CM1452"/>
    </row>
    <row r="1453" ht="25.5" customHeight="1">
      <c r="A1453" t="inlineStr">
        <is>
          <t>203082</t>
        </is>
      </c>
      <c r="B1453" s="2"/>
      <c r="C1453"/>
      <c r="D1453" s="3">
        <v>46122.6021875</v>
      </c>
      <c r="E1453" t="inlineStr">
        <is>
          <t>Q2-W02</t>
        </is>
      </c>
      <c r="F1453" t="inlineStr">
        <is>
          <t>Alan KY</t>
        </is>
      </c>
      <c r="G1453" t="inlineStr">
        <is>
          <t>Customer</t>
        </is>
      </c>
      <c r="H1453" s="2" t="str">
        <f>=HYPERLINK("https://upbox.ajobthing.my/customer/203082", "https://upbox.ajobthing.my/customer/203082")</f>
        <v>https://upbox.ajobthing.my/customer/203082</v>
      </c>
      <c r="I1453" t="inlineStr">
        <is>
          <t>Genesis Life Care Malaysia</t>
        </is>
      </c>
      <c r="J1453" t="inlineStr">
        <is>
          <t>Dolphin</t>
        </is>
      </c>
      <c r="K1453" t="inlineStr">
        <is>
          <t>Alan KY</t>
        </is>
      </c>
      <c r="L1453" s="4"/>
      <c r="M1453" s="4">
        <v>46122.60159722222</v>
      </c>
      <c r="N1453"/>
      <c r="O1453">
        <v>6048</v>
      </c>
      <c r="P1453" s="4"/>
      <c r="Q1453" s="4"/>
      <c r="R1453"/>
      <c r="S1453"/>
      <c r="T1453" s="4"/>
      <c r="U1453" s="4"/>
      <c r="V1453"/>
      <c r="W1453"/>
      <c r="X1453"/>
      <c r="Y1453" t="inlineStr">
        <is>
          <t>Pending Appointment</t>
        </is>
      </c>
      <c r="Z1453" t="inlineStr">
        <is>
          <t>Hiring Now</t>
        </is>
      </c>
      <c r="AA1453">
        <v>2</v>
      </c>
      <c r="AB1453" t="inlineStr">
        <is>
          <t>No Appointment Made</t>
        </is>
      </c>
      <c r="AC1453"/>
      <c r="AD1453" t="inlineStr">
        <is>
          <t xml:space="preserve">1 caregive assistant, 1 therapist, in KL </t>
        </is>
      </c>
      <c r="AE1453"/>
      <c r="AF1453"/>
      <c r="AG1453" s="4"/>
      <c r="AH1453" s="4"/>
      <c r="AI1453"/>
      <c r="AJ1453"/>
      <c r="AK1453" t="inlineStr">
        <is>
          <t>No, I don't need at all</t>
        </is>
      </c>
      <c r="AL1453"/>
      <c r="AM1453" t="inlineStr">
        <is>
          <t>No, I don't need at all</t>
        </is>
      </c>
      <c r="AN1453"/>
      <c r="AO1453" t="inlineStr">
        <is>
          <t>No, I don't need at all</t>
        </is>
      </c>
      <c r="AP1453" t="inlineStr">
        <is>
          <t>Once per quarter (75%)</t>
        </is>
      </c>
      <c r="AQ1453"/>
      <c r="AR1453" t="inlineStr">
        <is>
          <t>Jobstreet</t>
        </is>
      </c>
      <c r="AS1453" t="inlineStr">
        <is>
          <t>- Headcount: 2
- Hiring Job Details: 1 caregiver assistant, 1 therapist, in KL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453">
        <v>95</v>
      </c>
      <c r="AU1453" t="inlineStr">
        <is>
          <t>0.95</t>
        </is>
      </c>
      <c r="AV1453" t="inlineStr">
        <is>
          <t>5</t>
        </is>
      </c>
      <c r="AW1453" t="inlineStr">
        <is>
          <t>0</t>
        </is>
      </c>
      <c r="AX1453" t="inlineStr">
        <is>
          <t>Not Qualified</t>
        </is>
      </c>
      <c r="AY1453" s="4"/>
      <c r="AZ1453"/>
      <c r="BA1453"/>
      <c r="BB1453"/>
      <c r="BC1453" t="inlineStr">
        <is>
          <t>still in discussion, haven't finalized</t>
        </is>
      </c>
      <c r="BD1453" s="4">
        <v>46134.75025462963</v>
      </c>
      <c r="BE1453"/>
      <c r="BF1453"/>
      <c r="BG1453" t="inlineStr">
        <is>
          <t>Reschedule</t>
        </is>
      </c>
      <c r="BH1453" t="inlineStr">
        <is>
          <t>Reagen</t>
        </is>
      </c>
      <c r="BI1453" t="inlineStr">
        <is>
          <t>Healthcare / Medical</t>
        </is>
      </c>
      <c r="BJ1453" s="4">
        <v>46144.754212962966</v>
      </c>
      <c r="BK1453" s="4">
        <v>46122.532060185185</v>
      </c>
      <c r="BL1453" t="inlineStr">
        <is>
          <t>0.0</t>
        </is>
      </c>
      <c r="BM1453" t="inlineStr">
        <is>
          <t>0.0</t>
        </is>
      </c>
      <c r="BN1453" t="inlineStr">
        <is>
          <t>View Company Page</t>
        </is>
      </c>
      <c r="BO1453" s="4">
        <v>46122.538622685184</v>
      </c>
      <c r="BP1453">
        <v>166436</v>
      </c>
      <c r="BQ1453"/>
      <c r="BR1453"/>
      <c r="BS1453"/>
      <c r="BT1453"/>
      <c r="BU1453"/>
      <c r="BV1453">
        <v>2722086</v>
      </c>
      <c r="BW1453" t="inlineStr">
        <is>
          <t>Follow Up : Decision Pending</t>
        </is>
      </c>
      <c r="BX1453"/>
      <c r="BY1453"/>
      <c r="BZ1453" s="4"/>
      <c r="CA1453"/>
      <c r="CB1453"/>
      <c r="CC1453" s="4"/>
      <c r="CD1453" t="inlineStr">
        <is>
          <t>5</t>
        </is>
      </c>
      <c r="CE1453" t="inlineStr">
        <is>
          <t>0</t>
        </is>
      </c>
      <c r="CF1453" t="inlineStr">
        <is>
          <t>Q2-W02</t>
        </is>
      </c>
      <c r="CG1453"/>
      <c r="CH1453"/>
      <c r="CI1453"/>
      <c r="CJ1453" t="inlineStr">
        <is>
          <t>No Paid</t>
        </is>
      </c>
      <c r="CK1453" t="inlineStr">
        <is>
          <t>Not Eligible</t>
        </is>
      </c>
      <c r="CL1453"/>
      <c r="CM1453"/>
    </row>
    <row r="1454" ht="25.5" customHeight="1">
      <c r="A1454" t="inlineStr">
        <is>
          <t>162236</t>
        </is>
      </c>
      <c r="B1454" s="2"/>
      <c r="C1454"/>
      <c r="D1454" s="3">
        <v>46122.60291666666</v>
      </c>
      <c r="E1454" t="inlineStr">
        <is>
          <t>Q2-W02</t>
        </is>
      </c>
      <c r="F1454" t="inlineStr">
        <is>
          <t>Keegan</t>
        </is>
      </c>
      <c r="G1454" t="inlineStr">
        <is>
          <t>Customer</t>
        </is>
      </c>
      <c r="H1454" s="2" t="str">
        <f>=HYPERLINK("https://upbox.ajobthing.my/customer/162236", "https://upbox.ajobthing.my/customer/162236")</f>
        <v>https://upbox.ajobthing.my/customer/162236</v>
      </c>
      <c r="I1454" t="inlineStr">
        <is>
          <t xml:space="preserve">MS Zuraidah </t>
        </is>
      </c>
      <c r="J1454" t="inlineStr">
        <is>
          <t>Dolphin</t>
        </is>
      </c>
      <c r="K1454" t="inlineStr">
        <is>
          <t>Keegan</t>
        </is>
      </c>
      <c r="L1454" s="4"/>
      <c r="M1454" s="4">
        <v>46126.617789351854</v>
      </c>
      <c r="N1454"/>
      <c r="O1454">
        <v>864</v>
      </c>
      <c r="P1454" s="4"/>
      <c r="Q1454" s="4">
        <v>46132.75487268518</v>
      </c>
      <c r="R1454"/>
      <c r="S1454">
        <v>864</v>
      </c>
      <c r="T1454" s="4">
        <v>46132.75487268518</v>
      </c>
      <c r="U1454" s="4"/>
      <c r="V1454"/>
      <c r="W1454">
        <v>864</v>
      </c>
      <c r="X1454"/>
      <c r="Y1454" t="inlineStr">
        <is>
          <t>Pending Appointment</t>
        </is>
      </c>
      <c r="Z1454" t="inlineStr">
        <is>
          <t>Hiring Now</t>
        </is>
      </c>
      <c r="AA1454">
        <v>2</v>
      </c>
      <c r="AB1454" t="inlineStr">
        <is>
          <t>No Appointment Made</t>
        </is>
      </c>
      <c r="AC1454"/>
      <c r="AD1454" t="inlineStr">
        <is>
          <t xml:space="preserve">1. Admin 
2. Lawyer Assistant </t>
        </is>
      </c>
      <c r="AE1454"/>
      <c r="AF1454"/>
      <c r="AG1454" s="4"/>
      <c r="AH1454" s="4"/>
      <c r="AI1454"/>
      <c r="AJ1454">
        <v>1</v>
      </c>
      <c r="AK1454" t="inlineStr">
        <is>
          <t>No, I don't need at all</t>
        </is>
      </c>
      <c r="AL1454">
        <v>0</v>
      </c>
      <c r="AM1454" t="inlineStr">
        <is>
          <t>No, I don't need at all</t>
        </is>
      </c>
      <c r="AN1454"/>
      <c r="AO1454" t="inlineStr">
        <is>
          <t>No, I don't need at all</t>
        </is>
      </c>
      <c r="AP1454" t="inlineStr">
        <is>
          <t>Once per quarter (75%)</t>
        </is>
      </c>
      <c r="AQ1454"/>
      <c r="AR1454" t="inlineStr">
        <is>
          <t>Did not use any job portal</t>
        </is>
      </c>
      <c r="AS1454" t="inlineStr">
        <is>
          <t>- Headcount: 2
- Hiring Job Details: 1. Admin 2. Lawyer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454">
        <v>95</v>
      </c>
      <c r="AU1454" t="inlineStr">
        <is>
          <t>0.95</t>
        </is>
      </c>
      <c r="AV1454" t="inlineStr">
        <is>
          <t>5</t>
        </is>
      </c>
      <c r="AW1454" t="inlineStr">
        <is>
          <t>0</t>
        </is>
      </c>
      <c r="AX1454" t="inlineStr">
        <is>
          <t>Not Qualified</t>
        </is>
      </c>
      <c r="AY1454" s="4"/>
      <c r="AZ1454"/>
      <c r="BA1454"/>
      <c r="BB1454"/>
      <c r="BC1454" t="inlineStr">
        <is>
          <t>Job posting f/up</t>
        </is>
      </c>
      <c r="BD1454" s="4">
        <v>46134.441296296296</v>
      </c>
      <c r="BE1454" t="inlineStr">
        <is>
          <t>paid</t>
        </is>
      </c>
      <c r="BF1454" t="inlineStr">
        <is>
          <t>Q2-W03</t>
        </is>
      </c>
      <c r="BG1454" t="inlineStr">
        <is>
          <t>Reschedule</t>
        </is>
      </c>
      <c r="BH1454" t="inlineStr">
        <is>
          <t>Edward Hoo</t>
        </is>
      </c>
      <c r="BI1454"/>
      <c r="BJ1454" s="4">
        <v>46144.75115740741</v>
      </c>
      <c r="BK1454" s="4">
        <v>44886.55540509259</v>
      </c>
      <c r="BL1454" t="inlineStr">
        <is>
          <t>864.0</t>
        </is>
      </c>
      <c r="BM1454" t="inlineStr">
        <is>
          <t>600.0</t>
        </is>
      </c>
      <c r="BN1454" t="inlineStr">
        <is>
          <t>View Notifications</t>
        </is>
      </c>
      <c r="BO1454" s="4">
        <v>46142.500185185185</v>
      </c>
      <c r="BP1454">
        <v>166968</v>
      </c>
      <c r="BQ1454">
        <v>94443</v>
      </c>
      <c r="BR1454" t="inlineStr">
        <is>
          <t>Online</t>
        </is>
      </c>
      <c r="BS1454"/>
      <c r="BT1454">
        <v>94443</v>
      </c>
      <c r="BU1454"/>
      <c r="BV1454">
        <v>2719730</v>
      </c>
      <c r="BW1454" t="inlineStr">
        <is>
          <t>Service / Technical : Job Outcome Enquiry</t>
        </is>
      </c>
      <c r="BX1454">
        <v>1</v>
      </c>
      <c r="BY1454">
        <v>0</v>
      </c>
      <c r="BZ1454" s="4">
        <v>46134.39910879629</v>
      </c>
      <c r="CA1454">
        <v>23</v>
      </c>
      <c r="CB1454">
        <v>21</v>
      </c>
      <c r="CC1454" s="4">
        <v>46140.714004629626</v>
      </c>
      <c r="CD1454" t="inlineStr">
        <is>
          <t>5</t>
        </is>
      </c>
      <c r="CE1454" t="inlineStr">
        <is>
          <t>0</t>
        </is>
      </c>
      <c r="CF1454" t="inlineStr">
        <is>
          <t>Q2-W02</t>
        </is>
      </c>
      <c r="CG1454" t="inlineStr">
        <is>
          <t>Q2-W03</t>
        </is>
      </c>
      <c r="CH1454" t="inlineStr">
        <is>
          <t>Q2-W03</t>
        </is>
      </c>
      <c r="CI1454"/>
      <c r="CJ1454" t="inlineStr">
        <is>
          <t>Paid</t>
        </is>
      </c>
      <c r="CK1454" t="inlineStr">
        <is>
          <t>Not Eligible</t>
        </is>
      </c>
      <c r="CL1454"/>
      <c r="CM1454"/>
    </row>
    <row r="1455" ht="25.5" customHeight="1">
      <c r="A1455" t="inlineStr">
        <is>
          <t>201861</t>
        </is>
      </c>
      <c r="B1455" s="2"/>
      <c r="C1455"/>
      <c r="D1455" s="3">
        <v>46122.619166666664</v>
      </c>
      <c r="E1455" t="inlineStr">
        <is>
          <t>Q2-W02</t>
        </is>
      </c>
      <c r="F1455" t="inlineStr">
        <is>
          <t>Alan KY</t>
        </is>
      </c>
      <c r="G1455" t="inlineStr">
        <is>
          <t>Customer</t>
        </is>
      </c>
      <c r="H1455" s="2" t="str">
        <f>=HYPERLINK("https://upbox.ajobthing.my/customer/201861", "https://upbox.ajobthing.my/customer/201861")</f>
        <v>https://upbox.ajobthing.my/customer/201861</v>
      </c>
      <c r="I1455" t="inlineStr">
        <is>
          <t>Lock &amp; Key Hardware Sdn Bhd</t>
        </is>
      </c>
      <c r="J1455" t="inlineStr">
        <is>
          <t>Dolphin</t>
        </is>
      </c>
      <c r="K1455" t="inlineStr">
        <is>
          <t>Alan KY</t>
        </is>
      </c>
      <c r="L1455" s="4"/>
      <c r="M1455" s="4">
        <v>46122.62059027778</v>
      </c>
      <c r="N1455"/>
      <c r="O1455">
        <v>6048</v>
      </c>
      <c r="P1455" s="4"/>
      <c r="Q1455" s="4">
        <v>46115.46979166667</v>
      </c>
      <c r="R1455"/>
      <c r="S1455">
        <v>864</v>
      </c>
      <c r="T1455" s="4">
        <v>46115.46979166667</v>
      </c>
      <c r="U1455" s="4"/>
      <c r="V1455"/>
      <c r="W1455">
        <v>864</v>
      </c>
      <c r="X1455"/>
      <c r="Y1455" t="inlineStr">
        <is>
          <t>Pending Appointment</t>
        </is>
      </c>
      <c r="Z1455" t="inlineStr">
        <is>
          <t>Hiring Now</t>
        </is>
      </c>
      <c r="AA1455">
        <v>3</v>
      </c>
      <c r="AB1455" t="inlineStr">
        <is>
          <t>No Appointment Made</t>
        </is>
      </c>
      <c r="AC1455"/>
      <c r="AD1455" t="inlineStr">
        <is>
          <t xml:space="preserve">1 chargeman, 2 driver, Selangor </t>
        </is>
      </c>
      <c r="AE1455"/>
      <c r="AF1455">
        <v>1000</v>
      </c>
      <c r="AG1455" s="4"/>
      <c r="AH1455" s="4"/>
      <c r="AI1455"/>
      <c r="AJ1455">
        <v>2</v>
      </c>
      <c r="AK1455" t="inlineStr">
        <is>
          <t>No, I don't need at all</t>
        </is>
      </c>
      <c r="AL1455"/>
      <c r="AM1455" t="inlineStr">
        <is>
          <t>No, I don't need at all</t>
        </is>
      </c>
      <c r="AN1455"/>
      <c r="AO1455" t="inlineStr">
        <is>
          <t>No, I don't need at all</t>
        </is>
      </c>
      <c r="AP1455" t="inlineStr">
        <is>
          <t>Twice a year (50%)</t>
        </is>
      </c>
      <c r="AQ1455"/>
      <c r="AR1455" t="inlineStr">
        <is>
          <t>Jobstreet</t>
        </is>
      </c>
      <c r="AS1455" t="inlineStr">
        <is>
          <t>- Headcount: Not provided.
- Hiring Job Details: 1 chargeman, 2 driver, Selangor
- Hiring Urgency: Hiring Now
- Number of outlets: 2
- Have recruiter team: No, I don't need at all
- Number of recruiter in company: Not provided.
- Have ATS system: No, I don't need at all
- Have career website: No, I don't need at all
- Current hiring budget: RM1,000.00
- Whole year budget: Not provided.
- Whole year number of vacancies: Not provided.
- Hiring frequency: Twice a year (50%)
- External job portal: Jobstreet</t>
        </is>
      </c>
      <c r="AT1455">
        <v>100</v>
      </c>
      <c r="AU1455" t="inlineStr">
        <is>
          <t>1.00</t>
        </is>
      </c>
      <c r="AV1455" t="inlineStr">
        <is>
          <t>15</t>
        </is>
      </c>
      <c r="AW1455" t="inlineStr">
        <is>
          <t>0</t>
        </is>
      </c>
      <c r="AX1455" t="inlineStr">
        <is>
          <t>Not Qualified</t>
        </is>
      </c>
      <c r="AY1455" s="4"/>
      <c r="AZ1455"/>
      <c r="BA1455"/>
      <c r="BB1455"/>
      <c r="BC1455" t="inlineStr">
        <is>
          <t>Will KIV as now, enough staff first. Will let me know if any changes</t>
        </is>
      </c>
      <c r="BD1455" s="4">
        <v>46136.39863425926</v>
      </c>
      <c r="BE1455" t="inlineStr">
        <is>
          <t>paid</t>
        </is>
      </c>
      <c r="BF1455" t="inlineStr">
        <is>
          <t>Q2-W01</t>
        </is>
      </c>
      <c r="BG1455" t="inlineStr">
        <is>
          <t>Reschedule</t>
        </is>
      </c>
      <c r="BH1455" t="inlineStr">
        <is>
          <t>Reagen</t>
        </is>
      </c>
      <c r="BI1455" t="inlineStr">
        <is>
          <t>Manufacturing / Production</t>
        </is>
      </c>
      <c r="BJ1455" s="4">
        <v>46144.75387731481</v>
      </c>
      <c r="BK1455" s="4">
        <v>46090.56138888889</v>
      </c>
      <c r="BL1455" t="inlineStr">
        <is>
          <t>1728.0</t>
        </is>
      </c>
      <c r="BM1455" t="inlineStr">
        <is>
          <t>0.0</t>
        </is>
      </c>
      <c r="BN1455" t="inlineStr">
        <is>
          <t>PA Visit - Job Card</t>
        </is>
      </c>
      <c r="BO1455" s="4">
        <v>46135.653344907405</v>
      </c>
      <c r="BP1455">
        <v>166458</v>
      </c>
      <c r="BQ1455">
        <v>90995</v>
      </c>
      <c r="BR1455" t="inlineStr">
        <is>
          <t>Online</t>
        </is>
      </c>
      <c r="BS1455"/>
      <c r="BT1455">
        <v>90995</v>
      </c>
      <c r="BU1455"/>
      <c r="BV1455">
        <v>2725328</v>
      </c>
      <c r="BW1455" t="inlineStr">
        <is>
          <t>Follow Up : Budget Concern</t>
        </is>
      </c>
      <c r="BX1455"/>
      <c r="BY1455"/>
      <c r="BZ1455" s="4"/>
      <c r="CA1455">
        <v>23</v>
      </c>
      <c r="CB1455">
        <v>23</v>
      </c>
      <c r="CC1455" s="4"/>
      <c r="CD1455" t="inlineStr">
        <is>
          <t>20</t>
        </is>
      </c>
      <c r="CE1455" t="inlineStr">
        <is>
          <t>0</t>
        </is>
      </c>
      <c r="CF1455" t="inlineStr">
        <is>
          <t>Q2-W02</t>
        </is>
      </c>
      <c r="CG1455" t="inlineStr">
        <is>
          <t>Q2-W01</t>
        </is>
      </c>
      <c r="CH1455" t="inlineStr">
        <is>
          <t>Q2-W01</t>
        </is>
      </c>
      <c r="CI1455"/>
      <c r="CJ1455" t="inlineStr">
        <is>
          <t>Paid</t>
        </is>
      </c>
      <c r="CK1455" t="inlineStr">
        <is>
          <t>Not Eligible</t>
        </is>
      </c>
      <c r="CL1455"/>
      <c r="CM1455"/>
    </row>
    <row r="1456" ht="25.5" customHeight="1">
      <c r="A1456" t="inlineStr">
        <is>
          <t>195759</t>
        </is>
      </c>
      <c r="B1456" s="2"/>
      <c r="C1456"/>
      <c r="D1456" s="3">
        <v>46122.62297453704</v>
      </c>
      <c r="E1456" t="inlineStr">
        <is>
          <t>Q2-W02</t>
        </is>
      </c>
      <c r="F1456" t="inlineStr">
        <is>
          <t>Keegan</t>
        </is>
      </c>
      <c r="G1456" t="inlineStr">
        <is>
          <t>Customer</t>
        </is>
      </c>
      <c r="H1456" s="2" t="str">
        <f>=HYPERLINK("https://upbox.ajobthing.my/customer/195759", "https://upbox.ajobthing.my/customer/195759")</f>
        <v>https://upbox.ajobthing.my/customer/195759</v>
      </c>
      <c r="I1456" t="inlineStr">
        <is>
          <t>Tan SL &amp; Co</t>
        </is>
      </c>
      <c r="J1456" t="inlineStr">
        <is>
          <t>Dolphin</t>
        </is>
      </c>
      <c r="K1456" t="inlineStr">
        <is>
          <t>Keegan</t>
        </is>
      </c>
      <c r="L1456" s="4"/>
      <c r="M1456" s="4">
        <v>46122.623506944445</v>
      </c>
      <c r="N1456"/>
      <c r="O1456">
        <v>3888</v>
      </c>
      <c r="P1456" s="4"/>
      <c r="Q1456" s="4">
        <v>45938.42201388889</v>
      </c>
      <c r="R1456"/>
      <c r="S1456">
        <v>0</v>
      </c>
      <c r="T1456" s="4">
        <v>45908.43953703704</v>
      </c>
      <c r="U1456" s="4"/>
      <c r="V1456"/>
      <c r="W1456">
        <v>1296</v>
      </c>
      <c r="X1456"/>
      <c r="Y1456" t="inlineStr">
        <is>
          <t>Pending Appointment</t>
        </is>
      </c>
      <c r="Z1456" t="inlineStr">
        <is>
          <t>Hiring Now</t>
        </is>
      </c>
      <c r="AA1456">
        <v>1</v>
      </c>
      <c r="AB1456" t="inlineStr">
        <is>
          <t>No Appointment Made</t>
        </is>
      </c>
      <c r="AC1456"/>
      <c r="AD1456" t="inlineStr">
        <is>
          <t xml:space="preserve">1. Admin </t>
        </is>
      </c>
      <c r="AE1456"/>
      <c r="AF1456"/>
      <c r="AG1456" s="4"/>
      <c r="AH1456" s="4"/>
      <c r="AI1456"/>
      <c r="AJ1456">
        <v>1</v>
      </c>
      <c r="AK1456" t="inlineStr">
        <is>
          <t>No, I don't need at all</t>
        </is>
      </c>
      <c r="AL1456">
        <v>0</v>
      </c>
      <c r="AM1456" t="inlineStr">
        <is>
          <t>No, I don't need at all</t>
        </is>
      </c>
      <c r="AN1456"/>
      <c r="AO1456" t="inlineStr">
        <is>
          <t>No, I don't need at all</t>
        </is>
      </c>
      <c r="AP1456" t="inlineStr">
        <is>
          <t>Once per quarter (75%)</t>
        </is>
      </c>
      <c r="AQ1456"/>
      <c r="AR1456" t="inlineStr">
        <is>
          <t>Did not use any job portal</t>
        </is>
      </c>
      <c r="AS1456"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456">
        <v>95</v>
      </c>
      <c r="AU1456" t="inlineStr">
        <is>
          <t>0.95</t>
        </is>
      </c>
      <c r="AV1456" t="inlineStr">
        <is>
          <t>5</t>
        </is>
      </c>
      <c r="AW1456" t="inlineStr">
        <is>
          <t>0</t>
        </is>
      </c>
      <c r="AX1456" t="inlineStr">
        <is>
          <t>Not Qualified</t>
        </is>
      </c>
      <c r="AY1456" s="4"/>
      <c r="AZ1456"/>
      <c r="BA1456"/>
      <c r="BB1456"/>
      <c r="BC1456"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456" s="4">
        <v>46122.625069444446</v>
      </c>
      <c r="BE1456" t="inlineStr">
        <is>
          <t>paid</t>
        </is>
      </c>
      <c r="BF1456"/>
      <c r="BG1456" t="inlineStr">
        <is>
          <t>Reschedule</t>
        </is>
      </c>
      <c r="BH1456" t="inlineStr">
        <is>
          <t>Edward Hoo</t>
        </is>
      </c>
      <c r="BI1456" t="inlineStr">
        <is>
          <t>Accounting / Tax Services</t>
        </is>
      </c>
      <c r="BJ1456" s="4">
        <v>46144.75278935185</v>
      </c>
      <c r="BK1456" s="4">
        <v>45904.56650462963</v>
      </c>
      <c r="BL1456" t="inlineStr">
        <is>
          <t>1296.0</t>
        </is>
      </c>
      <c r="BM1456" t="inlineStr">
        <is>
          <t>600.0</t>
        </is>
      </c>
      <c r="BN1456" t="inlineStr">
        <is>
          <t>View Company Page</t>
        </is>
      </c>
      <c r="BO1456" s="4">
        <v>46009.982777777775</v>
      </c>
      <c r="BP1456">
        <v>166460</v>
      </c>
      <c r="BQ1456">
        <v>110394</v>
      </c>
      <c r="BR1456" t="inlineStr">
        <is>
          <t>Proforma</t>
        </is>
      </c>
      <c r="BS1456" t="inlineStr">
        <is>
          <t>A La Carte AI Job Ad Free</t>
        </is>
      </c>
      <c r="BT1456">
        <v>82170</v>
      </c>
      <c r="BU1456"/>
      <c r="BV1456">
        <v>2698361</v>
      </c>
      <c r="BW1456" t="inlineStr">
        <is>
          <t>Customer Inquiry</t>
        </is>
      </c>
      <c r="BX1456"/>
      <c r="BY1456"/>
      <c r="BZ1456" s="4"/>
      <c r="CA1456"/>
      <c r="CB1456"/>
      <c r="CC1456" s="4"/>
      <c r="CD1456" t="inlineStr">
        <is>
          <t>5</t>
        </is>
      </c>
      <c r="CE1456" t="inlineStr">
        <is>
          <t>0</t>
        </is>
      </c>
      <c r="CF1456" t="inlineStr">
        <is>
          <t>Q2-W02</t>
        </is>
      </c>
      <c r="CG1456"/>
      <c r="CH1456"/>
      <c r="CI1456"/>
      <c r="CJ1456" t="inlineStr">
        <is>
          <t>Paid</t>
        </is>
      </c>
      <c r="CK1456" t="inlineStr">
        <is>
          <t>Not Eligible</t>
        </is>
      </c>
      <c r="CL1456"/>
      <c r="CM1456"/>
    </row>
    <row r="1457" ht="25.5" customHeight="1">
      <c r="A1457" t="inlineStr">
        <is>
          <t>187101</t>
        </is>
      </c>
      <c r="B1457" s="2"/>
      <c r="C1457"/>
      <c r="D1457" s="3">
        <v>46122.62305555555</v>
      </c>
      <c r="E1457" t="inlineStr">
        <is>
          <t>Q2-W02</t>
        </is>
      </c>
      <c r="F1457" t="inlineStr">
        <is>
          <t>Janice Yap</t>
        </is>
      </c>
      <c r="G1457" t="inlineStr">
        <is>
          <t>Customer</t>
        </is>
      </c>
      <c r="H1457" s="2" t="str">
        <f>=HYPERLINK("https://upbox.ajobthing.my/customer/187101", "https://upbox.ajobthing.my/customer/187101")</f>
        <v>https://upbox.ajobthing.my/customer/187101</v>
      </c>
      <c r="I1457" t="inlineStr">
        <is>
          <t>Utopia Fresh Fruit Trading</t>
        </is>
      </c>
      <c r="J1457" t="inlineStr">
        <is>
          <t>Dolphin</t>
        </is>
      </c>
      <c r="K1457" t="inlineStr">
        <is>
          <t>Janice</t>
        </is>
      </c>
      <c r="L1457" s="4"/>
      <c r="M1457" s="4">
        <v>46122.62019675926</v>
      </c>
      <c r="N1457"/>
      <c r="O1457">
        <v>3888</v>
      </c>
      <c r="P1457" s="4"/>
      <c r="Q1457" s="4">
        <v>45684.472766203704</v>
      </c>
      <c r="R1457"/>
      <c r="S1457">
        <v>648</v>
      </c>
      <c r="T1457" s="4">
        <v>45684.472766203704</v>
      </c>
      <c r="U1457" s="4"/>
      <c r="V1457"/>
      <c r="W1457">
        <v>648</v>
      </c>
      <c r="X1457"/>
      <c r="Y1457" t="inlineStr">
        <is>
          <t>Pending Appointment</t>
        </is>
      </c>
      <c r="Z1457" t="inlineStr">
        <is>
          <t>Hiring Now</t>
        </is>
      </c>
      <c r="AA1457">
        <v>1</v>
      </c>
      <c r="AB1457" t="inlineStr">
        <is>
          <t>No Appointment Made</t>
        </is>
      </c>
      <c r="AC1457"/>
      <c r="AD1457" t="inlineStr">
        <is>
          <t>1 retail assistant</t>
        </is>
      </c>
      <c r="AE1457"/>
      <c r="AF1457">
        <v>0</v>
      </c>
      <c r="AG1457" s="4"/>
      <c r="AH1457" s="4"/>
      <c r="AI1457">
        <v>0</v>
      </c>
      <c r="AJ1457"/>
      <c r="AK1457" t="inlineStr">
        <is>
          <t>No, I don't need at all</t>
        </is>
      </c>
      <c r="AL1457">
        <v>0</v>
      </c>
      <c r="AM1457" t="inlineStr">
        <is>
          <t>No, I don't need at all</t>
        </is>
      </c>
      <c r="AN1457"/>
      <c r="AO1457" t="inlineStr">
        <is>
          <t>No, I don't need at all</t>
        </is>
      </c>
      <c r="AP1457" t="inlineStr">
        <is>
          <t>Once a year (25%)</t>
        </is>
      </c>
      <c r="AQ1457">
        <v>1</v>
      </c>
      <c r="AR1457" t="inlineStr">
        <is>
          <t>Free Job Portal</t>
        </is>
      </c>
      <c r="AS1457" t="inlineStr">
        <is>
          <t>- Headcount: 1
- Hiring Job Details: 1 retail assistant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1457">
        <v>110</v>
      </c>
      <c r="AU1457" t="inlineStr">
        <is>
          <t>1.10</t>
        </is>
      </c>
      <c r="AV1457" t="inlineStr">
        <is>
          <t>15</t>
        </is>
      </c>
      <c r="AW1457" t="inlineStr">
        <is>
          <t>0</t>
        </is>
      </c>
      <c r="AX1457" t="inlineStr">
        <is>
          <t>Not Qualified</t>
        </is>
      </c>
      <c r="AY1457" s="4"/>
      <c r="AZ1457"/>
      <c r="BA1457"/>
      <c r="BB1457"/>
      <c r="BC1457" t="inlineStr">
        <is>
          <t>Prefer 1 job posting but budget concern</t>
        </is>
      </c>
      <c r="BD1457" s="4">
        <v>46141.681435185186</v>
      </c>
      <c r="BE1457" t="inlineStr">
        <is>
          <t>paid</t>
        </is>
      </c>
      <c r="BF1457"/>
      <c r="BG1457" t="inlineStr">
        <is>
          <t>Reschedule</t>
        </is>
      </c>
      <c r="BH1457" t="inlineStr">
        <is>
          <t>Yee Hang</t>
        </is>
      </c>
      <c r="BI1457" t="inlineStr">
        <is>
          <t>Agriculture / Poultry / Fisheries</t>
        </is>
      </c>
      <c r="BJ1457" s="4">
        <v>46144.75215277778</v>
      </c>
      <c r="BK1457" s="4">
        <v>45681.632523148146</v>
      </c>
      <c r="BL1457" t="inlineStr">
        <is>
          <t>0.0</t>
        </is>
      </c>
      <c r="BM1457" t="inlineStr">
        <is>
          <t>0.0</t>
        </is>
      </c>
      <c r="BN1457" t="inlineStr">
        <is>
          <t>View Create Job Page V4</t>
        </is>
      </c>
      <c r="BO1457" s="4">
        <v>46073.55087962963</v>
      </c>
      <c r="BP1457">
        <v>166456</v>
      </c>
      <c r="BQ1457">
        <v>76371</v>
      </c>
      <c r="BR1457" t="inlineStr">
        <is>
          <t>Online</t>
        </is>
      </c>
      <c r="BS1457"/>
      <c r="BT1457">
        <v>76371</v>
      </c>
      <c r="BU1457"/>
      <c r="BV1457">
        <v>2735882</v>
      </c>
      <c r="BW1457" t="inlineStr">
        <is>
          <t>Follow Up : Budget Concern</t>
        </is>
      </c>
      <c r="BX1457"/>
      <c r="BY1457"/>
      <c r="BZ1457" s="4"/>
      <c r="CA1457"/>
      <c r="CB1457"/>
      <c r="CC1457" s="4"/>
      <c r="CD1457" t="inlineStr">
        <is>
          <t>20</t>
        </is>
      </c>
      <c r="CE1457" t="inlineStr">
        <is>
          <t>0</t>
        </is>
      </c>
      <c r="CF1457" t="inlineStr">
        <is>
          <t>Q2-W02</t>
        </is>
      </c>
      <c r="CG1457"/>
      <c r="CH1457"/>
      <c r="CI1457"/>
      <c r="CJ1457" t="inlineStr">
        <is>
          <t>Paid</t>
        </is>
      </c>
      <c r="CK1457" t="inlineStr">
        <is>
          <t>Not Eligible</t>
        </is>
      </c>
      <c r="CL1457"/>
      <c r="CM1457"/>
    </row>
    <row r="1458" ht="25.5" customHeight="1">
      <c r="A1458" t="inlineStr">
        <is>
          <t>203094</t>
        </is>
      </c>
      <c r="B1458" s="2"/>
      <c r="C1458"/>
      <c r="D1458" s="3">
        <v>46122.63905092593</v>
      </c>
      <c r="E1458" t="inlineStr">
        <is>
          <t>Q2-W02</t>
        </is>
      </c>
      <c r="F1458" t="inlineStr">
        <is>
          <t>Clover</t>
        </is>
      </c>
      <c r="G1458" t="inlineStr">
        <is>
          <t>Customer</t>
        </is>
      </c>
      <c r="H1458" s="2" t="str">
        <f>=HYPERLINK("https://upbox.ajobthing.my/customer/203094", "https://upbox.ajobthing.my/customer/203094")</f>
        <v>https://upbox.ajobthing.my/customer/203094</v>
      </c>
      <c r="I1458" t="inlineStr">
        <is>
          <t>PROVAC ENGINEERING SDN BHD</t>
        </is>
      </c>
      <c r="J1458" t="inlineStr">
        <is>
          <t>Dolphin</t>
        </is>
      </c>
      <c r="K1458" t="inlineStr">
        <is>
          <t>Clover</t>
        </is>
      </c>
      <c r="L1458" s="4"/>
      <c r="M1458" s="4">
        <v>46122.639340277776</v>
      </c>
      <c r="N1458"/>
      <c r="O1458">
        <v>3888</v>
      </c>
      <c r="P1458" s="4"/>
      <c r="Q1458" s="4"/>
      <c r="R1458"/>
      <c r="S1458"/>
      <c r="T1458" s="4"/>
      <c r="U1458" s="4"/>
      <c r="V1458"/>
      <c r="W1458"/>
      <c r="X1458"/>
      <c r="Y1458" t="inlineStr">
        <is>
          <t>Pending Appointment</t>
        </is>
      </c>
      <c r="Z1458" t="inlineStr">
        <is>
          <t>Hiring Now</t>
        </is>
      </c>
      <c r="AA1458">
        <v>2</v>
      </c>
      <c r="AB1458" t="inlineStr">
        <is>
          <t>No Appointment Made</t>
        </is>
      </c>
      <c r="AC1458"/>
      <c r="AD1458" t="inlineStr">
        <is>
          <t>Ms Emily, hire emgineering copany, tesalas cum admin x1 fresh grads, site supervisor min 1 year,  1st time, future not sure, share wa</t>
        </is>
      </c>
      <c r="AE1458"/>
      <c r="AF1458">
        <v>3000</v>
      </c>
      <c r="AG1458" s="4"/>
      <c r="AH1458" s="4"/>
      <c r="AI1458">
        <v>3000</v>
      </c>
      <c r="AJ1458">
        <v>1</v>
      </c>
      <c r="AK1458" t="inlineStr">
        <is>
          <t>No, but I want in future</t>
        </is>
      </c>
      <c r="AL1458">
        <v>1</v>
      </c>
      <c r="AM1458" t="inlineStr">
        <is>
          <t>No, but I want in future</t>
        </is>
      </c>
      <c r="AN1458"/>
      <c r="AO1458" t="inlineStr">
        <is>
          <t>No, but I want in future</t>
        </is>
      </c>
      <c r="AP1458" t="inlineStr">
        <is>
          <t>Twice a year (50%)</t>
        </is>
      </c>
      <c r="AQ1458">
        <v>2</v>
      </c>
      <c r="AR1458" t="inlineStr">
        <is>
          <t>Did not use any job portal</t>
        </is>
      </c>
      <c r="AS1458" t="inlineStr">
        <is>
          <t>- Headcount: 2
- Hiring Job Details: Ms Emily to hire for engineering company; 1 fresh grad tesalas cum admin, 1 site supervisor (min 1 year exp); 1st time hiring, future plan unsure, share via WA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1458">
        <v>115</v>
      </c>
      <c r="AU1458" t="inlineStr">
        <is>
          <t>1.15</t>
        </is>
      </c>
      <c r="AV1458" t="inlineStr">
        <is>
          <t>15</t>
        </is>
      </c>
      <c r="AW1458" t="inlineStr">
        <is>
          <t>0</t>
        </is>
      </c>
      <c r="AX1458" t="inlineStr">
        <is>
          <t>Not Qualified</t>
        </is>
      </c>
      <c r="AY1458" s="4"/>
      <c r="AZ1458"/>
      <c r="BA1458"/>
      <c r="BB1458"/>
      <c r="BC1458" t="inlineStr">
        <is>
          <t>Still considering</t>
        </is>
      </c>
      <c r="BD1458" s="4">
        <v>46133.66893518518</v>
      </c>
      <c r="BE1458"/>
      <c r="BF1458"/>
      <c r="BG1458" t="inlineStr">
        <is>
          <t>Reschedule</t>
        </is>
      </c>
      <c r="BH1458" t="inlineStr">
        <is>
          <t>Reagen</t>
        </is>
      </c>
      <c r="BI1458"/>
      <c r="BJ1458" s="4">
        <v>46144.754212962966</v>
      </c>
      <c r="BK1458" s="4">
        <v>46122.634560185186</v>
      </c>
      <c r="BL1458" t="inlineStr">
        <is>
          <t>0.0</t>
        </is>
      </c>
      <c r="BM1458" t="inlineStr">
        <is>
          <t>0.0</t>
        </is>
      </c>
      <c r="BN1458"/>
      <c r="BO1458" s="4"/>
      <c r="BP1458">
        <v>166470</v>
      </c>
      <c r="BQ1458"/>
      <c r="BR1458"/>
      <c r="BS1458"/>
      <c r="BT1458"/>
      <c r="BU1458"/>
      <c r="BV1458">
        <v>2718720</v>
      </c>
      <c r="BW1458" t="inlineStr">
        <is>
          <t>Follow Up : Decision Pending</t>
        </is>
      </c>
      <c r="BX1458"/>
      <c r="BY1458"/>
      <c r="BZ1458" s="4"/>
      <c r="CA1458"/>
      <c r="CB1458"/>
      <c r="CC1458" s="4"/>
      <c r="CD1458" t="inlineStr">
        <is>
          <t>20</t>
        </is>
      </c>
      <c r="CE1458" t="inlineStr">
        <is>
          <t>0</t>
        </is>
      </c>
      <c r="CF1458" t="inlineStr">
        <is>
          <t>Q2-W02</t>
        </is>
      </c>
      <c r="CG1458"/>
      <c r="CH1458"/>
      <c r="CI1458"/>
      <c r="CJ1458" t="inlineStr">
        <is>
          <t>No Paid</t>
        </is>
      </c>
      <c r="CK1458" t="inlineStr">
        <is>
          <t>Not Eligible</t>
        </is>
      </c>
      <c r="CL1458"/>
      <c r="CM1458"/>
    </row>
    <row r="1459" ht="25.5" customHeight="1">
      <c r="A1459" t="inlineStr">
        <is>
          <t>203094</t>
        </is>
      </c>
      <c r="B1459" s="2"/>
      <c r="C1459"/>
      <c r="D1459" s="3">
        <v>46122.64013888889</v>
      </c>
      <c r="E1459" t="inlineStr">
        <is>
          <t>Q2-W02</t>
        </is>
      </c>
      <c r="F1459" t="inlineStr">
        <is>
          <t>Clover</t>
        </is>
      </c>
      <c r="G1459" t="inlineStr">
        <is>
          <t>Customer</t>
        </is>
      </c>
      <c r="H1459" s="2" t="str">
        <f>=HYPERLINK("https://upbox.ajobthing.my/customer/203094", "https://upbox.ajobthing.my/customer/203094")</f>
        <v>https://upbox.ajobthing.my/customer/203094</v>
      </c>
      <c r="I1459" t="inlineStr">
        <is>
          <t>PROVAC ENGINEERING SDN BHD</t>
        </is>
      </c>
      <c r="J1459" t="inlineStr">
        <is>
          <t>Dolphin</t>
        </is>
      </c>
      <c r="K1459" t="inlineStr">
        <is>
          <t>Clover</t>
        </is>
      </c>
      <c r="L1459" s="4"/>
      <c r="M1459" s="4">
        <v>46122.639340277776</v>
      </c>
      <c r="N1459"/>
      <c r="O1459">
        <v>3888</v>
      </c>
      <c r="P1459" s="4"/>
      <c r="Q1459" s="4"/>
      <c r="R1459"/>
      <c r="S1459"/>
      <c r="T1459" s="4"/>
      <c r="U1459" s="4"/>
      <c r="V1459"/>
      <c r="W1459"/>
      <c r="X1459"/>
      <c r="Y1459" t="inlineStr">
        <is>
          <t>Pending Appointment</t>
        </is>
      </c>
      <c r="Z1459" t="inlineStr">
        <is>
          <t>Hiring Now</t>
        </is>
      </c>
      <c r="AA1459">
        <v>2</v>
      </c>
      <c r="AB1459" t="inlineStr">
        <is>
          <t>No Appointment Made</t>
        </is>
      </c>
      <c r="AC1459"/>
      <c r="AD1459" t="inlineStr">
        <is>
          <t>Ms Emily, hire emgineering company, klang selangor tesalas cum admin x1 fresh grads, site supervisor min 1 year,  1st time, future not sure, share wa</t>
        </is>
      </c>
      <c r="AE1459"/>
      <c r="AF1459">
        <v>3000</v>
      </c>
      <c r="AG1459" s="4"/>
      <c r="AH1459" s="4"/>
      <c r="AI1459">
        <v>3000</v>
      </c>
      <c r="AJ1459">
        <v>1</v>
      </c>
      <c r="AK1459" t="inlineStr">
        <is>
          <t>No, but I want in future</t>
        </is>
      </c>
      <c r="AL1459">
        <v>1</v>
      </c>
      <c r="AM1459" t="inlineStr">
        <is>
          <t>No, but I want in future</t>
        </is>
      </c>
      <c r="AN1459"/>
      <c r="AO1459" t="inlineStr">
        <is>
          <t>No, but I want in future</t>
        </is>
      </c>
      <c r="AP1459" t="inlineStr">
        <is>
          <t>Twice a year (50%)</t>
        </is>
      </c>
      <c r="AQ1459">
        <v>3</v>
      </c>
      <c r="AR1459" t="inlineStr">
        <is>
          <t>Did not use any job portal</t>
        </is>
      </c>
      <c r="AS1459" t="inlineStr">
        <is>
          <t>- Headcount: 2
- Hiring Job Details: 1 fresh grad engineering cum admin, 1 site supervisor (min 1 year exp); Ms Emily to hire engineering company (Klang Selangor), 1st time, future unsure, share via WA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None used</t>
        </is>
      </c>
      <c r="AT1459">
        <v>105</v>
      </c>
      <c r="AU1459" t="inlineStr">
        <is>
          <t>1.05</t>
        </is>
      </c>
      <c r="AV1459" t="inlineStr">
        <is>
          <t>15</t>
        </is>
      </c>
      <c r="AW1459" t="inlineStr">
        <is>
          <t>0</t>
        </is>
      </c>
      <c r="AX1459" t="inlineStr">
        <is>
          <t>Not Qualified</t>
        </is>
      </c>
      <c r="AY1459" s="4"/>
      <c r="AZ1459"/>
      <c r="BA1459"/>
      <c r="BB1459"/>
      <c r="BC1459" t="inlineStr">
        <is>
          <t>Still considering</t>
        </is>
      </c>
      <c r="BD1459" s="4">
        <v>46133.66893518518</v>
      </c>
      <c r="BE1459"/>
      <c r="BF1459"/>
      <c r="BG1459" t="inlineStr">
        <is>
          <t>Reschedule</t>
        </is>
      </c>
      <c r="BH1459" t="inlineStr">
        <is>
          <t>Reagen</t>
        </is>
      </c>
      <c r="BI1459"/>
      <c r="BJ1459" s="4">
        <v>46144.754212962966</v>
      </c>
      <c r="BK1459" s="4">
        <v>46122.634560185186</v>
      </c>
      <c r="BL1459" t="inlineStr">
        <is>
          <t>0.0</t>
        </is>
      </c>
      <c r="BM1459" t="inlineStr">
        <is>
          <t>0.0</t>
        </is>
      </c>
      <c r="BN1459"/>
      <c r="BO1459" s="4"/>
      <c r="BP1459">
        <v>166470</v>
      </c>
      <c r="BQ1459"/>
      <c r="BR1459"/>
      <c r="BS1459"/>
      <c r="BT1459"/>
      <c r="BU1459"/>
      <c r="BV1459">
        <v>2718720</v>
      </c>
      <c r="BW1459" t="inlineStr">
        <is>
          <t>Follow Up : Decision Pending</t>
        </is>
      </c>
      <c r="BX1459"/>
      <c r="BY1459"/>
      <c r="BZ1459" s="4"/>
      <c r="CA1459"/>
      <c r="CB1459"/>
      <c r="CC1459" s="4"/>
      <c r="CD1459" t="inlineStr">
        <is>
          <t>20</t>
        </is>
      </c>
      <c r="CE1459" t="inlineStr">
        <is>
          <t>0</t>
        </is>
      </c>
      <c r="CF1459" t="inlineStr">
        <is>
          <t>Q2-W02</t>
        </is>
      </c>
      <c r="CG1459"/>
      <c r="CH1459"/>
      <c r="CI1459"/>
      <c r="CJ1459" t="inlineStr">
        <is>
          <t>No Paid</t>
        </is>
      </c>
      <c r="CK1459" t="inlineStr">
        <is>
          <t>Not Eligible</t>
        </is>
      </c>
      <c r="CL1459"/>
      <c r="CM1459"/>
    </row>
    <row r="1460" ht="25.5" customHeight="1">
      <c r="A1460" t="inlineStr">
        <is>
          <t>145273</t>
        </is>
      </c>
      <c r="B1460" s="2"/>
      <c r="C1460"/>
      <c r="D1460" s="3">
        <v>46122.64016203704</v>
      </c>
      <c r="E1460" t="inlineStr">
        <is>
          <t>Q2-W02</t>
        </is>
      </c>
      <c r="F1460" t="inlineStr">
        <is>
          <t>Jia Hui</t>
        </is>
      </c>
      <c r="G1460" t="inlineStr">
        <is>
          <t>Customer</t>
        </is>
      </c>
      <c r="H1460" s="2" t="str">
        <f>=HYPERLINK("https://upbox.ajobthing.my/customer/145273", "https://upbox.ajobthing.my/customer/145273")</f>
        <v>https://upbox.ajobthing.my/customer/145273</v>
      </c>
      <c r="I1460" t="inlineStr">
        <is>
          <t xml:space="preserve">Ezva Group </t>
        </is>
      </c>
      <c r="J1460" t="inlineStr">
        <is>
          <t>Dolphin</t>
        </is>
      </c>
      <c r="K1460" t="inlineStr">
        <is>
          <t>Jia Hui</t>
        </is>
      </c>
      <c r="L1460" s="4"/>
      <c r="M1460" s="4">
        <v>46122.640393518515</v>
      </c>
      <c r="N1460"/>
      <c r="O1460">
        <v>3888</v>
      </c>
      <c r="P1460" s="4"/>
      <c r="Q1460" s="4">
        <v>44559.65414351852</v>
      </c>
      <c r="R1460"/>
      <c r="S1460">
        <v>583</v>
      </c>
      <c r="T1460" s="4">
        <v>44559.65414351852</v>
      </c>
      <c r="U1460" s="4"/>
      <c r="V1460"/>
      <c r="W1460">
        <v>583</v>
      </c>
      <c r="X1460"/>
      <c r="Y1460" t="inlineStr">
        <is>
          <t>Pending Appointment</t>
        </is>
      </c>
      <c r="Z1460" t="inlineStr">
        <is>
          <t>Hiring Later</t>
        </is>
      </c>
      <c r="AA1460">
        <v>1</v>
      </c>
      <c r="AB1460" t="inlineStr">
        <is>
          <t>No Appointment Made</t>
        </is>
      </c>
      <c r="AC1460"/>
      <c r="AD1460" t="inlineStr">
        <is>
          <t>1 admin</t>
        </is>
      </c>
      <c r="AE1460"/>
      <c r="AF1460">
        <v>500</v>
      </c>
      <c r="AG1460" s="4"/>
      <c r="AH1460" s="4"/>
      <c r="AI1460"/>
      <c r="AJ1460"/>
      <c r="AK1460" t="inlineStr">
        <is>
          <t>No, but I want in future</t>
        </is>
      </c>
      <c r="AL1460"/>
      <c r="AM1460"/>
      <c r="AN1460"/>
      <c r="AO1460"/>
      <c r="AP1460" t="inlineStr">
        <is>
          <t>Once a year (25%)</t>
        </is>
      </c>
      <c r="AQ1460"/>
      <c r="AR1460"/>
      <c r="AS1460" t="inlineStr">
        <is>
          <t>- Headcount: 1
- Hiring Job Details: 1 admin
- Hiring Urgency: Hiring Later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is>
      </c>
      <c r="AT1460">
        <v>75</v>
      </c>
      <c r="AU1460" t="inlineStr">
        <is>
          <t>0.75</t>
        </is>
      </c>
      <c r="AV1460" t="inlineStr">
        <is>
          <t>15</t>
        </is>
      </c>
      <c r="AW1460" t="inlineStr">
        <is>
          <t>0</t>
        </is>
      </c>
      <c r="AX1460" t="inlineStr">
        <is>
          <t>Not Qualified</t>
        </is>
      </c>
      <c r="AY1460" s="4"/>
      <c r="AZ1460"/>
      <c r="BA1460"/>
      <c r="BB1460"/>
      <c r="BC1460" t="inlineStr">
        <is>
          <t>no hiring atm</t>
        </is>
      </c>
      <c r="BD1460" s="4">
        <v>46126.63652777778</v>
      </c>
      <c r="BE1460" t="inlineStr">
        <is>
          <t>paid</t>
        </is>
      </c>
      <c r="BF1460"/>
      <c r="BG1460" t="inlineStr">
        <is>
          <t>Reschedule</t>
        </is>
      </c>
      <c r="BH1460" t="inlineStr">
        <is>
          <t>Reagen</t>
        </is>
      </c>
      <c r="BI1460" t="inlineStr">
        <is>
          <t>Entertainment / Media</t>
        </is>
      </c>
      <c r="BJ1460" s="4">
        <v>46144.75074074074</v>
      </c>
      <c r="BK1460" s="4">
        <v>44539.719872685186</v>
      </c>
      <c r="BL1460" t="inlineStr">
        <is>
          <t>0.0</t>
        </is>
      </c>
      <c r="BM1460" t="inlineStr">
        <is>
          <t>0.0</t>
        </is>
      </c>
      <c r="BN1460" t="inlineStr">
        <is>
          <t>View Account User</t>
        </is>
      </c>
      <c r="BO1460" s="4">
        <v>45764.7569212963</v>
      </c>
      <c r="BP1460">
        <v>166473</v>
      </c>
      <c r="BQ1460">
        <v>39179</v>
      </c>
      <c r="BR1460" t="inlineStr">
        <is>
          <t>Online</t>
        </is>
      </c>
      <c r="BS1460"/>
      <c r="BT1460">
        <v>39179</v>
      </c>
      <c r="BU1460"/>
      <c r="BV1460">
        <v>2703890</v>
      </c>
      <c r="BW1460" t="inlineStr">
        <is>
          <t>Inquire for Hiring Needs : No Hiring</t>
        </is>
      </c>
      <c r="BX1460"/>
      <c r="BY1460"/>
      <c r="BZ1460" s="4"/>
      <c r="CA1460"/>
      <c r="CB1460"/>
      <c r="CC1460" s="4"/>
      <c r="CD1460" t="inlineStr">
        <is>
          <t>20</t>
        </is>
      </c>
      <c r="CE1460" t="inlineStr">
        <is>
          <t>0</t>
        </is>
      </c>
      <c r="CF1460" t="inlineStr">
        <is>
          <t>Q2-W02</t>
        </is>
      </c>
      <c r="CG1460"/>
      <c r="CH1460"/>
      <c r="CI1460"/>
      <c r="CJ1460" t="inlineStr">
        <is>
          <t>Paid</t>
        </is>
      </c>
      <c r="CK1460" t="inlineStr">
        <is>
          <t>Not Eligible</t>
        </is>
      </c>
      <c r="CL1460"/>
      <c r="CM1460"/>
    </row>
    <row r="1461" ht="25.5" customHeight="1">
      <c r="A1461" t="inlineStr">
        <is>
          <t>203091</t>
        </is>
      </c>
      <c r="B1461" s="2"/>
      <c r="C1461"/>
      <c r="D1461" s="3">
        <v>46122.640601851854</v>
      </c>
      <c r="E1461" t="inlineStr">
        <is>
          <t>Q2-W02</t>
        </is>
      </c>
      <c r="F1461" t="inlineStr">
        <is>
          <t>Ken Yi</t>
        </is>
      </c>
      <c r="G1461" t="inlineStr">
        <is>
          <t>Customer</t>
        </is>
      </c>
      <c r="H1461" s="2" t="str">
        <f>=HYPERLINK("https://upbox.ajobthing.my/customer/203091", "https://upbox.ajobthing.my/customer/203091")</f>
        <v>https://upbox.ajobthing.my/customer/203091</v>
      </c>
      <c r="I1461" t="inlineStr">
        <is>
          <t>Airtech M&amp;E Sdn Bhd</t>
        </is>
      </c>
      <c r="J1461" t="inlineStr">
        <is>
          <t>Dolphin</t>
        </is>
      </c>
      <c r="K1461" t="inlineStr">
        <is>
          <t>Kenyi</t>
        </is>
      </c>
      <c r="L1461" s="4"/>
      <c r="M1461" s="4">
        <v>46122.28954861111</v>
      </c>
      <c r="N1461"/>
      <c r="O1461">
        <v>3672</v>
      </c>
      <c r="P1461" s="4"/>
      <c r="Q1461" s="4">
        <v>46129.54655092592</v>
      </c>
      <c r="R1461"/>
      <c r="S1461">
        <v>0</v>
      </c>
      <c r="T1461" s="4">
        <v>46125.44241898148</v>
      </c>
      <c r="U1461" s="4"/>
      <c r="V1461"/>
      <c r="W1461">
        <v>3672</v>
      </c>
      <c r="X1461"/>
      <c r="Y1461" t="inlineStr">
        <is>
          <t>Pending Appointment</t>
        </is>
      </c>
      <c r="Z1461" t="inlineStr">
        <is>
          <t>Hiring Now</t>
        </is>
      </c>
      <c r="AA1461">
        <v>1</v>
      </c>
      <c r="AB1461" t="inlineStr">
        <is>
          <t>No Appointment Made</t>
        </is>
      </c>
      <c r="AC1461"/>
      <c r="AD1461" t="inlineStr">
        <is>
          <t>Technician</t>
        </is>
      </c>
      <c r="AE1461"/>
      <c r="AF1461">
        <v>0</v>
      </c>
      <c r="AG1461" s="4"/>
      <c r="AH1461" s="4"/>
      <c r="AI1461">
        <v>0</v>
      </c>
      <c r="AJ1461">
        <v>1</v>
      </c>
      <c r="AK1461" t="inlineStr">
        <is>
          <t>No, I don't need at all</t>
        </is>
      </c>
      <c r="AL1461">
        <v>0</v>
      </c>
      <c r="AM1461" t="inlineStr">
        <is>
          <t>No, I don't need at all</t>
        </is>
      </c>
      <c r="AN1461"/>
      <c r="AO1461" t="inlineStr">
        <is>
          <t>No, I don't need at all</t>
        </is>
      </c>
      <c r="AP1461" t="inlineStr">
        <is>
          <t>Every month (100%)</t>
        </is>
      </c>
      <c r="AQ1461">
        <v>1</v>
      </c>
      <c r="AR1461" t="inlineStr">
        <is>
          <t>Did not use any job portal</t>
        </is>
      </c>
      <c r="AS1461" t="inlineStr">
        <is>
          <t>- Headcount: 1
- Hiring Job Details: Technician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Did not use any job portal</t>
        </is>
      </c>
      <c r="AT1461">
        <v>115</v>
      </c>
      <c r="AU1461" t="inlineStr">
        <is>
          <t>1.15</t>
        </is>
      </c>
      <c r="AV1461" t="inlineStr">
        <is>
          <t>15</t>
        </is>
      </c>
      <c r="AW1461" t="inlineStr">
        <is>
          <t>0</t>
        </is>
      </c>
      <c r="AX1461" t="inlineStr">
        <is>
          <t>Not Qualified</t>
        </is>
      </c>
      <c r="AY1461" s="4"/>
      <c r="AZ1461"/>
      <c r="BA1461"/>
      <c r="BB1461"/>
      <c r="BC1461" t="inlineStr">
        <is>
          <t>Service and help to bump up the job posting</t>
        </is>
      </c>
      <c r="BD1461" s="4">
        <v>46141.37773148148</v>
      </c>
      <c r="BE1461" t="inlineStr">
        <is>
          <t>paid</t>
        </is>
      </c>
      <c r="BF1461" t="inlineStr">
        <is>
          <t>Q2-W02</t>
        </is>
      </c>
      <c r="BG1461" t="inlineStr">
        <is>
          <t>Reschedule</t>
        </is>
      </c>
      <c r="BH1461" t="inlineStr">
        <is>
          <t>Fauziah Maharan</t>
        </is>
      </c>
      <c r="BI1461" t="inlineStr">
        <is>
          <t>Engineering / Technical Consulting</t>
        </is>
      </c>
      <c r="BJ1461" s="4">
        <v>46144.754212962966</v>
      </c>
      <c r="BK1461" s="4">
        <v>46122.6228587963</v>
      </c>
      <c r="BL1461" t="inlineStr">
        <is>
          <t>3672.0</t>
        </is>
      </c>
      <c r="BM1461" t="inlineStr">
        <is>
          <t>0.0</t>
        </is>
      </c>
      <c r="BN1461" t="inlineStr">
        <is>
          <t>User Visit(Logged In)</t>
        </is>
      </c>
      <c r="BO1461" s="4">
        <v>46142.379166666666</v>
      </c>
      <c r="BP1461">
        <v>166459</v>
      </c>
      <c r="BQ1461">
        <v>122963</v>
      </c>
      <c r="BR1461" t="inlineStr">
        <is>
          <t>Proforma</t>
        </is>
      </c>
      <c r="BS1461" t="inlineStr">
        <is>
          <t>Free Part-Time Job</t>
        </is>
      </c>
      <c r="BT1461">
        <v>7614</v>
      </c>
      <c r="BU1461"/>
      <c r="BV1461">
        <v>2734081</v>
      </c>
      <c r="BW1461" t="inlineStr">
        <is>
          <t>Service / Technical : Job Outcome Enquiry</t>
        </is>
      </c>
      <c r="BX1461">
        <v>6</v>
      </c>
      <c r="BY1461">
        <v>4</v>
      </c>
      <c r="BZ1461" s="4">
        <v>46129.7377662037</v>
      </c>
      <c r="CA1461">
        <v>73</v>
      </c>
      <c r="CB1461">
        <v>67</v>
      </c>
      <c r="CC1461" s="4">
        <v>46139.531805555554</v>
      </c>
      <c r="CD1461" t="inlineStr">
        <is>
          <t>20</t>
        </is>
      </c>
      <c r="CE1461" t="inlineStr">
        <is>
          <t>0</t>
        </is>
      </c>
      <c r="CF1461" t="inlineStr">
        <is>
          <t>Q2-W02</t>
        </is>
      </c>
      <c r="CG1461" t="inlineStr">
        <is>
          <t>Q2-W03</t>
        </is>
      </c>
      <c r="CH1461" t="inlineStr">
        <is>
          <t>Q2-W02</t>
        </is>
      </c>
      <c r="CI1461"/>
      <c r="CJ1461" t="inlineStr">
        <is>
          <t>Paid</t>
        </is>
      </c>
      <c r="CK1461" t="inlineStr">
        <is>
          <t>Not Eligible</t>
        </is>
      </c>
      <c r="CL1461"/>
      <c r="CM1461"/>
    </row>
    <row r="1462" ht="25.5" customHeight="1">
      <c r="A1462" t="inlineStr">
        <is>
          <t>203093</t>
        </is>
      </c>
      <c r="B1462" s="2"/>
      <c r="C1462"/>
      <c r="D1462" s="3">
        <v>46122.65216435185</v>
      </c>
      <c r="E1462" t="inlineStr">
        <is>
          <t>Q2-W02</t>
        </is>
      </c>
      <c r="F1462" t="inlineStr">
        <is>
          <t>Alan KY</t>
        </is>
      </c>
      <c r="G1462" t="inlineStr">
        <is>
          <t>Customer</t>
        </is>
      </c>
      <c r="H1462" s="2" t="str">
        <f>=HYPERLINK("https://upbox.ajobthing.my/customer/203093", "https://upbox.ajobthing.my/customer/203093")</f>
        <v>https://upbox.ajobthing.my/customer/203093</v>
      </c>
      <c r="I1462" t="inlineStr">
        <is>
          <t>Questmastery Asia</t>
        </is>
      </c>
      <c r="J1462" t="inlineStr">
        <is>
          <t>Dolphin</t>
        </is>
      </c>
      <c r="K1462" t="inlineStr">
        <is>
          <t>Alan KY</t>
        </is>
      </c>
      <c r="L1462" s="4"/>
      <c r="M1462" s="4">
        <v>46122.70190972222</v>
      </c>
      <c r="N1462"/>
      <c r="O1462">
        <v>6048</v>
      </c>
      <c r="P1462" s="4"/>
      <c r="Q1462" s="4">
        <v>46122.630902777775</v>
      </c>
      <c r="R1462"/>
      <c r="S1462">
        <v>0</v>
      </c>
      <c r="T1462" s="4"/>
      <c r="U1462" s="4"/>
      <c r="V1462"/>
      <c r="W1462"/>
      <c r="X1462"/>
      <c r="Y1462" t="inlineStr">
        <is>
          <t>Pending Appointment</t>
        </is>
      </c>
      <c r="Z1462" t="inlineStr">
        <is>
          <t>Hiring Now</t>
        </is>
      </c>
      <c r="AA1462">
        <v>3</v>
      </c>
      <c r="AB1462" t="inlineStr">
        <is>
          <t>No Appointment Made</t>
        </is>
      </c>
      <c r="AC1462"/>
      <c r="AD1462" t="inlineStr">
        <is>
          <t xml:space="preserve"> marketing intern/executive 2 , and finance account intern</t>
        </is>
      </c>
      <c r="AE1462"/>
      <c r="AF1462"/>
      <c r="AG1462" s="4"/>
      <c r="AH1462" s="4"/>
      <c r="AI1462"/>
      <c r="AJ1462"/>
      <c r="AK1462" t="inlineStr">
        <is>
          <t>No, I don't need at all</t>
        </is>
      </c>
      <c r="AL1462"/>
      <c r="AM1462" t="inlineStr">
        <is>
          <t>No, I don't need at all</t>
        </is>
      </c>
      <c r="AN1462"/>
      <c r="AO1462" t="inlineStr">
        <is>
          <t>No, I don't need at all</t>
        </is>
      </c>
      <c r="AP1462" t="inlineStr">
        <is>
          <t>Once per quarter (75%)</t>
        </is>
      </c>
      <c r="AQ1462"/>
      <c r="AR1462" t="inlineStr">
        <is>
          <t>Jobstreet</t>
        </is>
      </c>
      <c r="AS1462" t="inlineStr">
        <is>
          <t>- Headcount: 3
- Hiring Job Details: 2 marketing intern/executive, 1 finance account intern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is>
      </c>
      <c r="AT1462">
        <v>95</v>
      </c>
      <c r="AU1462" t="inlineStr">
        <is>
          <t>0.95</t>
        </is>
      </c>
      <c r="AV1462" t="inlineStr">
        <is>
          <t>5</t>
        </is>
      </c>
      <c r="AW1462" t="inlineStr">
        <is>
          <t>0</t>
        </is>
      </c>
      <c r="AX1462" t="inlineStr">
        <is>
          <t>Not Qualified</t>
        </is>
      </c>
      <c r="AY1462" s="4"/>
      <c r="AZ1462"/>
      <c r="BA1462"/>
      <c r="BB1462"/>
      <c r="BC1462" t="inlineStr">
        <is>
          <t>Will keep in view first, she shared the experience using job portal and candidates 
Many uncertainty now, maybe not now.</t>
        </is>
      </c>
      <c r="BD1462" s="4">
        <v>46127.74350694445</v>
      </c>
      <c r="BE1462" t="inlineStr">
        <is>
          <t>paid</t>
        </is>
      </c>
      <c r="BF1462"/>
      <c r="BG1462" t="inlineStr">
        <is>
          <t>Reschedule</t>
        </is>
      </c>
      <c r="BH1462" t="inlineStr">
        <is>
          <t>Reagen</t>
        </is>
      </c>
      <c r="BI1462"/>
      <c r="BJ1462" s="4">
        <v>46144.754212962966</v>
      </c>
      <c r="BK1462" s="4">
        <v>46122.6280787037</v>
      </c>
      <c r="BL1462" t="inlineStr">
        <is>
          <t>0.0</t>
        </is>
      </c>
      <c r="BM1462" t="inlineStr">
        <is>
          <t>0.0</t>
        </is>
      </c>
      <c r="BN1462" t="inlineStr">
        <is>
          <t>View Create Job Page V4</t>
        </is>
      </c>
      <c r="BO1462" s="4">
        <v>46122.69283564815</v>
      </c>
      <c r="BP1462">
        <v>166531</v>
      </c>
      <c r="BQ1462">
        <v>121733</v>
      </c>
      <c r="BR1462" t="inlineStr">
        <is>
          <t>Proforma</t>
        </is>
      </c>
      <c r="BS1462" t="inlineStr">
        <is>
          <t>Free Part-Time Job</t>
        </is>
      </c>
      <c r="BT1462"/>
      <c r="BU1462"/>
      <c r="BV1462">
        <v>2707068</v>
      </c>
      <c r="BW1462" t="inlineStr">
        <is>
          <t>Follow Up : Budget Concern</t>
        </is>
      </c>
      <c r="BX1462"/>
      <c r="BY1462"/>
      <c r="BZ1462" s="4"/>
      <c r="CA1462"/>
      <c r="CB1462"/>
      <c r="CC1462" s="4"/>
      <c r="CD1462" t="inlineStr">
        <is>
          <t>5</t>
        </is>
      </c>
      <c r="CE1462" t="inlineStr">
        <is>
          <t>0</t>
        </is>
      </c>
      <c r="CF1462" t="inlineStr">
        <is>
          <t>Q2-W02</t>
        </is>
      </c>
      <c r="CG1462" t="inlineStr">
        <is>
          <t>Q2-W02</t>
        </is>
      </c>
      <c r="CH1462"/>
      <c r="CI1462"/>
      <c r="CJ1462" t="inlineStr">
        <is>
          <t>No Paid</t>
        </is>
      </c>
      <c r="CK1462" t="inlineStr">
        <is>
          <t>Not Eligible</t>
        </is>
      </c>
      <c r="CL1462"/>
      <c r="CM1462"/>
    </row>
    <row r="1463" ht="25.5" customHeight="1">
      <c r="A1463" t="inlineStr">
        <is>
          <t>4269242</t>
        </is>
      </c>
      <c r="B1463" s="2"/>
      <c r="C1463"/>
      <c r="D1463" s="3">
        <v>46122.65252314815</v>
      </c>
      <c r="E1463" t="inlineStr">
        <is>
          <t>Q2-W02</t>
        </is>
      </c>
      <c r="F1463" t="inlineStr">
        <is>
          <t>Jess</t>
        </is>
      </c>
      <c r="G1463" t="inlineStr">
        <is>
          <t>Lead</t>
        </is>
      </c>
      <c r="H1463" s="2" t="str">
        <f>=HYPERLINK("https://upbox.ajobthing.my/leads/4269242", "https://upbox.ajobthing.my/leads/4269242")</f>
        <v>https://upbox.ajobthing.my/leads/4269242</v>
      </c>
      <c r="I1463" t="inlineStr">
        <is>
          <t>JV-Binasistem Sdn Bhd</t>
        </is>
      </c>
      <c r="J1463" t="inlineStr">
        <is>
          <t>Dolphin</t>
        </is>
      </c>
      <c r="K1463" t="inlineStr">
        <is>
          <t>Jess Lim</t>
        </is>
      </c>
      <c r="L1463" s="4"/>
      <c r="M1463" s="4">
        <v>46125.43101851852</v>
      </c>
      <c r="N1463"/>
      <c r="O1463">
        <v>11448</v>
      </c>
      <c r="P1463" s="4"/>
      <c r="Q1463" s="4"/>
      <c r="R1463"/>
      <c r="S1463"/>
      <c r="T1463" s="4"/>
      <c r="U1463" s="4"/>
      <c r="V1463"/>
      <c r="W1463"/>
      <c r="X1463"/>
      <c r="Y1463" t="inlineStr">
        <is>
          <t>Pending Appointment</t>
        </is>
      </c>
      <c r="Z1463" t="inlineStr">
        <is>
          <t>Hiring Now</t>
        </is>
      </c>
      <c r="AA1463">
        <v>1</v>
      </c>
      <c r="AB1463" t="inlineStr">
        <is>
          <t>No Appointment Made</t>
        </is>
      </c>
      <c r="AC1463"/>
      <c r="AD1463" t="inlineStr">
        <is>
          <t>qs ,admin
1
mandarin</t>
        </is>
      </c>
      <c r="AE1463"/>
      <c r="AF1463">
        <v>3600</v>
      </c>
      <c r="AG1463" s="4"/>
      <c r="AH1463" s="4"/>
      <c r="AI1463"/>
      <c r="AJ1463">
        <v>1</v>
      </c>
      <c r="AK1463" t="inlineStr">
        <is>
          <t>No, I don't need at all</t>
        </is>
      </c>
      <c r="AL1463">
        <v>1</v>
      </c>
      <c r="AM1463" t="inlineStr">
        <is>
          <t>No, I don't need at all</t>
        </is>
      </c>
      <c r="AN1463"/>
      <c r="AO1463" t="inlineStr">
        <is>
          <t>No, I don't need at all</t>
        </is>
      </c>
      <c r="AP1463" t="inlineStr">
        <is>
          <t>Once a year (25%)</t>
        </is>
      </c>
      <c r="AQ1463"/>
      <c r="AR1463" t="inlineStr">
        <is>
          <t>Jobstreet</t>
        </is>
      </c>
      <c r="AS1463" t="inlineStr">
        <is>
          <t>- Headcount: 1
- Hiring Job Details: qs, admin; 1; mandarin
- Hiring Urgency: Hiring Now
- Number of outlets: 1
- Have recruiter team: No, I don't need at all
- Number of recruiter in company: 1
- Have ATS system: No, I don't need at all
- Have career website: No, I don't need at all
- Current hiring budget: RM3,600.00
- Whole year budget: Not provided
- Whole year number of vacancies: Not provided
- Hiring frequency: Once a year (25%)
- External job portal: Jobstreet</t>
        </is>
      </c>
      <c r="AT1463">
        <v>95</v>
      </c>
      <c r="AU1463" t="inlineStr">
        <is>
          <t>0.95</t>
        </is>
      </c>
      <c r="AV1463" t="inlineStr">
        <is>
          <t>15</t>
        </is>
      </c>
      <c r="AW1463" t="inlineStr">
        <is>
          <t>0</t>
        </is>
      </c>
      <c r="AX1463" t="inlineStr">
        <is>
          <t>Not Qualified</t>
        </is>
      </c>
      <c r="AY1463" s="4"/>
      <c r="AZ1463"/>
      <c r="BA1463"/>
      <c r="BB1463"/>
      <c r="BC1463"/>
      <c r="BD1463" s="4"/>
      <c r="BE1463"/>
      <c r="BF1463"/>
      <c r="BG1463" t="inlineStr">
        <is>
          <t>Reschedule</t>
        </is>
      </c>
      <c r="BH1463" t="inlineStr">
        <is>
          <t>Fauziah Maharan</t>
        </is>
      </c>
      <c r="BI1463"/>
      <c r="BJ1463" s="4">
        <v>46144.75578703704</v>
      </c>
      <c r="BK1463" s="4">
        <v>46122.59302083333</v>
      </c>
      <c r="BL1463" t="inlineStr">
        <is>
          <t>0.0</t>
        </is>
      </c>
      <c r="BM1463" t="inlineStr">
        <is>
          <t>1200.0</t>
        </is>
      </c>
      <c r="BN1463"/>
      <c r="BO1463" s="4"/>
      <c r="BP1463">
        <v>166643</v>
      </c>
      <c r="BQ1463"/>
      <c r="BR1463"/>
      <c r="BS1463"/>
      <c r="BT1463"/>
      <c r="BU1463"/>
      <c r="BV1463"/>
      <c r="BW1463"/>
      <c r="BX1463"/>
      <c r="BY1463"/>
      <c r="BZ1463" s="4"/>
      <c r="CA1463"/>
      <c r="CB1463"/>
      <c r="CC1463" s="4"/>
      <c r="CD1463" t="inlineStr">
        <is>
          <t>20</t>
        </is>
      </c>
      <c r="CE1463" t="inlineStr">
        <is>
          <t>0</t>
        </is>
      </c>
      <c r="CF1463" t="inlineStr">
        <is>
          <t>Q2-W02</t>
        </is>
      </c>
      <c r="CG1463"/>
      <c r="CH1463"/>
      <c r="CI1463"/>
      <c r="CJ1463" t="inlineStr">
        <is>
          <t>No Paid</t>
        </is>
      </c>
      <c r="CK1463" t="inlineStr">
        <is>
          <t>Not Eligible</t>
        </is>
      </c>
      <c r="CL1463"/>
      <c r="CM1463"/>
    </row>
    <row r="1464" ht="25.5" customHeight="1">
      <c r="A1464" t="inlineStr">
        <is>
          <t>159384</t>
        </is>
      </c>
      <c r="B1464" s="2"/>
      <c r="C1464"/>
      <c r="D1464" s="3">
        <v>46122.65792824074</v>
      </c>
      <c r="E1464" t="inlineStr">
        <is>
          <t>Q2-W02</t>
        </is>
      </c>
      <c r="F1464" t="inlineStr">
        <is>
          <t>Jia Hui</t>
        </is>
      </c>
      <c r="G1464" t="inlineStr">
        <is>
          <t>Customer</t>
        </is>
      </c>
      <c r="H1464" s="2" t="str">
        <f>=HYPERLINK("https://upbox.ajobthing.my/customer/159384", "https://upbox.ajobthing.my/customer/159384")</f>
        <v>https://upbox.ajobthing.my/customer/159384</v>
      </c>
      <c r="I1464" t="inlineStr">
        <is>
          <t>Tiance Research Sdn Bhd</t>
        </is>
      </c>
      <c r="J1464" t="inlineStr">
        <is>
          <t>Dolphin</t>
        </is>
      </c>
      <c r="K1464" t="inlineStr">
        <is>
          <t>Jia Hui</t>
        </is>
      </c>
      <c r="L1464" s="4"/>
      <c r="M1464" s="4">
        <v>46122.65613425926</v>
      </c>
      <c r="N1464"/>
      <c r="O1464">
        <v>6048</v>
      </c>
      <c r="P1464" s="4"/>
      <c r="Q1464" s="4">
        <v>45722.49597222222</v>
      </c>
      <c r="R1464"/>
      <c r="S1464">
        <v>3672</v>
      </c>
      <c r="T1464" s="4">
        <v>45722.49597222222</v>
      </c>
      <c r="U1464" s="4"/>
      <c r="V1464"/>
      <c r="W1464">
        <v>3672</v>
      </c>
      <c r="X1464"/>
      <c r="Y1464" t="inlineStr">
        <is>
          <t>Pending Appointment</t>
        </is>
      </c>
      <c r="Z1464" t="inlineStr">
        <is>
          <t>Hiring Later</t>
        </is>
      </c>
      <c r="AA1464">
        <v>3</v>
      </c>
      <c r="AB1464" t="inlineStr">
        <is>
          <t>No Appointment Made</t>
        </is>
      </c>
      <c r="AC1464"/>
      <c r="AD1464" t="inlineStr">
        <is>
          <t xml:space="preserve">3 sales </t>
        </is>
      </c>
      <c r="AE1464"/>
      <c r="AF1464">
        <v>500</v>
      </c>
      <c r="AG1464" s="4"/>
      <c r="AH1464" s="4"/>
      <c r="AI1464"/>
      <c r="AJ1464"/>
      <c r="AK1464" t="inlineStr">
        <is>
          <t>No, but I want in future</t>
        </is>
      </c>
      <c r="AL1464"/>
      <c r="AM1464"/>
      <c r="AN1464"/>
      <c r="AO1464"/>
      <c r="AP1464" t="inlineStr">
        <is>
          <t>Once a year (25%)</t>
        </is>
      </c>
      <c r="AQ1464"/>
      <c r="AR1464"/>
      <c r="AS1464" t="inlineStr">
        <is>
          <t>- Headcount: 3
- Hiring Job Details: 3 sales
- Hiring Urgency: Hiring Later
- Number of outlets: Not provided
- Have recruiter team: No, but I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is>
      </c>
      <c r="AT1464">
        <v>75</v>
      </c>
      <c r="AU1464" t="inlineStr">
        <is>
          <t>0.75</t>
        </is>
      </c>
      <c r="AV1464" t="inlineStr">
        <is>
          <t>15</t>
        </is>
      </c>
      <c r="AW1464" t="inlineStr">
        <is>
          <t>0</t>
        </is>
      </c>
      <c r="AX1464" t="inlineStr">
        <is>
          <t>Not Qualified</t>
        </is>
      </c>
      <c r="AY1464" s="4"/>
      <c r="AZ1464"/>
      <c r="BA1464"/>
      <c r="BB1464"/>
      <c r="BC1464" t="inlineStr">
        <is>
          <t>on hold, stop hiring atm</t>
        </is>
      </c>
      <c r="BD1464" s="4">
        <v>46126.65185185185</v>
      </c>
      <c r="BE1464" t="inlineStr">
        <is>
          <t>paid</t>
        </is>
      </c>
      <c r="BF1464"/>
      <c r="BG1464" t="inlineStr">
        <is>
          <t>Reschedule</t>
        </is>
      </c>
      <c r="BH1464" t="inlineStr">
        <is>
          <t>Reagen</t>
        </is>
      </c>
      <c r="BI1464" t="inlineStr">
        <is>
          <t>Utilities / Power</t>
        </is>
      </c>
      <c r="BJ1464" s="4">
        <v>46144.751064814816</v>
      </c>
      <c r="BK1464" s="4">
        <v>44809.61965277778</v>
      </c>
      <c r="BL1464" t="inlineStr">
        <is>
          <t>0.0</t>
        </is>
      </c>
      <c r="BM1464" t="inlineStr">
        <is>
          <t>0.0</t>
        </is>
      </c>
      <c r="BN1464" t="inlineStr">
        <is>
          <t>View Company Page</t>
        </is>
      </c>
      <c r="BO1464" s="4">
        <v>46096.97405092593</v>
      </c>
      <c r="BP1464">
        <v>166484</v>
      </c>
      <c r="BQ1464">
        <v>77394</v>
      </c>
      <c r="BR1464" t="inlineStr">
        <is>
          <t>Online</t>
        </is>
      </c>
      <c r="BS1464"/>
      <c r="BT1464">
        <v>77394</v>
      </c>
      <c r="BU1464"/>
      <c r="BV1464">
        <v>2703966</v>
      </c>
      <c r="BW1464" t="inlineStr">
        <is>
          <t>Follow Up : Budget Concern</t>
        </is>
      </c>
      <c r="BX1464"/>
      <c r="BY1464"/>
      <c r="BZ1464" s="4"/>
      <c r="CA1464"/>
      <c r="CB1464"/>
      <c r="CC1464" s="4"/>
      <c r="CD1464" t="inlineStr">
        <is>
          <t>20</t>
        </is>
      </c>
      <c r="CE1464" t="inlineStr">
        <is>
          <t>0</t>
        </is>
      </c>
      <c r="CF1464" t="inlineStr">
        <is>
          <t>Q2-W02</t>
        </is>
      </c>
      <c r="CG1464"/>
      <c r="CH1464"/>
      <c r="CI1464"/>
      <c r="CJ1464" t="inlineStr">
        <is>
          <t>Paid</t>
        </is>
      </c>
      <c r="CK1464" t="inlineStr">
        <is>
          <t>Not Eligible</t>
        </is>
      </c>
      <c r="CL1464"/>
      <c r="CM1464"/>
    </row>
    <row r="1465" ht="25.5" customHeight="1">
      <c r="A1465" t="inlineStr">
        <is>
          <t>185781</t>
        </is>
      </c>
      <c r="B1465" s="2"/>
      <c r="C1465"/>
      <c r="D1465" s="3">
        <v>46122.66400462963</v>
      </c>
      <c r="E1465" t="inlineStr">
        <is>
          <t>Q2-W02</t>
        </is>
      </c>
      <c r="F1465" t="inlineStr">
        <is>
          <t>Chia Yee</t>
        </is>
      </c>
      <c r="G1465" t="inlineStr">
        <is>
          <t>Customer</t>
        </is>
      </c>
      <c r="H1465" s="2" t="str">
        <f>=HYPERLINK("https://upbox.ajobthing.my/customer/185781", "https://upbox.ajobthing.my/customer/185781")</f>
        <v>https://upbox.ajobthing.my/customer/185781</v>
      </c>
      <c r="I1465" t="inlineStr">
        <is>
          <t>Ocean Xperience Sdn Bhd</t>
        </is>
      </c>
      <c r="J1465" t="inlineStr">
        <is>
          <t>Dolphin</t>
        </is>
      </c>
      <c r="K1465" t="inlineStr">
        <is>
          <t>Chia Yee</t>
        </is>
      </c>
      <c r="L1465" s="4"/>
      <c r="M1465" s="4">
        <v>46122.66412037037</v>
      </c>
      <c r="N1465"/>
      <c r="O1465">
        <v>1296</v>
      </c>
      <c r="P1465" s="4"/>
      <c r="Q1465" s="4">
        <v>45783.738530092596</v>
      </c>
      <c r="R1465"/>
      <c r="S1465">
        <v>648</v>
      </c>
      <c r="T1465" s="4">
        <v>45783.738530092596</v>
      </c>
      <c r="U1465" s="4"/>
      <c r="V1465"/>
      <c r="W1465">
        <v>648</v>
      </c>
      <c r="X1465"/>
      <c r="Y1465" t="inlineStr">
        <is>
          <t>Pending Appointment</t>
        </is>
      </c>
      <c r="Z1465" t="inlineStr">
        <is>
          <t>Hiring Now</t>
        </is>
      </c>
      <c r="AA1465">
        <v>1</v>
      </c>
      <c r="AB1465" t="inlineStr">
        <is>
          <t>No Appointment Made</t>
        </is>
      </c>
      <c r="AC1465"/>
      <c r="AD1465" t="inlineStr">
        <is>
          <t>1 Admin assistant</t>
        </is>
      </c>
      <c r="AE1465"/>
      <c r="AF1465">
        <v>0</v>
      </c>
      <c r="AG1465" s="4"/>
      <c r="AH1465" s="4"/>
      <c r="AI1465">
        <v>0</v>
      </c>
      <c r="AJ1465">
        <v>1</v>
      </c>
      <c r="AK1465" t="inlineStr">
        <is>
          <t>No, I don't need at all</t>
        </is>
      </c>
      <c r="AL1465">
        <v>1</v>
      </c>
      <c r="AM1465" t="inlineStr">
        <is>
          <t>No, I don't need at all</t>
        </is>
      </c>
      <c r="AN1465"/>
      <c r="AO1465" t="inlineStr">
        <is>
          <t>No, I don't need at all</t>
        </is>
      </c>
      <c r="AP1465" t="inlineStr">
        <is>
          <t>Once a year (25%)</t>
        </is>
      </c>
      <c r="AQ1465">
        <v>1</v>
      </c>
      <c r="AR1465" t="inlineStr">
        <is>
          <t>Did not use any job portal</t>
        </is>
      </c>
      <c r="AS1465" t="inlineStr">
        <is>
          <t>- Headcount: 1
- Hiring Job Details: 1 Admin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1465">
        <v>110</v>
      </c>
      <c r="AU1465" t="inlineStr">
        <is>
          <t>1.10</t>
        </is>
      </c>
      <c r="AV1465" t="inlineStr">
        <is>
          <t>15</t>
        </is>
      </c>
      <c r="AW1465" t="inlineStr">
        <is>
          <t>0</t>
        </is>
      </c>
      <c r="AX1465" t="inlineStr">
        <is>
          <t>Not Qualified</t>
        </is>
      </c>
      <c r="AY1465" s="4"/>
      <c r="AZ1465"/>
      <c r="BA1465"/>
      <c r="BB1465"/>
      <c r="BC1465" t="inlineStr">
        <is>
          <t>Replied: boss want hold</t>
        </is>
      </c>
      <c r="BD1465" s="4">
        <v>46129.7215162037</v>
      </c>
      <c r="BE1465" t="inlineStr">
        <is>
          <t>paid</t>
        </is>
      </c>
      <c r="BF1465"/>
      <c r="BG1465" t="inlineStr">
        <is>
          <t>Reschedule</t>
        </is>
      </c>
      <c r="BH1465" t="inlineStr">
        <is>
          <t>Reagen</t>
        </is>
      </c>
      <c r="BI1465" t="inlineStr">
        <is>
          <t>Hotel / Hospitality</t>
        </is>
      </c>
      <c r="BJ1465" s="4">
        <v>46144.752071759256</v>
      </c>
      <c r="BK1465" s="4">
        <v>45639.49798611111</v>
      </c>
      <c r="BL1465" t="inlineStr">
        <is>
          <t>648.0</t>
        </is>
      </c>
      <c r="BM1465" t="inlineStr">
        <is>
          <t>0.0</t>
        </is>
      </c>
      <c r="BN1465" t="inlineStr">
        <is>
          <t>PA Visit - Applicant Manager</t>
        </is>
      </c>
      <c r="BO1465" s="4">
        <v>45796.52752314815</v>
      </c>
      <c r="BP1465">
        <v>166492</v>
      </c>
      <c r="BQ1465">
        <v>79046</v>
      </c>
      <c r="BR1465" t="inlineStr">
        <is>
          <t>Online</t>
        </is>
      </c>
      <c r="BS1465"/>
      <c r="BT1465">
        <v>79046</v>
      </c>
      <c r="BU1465"/>
      <c r="BV1465">
        <v>2713601</v>
      </c>
      <c r="BW1465" t="inlineStr">
        <is>
          <t>Follow Up : Budget Concern</t>
        </is>
      </c>
      <c r="BX1465"/>
      <c r="BY1465"/>
      <c r="BZ1465" s="4"/>
      <c r="CA1465"/>
      <c r="CB1465"/>
      <c r="CC1465" s="4"/>
      <c r="CD1465" t="inlineStr">
        <is>
          <t>20</t>
        </is>
      </c>
      <c r="CE1465" t="inlineStr">
        <is>
          <t>0</t>
        </is>
      </c>
      <c r="CF1465" t="inlineStr">
        <is>
          <t>Q2-W02</t>
        </is>
      </c>
      <c r="CG1465"/>
      <c r="CH1465"/>
      <c r="CI1465"/>
      <c r="CJ1465" t="inlineStr">
        <is>
          <t>Paid</t>
        </is>
      </c>
      <c r="CK1465" t="inlineStr">
        <is>
          <t>Not Eligible</t>
        </is>
      </c>
      <c r="CL1465"/>
      <c r="CM1465"/>
    </row>
    <row r="1466" ht="25.5" customHeight="1">
      <c r="A1466" t="inlineStr">
        <is>
          <t>203097</t>
        </is>
      </c>
      <c r="B1466" s="2"/>
      <c r="C1466"/>
      <c r="D1466" s="3">
        <v>46122.66837962963</v>
      </c>
      <c r="E1466" t="inlineStr">
        <is>
          <t>Q2-W02</t>
        </is>
      </c>
      <c r="F1466" t="inlineStr">
        <is>
          <t>Jess</t>
        </is>
      </c>
      <c r="G1466" t="inlineStr">
        <is>
          <t>Customer</t>
        </is>
      </c>
      <c r="H1466" s="2" t="str">
        <f>=HYPERLINK("https://upbox.ajobthing.my/customer/203097", "https://upbox.ajobthing.my/customer/203097")</f>
        <v>https://upbox.ajobthing.my/customer/203097</v>
      </c>
      <c r="I1466" t="inlineStr">
        <is>
          <t>Cats College</t>
        </is>
      </c>
      <c r="J1466" t="inlineStr">
        <is>
          <t>Dolphin</t>
        </is>
      </c>
      <c r="K1466" t="inlineStr">
        <is>
          <t>Jess Lim</t>
        </is>
      </c>
      <c r="L1466" s="4"/>
      <c r="M1466" s="4">
        <v>46122.66878472222</v>
      </c>
      <c r="N1466"/>
      <c r="O1466">
        <v>6048</v>
      </c>
      <c r="P1466" s="4"/>
      <c r="Q1466" s="4"/>
      <c r="R1466"/>
      <c r="S1466"/>
      <c r="T1466" s="4"/>
      <c r="U1466" s="4"/>
      <c r="V1466"/>
      <c r="W1466"/>
      <c r="X1466"/>
      <c r="Y1466" t="inlineStr">
        <is>
          <t>Pending Appointment</t>
        </is>
      </c>
      <c r="Z1466" t="inlineStr">
        <is>
          <t>Hiring Now</t>
        </is>
      </c>
      <c r="AA1466">
        <v>1</v>
      </c>
      <c r="AB1466" t="inlineStr">
        <is>
          <t>No Appointment Made</t>
        </is>
      </c>
      <c r="AC1466"/>
      <c r="AD1466" t="inlineStr">
        <is>
          <t>sales</t>
        </is>
      </c>
      <c r="AE1466"/>
      <c r="AF1466">
        <v>1000</v>
      </c>
      <c r="AG1466" s="4"/>
      <c r="AH1466" s="4"/>
      <c r="AI1466"/>
      <c r="AJ1466">
        <v>1</v>
      </c>
      <c r="AK1466" t="inlineStr">
        <is>
          <t>No, I don't need at all</t>
        </is>
      </c>
      <c r="AL1466">
        <v>1</v>
      </c>
      <c r="AM1466" t="inlineStr">
        <is>
          <t>No, I don't need at all</t>
        </is>
      </c>
      <c r="AN1466"/>
      <c r="AO1466"/>
      <c r="AP1466" t="inlineStr">
        <is>
          <t>Once a year (25%)</t>
        </is>
      </c>
      <c r="AQ1466"/>
      <c r="AR1466" t="inlineStr">
        <is>
          <t>Jobstreet</t>
        </is>
      </c>
      <c r="AS1466" t="inlineStr">
        <is>
          <t>- Headcount: 1
- Hiring Job Details: sales
- Hiring Urgency: Hiring Now
- Number of outlets: 1
- Have recruiter team: No, I don't need at all
- Number of recruiter in company: 1
- Have ATS system: No, I don't need at all
- Have career website: Not specified
- Current hiring budget: RM1,000.00
- Whole year budget: Not specified
- Whole year number of vacancies: Not specified
- Hiring frequency: Once a year (25%)
- External job portal: Jobstreet</t>
        </is>
      </c>
      <c r="AT1466">
        <v>95</v>
      </c>
      <c r="AU1466" t="inlineStr">
        <is>
          <t>0.95</t>
        </is>
      </c>
      <c r="AV1466" t="inlineStr">
        <is>
          <t>15</t>
        </is>
      </c>
      <c r="AW1466" t="inlineStr">
        <is>
          <t>0</t>
        </is>
      </c>
      <c r="AX1466" t="inlineStr">
        <is>
          <t>Not Qualified</t>
        </is>
      </c>
      <c r="AY1466" s="4"/>
      <c r="AZ1466"/>
      <c r="BA1466"/>
      <c r="BB1466"/>
      <c r="BC1466" t="inlineStr">
        <is>
          <t>call back anything come back to me</t>
        </is>
      </c>
      <c r="BD1466" s="4">
        <v>46135.466527777775</v>
      </c>
      <c r="BE1466"/>
      <c r="BF1466"/>
      <c r="BG1466" t="inlineStr">
        <is>
          <t>Reschedule</t>
        </is>
      </c>
      <c r="BH1466" t="inlineStr">
        <is>
          <t>Fauziah Maharan</t>
        </is>
      </c>
      <c r="BI1466"/>
      <c r="BJ1466" s="4">
        <v>46144.754212962966</v>
      </c>
      <c r="BK1466" s="4">
        <v>46122.65269675926</v>
      </c>
      <c r="BL1466" t="inlineStr">
        <is>
          <t>0.0</t>
        </is>
      </c>
      <c r="BM1466" t="inlineStr">
        <is>
          <t>0.0</t>
        </is>
      </c>
      <c r="BN1466" t="inlineStr">
        <is>
          <t>View Create Job Page V4</t>
        </is>
      </c>
      <c r="BO1466" s="4">
        <v>46122.66805555556</v>
      </c>
      <c r="BP1466">
        <v>166494</v>
      </c>
      <c r="BQ1466"/>
      <c r="BR1466"/>
      <c r="BS1466"/>
      <c r="BT1466"/>
      <c r="BU1466"/>
      <c r="BV1466">
        <v>2722761</v>
      </c>
      <c r="BW1466" t="inlineStr">
        <is>
          <t>Follow Up : Lost - Free Portal</t>
        </is>
      </c>
      <c r="BX1466"/>
      <c r="BY1466"/>
      <c r="BZ1466" s="4"/>
      <c r="CA1466"/>
      <c r="CB1466"/>
      <c r="CC1466" s="4"/>
      <c r="CD1466" t="inlineStr">
        <is>
          <t>20</t>
        </is>
      </c>
      <c r="CE1466" t="inlineStr">
        <is>
          <t>0</t>
        </is>
      </c>
      <c r="CF1466" t="inlineStr">
        <is>
          <t>Q2-W02</t>
        </is>
      </c>
      <c r="CG1466"/>
      <c r="CH1466"/>
      <c r="CI1466"/>
      <c r="CJ1466" t="inlineStr">
        <is>
          <t>No Paid</t>
        </is>
      </c>
      <c r="CK1466" t="inlineStr">
        <is>
          <t>Not Eligible</t>
        </is>
      </c>
      <c r="CL1466"/>
      <c r="CM1466"/>
    </row>
    <row r="1467" ht="25.5" customHeight="1">
      <c r="A1467" t="inlineStr">
        <is>
          <t>4269165</t>
        </is>
      </c>
      <c r="B1467" s="2"/>
      <c r="C1467"/>
      <c r="D1467" s="3">
        <v>46122.66886574074</v>
      </c>
      <c r="E1467" t="inlineStr">
        <is>
          <t>Q2-W02</t>
        </is>
      </c>
      <c r="F1467" t="inlineStr">
        <is>
          <t>Josh</t>
        </is>
      </c>
      <c r="G1467" t="inlineStr">
        <is>
          <t>Lead</t>
        </is>
      </c>
      <c r="H1467" s="2" t="str">
        <f>=HYPERLINK("https://upbox.ajobthing.my/leads/4269165", "https://upbox.ajobthing.my/leads/4269165")</f>
        <v>https://upbox.ajobthing.my/leads/4269165</v>
      </c>
      <c r="I1467" t="inlineStr">
        <is>
          <t>Nanotech N Network</t>
        </is>
      </c>
      <c r="J1467" t="inlineStr">
        <is>
          <t>Dolphin</t>
        </is>
      </c>
      <c r="K1467" t="inlineStr">
        <is>
          <t>Josh</t>
        </is>
      </c>
      <c r="L1467" s="4"/>
      <c r="M1467" s="4">
        <v>46122.66936342593</v>
      </c>
      <c r="N1467"/>
      <c r="O1467">
        <v>864</v>
      </c>
      <c r="P1467" s="4"/>
      <c r="Q1467" s="4"/>
      <c r="R1467"/>
      <c r="S1467"/>
      <c r="T1467" s="4"/>
      <c r="U1467" s="4"/>
      <c r="V1467"/>
      <c r="W1467"/>
      <c r="X1467"/>
      <c r="Y1467" t="inlineStr">
        <is>
          <t>Pending Appointment</t>
        </is>
      </c>
      <c r="Z1467" t="inlineStr">
        <is>
          <t>Hiring Now</t>
        </is>
      </c>
      <c r="AA1467">
        <v>2</v>
      </c>
      <c r="AB1467" t="inlineStr">
        <is>
          <t>No Appointment Made</t>
        </is>
      </c>
      <c r="AC1467"/>
      <c r="AD1467" t="inlineStr">
        <is>
          <t>2 cashier</t>
        </is>
      </c>
      <c r="AE1467"/>
      <c r="AF1467">
        <v>1000</v>
      </c>
      <c r="AG1467" s="4"/>
      <c r="AH1467" s="4"/>
      <c r="AI1467"/>
      <c r="AJ1467"/>
      <c r="AK1467" t="inlineStr">
        <is>
          <t>Yes, I have</t>
        </is>
      </c>
      <c r="AL1467">
        <v>1</v>
      </c>
      <c r="AM1467"/>
      <c r="AN1467"/>
      <c r="AO1467"/>
      <c r="AP1467" t="inlineStr">
        <is>
          <t>Once a year (25%)</t>
        </is>
      </c>
      <c r="AQ1467"/>
      <c r="AR1467"/>
      <c r="AS1467" t="inlineStr">
        <is>
          <t>- Headcount: 2
- Hiring Job Details: 2 cashier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
- Hiring Urgency: Hiring Now</t>
        </is>
      </c>
      <c r="AT1467">
        <v>95</v>
      </c>
      <c r="AU1467" t="inlineStr">
        <is>
          <t>0.95</t>
        </is>
      </c>
      <c r="AV1467" t="inlineStr">
        <is>
          <t>15</t>
        </is>
      </c>
      <c r="AW1467" t="inlineStr">
        <is>
          <t>0</t>
        </is>
      </c>
      <c r="AX1467" t="inlineStr">
        <is>
          <t>Not Qualified</t>
        </is>
      </c>
      <c r="AY1467" s="4"/>
      <c r="AZ1467"/>
      <c r="BA1467"/>
      <c r="BB1467"/>
      <c r="BC1467"/>
      <c r="BD1467" s="4"/>
      <c r="BE1467"/>
      <c r="BF1467"/>
      <c r="BG1467" t="inlineStr">
        <is>
          <t>Reschedule</t>
        </is>
      </c>
      <c r="BH1467" t="inlineStr">
        <is>
          <t>Fauziah Maharan</t>
        </is>
      </c>
      <c r="BI1467"/>
      <c r="BJ1467" s="4">
        <v>46144.75578703704</v>
      </c>
      <c r="BK1467" s="4">
        <v>46122.58494212963</v>
      </c>
      <c r="BL1467" t="inlineStr">
        <is>
          <t>0.0</t>
        </is>
      </c>
      <c r="BM1467" t="inlineStr">
        <is>
          <t>0.0</t>
        </is>
      </c>
      <c r="BN1467"/>
      <c r="BO1467" s="4"/>
      <c r="BP1467">
        <v>166496</v>
      </c>
      <c r="BQ1467"/>
      <c r="BR1467"/>
      <c r="BS1467"/>
      <c r="BT1467"/>
      <c r="BU1467"/>
      <c r="BV1467"/>
      <c r="BW1467"/>
      <c r="BX1467"/>
      <c r="BY1467"/>
      <c r="BZ1467" s="4"/>
      <c r="CA1467"/>
      <c r="CB1467"/>
      <c r="CC1467" s="4"/>
      <c r="CD1467" t="inlineStr">
        <is>
          <t>20</t>
        </is>
      </c>
      <c r="CE1467" t="inlineStr">
        <is>
          <t>0</t>
        </is>
      </c>
      <c r="CF1467" t="inlineStr">
        <is>
          <t>Q2-W02</t>
        </is>
      </c>
      <c r="CG1467"/>
      <c r="CH1467"/>
      <c r="CI1467"/>
      <c r="CJ1467" t="inlineStr">
        <is>
          <t>No Paid</t>
        </is>
      </c>
      <c r="CK1467" t="inlineStr">
        <is>
          <t>Not Eligible</t>
        </is>
      </c>
      <c r="CL1467"/>
      <c r="CM1467"/>
    </row>
    <row r="1468" ht="25.5" customHeight="1">
      <c r="A1468" t="inlineStr">
        <is>
          <t>203008</t>
        </is>
      </c>
      <c r="B1468" s="2"/>
      <c r="C1468"/>
      <c r="D1468" s="3">
        <v>46122.68239583333</v>
      </c>
      <c r="E1468" t="inlineStr">
        <is>
          <t>Q2-W02</t>
        </is>
      </c>
      <c r="F1468" t="inlineStr">
        <is>
          <t>Eugene</t>
        </is>
      </c>
      <c r="G1468" t="inlineStr">
        <is>
          <t>Customer</t>
        </is>
      </c>
      <c r="H1468" s="2" t="str">
        <f>=HYPERLINK("https://upbox.ajobthing.my/customer/203008", "https://upbox.ajobthing.my/customer/203008")</f>
        <v>https://upbox.ajobthing.my/customer/203008</v>
      </c>
      <c r="I1468" t="inlineStr">
        <is>
          <t>Magicpapaya Pte Ltd</t>
        </is>
      </c>
      <c r="J1468" t="inlineStr">
        <is>
          <t>Dolphin</t>
        </is>
      </c>
      <c r="K1468" t="inlineStr">
        <is>
          <t>Eugene</t>
        </is>
      </c>
      <c r="L1468" s="4"/>
      <c r="M1468" s="4">
        <v>46120.37268518518</v>
      </c>
      <c r="N1468"/>
      <c r="O1468">
        <v>3888</v>
      </c>
      <c r="P1468" s="4"/>
      <c r="Q1468" s="4">
        <v>46127.745150462964</v>
      </c>
      <c r="R1468"/>
      <c r="S1468">
        <v>3888</v>
      </c>
      <c r="T1468" s="4">
        <v>46127.745150462964</v>
      </c>
      <c r="U1468" s="4"/>
      <c r="V1468"/>
      <c r="W1468">
        <v>3888</v>
      </c>
      <c r="X1468" t="inlineStr">
        <is>
          <t>Eugene</t>
        </is>
      </c>
      <c r="Y1468" t="inlineStr">
        <is>
          <t>Done Appointment</t>
        </is>
      </c>
      <c r="Z1468" t="inlineStr">
        <is>
          <t>Hiring Now</t>
        </is>
      </c>
      <c r="AA1468">
        <v>7</v>
      </c>
      <c r="AB1468" t="inlineStr">
        <is>
          <t>Appointment Made</t>
        </is>
      </c>
      <c r="AC1468" t="inlineStr">
        <is>
          <t>Mid-size (50-100 employees)</t>
        </is>
      </c>
      <c r="AD1468" t="inlineStr">
        <is>
          <t>6 customer service, 1 customer seervice manager, based in JB</t>
        </is>
      </c>
      <c r="AE1468" t="inlineStr">
        <is>
          <t>HR Director / Senior HR Lead</t>
        </is>
      </c>
      <c r="AF1468">
        <v>5000</v>
      </c>
      <c r="AG1468" s="4">
        <v>46122.666666666664</v>
      </c>
      <c r="AH1468" s="4">
        <v>46122.68125</v>
      </c>
      <c r="AI1468">
        <v>5000</v>
      </c>
      <c r="AJ1468">
        <v>1</v>
      </c>
      <c r="AK1468" t="inlineStr">
        <is>
          <t>No, but I want in future</t>
        </is>
      </c>
      <c r="AL1468">
        <v>1</v>
      </c>
      <c r="AM1468" t="inlineStr">
        <is>
          <t>Yes, I have</t>
        </is>
      </c>
      <c r="AN1468" t="inlineStr">
        <is>
          <t>Other</t>
        </is>
      </c>
      <c r="AO1468" t="inlineStr">
        <is>
          <t>No, I don't need at all</t>
        </is>
      </c>
      <c r="AP1468" t="inlineStr">
        <is>
          <t>Once per quarter (75%)</t>
        </is>
      </c>
      <c r="AQ1468">
        <v>10</v>
      </c>
      <c r="AR1468" t="inlineStr">
        <is>
          <t>Free Job Portal, Jobstreet</t>
        </is>
      </c>
      <c r="AS1468" t="inlineStr">
        <is>
          <t>- Headcount: 7
- Hiring Job Details: 6 customer service, 1 customer service manager, based in JB
- Hiring Urgency: Hiring Now
- Number of outlets: 1
- Have recruiter team: No, but I want in future
- Number of recruiter in company: 1
- Have ATS system: Yes
- Have career website: No, I don't need at all
- Current hiring budget: RM5,000
- Whole year budget: RM5,000.00
- Whole year number of vacancies: 10
- Hiring frequency: Once per quarter (75%)
- External job portal: Free Job Portal, Jobstreet</t>
        </is>
      </c>
      <c r="AT1468">
        <v>110</v>
      </c>
      <c r="AU1468" t="inlineStr">
        <is>
          <t>1.10</t>
        </is>
      </c>
      <c r="AV1468" t="inlineStr">
        <is>
          <t>45</t>
        </is>
      </c>
      <c r="AW1468" t="inlineStr">
        <is>
          <t>0.5</t>
        </is>
      </c>
      <c r="AX1468" t="inlineStr">
        <is>
          <t>Not Qualified</t>
        </is>
      </c>
      <c r="AY1468" s="4">
        <v>46122.72466435185</v>
      </c>
      <c r="AZ1468" t="inlineStr">
        <is>
          <t>Base Assistant</t>
        </is>
      </c>
      <c r="BA1468"/>
      <c r="BB1468"/>
      <c r="BC1468" t="inlineStr">
        <is>
          <t>free job</t>
        </is>
      </c>
      <c r="BD1468" s="4">
        <v>46140.567824074074</v>
      </c>
      <c r="BE1468" t="inlineStr">
        <is>
          <t>paid</t>
        </is>
      </c>
      <c r="BF1468" t="inlineStr">
        <is>
          <t>Q2-W02</t>
        </is>
      </c>
      <c r="BG1468" t="inlineStr">
        <is>
          <t>Reschedule</t>
        </is>
      </c>
      <c r="BH1468" t="inlineStr">
        <is>
          <t>Edward Hoo</t>
        </is>
      </c>
      <c r="BI1468"/>
      <c r="BJ1468" s="4">
        <v>46144.75418981481</v>
      </c>
      <c r="BK1468" s="4">
        <v>46120.70600694444</v>
      </c>
      <c r="BL1468" t="inlineStr">
        <is>
          <t>3888.0</t>
        </is>
      </c>
      <c r="BM1468" t="inlineStr">
        <is>
          <t>0.0</t>
        </is>
      </c>
      <c r="BN1468" t="inlineStr">
        <is>
          <t>View Company Page</t>
        </is>
      </c>
      <c r="BO1468" s="4">
        <v>46142.609826388885</v>
      </c>
      <c r="BP1468">
        <v>166013</v>
      </c>
      <c r="BQ1468">
        <v>93723</v>
      </c>
      <c r="BR1468" t="inlineStr">
        <is>
          <t>Online</t>
        </is>
      </c>
      <c r="BS1468"/>
      <c r="BT1468">
        <v>93723</v>
      </c>
      <c r="BU1468"/>
      <c r="BV1468">
        <v>2732592</v>
      </c>
      <c r="BW1468" t="inlineStr">
        <is>
          <t>Service / Technical : Help To Post Job</t>
        </is>
      </c>
      <c r="BX1468">
        <v>7</v>
      </c>
      <c r="BY1468">
        <v>4</v>
      </c>
      <c r="BZ1468" s="4">
        <v>46142.609456018516</v>
      </c>
      <c r="CA1468">
        <v>73</v>
      </c>
      <c r="CB1468">
        <v>70</v>
      </c>
      <c r="CC1468" s="4">
        <v>46131.87008101852</v>
      </c>
      <c r="CD1468" t="inlineStr">
        <is>
          <t>65</t>
        </is>
      </c>
      <c r="CE1468" t="inlineStr">
        <is>
          <t>0.8</t>
        </is>
      </c>
      <c r="CF1468" t="inlineStr">
        <is>
          <t>Q2-W01</t>
        </is>
      </c>
      <c r="CG1468" t="inlineStr">
        <is>
          <t>Q2-W02</t>
        </is>
      </c>
      <c r="CH1468" t="inlineStr">
        <is>
          <t>Q2-W02</t>
        </is>
      </c>
      <c r="CI1468" t="inlineStr">
        <is>
          <t>Q2-W02</t>
        </is>
      </c>
      <c r="CJ1468" t="inlineStr">
        <is>
          <t>Paid</t>
        </is>
      </c>
      <c r="CK1468" t="inlineStr">
        <is>
          <t>Not Eligible</t>
        </is>
      </c>
      <c r="CL1468"/>
      <c r="CM1468" t="inlineStr">
        <is>
          <t>Q2-W02</t>
        </is>
      </c>
    </row>
    <row r="1469" ht="25.5" customHeight="1">
      <c r="A1469" t="inlineStr">
        <is>
          <t>203098</t>
        </is>
      </c>
      <c r="B1469" s="2"/>
      <c r="C1469"/>
      <c r="D1469" s="3">
        <v>46122.68417824074</v>
      </c>
      <c r="E1469" t="inlineStr">
        <is>
          <t>Q2-W02</t>
        </is>
      </c>
      <c r="F1469" t="inlineStr">
        <is>
          <t>Eugene</t>
        </is>
      </c>
      <c r="G1469" t="inlineStr">
        <is>
          <t>Customer</t>
        </is>
      </c>
      <c r="H1469" s="2" t="str">
        <f>=HYPERLINK("https://upbox.ajobthing.my/customer/203098", "https://upbox.ajobthing.my/customer/203098")</f>
        <v>https://upbox.ajobthing.my/customer/203098</v>
      </c>
      <c r="I1469" t="inlineStr">
        <is>
          <t>Coco Furniture</t>
        </is>
      </c>
      <c r="J1469" t="inlineStr">
        <is>
          <t>Dolphin</t>
        </is>
      </c>
      <c r="K1469" t="inlineStr">
        <is>
          <t>Eugene</t>
        </is>
      </c>
      <c r="L1469" s="4"/>
      <c r="M1469" s="4">
        <v>46122.684375</v>
      </c>
      <c r="N1469"/>
      <c r="O1469">
        <v>6048</v>
      </c>
      <c r="P1469" s="4"/>
      <c r="Q1469" s="4">
        <v>46122.65641203704</v>
      </c>
      <c r="R1469"/>
      <c r="S1469">
        <v>0</v>
      </c>
      <c r="T1469" s="4"/>
      <c r="U1469" s="4"/>
      <c r="V1469"/>
      <c r="W1469"/>
      <c r="X1469"/>
      <c r="Y1469" t="inlineStr">
        <is>
          <t>Pending Appointment</t>
        </is>
      </c>
      <c r="Z1469" t="inlineStr">
        <is>
          <t>Hiring Now</t>
        </is>
      </c>
      <c r="AA1469">
        <v>3</v>
      </c>
      <c r="AB1469" t="inlineStr">
        <is>
          <t>No Appointment Made</t>
        </is>
      </c>
      <c r="AC1469"/>
      <c r="AD1469" t="inlineStr">
        <is>
          <t>1 content creator, 1 admin, 1 sales, based in Penang</t>
        </is>
      </c>
      <c r="AE1469"/>
      <c r="AF1469">
        <v>4000</v>
      </c>
      <c r="AG1469" s="4"/>
      <c r="AH1469" s="4"/>
      <c r="AI1469">
        <v>5000</v>
      </c>
      <c r="AJ1469">
        <v>3</v>
      </c>
      <c r="AK1469" t="inlineStr">
        <is>
          <t>No, I don't need at all</t>
        </is>
      </c>
      <c r="AL1469">
        <v>1</v>
      </c>
      <c r="AM1469" t="inlineStr">
        <is>
          <t>No, I don't need at all</t>
        </is>
      </c>
      <c r="AN1469"/>
      <c r="AO1469" t="inlineStr">
        <is>
          <t>No, I don't need at all</t>
        </is>
      </c>
      <c r="AP1469" t="inlineStr">
        <is>
          <t>Twice a year (50%)</t>
        </is>
      </c>
      <c r="AQ1469">
        <v>6</v>
      </c>
      <c r="AR1469" t="inlineStr">
        <is>
          <t>Free Job Portal</t>
        </is>
      </c>
      <c r="AS1469" t="inlineStr">
        <is>
          <t>- Headcount: 3
- Hiring Job Details: 1 content creator, 1 admin, 1 sales, based in Penang
- Hiring Urgency: Hiring Now
- Number of outlets: 3
- Have recruiter team: No, I don't need at all
- Number of recruiter in company: 1
- Have ATS system: No, I don't need at all
- Have career website: No, I don't need at all
- Current hiring budget: RM4,000
- Whole year budget: RM5,000.00
- Whole year number of vacancies: 6
- Hiring frequency: Twice a year (50%)
- External job portal: Free Job Portal</t>
        </is>
      </c>
      <c r="AT1469">
        <v>115</v>
      </c>
      <c r="AU1469" t="inlineStr">
        <is>
          <t>1.15</t>
        </is>
      </c>
      <c r="AV1469" t="inlineStr">
        <is>
          <t>15</t>
        </is>
      </c>
      <c r="AW1469" t="inlineStr">
        <is>
          <t>0</t>
        </is>
      </c>
      <c r="AX1469" t="inlineStr">
        <is>
          <t>Not Qualified</t>
        </is>
      </c>
      <c r="AY1469" s="4"/>
      <c r="AZ1469"/>
      <c r="BA1469"/>
      <c r="BB1469"/>
      <c r="BC1469" t="inlineStr">
        <is>
          <t>- Headcount: Not specified.
- Hiring Job Details: 1 sales, 1 content creator, 1 admin, based in Penang
- Hiring Urgency: Hiring Now
- Number of outlets: 3
- Have recruiter team: No, I don't need at all
- Number of recruiter in company: 1
- Have ATS system: No, I don't need at all
- Have career website: No, I don't need at all
- Current hiring budget: RM5,000
- Whole year budget: RM5,000.00
- Whole year number of vacancies: 6
- Hiring frequency: Once per quarter (75%)
- External job portal: Free Job Portal</t>
        </is>
      </c>
      <c r="BD1469" s="4">
        <v>46122.708391203705</v>
      </c>
      <c r="BE1469" t="inlineStr">
        <is>
          <t>paid</t>
        </is>
      </c>
      <c r="BF1469"/>
      <c r="BG1469" t="inlineStr">
        <is>
          <t>Reschedule</t>
        </is>
      </c>
      <c r="BH1469" t="inlineStr">
        <is>
          <t>Edward Hoo</t>
        </is>
      </c>
      <c r="BI1469"/>
      <c r="BJ1469" s="4">
        <v>46144.754212962966</v>
      </c>
      <c r="BK1469" s="4">
        <v>46122.65594907408</v>
      </c>
      <c r="BL1469" t="inlineStr">
        <is>
          <t>0.0</t>
        </is>
      </c>
      <c r="BM1469" t="inlineStr">
        <is>
          <t>0.0</t>
        </is>
      </c>
      <c r="BN1469" t="inlineStr">
        <is>
          <t>View Company Page</t>
        </is>
      </c>
      <c r="BO1469" s="4">
        <v>46122.715833333335</v>
      </c>
      <c r="BP1469">
        <v>166518</v>
      </c>
      <c r="BQ1469">
        <v>121751</v>
      </c>
      <c r="BR1469" t="inlineStr">
        <is>
          <t>Proforma</t>
        </is>
      </c>
      <c r="BS1469" t="inlineStr">
        <is>
          <t>Free Internship Job</t>
        </is>
      </c>
      <c r="BT1469"/>
      <c r="BU1469"/>
      <c r="BV1469">
        <v>2698950</v>
      </c>
      <c r="BW1469" t="inlineStr">
        <is>
          <t>Customer Inquiry</t>
        </is>
      </c>
      <c r="BX1469"/>
      <c r="BY1469"/>
      <c r="BZ1469" s="4"/>
      <c r="CA1469"/>
      <c r="CB1469"/>
      <c r="CC1469" s="4"/>
      <c r="CD1469" t="inlineStr">
        <is>
          <t>20</t>
        </is>
      </c>
      <c r="CE1469" t="inlineStr">
        <is>
          <t>0</t>
        </is>
      </c>
      <c r="CF1469" t="inlineStr">
        <is>
          <t>Q2-W02</t>
        </is>
      </c>
      <c r="CG1469" t="inlineStr">
        <is>
          <t>Q2-W02</t>
        </is>
      </c>
      <c r="CH1469"/>
      <c r="CI1469"/>
      <c r="CJ1469" t="inlineStr">
        <is>
          <t>No Paid</t>
        </is>
      </c>
      <c r="CK1469" t="inlineStr">
        <is>
          <t>Not Eligible</t>
        </is>
      </c>
      <c r="CL1469"/>
      <c r="CM1469"/>
    </row>
    <row r="1470" ht="25.5" customHeight="1">
      <c r="A1470" t="inlineStr">
        <is>
          <t>182264</t>
        </is>
      </c>
      <c r="B1470" s="2"/>
      <c r="C1470"/>
      <c r="D1470" s="3">
        <v>46122.689421296294</v>
      </c>
      <c r="E1470" t="inlineStr">
        <is>
          <t>Q2-W02</t>
        </is>
      </c>
      <c r="F1470" t="inlineStr">
        <is>
          <t>Dickson</t>
        </is>
      </c>
      <c r="G1470" t="inlineStr">
        <is>
          <t>Customer</t>
        </is>
      </c>
      <c r="H1470" s="2" t="str">
        <f>=HYPERLINK("https://upbox.ajobthing.my/customer/182264", "https://upbox.ajobthing.my/customer/182264")</f>
        <v>https://upbox.ajobthing.my/customer/182264</v>
      </c>
      <c r="I1470" t="inlineStr">
        <is>
          <t>Industrial Filtration Sdn Bhd</t>
        </is>
      </c>
      <c r="J1470" t="inlineStr">
        <is>
          <t>Dolphin</t>
        </is>
      </c>
      <c r="K1470" t="inlineStr">
        <is>
          <t>Dickson</t>
        </is>
      </c>
      <c r="L1470" s="4"/>
      <c r="M1470" s="4">
        <v>46140.48185185185</v>
      </c>
      <c r="N1470"/>
      <c r="O1470">
        <v>1296</v>
      </c>
      <c r="P1470" s="4"/>
      <c r="Q1470" s="4">
        <v>45537.50815972222</v>
      </c>
      <c r="R1470"/>
      <c r="S1470">
        <v>756</v>
      </c>
      <c r="T1470" s="4">
        <v>45537.50815972222</v>
      </c>
      <c r="U1470" s="4"/>
      <c r="V1470"/>
      <c r="W1470">
        <v>756</v>
      </c>
      <c r="X1470"/>
      <c r="Y1470" t="inlineStr">
        <is>
          <t>Pending Appointment</t>
        </is>
      </c>
      <c r="Z1470" t="inlineStr">
        <is>
          <t>Hiring Now</t>
        </is>
      </c>
      <c r="AA1470">
        <v>3</v>
      </c>
      <c r="AB1470" t="inlineStr">
        <is>
          <t>No Appointment Made</t>
        </is>
      </c>
      <c r="AC1470"/>
      <c r="AD1470" t="inlineStr">
        <is>
          <t>3 sales engineer</t>
        </is>
      </c>
      <c r="AE1470"/>
      <c r="AF1470"/>
      <c r="AG1470" s="4"/>
      <c r="AH1470" s="4"/>
      <c r="AI1470"/>
      <c r="AJ1470">
        <v>1</v>
      </c>
      <c r="AK1470" t="inlineStr">
        <is>
          <t>No, I don't need at all</t>
        </is>
      </c>
      <c r="AL1470"/>
      <c r="AM1470" t="inlineStr">
        <is>
          <t>No, I don't need at all</t>
        </is>
      </c>
      <c r="AN1470"/>
      <c r="AO1470" t="inlineStr">
        <is>
          <t>No, I don't need at all</t>
        </is>
      </c>
      <c r="AP1470" t="inlineStr">
        <is>
          <t>Once per quarter (75%)</t>
        </is>
      </c>
      <c r="AQ1470"/>
      <c r="AR1470" t="inlineStr">
        <is>
          <t>Jobstreet</t>
        </is>
      </c>
      <c r="AS1470" t="inlineStr">
        <is>
          <t>- Headcount: 3
- Hiring Job Details: 3 sales engineer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470">
        <v>95</v>
      </c>
      <c r="AU1470" t="inlineStr">
        <is>
          <t>0.95</t>
        </is>
      </c>
      <c r="AV1470" t="inlineStr">
        <is>
          <t>5</t>
        </is>
      </c>
      <c r="AW1470" t="inlineStr">
        <is>
          <t>0</t>
        </is>
      </c>
      <c r="AX1470" t="inlineStr">
        <is>
          <t>Not Qualified</t>
        </is>
      </c>
      <c r="AY1470" s="4"/>
      <c r="AZ1470"/>
      <c r="BA1470"/>
      <c r="BB1470"/>
      <c r="BC1470" t="inlineStr">
        <is>
          <t>- Headcount: 1
- Hiring Job Details: 1 marketing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Jobstore</t>
        </is>
      </c>
      <c r="BD1470" s="4">
        <v>46140.500023148146</v>
      </c>
      <c r="BE1470" t="inlineStr">
        <is>
          <t>paid</t>
        </is>
      </c>
      <c r="BF1470"/>
      <c r="BG1470" t="inlineStr">
        <is>
          <t>Reschedule</t>
        </is>
      </c>
      <c r="BH1470" t="inlineStr">
        <is>
          <t>Edward Hoo</t>
        </is>
      </c>
      <c r="BI1470" t="inlineStr">
        <is>
          <t>Manufacturing / Production</t>
        </is>
      </c>
      <c r="BJ1470" s="4">
        <v>46144.751921296294</v>
      </c>
      <c r="BK1470" s="4">
        <v>45537.473275462966</v>
      </c>
      <c r="BL1470" t="inlineStr">
        <is>
          <t>0.0</t>
        </is>
      </c>
      <c r="BM1470" t="inlineStr">
        <is>
          <t>1200.0</t>
        </is>
      </c>
      <c r="BN1470" t="inlineStr">
        <is>
          <t>User Visit(Logged In)</t>
        </is>
      </c>
      <c r="BO1470" s="4">
        <v>45791.44994212963</v>
      </c>
      <c r="BP1470">
        <v>169190</v>
      </c>
      <c r="BQ1470">
        <v>72647</v>
      </c>
      <c r="BR1470" t="inlineStr">
        <is>
          <t>Online</t>
        </is>
      </c>
      <c r="BS1470"/>
      <c r="BT1470">
        <v>72647</v>
      </c>
      <c r="BU1470"/>
      <c r="BV1470">
        <v>2732311</v>
      </c>
      <c r="BW1470" t="inlineStr">
        <is>
          <t>Customer Inquiry</t>
        </is>
      </c>
      <c r="BX1470"/>
      <c r="BY1470"/>
      <c r="BZ1470" s="4"/>
      <c r="CA1470"/>
      <c r="CB1470"/>
      <c r="CC1470" s="4"/>
      <c r="CD1470" t="inlineStr">
        <is>
          <t>5</t>
        </is>
      </c>
      <c r="CE1470" t="inlineStr">
        <is>
          <t>0</t>
        </is>
      </c>
      <c r="CF1470" t="inlineStr">
        <is>
          <t>Q2-W04</t>
        </is>
      </c>
      <c r="CG1470"/>
      <c r="CH1470"/>
      <c r="CI1470"/>
      <c r="CJ1470" t="inlineStr">
        <is>
          <t>Paid</t>
        </is>
      </c>
      <c r="CK1470" t="inlineStr">
        <is>
          <t>Not Eligible</t>
        </is>
      </c>
      <c r="CL1470"/>
      <c r="CM1470"/>
    </row>
    <row r="1471" ht="25.5" customHeight="1">
      <c r="A1471" t="inlineStr">
        <is>
          <t>203098</t>
        </is>
      </c>
      <c r="B1471" s="2"/>
      <c r="C1471"/>
      <c r="D1471" s="3">
        <v>46122.69112268519</v>
      </c>
      <c r="E1471" t="inlineStr">
        <is>
          <t>Q2-W02</t>
        </is>
      </c>
      <c r="F1471" t="inlineStr">
        <is>
          <t>Eugene</t>
        </is>
      </c>
      <c r="G1471" t="inlineStr">
        <is>
          <t>Customer</t>
        </is>
      </c>
      <c r="H1471" s="2" t="str">
        <f>=HYPERLINK("https://upbox.ajobthing.my/customer/203098", "https://upbox.ajobthing.my/customer/203098")</f>
        <v>https://upbox.ajobthing.my/customer/203098</v>
      </c>
      <c r="I1471" t="inlineStr">
        <is>
          <t>Coco Furniture</t>
        </is>
      </c>
      <c r="J1471" t="inlineStr">
        <is>
          <t>Dolphin</t>
        </is>
      </c>
      <c r="K1471" t="inlineStr">
        <is>
          <t>Eugene</t>
        </is>
      </c>
      <c r="L1471" s="4"/>
      <c r="M1471" s="4">
        <v>46122.684375</v>
      </c>
      <c r="N1471"/>
      <c r="O1471">
        <v>6048</v>
      </c>
      <c r="P1471" s="4"/>
      <c r="Q1471" s="4">
        <v>46122.65641203704</v>
      </c>
      <c r="R1471"/>
      <c r="S1471">
        <v>0</v>
      </c>
      <c r="T1471" s="4"/>
      <c r="U1471" s="4"/>
      <c r="V1471"/>
      <c r="W1471"/>
      <c r="X1471"/>
      <c r="Y1471" t="inlineStr">
        <is>
          <t>Pending Appointment</t>
        </is>
      </c>
      <c r="Z1471" t="inlineStr">
        <is>
          <t>Hiring Now</t>
        </is>
      </c>
      <c r="AA1471"/>
      <c r="AB1471" t="inlineStr">
        <is>
          <t>No Appointment Made</t>
        </is>
      </c>
      <c r="AC1471"/>
      <c r="AD1471" t="inlineStr">
        <is>
          <t>1 sales, 1 content creator, 1 admin, based in Penang</t>
        </is>
      </c>
      <c r="AE1471"/>
      <c r="AF1471">
        <v>5000</v>
      </c>
      <c r="AG1471" s="4"/>
      <c r="AH1471" s="4"/>
      <c r="AI1471">
        <v>5000</v>
      </c>
      <c r="AJ1471">
        <v>3</v>
      </c>
      <c r="AK1471" t="inlineStr">
        <is>
          <t>No, I don't need at all</t>
        </is>
      </c>
      <c r="AL1471">
        <v>1</v>
      </c>
      <c r="AM1471" t="inlineStr">
        <is>
          <t>No, I don't need at all</t>
        </is>
      </c>
      <c r="AN1471"/>
      <c r="AO1471" t="inlineStr">
        <is>
          <t>No, I don't need at all</t>
        </is>
      </c>
      <c r="AP1471" t="inlineStr">
        <is>
          <t>Once per quarter (75%)</t>
        </is>
      </c>
      <c r="AQ1471">
        <v>6</v>
      </c>
      <c r="AR1471" t="inlineStr">
        <is>
          <t>Free Job Portal</t>
        </is>
      </c>
      <c r="AS1471" t="inlineStr">
        <is>
          <t>- Headcount: Not specified.
- Hiring Job Details: 1 sales, 1 content creator, 1 admin, based in Penang
- Hiring Urgency: Hiring Now
- Number of outlets: 3
- Have recruiter team: No, I don't need at all
- Number of recruiter in company: 1
- Have ATS system: No, I don't need at all
- Have career website: No, I don't need at all
- Current hiring budget: RM5,000
- Whole year budget: RM5,000.00
- Whole year number of vacancies: 6
- Hiring frequency: Once per quarter (75%)
- External job portal: Free Job Portal</t>
        </is>
      </c>
      <c r="AT1471">
        <v>115</v>
      </c>
      <c r="AU1471" t="inlineStr">
        <is>
          <t>1.15</t>
        </is>
      </c>
      <c r="AV1471" t="inlineStr">
        <is>
          <t>15</t>
        </is>
      </c>
      <c r="AW1471" t="inlineStr">
        <is>
          <t>0</t>
        </is>
      </c>
      <c r="AX1471" t="inlineStr">
        <is>
          <t>Not Qualified</t>
        </is>
      </c>
      <c r="AY1471" s="4"/>
      <c r="AZ1471"/>
      <c r="BA1471"/>
      <c r="BB1471"/>
      <c r="BC1471" t="inlineStr">
        <is>
          <t>- Headcount: Not specified.
- Hiring Job Details: 1 sales, 1 content creator, 1 admin, based in Penang
- Hiring Urgency: Hiring Now
- Number of outlets: 3
- Have recruiter team: No, I don't need at all
- Number of recruiter in company: 1
- Have ATS system: No, I don't need at all
- Have career website: No, I don't need at all
- Current hiring budget: RM5,000
- Whole year budget: RM5,000.00
- Whole year number of vacancies: 6
- Hiring frequency: Once per quarter (75%)
- External job portal: Free Job Portal</t>
        </is>
      </c>
      <c r="BD1471" s="4">
        <v>46122.708391203705</v>
      </c>
      <c r="BE1471" t="inlineStr">
        <is>
          <t>paid</t>
        </is>
      </c>
      <c r="BF1471"/>
      <c r="BG1471" t="inlineStr">
        <is>
          <t>Reschedule</t>
        </is>
      </c>
      <c r="BH1471" t="inlineStr">
        <is>
          <t>Edward Hoo</t>
        </is>
      </c>
      <c r="BI1471"/>
      <c r="BJ1471" s="4">
        <v>46144.754212962966</v>
      </c>
      <c r="BK1471" s="4">
        <v>46122.65594907408</v>
      </c>
      <c r="BL1471" t="inlineStr">
        <is>
          <t>0.0</t>
        </is>
      </c>
      <c r="BM1471" t="inlineStr">
        <is>
          <t>0.0</t>
        </is>
      </c>
      <c r="BN1471" t="inlineStr">
        <is>
          <t>View Company Page</t>
        </is>
      </c>
      <c r="BO1471" s="4">
        <v>46122.715833333335</v>
      </c>
      <c r="BP1471">
        <v>166518</v>
      </c>
      <c r="BQ1471">
        <v>121751</v>
      </c>
      <c r="BR1471" t="inlineStr">
        <is>
          <t>Proforma</t>
        </is>
      </c>
      <c r="BS1471" t="inlineStr">
        <is>
          <t>Free Internship Job</t>
        </is>
      </c>
      <c r="BT1471"/>
      <c r="BU1471"/>
      <c r="BV1471">
        <v>2698950</v>
      </c>
      <c r="BW1471" t="inlineStr">
        <is>
          <t>Customer Inquiry</t>
        </is>
      </c>
      <c r="BX1471"/>
      <c r="BY1471"/>
      <c r="BZ1471" s="4"/>
      <c r="CA1471"/>
      <c r="CB1471"/>
      <c r="CC1471" s="4"/>
      <c r="CD1471" t="inlineStr">
        <is>
          <t>20</t>
        </is>
      </c>
      <c r="CE1471" t="inlineStr">
        <is>
          <t>0</t>
        </is>
      </c>
      <c r="CF1471" t="inlineStr">
        <is>
          <t>Q2-W02</t>
        </is>
      </c>
      <c r="CG1471" t="inlineStr">
        <is>
          <t>Q2-W02</t>
        </is>
      </c>
      <c r="CH1471"/>
      <c r="CI1471"/>
      <c r="CJ1471" t="inlineStr">
        <is>
          <t>No Paid</t>
        </is>
      </c>
      <c r="CK1471" t="inlineStr">
        <is>
          <t>Not Eligible</t>
        </is>
      </c>
      <c r="CL1471"/>
      <c r="CM1471"/>
    </row>
    <row r="1472" ht="25.5" customHeight="1">
      <c r="A1472" t="inlineStr">
        <is>
          <t>132159</t>
        </is>
      </c>
      <c r="B1472" s="2"/>
      <c r="C1472"/>
      <c r="D1472" s="3">
        <v>46122.69193287037</v>
      </c>
      <c r="E1472" t="inlineStr">
        <is>
          <t>Q2-W02</t>
        </is>
      </c>
      <c r="F1472" t="inlineStr">
        <is>
          <t>Lucas</t>
        </is>
      </c>
      <c r="G1472" t="inlineStr">
        <is>
          <t>Customer</t>
        </is>
      </c>
      <c r="H1472" s="2" t="str">
        <f>=HYPERLINK("https://upbox.ajobthing.my/customer/132159", "https://upbox.ajobthing.my/customer/132159")</f>
        <v>https://upbox.ajobthing.my/customer/132159</v>
      </c>
      <c r="I1472" t="inlineStr">
        <is>
          <t>MTO Support &amp; Service</t>
        </is>
      </c>
      <c r="J1472" t="inlineStr">
        <is>
          <t>Dolphin</t>
        </is>
      </c>
      <c r="K1472" t="inlineStr">
        <is>
          <t>Lucas</t>
        </is>
      </c>
      <c r="L1472" s="4"/>
      <c r="M1472" s="4">
        <v>46122.689884259256</v>
      </c>
      <c r="N1472"/>
      <c r="O1472">
        <v>6048</v>
      </c>
      <c r="P1472" s="4"/>
      <c r="Q1472" s="4">
        <v>45580.62533564815</v>
      </c>
      <c r="R1472"/>
      <c r="S1472">
        <v>3024</v>
      </c>
      <c r="T1472" s="4">
        <v>45580.62533564815</v>
      </c>
      <c r="U1472" s="4"/>
      <c r="V1472"/>
      <c r="W1472">
        <v>3024</v>
      </c>
      <c r="X1472"/>
      <c r="Y1472" t="inlineStr">
        <is>
          <t>Pending Appointment</t>
        </is>
      </c>
      <c r="Z1472" t="inlineStr">
        <is>
          <t>Hiring Now</t>
        </is>
      </c>
      <c r="AA1472">
        <v>2</v>
      </c>
      <c r="AB1472" t="inlineStr">
        <is>
          <t>No Appointment Made</t>
        </is>
      </c>
      <c r="AC1472"/>
      <c r="AD1472" t="inlineStr">
        <is>
          <t>2 technician</t>
        </is>
      </c>
      <c r="AE1472"/>
      <c r="AF1472">
        <v>0</v>
      </c>
      <c r="AG1472" s="4"/>
      <c r="AH1472" s="4"/>
      <c r="AI1472">
        <v>0</v>
      </c>
      <c r="AJ1472">
        <v>0</v>
      </c>
      <c r="AK1472" t="inlineStr">
        <is>
          <t>No, I don't need at all</t>
        </is>
      </c>
      <c r="AL1472">
        <v>0</v>
      </c>
      <c r="AM1472" t="inlineStr">
        <is>
          <t>No, I don't need at all</t>
        </is>
      </c>
      <c r="AN1472"/>
      <c r="AO1472" t="inlineStr">
        <is>
          <t>No, I don't need at all</t>
        </is>
      </c>
      <c r="AP1472" t="inlineStr">
        <is>
          <t>Once a year (25%)</t>
        </is>
      </c>
      <c r="AQ1472">
        <v>2</v>
      </c>
      <c r="AR1472" t="inlineStr">
        <is>
          <t>Did not use any job portal</t>
        </is>
      </c>
      <c r="AS1472" t="inlineStr">
        <is>
          <t>- Headcount: 2
- Hiring Job Details: 2 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472">
        <v>105</v>
      </c>
      <c r="AU1472" t="inlineStr">
        <is>
          <t>1.05</t>
        </is>
      </c>
      <c r="AV1472" t="inlineStr">
        <is>
          <t>15</t>
        </is>
      </c>
      <c r="AW1472" t="inlineStr">
        <is>
          <t>0</t>
        </is>
      </c>
      <c r="AX1472" t="inlineStr">
        <is>
          <t>Not Qualified</t>
        </is>
      </c>
      <c r="AY1472" s="4"/>
      <c r="AZ1472"/>
      <c r="BA1472"/>
      <c r="BB1472"/>
      <c r="BC1472" t="inlineStr">
        <is>
          <t>nr</t>
        </is>
      </c>
      <c r="BD1472" s="4">
        <v>46129.47356481481</v>
      </c>
      <c r="BE1472" t="inlineStr">
        <is>
          <t>paid</t>
        </is>
      </c>
      <c r="BF1472"/>
      <c r="BG1472" t="inlineStr">
        <is>
          <t>Reschedule</t>
        </is>
      </c>
      <c r="BH1472" t="inlineStr">
        <is>
          <t>Yee Hang</t>
        </is>
      </c>
      <c r="BI1472" t="inlineStr">
        <is>
          <t>General / Wholesale Trading</t>
        </is>
      </c>
      <c r="BJ1472" s="4">
        <v>46144.75047453704</v>
      </c>
      <c r="BK1472" s="4">
        <v>44166.739074074074</v>
      </c>
      <c r="BL1472" t="inlineStr">
        <is>
          <t>0.0</t>
        </is>
      </c>
      <c r="BM1472" t="inlineStr">
        <is>
          <t>0.0</t>
        </is>
      </c>
      <c r="BN1472" t="inlineStr">
        <is>
          <t>User Visit(Logged In)</t>
        </is>
      </c>
      <c r="BO1472" s="4">
        <v>45827.62297453704</v>
      </c>
      <c r="BP1472">
        <v>166523</v>
      </c>
      <c r="BQ1472">
        <v>73855</v>
      </c>
      <c r="BR1472" t="inlineStr">
        <is>
          <t>Online</t>
        </is>
      </c>
      <c r="BS1472"/>
      <c r="BT1472">
        <v>73855</v>
      </c>
      <c r="BU1472"/>
      <c r="BV1472">
        <v>2711516</v>
      </c>
      <c r="BW1472" t="inlineStr">
        <is>
          <t>No Answer : Voicemail - WA sent to customer</t>
        </is>
      </c>
      <c r="BX1472"/>
      <c r="BY1472"/>
      <c r="BZ1472" s="4"/>
      <c r="CA1472"/>
      <c r="CB1472"/>
      <c r="CC1472" s="4"/>
      <c r="CD1472" t="inlineStr">
        <is>
          <t>20</t>
        </is>
      </c>
      <c r="CE1472" t="inlineStr">
        <is>
          <t>0</t>
        </is>
      </c>
      <c r="CF1472" t="inlineStr">
        <is>
          <t>Q2-W02</t>
        </is>
      </c>
      <c r="CG1472"/>
      <c r="CH1472"/>
      <c r="CI1472"/>
      <c r="CJ1472" t="inlineStr">
        <is>
          <t>Paid</t>
        </is>
      </c>
      <c r="CK1472" t="inlineStr">
        <is>
          <t>Not Eligible</t>
        </is>
      </c>
      <c r="CL1472"/>
      <c r="CM1472"/>
    </row>
    <row r="1473" ht="25.5" customHeight="1">
      <c r="A1473" t="inlineStr">
        <is>
          <t>4269702</t>
        </is>
      </c>
      <c r="B1473" s="2"/>
      <c r="C1473"/>
      <c r="D1473" s="3">
        <v>46122.701006944444</v>
      </c>
      <c r="E1473" t="inlineStr">
        <is>
          <t>Q2-W02</t>
        </is>
      </c>
      <c r="F1473" t="inlineStr">
        <is>
          <t>Evan</t>
        </is>
      </c>
      <c r="G1473" t="inlineStr">
        <is>
          <t>Lead</t>
        </is>
      </c>
      <c r="H1473" s="2" t="str">
        <f>=HYPERLINK("https://upbox.ajobthing.my/leads/4269702", "https://upbox.ajobthing.my/leads/4269702")</f>
        <v>https://upbox.ajobthing.my/leads/4269702</v>
      </c>
      <c r="I1473" t="inlineStr">
        <is>
          <t>SUFFIAN MELISSA AND PARTNERS ENTERPRISE</t>
        </is>
      </c>
      <c r="J1473" t="inlineStr">
        <is>
          <t>Dolphin</t>
        </is>
      </c>
      <c r="K1473" t="inlineStr">
        <is>
          <t>Evan</t>
        </is>
      </c>
      <c r="L1473" s="4"/>
      <c r="M1473" s="4">
        <v>46122.697858796295</v>
      </c>
      <c r="N1473"/>
      <c r="O1473">
        <v>6048</v>
      </c>
      <c r="P1473" s="4"/>
      <c r="Q1473" s="4"/>
      <c r="R1473"/>
      <c r="S1473"/>
      <c r="T1473" s="4"/>
      <c r="U1473" s="4"/>
      <c r="V1473"/>
      <c r="W1473"/>
      <c r="X1473"/>
      <c r="Y1473" t="inlineStr">
        <is>
          <t>Pending Appointment</t>
        </is>
      </c>
      <c r="Z1473" t="inlineStr">
        <is>
          <t>Hiring Now</t>
        </is>
      </c>
      <c r="AA1473">
        <v>1</v>
      </c>
      <c r="AB1473" t="inlineStr">
        <is>
          <t>No Appointment Made</t>
        </is>
      </c>
      <c r="AC1473"/>
      <c r="AD1473" t="inlineStr">
        <is>
          <t>1 HR, all base in Johor</t>
        </is>
      </c>
      <c r="AE1473"/>
      <c r="AF1473">
        <v>1</v>
      </c>
      <c r="AG1473" s="4"/>
      <c r="AH1473" s="4"/>
      <c r="AI1473">
        <v>1</v>
      </c>
      <c r="AJ1473">
        <v>1</v>
      </c>
      <c r="AK1473" t="inlineStr">
        <is>
          <t>No, I don't need at all</t>
        </is>
      </c>
      <c r="AL1473">
        <v>0</v>
      </c>
      <c r="AM1473" t="inlineStr">
        <is>
          <t>No, I don't need at all</t>
        </is>
      </c>
      <c r="AN1473"/>
      <c r="AO1473" t="inlineStr">
        <is>
          <t>No, I don't need at all</t>
        </is>
      </c>
      <c r="AP1473" t="inlineStr">
        <is>
          <t>Once a year (25%)</t>
        </is>
      </c>
      <c r="AQ1473">
        <v>1</v>
      </c>
      <c r="AR1473" t="inlineStr">
        <is>
          <t>Did not use any job portal</t>
        </is>
      </c>
      <c r="AS1473" t="inlineStr">
        <is>
          <t>- Headcount: 1
- Hiring Job Details: 1 HR, all base in Johor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473">
        <v>115</v>
      </c>
      <c r="AU1473" t="inlineStr">
        <is>
          <t>1.15</t>
        </is>
      </c>
      <c r="AV1473" t="inlineStr">
        <is>
          <t>15</t>
        </is>
      </c>
      <c r="AW1473" t="inlineStr">
        <is>
          <t>0</t>
        </is>
      </c>
      <c r="AX1473" t="inlineStr">
        <is>
          <t>Not Qualified</t>
        </is>
      </c>
      <c r="AY1473" s="4"/>
      <c r="AZ1473"/>
      <c r="BA1473"/>
      <c r="BB1473"/>
      <c r="BC1473"/>
      <c r="BD1473" s="4"/>
      <c r="BE1473"/>
      <c r="BF1473"/>
      <c r="BG1473" t="inlineStr">
        <is>
          <t>Reschedule</t>
        </is>
      </c>
      <c r="BH1473" t="inlineStr">
        <is>
          <t>Edward Hoo</t>
        </is>
      </c>
      <c r="BI1473"/>
      <c r="BJ1473" s="4">
        <v>46144.75578703704</v>
      </c>
      <c r="BK1473" s="4">
        <v>46122.67767361111</v>
      </c>
      <c r="BL1473" t="inlineStr">
        <is>
          <t>0.0</t>
        </is>
      </c>
      <c r="BM1473" t="inlineStr">
        <is>
          <t>0.0</t>
        </is>
      </c>
      <c r="BN1473"/>
      <c r="BO1473" s="4"/>
      <c r="BP1473">
        <v>166526</v>
      </c>
      <c r="BQ1473"/>
      <c r="BR1473"/>
      <c r="BS1473"/>
      <c r="BT1473"/>
      <c r="BU1473"/>
      <c r="BV1473"/>
      <c r="BW1473"/>
      <c r="BX1473"/>
      <c r="BY1473"/>
      <c r="BZ1473" s="4"/>
      <c r="CA1473"/>
      <c r="CB1473"/>
      <c r="CC1473" s="4"/>
      <c r="CD1473" t="inlineStr">
        <is>
          <t>20</t>
        </is>
      </c>
      <c r="CE1473" t="inlineStr">
        <is>
          <t>0</t>
        </is>
      </c>
      <c r="CF1473" t="inlineStr">
        <is>
          <t>Q2-W02</t>
        </is>
      </c>
      <c r="CG1473"/>
      <c r="CH1473"/>
      <c r="CI1473"/>
      <c r="CJ1473" t="inlineStr">
        <is>
          <t>No Paid</t>
        </is>
      </c>
      <c r="CK1473" t="inlineStr">
        <is>
          <t>Not Eligible</t>
        </is>
      </c>
      <c r="CL1473"/>
      <c r="CM1473"/>
    </row>
    <row r="1474" ht="25.5" customHeight="1">
      <c r="A1474" t="inlineStr">
        <is>
          <t>182320</t>
        </is>
      </c>
      <c r="B1474" s="2"/>
      <c r="C1474"/>
      <c r="D1474" s="3">
        <v>46122.703310185185</v>
      </c>
      <c r="E1474" t="inlineStr">
        <is>
          <t>Q2-W02</t>
        </is>
      </c>
      <c r="F1474" t="inlineStr">
        <is>
          <t>Dickson</t>
        </is>
      </c>
      <c r="G1474" t="inlineStr">
        <is>
          <t>Customer</t>
        </is>
      </c>
      <c r="H1474" s="2" t="str">
        <f>=HYPERLINK("https://upbox.ajobthing.my/customer/182320", "https://upbox.ajobthing.my/customer/182320")</f>
        <v>https://upbox.ajobthing.my/customer/182320</v>
      </c>
      <c r="I1474" t="inlineStr">
        <is>
          <t>Artseven Group Sdn Bhd</t>
        </is>
      </c>
      <c r="J1474" t="inlineStr">
        <is>
          <t>Dolphin</t>
        </is>
      </c>
      <c r="K1474" t="inlineStr">
        <is>
          <t>Dickson</t>
        </is>
      </c>
      <c r="L1474" s="4"/>
      <c r="M1474" s="4">
        <v>46122.70348379629</v>
      </c>
      <c r="N1474"/>
      <c r="O1474">
        <v>3888</v>
      </c>
      <c r="P1474" s="4"/>
      <c r="Q1474" s="4">
        <v>45630</v>
      </c>
      <c r="R1474"/>
      <c r="S1474">
        <v>1188</v>
      </c>
      <c r="T1474" s="4">
        <v>45630</v>
      </c>
      <c r="U1474" s="4"/>
      <c r="V1474"/>
      <c r="W1474">
        <v>1188</v>
      </c>
      <c r="X1474"/>
      <c r="Y1474" t="inlineStr">
        <is>
          <t>Pending Appointment</t>
        </is>
      </c>
      <c r="Z1474" t="inlineStr">
        <is>
          <t>Hiring Now</t>
        </is>
      </c>
      <c r="AA1474">
        <v>3</v>
      </c>
      <c r="AB1474" t="inlineStr">
        <is>
          <t>No Appointment Made</t>
        </is>
      </c>
      <c r="AC1474"/>
      <c r="AD1474" t="inlineStr">
        <is>
          <t>1 sales consultant, 1 site delivery, 1 site supervisor</t>
        </is>
      </c>
      <c r="AE1474"/>
      <c r="AF1474"/>
      <c r="AG1474" s="4"/>
      <c r="AH1474" s="4"/>
      <c r="AI1474"/>
      <c r="AJ1474">
        <v>1</v>
      </c>
      <c r="AK1474" t="inlineStr">
        <is>
          <t>No, I don't need at all</t>
        </is>
      </c>
      <c r="AL1474"/>
      <c r="AM1474" t="inlineStr">
        <is>
          <t>No, I don't need at all</t>
        </is>
      </c>
      <c r="AN1474"/>
      <c r="AO1474" t="inlineStr">
        <is>
          <t>No, I don't need at all</t>
        </is>
      </c>
      <c r="AP1474" t="inlineStr">
        <is>
          <t>Once per quarter (75%)</t>
        </is>
      </c>
      <c r="AQ1474"/>
      <c r="AR1474" t="inlineStr">
        <is>
          <t>Hiredly</t>
        </is>
      </c>
      <c r="AS1474" t="inlineStr">
        <is>
          <t>- Headcount: 3
- Hiring Job Details: 1 sales consultant, 1 site delivery, 1 site supervisor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Hiredly</t>
        </is>
      </c>
      <c r="AT1474">
        <v>95</v>
      </c>
      <c r="AU1474" t="inlineStr">
        <is>
          <t>0.95</t>
        </is>
      </c>
      <c r="AV1474" t="inlineStr">
        <is>
          <t>5</t>
        </is>
      </c>
      <c r="AW1474" t="inlineStr">
        <is>
          <t>0</t>
        </is>
      </c>
      <c r="AX1474" t="inlineStr">
        <is>
          <t>Not Qualified</t>
        </is>
      </c>
      <c r="AY1474" s="4"/>
      <c r="AZ1474"/>
      <c r="BA1474"/>
      <c r="BB1474"/>
      <c r="BC1474" t="inlineStr">
        <is>
          <t>no response</t>
        </is>
      </c>
      <c r="BD1474" s="4">
        <v>46139.75429398148</v>
      </c>
      <c r="BE1474" t="inlineStr">
        <is>
          <t>paid</t>
        </is>
      </c>
      <c r="BF1474"/>
      <c r="BG1474" t="inlineStr">
        <is>
          <t>Reschedule</t>
        </is>
      </c>
      <c r="BH1474" t="inlineStr">
        <is>
          <t>Edward Hoo</t>
        </is>
      </c>
      <c r="BI1474" t="inlineStr">
        <is>
          <t>Architecture / Interior Design</t>
        </is>
      </c>
      <c r="BJ1474" s="4">
        <v>46144.751921296294</v>
      </c>
      <c r="BK1474" s="4">
        <v>45538.52877314815</v>
      </c>
      <c r="BL1474" t="inlineStr">
        <is>
          <t>0.0</t>
        </is>
      </c>
      <c r="BM1474" t="inlineStr">
        <is>
          <t>3150.0</t>
        </is>
      </c>
      <c r="BN1474" t="inlineStr">
        <is>
          <t>View Jobmanager Page</t>
        </is>
      </c>
      <c r="BO1474" s="4">
        <v>45819.537303240744</v>
      </c>
      <c r="BP1474">
        <v>166536</v>
      </c>
      <c r="BQ1474">
        <v>75164</v>
      </c>
      <c r="BR1474" t="inlineStr">
        <is>
          <t>Online</t>
        </is>
      </c>
      <c r="BS1474"/>
      <c r="BT1474">
        <v>75164</v>
      </c>
      <c r="BU1474"/>
      <c r="BV1474">
        <v>2731585</v>
      </c>
      <c r="BW1474" t="inlineStr">
        <is>
          <t>No Answer : Voicemail - WA sent to customer</t>
        </is>
      </c>
      <c r="BX1474"/>
      <c r="BY1474"/>
      <c r="BZ1474" s="4"/>
      <c r="CA1474"/>
      <c r="CB1474"/>
      <c r="CC1474" s="4"/>
      <c r="CD1474" t="inlineStr">
        <is>
          <t>5</t>
        </is>
      </c>
      <c r="CE1474" t="inlineStr">
        <is>
          <t>0</t>
        </is>
      </c>
      <c r="CF1474" t="inlineStr">
        <is>
          <t>Q2-W02</t>
        </is>
      </c>
      <c r="CG1474"/>
      <c r="CH1474"/>
      <c r="CI1474"/>
      <c r="CJ1474" t="inlineStr">
        <is>
          <t>Paid</t>
        </is>
      </c>
      <c r="CK1474" t="inlineStr">
        <is>
          <t>Not Eligible</t>
        </is>
      </c>
      <c r="CL1474"/>
      <c r="CM1474"/>
    </row>
    <row r="1475" ht="25.5" customHeight="1">
      <c r="A1475" t="inlineStr">
        <is>
          <t>202566</t>
        </is>
      </c>
      <c r="B1475" s="2"/>
      <c r="C1475"/>
      <c r="D1475" s="3">
        <v>46122.70695601852</v>
      </c>
      <c r="E1475" t="inlineStr">
        <is>
          <t>Q2-W02</t>
        </is>
      </c>
      <c r="F1475" t="inlineStr">
        <is>
          <t>Carmen</t>
        </is>
      </c>
      <c r="G1475" t="inlineStr">
        <is>
          <t>Customer</t>
        </is>
      </c>
      <c r="H1475" s="2" t="str">
        <f>=HYPERLINK("https://upbox.ajobthing.my/customer/202566", "https://upbox.ajobthing.my/customer/202566")</f>
        <v>https://upbox.ajobthing.my/customer/202566</v>
      </c>
      <c r="I1475" t="inlineStr">
        <is>
          <t>TTI Electronics Malaysia Sdn. Bhd.</t>
        </is>
      </c>
      <c r="J1475" t="inlineStr">
        <is>
          <t>Dolphin</t>
        </is>
      </c>
      <c r="K1475" t="inlineStr">
        <is>
          <t>Carmen</t>
        </is>
      </c>
      <c r="L1475" s="4"/>
      <c r="M1475" s="4">
        <v>46122.707094907404</v>
      </c>
      <c r="N1475"/>
      <c r="O1475">
        <v>3888</v>
      </c>
      <c r="P1475" s="4"/>
      <c r="Q1475" s="4">
        <v>46111.634791666664</v>
      </c>
      <c r="R1475"/>
      <c r="S1475">
        <v>0</v>
      </c>
      <c r="T1475" s="4"/>
      <c r="U1475" s="4"/>
      <c r="V1475"/>
      <c r="W1475"/>
      <c r="X1475"/>
      <c r="Y1475" t="inlineStr">
        <is>
          <t>Pending Appointment</t>
        </is>
      </c>
      <c r="Z1475" t="inlineStr">
        <is>
          <t>Hiring Later</t>
        </is>
      </c>
      <c r="AA1475">
        <v>1</v>
      </c>
      <c r="AB1475" t="inlineStr">
        <is>
          <t>No Appointment Made</t>
        </is>
      </c>
      <c r="AC1475"/>
      <c r="AD1475" t="inlineStr">
        <is>
          <t>1 intern cs</t>
        </is>
      </c>
      <c r="AE1475"/>
      <c r="AF1475">
        <v>0</v>
      </c>
      <c r="AG1475" s="4"/>
      <c r="AH1475" s="4"/>
      <c r="AI1475"/>
      <c r="AJ1475"/>
      <c r="AK1475"/>
      <c r="AL1475"/>
      <c r="AM1475"/>
      <c r="AN1475"/>
      <c r="AO1475"/>
      <c r="AP1475"/>
      <c r="AQ1475"/>
      <c r="AR1475"/>
      <c r="AS1475" t="inlineStr">
        <is>
          <t>- Headcount: 1
- Hiring Job Details: 1 intern cs
- Hiring Urgency: Hiring Later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Not provided
- External job portal: Not provided</t>
        </is>
      </c>
      <c r="AT1475">
        <v>65</v>
      </c>
      <c r="AU1475" t="inlineStr">
        <is>
          <t>0.65</t>
        </is>
      </c>
      <c r="AV1475" t="inlineStr">
        <is>
          <t>15</t>
        </is>
      </c>
      <c r="AW1475" t="inlineStr">
        <is>
          <t>0</t>
        </is>
      </c>
      <c r="AX1475" t="inlineStr">
        <is>
          <t>Not Qualified</t>
        </is>
      </c>
      <c r="AY1475" s="4"/>
      <c r="AZ1475"/>
      <c r="BA1475"/>
      <c r="BB1475"/>
      <c r="BC1475" t="inlineStr">
        <is>
          <t>sales office, csutomer service share her the quotation maybe future need, got sales person and customer services positions, she said staffs also stable</t>
        </is>
      </c>
      <c r="BD1475" s="4">
        <v>46122.71140046296</v>
      </c>
      <c r="BE1475" t="inlineStr">
        <is>
          <t>paid</t>
        </is>
      </c>
      <c r="BF1475"/>
      <c r="BG1475" t="inlineStr">
        <is>
          <t>Reschedule</t>
        </is>
      </c>
      <c r="BH1475" t="inlineStr">
        <is>
          <t>Reagen</t>
        </is>
      </c>
      <c r="BI1475" t="inlineStr">
        <is>
          <t>Semiconductor</t>
        </is>
      </c>
      <c r="BJ1475" s="4">
        <v>46144.75407407407</v>
      </c>
      <c r="BK1475" s="4">
        <v>46111.63416666666</v>
      </c>
      <c r="BL1475" t="inlineStr">
        <is>
          <t>0.0</t>
        </is>
      </c>
      <c r="BM1475" t="inlineStr">
        <is>
          <t>0.0</t>
        </is>
      </c>
      <c r="BN1475" t="inlineStr">
        <is>
          <t>View Notifications</t>
        </is>
      </c>
      <c r="BO1475" s="4">
        <v>46114.3509375</v>
      </c>
      <c r="BP1475">
        <v>166540</v>
      </c>
      <c r="BQ1475">
        <v>118578</v>
      </c>
      <c r="BR1475" t="inlineStr">
        <is>
          <t>Proforma</t>
        </is>
      </c>
      <c r="BS1475" t="inlineStr">
        <is>
          <t>Free Freelance Job</t>
        </is>
      </c>
      <c r="BT1475"/>
      <c r="BU1475"/>
      <c r="BV1475">
        <v>2698980</v>
      </c>
      <c r="BW1475" t="inlineStr">
        <is>
          <t>Follow Up : Budget Concern</t>
        </is>
      </c>
      <c r="BX1475"/>
      <c r="BY1475"/>
      <c r="BZ1475" s="4"/>
      <c r="CA1475"/>
      <c r="CB1475"/>
      <c r="CC1475" s="4"/>
      <c r="CD1475" t="inlineStr">
        <is>
          <t>20</t>
        </is>
      </c>
      <c r="CE1475" t="inlineStr">
        <is>
          <t>0</t>
        </is>
      </c>
      <c r="CF1475" t="inlineStr">
        <is>
          <t>Q2-W02</t>
        </is>
      </c>
      <c r="CG1475" t="inlineStr">
        <is>
          <t>Q1-W13</t>
        </is>
      </c>
      <c r="CH1475"/>
      <c r="CI1475"/>
      <c r="CJ1475" t="inlineStr">
        <is>
          <t>No Paid</t>
        </is>
      </c>
      <c r="CK1475" t="inlineStr">
        <is>
          <t>Not Eligible</t>
        </is>
      </c>
      <c r="CL1475"/>
      <c r="CM1475"/>
    </row>
    <row r="1476" ht="25.5" customHeight="1">
      <c r="A1476" t="inlineStr">
        <is>
          <t>203105</t>
        </is>
      </c>
      <c r="B1476" s="2"/>
      <c r="C1476"/>
      <c r="D1476" s="3">
        <v>46122.712800925925</v>
      </c>
      <c r="E1476" t="inlineStr">
        <is>
          <t>Q2-W02</t>
        </is>
      </c>
      <c r="F1476" t="inlineStr">
        <is>
          <t>Ken Yi</t>
        </is>
      </c>
      <c r="G1476" t="inlineStr">
        <is>
          <t>Customer</t>
        </is>
      </c>
      <c r="H1476" s="2" t="str">
        <f>=HYPERLINK("https://upbox.ajobthing.my/customer/203105", "https://upbox.ajobthing.my/customer/203105")</f>
        <v>https://upbox.ajobthing.my/customer/203105</v>
      </c>
      <c r="I1476" t="inlineStr">
        <is>
          <t>Cabworks Sdn Bhd</t>
        </is>
      </c>
      <c r="J1476" t="inlineStr">
        <is>
          <t>Dolphin</t>
        </is>
      </c>
      <c r="K1476" t="inlineStr">
        <is>
          <t>Kenyi</t>
        </is>
      </c>
      <c r="L1476" s="4"/>
      <c r="M1476" s="4">
        <v>46125.74054398148</v>
      </c>
      <c r="N1476"/>
      <c r="O1476">
        <v>3888</v>
      </c>
      <c r="P1476" s="4"/>
      <c r="Q1476" s="4">
        <v>46128.7509375</v>
      </c>
      <c r="R1476"/>
      <c r="S1476">
        <v>3888</v>
      </c>
      <c r="T1476" s="4">
        <v>46128.7509375</v>
      </c>
      <c r="U1476" s="4"/>
      <c r="V1476"/>
      <c r="W1476">
        <v>3888</v>
      </c>
      <c r="X1476"/>
      <c r="Y1476" t="inlineStr">
        <is>
          <t>Pending Appointment</t>
        </is>
      </c>
      <c r="Z1476" t="inlineStr">
        <is>
          <t>Hiring Now</t>
        </is>
      </c>
      <c r="AA1476">
        <v>1</v>
      </c>
      <c r="AB1476" t="inlineStr">
        <is>
          <t>No Appointment Made</t>
        </is>
      </c>
      <c r="AC1476"/>
      <c r="AD1476" t="inlineStr">
        <is>
          <t>Content Creator</t>
        </is>
      </c>
      <c r="AE1476"/>
      <c r="AF1476">
        <v>0</v>
      </c>
      <c r="AG1476" s="4"/>
      <c r="AH1476" s="4"/>
      <c r="AI1476">
        <v>0</v>
      </c>
      <c r="AJ1476">
        <v>1</v>
      </c>
      <c r="AK1476" t="inlineStr">
        <is>
          <t>Yes, I have</t>
        </is>
      </c>
      <c r="AL1476">
        <v>1</v>
      </c>
      <c r="AM1476" t="inlineStr">
        <is>
          <t>No, I don't need at all</t>
        </is>
      </c>
      <c r="AN1476"/>
      <c r="AO1476" t="inlineStr">
        <is>
          <t>No, I don't need at all</t>
        </is>
      </c>
      <c r="AP1476" t="inlineStr">
        <is>
          <t>Every month (100%)</t>
        </is>
      </c>
      <c r="AQ1476">
        <v>3</v>
      </c>
      <c r="AR1476" t="inlineStr">
        <is>
          <t>Did not use any job portal</t>
        </is>
      </c>
      <c r="AS1476" t="inlineStr">
        <is>
          <t>- Headcount: 1
- Hiring Job Details: Content Creator
- Hiring Urgency: Hiring Now
- Number of outlets: 1
- Have recruiter team: Yes
- Number of recruiter in company: 1
- Have ATS system: No, I don't need at all
- Have career website: No, I don't need at all
- Current hiring budget: RM0.00
- Whole year budget: RM0.00
- Whole year number of vacancies: 3
- Hiring frequency: Every month (100%)
- External job portal: Did not use any job portal</t>
        </is>
      </c>
      <c r="AT1476">
        <v>115</v>
      </c>
      <c r="AU1476" t="inlineStr">
        <is>
          <t>1.15</t>
        </is>
      </c>
      <c r="AV1476" t="inlineStr">
        <is>
          <t>15</t>
        </is>
      </c>
      <c r="AW1476" t="inlineStr">
        <is>
          <t>0</t>
        </is>
      </c>
      <c r="AX1476" t="inlineStr">
        <is>
          <t>Not Qualified</t>
        </is>
      </c>
      <c r="AY1476" s="4"/>
      <c r="AZ1476"/>
      <c r="BA1476"/>
      <c r="BB1476"/>
      <c r="BC1476" t="inlineStr">
        <is>
          <t>Service</t>
        </is>
      </c>
      <c r="BD1476" s="4">
        <v>46135.48981481481</v>
      </c>
      <c r="BE1476" t="inlineStr">
        <is>
          <t>paid</t>
        </is>
      </c>
      <c r="BF1476" t="inlineStr">
        <is>
          <t>Q2-W02</t>
        </is>
      </c>
      <c r="BG1476" t="inlineStr">
        <is>
          <t>Reschedule</t>
        </is>
      </c>
      <c r="BH1476" t="inlineStr">
        <is>
          <t>Fauziah Maharan</t>
        </is>
      </c>
      <c r="BI1476" t="inlineStr">
        <is>
          <t>Manufacturing / Production</t>
        </is>
      </c>
      <c r="BJ1476" s="4">
        <v>46144.754212962966</v>
      </c>
      <c r="BK1476" s="4">
        <v>46122.710960648146</v>
      </c>
      <c r="BL1476" t="inlineStr">
        <is>
          <t>3888.0</t>
        </is>
      </c>
      <c r="BM1476" t="inlineStr">
        <is>
          <t>0.0</t>
        </is>
      </c>
      <c r="BN1476" t="inlineStr">
        <is>
          <t>View Candidate Search Page</t>
        </is>
      </c>
      <c r="BO1476" s="4">
        <v>46134.47384259259</v>
      </c>
      <c r="BP1476">
        <v>166851</v>
      </c>
      <c r="BQ1476">
        <v>7639</v>
      </c>
      <c r="BR1476" t="inlineStr">
        <is>
          <t>Manual (Paid)</t>
        </is>
      </c>
      <c r="BS1476"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1476">
        <v>7639</v>
      </c>
      <c r="BU1476"/>
      <c r="BV1476">
        <v>2722936</v>
      </c>
      <c r="BW1476" t="inlineStr">
        <is>
          <t>Service / Technical : Job Outcome Enquiry</t>
        </is>
      </c>
      <c r="BX1476">
        <v>6</v>
      </c>
      <c r="BY1476">
        <v>5</v>
      </c>
      <c r="BZ1476" s="4">
        <v>46134.47313657407</v>
      </c>
      <c r="CA1476">
        <v>60</v>
      </c>
      <c r="CB1476">
        <v>60</v>
      </c>
      <c r="CC1476" s="4"/>
      <c r="CD1476" t="inlineStr">
        <is>
          <t>20</t>
        </is>
      </c>
      <c r="CE1476" t="inlineStr">
        <is>
          <t>0</t>
        </is>
      </c>
      <c r="CF1476" t="inlineStr">
        <is>
          <t>Q2-W02</t>
        </is>
      </c>
      <c r="CG1476" t="inlineStr">
        <is>
          <t>Q2-W02</t>
        </is>
      </c>
      <c r="CH1476" t="inlineStr">
        <is>
          <t>Q2-W02</t>
        </is>
      </c>
      <c r="CI1476"/>
      <c r="CJ1476" t="inlineStr">
        <is>
          <t>Paid</t>
        </is>
      </c>
      <c r="CK1476" t="inlineStr">
        <is>
          <t>Not Eligible</t>
        </is>
      </c>
      <c r="CL1476"/>
      <c r="CM1476"/>
    </row>
    <row r="1477" ht="25.5" customHeight="1">
      <c r="A1477" t="inlineStr">
        <is>
          <t>6684</t>
        </is>
      </c>
      <c r="B1477" s="2"/>
      <c r="C1477"/>
      <c r="D1477" s="3">
        <v>46122.721041666664</v>
      </c>
      <c r="E1477" t="inlineStr">
        <is>
          <t>Q2-W02</t>
        </is>
      </c>
      <c r="F1477" t="inlineStr">
        <is>
          <t>Jess</t>
        </is>
      </c>
      <c r="G1477" t="inlineStr">
        <is>
          <t>Customer</t>
        </is>
      </c>
      <c r="H1477" s="2" t="str">
        <f>=HYPERLINK("https://upbox.ajobthing.my/customer/6684", "https://upbox.ajobthing.my/customer/6684")</f>
        <v>https://upbox.ajobthing.my/customer/6684</v>
      </c>
      <c r="I1477" t="inlineStr">
        <is>
          <t>Outdoor Advertising Specialist</t>
        </is>
      </c>
      <c r="J1477" t="inlineStr">
        <is>
          <t>Dolphin</t>
        </is>
      </c>
      <c r="K1477" t="inlineStr">
        <is>
          <t>Jess Lim</t>
        </is>
      </c>
      <c r="L1477" s="4"/>
      <c r="M1477" s="4">
        <v>46122.721875</v>
      </c>
      <c r="N1477"/>
      <c r="O1477">
        <v>3888</v>
      </c>
      <c r="P1477" s="4"/>
      <c r="Q1477" s="4">
        <v>45069.429375</v>
      </c>
      <c r="R1477"/>
      <c r="S1477">
        <v>1060</v>
      </c>
      <c r="T1477" s="4">
        <v>45069.429375</v>
      </c>
      <c r="U1477" s="4"/>
      <c r="V1477"/>
      <c r="W1477">
        <v>1060</v>
      </c>
      <c r="X1477"/>
      <c r="Y1477" t="inlineStr">
        <is>
          <t>Pending Appointment</t>
        </is>
      </c>
      <c r="Z1477" t="inlineStr">
        <is>
          <t>Hiring Now</t>
        </is>
      </c>
      <c r="AA1477">
        <v>1</v>
      </c>
      <c r="AB1477" t="inlineStr">
        <is>
          <t>No Appointment Made</t>
        </is>
      </c>
      <c r="AC1477"/>
      <c r="AD1477" t="inlineStr">
        <is>
          <t>sales admin</t>
        </is>
      </c>
      <c r="AE1477"/>
      <c r="AF1477">
        <v>1200</v>
      </c>
      <c r="AG1477" s="4"/>
      <c r="AH1477" s="4"/>
      <c r="AI1477"/>
      <c r="AJ1477">
        <v>1</v>
      </c>
      <c r="AK1477" t="inlineStr">
        <is>
          <t>No, I don't need at all</t>
        </is>
      </c>
      <c r="AL1477">
        <v>1</v>
      </c>
      <c r="AM1477" t="inlineStr">
        <is>
          <t>No, I don't need at all</t>
        </is>
      </c>
      <c r="AN1477"/>
      <c r="AO1477" t="inlineStr">
        <is>
          <t>No, I don't need at all</t>
        </is>
      </c>
      <c r="AP1477" t="inlineStr">
        <is>
          <t>Once a year (25%)</t>
        </is>
      </c>
      <c r="AQ1477"/>
      <c r="AR1477" t="inlineStr">
        <is>
          <t>Jobstreet</t>
        </is>
      </c>
      <c r="AS1477" t="inlineStr">
        <is>
          <t>- Headcount: 1
- Hiring Job Details: sales admin
- Hiring Urgency: Hiring Now
- Number of outlets: 1
- Have recruiter team: No, I don't need at all
- Number of recruiter in company: 1
- Have ATS system: No, I don't need at all
- Have career website: No, I don't need at all
- Current hiring budget: RM1,200.00
- Whole year budget: Not specified
- Whole year number of vacancies: Not specified
- Hiring frequency: Once a year (25%)
- External job portal: Jobstreet</t>
        </is>
      </c>
      <c r="AT1477">
        <v>95</v>
      </c>
      <c r="AU1477" t="inlineStr">
        <is>
          <t>0.95</t>
        </is>
      </c>
      <c r="AV1477" t="inlineStr">
        <is>
          <t>15</t>
        </is>
      </c>
      <c r="AW1477" t="inlineStr">
        <is>
          <t>0</t>
        </is>
      </c>
      <c r="AX1477" t="inlineStr">
        <is>
          <t>Not Qualified</t>
        </is>
      </c>
      <c r="AY1477" s="4"/>
      <c r="AZ1477"/>
      <c r="BA1477"/>
      <c r="BB1477"/>
      <c r="BC1477" t="inlineStr">
        <is>
          <t>use free portal</t>
        </is>
      </c>
      <c r="BD1477" s="4">
        <v>46136.729317129626</v>
      </c>
      <c r="BE1477" t="inlineStr">
        <is>
          <t>paid</t>
        </is>
      </c>
      <c r="BF1477"/>
      <c r="BG1477" t="inlineStr">
        <is>
          <t>Reschedule</t>
        </is>
      </c>
      <c r="BH1477" t="inlineStr">
        <is>
          <t>Fauziah Maharan</t>
        </is>
      </c>
      <c r="BI1477" t="inlineStr">
        <is>
          <t>Advertising / Marketing</t>
        </is>
      </c>
      <c r="BJ1477" s="4">
        <v>46144.75612268518</v>
      </c>
      <c r="BK1477" s="4">
        <v>42433.506064814814</v>
      </c>
      <c r="BL1477" t="inlineStr">
        <is>
          <t>0.0</t>
        </is>
      </c>
      <c r="BM1477" t="inlineStr">
        <is>
          <t>0.0</t>
        </is>
      </c>
      <c r="BN1477" t="inlineStr">
        <is>
          <t>View Company Page</t>
        </is>
      </c>
      <c r="BO1477" s="4">
        <v>46122.50121527778</v>
      </c>
      <c r="BP1477">
        <v>166553</v>
      </c>
      <c r="BQ1477">
        <v>58554</v>
      </c>
      <c r="BR1477" t="inlineStr">
        <is>
          <t>Online</t>
        </is>
      </c>
      <c r="BS1477"/>
      <c r="BT1477">
        <v>58554</v>
      </c>
      <c r="BU1477"/>
      <c r="BV1477">
        <v>2727365</v>
      </c>
      <c r="BW1477" t="inlineStr">
        <is>
          <t>Follow Up : Lost - Free Portal</t>
        </is>
      </c>
      <c r="BX1477"/>
      <c r="BY1477"/>
      <c r="BZ1477" s="4"/>
      <c r="CA1477"/>
      <c r="CB1477"/>
      <c r="CC1477" s="4"/>
      <c r="CD1477" t="inlineStr">
        <is>
          <t>20</t>
        </is>
      </c>
      <c r="CE1477" t="inlineStr">
        <is>
          <t>0</t>
        </is>
      </c>
      <c r="CF1477" t="inlineStr">
        <is>
          <t>Q2-W02</t>
        </is>
      </c>
      <c r="CG1477"/>
      <c r="CH1477"/>
      <c r="CI1477"/>
      <c r="CJ1477" t="inlineStr">
        <is>
          <t>Paid</t>
        </is>
      </c>
      <c r="CK1477" t="inlineStr">
        <is>
          <t>Not Eligible</t>
        </is>
      </c>
      <c r="CL1477"/>
      <c r="CM1477"/>
    </row>
    <row r="1478" ht="25.5" customHeight="1">
      <c r="A1478" t="inlineStr">
        <is>
          <t>199422</t>
        </is>
      </c>
      <c r="B1478" s="2"/>
      <c r="C1478"/>
      <c r="D1478" s="3">
        <v>46122.72498842593</v>
      </c>
      <c r="E1478" t="inlineStr">
        <is>
          <t>Q2-W02</t>
        </is>
      </c>
      <c r="F1478" t="inlineStr">
        <is>
          <t>Janice Yap</t>
        </is>
      </c>
      <c r="G1478" t="inlineStr">
        <is>
          <t>Customer</t>
        </is>
      </c>
      <c r="H1478" s="2" t="str">
        <f>=HYPERLINK("https://upbox.ajobthing.my/customer/199422", "https://upbox.ajobthing.my/customer/199422")</f>
        <v>https://upbox.ajobthing.my/customer/199422</v>
      </c>
      <c r="I1478" t="inlineStr">
        <is>
          <t>JHM Engineering Sdn Bhd</t>
        </is>
      </c>
      <c r="J1478" t="inlineStr">
        <is>
          <t>Dolphin</t>
        </is>
      </c>
      <c r="K1478" t="inlineStr">
        <is>
          <t>Janice</t>
        </is>
      </c>
      <c r="L1478" s="4"/>
      <c r="M1478" s="4">
        <v>46122.72219907407</v>
      </c>
      <c r="N1478"/>
      <c r="O1478">
        <v>3888</v>
      </c>
      <c r="P1478" s="4"/>
      <c r="Q1478" s="4">
        <v>46006.85215277778</v>
      </c>
      <c r="R1478"/>
      <c r="S1478">
        <v>864</v>
      </c>
      <c r="T1478" s="4">
        <v>46006.85215277778</v>
      </c>
      <c r="U1478" s="4"/>
      <c r="V1478"/>
      <c r="W1478">
        <v>864</v>
      </c>
      <c r="X1478"/>
      <c r="Y1478" t="inlineStr">
        <is>
          <t>Pending Appointment</t>
        </is>
      </c>
      <c r="Z1478" t="inlineStr">
        <is>
          <t>Hiring Now</t>
        </is>
      </c>
      <c r="AA1478">
        <v>1</v>
      </c>
      <c r="AB1478" t="inlineStr">
        <is>
          <t>No Appointment Made</t>
        </is>
      </c>
      <c r="AC1478"/>
      <c r="AD1478" t="inlineStr">
        <is>
          <t>1 QA</t>
        </is>
      </c>
      <c r="AE1478"/>
      <c r="AF1478">
        <v>0</v>
      </c>
      <c r="AG1478" s="4"/>
      <c r="AH1478" s="4"/>
      <c r="AI1478">
        <v>0</v>
      </c>
      <c r="AJ1478"/>
      <c r="AK1478" t="inlineStr">
        <is>
          <t>No, I don't need at all</t>
        </is>
      </c>
      <c r="AL1478">
        <v>0</v>
      </c>
      <c r="AM1478" t="inlineStr">
        <is>
          <t>No, I don't need at all</t>
        </is>
      </c>
      <c r="AN1478"/>
      <c r="AO1478" t="inlineStr">
        <is>
          <t>No, I don't need at all</t>
        </is>
      </c>
      <c r="AP1478" t="inlineStr">
        <is>
          <t>Once a year (25%)</t>
        </is>
      </c>
      <c r="AQ1478">
        <v>1</v>
      </c>
      <c r="AR1478" t="inlineStr">
        <is>
          <t>Jobstreet</t>
        </is>
      </c>
      <c r="AS1478" t="inlineStr">
        <is>
          <t>- Headcount: 1
- Hiring Job Details: 1 QA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1478">
        <v>110</v>
      </c>
      <c r="AU1478" t="inlineStr">
        <is>
          <t>1.10</t>
        </is>
      </c>
      <c r="AV1478" t="inlineStr">
        <is>
          <t>15</t>
        </is>
      </c>
      <c r="AW1478" t="inlineStr">
        <is>
          <t>0</t>
        </is>
      </c>
      <c r="AX1478" t="inlineStr">
        <is>
          <t>Not Qualified</t>
        </is>
      </c>
      <c r="AY1478" s="4"/>
      <c r="AZ1478"/>
      <c r="BA1478"/>
      <c r="BB1478"/>
      <c r="BC1478" t="inlineStr">
        <is>
          <t>No need // lost</t>
        </is>
      </c>
      <c r="BD1478" s="4">
        <v>46126.456296296295</v>
      </c>
      <c r="BE1478" t="inlineStr">
        <is>
          <t>paid</t>
        </is>
      </c>
      <c r="BF1478"/>
      <c r="BG1478" t="inlineStr">
        <is>
          <t>Reschedule</t>
        </is>
      </c>
      <c r="BH1478" t="inlineStr">
        <is>
          <t>Yee Hang</t>
        </is>
      </c>
      <c r="BI1478" t="inlineStr">
        <is>
          <t>Heavy Industrial / Machinery</t>
        </is>
      </c>
      <c r="BJ1478" s="4">
        <v>46144.75329861111</v>
      </c>
      <c r="BK1478" s="4">
        <v>46006.82240740741</v>
      </c>
      <c r="BL1478" t="inlineStr">
        <is>
          <t>864.0</t>
        </is>
      </c>
      <c r="BM1478" t="inlineStr">
        <is>
          <t>600.0</t>
        </is>
      </c>
      <c r="BN1478" t="inlineStr">
        <is>
          <t>User Visit(Logged In)</t>
        </is>
      </c>
      <c r="BO1478" s="4">
        <v>46052.44244212963</v>
      </c>
      <c r="BP1478">
        <v>166555</v>
      </c>
      <c r="BQ1478">
        <v>84989</v>
      </c>
      <c r="BR1478" t="inlineStr">
        <is>
          <t>Online</t>
        </is>
      </c>
      <c r="BS1478"/>
      <c r="BT1478">
        <v>84989</v>
      </c>
      <c r="BU1478"/>
      <c r="BV1478">
        <v>2702779</v>
      </c>
      <c r="BW1478" t="inlineStr">
        <is>
          <t>Follow Up : Lost - Free Portal</t>
        </is>
      </c>
      <c r="BX1478"/>
      <c r="BY1478"/>
      <c r="BZ1478" s="4"/>
      <c r="CA1478"/>
      <c r="CB1478"/>
      <c r="CC1478" s="4"/>
      <c r="CD1478" t="inlineStr">
        <is>
          <t>20</t>
        </is>
      </c>
      <c r="CE1478" t="inlineStr">
        <is>
          <t>0</t>
        </is>
      </c>
      <c r="CF1478" t="inlineStr">
        <is>
          <t>Q2-W02</t>
        </is>
      </c>
      <c r="CG1478"/>
      <c r="CH1478"/>
      <c r="CI1478"/>
      <c r="CJ1478" t="inlineStr">
        <is>
          <t>Paid</t>
        </is>
      </c>
      <c r="CK1478" t="inlineStr">
        <is>
          <t>Not Eligible</t>
        </is>
      </c>
      <c r="CL1478"/>
      <c r="CM1478"/>
    </row>
    <row r="1479" ht="25.5" customHeight="1">
      <c r="A1479" t="inlineStr">
        <is>
          <t>4269196</t>
        </is>
      </c>
      <c r="B1479" s="2"/>
      <c r="C1479"/>
      <c r="D1479" s="3">
        <v>46122.72509259259</v>
      </c>
      <c r="E1479" t="inlineStr">
        <is>
          <t>Q2-W02</t>
        </is>
      </c>
      <c r="F1479" t="inlineStr">
        <is>
          <t>Derek Lim</t>
        </is>
      </c>
      <c r="G1479" t="inlineStr">
        <is>
          <t>Lead</t>
        </is>
      </c>
      <c r="H1479" s="2" t="str">
        <f>=HYPERLINK("https://upbox.ajobthing.my/leads/4269196", "https://upbox.ajobthing.my/leads/4269196")</f>
        <v>https://upbox.ajobthing.my/leads/4269196</v>
      </c>
      <c r="I1479" t="inlineStr">
        <is>
          <t>Seekly</t>
        </is>
      </c>
      <c r="J1479" t="inlineStr">
        <is>
          <t>Dolphin</t>
        </is>
      </c>
      <c r="K1479" t="inlineStr">
        <is>
          <t>Derek Lim</t>
        </is>
      </c>
      <c r="L1479" s="4"/>
      <c r="M1479" s="4">
        <v>46122.72553240741</v>
      </c>
      <c r="N1479"/>
      <c r="O1479">
        <v>6048</v>
      </c>
      <c r="P1479" s="4"/>
      <c r="Q1479" s="4"/>
      <c r="R1479"/>
      <c r="S1479"/>
      <c r="T1479" s="4"/>
      <c r="U1479" s="4"/>
      <c r="V1479"/>
      <c r="W1479"/>
      <c r="X1479"/>
      <c r="Y1479" t="inlineStr">
        <is>
          <t>Pending Appointment</t>
        </is>
      </c>
      <c r="Z1479" t="inlineStr">
        <is>
          <t>Hiring Now</t>
        </is>
      </c>
      <c r="AA1479">
        <v>3</v>
      </c>
      <c r="AB1479" t="inlineStr">
        <is>
          <t>No Appointment Made</t>
        </is>
      </c>
      <c r="AC1479"/>
      <c r="AD1479" t="inlineStr">
        <is>
          <t>junior it engineer - 2, product manager - 1</t>
        </is>
      </c>
      <c r="AE1479"/>
      <c r="AF1479">
        <v>0</v>
      </c>
      <c r="AG1479" s="4"/>
      <c r="AH1479" s="4"/>
      <c r="AI1479">
        <v>0</v>
      </c>
      <c r="AJ1479">
        <v>1</v>
      </c>
      <c r="AK1479" t="inlineStr">
        <is>
          <t>No, I don't need at all</t>
        </is>
      </c>
      <c r="AL1479">
        <v>0</v>
      </c>
      <c r="AM1479" t="inlineStr">
        <is>
          <t>No, I don't need at all</t>
        </is>
      </c>
      <c r="AN1479"/>
      <c r="AO1479" t="inlineStr">
        <is>
          <t>No, I don't need at all</t>
        </is>
      </c>
      <c r="AP1479" t="inlineStr">
        <is>
          <t>Once a year (25%)</t>
        </is>
      </c>
      <c r="AQ1479">
        <v>3</v>
      </c>
      <c r="AR1479" t="inlineStr">
        <is>
          <t>Free Job Portal</t>
        </is>
      </c>
      <c r="AS1479" t="inlineStr">
        <is>
          <t>- Headcount: 3
- Hiring Job Details: 2 junior it engineer, 1 product manager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is>
      </c>
      <c r="AT1479">
        <v>105</v>
      </c>
      <c r="AU1479" t="inlineStr">
        <is>
          <t>1.05</t>
        </is>
      </c>
      <c r="AV1479" t="inlineStr">
        <is>
          <t>15</t>
        </is>
      </c>
      <c r="AW1479" t="inlineStr">
        <is>
          <t>0</t>
        </is>
      </c>
      <c r="AX1479" t="inlineStr">
        <is>
          <t>Not Qualified</t>
        </is>
      </c>
      <c r="AY1479" s="4"/>
      <c r="AZ1479"/>
      <c r="BA1479"/>
      <c r="BB1479"/>
      <c r="BC1479"/>
      <c r="BD1479" s="4"/>
      <c r="BE1479"/>
      <c r="BF1479"/>
      <c r="BG1479" t="inlineStr">
        <is>
          <t>Reschedule</t>
        </is>
      </c>
      <c r="BH1479" t="inlineStr">
        <is>
          <t>Edward Hoo</t>
        </is>
      </c>
      <c r="BI1479"/>
      <c r="BJ1479" s="4">
        <v>46144.75578703704</v>
      </c>
      <c r="BK1479" s="4">
        <v>46122.58980324074</v>
      </c>
      <c r="BL1479" t="inlineStr">
        <is>
          <t>0.0</t>
        </is>
      </c>
      <c r="BM1479" t="inlineStr">
        <is>
          <t>0.0</t>
        </is>
      </c>
      <c r="BN1479"/>
      <c r="BO1479" s="4"/>
      <c r="BP1479">
        <v>166560</v>
      </c>
      <c r="BQ1479"/>
      <c r="BR1479"/>
      <c r="BS1479"/>
      <c r="BT1479"/>
      <c r="BU1479"/>
      <c r="BV1479"/>
      <c r="BW1479"/>
      <c r="BX1479"/>
      <c r="BY1479"/>
      <c r="BZ1479" s="4"/>
      <c r="CA1479"/>
      <c r="CB1479"/>
      <c r="CC1479" s="4"/>
      <c r="CD1479" t="inlineStr">
        <is>
          <t>20</t>
        </is>
      </c>
      <c r="CE1479" t="inlineStr">
        <is>
          <t>0</t>
        </is>
      </c>
      <c r="CF1479" t="inlineStr">
        <is>
          <t>Q2-W02</t>
        </is>
      </c>
      <c r="CG1479"/>
      <c r="CH1479"/>
      <c r="CI1479"/>
      <c r="CJ1479" t="inlineStr">
        <is>
          <t>No Paid</t>
        </is>
      </c>
      <c r="CK1479" t="inlineStr">
        <is>
          <t>Not Eligible</t>
        </is>
      </c>
      <c r="CL1479"/>
      <c r="CM1479"/>
    </row>
    <row r="1480" ht="25.5" customHeight="1">
      <c r="A1480" t="inlineStr">
        <is>
          <t>181373</t>
        </is>
      </c>
      <c r="B1480" s="2"/>
      <c r="C1480"/>
      <c r="D1480" s="3">
        <v>46122.729791666665</v>
      </c>
      <c r="E1480" t="inlineStr">
        <is>
          <t>Q2-W02</t>
        </is>
      </c>
      <c r="F1480" t="inlineStr">
        <is>
          <t>Alan KY</t>
        </is>
      </c>
      <c r="G1480" t="inlineStr">
        <is>
          <t>Customer</t>
        </is>
      </c>
      <c r="H1480" s="2" t="str">
        <f>=HYPERLINK("https://upbox.ajobthing.my/customer/181373", "https://upbox.ajobthing.my/customer/181373")</f>
        <v>https://upbox.ajobthing.my/customer/181373</v>
      </c>
      <c r="I1480" t="inlineStr">
        <is>
          <t>Rasa Sayang Pet Mart</t>
        </is>
      </c>
      <c r="J1480" t="inlineStr">
        <is>
          <t>Dolphin</t>
        </is>
      </c>
      <c r="K1480" t="inlineStr">
        <is>
          <t>Alan KY</t>
        </is>
      </c>
      <c r="L1480" s="4"/>
      <c r="M1480" s="4">
        <v>46122.7253587963</v>
      </c>
      <c r="N1480"/>
      <c r="O1480">
        <v>4968</v>
      </c>
      <c r="P1480" s="4"/>
      <c r="Q1480" s="4"/>
      <c r="R1480"/>
      <c r="S1480"/>
      <c r="T1480" s="4"/>
      <c r="U1480" s="4"/>
      <c r="V1480"/>
      <c r="W1480"/>
      <c r="X1480"/>
      <c r="Y1480" t="inlineStr">
        <is>
          <t>Pending Appointment</t>
        </is>
      </c>
      <c r="Z1480" t="inlineStr">
        <is>
          <t>Hiring Now</t>
        </is>
      </c>
      <c r="AA1480">
        <v>4</v>
      </c>
      <c r="AB1480" t="inlineStr">
        <is>
          <t>No Appointment Made</t>
        </is>
      </c>
      <c r="AC1480"/>
      <c r="AD1480" t="inlineStr">
        <is>
          <t>1 shop supervisor, 2 assistant shop supervisor 
retail assistant (frequent)</t>
        </is>
      </c>
      <c r="AE1480"/>
      <c r="AF1480"/>
      <c r="AG1480" s="4"/>
      <c r="AH1480" s="4"/>
      <c r="AI1480"/>
      <c r="AJ1480">
        <v>12</v>
      </c>
      <c r="AK1480" t="inlineStr">
        <is>
          <t>No, I don't need at all</t>
        </is>
      </c>
      <c r="AL1480"/>
      <c r="AM1480" t="inlineStr">
        <is>
          <t>No, I don't need at all</t>
        </is>
      </c>
      <c r="AN1480"/>
      <c r="AO1480" t="inlineStr">
        <is>
          <t>No, I don't need at all</t>
        </is>
      </c>
      <c r="AP1480" t="inlineStr">
        <is>
          <t>Once per quarter (75%)</t>
        </is>
      </c>
      <c r="AQ1480"/>
      <c r="AR1480" t="inlineStr">
        <is>
          <t>Free Job Portal</t>
        </is>
      </c>
      <c r="AS1480" t="inlineStr">
        <is>
          <t>- Headcount: 4.
- Hiring Job Details: 1 shop supervisor, 2 assistant shop supervisor, frequent retail assistant
- Hiring Urgency: Hiring Now
- Number of outlets: 12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1480">
        <v>95</v>
      </c>
      <c r="AU1480" t="inlineStr">
        <is>
          <t>0.95</t>
        </is>
      </c>
      <c r="AV1480" t="inlineStr">
        <is>
          <t>5</t>
        </is>
      </c>
      <c r="AW1480" t="inlineStr">
        <is>
          <t>0</t>
        </is>
      </c>
      <c r="AX1480" t="inlineStr">
        <is>
          <t>Not Qualified</t>
        </is>
      </c>
      <c r="AY1480" s="4"/>
      <c r="AZ1480"/>
      <c r="BA1480"/>
      <c r="BB1480"/>
      <c r="BC1480" t="inlineStr">
        <is>
          <t>On hold first</t>
        </is>
      </c>
      <c r="BD1480" s="4">
        <v>46136.57929398148</v>
      </c>
      <c r="BE1480"/>
      <c r="BF1480"/>
      <c r="BG1480" t="inlineStr">
        <is>
          <t>Reschedule</t>
        </is>
      </c>
      <c r="BH1480" t="inlineStr">
        <is>
          <t>Reagen</t>
        </is>
      </c>
      <c r="BI1480" t="inlineStr">
        <is>
          <t>Retail / Merchandise</t>
        </is>
      </c>
      <c r="BJ1480" s="4">
        <v>46144.751863425925</v>
      </c>
      <c r="BK1480" s="4">
        <v>45512.40961805556</v>
      </c>
      <c r="BL1480" t="inlineStr">
        <is>
          <t>0.0</t>
        </is>
      </c>
      <c r="BM1480" t="inlineStr">
        <is>
          <t>0.0</t>
        </is>
      </c>
      <c r="BN1480" t="inlineStr">
        <is>
          <t>View Company Page</t>
        </is>
      </c>
      <c r="BO1480" s="4">
        <v>45512.41378472222</v>
      </c>
      <c r="BP1480">
        <v>166559</v>
      </c>
      <c r="BQ1480"/>
      <c r="BR1480"/>
      <c r="BS1480"/>
      <c r="BT1480"/>
      <c r="BU1480"/>
      <c r="BV1480">
        <v>2726343</v>
      </c>
      <c r="BW1480" t="inlineStr">
        <is>
          <t>Follow Up : Budget Concern</t>
        </is>
      </c>
      <c r="BX1480"/>
      <c r="BY1480"/>
      <c r="BZ1480" s="4"/>
      <c r="CA1480"/>
      <c r="CB1480"/>
      <c r="CC1480" s="4"/>
      <c r="CD1480" t="inlineStr">
        <is>
          <t>5</t>
        </is>
      </c>
      <c r="CE1480" t="inlineStr">
        <is>
          <t>0</t>
        </is>
      </c>
      <c r="CF1480" t="inlineStr">
        <is>
          <t>Q2-W02</t>
        </is>
      </c>
      <c r="CG1480"/>
      <c r="CH1480"/>
      <c r="CI1480"/>
      <c r="CJ1480" t="inlineStr">
        <is>
          <t>No Paid</t>
        </is>
      </c>
      <c r="CK1480" t="inlineStr">
        <is>
          <t>Not Eligible</t>
        </is>
      </c>
      <c r="CL1480"/>
      <c r="CM1480"/>
    </row>
    <row r="1481" ht="25.5" customHeight="1">
      <c r="A1481" t="inlineStr">
        <is>
          <t>203020</t>
        </is>
      </c>
      <c r="B1481" s="2"/>
      <c r="C1481"/>
      <c r="D1481" s="3">
        <v>46122.73076388889</v>
      </c>
      <c r="E1481" t="inlineStr">
        <is>
          <t>Q2-W02</t>
        </is>
      </c>
      <c r="F1481" t="inlineStr">
        <is>
          <t>Eugene</t>
        </is>
      </c>
      <c r="G1481" t="inlineStr">
        <is>
          <t>Customer</t>
        </is>
      </c>
      <c r="H1481" s="2" t="str">
        <f>=HYPERLINK("https://upbox.ajobthing.my/customer/203020", "https://upbox.ajobthing.my/customer/203020")</f>
        <v>https://upbox.ajobthing.my/customer/203020</v>
      </c>
      <c r="I1481" t="inlineStr">
        <is>
          <t>Bls</t>
        </is>
      </c>
      <c r="J1481" t="inlineStr">
        <is>
          <t>Dolphin</t>
        </is>
      </c>
      <c r="K1481" t="inlineStr">
        <is>
          <t>Eugene</t>
        </is>
      </c>
      <c r="L1481" s="4"/>
      <c r="M1481" s="4">
        <v>46122.729733796295</v>
      </c>
      <c r="N1481"/>
      <c r="O1481">
        <v>3888</v>
      </c>
      <c r="P1481" s="4"/>
      <c r="Q1481" s="4">
        <v>46120.90300925926</v>
      </c>
      <c r="R1481"/>
      <c r="S1481">
        <v>0</v>
      </c>
      <c r="T1481" s="4"/>
      <c r="U1481" s="4"/>
      <c r="V1481"/>
      <c r="W1481"/>
      <c r="X1481"/>
      <c r="Y1481" t="inlineStr">
        <is>
          <t>Pending Appointment</t>
        </is>
      </c>
      <c r="Z1481" t="inlineStr">
        <is>
          <t>Hiring Now</t>
        </is>
      </c>
      <c r="AA1481">
        <v>2</v>
      </c>
      <c r="AB1481" t="inlineStr">
        <is>
          <t>No Appointment Made</t>
        </is>
      </c>
      <c r="AC1481"/>
      <c r="AD1481" t="inlineStr">
        <is>
          <t>2 teachers, based in KL</t>
        </is>
      </c>
      <c r="AE1481"/>
      <c r="AF1481">
        <v>3000</v>
      </c>
      <c r="AG1481" s="4"/>
      <c r="AH1481" s="4"/>
      <c r="AI1481">
        <v>3000</v>
      </c>
      <c r="AJ1481">
        <v>1</v>
      </c>
      <c r="AK1481" t="inlineStr">
        <is>
          <t>No, I don't need at all</t>
        </is>
      </c>
      <c r="AL1481"/>
      <c r="AM1481" t="inlineStr">
        <is>
          <t>No, I don't need at all</t>
        </is>
      </c>
      <c r="AN1481"/>
      <c r="AO1481" t="inlineStr">
        <is>
          <t>No, I don't need at all</t>
        </is>
      </c>
      <c r="AP1481" t="inlineStr">
        <is>
          <t>Twice a year (50%)</t>
        </is>
      </c>
      <c r="AQ1481">
        <v>3</v>
      </c>
      <c r="AR1481" t="inlineStr">
        <is>
          <t>Free Job Portal</t>
        </is>
      </c>
      <c r="AS1481" t="inlineStr">
        <is>
          <t>- Headcount: 2
- Hiring Job Details: 2 teachers, based in KL
- Hiring Urgency: Hiring Now
- Number of outlets: 1
- Have recruiter team: No, I don't need at all
- Number of recruiter in company: 
- Have ATS system: No, I don't need at all
- Have career website: No, I don't need at all
- Current hiring budget: RM3,000
- Whole year budget: RM3,000.00
- Whole year number of vacancies: 3
- Hiring frequency: Twice a year (50%)
- External job portal: Free Job Portal</t>
        </is>
      </c>
      <c r="AT1481">
        <v>115</v>
      </c>
      <c r="AU1481" t="inlineStr">
        <is>
          <t>1.15</t>
        </is>
      </c>
      <c r="AV1481" t="inlineStr">
        <is>
          <t>15</t>
        </is>
      </c>
      <c r="AW1481" t="inlineStr">
        <is>
          <t>0</t>
        </is>
      </c>
      <c r="AX1481" t="inlineStr">
        <is>
          <t>Not Qualified</t>
        </is>
      </c>
      <c r="AY1481" s="4"/>
      <c r="AZ1481"/>
      <c r="BA1481"/>
      <c r="BB1481"/>
      <c r="BC1481" t="inlineStr">
        <is>
          <t>- Headcount: 2
- Hiring Job Details: 2 teachers, based in KL
- Hiring Urgency: Hiring Now
- Number of outlets: 1
- Have recruiter team: No, I don't need at all
- Number of recruiter in company: 
- Have ATS system: No, I don't need at all
- Have career website: No, I don't need at all
- Current hiring budget: RM3,000
- Whole year budget: RM3,000.00
- Whole year number of vacancies: 3
- Hiring frequency: Twice a year (50%)
- External job portal: Free Job Portal</t>
        </is>
      </c>
      <c r="BD1481" s="4">
        <v>46122.750069444446</v>
      </c>
      <c r="BE1481" t="inlineStr">
        <is>
          <t>paid</t>
        </is>
      </c>
      <c r="BF1481"/>
      <c r="BG1481" t="inlineStr">
        <is>
          <t>Reschedule</t>
        </is>
      </c>
      <c r="BH1481" t="inlineStr">
        <is>
          <t>Edward Hoo</t>
        </is>
      </c>
      <c r="BI1481"/>
      <c r="BJ1481" s="4">
        <v>46144.75418981481</v>
      </c>
      <c r="BK1481" s="4">
        <v>46120.90215277778</v>
      </c>
      <c r="BL1481" t="inlineStr">
        <is>
          <t>0.0</t>
        </is>
      </c>
      <c r="BM1481" t="inlineStr">
        <is>
          <t>0.0</t>
        </is>
      </c>
      <c r="BN1481" t="inlineStr">
        <is>
          <t>View Company Page</t>
        </is>
      </c>
      <c r="BO1481" s="4">
        <v>46120.90461805555</v>
      </c>
      <c r="BP1481">
        <v>166574</v>
      </c>
      <c r="BQ1481">
        <v>121129</v>
      </c>
      <c r="BR1481" t="inlineStr">
        <is>
          <t>Proforma</t>
        </is>
      </c>
      <c r="BS1481" t="inlineStr">
        <is>
          <t>Free Part-Time Job</t>
        </is>
      </c>
      <c r="BT1481"/>
      <c r="BU1481"/>
      <c r="BV1481">
        <v>2699255</v>
      </c>
      <c r="BW1481" t="inlineStr">
        <is>
          <t>Customer Inquiry</t>
        </is>
      </c>
      <c r="BX1481"/>
      <c r="BY1481"/>
      <c r="BZ1481" s="4"/>
      <c r="CA1481"/>
      <c r="CB1481"/>
      <c r="CC1481" s="4"/>
      <c r="CD1481" t="inlineStr">
        <is>
          <t>20</t>
        </is>
      </c>
      <c r="CE1481" t="inlineStr">
        <is>
          <t>0</t>
        </is>
      </c>
      <c r="CF1481" t="inlineStr">
        <is>
          <t>Q2-W02</t>
        </is>
      </c>
      <c r="CG1481" t="inlineStr">
        <is>
          <t>Q2-W01</t>
        </is>
      </c>
      <c r="CH1481"/>
      <c r="CI1481"/>
      <c r="CJ1481" t="inlineStr">
        <is>
          <t>No Paid</t>
        </is>
      </c>
      <c r="CK1481" t="inlineStr">
        <is>
          <t>Not Eligible</t>
        </is>
      </c>
      <c r="CL1481"/>
      <c r="CM1481"/>
    </row>
    <row r="1482" ht="25.5" customHeight="1">
      <c r="A1482" t="inlineStr">
        <is>
          <t>203107</t>
        </is>
      </c>
      <c r="B1482" s="2"/>
      <c r="C1482"/>
      <c r="D1482" s="3">
        <v>46122.732627314814</v>
      </c>
      <c r="E1482" t="inlineStr">
        <is>
          <t>Q2-W02</t>
        </is>
      </c>
      <c r="F1482" t="inlineStr">
        <is>
          <t>Xin Quan</t>
        </is>
      </c>
      <c r="G1482" t="inlineStr">
        <is>
          <t>Customer</t>
        </is>
      </c>
      <c r="H1482" s="2" t="str">
        <f>=HYPERLINK("https://upbox.ajobthing.my/customer/203107", "https://upbox.ajobthing.my/customer/203107")</f>
        <v>https://upbox.ajobthing.my/customer/203107</v>
      </c>
      <c r="I1482" t="inlineStr">
        <is>
          <t>Security Guard Services</t>
        </is>
      </c>
      <c r="J1482" t="inlineStr">
        <is>
          <t>Dolphin</t>
        </is>
      </c>
      <c r="K1482" t="inlineStr">
        <is>
          <t>Xin Quan</t>
        </is>
      </c>
      <c r="L1482" s="4"/>
      <c r="M1482" s="4">
        <v>46132.74361111111</v>
      </c>
      <c r="N1482"/>
      <c r="O1482">
        <v>11448</v>
      </c>
      <c r="P1482" s="4"/>
      <c r="Q1482" s="4"/>
      <c r="R1482"/>
      <c r="S1482"/>
      <c r="T1482" s="4"/>
      <c r="U1482" s="4"/>
      <c r="V1482"/>
      <c r="W1482"/>
      <c r="X1482"/>
      <c r="Y1482" t="inlineStr">
        <is>
          <t>Pending Appointment</t>
        </is>
      </c>
      <c r="Z1482" t="inlineStr">
        <is>
          <t>Hiring Now</t>
        </is>
      </c>
      <c r="AA1482">
        <v>2</v>
      </c>
      <c r="AB1482" t="inlineStr">
        <is>
          <t>No Appointment Made</t>
        </is>
      </c>
      <c r="AC1482"/>
      <c r="AD1482" t="inlineStr">
        <is>
          <t>2 Security , Base in KL</t>
        </is>
      </c>
      <c r="AE1482"/>
      <c r="AF1482">
        <v>4000</v>
      </c>
      <c r="AG1482" s="4"/>
      <c r="AH1482" s="4"/>
      <c r="AI1482">
        <v>48000</v>
      </c>
      <c r="AJ1482">
        <v>1</v>
      </c>
      <c r="AK1482"/>
      <c r="AL1482"/>
      <c r="AM1482"/>
      <c r="AN1482"/>
      <c r="AO1482"/>
      <c r="AP1482"/>
      <c r="AQ1482">
        <v>2</v>
      </c>
      <c r="AR1482"/>
      <c r="AS1482" t="inlineStr">
        <is>
          <t>- Headcount: 2
- Hiring Job Details: 2 Security,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1482">
        <v>95</v>
      </c>
      <c r="AU1482" t="inlineStr">
        <is>
          <t>0.95</t>
        </is>
      </c>
      <c r="AV1482" t="inlineStr">
        <is>
          <t>15</t>
        </is>
      </c>
      <c r="AW1482" t="inlineStr">
        <is>
          <t>0</t>
        </is>
      </c>
      <c r="AX1482" t="inlineStr">
        <is>
          <t>Not Qualified</t>
        </is>
      </c>
      <c r="AY1482" s="4"/>
      <c r="AZ1482"/>
      <c r="BA1482"/>
      <c r="BB1482"/>
      <c r="BC1482" t="inlineStr">
        <is>
          <t>NA</t>
        </is>
      </c>
      <c r="BD1482" s="4">
        <v>46140.57697916667</v>
      </c>
      <c r="BE1482"/>
      <c r="BF1482"/>
      <c r="BG1482" t="inlineStr">
        <is>
          <t>Reschedule</t>
        </is>
      </c>
      <c r="BH1482" t="inlineStr">
        <is>
          <t>Edward Hoo</t>
        </is>
      </c>
      <c r="BI1482"/>
      <c r="BJ1482" s="4">
        <v>46144.754212962966</v>
      </c>
      <c r="BK1482" s="4">
        <v>46122.73112268518</v>
      </c>
      <c r="BL1482" t="inlineStr">
        <is>
          <t>0.0</t>
        </is>
      </c>
      <c r="BM1482" t="inlineStr">
        <is>
          <t>0.0</t>
        </is>
      </c>
      <c r="BN1482"/>
      <c r="BO1482" s="4"/>
      <c r="BP1482">
        <v>167911</v>
      </c>
      <c r="BQ1482"/>
      <c r="BR1482"/>
      <c r="BS1482"/>
      <c r="BT1482"/>
      <c r="BU1482"/>
      <c r="BV1482">
        <v>2732628</v>
      </c>
      <c r="BW1482" t="inlineStr">
        <is>
          <t>No Answer : Voicemail - WA sent to customer</t>
        </is>
      </c>
      <c r="BX1482"/>
      <c r="BY1482"/>
      <c r="BZ1482" s="4"/>
      <c r="CA1482"/>
      <c r="CB1482"/>
      <c r="CC1482" s="4"/>
      <c r="CD1482" t="inlineStr">
        <is>
          <t>20</t>
        </is>
      </c>
      <c r="CE1482" t="inlineStr">
        <is>
          <t>0</t>
        </is>
      </c>
      <c r="CF1482" t="inlineStr">
        <is>
          <t>Q2-W03</t>
        </is>
      </c>
      <c r="CG1482"/>
      <c r="CH1482"/>
      <c r="CI1482"/>
      <c r="CJ1482" t="inlineStr">
        <is>
          <t>No Paid</t>
        </is>
      </c>
      <c r="CK1482" t="inlineStr">
        <is>
          <t>Not Eligible</t>
        </is>
      </c>
      <c r="CL1482"/>
      <c r="CM1482"/>
    </row>
    <row r="1483" ht="25.5" customHeight="1">
      <c r="A1483" t="inlineStr">
        <is>
          <t>4269911</t>
        </is>
      </c>
      <c r="B1483" s="2"/>
      <c r="C1483"/>
      <c r="D1483" s="3">
        <v>46122.738217592596</v>
      </c>
      <c r="E1483" t="inlineStr">
        <is>
          <t>Q2-W02</t>
        </is>
      </c>
      <c r="F1483" t="inlineStr">
        <is>
          <t>Carmen</t>
        </is>
      </c>
      <c r="G1483" t="inlineStr">
        <is>
          <t>Lead</t>
        </is>
      </c>
      <c r="H1483" s="2" t="str">
        <f>=HYPERLINK("https://upbox.ajobthing.my/leads/4269911", "https://upbox.ajobthing.my/leads/4269911")</f>
        <v>https://upbox.ajobthing.my/leads/4269911</v>
      </c>
      <c r="I1483" t="inlineStr">
        <is>
          <t>KORLICO GREEN POWER (MALAYSIA) SDN BHD</t>
        </is>
      </c>
      <c r="J1483" t="inlineStr">
        <is>
          <t>Dolphin</t>
        </is>
      </c>
      <c r="K1483" t="inlineStr">
        <is>
          <t>Carmen</t>
        </is>
      </c>
      <c r="L1483" s="4"/>
      <c r="M1483" s="4">
        <v>46122.73908564815</v>
      </c>
      <c r="N1483"/>
      <c r="O1483">
        <v>6048</v>
      </c>
      <c r="P1483" s="4"/>
      <c r="Q1483" s="4"/>
      <c r="R1483"/>
      <c r="S1483"/>
      <c r="T1483" s="4"/>
      <c r="U1483" s="4"/>
      <c r="V1483"/>
      <c r="W1483"/>
      <c r="X1483"/>
      <c r="Y1483" t="inlineStr">
        <is>
          <t>Pending Appointment</t>
        </is>
      </c>
      <c r="Z1483" t="inlineStr">
        <is>
          <t>Continuous Hiring</t>
        </is>
      </c>
      <c r="AA1483">
        <v>3</v>
      </c>
      <c r="AB1483" t="inlineStr">
        <is>
          <t>No Appointment Made</t>
        </is>
      </c>
      <c r="AC1483"/>
      <c r="AD1483" t="inlineStr">
        <is>
          <t xml:space="preserve">1 tester ; 1 safety supervisor ; 1 mechanic ; </t>
        </is>
      </c>
      <c r="AE1483"/>
      <c r="AF1483">
        <v>1000</v>
      </c>
      <c r="AG1483" s="4"/>
      <c r="AH1483" s="4"/>
      <c r="AI1483"/>
      <c r="AJ1483"/>
      <c r="AK1483"/>
      <c r="AL1483"/>
      <c r="AM1483"/>
      <c r="AN1483"/>
      <c r="AO1483"/>
      <c r="AP1483"/>
      <c r="AQ1483"/>
      <c r="AR1483"/>
      <c r="AS1483" t="inlineStr">
        <is>
          <t>- Headcount: 3
- Hiring Job Details: 1 tester, 1 safety supervisor, 1 mechanic
- Hiring Urgency: Continuous Hiring
- Number of outlets: Not specified
- Have recruiter team: Not specified
- Number of recruiter in company: Not specified
- Have ATS system: Not specified
- Have career website: Not specified
- Current hiring budget: RM1,000.00
- Whole year budget: Not specified
- Whole year number of vacancies: Not specified
- Hiring frequency: Not specified
- External job portal: Not specified</t>
        </is>
      </c>
      <c r="AT1483">
        <v>65</v>
      </c>
      <c r="AU1483" t="inlineStr">
        <is>
          <t>0.65</t>
        </is>
      </c>
      <c r="AV1483" t="inlineStr">
        <is>
          <t>15</t>
        </is>
      </c>
      <c r="AW1483" t="inlineStr">
        <is>
          <t>0</t>
        </is>
      </c>
      <c r="AX1483" t="inlineStr">
        <is>
          <t>Not Qualified</t>
        </is>
      </c>
      <c r="AY1483" s="4"/>
      <c r="AZ1483"/>
      <c r="BA1483"/>
      <c r="BB1483"/>
      <c r="BC1483"/>
      <c r="BD1483" s="4"/>
      <c r="BE1483"/>
      <c r="BF1483"/>
      <c r="BG1483" t="inlineStr">
        <is>
          <t>Reschedule</t>
        </is>
      </c>
      <c r="BH1483" t="inlineStr">
        <is>
          <t>Reagen</t>
        </is>
      </c>
      <c r="BI1483"/>
      <c r="BJ1483" s="4">
        <v>46144.75581018518</v>
      </c>
      <c r="BK1483" s="4">
        <v>46122.708020833335</v>
      </c>
      <c r="BL1483" t="inlineStr">
        <is>
          <t>0.0</t>
        </is>
      </c>
      <c r="BM1483" t="inlineStr">
        <is>
          <t>0.0</t>
        </is>
      </c>
      <c r="BN1483"/>
      <c r="BO1483" s="4"/>
      <c r="BP1483">
        <v>166589</v>
      </c>
      <c r="BQ1483"/>
      <c r="BR1483"/>
      <c r="BS1483"/>
      <c r="BT1483"/>
      <c r="BU1483"/>
      <c r="BV1483"/>
      <c r="BW1483"/>
      <c r="BX1483"/>
      <c r="BY1483"/>
      <c r="BZ1483" s="4"/>
      <c r="CA1483"/>
      <c r="CB1483"/>
      <c r="CC1483" s="4"/>
      <c r="CD1483" t="inlineStr">
        <is>
          <t>20</t>
        </is>
      </c>
      <c r="CE1483" t="inlineStr">
        <is>
          <t>0</t>
        </is>
      </c>
      <c r="CF1483" t="inlineStr">
        <is>
          <t>Q2-W02</t>
        </is>
      </c>
      <c r="CG1483"/>
      <c r="CH1483"/>
      <c r="CI1483"/>
      <c r="CJ1483" t="inlineStr">
        <is>
          <t>No Paid</t>
        </is>
      </c>
      <c r="CK1483" t="inlineStr">
        <is>
          <t>Not Eligible</t>
        </is>
      </c>
      <c r="CL1483"/>
      <c r="CM1483"/>
    </row>
    <row r="1484" ht="25.5" customHeight="1">
      <c r="A1484" t="inlineStr">
        <is>
          <t>180183</t>
        </is>
      </c>
      <c r="B1484" s="2"/>
      <c r="C1484"/>
      <c r="D1484" s="3">
        <v>46122.73824074074</v>
      </c>
      <c r="E1484" t="inlineStr">
        <is>
          <t>Q2-W02</t>
        </is>
      </c>
      <c r="F1484" t="inlineStr">
        <is>
          <t>Dickson</t>
        </is>
      </c>
      <c r="G1484" t="inlineStr">
        <is>
          <t>Customer</t>
        </is>
      </c>
      <c r="H1484" s="2" t="str">
        <f>=HYPERLINK("https://upbox.ajobthing.my/customer/180183", "https://upbox.ajobthing.my/customer/180183")</f>
        <v>https://upbox.ajobthing.my/customer/180183</v>
      </c>
      <c r="I1484" t="inlineStr">
        <is>
          <t>BLH Ecoenergy Sdn. Bhd.</t>
        </is>
      </c>
      <c r="J1484" t="inlineStr">
        <is>
          <t>Dolphin</t>
        </is>
      </c>
      <c r="K1484" t="inlineStr">
        <is>
          <t>Dickson</t>
        </is>
      </c>
      <c r="L1484" s="4"/>
      <c r="M1484" s="4">
        <v>46127.658055555556</v>
      </c>
      <c r="N1484"/>
      <c r="O1484">
        <v>3888</v>
      </c>
      <c r="P1484" s="4"/>
      <c r="Q1484" s="4">
        <v>45751.72630787037</v>
      </c>
      <c r="R1484"/>
      <c r="S1484">
        <v>1080</v>
      </c>
      <c r="T1484" s="4">
        <v>45751.72630787037</v>
      </c>
      <c r="U1484" s="4"/>
      <c r="V1484"/>
      <c r="W1484">
        <v>1080</v>
      </c>
      <c r="X1484"/>
      <c r="Y1484" t="inlineStr">
        <is>
          <t>Pending Appointment</t>
        </is>
      </c>
      <c r="Z1484" t="inlineStr">
        <is>
          <t>Hiring Now</t>
        </is>
      </c>
      <c r="AA1484">
        <v>4</v>
      </c>
      <c r="AB1484" t="inlineStr">
        <is>
          <t>No Appointment Made</t>
        </is>
      </c>
      <c r="AC1484"/>
      <c r="AD1484" t="inlineStr">
        <is>
          <t>1 projector supervisor, 2 sales executive, 1 technical admin</t>
        </is>
      </c>
      <c r="AE1484"/>
      <c r="AF1484"/>
      <c r="AG1484" s="4"/>
      <c r="AH1484" s="4"/>
      <c r="AI1484"/>
      <c r="AJ1484"/>
      <c r="AK1484" t="inlineStr">
        <is>
          <t>No, I don't need at all</t>
        </is>
      </c>
      <c r="AL1484"/>
      <c r="AM1484" t="inlineStr">
        <is>
          <t>No, I don't need at all</t>
        </is>
      </c>
      <c r="AN1484"/>
      <c r="AO1484" t="inlineStr">
        <is>
          <t>No, I don't need at all</t>
        </is>
      </c>
      <c r="AP1484" t="inlineStr">
        <is>
          <t>Once per quarter (75%)</t>
        </is>
      </c>
      <c r="AQ1484"/>
      <c r="AR1484"/>
      <c r="AS1484" t="inlineStr">
        <is>
          <t>- Headcount: 4
- Hiring Job Details: 1 projector supervisor, 2 sales executive, 1 technical admin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AT1484">
        <v>90</v>
      </c>
      <c r="AU1484" t="inlineStr">
        <is>
          <t>0.90</t>
        </is>
      </c>
      <c r="AV1484" t="inlineStr">
        <is>
          <t>5</t>
        </is>
      </c>
      <c r="AW1484" t="inlineStr">
        <is>
          <t>0</t>
        </is>
      </c>
      <c r="AX1484" t="inlineStr">
        <is>
          <t>Not Qualified</t>
        </is>
      </c>
      <c r="AY1484" s="4"/>
      <c r="AZ1484"/>
      <c r="BA1484"/>
      <c r="BB1484"/>
      <c r="BC1484" t="inlineStr">
        <is>
          <t>reluctant based on past exp
will consider again</t>
        </is>
      </c>
      <c r="BD1484" s="4">
        <v>46129.44131944444</v>
      </c>
      <c r="BE1484" t="inlineStr">
        <is>
          <t>paid</t>
        </is>
      </c>
      <c r="BF1484"/>
      <c r="BG1484" t="inlineStr">
        <is>
          <t>Reschedule</t>
        </is>
      </c>
      <c r="BH1484" t="inlineStr">
        <is>
          <t>Edward Hoo</t>
        </is>
      </c>
      <c r="BI1484"/>
      <c r="BJ1484" s="4">
        <v>46144.75181712963</v>
      </c>
      <c r="BK1484" s="4">
        <v>45477.60104166667</v>
      </c>
      <c r="BL1484" t="inlineStr">
        <is>
          <t>0.0</t>
        </is>
      </c>
      <c r="BM1484" t="inlineStr">
        <is>
          <t>300.0</t>
        </is>
      </c>
      <c r="BN1484" t="inlineStr">
        <is>
          <t>View Create Job Page V4</t>
        </is>
      </c>
      <c r="BO1484" s="4">
        <v>46140.68133101852</v>
      </c>
      <c r="BP1484">
        <v>167225</v>
      </c>
      <c r="BQ1484">
        <v>78173</v>
      </c>
      <c r="BR1484" t="inlineStr">
        <is>
          <t>Online</t>
        </is>
      </c>
      <c r="BS1484"/>
      <c r="BT1484">
        <v>78173</v>
      </c>
      <c r="BU1484"/>
      <c r="BV1484">
        <v>2711225</v>
      </c>
      <c r="BW1484" t="inlineStr">
        <is>
          <t>Follow Up : Budget Concern</t>
        </is>
      </c>
      <c r="BX1484"/>
      <c r="BY1484"/>
      <c r="BZ1484" s="4"/>
      <c r="CA1484"/>
      <c r="CB1484"/>
      <c r="CC1484" s="4"/>
      <c r="CD1484" t="inlineStr">
        <is>
          <t>5</t>
        </is>
      </c>
      <c r="CE1484" t="inlineStr">
        <is>
          <t>0</t>
        </is>
      </c>
      <c r="CF1484" t="inlineStr">
        <is>
          <t>Q2-W02</t>
        </is>
      </c>
      <c r="CG1484"/>
      <c r="CH1484"/>
      <c r="CI1484"/>
      <c r="CJ1484" t="inlineStr">
        <is>
          <t>Paid</t>
        </is>
      </c>
      <c r="CK1484" t="inlineStr">
        <is>
          <t>Not Eligible</t>
        </is>
      </c>
      <c r="CL1484"/>
      <c r="CM1484"/>
    </row>
    <row r="1485" ht="25.5" customHeight="1">
      <c r="A1485" t="inlineStr">
        <is>
          <t>203107</t>
        </is>
      </c>
      <c r="B1485" s="2"/>
      <c r="C1485"/>
      <c r="D1485" s="3">
        <v>46122.741736111115</v>
      </c>
      <c r="E1485" t="inlineStr">
        <is>
          <t>Q2-W02</t>
        </is>
      </c>
      <c r="F1485" t="inlineStr">
        <is>
          <t>Xin Quan</t>
        </is>
      </c>
      <c r="G1485" t="inlineStr">
        <is>
          <t>Customer</t>
        </is>
      </c>
      <c r="H1485" s="2" t="str">
        <f>=HYPERLINK("https://upbox.ajobthing.my/customer/203107", "https://upbox.ajobthing.my/customer/203107")</f>
        <v>https://upbox.ajobthing.my/customer/203107</v>
      </c>
      <c r="I1485" t="inlineStr">
        <is>
          <t>Security Guard Services</t>
        </is>
      </c>
      <c r="J1485" t="inlineStr">
        <is>
          <t>Dolphin</t>
        </is>
      </c>
      <c r="K1485" t="inlineStr">
        <is>
          <t>Xin Quan</t>
        </is>
      </c>
      <c r="L1485" s="4"/>
      <c r="M1485" s="4">
        <v>46132.74361111111</v>
      </c>
      <c r="N1485"/>
      <c r="O1485">
        <v>11448</v>
      </c>
      <c r="P1485" s="4"/>
      <c r="Q1485" s="4"/>
      <c r="R1485"/>
      <c r="S1485"/>
      <c r="T1485" s="4"/>
      <c r="U1485" s="4"/>
      <c r="V1485"/>
      <c r="W1485"/>
      <c r="X1485"/>
      <c r="Y1485" t="inlineStr">
        <is>
          <t>Pending Appointment</t>
        </is>
      </c>
      <c r="Z1485" t="inlineStr">
        <is>
          <t>Hiring Now</t>
        </is>
      </c>
      <c r="AA1485">
        <v>1</v>
      </c>
      <c r="AB1485" t="inlineStr">
        <is>
          <t>No Appointment Made</t>
        </is>
      </c>
      <c r="AC1485"/>
      <c r="AD1485" t="inlineStr">
        <is>
          <t>1 Staff , Base in KL</t>
        </is>
      </c>
      <c r="AE1485"/>
      <c r="AF1485">
        <v>2000</v>
      </c>
      <c r="AG1485" s="4"/>
      <c r="AH1485" s="4"/>
      <c r="AI1485">
        <v>24000</v>
      </c>
      <c r="AJ1485">
        <v>1</v>
      </c>
      <c r="AK1485"/>
      <c r="AL1485"/>
      <c r="AM1485"/>
      <c r="AN1485"/>
      <c r="AO1485"/>
      <c r="AP1485"/>
      <c r="AQ1485">
        <v>1</v>
      </c>
      <c r="AR1485"/>
      <c r="AS1485" t="inlineStr">
        <is>
          <t>- Headcount: 1
- Hiring Job Details: 1 Staff,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485">
        <v>80</v>
      </c>
      <c r="AU1485" t="inlineStr">
        <is>
          <t>0.80</t>
        </is>
      </c>
      <c r="AV1485" t="inlineStr">
        <is>
          <t>15</t>
        </is>
      </c>
      <c r="AW1485" t="inlineStr">
        <is>
          <t>0</t>
        </is>
      </c>
      <c r="AX1485" t="inlineStr">
        <is>
          <t>Not Qualified</t>
        </is>
      </c>
      <c r="AY1485" s="4"/>
      <c r="AZ1485"/>
      <c r="BA1485"/>
      <c r="BB1485"/>
      <c r="BC1485" t="inlineStr">
        <is>
          <t>NA</t>
        </is>
      </c>
      <c r="BD1485" s="4">
        <v>46140.57697916667</v>
      </c>
      <c r="BE1485"/>
      <c r="BF1485"/>
      <c r="BG1485" t="inlineStr">
        <is>
          <t>Reschedule</t>
        </is>
      </c>
      <c r="BH1485" t="inlineStr">
        <is>
          <t>Edward Hoo</t>
        </is>
      </c>
      <c r="BI1485"/>
      <c r="BJ1485" s="4">
        <v>46144.754212962966</v>
      </c>
      <c r="BK1485" s="4">
        <v>46122.73112268518</v>
      </c>
      <c r="BL1485" t="inlineStr">
        <is>
          <t>0.0</t>
        </is>
      </c>
      <c r="BM1485" t="inlineStr">
        <is>
          <t>0.0</t>
        </is>
      </c>
      <c r="BN1485"/>
      <c r="BO1485" s="4"/>
      <c r="BP1485">
        <v>167911</v>
      </c>
      <c r="BQ1485"/>
      <c r="BR1485"/>
      <c r="BS1485"/>
      <c r="BT1485"/>
      <c r="BU1485"/>
      <c r="BV1485">
        <v>2732628</v>
      </c>
      <c r="BW1485" t="inlineStr">
        <is>
          <t>No Answer : Voicemail - WA sent to customer</t>
        </is>
      </c>
      <c r="BX1485"/>
      <c r="BY1485"/>
      <c r="BZ1485" s="4"/>
      <c r="CA1485"/>
      <c r="CB1485"/>
      <c r="CC1485" s="4"/>
      <c r="CD1485" t="inlineStr">
        <is>
          <t>20</t>
        </is>
      </c>
      <c r="CE1485" t="inlineStr">
        <is>
          <t>0</t>
        </is>
      </c>
      <c r="CF1485" t="inlineStr">
        <is>
          <t>Q2-W03</t>
        </is>
      </c>
      <c r="CG1485"/>
      <c r="CH1485"/>
      <c r="CI1485"/>
      <c r="CJ1485" t="inlineStr">
        <is>
          <t>No Paid</t>
        </is>
      </c>
      <c r="CK1485" t="inlineStr">
        <is>
          <t>Not Eligible</t>
        </is>
      </c>
      <c r="CL1485"/>
      <c r="CM1485"/>
    </row>
    <row r="1486" ht="25.5" customHeight="1">
      <c r="A1486" t="inlineStr">
        <is>
          <t>6841</t>
        </is>
      </c>
      <c r="B1486" s="2"/>
      <c r="C1486"/>
      <c r="D1486" s="3">
        <v>46122.74230324074</v>
      </c>
      <c r="E1486" t="inlineStr">
        <is>
          <t>Q2-W02</t>
        </is>
      </c>
      <c r="F1486" t="inlineStr">
        <is>
          <t>Luqman</t>
        </is>
      </c>
      <c r="G1486" t="inlineStr">
        <is>
          <t>Customer</t>
        </is>
      </c>
      <c r="H1486" s="2" t="str">
        <f>=HYPERLINK("https://upbox.ajobthing.my/customer/6841", "https://upbox.ajobthing.my/customer/6841")</f>
        <v>https://upbox.ajobthing.my/customer/6841</v>
      </c>
      <c r="I1486" t="inlineStr">
        <is>
          <t>K T Tan &amp; Associates</t>
        </is>
      </c>
      <c r="J1486" t="inlineStr">
        <is>
          <t>Dolphin</t>
        </is>
      </c>
      <c r="K1486" t="inlineStr">
        <is>
          <t>Luqman</t>
        </is>
      </c>
      <c r="L1486" s="4"/>
      <c r="M1486" s="4">
        <v>46122.742476851854</v>
      </c>
      <c r="N1486"/>
      <c r="O1486">
        <v>3888</v>
      </c>
      <c r="P1486" s="4"/>
      <c r="Q1486" s="4">
        <v>42448.54431712963</v>
      </c>
      <c r="R1486"/>
      <c r="S1486">
        <v>477</v>
      </c>
      <c r="T1486" s="4">
        <v>42448.54431712963</v>
      </c>
      <c r="U1486" s="4"/>
      <c r="V1486"/>
      <c r="W1486">
        <v>477</v>
      </c>
      <c r="X1486"/>
      <c r="Y1486" t="inlineStr">
        <is>
          <t>Pending Appointment</t>
        </is>
      </c>
      <c r="Z1486" t="inlineStr">
        <is>
          <t>Hiring Now</t>
        </is>
      </c>
      <c r="AA1486">
        <v>1</v>
      </c>
      <c r="AB1486" t="inlineStr">
        <is>
          <t>No Appointment Made</t>
        </is>
      </c>
      <c r="AC1486"/>
      <c r="AD1486" t="inlineStr">
        <is>
          <t>1. Account Executive</t>
        </is>
      </c>
      <c r="AE1486"/>
      <c r="AF1486">
        <v>1200</v>
      </c>
      <c r="AG1486" s="4"/>
      <c r="AH1486" s="4"/>
      <c r="AI1486">
        <v>1200</v>
      </c>
      <c r="AJ1486"/>
      <c r="AK1486" t="inlineStr">
        <is>
          <t>No, I don't need at all</t>
        </is>
      </c>
      <c r="AL1486">
        <v>1</v>
      </c>
      <c r="AM1486" t="inlineStr">
        <is>
          <t>No, I don't need at all</t>
        </is>
      </c>
      <c r="AN1486"/>
      <c r="AO1486" t="inlineStr">
        <is>
          <t>No, I don't need at all</t>
        </is>
      </c>
      <c r="AP1486" t="inlineStr">
        <is>
          <t>Once a year (25%)</t>
        </is>
      </c>
      <c r="AQ1486">
        <v>2</v>
      </c>
      <c r="AR1486" t="inlineStr">
        <is>
          <t>Jobstore</t>
        </is>
      </c>
      <c r="AS1486" t="inlineStr">
        <is>
          <t>- Headcount: 1
- Hiring Job Details: 1 Account Executive
- Hiring Urgency: Hiring Now
- Number of outlets: N/A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Jobstore</t>
        </is>
      </c>
      <c r="AT1486">
        <v>110</v>
      </c>
      <c r="AU1486" t="inlineStr">
        <is>
          <t>1.10</t>
        </is>
      </c>
      <c r="AV1486" t="inlineStr">
        <is>
          <t>15</t>
        </is>
      </c>
      <c r="AW1486" t="inlineStr">
        <is>
          <t>0</t>
        </is>
      </c>
      <c r="AX1486" t="inlineStr">
        <is>
          <t>Not Qualified</t>
        </is>
      </c>
      <c r="AY1486" s="4"/>
      <c r="AZ1486"/>
      <c r="BA1486"/>
      <c r="BB1486"/>
      <c r="BC1486" t="inlineStr">
        <is>
          <t>Business already do job posting on JobStreet. Lost</t>
        </is>
      </c>
      <c r="BD1486" s="4">
        <v>46127.68853009259</v>
      </c>
      <c r="BE1486" t="inlineStr">
        <is>
          <t>paid</t>
        </is>
      </c>
      <c r="BF1486"/>
      <c r="BG1486" t="inlineStr">
        <is>
          <t>Reschedule</t>
        </is>
      </c>
      <c r="BH1486" t="inlineStr">
        <is>
          <t>Edward Hoo</t>
        </is>
      </c>
      <c r="BI1486"/>
      <c r="BJ1486" s="4">
        <v>46144.75612268518</v>
      </c>
      <c r="BK1486" s="4">
        <v>42439.55917824074</v>
      </c>
      <c r="BL1486" t="inlineStr">
        <is>
          <t>0.0</t>
        </is>
      </c>
      <c r="BM1486" t="inlineStr">
        <is>
          <t>1200.0</t>
        </is>
      </c>
      <c r="BN1486" t="inlineStr">
        <is>
          <t>View Company Page</t>
        </is>
      </c>
      <c r="BO1486" s="4">
        <v>46007.44688657407</v>
      </c>
      <c r="BP1486">
        <v>166595</v>
      </c>
      <c r="BQ1486">
        <v>204</v>
      </c>
      <c r="BR1486" t="inlineStr">
        <is>
          <t>Online</t>
        </is>
      </c>
      <c r="BS1486" t="inlineStr">
        <is>
          <t>FB Boost - McDonald’s Intermark Mall   (24 Sept - 29 Sept)</t>
        </is>
      </c>
      <c r="BT1486">
        <v>204</v>
      </c>
      <c r="BU1486"/>
      <c r="BV1486">
        <v>2706575</v>
      </c>
      <c r="BW1486" t="inlineStr">
        <is>
          <t>Follow Up : Lost - Paid Portal</t>
        </is>
      </c>
      <c r="BX1486"/>
      <c r="BY1486"/>
      <c r="BZ1486" s="4"/>
      <c r="CA1486"/>
      <c r="CB1486"/>
      <c r="CC1486" s="4"/>
      <c r="CD1486" t="inlineStr">
        <is>
          <t>20</t>
        </is>
      </c>
      <c r="CE1486" t="inlineStr">
        <is>
          <t>0</t>
        </is>
      </c>
      <c r="CF1486" t="inlineStr">
        <is>
          <t>Q2-W02</t>
        </is>
      </c>
      <c r="CG1486"/>
      <c r="CH1486"/>
      <c r="CI1486"/>
      <c r="CJ1486" t="inlineStr">
        <is>
          <t>Paid</t>
        </is>
      </c>
      <c r="CK1486" t="inlineStr">
        <is>
          <t>Not Eligible</t>
        </is>
      </c>
      <c r="CL1486"/>
      <c r="CM1486"/>
    </row>
    <row r="1487" ht="25.5" customHeight="1">
      <c r="A1487" t="inlineStr">
        <is>
          <t>192028</t>
        </is>
      </c>
      <c r="B1487" s="2"/>
      <c r="C1487"/>
      <c r="D1487" s="3">
        <v>46125.37511574074</v>
      </c>
      <c r="E1487" t="inlineStr">
        <is>
          <t>Q2-W02</t>
        </is>
      </c>
      <c r="F1487" t="inlineStr">
        <is>
          <t>Ken Yi</t>
        </is>
      </c>
      <c r="G1487" t="inlineStr">
        <is>
          <t>Customer</t>
        </is>
      </c>
      <c r="H1487" s="2" t="str">
        <f>=HYPERLINK("https://upbox.ajobthing.my/customer/192028", "https://upbox.ajobthing.my/customer/192028")</f>
        <v>https://upbox.ajobthing.my/customer/192028</v>
      </c>
      <c r="I1487" t="inlineStr">
        <is>
          <t>C Media 33 Online Enterprise</t>
        </is>
      </c>
      <c r="J1487" t="inlineStr">
        <is>
          <t>Dolphin</t>
        </is>
      </c>
      <c r="K1487" t="inlineStr">
        <is>
          <t>Kenyi</t>
        </is>
      </c>
      <c r="L1487" s="4"/>
      <c r="M1487" s="4">
        <v>46114.64780092592</v>
      </c>
      <c r="N1487"/>
      <c r="O1487">
        <v>4968</v>
      </c>
      <c r="P1487" s="4"/>
      <c r="Q1487" s="4">
        <v>46125.37420138889</v>
      </c>
      <c r="R1487"/>
      <c r="S1487">
        <v>3888</v>
      </c>
      <c r="T1487" s="4">
        <v>45884.62474537037</v>
      </c>
      <c r="U1487" s="4"/>
      <c r="V1487"/>
      <c r="W1487">
        <v>3577</v>
      </c>
      <c r="X1487"/>
      <c r="Y1487" t="inlineStr">
        <is>
          <t>Pending Appointment</t>
        </is>
      </c>
      <c r="Z1487" t="inlineStr">
        <is>
          <t>Hiring Now</t>
        </is>
      </c>
      <c r="AA1487">
        <v>1</v>
      </c>
      <c r="AB1487" t="inlineStr">
        <is>
          <t>No Appointment Made</t>
        </is>
      </c>
      <c r="AC1487"/>
      <c r="AD1487" t="inlineStr">
        <is>
          <t>Renewal 3 Job</t>
        </is>
      </c>
      <c r="AE1487"/>
      <c r="AF1487">
        <v>3888</v>
      </c>
      <c r="AG1487" s="4"/>
      <c r="AH1487" s="4"/>
      <c r="AI1487">
        <v>3888</v>
      </c>
      <c r="AJ1487">
        <v>1</v>
      </c>
      <c r="AK1487" t="inlineStr">
        <is>
          <t>Yes, I have</t>
        </is>
      </c>
      <c r="AL1487">
        <v>1</v>
      </c>
      <c r="AM1487" t="inlineStr">
        <is>
          <t>No, I don't need at all</t>
        </is>
      </c>
      <c r="AN1487"/>
      <c r="AO1487" t="inlineStr">
        <is>
          <t>No, I don't need at all</t>
        </is>
      </c>
      <c r="AP1487" t="inlineStr">
        <is>
          <t>Every month (100%)</t>
        </is>
      </c>
      <c r="AQ1487">
        <v>1</v>
      </c>
      <c r="AR1487" t="inlineStr">
        <is>
          <t>Jobstreet</t>
        </is>
      </c>
      <c r="AS1487" t="inlineStr">
        <is>
          <t>- Headcount: 1
- Hiring Job Details: Renewal 3 Job
- Hiring Urgency: Hiring Now
- Number of outlets: 1
- Have recruiter team: Yes
- Number of recruiter in company: 1
- Have ATS system: No, I don't need at all
- Have career website: No, I don't need at all
- Current hiring budget: RM3,888
- Whole year budget: RM3,888.00
- Whole year number of vacancies: 1
- Hiring frequency: Every month (100%)
- External job portal: Jobstreet</t>
        </is>
      </c>
      <c r="AT1487">
        <v>115</v>
      </c>
      <c r="AU1487" t="inlineStr">
        <is>
          <t>1.15</t>
        </is>
      </c>
      <c r="AV1487" t="inlineStr">
        <is>
          <t>15</t>
        </is>
      </c>
      <c r="AW1487" t="inlineStr">
        <is>
          <t>0</t>
        </is>
      </c>
      <c r="AX1487" t="inlineStr">
        <is>
          <t>Not Qualified</t>
        </is>
      </c>
      <c r="AY1487" s="4"/>
      <c r="AZ1487"/>
      <c r="BA1487"/>
      <c r="BB1487"/>
      <c r="BC1487" t="inlineStr">
        <is>
          <t>Follow up and see the payment if need some discount</t>
        </is>
      </c>
      <c r="BD1487" s="4">
        <v>46139.44496527778</v>
      </c>
      <c r="BE1487" t="inlineStr">
        <is>
          <t>pending</t>
        </is>
      </c>
      <c r="BF1487"/>
      <c r="BG1487" t="inlineStr">
        <is>
          <t>Reschedule</t>
        </is>
      </c>
      <c r="BH1487" t="inlineStr">
        <is>
          <t>Fauziah Maharan</t>
        </is>
      </c>
      <c r="BI1487" t="inlineStr">
        <is>
          <t>General / Wholesale Trading</t>
        </is>
      </c>
      <c r="BJ1487" s="4">
        <v>46144.7524537037</v>
      </c>
      <c r="BK1487" s="4">
        <v>45807.580972222226</v>
      </c>
      <c r="BL1487" t="inlineStr">
        <is>
          <t>3577.0</t>
        </is>
      </c>
      <c r="BM1487" t="inlineStr">
        <is>
          <t>0.0</t>
        </is>
      </c>
      <c r="BN1487" t="inlineStr">
        <is>
          <t>View Company Page</t>
        </is>
      </c>
      <c r="BO1487" s="4">
        <v>46140.398831018516</v>
      </c>
      <c r="BP1487">
        <v>164970</v>
      </c>
      <c r="BQ1487">
        <v>7617</v>
      </c>
      <c r="BR1487" t="inlineStr">
        <is>
          <t>Manual</t>
        </is>
      </c>
      <c r="BS1487"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1487">
        <v>6216</v>
      </c>
      <c r="BU1487"/>
      <c r="BV1487">
        <v>2728424</v>
      </c>
      <c r="BW1487" t="inlineStr">
        <is>
          <t>Follow Up : Payment Pending</t>
        </is>
      </c>
      <c r="BX1487">
        <v>6</v>
      </c>
      <c r="BY1487">
        <v>0</v>
      </c>
      <c r="BZ1487" s="4">
        <v>46114.65635416667</v>
      </c>
      <c r="CA1487">
        <v>60</v>
      </c>
      <c r="CB1487">
        <v>60</v>
      </c>
      <c r="CC1487" s="4"/>
      <c r="CD1487" t="inlineStr">
        <is>
          <t>20</t>
        </is>
      </c>
      <c r="CE1487" t="inlineStr">
        <is>
          <t>0</t>
        </is>
      </c>
      <c r="CF1487" t="inlineStr">
        <is>
          <t>Q1-W13</t>
        </is>
      </c>
      <c r="CG1487" t="inlineStr">
        <is>
          <t>Q2-W02</t>
        </is>
      </c>
      <c r="CH1487"/>
      <c r="CI1487"/>
      <c r="CJ1487" t="inlineStr">
        <is>
          <t>Paid</t>
        </is>
      </c>
      <c r="CK1487" t="inlineStr">
        <is>
          <t>Not Eligible</t>
        </is>
      </c>
      <c r="CL1487"/>
      <c r="CM1487"/>
    </row>
    <row r="1488" ht="25.5" customHeight="1">
      <c r="A1488" t="inlineStr">
        <is>
          <t>142572</t>
        </is>
      </c>
      <c r="B1488" s="2"/>
      <c r="C1488"/>
      <c r="D1488" s="3">
        <v>46125.40715277778</v>
      </c>
      <c r="E1488" t="inlineStr">
        <is>
          <t>Q2-W02</t>
        </is>
      </c>
      <c r="F1488" t="inlineStr">
        <is>
          <t>Jeff Lee</t>
        </is>
      </c>
      <c r="G1488" t="inlineStr">
        <is>
          <t>Customer</t>
        </is>
      </c>
      <c r="H1488" s="2" t="str">
        <f>=HYPERLINK("https://upbox.ajobthing.my/customer/142572", "https://upbox.ajobthing.my/customer/142572")</f>
        <v>https://upbox.ajobthing.my/customer/142572</v>
      </c>
      <c r="I1488" t="inlineStr">
        <is>
          <t>Anstac (Malaysia) Sdn Bhd</t>
        </is>
      </c>
      <c r="J1488" t="inlineStr">
        <is>
          <t>Dolphin</t>
        </is>
      </c>
      <c r="K1488" t="inlineStr">
        <is>
          <t>Jeff Lee</t>
        </is>
      </c>
      <c r="L1488" s="4"/>
      <c r="M1488" s="4">
        <v>46125.419340277775</v>
      </c>
      <c r="N1488"/>
      <c r="O1488">
        <v>2592</v>
      </c>
      <c r="P1488" s="4"/>
      <c r="Q1488" s="4">
        <v>46127.41538194445</v>
      </c>
      <c r="R1488"/>
      <c r="S1488">
        <v>0</v>
      </c>
      <c r="T1488" s="4">
        <v>46126.58944444444</v>
      </c>
      <c r="U1488" s="4"/>
      <c r="V1488"/>
      <c r="W1488">
        <v>2592</v>
      </c>
      <c r="X1488"/>
      <c r="Y1488" t="inlineStr">
        <is>
          <t>Pending Appointment</t>
        </is>
      </c>
      <c r="Z1488" t="inlineStr">
        <is>
          <t>Hiring Now</t>
        </is>
      </c>
      <c r="AA1488">
        <v>2</v>
      </c>
      <c r="AB1488" t="inlineStr">
        <is>
          <t>No Appointment Made</t>
        </is>
      </c>
      <c r="AC1488"/>
      <c r="AD1488" t="inlineStr">
        <is>
          <t>1.HOD PURCHASING &amp; LOGISTIC and CNC MACHINE OPERATOR
2. 2
3. Klang</t>
        </is>
      </c>
      <c r="AE1488"/>
      <c r="AF1488">
        <v>0</v>
      </c>
      <c r="AG1488" s="4"/>
      <c r="AH1488" s="4"/>
      <c r="AI1488">
        <v>0</v>
      </c>
      <c r="AJ1488">
        <v>0</v>
      </c>
      <c r="AK1488" t="inlineStr">
        <is>
          <t>No, I don't need at all</t>
        </is>
      </c>
      <c r="AL1488">
        <v>0</v>
      </c>
      <c r="AM1488" t="inlineStr">
        <is>
          <t>No, I don't need at all</t>
        </is>
      </c>
      <c r="AN1488"/>
      <c r="AO1488" t="inlineStr">
        <is>
          <t>No, I don't need at all</t>
        </is>
      </c>
      <c r="AP1488" t="inlineStr">
        <is>
          <t>Twice a year (50%)</t>
        </is>
      </c>
      <c r="AQ1488">
        <v>2</v>
      </c>
      <c r="AR1488" t="inlineStr">
        <is>
          <t>Free Job Portal</t>
        </is>
      </c>
      <c r="AS1488" t="inlineStr">
        <is>
          <t>- Headcount: 2
- Hiring Job Details: 1.HOD PURCHASING &amp; LOGISTIC and CNC MACHINE OPERATOR\n2. 2\n3. Klang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Twice a year (50%)
- External job portal: Free Job Portal</t>
        </is>
      </c>
      <c r="AT1488">
        <v>75</v>
      </c>
      <c r="AU1488" t="inlineStr">
        <is>
          <t>0.75</t>
        </is>
      </c>
      <c r="AV1488" t="inlineStr">
        <is>
          <t>15</t>
        </is>
      </c>
      <c r="AW1488" t="inlineStr">
        <is>
          <t>0</t>
        </is>
      </c>
      <c r="AX1488" t="inlineStr">
        <is>
          <t>Not Qualified</t>
        </is>
      </c>
      <c r="AY1488" s="4"/>
      <c r="AZ1488"/>
      <c r="BA1488"/>
      <c r="BB1488"/>
      <c r="BC1488" t="inlineStr">
        <is>
          <t>CNC Machine Operator outcome abit low</t>
        </is>
      </c>
      <c r="BD1488" s="4">
        <v>46140.497824074075</v>
      </c>
      <c r="BE1488" t="inlineStr">
        <is>
          <t>paid</t>
        </is>
      </c>
      <c r="BF1488" t="inlineStr">
        <is>
          <t>Q2-W02</t>
        </is>
      </c>
      <c r="BG1488" t="inlineStr">
        <is>
          <t>Reschedule</t>
        </is>
      </c>
      <c r="BH1488" t="inlineStr">
        <is>
          <t>Yee Hang</t>
        </is>
      </c>
      <c r="BI1488" t="inlineStr">
        <is>
          <t>Manufacturing / Production</t>
        </is>
      </c>
      <c r="BJ1488" s="4">
        <v>46144.75069444445</v>
      </c>
      <c r="BK1488" s="4">
        <v>44491.426145833335</v>
      </c>
      <c r="BL1488" t="inlineStr">
        <is>
          <t>3672.0</t>
        </is>
      </c>
      <c r="BM1488" t="inlineStr">
        <is>
          <t>0.0</t>
        </is>
      </c>
      <c r="BN1488" t="inlineStr">
        <is>
          <t>View Company Page</t>
        </is>
      </c>
      <c r="BO1488" s="4">
        <v>46142.51603009259</v>
      </c>
      <c r="BP1488">
        <v>166634</v>
      </c>
      <c r="BQ1488">
        <v>122375</v>
      </c>
      <c r="BR1488" t="inlineStr">
        <is>
          <t>Proforma</t>
        </is>
      </c>
      <c r="BS1488" t="inlineStr">
        <is>
          <t>Free Part-Time Job</t>
        </is>
      </c>
      <c r="BT1488">
        <v>7620</v>
      </c>
      <c r="BU1488"/>
      <c r="BV1488">
        <v>2732287</v>
      </c>
      <c r="BW1488" t="inlineStr">
        <is>
          <t>Service / Technical : Job Outcome Enquiry</t>
        </is>
      </c>
      <c r="BX1488">
        <v>2</v>
      </c>
      <c r="BY1488">
        <v>0</v>
      </c>
      <c r="BZ1488" s="4">
        <v>46132.56613425926</v>
      </c>
      <c r="CA1488">
        <v>20</v>
      </c>
      <c r="CB1488">
        <v>20</v>
      </c>
      <c r="CC1488" s="4"/>
      <c r="CD1488" t="inlineStr">
        <is>
          <t>20</t>
        </is>
      </c>
      <c r="CE1488" t="inlineStr">
        <is>
          <t>0</t>
        </is>
      </c>
      <c r="CF1488" t="inlineStr">
        <is>
          <t>Q2-W02</t>
        </is>
      </c>
      <c r="CG1488" t="inlineStr">
        <is>
          <t>Q2-W02</t>
        </is>
      </c>
      <c r="CH1488" t="inlineStr">
        <is>
          <t>Q2-W02</t>
        </is>
      </c>
      <c r="CI1488"/>
      <c r="CJ1488" t="inlineStr">
        <is>
          <t>Paid</t>
        </is>
      </c>
      <c r="CK1488" t="inlineStr">
        <is>
          <t>Not Eligible</t>
        </is>
      </c>
      <c r="CL1488"/>
      <c r="CM1488"/>
    </row>
    <row r="1489" ht="25.5" customHeight="1">
      <c r="A1489" t="inlineStr">
        <is>
          <t>199853</t>
        </is>
      </c>
      <c r="B1489" s="2"/>
      <c r="C1489"/>
      <c r="D1489" s="3">
        <v>46125.41243055555</v>
      </c>
      <c r="E1489" t="inlineStr">
        <is>
          <t>Q2-W02</t>
        </is>
      </c>
      <c r="F1489" t="inlineStr">
        <is>
          <t>Keegan</t>
        </is>
      </c>
      <c r="G1489" t="inlineStr">
        <is>
          <t>Customer</t>
        </is>
      </c>
      <c r="H1489" s="2" t="str">
        <f>=HYPERLINK("https://upbox.ajobthing.my/customer/199853", "https://upbox.ajobthing.my/customer/199853")</f>
        <v>https://upbox.ajobthing.my/customer/199853</v>
      </c>
      <c r="I1489" t="inlineStr">
        <is>
          <t>Kpa Slim River Sdn Bhd</t>
        </is>
      </c>
      <c r="J1489" t="inlineStr">
        <is>
          <t>Dolphin</t>
        </is>
      </c>
      <c r="K1489" t="inlineStr">
        <is>
          <t>Keegan</t>
        </is>
      </c>
      <c r="L1489" s="4"/>
      <c r="M1489" s="4">
        <v>46125.4475</v>
      </c>
      <c r="N1489"/>
      <c r="O1489">
        <v>864</v>
      </c>
      <c r="P1489" s="4"/>
      <c r="Q1489" s="4"/>
      <c r="R1489"/>
      <c r="S1489"/>
      <c r="T1489" s="4"/>
      <c r="U1489" s="4"/>
      <c r="V1489"/>
      <c r="W1489"/>
      <c r="X1489"/>
      <c r="Y1489" t="inlineStr">
        <is>
          <t>Pending Appointment</t>
        </is>
      </c>
      <c r="Z1489" t="inlineStr">
        <is>
          <t>Hiring Now</t>
        </is>
      </c>
      <c r="AA1489">
        <v>1</v>
      </c>
      <c r="AB1489" t="inlineStr">
        <is>
          <t>No Appointment Made</t>
        </is>
      </c>
      <c r="AC1489"/>
      <c r="AD1489" t="inlineStr">
        <is>
          <t>1. Resident Doctor</t>
        </is>
      </c>
      <c r="AE1489"/>
      <c r="AF1489"/>
      <c r="AG1489" s="4"/>
      <c r="AH1489" s="4"/>
      <c r="AI1489"/>
      <c r="AJ1489">
        <v>1</v>
      </c>
      <c r="AK1489" t="inlineStr">
        <is>
          <t>No, I don't need at all</t>
        </is>
      </c>
      <c r="AL1489">
        <v>0</v>
      </c>
      <c r="AM1489" t="inlineStr">
        <is>
          <t>No, I don't need at all</t>
        </is>
      </c>
      <c r="AN1489"/>
      <c r="AO1489" t="inlineStr">
        <is>
          <t>No, I don't need at all</t>
        </is>
      </c>
      <c r="AP1489" t="inlineStr">
        <is>
          <t>Once per quarter (75%)</t>
        </is>
      </c>
      <c r="AQ1489"/>
      <c r="AR1489" t="inlineStr">
        <is>
          <t>Did not use any job portal</t>
        </is>
      </c>
      <c r="AS1489" t="inlineStr">
        <is>
          <t>- Headcount: 1
- Hiring Job Details: 1 Resident Doctor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489">
        <v>95</v>
      </c>
      <c r="AU1489" t="inlineStr">
        <is>
          <t>0.95</t>
        </is>
      </c>
      <c r="AV1489" t="inlineStr">
        <is>
          <t>5</t>
        </is>
      </c>
      <c r="AW1489" t="inlineStr">
        <is>
          <t>0</t>
        </is>
      </c>
      <c r="AX1489" t="inlineStr">
        <is>
          <t>Not Qualified</t>
        </is>
      </c>
      <c r="AY1489" s="4"/>
      <c r="AZ1489"/>
      <c r="BA1489"/>
      <c r="BB1489"/>
      <c r="BC1489" t="inlineStr">
        <is>
          <t>Will try on free posting first as position not urgent</t>
        </is>
      </c>
      <c r="BD1489" s="4">
        <v>46129.72694444445</v>
      </c>
      <c r="BE1489"/>
      <c r="BF1489"/>
      <c r="BG1489" t="inlineStr">
        <is>
          <t>Reschedule</t>
        </is>
      </c>
      <c r="BH1489" t="inlineStr">
        <is>
          <t>Edward Hoo</t>
        </is>
      </c>
      <c r="BI1489"/>
      <c r="BJ1489" s="4">
        <v>46144.75341435185</v>
      </c>
      <c r="BK1489" s="4">
        <v>46021.70814814815</v>
      </c>
      <c r="BL1489" t="inlineStr">
        <is>
          <t>0.0</t>
        </is>
      </c>
      <c r="BM1489" t="inlineStr">
        <is>
          <t>600.0</t>
        </is>
      </c>
      <c r="BN1489" t="inlineStr">
        <is>
          <t>View Create Job Page V4</t>
        </is>
      </c>
      <c r="BO1489" s="4">
        <v>46021.70836805556</v>
      </c>
      <c r="BP1489">
        <v>166654</v>
      </c>
      <c r="BQ1489"/>
      <c r="BR1489"/>
      <c r="BS1489"/>
      <c r="BT1489"/>
      <c r="BU1489"/>
      <c r="BV1489">
        <v>2713646</v>
      </c>
      <c r="BW1489" t="inlineStr">
        <is>
          <t>Follow Up : Lost - Free Portal</t>
        </is>
      </c>
      <c r="BX1489"/>
      <c r="BY1489"/>
      <c r="BZ1489" s="4"/>
      <c r="CA1489"/>
      <c r="CB1489"/>
      <c r="CC1489" s="4"/>
      <c r="CD1489" t="inlineStr">
        <is>
          <t>5</t>
        </is>
      </c>
      <c r="CE1489" t="inlineStr">
        <is>
          <t>0</t>
        </is>
      </c>
      <c r="CF1489" t="inlineStr">
        <is>
          <t>Q2-W02</t>
        </is>
      </c>
      <c r="CG1489"/>
      <c r="CH1489"/>
      <c r="CI1489"/>
      <c r="CJ1489" t="inlineStr">
        <is>
          <t>No Paid</t>
        </is>
      </c>
      <c r="CK1489" t="inlineStr">
        <is>
          <t>Not Eligible</t>
        </is>
      </c>
      <c r="CL1489"/>
      <c r="CM1489"/>
    </row>
    <row r="1490" ht="25.5" customHeight="1">
      <c r="A1490" t="inlineStr">
        <is>
          <t>163000</t>
        </is>
      </c>
      <c r="B1490" s="2"/>
      <c r="C1490"/>
      <c r="D1490" s="3">
        <v>46125.44265046297</v>
      </c>
      <c r="E1490" t="inlineStr">
        <is>
          <t>Q2-W02</t>
        </is>
      </c>
      <c r="F1490" t="inlineStr">
        <is>
          <t>Clover</t>
        </is>
      </c>
      <c r="G1490" t="inlineStr">
        <is>
          <t>Customer</t>
        </is>
      </c>
      <c r="H1490" s="2" t="str">
        <f>=HYPERLINK("https://upbox.ajobthing.my/customer/163000", "https://upbox.ajobthing.my/customer/163000")</f>
        <v>https://upbox.ajobthing.my/customer/163000</v>
      </c>
      <c r="I1490" t="inlineStr">
        <is>
          <t>Icebear Resource</t>
        </is>
      </c>
      <c r="J1490" t="inlineStr">
        <is>
          <t>Dolphin</t>
        </is>
      </c>
      <c r="K1490" t="inlineStr">
        <is>
          <t>Clover</t>
        </is>
      </c>
      <c r="L1490" s="4"/>
      <c r="M1490" s="4">
        <v>46125.44290509259</v>
      </c>
      <c r="N1490"/>
      <c r="O1490">
        <v>3888</v>
      </c>
      <c r="P1490" s="4"/>
      <c r="Q1490" s="4">
        <v>46122.7918287037</v>
      </c>
      <c r="R1490"/>
      <c r="S1490">
        <v>0</v>
      </c>
      <c r="T1490" s="4">
        <v>46038.91819444444</v>
      </c>
      <c r="U1490" s="4"/>
      <c r="V1490"/>
      <c r="W1490">
        <v>864</v>
      </c>
      <c r="X1490"/>
      <c r="Y1490" t="inlineStr">
        <is>
          <t>Pending Appointment</t>
        </is>
      </c>
      <c r="Z1490" t="inlineStr">
        <is>
          <t>Hiring Now</t>
        </is>
      </c>
      <c r="AA1490">
        <v>2</v>
      </c>
      <c r="AB1490" t="inlineStr">
        <is>
          <t>No Appointment Made</t>
        </is>
      </c>
      <c r="AC1490"/>
      <c r="AD1490" t="inlineStr">
        <is>
          <t>Hire same position - Retail assistant / Workshop Specialist x1-2. Bandar Rimbayu or IOI City Mall, retail footwear, suggest stand</t>
        </is>
      </c>
      <c r="AE1490"/>
      <c r="AF1490">
        <v>3000</v>
      </c>
      <c r="AG1490" s="4"/>
      <c r="AH1490" s="4"/>
      <c r="AI1490">
        <v>3000</v>
      </c>
      <c r="AJ1490">
        <v>1</v>
      </c>
      <c r="AK1490" t="inlineStr">
        <is>
          <t>No, but I want in future</t>
        </is>
      </c>
      <c r="AL1490">
        <v>1</v>
      </c>
      <c r="AM1490" t="inlineStr">
        <is>
          <t>No, but I want in future</t>
        </is>
      </c>
      <c r="AN1490"/>
      <c r="AO1490" t="inlineStr">
        <is>
          <t>No, but I want in future</t>
        </is>
      </c>
      <c r="AP1490" t="inlineStr">
        <is>
          <t>Twice a year (50%)</t>
        </is>
      </c>
      <c r="AQ1490">
        <v>1</v>
      </c>
      <c r="AR1490" t="inlineStr">
        <is>
          <t>Did not use any job portal</t>
        </is>
      </c>
      <c r="AS1490" t="inlineStr">
        <is>
          <t>- Headcount: 2
- Hiring Job Details: Hire 1-2 same position (Retail assistant/Workshop Specialist) for retail footwear at Bandar Rimbayu or IOI City Mall,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1490">
        <v>115</v>
      </c>
      <c r="AU1490" t="inlineStr">
        <is>
          <t>1.15</t>
        </is>
      </c>
      <c r="AV1490" t="inlineStr">
        <is>
          <t>15</t>
        </is>
      </c>
      <c r="AW1490" t="inlineStr">
        <is>
          <t>0</t>
        </is>
      </c>
      <c r="AX1490" t="inlineStr">
        <is>
          <t>Not Qualified</t>
        </is>
      </c>
      <c r="AY1490" s="4"/>
      <c r="AZ1490"/>
      <c r="BA1490"/>
      <c r="BB1490"/>
      <c r="BC1490" t="inlineStr">
        <is>
          <t>npu wa fu</t>
        </is>
      </c>
      <c r="BD1490" s="4">
        <v>46132.799467592595</v>
      </c>
      <c r="BE1490" t="inlineStr">
        <is>
          <t>paid</t>
        </is>
      </c>
      <c r="BF1490" t="inlineStr">
        <is>
          <t>Q1-W03</t>
        </is>
      </c>
      <c r="BG1490" t="inlineStr">
        <is>
          <t>Reschedule</t>
        </is>
      </c>
      <c r="BH1490" t="inlineStr">
        <is>
          <t>Reagen</t>
        </is>
      </c>
      <c r="BI1490" t="inlineStr">
        <is>
          <t>Arts / Design / Fashion</t>
        </is>
      </c>
      <c r="BJ1490" s="4">
        <v>46144.751180555555</v>
      </c>
      <c r="BK1490" s="4">
        <v>44913.91054398148</v>
      </c>
      <c r="BL1490" t="inlineStr">
        <is>
          <t>864.0</t>
        </is>
      </c>
      <c r="BM1490" t="inlineStr">
        <is>
          <t>150.0</t>
        </is>
      </c>
      <c r="BN1490" t="inlineStr">
        <is>
          <t>User Visit(Logged In)</t>
        </is>
      </c>
      <c r="BO1490" s="4">
        <v>46125.43760416667</v>
      </c>
      <c r="BP1490">
        <v>166649</v>
      </c>
      <c r="BQ1490">
        <v>121801</v>
      </c>
      <c r="BR1490" t="inlineStr">
        <is>
          <t>Proforma</t>
        </is>
      </c>
      <c r="BS1490" t="inlineStr">
        <is>
          <t>Free Part-Time Job</t>
        </is>
      </c>
      <c r="BT1490">
        <v>85653</v>
      </c>
      <c r="BU1490"/>
      <c r="BV1490">
        <v>2716771</v>
      </c>
      <c r="BW1490" t="inlineStr">
        <is>
          <t>No Answer : Voicemail - WA sent to customer</t>
        </is>
      </c>
      <c r="BX1490"/>
      <c r="BY1490"/>
      <c r="BZ1490" s="4"/>
      <c r="CA1490"/>
      <c r="CB1490"/>
      <c r="CC1490" s="4"/>
      <c r="CD1490" t="inlineStr">
        <is>
          <t>20</t>
        </is>
      </c>
      <c r="CE1490" t="inlineStr">
        <is>
          <t>0</t>
        </is>
      </c>
      <c r="CF1490" t="inlineStr">
        <is>
          <t>Q2-W02</t>
        </is>
      </c>
      <c r="CG1490" t="inlineStr">
        <is>
          <t>Q2-W02</t>
        </is>
      </c>
      <c r="CH1490" t="inlineStr">
        <is>
          <t>Q1-W03</t>
        </is>
      </c>
      <c r="CI1490"/>
      <c r="CJ1490" t="inlineStr">
        <is>
          <t>Paid</t>
        </is>
      </c>
      <c r="CK1490" t="inlineStr">
        <is>
          <t>Not Eligible</t>
        </is>
      </c>
      <c r="CL1490"/>
      <c r="CM1490"/>
    </row>
    <row r="1491" ht="25.5" customHeight="1">
      <c r="A1491" t="inlineStr">
        <is>
          <t>176841</t>
        </is>
      </c>
      <c r="B1491" s="2"/>
      <c r="C1491"/>
      <c r="D1491" s="3">
        <v>46125.44631944445</v>
      </c>
      <c r="E1491" t="inlineStr">
        <is>
          <t>Q2-W02</t>
        </is>
      </c>
      <c r="F1491" t="inlineStr">
        <is>
          <t>Guest User 92953</t>
        </is>
      </c>
      <c r="G1491" t="inlineStr">
        <is>
          <t>Customer</t>
        </is>
      </c>
      <c r="H1491" s="2" t="str">
        <f>=HYPERLINK("https://upbox.ajobthing.my/customer/176841", "https://upbox.ajobthing.my/customer/176841")</f>
        <v>https://upbox.ajobthing.my/customer/176841</v>
      </c>
      <c r="I1491" t="inlineStr">
        <is>
          <t>Canwest Aluminium Sdn. Bhd.</t>
        </is>
      </c>
      <c r="J1491" t="inlineStr">
        <is>
          <t>Dolphin</t>
        </is>
      </c>
      <c r="K1491" t="inlineStr">
        <is>
          <t>Dickson</t>
        </is>
      </c>
      <c r="L1491" s="4"/>
      <c r="M1491" s="4">
        <v>46125.44652777778</v>
      </c>
      <c r="N1491"/>
      <c r="O1491">
        <v>3888</v>
      </c>
      <c r="P1491" s="4"/>
      <c r="Q1491" s="4">
        <v>45607.470821759256</v>
      </c>
      <c r="R1491"/>
      <c r="S1491">
        <v>648</v>
      </c>
      <c r="T1491" s="4">
        <v>45607.470821759256</v>
      </c>
      <c r="U1491" s="4"/>
      <c r="V1491"/>
      <c r="W1491">
        <v>648</v>
      </c>
      <c r="X1491"/>
      <c r="Y1491" t="inlineStr">
        <is>
          <t>Pending Appointment</t>
        </is>
      </c>
      <c r="Z1491" t="inlineStr">
        <is>
          <t>Hiring Now</t>
        </is>
      </c>
      <c r="AA1491">
        <v>11</v>
      </c>
      <c r="AB1491" t="inlineStr">
        <is>
          <t>No Appointment Made</t>
        </is>
      </c>
      <c r="AC1491"/>
      <c r="AD1491" t="inlineStr">
        <is>
          <t>hiring 10-15 Operate Die Casting machine and related machineries, 1 Weighbridge clerk/warehouse assistant</t>
        </is>
      </c>
      <c r="AE1491"/>
      <c r="AF1491"/>
      <c r="AG1491" s="4"/>
      <c r="AH1491" s="4"/>
      <c r="AI1491"/>
      <c r="AJ1491">
        <v>1</v>
      </c>
      <c r="AK1491" t="inlineStr">
        <is>
          <t>No, I don't need at all</t>
        </is>
      </c>
      <c r="AL1491"/>
      <c r="AM1491" t="inlineStr">
        <is>
          <t>No, I don't need at all</t>
        </is>
      </c>
      <c r="AN1491"/>
      <c r="AO1491" t="inlineStr">
        <is>
          <t>No, I don't need at all</t>
        </is>
      </c>
      <c r="AP1491" t="inlineStr">
        <is>
          <t>Once per quarter (75%)</t>
        </is>
      </c>
      <c r="AQ1491"/>
      <c r="AR1491" t="inlineStr">
        <is>
          <t>Jobstreet, Free Job Portal</t>
        </is>
      </c>
      <c r="AS1491" t="inlineStr">
        <is>
          <t>- Headcount: 11
- Hiring Job Details: 10-15 Die Casting machine and related machineries operators, 1 Weighbridge clerk/warehouse assistant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 Free Job Portal</t>
        </is>
      </c>
      <c r="AT1491">
        <v>95</v>
      </c>
      <c r="AU1491" t="inlineStr">
        <is>
          <t>0.95</t>
        </is>
      </c>
      <c r="AV1491" t="inlineStr">
        <is>
          <t>15</t>
        </is>
      </c>
      <c r="AW1491" t="inlineStr">
        <is>
          <t>0</t>
        </is>
      </c>
      <c r="AX1491" t="inlineStr">
        <is>
          <t>Not Qualified</t>
        </is>
      </c>
      <c r="AY1491" s="4"/>
      <c r="AZ1491"/>
      <c r="BA1491"/>
      <c r="BB1491"/>
      <c r="BC1491" t="inlineStr">
        <is>
          <t>already hired from fb</t>
        </is>
      </c>
      <c r="BD1491" s="4">
        <v>46133.59678240741</v>
      </c>
      <c r="BE1491" t="inlineStr">
        <is>
          <t>paid</t>
        </is>
      </c>
      <c r="BF1491"/>
      <c r="BG1491" t="inlineStr">
        <is>
          <t>Reschedule</t>
        </is>
      </c>
      <c r="BH1491"/>
      <c r="BI1491" t="inlineStr">
        <is>
          <t>Manufacturing / Production</t>
        </is>
      </c>
      <c r="BJ1491" s="4">
        <v>46144.751655092594</v>
      </c>
      <c r="BK1491" s="4">
        <v>45378.640081018515</v>
      </c>
      <c r="BL1491" t="inlineStr">
        <is>
          <t>0.0</t>
        </is>
      </c>
      <c r="BM1491" t="inlineStr">
        <is>
          <t>1800.0</t>
        </is>
      </c>
      <c r="BN1491" t="inlineStr">
        <is>
          <t>User Visit(Logged In)</t>
        </is>
      </c>
      <c r="BO1491" s="4">
        <v>45646.006585648145</v>
      </c>
      <c r="BP1491">
        <v>166651</v>
      </c>
      <c r="BQ1491">
        <v>74513</v>
      </c>
      <c r="BR1491" t="inlineStr">
        <is>
          <t>Online</t>
        </is>
      </c>
      <c r="BS1491"/>
      <c r="BT1491">
        <v>74513</v>
      </c>
      <c r="BU1491"/>
      <c r="BV1491">
        <v>2718236</v>
      </c>
      <c r="BW1491" t="inlineStr">
        <is>
          <t>Follow Up : Lost - Free Portal</t>
        </is>
      </c>
      <c r="BX1491"/>
      <c r="BY1491"/>
      <c r="BZ1491" s="4"/>
      <c r="CA1491"/>
      <c r="CB1491"/>
      <c r="CC1491" s="4"/>
      <c r="CD1491" t="inlineStr">
        <is>
          <t>20</t>
        </is>
      </c>
      <c r="CE1491" t="inlineStr">
        <is>
          <t>0</t>
        </is>
      </c>
      <c r="CF1491" t="inlineStr">
        <is>
          <t>Q2-W02</t>
        </is>
      </c>
      <c r="CG1491"/>
      <c r="CH1491"/>
      <c r="CI1491"/>
      <c r="CJ1491" t="inlineStr">
        <is>
          <t>Paid</t>
        </is>
      </c>
      <c r="CK1491" t="inlineStr">
        <is>
          <t>Eligible</t>
        </is>
      </c>
      <c r="CL1491"/>
      <c r="CM1491"/>
    </row>
    <row r="1492" ht="25.5" customHeight="1">
      <c r="A1492" t="inlineStr">
        <is>
          <t>4275599</t>
        </is>
      </c>
      <c r="B1492" s="2"/>
      <c r="C1492"/>
      <c r="D1492" s="3">
        <v>46125.44636574074</v>
      </c>
      <c r="E1492" t="inlineStr">
        <is>
          <t>Q2-W02</t>
        </is>
      </c>
      <c r="F1492" t="inlineStr">
        <is>
          <t>Luqman</t>
        </is>
      </c>
      <c r="G1492" t="inlineStr">
        <is>
          <t>Lead</t>
        </is>
      </c>
      <c r="H1492" s="2" t="str">
        <f>=HYPERLINK("https://upbox.ajobthing.my/leads/4275599", "https://upbox.ajobthing.my/leads/4275599")</f>
        <v>https://upbox.ajobthing.my/leads/4275599</v>
      </c>
      <c r="I1492" t="inlineStr">
        <is>
          <t>Agensi Pekerjaan Next Grow Sdn Bnd</t>
        </is>
      </c>
      <c r="J1492" t="inlineStr">
        <is>
          <t>Dolphin</t>
        </is>
      </c>
      <c r="K1492" t="inlineStr">
        <is>
          <t>Luqman</t>
        </is>
      </c>
      <c r="L1492" s="4"/>
      <c r="M1492" s="4">
        <v>46125.446875</v>
      </c>
      <c r="N1492"/>
      <c r="O1492">
        <v>1512</v>
      </c>
      <c r="P1492" s="4"/>
      <c r="Q1492" s="4"/>
      <c r="R1492"/>
      <c r="S1492"/>
      <c r="T1492" s="4"/>
      <c r="U1492" s="4"/>
      <c r="V1492"/>
      <c r="W1492"/>
      <c r="X1492"/>
      <c r="Y1492" t="inlineStr">
        <is>
          <t>Pending Appointment</t>
        </is>
      </c>
      <c r="Z1492" t="inlineStr">
        <is>
          <t>Hiring Later</t>
        </is>
      </c>
      <c r="AA1492">
        <v>1</v>
      </c>
      <c r="AB1492" t="inlineStr">
        <is>
          <t>No Appointment Made</t>
        </is>
      </c>
      <c r="AC1492"/>
      <c r="AD1492" t="inlineStr">
        <is>
          <t xml:space="preserve">1. admin </t>
        </is>
      </c>
      <c r="AE1492"/>
      <c r="AF1492">
        <v>1200</v>
      </c>
      <c r="AG1492" s="4"/>
      <c r="AH1492" s="4"/>
      <c r="AI1492">
        <v>1200</v>
      </c>
      <c r="AJ1492"/>
      <c r="AK1492" t="inlineStr">
        <is>
          <t>No, I don't need at all</t>
        </is>
      </c>
      <c r="AL1492">
        <v>1</v>
      </c>
      <c r="AM1492" t="inlineStr">
        <is>
          <t>No, I don't need at all</t>
        </is>
      </c>
      <c r="AN1492"/>
      <c r="AO1492" t="inlineStr">
        <is>
          <t>No, I don't need at all</t>
        </is>
      </c>
      <c r="AP1492" t="inlineStr">
        <is>
          <t>Once a year (25%)</t>
        </is>
      </c>
      <c r="AQ1492">
        <v>1</v>
      </c>
      <c r="AR1492" t="inlineStr">
        <is>
          <t>Jobstreet</t>
        </is>
      </c>
      <c r="AS1492" t="inlineStr">
        <is>
          <t>- Headcount: 1
- Hiring Job Details: 1 admin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is>
      </c>
      <c r="AT1492">
        <v>115</v>
      </c>
      <c r="AU1492" t="inlineStr">
        <is>
          <t>1.15</t>
        </is>
      </c>
      <c r="AV1492" t="inlineStr">
        <is>
          <t>15</t>
        </is>
      </c>
      <c r="AW1492" t="inlineStr">
        <is>
          <t>0</t>
        </is>
      </c>
      <c r="AX1492" t="inlineStr">
        <is>
          <t>Not Qualified</t>
        </is>
      </c>
      <c r="AY1492" s="4"/>
      <c r="AZ1492"/>
      <c r="BA1492"/>
      <c r="BB1492"/>
      <c r="BC1492"/>
      <c r="BD1492" s="4"/>
      <c r="BE1492"/>
      <c r="BF1492"/>
      <c r="BG1492" t="inlineStr">
        <is>
          <t>Reschedule</t>
        </is>
      </c>
      <c r="BH1492" t="inlineStr">
        <is>
          <t>Edward Hoo</t>
        </is>
      </c>
      <c r="BI1492"/>
      <c r="BJ1492" s="4">
        <v>46144.75581018518</v>
      </c>
      <c r="BK1492" s="4">
        <v>46125.425405092596</v>
      </c>
      <c r="BL1492" t="inlineStr">
        <is>
          <t>1296.0</t>
        </is>
      </c>
      <c r="BM1492" t="inlineStr">
        <is>
          <t>0.0</t>
        </is>
      </c>
      <c r="BN1492"/>
      <c r="BO1492" s="4"/>
      <c r="BP1492">
        <v>166653</v>
      </c>
      <c r="BQ1492"/>
      <c r="BR1492"/>
      <c r="BS1492"/>
      <c r="BT1492"/>
      <c r="BU1492"/>
      <c r="BV1492"/>
      <c r="BW1492"/>
      <c r="BX1492"/>
      <c r="BY1492"/>
      <c r="BZ1492" s="4"/>
      <c r="CA1492"/>
      <c r="CB1492"/>
      <c r="CC1492" s="4"/>
      <c r="CD1492" t="inlineStr">
        <is>
          <t>20</t>
        </is>
      </c>
      <c r="CE1492" t="inlineStr">
        <is>
          <t>0</t>
        </is>
      </c>
      <c r="CF1492" t="inlineStr">
        <is>
          <t>Q2-W02</t>
        </is>
      </c>
      <c r="CG1492"/>
      <c r="CH1492"/>
      <c r="CI1492"/>
      <c r="CJ1492" t="inlineStr">
        <is>
          <t>No Paid</t>
        </is>
      </c>
      <c r="CK1492" t="inlineStr">
        <is>
          <t>Not Eligible</t>
        </is>
      </c>
      <c r="CL1492"/>
      <c r="CM1492"/>
    </row>
    <row r="1493" ht="25.5" customHeight="1">
      <c r="A1493" t="inlineStr">
        <is>
          <t>190825</t>
        </is>
      </c>
      <c r="B1493" s="2"/>
      <c r="C1493"/>
      <c r="D1493" s="3">
        <v>46125.450219907405</v>
      </c>
      <c r="E1493" t="inlineStr">
        <is>
          <t>Q2-W02</t>
        </is>
      </c>
      <c r="F1493" t="inlineStr">
        <is>
          <t>Janice Yap</t>
        </is>
      </c>
      <c r="G1493" t="inlineStr">
        <is>
          <t>Customer</t>
        </is>
      </c>
      <c r="H1493" s="2" t="str">
        <f>=HYPERLINK("https://upbox.ajobthing.my/customer/190825", "https://upbox.ajobthing.my/customer/190825")</f>
        <v>https://upbox.ajobthing.my/customer/190825</v>
      </c>
      <c r="I1493" t="inlineStr">
        <is>
          <t>Eminent Century Sdn&amp;nbsp;Bhd</t>
        </is>
      </c>
      <c r="J1493" t="inlineStr">
        <is>
          <t>Dolphin</t>
        </is>
      </c>
      <c r="K1493" t="inlineStr">
        <is>
          <t>Janice</t>
        </is>
      </c>
      <c r="L1493" s="4"/>
      <c r="M1493" s="4">
        <v>46125.41993055555</v>
      </c>
      <c r="N1493"/>
      <c r="O1493">
        <v>3888</v>
      </c>
      <c r="P1493" s="4"/>
      <c r="Q1493" s="4">
        <v>45797.727175925924</v>
      </c>
      <c r="R1493"/>
      <c r="S1493">
        <v>1944</v>
      </c>
      <c r="T1493" s="4">
        <v>45797.727175925924</v>
      </c>
      <c r="U1493" s="4"/>
      <c r="V1493"/>
      <c r="W1493">
        <v>1944</v>
      </c>
      <c r="X1493"/>
      <c r="Y1493" t="inlineStr">
        <is>
          <t>Pending Appointment</t>
        </is>
      </c>
      <c r="Z1493" t="inlineStr">
        <is>
          <t>Hiring Now</t>
        </is>
      </c>
      <c r="AA1493">
        <v>1</v>
      </c>
      <c r="AB1493" t="inlineStr">
        <is>
          <t>No Appointment Made</t>
        </is>
      </c>
      <c r="AC1493"/>
      <c r="AD1493" t="inlineStr">
        <is>
          <t>1 admin</t>
        </is>
      </c>
      <c r="AE1493"/>
      <c r="AF1493">
        <v>0</v>
      </c>
      <c r="AG1493" s="4"/>
      <c r="AH1493" s="4"/>
      <c r="AI1493">
        <v>0</v>
      </c>
      <c r="AJ1493"/>
      <c r="AK1493" t="inlineStr">
        <is>
          <t>No, I don't need at all</t>
        </is>
      </c>
      <c r="AL1493">
        <v>0</v>
      </c>
      <c r="AM1493" t="inlineStr">
        <is>
          <t>No, I don't need at all</t>
        </is>
      </c>
      <c r="AN1493"/>
      <c r="AO1493" t="inlineStr">
        <is>
          <t>No, I don't need at all</t>
        </is>
      </c>
      <c r="AP1493" t="inlineStr">
        <is>
          <t>Once a year (25%)</t>
        </is>
      </c>
      <c r="AQ1493">
        <v>1</v>
      </c>
      <c r="AR1493"/>
      <c r="AS1493"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1493">
        <v>105</v>
      </c>
      <c r="AU1493" t="inlineStr">
        <is>
          <t>1.05</t>
        </is>
      </c>
      <c r="AV1493" t="inlineStr">
        <is>
          <t>15</t>
        </is>
      </c>
      <c r="AW1493" t="inlineStr">
        <is>
          <t>0</t>
        </is>
      </c>
      <c r="AX1493" t="inlineStr">
        <is>
          <t>Not Qualified</t>
        </is>
      </c>
      <c r="AY1493" s="4"/>
      <c r="AZ1493"/>
      <c r="BA1493"/>
      <c r="BB1493"/>
      <c r="BC1493" t="inlineStr">
        <is>
          <t>No answer // her staff no call me back // lost</t>
        </is>
      </c>
      <c r="BD1493" s="4">
        <v>46132.57456018519</v>
      </c>
      <c r="BE1493" t="inlineStr">
        <is>
          <t>paid</t>
        </is>
      </c>
      <c r="BF1493"/>
      <c r="BG1493" t="inlineStr">
        <is>
          <t>Reschedule</t>
        </is>
      </c>
      <c r="BH1493" t="inlineStr">
        <is>
          <t>Yee Hang</t>
        </is>
      </c>
      <c r="BI1493" t="inlineStr">
        <is>
          <t>Automobile / Automotive</t>
        </is>
      </c>
      <c r="BJ1493" s="4">
        <v>46144.75237268519</v>
      </c>
      <c r="BK1493" s="4">
        <v>45782.45699074074</v>
      </c>
      <c r="BL1493" t="inlineStr">
        <is>
          <t>1944.0</t>
        </is>
      </c>
      <c r="BM1493" t="inlineStr">
        <is>
          <t>0.0</t>
        </is>
      </c>
      <c r="BN1493" t="inlineStr">
        <is>
          <t>View Company Page</t>
        </is>
      </c>
      <c r="BO1493" s="4">
        <v>45846.36734953704</v>
      </c>
      <c r="BP1493">
        <v>166635</v>
      </c>
      <c r="BQ1493">
        <v>79429</v>
      </c>
      <c r="BR1493" t="inlineStr">
        <is>
          <t>Online</t>
        </is>
      </c>
      <c r="BS1493"/>
      <c r="BT1493">
        <v>79429</v>
      </c>
      <c r="BU1493"/>
      <c r="BV1493">
        <v>2715546</v>
      </c>
      <c r="BW1493" t="inlineStr">
        <is>
          <t>No Answer : 3 Days No Response</t>
        </is>
      </c>
      <c r="BX1493"/>
      <c r="BY1493"/>
      <c r="BZ1493" s="4"/>
      <c r="CA1493"/>
      <c r="CB1493"/>
      <c r="CC1493" s="4"/>
      <c r="CD1493" t="inlineStr">
        <is>
          <t>20</t>
        </is>
      </c>
      <c r="CE1493" t="inlineStr">
        <is>
          <t>0</t>
        </is>
      </c>
      <c r="CF1493" t="inlineStr">
        <is>
          <t>Q2-W02</t>
        </is>
      </c>
      <c r="CG1493"/>
      <c r="CH1493"/>
      <c r="CI1493"/>
      <c r="CJ1493" t="inlineStr">
        <is>
          <t>Paid</t>
        </is>
      </c>
      <c r="CK1493" t="inlineStr">
        <is>
          <t>Not Eligible</t>
        </is>
      </c>
      <c r="CL1493"/>
      <c r="CM1493"/>
    </row>
    <row r="1494" ht="25.5" customHeight="1">
      <c r="A1494" t="inlineStr">
        <is>
          <t>202411</t>
        </is>
      </c>
      <c r="B1494" s="2"/>
      <c r="C1494"/>
      <c r="D1494" s="3">
        <v>46125.451840277776</v>
      </c>
      <c r="E1494" t="inlineStr">
        <is>
          <t>Q2-W02</t>
        </is>
      </c>
      <c r="F1494" t="inlineStr">
        <is>
          <t>Carmen</t>
        </is>
      </c>
      <c r="G1494" t="inlineStr">
        <is>
          <t>Customer</t>
        </is>
      </c>
      <c r="H1494" s="2" t="str">
        <f>=HYPERLINK("https://upbox.ajobthing.my/customer/202411", "https://upbox.ajobthing.my/customer/202411")</f>
        <v>https://upbox.ajobthing.my/customer/202411</v>
      </c>
      <c r="I1494" t="inlineStr">
        <is>
          <t>Marent (M) Sdn. Bhd.</t>
        </is>
      </c>
      <c r="J1494" t="inlineStr">
        <is>
          <t>Dolphin</t>
        </is>
      </c>
      <c r="K1494" t="inlineStr">
        <is>
          <t>Carmen</t>
        </is>
      </c>
      <c r="L1494" s="4"/>
      <c r="M1494" s="4">
        <v>46136.635150462964</v>
      </c>
      <c r="N1494"/>
      <c r="O1494">
        <v>864</v>
      </c>
      <c r="P1494" s="4"/>
      <c r="Q1494" s="4">
        <v>46141.4543287037</v>
      </c>
      <c r="R1494"/>
      <c r="S1494">
        <v>0</v>
      </c>
      <c r="T1494" s="4">
        <v>46112.637650462966</v>
      </c>
      <c r="U1494" s="4"/>
      <c r="V1494"/>
      <c r="W1494">
        <v>2592</v>
      </c>
      <c r="X1494"/>
      <c r="Y1494" t="inlineStr">
        <is>
          <t>Pending Appointment</t>
        </is>
      </c>
      <c r="Z1494" t="inlineStr">
        <is>
          <t>Hiring Now</t>
        </is>
      </c>
      <c r="AA1494">
        <v>4</v>
      </c>
      <c r="AB1494" t="inlineStr">
        <is>
          <t>No Appointment Made</t>
        </is>
      </c>
      <c r="AC1494"/>
      <c r="AD1494" t="inlineStr">
        <is>
          <t>2 accounts, 1 content creator, 1 driver</t>
        </is>
      </c>
      <c r="AE1494"/>
      <c r="AF1494">
        <v>3000</v>
      </c>
      <c r="AG1494" s="4"/>
      <c r="AH1494" s="4"/>
      <c r="AI1494"/>
      <c r="AJ1494"/>
      <c r="AK1494"/>
      <c r="AL1494"/>
      <c r="AM1494"/>
      <c r="AN1494"/>
      <c r="AO1494"/>
      <c r="AP1494" t="inlineStr">
        <is>
          <t>Twice a year (50%)</t>
        </is>
      </c>
      <c r="AQ1494"/>
      <c r="AR1494"/>
      <c r="AS1494" t="inlineStr">
        <is>
          <t>- Headcount: 4
- Hiring Job Details: 2 accounts, 1 content creator, 1 driver
- Hiring Urgency: Hiring Now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t>
        </is>
      </c>
      <c r="AT1494">
        <v>75</v>
      </c>
      <c r="AU1494" t="inlineStr">
        <is>
          <t>0.75</t>
        </is>
      </c>
      <c r="AV1494" t="inlineStr">
        <is>
          <t>15</t>
        </is>
      </c>
      <c r="AW1494" t="inlineStr">
        <is>
          <t>0</t>
        </is>
      </c>
      <c r="AX1494" t="inlineStr">
        <is>
          <t>Not Qualified</t>
        </is>
      </c>
      <c r="AY1494" s="4"/>
      <c r="AZ1494"/>
      <c r="BA1494"/>
      <c r="BB1494"/>
      <c r="BC1494" t="inlineStr">
        <is>
          <t>on hold</t>
        </is>
      </c>
      <c r="BD1494" s="4">
        <v>46136.68913194445</v>
      </c>
      <c r="BE1494" t="inlineStr">
        <is>
          <t>paid</t>
        </is>
      </c>
      <c r="BF1494" t="inlineStr">
        <is>
          <t>Q1-W13</t>
        </is>
      </c>
      <c r="BG1494" t="inlineStr">
        <is>
          <t>Reschedule</t>
        </is>
      </c>
      <c r="BH1494" t="inlineStr">
        <is>
          <t>Reagen</t>
        </is>
      </c>
      <c r="BI1494"/>
      <c r="BJ1494" s="4">
        <v>46144.75402777778</v>
      </c>
      <c r="BK1494" s="4">
        <v>46106.59841435185</v>
      </c>
      <c r="BL1494" t="inlineStr">
        <is>
          <t>2592.0</t>
        </is>
      </c>
      <c r="BM1494" t="inlineStr">
        <is>
          <t>0.0</t>
        </is>
      </c>
      <c r="BN1494" t="inlineStr">
        <is>
          <t>PA Visit - Job Card</t>
        </is>
      </c>
      <c r="BO1494" s="4">
        <v>46141.46991898148</v>
      </c>
      <c r="BP1494">
        <v>168820</v>
      </c>
      <c r="BQ1494">
        <v>124033</v>
      </c>
      <c r="BR1494" t="inlineStr">
        <is>
          <t>Proforma</t>
        </is>
      </c>
      <c r="BS1494" t="inlineStr">
        <is>
          <t>Free Freelance Job</t>
        </is>
      </c>
      <c r="BT1494">
        <v>7542</v>
      </c>
      <c r="BU1494"/>
      <c r="BV1494">
        <v>2727085</v>
      </c>
      <c r="BW1494" t="inlineStr">
        <is>
          <t>Follow Up : Budget Concern</t>
        </is>
      </c>
      <c r="BX1494">
        <v>5</v>
      </c>
      <c r="BY1494">
        <v>2</v>
      </c>
      <c r="BZ1494" s="4">
        <v>46113.492476851854</v>
      </c>
      <c r="CA1494">
        <v>53</v>
      </c>
      <c r="CB1494">
        <v>22</v>
      </c>
      <c r="CC1494" s="4">
        <v>46141.470509259256</v>
      </c>
      <c r="CD1494" t="inlineStr">
        <is>
          <t>20</t>
        </is>
      </c>
      <c r="CE1494" t="inlineStr">
        <is>
          <t>0</t>
        </is>
      </c>
      <c r="CF1494" t="inlineStr">
        <is>
          <t>Q2-W04</t>
        </is>
      </c>
      <c r="CG1494" t="inlineStr">
        <is>
          <t>Q2-W04</t>
        </is>
      </c>
      <c r="CH1494" t="inlineStr">
        <is>
          <t>Q1-W13</t>
        </is>
      </c>
      <c r="CI1494"/>
      <c r="CJ1494" t="inlineStr">
        <is>
          <t>Paid</t>
        </is>
      </c>
      <c r="CK1494" t="inlineStr">
        <is>
          <t>Not Eligible</t>
        </is>
      </c>
      <c r="CL1494"/>
      <c r="CM1494"/>
    </row>
    <row r="1495" ht="25.5" customHeight="1">
      <c r="A1495" t="inlineStr">
        <is>
          <t>115875</t>
        </is>
      </c>
      <c r="B1495" s="2"/>
      <c r="C1495"/>
      <c r="D1495" s="3">
        <v>46125.462164351855</v>
      </c>
      <c r="E1495" t="inlineStr">
        <is>
          <t>Q2-W02</t>
        </is>
      </c>
      <c r="F1495" t="inlineStr">
        <is>
          <t>Ratha</t>
        </is>
      </c>
      <c r="G1495" t="inlineStr">
        <is>
          <t>Customer</t>
        </is>
      </c>
      <c r="H1495" s="2" t="str">
        <f>=HYPERLINK("https://upbox.ajobthing.my/customer/115875", "https://upbox.ajobthing.my/customer/115875")</f>
        <v>https://upbox.ajobthing.my/customer/115875</v>
      </c>
      <c r="I1495" t="inlineStr">
        <is>
          <t>V Plus Interior Sdn Bhd</t>
        </is>
      </c>
      <c r="J1495" t="inlineStr">
        <is>
          <t>Dolphin</t>
        </is>
      </c>
      <c r="K1495" t="inlineStr">
        <is>
          <t>Ratha</t>
        </is>
      </c>
      <c r="L1495" s="4"/>
      <c r="M1495" s="4">
        <v>46125.46457175926</v>
      </c>
      <c r="N1495"/>
      <c r="O1495">
        <v>2592</v>
      </c>
      <c r="P1495" s="4"/>
      <c r="Q1495" s="4">
        <v>45723.6340625</v>
      </c>
      <c r="R1495"/>
      <c r="S1495">
        <v>1620</v>
      </c>
      <c r="T1495" s="4">
        <v>45723.6340625</v>
      </c>
      <c r="U1495" s="4"/>
      <c r="V1495"/>
      <c r="W1495">
        <v>1620</v>
      </c>
      <c r="X1495"/>
      <c r="Y1495" t="inlineStr">
        <is>
          <t>Pending Appointment</t>
        </is>
      </c>
      <c r="Z1495" t="inlineStr">
        <is>
          <t>Hiring Now</t>
        </is>
      </c>
      <c r="AA1495">
        <v>2</v>
      </c>
      <c r="AB1495" t="inlineStr">
        <is>
          <t>No Appointment Made</t>
        </is>
      </c>
      <c r="AC1495"/>
      <c r="AD1495" t="inlineStr">
        <is>
          <t>accountant and installer
Location : Subang Jaya</t>
        </is>
      </c>
      <c r="AE1495"/>
      <c r="AF1495"/>
      <c r="AG1495" s="4"/>
      <c r="AH1495" s="4"/>
      <c r="AI1495">
        <v>0</v>
      </c>
      <c r="AJ1495">
        <v>1</v>
      </c>
      <c r="AK1495" t="inlineStr">
        <is>
          <t>Yes, I have</t>
        </is>
      </c>
      <c r="AL1495">
        <v>2</v>
      </c>
      <c r="AM1495" t="inlineStr">
        <is>
          <t>No, I don't need at all</t>
        </is>
      </c>
      <c r="AN1495"/>
      <c r="AO1495" t="inlineStr">
        <is>
          <t>No, I don't need at all</t>
        </is>
      </c>
      <c r="AP1495" t="inlineStr">
        <is>
          <t>Once per quarter (75%)</t>
        </is>
      </c>
      <c r="AQ1495">
        <v>0</v>
      </c>
      <c r="AR1495" t="inlineStr">
        <is>
          <t>Did not use any job portal</t>
        </is>
      </c>
      <c r="AS1495" t="inlineStr">
        <is>
          <t>- Headcount: 2
- Hiring Job Details: accountant and installer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is>
      </c>
      <c r="AT1495">
        <v>95</v>
      </c>
      <c r="AU1495" t="inlineStr">
        <is>
          <t>0.95</t>
        </is>
      </c>
      <c r="AV1495" t="inlineStr">
        <is>
          <t>5</t>
        </is>
      </c>
      <c r="AW1495" t="inlineStr">
        <is>
          <t>0</t>
        </is>
      </c>
      <c r="AX1495" t="inlineStr">
        <is>
          <t>Not Qualified</t>
        </is>
      </c>
      <c r="AY1495" s="4"/>
      <c r="AZ1495"/>
      <c r="BA1495"/>
      <c r="BB1495"/>
      <c r="BC1495" t="inlineStr">
        <is>
          <t>no answer</t>
        </is>
      </c>
      <c r="BD1495" s="4">
        <v>46140.50739583333</v>
      </c>
      <c r="BE1495" t="inlineStr">
        <is>
          <t>paid</t>
        </is>
      </c>
      <c r="BF1495"/>
      <c r="BG1495" t="inlineStr">
        <is>
          <t>Reschedule</t>
        </is>
      </c>
      <c r="BH1495" t="inlineStr">
        <is>
          <t>Fauziah Maharan</t>
        </is>
      </c>
      <c r="BI1495" t="inlineStr">
        <is>
          <t>Architecture / Interior Design</t>
        </is>
      </c>
      <c r="BJ1495" s="4">
        <v>46144.75016203704</v>
      </c>
      <c r="BK1495" s="4">
        <v>43511.43340277778</v>
      </c>
      <c r="BL1495" t="inlineStr">
        <is>
          <t>0.0</t>
        </is>
      </c>
      <c r="BM1495" t="inlineStr">
        <is>
          <t>0.0</t>
        </is>
      </c>
      <c r="BN1495" t="inlineStr">
        <is>
          <t>View Create Job Page V4</t>
        </is>
      </c>
      <c r="BO1495" s="4">
        <v>46100.612337962964</v>
      </c>
      <c r="BP1495">
        <v>166664</v>
      </c>
      <c r="BQ1495">
        <v>5657</v>
      </c>
      <c r="BR1495" t="inlineStr">
        <is>
          <t>Manual (Paid)</t>
        </is>
      </c>
      <c r="BS1495" t="inlineStr">
        <is>
          <t>Yearly Standard Plan - Upgrade to Package
- Yearly Standard Plan of 3 Instant Job Ads + 2 Free Instant Job Ads with Booster
- 5 Instant Job Ads will be published on Maukerja, Ricebowl, Epicareer, Facebook, Google and Linkedin
- 5 Instant Job Ads will be published for 45 days
- 5 Booster Plus (8 times bump up)
- 50 People Search
- Free up to 50 AI Recommended Profiles
- Free 5 Internship OR Manager Job Ads
- Premium Company Page for 12 months
- Package valid for 12 months</t>
        </is>
      </c>
      <c r="BT1495">
        <v>5657</v>
      </c>
      <c r="BU1495"/>
      <c r="BV1495">
        <v>2732380</v>
      </c>
      <c r="BW1495" t="inlineStr">
        <is>
          <t>No Answer : Voicemail - WA sent to customer</t>
        </is>
      </c>
      <c r="BX1495"/>
      <c r="BY1495"/>
      <c r="BZ1495" s="4"/>
      <c r="CA1495"/>
      <c r="CB1495"/>
      <c r="CC1495" s="4"/>
      <c r="CD1495" t="inlineStr">
        <is>
          <t>5</t>
        </is>
      </c>
      <c r="CE1495" t="inlineStr">
        <is>
          <t>0</t>
        </is>
      </c>
      <c r="CF1495" t="inlineStr">
        <is>
          <t>Q2-W02</t>
        </is>
      </c>
      <c r="CG1495"/>
      <c r="CH1495"/>
      <c r="CI1495"/>
      <c r="CJ1495" t="inlineStr">
        <is>
          <t>Paid</t>
        </is>
      </c>
      <c r="CK1495" t="inlineStr">
        <is>
          <t>Not Eligible</t>
        </is>
      </c>
      <c r="CL1495"/>
      <c r="CM1495"/>
    </row>
    <row r="1496" ht="25.5" customHeight="1">
      <c r="A1496" t="inlineStr">
        <is>
          <t>4274979</t>
        </is>
      </c>
      <c r="B1496" s="2"/>
      <c r="C1496"/>
      <c r="D1496" s="3">
        <v>46125.46383101852</v>
      </c>
      <c r="E1496" t="inlineStr">
        <is>
          <t>Q2-W02</t>
        </is>
      </c>
      <c r="F1496" t="inlineStr">
        <is>
          <t>Alan KY</t>
        </is>
      </c>
      <c r="G1496" t="inlineStr">
        <is>
          <t>Lead</t>
        </is>
      </c>
      <c r="H1496" s="2" t="str">
        <f>=HYPERLINK("https://upbox.ajobthing.my/leads/4274979", "https://upbox.ajobthing.my/leads/4274979")</f>
        <v>https://upbox.ajobthing.my/leads/4274979</v>
      </c>
      <c r="I1496" t="inlineStr">
        <is>
          <t>NE AUTO SERVICES</t>
        </is>
      </c>
      <c r="J1496" t="inlineStr">
        <is>
          <t>Dolphin</t>
        </is>
      </c>
      <c r="K1496" t="inlineStr">
        <is>
          <t>Alan KY</t>
        </is>
      </c>
      <c r="L1496" s="4"/>
      <c r="M1496" s="4">
        <v>46125.45664351852</v>
      </c>
      <c r="N1496"/>
      <c r="O1496">
        <v>3888</v>
      </c>
      <c r="P1496" s="4"/>
      <c r="Q1496" s="4"/>
      <c r="R1496"/>
      <c r="S1496"/>
      <c r="T1496" s="4"/>
      <c r="U1496" s="4"/>
      <c r="V1496"/>
      <c r="W1496"/>
      <c r="X1496"/>
      <c r="Y1496" t="inlineStr">
        <is>
          <t>Pending Appointment</t>
        </is>
      </c>
      <c r="Z1496" t="inlineStr">
        <is>
          <t>Hiring Now</t>
        </is>
      </c>
      <c r="AA1496">
        <v>2</v>
      </c>
      <c r="AB1496" t="inlineStr">
        <is>
          <t>No Appointment Made</t>
        </is>
      </c>
      <c r="AC1496"/>
      <c r="AD1496" t="inlineStr">
        <is>
          <t xml:space="preserve">1 admin clerk , 1 technician based in johor </t>
        </is>
      </c>
      <c r="AE1496"/>
      <c r="AF1496"/>
      <c r="AG1496" s="4"/>
      <c r="AH1496" s="4"/>
      <c r="AI1496"/>
      <c r="AJ1496"/>
      <c r="AK1496" t="inlineStr">
        <is>
          <t>No, I don't need at all</t>
        </is>
      </c>
      <c r="AL1496"/>
      <c r="AM1496" t="inlineStr">
        <is>
          <t>No, I don't need at all</t>
        </is>
      </c>
      <c r="AN1496"/>
      <c r="AO1496" t="inlineStr">
        <is>
          <t>No, I don't need at all</t>
        </is>
      </c>
      <c r="AP1496" t="inlineStr">
        <is>
          <t>Once per quarter (75%)</t>
        </is>
      </c>
      <c r="AQ1496"/>
      <c r="AR1496" t="inlineStr">
        <is>
          <t>Did not use any job portal</t>
        </is>
      </c>
      <c r="AS1496" t="inlineStr">
        <is>
          <t>- Headcount: 2
- Hiring Job Details: 1 admin clerk, 1 technician based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Did not use any job portal</t>
        </is>
      </c>
      <c r="AT1496">
        <v>95</v>
      </c>
      <c r="AU1496" t="inlineStr">
        <is>
          <t>0.95</t>
        </is>
      </c>
      <c r="AV1496" t="inlineStr">
        <is>
          <t>5</t>
        </is>
      </c>
      <c r="AW1496" t="inlineStr">
        <is>
          <t>0</t>
        </is>
      </c>
      <c r="AX1496" t="inlineStr">
        <is>
          <t>Not Qualified</t>
        </is>
      </c>
      <c r="AY1496" s="4"/>
      <c r="AZ1496"/>
      <c r="BA1496"/>
      <c r="BB1496"/>
      <c r="BC1496"/>
      <c r="BD1496" s="4"/>
      <c r="BE1496"/>
      <c r="BF1496"/>
      <c r="BG1496" t="inlineStr">
        <is>
          <t>Reschedule</t>
        </is>
      </c>
      <c r="BH1496" t="inlineStr">
        <is>
          <t>Reagen</t>
        </is>
      </c>
      <c r="BI1496"/>
      <c r="BJ1496" s="4">
        <v>46144.75581018518</v>
      </c>
      <c r="BK1496" s="4">
        <v>46125.3237037037</v>
      </c>
      <c r="BL1496" t="inlineStr">
        <is>
          <t>0.0</t>
        </is>
      </c>
      <c r="BM1496" t="inlineStr">
        <is>
          <t>0.0</t>
        </is>
      </c>
      <c r="BN1496"/>
      <c r="BO1496" s="4"/>
      <c r="BP1496">
        <v>166659</v>
      </c>
      <c r="BQ1496"/>
      <c r="BR1496"/>
      <c r="BS1496"/>
      <c r="BT1496"/>
      <c r="BU1496"/>
      <c r="BV1496"/>
      <c r="BW1496"/>
      <c r="BX1496"/>
      <c r="BY1496"/>
      <c r="BZ1496" s="4"/>
      <c r="CA1496"/>
      <c r="CB1496"/>
      <c r="CC1496" s="4"/>
      <c r="CD1496" t="inlineStr">
        <is>
          <t>5</t>
        </is>
      </c>
      <c r="CE1496" t="inlineStr">
        <is>
          <t>0</t>
        </is>
      </c>
      <c r="CF1496" t="inlineStr">
        <is>
          <t>Q2-W02</t>
        </is>
      </c>
      <c r="CG1496"/>
      <c r="CH1496"/>
      <c r="CI1496"/>
      <c r="CJ1496" t="inlineStr">
        <is>
          <t>No Paid</t>
        </is>
      </c>
      <c r="CK1496" t="inlineStr">
        <is>
          <t>Not Eligible</t>
        </is>
      </c>
      <c r="CL1496"/>
      <c r="CM1496"/>
    </row>
    <row r="1497" ht="25.5" customHeight="1">
      <c r="A1497" t="inlineStr">
        <is>
          <t>198150</t>
        </is>
      </c>
      <c r="B1497" s="2"/>
      <c r="C1497"/>
      <c r="D1497" s="3">
        <v>46125.46853009259</v>
      </c>
      <c r="E1497" t="inlineStr">
        <is>
          <t>Q2-W02</t>
        </is>
      </c>
      <c r="F1497" t="inlineStr">
        <is>
          <t>Ken Yi</t>
        </is>
      </c>
      <c r="G1497" t="inlineStr">
        <is>
          <t>Customer</t>
        </is>
      </c>
      <c r="H1497" s="2" t="str">
        <f>=HYPERLINK("https://upbox.ajobthing.my/customer/198150", "https://upbox.ajobthing.my/customer/198150")</f>
        <v>https://upbox.ajobthing.my/customer/198150</v>
      </c>
      <c r="I1497" t="inlineStr">
        <is>
          <t>Chongdee Teahouse (M) Sdn Bhd</t>
        </is>
      </c>
      <c r="J1497" t="inlineStr">
        <is>
          <t>Dolphin</t>
        </is>
      </c>
      <c r="K1497" t="inlineStr">
        <is>
          <t>Kenyi</t>
        </is>
      </c>
      <c r="L1497" s="4"/>
      <c r="M1497" s="4">
        <v>46125.46908564815</v>
      </c>
      <c r="N1497"/>
      <c r="O1497">
        <v>10800</v>
      </c>
      <c r="P1497" s="4"/>
      <c r="Q1497" s="4">
        <v>45973.60857638889</v>
      </c>
      <c r="R1497"/>
      <c r="S1497">
        <v>3780</v>
      </c>
      <c r="T1497" s="4">
        <v>45973.60857638889</v>
      </c>
      <c r="U1497" s="4"/>
      <c r="V1497"/>
      <c r="W1497">
        <v>3780</v>
      </c>
      <c r="X1497"/>
      <c r="Y1497" t="inlineStr">
        <is>
          <t>Pending Appointment</t>
        </is>
      </c>
      <c r="Z1497" t="inlineStr">
        <is>
          <t>Hiring Now</t>
        </is>
      </c>
      <c r="AA1497">
        <v>5</v>
      </c>
      <c r="AB1497" t="inlineStr">
        <is>
          <t>No Appointment Made</t>
        </is>
      </c>
      <c r="AC1497"/>
      <c r="AD1497" t="inlineStr">
        <is>
          <t>Service Crew, Barista 5</t>
        </is>
      </c>
      <c r="AE1497"/>
      <c r="AF1497">
        <v>0</v>
      </c>
      <c r="AG1497" s="4"/>
      <c r="AH1497" s="4"/>
      <c r="AI1497">
        <v>0</v>
      </c>
      <c r="AJ1497">
        <v>2</v>
      </c>
      <c r="AK1497" t="inlineStr">
        <is>
          <t>Yes, I have</t>
        </is>
      </c>
      <c r="AL1497">
        <v>1</v>
      </c>
      <c r="AM1497" t="inlineStr">
        <is>
          <t>No, I don't need at all</t>
        </is>
      </c>
      <c r="AN1497"/>
      <c r="AO1497" t="inlineStr">
        <is>
          <t>No, I don't need at all</t>
        </is>
      </c>
      <c r="AP1497" t="inlineStr">
        <is>
          <t>Every month (100%)</t>
        </is>
      </c>
      <c r="AQ1497">
        <v>5</v>
      </c>
      <c r="AR1497" t="inlineStr">
        <is>
          <t>Did not use any job portal</t>
        </is>
      </c>
      <c r="AS1497" t="inlineStr">
        <is>
          <t>- Headcount: 5
- Hiring Job Details: Service Crew, Barista 5
- Hiring Urgency: Hiring Now
- Number of outlets: 2
- Have recruiter team: Yes
- Number of recruiter in company: 1
- Have ATS system: No, I don't need at all
- Have career website: No, I don't need at all
- Current hiring budget: RM0
- Whole year budget: RM0.00
- Whole year number of vacancies: 5
- Hiring frequency: Every month (100%)
- External job portal: Did not use any job portal</t>
        </is>
      </c>
      <c r="AT1497">
        <v>115</v>
      </c>
      <c r="AU1497" t="inlineStr">
        <is>
          <t>1.15</t>
        </is>
      </c>
      <c r="AV1497" t="inlineStr">
        <is>
          <t>20</t>
        </is>
      </c>
      <c r="AW1497" t="inlineStr">
        <is>
          <t>0</t>
        </is>
      </c>
      <c r="AX1497" t="inlineStr">
        <is>
          <t>Not Qualified</t>
        </is>
      </c>
      <c r="AY1497" s="4"/>
      <c r="AZ1497"/>
      <c r="BA1497"/>
      <c r="BB1497"/>
      <c r="BC1497" t="inlineStr">
        <is>
          <t>- Headcount: 1
- Hiring Job Details: 1 Tea Barista
- Hiring Urgency: Hiring Now
- Number of outlets: 1
- Have recruiter team: Yes
- Number of recruiter in company: 1
- Have ATS system: No, I don't need at all
- Have career website: No, I don't need at all
- Current hiring budget: RM0.00
- Whole year budget: RM0.00
- Whole year number of vacancies: 5
- Hiring frequency: Every month (100%)
- External job portal: Did not use any job portal</t>
        </is>
      </c>
      <c r="BD1497" s="4">
        <v>46125.50003472222</v>
      </c>
      <c r="BE1497" t="inlineStr">
        <is>
          <t>paid</t>
        </is>
      </c>
      <c r="BF1497"/>
      <c r="BG1497" t="inlineStr">
        <is>
          <t>Reschedule</t>
        </is>
      </c>
      <c r="BH1497" t="inlineStr">
        <is>
          <t>Fauziah Maharan</t>
        </is>
      </c>
      <c r="BI1497" t="inlineStr">
        <is>
          <t>Food / Beverage</t>
        </is>
      </c>
      <c r="BJ1497" s="4">
        <v>46144.752974537034</v>
      </c>
      <c r="BK1497" s="4">
        <v>45973.39084490741</v>
      </c>
      <c r="BL1497" t="inlineStr">
        <is>
          <t>3780.0</t>
        </is>
      </c>
      <c r="BM1497" t="inlineStr">
        <is>
          <t>0.0</t>
        </is>
      </c>
      <c r="BN1497" t="inlineStr">
        <is>
          <t>User Visit(Logged In)</t>
        </is>
      </c>
      <c r="BO1497" s="4">
        <v>46125.62976851852</v>
      </c>
      <c r="BP1497">
        <v>166667</v>
      </c>
      <c r="BQ1497">
        <v>6737</v>
      </c>
      <c r="BR1497" t="inlineStr">
        <is>
          <t>Manual (Paid)</t>
        </is>
      </c>
      <c r="BS1497" t="inlineStr">
        <is>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t>
        </is>
      </c>
      <c r="BT1497">
        <v>6737</v>
      </c>
      <c r="BU1497"/>
      <c r="BV1497">
        <v>2700536</v>
      </c>
      <c r="BW1497" t="inlineStr">
        <is>
          <t>Customer Inquiry</t>
        </is>
      </c>
      <c r="BX1497">
        <v>6</v>
      </c>
      <c r="BY1497">
        <v>4</v>
      </c>
      <c r="BZ1497" s="4">
        <v>46041.70533564815</v>
      </c>
      <c r="CA1497">
        <v>60</v>
      </c>
      <c r="CB1497">
        <v>30</v>
      </c>
      <c r="CC1497" s="4">
        <v>46056.52510416666</v>
      </c>
      <c r="CD1497" t="inlineStr">
        <is>
          <t>30</t>
        </is>
      </c>
      <c r="CE1497" t="inlineStr">
        <is>
          <t>0</t>
        </is>
      </c>
      <c r="CF1497" t="inlineStr">
        <is>
          <t>Q2-W02</t>
        </is>
      </c>
      <c r="CG1497"/>
      <c r="CH1497"/>
      <c r="CI1497"/>
      <c r="CJ1497" t="inlineStr">
        <is>
          <t>Paid</t>
        </is>
      </c>
      <c r="CK1497" t="inlineStr">
        <is>
          <t>Not Eligible</t>
        </is>
      </c>
      <c r="CL1497"/>
      <c r="CM1497"/>
    </row>
    <row r="1498" ht="25.5" customHeight="1">
      <c r="A1498" t="inlineStr">
        <is>
          <t>4270661</t>
        </is>
      </c>
      <c r="B1498" s="2"/>
      <c r="C1498"/>
      <c r="D1498" s="3">
        <v>46125.47255787037</v>
      </c>
      <c r="E1498" t="inlineStr">
        <is>
          <t>Q2-W02</t>
        </is>
      </c>
      <c r="F1498" t="inlineStr">
        <is>
          <t>Jess</t>
        </is>
      </c>
      <c r="G1498" t="inlineStr">
        <is>
          <t>Lead</t>
        </is>
      </c>
      <c r="H1498" s="2" t="str">
        <f>=HYPERLINK("https://upbox.ajobthing.my/leads/4270661", "https://upbox.ajobthing.my/leads/4270661")</f>
        <v>https://upbox.ajobthing.my/leads/4270661</v>
      </c>
      <c r="I1498" t="inlineStr">
        <is>
          <t>EGD TRADING</t>
        </is>
      </c>
      <c r="J1498" t="inlineStr">
        <is>
          <t>Dolphin</t>
        </is>
      </c>
      <c r="K1498" t="inlineStr">
        <is>
          <t>Jess Lim</t>
        </is>
      </c>
      <c r="L1498" s="4"/>
      <c r="M1498" s="4">
        <v>46125.4737962963</v>
      </c>
      <c r="N1498"/>
      <c r="O1498">
        <v>5832</v>
      </c>
      <c r="P1498" s="4"/>
      <c r="Q1498" s="4"/>
      <c r="R1498"/>
      <c r="S1498"/>
      <c r="T1498" s="4"/>
      <c r="U1498" s="4"/>
      <c r="V1498"/>
      <c r="W1498"/>
      <c r="X1498"/>
      <c r="Y1498" t="inlineStr">
        <is>
          <t>Pending Appointment</t>
        </is>
      </c>
      <c r="Z1498" t="inlineStr">
        <is>
          <t>Hiring Now</t>
        </is>
      </c>
      <c r="AA1498">
        <v>2</v>
      </c>
      <c r="AB1498" t="inlineStr">
        <is>
          <t>No Appointment Made</t>
        </is>
      </c>
      <c r="AC1498"/>
      <c r="AD1498" t="inlineStr">
        <is>
          <t>account retail</t>
        </is>
      </c>
      <c r="AE1498"/>
      <c r="AF1498">
        <v>3600</v>
      </c>
      <c r="AG1498" s="4"/>
      <c r="AH1498" s="4"/>
      <c r="AI1498"/>
      <c r="AJ1498">
        <v>1</v>
      </c>
      <c r="AK1498" t="inlineStr">
        <is>
          <t>No, I don't need at all</t>
        </is>
      </c>
      <c r="AL1498">
        <v>1</v>
      </c>
      <c r="AM1498" t="inlineStr">
        <is>
          <t>No, I don't need at all</t>
        </is>
      </c>
      <c r="AN1498"/>
      <c r="AO1498"/>
      <c r="AP1498" t="inlineStr">
        <is>
          <t>Once a year (25%)</t>
        </is>
      </c>
      <c r="AQ1498"/>
      <c r="AR1498" t="inlineStr">
        <is>
          <t>Jobstreet</t>
        </is>
      </c>
      <c r="AS1498" t="inlineStr">
        <is>
          <t>- Headcount: 2
- Hiring Job Details: account retail
- Hiring Urgency: Hiring Now
- Number of outlets: 1
- Have recruiter team: No, I don't need at all
- Number of recruiter in company: 1
- Have ATS system: No, I don't need at all
- Have career website: Not specified
- Current hiring budget: RM3,600.00
- Whole year budget: Not specified
- Whole year number of vacancies: Not specified
- Hiring frequency: Once a year (25%)
- External job portal: Jobstreet</t>
        </is>
      </c>
      <c r="AT1498">
        <v>85</v>
      </c>
      <c r="AU1498" t="inlineStr">
        <is>
          <t>0.85</t>
        </is>
      </c>
      <c r="AV1498" t="inlineStr">
        <is>
          <t>15</t>
        </is>
      </c>
      <c r="AW1498" t="inlineStr">
        <is>
          <t>0</t>
        </is>
      </c>
      <c r="AX1498" t="inlineStr">
        <is>
          <t>Not Qualified</t>
        </is>
      </c>
      <c r="AY1498" s="4"/>
      <c r="AZ1498"/>
      <c r="BA1498"/>
      <c r="BB1498"/>
      <c r="BC1498"/>
      <c r="BD1498" s="4"/>
      <c r="BE1498"/>
      <c r="BF1498"/>
      <c r="BG1498" t="inlineStr">
        <is>
          <t>Reschedule</t>
        </is>
      </c>
      <c r="BH1498" t="inlineStr">
        <is>
          <t>Fauziah Maharan</t>
        </is>
      </c>
      <c r="BI1498"/>
      <c r="BJ1498" s="4">
        <v>46144.75581018518</v>
      </c>
      <c r="BK1498" s="4">
        <v>46122.93237268519</v>
      </c>
      <c r="BL1498" t="inlineStr">
        <is>
          <t>0.0</t>
        </is>
      </c>
      <c r="BM1498" t="inlineStr">
        <is>
          <t>4800.0</t>
        </is>
      </c>
      <c r="BN1498"/>
      <c r="BO1498" s="4"/>
      <c r="BP1498">
        <v>166669</v>
      </c>
      <c r="BQ1498"/>
      <c r="BR1498"/>
      <c r="BS1498"/>
      <c r="BT1498"/>
      <c r="BU1498"/>
      <c r="BV1498"/>
      <c r="BW1498"/>
      <c r="BX1498"/>
      <c r="BY1498"/>
      <c r="BZ1498" s="4"/>
      <c r="CA1498"/>
      <c r="CB1498"/>
      <c r="CC1498" s="4"/>
      <c r="CD1498" t="inlineStr">
        <is>
          <t>20</t>
        </is>
      </c>
      <c r="CE1498" t="inlineStr">
        <is>
          <t>0</t>
        </is>
      </c>
      <c r="CF1498" t="inlineStr">
        <is>
          <t>Q2-W02</t>
        </is>
      </c>
      <c r="CG1498"/>
      <c r="CH1498"/>
      <c r="CI1498"/>
      <c r="CJ1498" t="inlineStr">
        <is>
          <t>No Paid</t>
        </is>
      </c>
      <c r="CK1498" t="inlineStr">
        <is>
          <t>Not Eligible</t>
        </is>
      </c>
      <c r="CL1498"/>
      <c r="CM1498"/>
    </row>
    <row r="1499" ht="25.5" customHeight="1">
      <c r="A1499" t="inlineStr">
        <is>
          <t>172249</t>
        </is>
      </c>
      <c r="B1499" s="2"/>
      <c r="C1499"/>
      <c r="D1499" s="3">
        <v>46125.47299768519</v>
      </c>
      <c r="E1499" t="inlineStr">
        <is>
          <t>Q2-W02</t>
        </is>
      </c>
      <c r="F1499" t="inlineStr">
        <is>
          <t>Clover</t>
        </is>
      </c>
      <c r="G1499" t="inlineStr">
        <is>
          <t>Customer</t>
        </is>
      </c>
      <c r="H1499" s="2" t="str">
        <f>=HYPERLINK("https://upbox.ajobthing.my/customer/172249", "https://upbox.ajobthing.my/customer/172249")</f>
        <v>https://upbox.ajobthing.my/customer/172249</v>
      </c>
      <c r="I1499" t="inlineStr">
        <is>
          <t>Autism Link Sdn Bhd</t>
        </is>
      </c>
      <c r="J1499" t="inlineStr">
        <is>
          <t>Dolphin</t>
        </is>
      </c>
      <c r="K1499" t="inlineStr">
        <is>
          <t>Clover</t>
        </is>
      </c>
      <c r="L1499" s="4"/>
      <c r="M1499" s="4">
        <v>46125.45395833333</v>
      </c>
      <c r="N1499"/>
      <c r="O1499">
        <v>3888</v>
      </c>
      <c r="P1499" s="4"/>
      <c r="Q1499" s="4">
        <v>45223.37511574074</v>
      </c>
      <c r="R1499"/>
      <c r="S1499">
        <v>954</v>
      </c>
      <c r="T1499" s="4">
        <v>45223.37511574074</v>
      </c>
      <c r="U1499" s="4"/>
      <c r="V1499"/>
      <c r="W1499">
        <v>954</v>
      </c>
      <c r="X1499"/>
      <c r="Y1499" t="inlineStr">
        <is>
          <t>Pending Appointment</t>
        </is>
      </c>
      <c r="Z1499" t="inlineStr">
        <is>
          <t>Hiring Now</t>
        </is>
      </c>
      <c r="AA1499">
        <v>2</v>
      </c>
      <c r="AB1499" t="inlineStr">
        <is>
          <t>No Appointment Made</t>
        </is>
      </c>
      <c r="AC1499"/>
      <c r="AD1499" t="inlineStr">
        <is>
          <t>03-2011 6708 , using own system hire,  hire teacher x1-2, damansara, share info to - enquiries@autism.my, suggest stand</t>
        </is>
      </c>
      <c r="AE1499"/>
      <c r="AF1499">
        <v>3000</v>
      </c>
      <c r="AG1499" s="4"/>
      <c r="AH1499" s="4"/>
      <c r="AI1499">
        <v>3000</v>
      </c>
      <c r="AJ1499"/>
      <c r="AK1499" t="inlineStr">
        <is>
          <t>Yes, I have</t>
        </is>
      </c>
      <c r="AL1499">
        <v>1</v>
      </c>
      <c r="AM1499" t="inlineStr">
        <is>
          <t>No, but I want in future</t>
        </is>
      </c>
      <c r="AN1499"/>
      <c r="AO1499" t="inlineStr">
        <is>
          <t>Yes, I have</t>
        </is>
      </c>
      <c r="AP1499" t="inlineStr">
        <is>
          <t>Twice a year (50%)</t>
        </is>
      </c>
      <c r="AQ1499">
        <v>2</v>
      </c>
      <c r="AR1499" t="inlineStr">
        <is>
          <t>Did not use any job portal</t>
        </is>
      </c>
      <c r="AS1499" t="inlineStr">
        <is>
          <t>- Headcount: 2
- Hiring Job Details: 03-2011 6708, using own system hire, hire teacher x1-2, damansara, share info to enquiries@autism.my, suggest stand
- Hiring Urgency: Hiring Now
- Number of outlets: 
- Have recruiter team: Yes
- Number of recruiter in company: 1
- Have ATS system: No, but want in future
- Have career website: Yes
- Current hiring budget: RM3,000
- Whole year budget: RM3,000.00
- Whole year number of vacancies: 2
- Hiring frequency: Twice a year (50%)
- External job portal: Did not use any job portal</t>
        </is>
      </c>
      <c r="AT1499">
        <v>95</v>
      </c>
      <c r="AU1499" t="inlineStr">
        <is>
          <t>0.95</t>
        </is>
      </c>
      <c r="AV1499" t="inlineStr">
        <is>
          <t>15</t>
        </is>
      </c>
      <c r="AW1499" t="inlineStr">
        <is>
          <t>0</t>
        </is>
      </c>
      <c r="AX1499" t="inlineStr">
        <is>
          <t>Not Qualified</t>
        </is>
      </c>
      <c r="AY1499" s="4"/>
      <c r="AZ1499"/>
      <c r="BA1499"/>
      <c r="BB1499"/>
      <c r="BC1499" t="inlineStr">
        <is>
          <t>Call office  03-2011 6708  npu, email fu enquiries@autism.my</t>
        </is>
      </c>
      <c r="BD1499" s="4">
        <v>46136.7703587963</v>
      </c>
      <c r="BE1499" t="inlineStr">
        <is>
          <t>paid</t>
        </is>
      </c>
      <c r="BF1499"/>
      <c r="BG1499" t="inlineStr">
        <is>
          <t>Reschedule</t>
        </is>
      </c>
      <c r="BH1499" t="inlineStr">
        <is>
          <t>Reagen</t>
        </is>
      </c>
      <c r="BI1499" t="inlineStr">
        <is>
          <t>Education / Training</t>
        </is>
      </c>
      <c r="BJ1499" s="4">
        <v>46144.75148148148</v>
      </c>
      <c r="BK1499" s="4">
        <v>45222.67570601852</v>
      </c>
      <c r="BL1499" t="inlineStr">
        <is>
          <t>0.0</t>
        </is>
      </c>
      <c r="BM1499" t="inlineStr">
        <is>
          <t>1200.0</t>
        </is>
      </c>
      <c r="BN1499" t="inlineStr">
        <is>
          <t>View Applicant Page</t>
        </is>
      </c>
      <c r="BO1499" s="4">
        <v>45267.43775462963</v>
      </c>
      <c r="BP1499">
        <v>166657</v>
      </c>
      <c r="BQ1499">
        <v>63183</v>
      </c>
      <c r="BR1499" t="inlineStr">
        <is>
          <t>Online</t>
        </is>
      </c>
      <c r="BS1499"/>
      <c r="BT1499">
        <v>63183</v>
      </c>
      <c r="BU1499"/>
      <c r="BV1499">
        <v>2727564</v>
      </c>
      <c r="BW1499" t="inlineStr">
        <is>
          <t>No Answer : Voicemail - WA sent to customer</t>
        </is>
      </c>
      <c r="BX1499"/>
      <c r="BY1499"/>
      <c r="BZ1499" s="4"/>
      <c r="CA1499"/>
      <c r="CB1499"/>
      <c r="CC1499" s="4"/>
      <c r="CD1499" t="inlineStr">
        <is>
          <t>20</t>
        </is>
      </c>
      <c r="CE1499" t="inlineStr">
        <is>
          <t>0</t>
        </is>
      </c>
      <c r="CF1499" t="inlineStr">
        <is>
          <t>Q2-W02</t>
        </is>
      </c>
      <c r="CG1499"/>
      <c r="CH1499"/>
      <c r="CI1499"/>
      <c r="CJ1499" t="inlineStr">
        <is>
          <t>Paid</t>
        </is>
      </c>
      <c r="CK1499" t="inlineStr">
        <is>
          <t>Not Eligible</t>
        </is>
      </c>
      <c r="CL1499"/>
      <c r="CM1499"/>
    </row>
    <row r="1500" ht="25.5" customHeight="1">
      <c r="A1500" t="inlineStr">
        <is>
          <t>4270393</t>
        </is>
      </c>
      <c r="B1500" s="2"/>
      <c r="C1500"/>
      <c r="D1500" s="3">
        <v>46125.47362268518</v>
      </c>
      <c r="E1500" t="inlineStr">
        <is>
          <t>Q2-W02</t>
        </is>
      </c>
      <c r="F1500" t="inlineStr">
        <is>
          <t>Evan</t>
        </is>
      </c>
      <c r="G1500" t="inlineStr">
        <is>
          <t>Lead</t>
        </is>
      </c>
      <c r="H1500" s="2" t="str">
        <f>=HYPERLINK("https://upbox.ajobthing.my/leads/4270393", "https://upbox.ajobthing.my/leads/4270393")</f>
        <v>https://upbox.ajobthing.my/leads/4270393</v>
      </c>
      <c r="I1500" t="inlineStr">
        <is>
          <t>Avareal Services (SHELL)</t>
        </is>
      </c>
      <c r="J1500" t="inlineStr">
        <is>
          <t>Dolphin</t>
        </is>
      </c>
      <c r="K1500" t="inlineStr">
        <is>
          <t>Evan</t>
        </is>
      </c>
      <c r="L1500" s="4"/>
      <c r="M1500" s="4">
        <v>46125.47387731481</v>
      </c>
      <c r="N1500"/>
      <c r="O1500">
        <v>3888</v>
      </c>
      <c r="P1500" s="4"/>
      <c r="Q1500" s="4"/>
      <c r="R1500"/>
      <c r="S1500"/>
      <c r="T1500" s="4"/>
      <c r="U1500" s="4"/>
      <c r="V1500"/>
      <c r="W1500"/>
      <c r="X1500"/>
      <c r="Y1500" t="inlineStr">
        <is>
          <t>Pending Appointment</t>
        </is>
      </c>
      <c r="Z1500" t="inlineStr">
        <is>
          <t>Hiring Now</t>
        </is>
      </c>
      <c r="AA1500">
        <v>5</v>
      </c>
      <c r="AB1500" t="inlineStr">
        <is>
          <t>No Appointment Made</t>
        </is>
      </c>
      <c r="AC1500"/>
      <c r="AD1500" t="inlineStr">
        <is>
          <t>5 pump attendant, all base in Kedah</t>
        </is>
      </c>
      <c r="AE1500"/>
      <c r="AF1500">
        <v>1</v>
      </c>
      <c r="AG1500" s="4"/>
      <c r="AH1500" s="4"/>
      <c r="AI1500">
        <v>1</v>
      </c>
      <c r="AJ1500">
        <v>2</v>
      </c>
      <c r="AK1500" t="inlineStr">
        <is>
          <t>No, I don't need at all</t>
        </is>
      </c>
      <c r="AL1500">
        <v>0</v>
      </c>
      <c r="AM1500" t="inlineStr">
        <is>
          <t>No, I don't need at all</t>
        </is>
      </c>
      <c r="AN1500"/>
      <c r="AO1500" t="inlineStr">
        <is>
          <t>No, I don't need at all</t>
        </is>
      </c>
      <c r="AP1500" t="inlineStr">
        <is>
          <t>Once per quarter (75%)</t>
        </is>
      </c>
      <c r="AQ1500">
        <v>5</v>
      </c>
      <c r="AR1500" t="inlineStr">
        <is>
          <t>Did not use any job portal</t>
        </is>
      </c>
      <c r="AS1500" t="inlineStr">
        <is>
          <t>- Headcount: 5
- Hiring Job Details: 5 pump attendant, all base in Kedah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5
- Hiring frequency: Once per quarter (75%)
- External job portal: Did not use any job portal</t>
        </is>
      </c>
      <c r="AT1500">
        <v>120</v>
      </c>
      <c r="AU1500" t="inlineStr">
        <is>
          <t>1.20</t>
        </is>
      </c>
      <c r="AV1500" t="inlineStr">
        <is>
          <t>20</t>
        </is>
      </c>
      <c r="AW1500" t="inlineStr">
        <is>
          <t>0</t>
        </is>
      </c>
      <c r="AX1500" t="inlineStr">
        <is>
          <t>Not Qualified</t>
        </is>
      </c>
      <c r="AY1500" s="4"/>
      <c r="AZ1500"/>
      <c r="BA1500"/>
      <c r="BB1500"/>
      <c r="BC1500"/>
      <c r="BD1500" s="4"/>
      <c r="BE1500"/>
      <c r="BF1500"/>
      <c r="BG1500" t="inlineStr">
        <is>
          <t>Reschedule</t>
        </is>
      </c>
      <c r="BH1500" t="inlineStr">
        <is>
          <t>Edward Hoo</t>
        </is>
      </c>
      <c r="BI1500"/>
      <c r="BJ1500" s="4">
        <v>46144.75581018518</v>
      </c>
      <c r="BK1500" s="4">
        <v>46122.78702546296</v>
      </c>
      <c r="BL1500" t="inlineStr">
        <is>
          <t>0.0</t>
        </is>
      </c>
      <c r="BM1500" t="inlineStr">
        <is>
          <t>0.0</t>
        </is>
      </c>
      <c r="BN1500"/>
      <c r="BO1500" s="4"/>
      <c r="BP1500">
        <v>166670</v>
      </c>
      <c r="BQ1500"/>
      <c r="BR1500"/>
      <c r="BS1500"/>
      <c r="BT1500"/>
      <c r="BU1500"/>
      <c r="BV1500"/>
      <c r="BW1500"/>
      <c r="BX1500"/>
      <c r="BY1500"/>
      <c r="BZ1500" s="4"/>
      <c r="CA1500"/>
      <c r="CB1500"/>
      <c r="CC1500" s="4"/>
      <c r="CD1500" t="inlineStr">
        <is>
          <t>30</t>
        </is>
      </c>
      <c r="CE1500" t="inlineStr">
        <is>
          <t>0</t>
        </is>
      </c>
      <c r="CF1500" t="inlineStr">
        <is>
          <t>Q2-W02</t>
        </is>
      </c>
      <c r="CG1500"/>
      <c r="CH1500"/>
      <c r="CI1500"/>
      <c r="CJ1500" t="inlineStr">
        <is>
          <t>No Paid</t>
        </is>
      </c>
      <c r="CK1500" t="inlineStr">
        <is>
          <t>Not Eligible</t>
        </is>
      </c>
      <c r="CL1500"/>
      <c r="CM1500"/>
    </row>
    <row r="1501" ht="25.5" customHeight="1">
      <c r="A1501" t="inlineStr">
        <is>
          <t>198316</t>
        </is>
      </c>
      <c r="B1501" s="2"/>
      <c r="C1501"/>
      <c r="D1501" s="3">
        <v>46125.47520833334</v>
      </c>
      <c r="E1501" t="inlineStr">
        <is>
          <t>Q2-W02</t>
        </is>
      </c>
      <c r="F1501" t="inlineStr">
        <is>
          <t>Ratha</t>
        </is>
      </c>
      <c r="G1501" t="inlineStr">
        <is>
          <t>Customer</t>
        </is>
      </c>
      <c r="H1501" s="2" t="str">
        <f>=HYPERLINK("https://upbox.ajobthing.my/customer/198316", "https://upbox.ajobthing.my/customer/198316")</f>
        <v>https://upbox.ajobthing.my/customer/198316</v>
      </c>
      <c r="I1501" t="inlineStr">
        <is>
          <t>Tadika Generasi Cemerlang Sdn. Bhd.	</t>
        </is>
      </c>
      <c r="J1501" t="inlineStr">
        <is>
          <t>Dolphin</t>
        </is>
      </c>
      <c r="K1501" t="inlineStr">
        <is>
          <t>Ratha</t>
        </is>
      </c>
      <c r="L1501" s="4"/>
      <c r="M1501" s="4">
        <v>46125.47640046296</v>
      </c>
      <c r="N1501"/>
      <c r="O1501">
        <v>3672</v>
      </c>
      <c r="P1501" s="4"/>
      <c r="Q1501" s="4">
        <v>46129.636875</v>
      </c>
      <c r="R1501"/>
      <c r="S1501">
        <v>1296</v>
      </c>
      <c r="T1501" s="4">
        <v>46129.636875</v>
      </c>
      <c r="U1501" s="4"/>
      <c r="V1501"/>
      <c r="W1501">
        <v>1296</v>
      </c>
      <c r="X1501"/>
      <c r="Y1501" t="inlineStr">
        <is>
          <t>Pending Appointment</t>
        </is>
      </c>
      <c r="Z1501" t="inlineStr">
        <is>
          <t>Hiring Now</t>
        </is>
      </c>
      <c r="AA1501">
        <v>2</v>
      </c>
      <c r="AB1501" t="inlineStr">
        <is>
          <t>No Appointment Made</t>
        </is>
      </c>
      <c r="AC1501"/>
      <c r="AD1501" t="inlineStr">
        <is>
          <t>Kindergarten Teacher : 2 
Location : Sungai Besi</t>
        </is>
      </c>
      <c r="AE1501"/>
      <c r="AF1501"/>
      <c r="AG1501" s="4"/>
      <c r="AH1501" s="4"/>
      <c r="AI1501">
        <v>0</v>
      </c>
      <c r="AJ1501">
        <v>1</v>
      </c>
      <c r="AK1501" t="inlineStr">
        <is>
          <t>Yes, I have</t>
        </is>
      </c>
      <c r="AL1501">
        <v>2</v>
      </c>
      <c r="AM1501" t="inlineStr">
        <is>
          <t>No, I don't need at all</t>
        </is>
      </c>
      <c r="AN1501"/>
      <c r="AO1501" t="inlineStr">
        <is>
          <t>No, I don't need at all</t>
        </is>
      </c>
      <c r="AP1501" t="inlineStr">
        <is>
          <t>Twice a year (50%)</t>
        </is>
      </c>
      <c r="AQ1501">
        <v>0</v>
      </c>
      <c r="AR1501" t="inlineStr">
        <is>
          <t>Did not use any job portal</t>
        </is>
      </c>
      <c r="AS1501" t="inlineStr">
        <is>
          <t>- Headcount: 2
- Hiring Job Details: 2 Kindergarten Teacher, location: Sungai Besi
- Hiring Urgency: Hiring Now
- Number of outlets: 1
- Have recruiter team: Yes, I have
- Number of recruiter in company: 2
- Have ATS system: No, I don't need at all
- Have career website: No, I don't need at all
- Current hiring budget: RM (empty)
- Whole year budget: RM0.00
- Whole year number of vacancies: 0
- Hiring frequency: Twice a year (50%)
- External job portal: Did not use any job portal</t>
        </is>
      </c>
      <c r="AT1501">
        <v>105</v>
      </c>
      <c r="AU1501" t="inlineStr">
        <is>
          <t>1.05</t>
        </is>
      </c>
      <c r="AV1501" t="inlineStr">
        <is>
          <t>5</t>
        </is>
      </c>
      <c r="AW1501" t="inlineStr">
        <is>
          <t>0</t>
        </is>
      </c>
      <c r="AX1501" t="inlineStr">
        <is>
          <t>Not Qualified</t>
        </is>
      </c>
      <c r="AY1501" s="4"/>
      <c r="AZ1501"/>
      <c r="BA1501"/>
      <c r="BB1501"/>
      <c r="BC1501" t="inlineStr">
        <is>
          <t>post ad</t>
        </is>
      </c>
      <c r="BD1501" s="4">
        <v>46140.53795138889</v>
      </c>
      <c r="BE1501" t="inlineStr">
        <is>
          <t>paid</t>
        </is>
      </c>
      <c r="BF1501" t="inlineStr">
        <is>
          <t>Q2-W03</t>
        </is>
      </c>
      <c r="BG1501" t="inlineStr">
        <is>
          <t>Reschedule</t>
        </is>
      </c>
      <c r="BH1501" t="inlineStr">
        <is>
          <t>Fauziah Maharan</t>
        </is>
      </c>
      <c r="BI1501" t="inlineStr">
        <is>
          <t>Education / Training</t>
        </is>
      </c>
      <c r="BJ1501" s="4">
        <v>46144.753020833334</v>
      </c>
      <c r="BK1501" s="4">
        <v>45978.400092592594</v>
      </c>
      <c r="BL1501" t="inlineStr">
        <is>
          <t>2592.0</t>
        </is>
      </c>
      <c r="BM1501" t="inlineStr">
        <is>
          <t>0.0</t>
        </is>
      </c>
      <c r="BN1501" t="inlineStr">
        <is>
          <t>View Company Page</t>
        </is>
      </c>
      <c r="BO1501" s="4">
        <v>46140.529016203705</v>
      </c>
      <c r="BP1501">
        <v>166672</v>
      </c>
      <c r="BQ1501">
        <v>94089</v>
      </c>
      <c r="BR1501" t="inlineStr">
        <is>
          <t>Online</t>
        </is>
      </c>
      <c r="BS1501"/>
      <c r="BT1501">
        <v>94089</v>
      </c>
      <c r="BU1501"/>
      <c r="BV1501">
        <v>2732494</v>
      </c>
      <c r="BW1501" t="inlineStr">
        <is>
          <t>Service / Technical : Help To Post Job</t>
        </is>
      </c>
      <c r="BX1501">
        <v>1</v>
      </c>
      <c r="BY1501">
        <v>0</v>
      </c>
      <c r="BZ1501" s="4">
        <v>46140.52854166667</v>
      </c>
      <c r="CA1501">
        <v>10</v>
      </c>
      <c r="CB1501">
        <v>10</v>
      </c>
      <c r="CC1501" s="4"/>
      <c r="CD1501" t="inlineStr">
        <is>
          <t>5</t>
        </is>
      </c>
      <c r="CE1501" t="inlineStr">
        <is>
          <t>0</t>
        </is>
      </c>
      <c r="CF1501" t="inlineStr">
        <is>
          <t>Q2-W02</t>
        </is>
      </c>
      <c r="CG1501" t="inlineStr">
        <is>
          <t>Q2-W03</t>
        </is>
      </c>
      <c r="CH1501" t="inlineStr">
        <is>
          <t>Q2-W03</t>
        </is>
      </c>
      <c r="CI1501"/>
      <c r="CJ1501" t="inlineStr">
        <is>
          <t>Paid</t>
        </is>
      </c>
      <c r="CK1501" t="inlineStr">
        <is>
          <t>Not Eligible</t>
        </is>
      </c>
      <c r="CL1501"/>
      <c r="CM1501"/>
    </row>
    <row r="1502" ht="25.5" customHeight="1">
      <c r="A1502" t="inlineStr">
        <is>
          <t>203119</t>
        </is>
      </c>
      <c r="B1502" s="2"/>
      <c r="C1502"/>
      <c r="D1502" s="3">
        <v>46125.48332175926</v>
      </c>
      <c r="E1502" t="inlineStr">
        <is>
          <t>Q2-W02</t>
        </is>
      </c>
      <c r="F1502" t="inlineStr">
        <is>
          <t>Janice Yap</t>
        </is>
      </c>
      <c r="G1502" t="inlineStr">
        <is>
          <t>Customer</t>
        </is>
      </c>
      <c r="H1502" s="2" t="str">
        <f>=HYPERLINK("https://upbox.ajobthing.my/customer/203119", "https://upbox.ajobthing.my/customer/203119")</f>
        <v>https://upbox.ajobthing.my/customer/203119</v>
      </c>
      <c r="I1502" t="inlineStr">
        <is>
          <t>Wira Healthcare Sdn. Bhd.</t>
        </is>
      </c>
      <c r="J1502" t="inlineStr">
        <is>
          <t>Dolphin</t>
        </is>
      </c>
      <c r="K1502" t="inlineStr">
        <is>
          <t>Janice</t>
        </is>
      </c>
      <c r="L1502" s="4"/>
      <c r="M1502" s="4">
        <v>46125.479675925926</v>
      </c>
      <c r="N1502"/>
      <c r="O1502">
        <v>3888</v>
      </c>
      <c r="P1502" s="4"/>
      <c r="Q1502" s="4">
        <v>46123.373148148145</v>
      </c>
      <c r="R1502"/>
      <c r="S1502">
        <v>0</v>
      </c>
      <c r="T1502" s="4"/>
      <c r="U1502" s="4"/>
      <c r="V1502"/>
      <c r="W1502"/>
      <c r="X1502"/>
      <c r="Y1502" t="inlineStr">
        <is>
          <t>Pending Appointment</t>
        </is>
      </c>
      <c r="Z1502" t="inlineStr">
        <is>
          <t>Hiring Now</t>
        </is>
      </c>
      <c r="AA1502">
        <v>1</v>
      </c>
      <c r="AB1502" t="inlineStr">
        <is>
          <t>No Appointment Made</t>
        </is>
      </c>
      <c r="AC1502"/>
      <c r="AD1502" t="inlineStr">
        <is>
          <t>1 medical assistant</t>
        </is>
      </c>
      <c r="AE1502"/>
      <c r="AF1502"/>
      <c r="AG1502" s="4"/>
      <c r="AH1502" s="4"/>
      <c r="AI1502">
        <v>0</v>
      </c>
      <c r="AJ1502"/>
      <c r="AK1502" t="inlineStr">
        <is>
          <t>No, I don't need at all</t>
        </is>
      </c>
      <c r="AL1502">
        <v>0</v>
      </c>
      <c r="AM1502" t="inlineStr">
        <is>
          <t>No, I don't need at all</t>
        </is>
      </c>
      <c r="AN1502"/>
      <c r="AO1502" t="inlineStr">
        <is>
          <t>No, I don't need at all</t>
        </is>
      </c>
      <c r="AP1502" t="inlineStr">
        <is>
          <t>Once a year (25%)</t>
        </is>
      </c>
      <c r="AQ1502">
        <v>1</v>
      </c>
      <c r="AR1502"/>
      <c r="AS1502" t="inlineStr">
        <is>
          <t>- Headcount: 1
- Hiring Job Details: 1 medical assistant
- Hiring Urgency: Hiring Now
- Number of outlets: Not provided
- Have recruiter team: No, I don't need at all
- Number of recruiter in company: 0
- Have ATS system: No, I don't need at all
- Have career website: No, I don't need at all
- Current hiring budget: Not provided
- Whole year budget: RM0.00
- Whole year number of vacancies: 1
- Hiring frequency: Once a year (25%)
- External job portal: Not provided</t>
        </is>
      </c>
      <c r="AT1502">
        <v>105</v>
      </c>
      <c r="AU1502" t="inlineStr">
        <is>
          <t>1.05</t>
        </is>
      </c>
      <c r="AV1502" t="inlineStr">
        <is>
          <t>5</t>
        </is>
      </c>
      <c r="AW1502" t="inlineStr">
        <is>
          <t>0</t>
        </is>
      </c>
      <c r="AX1502" t="inlineStr">
        <is>
          <t>Not Qualified</t>
        </is>
      </c>
      <c r="AY1502" s="4"/>
      <c r="AZ1502"/>
      <c r="BA1502"/>
      <c r="BB1502"/>
      <c r="BC1502" t="inlineStr">
        <is>
          <t>PIC decided not to proceed // lost</t>
        </is>
      </c>
      <c r="BD1502" s="4">
        <v>46135.39454861111</v>
      </c>
      <c r="BE1502" t="inlineStr">
        <is>
          <t>paid</t>
        </is>
      </c>
      <c r="BF1502"/>
      <c r="BG1502" t="inlineStr">
        <is>
          <t>Reschedule</t>
        </is>
      </c>
      <c r="BH1502" t="inlineStr">
        <is>
          <t>Yee Hang</t>
        </is>
      </c>
      <c r="BI1502" t="inlineStr">
        <is>
          <t>Healthcare / Medical</t>
        </is>
      </c>
      <c r="BJ1502" s="4">
        <v>46144.754212962966</v>
      </c>
      <c r="BK1502" s="4">
        <v>46123.372141203705</v>
      </c>
      <c r="BL1502" t="inlineStr">
        <is>
          <t>0.0</t>
        </is>
      </c>
      <c r="BM1502" t="inlineStr">
        <is>
          <t>0.0</t>
        </is>
      </c>
      <c r="BN1502" t="inlineStr">
        <is>
          <t>View Company Page</t>
        </is>
      </c>
      <c r="BO1502" s="4">
        <v>46141.396875</v>
      </c>
      <c r="BP1502">
        <v>166673</v>
      </c>
      <c r="BQ1502">
        <v>121834</v>
      </c>
      <c r="BR1502" t="inlineStr">
        <is>
          <t>Proforma</t>
        </is>
      </c>
      <c r="BS1502" t="inlineStr">
        <is>
          <t>Free Part-Time Job</t>
        </is>
      </c>
      <c r="BT1502"/>
      <c r="BU1502"/>
      <c r="BV1502">
        <v>2722180</v>
      </c>
      <c r="BW1502" t="inlineStr">
        <is>
          <t>Follow Up : Lost - Free Portal</t>
        </is>
      </c>
      <c r="BX1502"/>
      <c r="BY1502"/>
      <c r="BZ1502" s="4"/>
      <c r="CA1502"/>
      <c r="CB1502"/>
      <c r="CC1502" s="4"/>
      <c r="CD1502" t="inlineStr">
        <is>
          <t>5</t>
        </is>
      </c>
      <c r="CE1502" t="inlineStr">
        <is>
          <t>0</t>
        </is>
      </c>
      <c r="CF1502" t="inlineStr">
        <is>
          <t>Q2-W02</t>
        </is>
      </c>
      <c r="CG1502" t="inlineStr">
        <is>
          <t>Q2-W02</t>
        </is>
      </c>
      <c r="CH1502"/>
      <c r="CI1502"/>
      <c r="CJ1502" t="inlineStr">
        <is>
          <t>No Paid</t>
        </is>
      </c>
      <c r="CK1502" t="inlineStr">
        <is>
          <t>Not Eligible</t>
        </is>
      </c>
      <c r="CL1502"/>
      <c r="CM1502"/>
    </row>
    <row r="1503" ht="25.5" customHeight="1">
      <c r="A1503" t="inlineStr">
        <is>
          <t>198349</t>
        </is>
      </c>
      <c r="B1503" s="2"/>
      <c r="C1503"/>
      <c r="D1503" s="3">
        <v>46125.496400462966</v>
      </c>
      <c r="E1503" t="inlineStr">
        <is>
          <t>Q2-W02</t>
        </is>
      </c>
      <c r="F1503" t="inlineStr">
        <is>
          <t>Ken Yi</t>
        </is>
      </c>
      <c r="G1503" t="inlineStr">
        <is>
          <t>Customer</t>
        </is>
      </c>
      <c r="H1503" s="2" t="str">
        <f>=HYPERLINK("https://upbox.ajobthing.my/customer/198349", "https://upbox.ajobthing.my/customer/198349")</f>
        <v>https://upbox.ajobthing.my/customer/198349</v>
      </c>
      <c r="I1503" t="inlineStr">
        <is>
          <t xml:space="preserve"> Newton iEstate Sdn Bhd</t>
        </is>
      </c>
      <c r="J1503" t="inlineStr">
        <is>
          <t>Dolphin</t>
        </is>
      </c>
      <c r="K1503" t="inlineStr">
        <is>
          <t>Kenyi</t>
        </is>
      </c>
      <c r="L1503" s="4"/>
      <c r="M1503" s="4">
        <v>46125.4946412037</v>
      </c>
      <c r="N1503"/>
      <c r="O1503">
        <v>10800</v>
      </c>
      <c r="P1503" s="4"/>
      <c r="Q1503" s="4">
        <v>46066.90894675926</v>
      </c>
      <c r="R1503"/>
      <c r="S1503">
        <v>0</v>
      </c>
      <c r="T1503" s="4">
        <v>45995.62099537037</v>
      </c>
      <c r="U1503" s="4"/>
      <c r="V1503"/>
      <c r="W1503">
        <v>3500.28</v>
      </c>
      <c r="X1503"/>
      <c r="Y1503" t="inlineStr">
        <is>
          <t>Pending Appointment</t>
        </is>
      </c>
      <c r="Z1503" t="inlineStr">
        <is>
          <t>Hiring Now</t>
        </is>
      </c>
      <c r="AA1503">
        <v>1</v>
      </c>
      <c r="AB1503" t="inlineStr">
        <is>
          <t>No Appointment Made</t>
        </is>
      </c>
      <c r="AC1503"/>
      <c r="AD1503" t="inlineStr">
        <is>
          <t>Renewal 1</t>
        </is>
      </c>
      <c r="AE1503"/>
      <c r="AF1503">
        <v>0</v>
      </c>
      <c r="AG1503" s="4"/>
      <c r="AH1503" s="4"/>
      <c r="AI1503">
        <v>0</v>
      </c>
      <c r="AJ1503">
        <v>1</v>
      </c>
      <c r="AK1503" t="inlineStr">
        <is>
          <t>Yes, I have</t>
        </is>
      </c>
      <c r="AL1503">
        <v>1</v>
      </c>
      <c r="AM1503" t="inlineStr">
        <is>
          <t>No, I don't need at all</t>
        </is>
      </c>
      <c r="AN1503"/>
      <c r="AO1503" t="inlineStr">
        <is>
          <t>No, I don't need at all</t>
        </is>
      </c>
      <c r="AP1503" t="inlineStr">
        <is>
          <t>Every month (100%)</t>
        </is>
      </c>
      <c r="AQ1503">
        <v>5</v>
      </c>
      <c r="AR1503" t="inlineStr">
        <is>
          <t>Jobstreet, Hiredly, Linkedin (Paid), Fast Job, Free Job Portal</t>
        </is>
      </c>
      <c r="AS1503" t="inlineStr">
        <is>
          <t>- Headcount: 1
- Hiring Job Details: Renewal 1
- Hiring Urgency: Hiring Now
- Number of outlets: 1
- Have recruiter team: Yes
- Number of recruiter in company: 1
- Have ATS system: No, I don't need at all
- Have career website: No, I don't need at all
- Current hiring budget: RM0.00
- Whole year budget: RM0.00
- Whole year number of vacancies: 5
- Hiring frequency: Every month (100%)
- External job portal: Jobstreet,Hiredly,Linkedin (Paid),Fast Job,Free Job Portal</t>
        </is>
      </c>
      <c r="AT1503">
        <v>85</v>
      </c>
      <c r="AU1503" t="inlineStr">
        <is>
          <t>0.85</t>
        </is>
      </c>
      <c r="AV1503" t="inlineStr">
        <is>
          <t>15</t>
        </is>
      </c>
      <c r="AW1503" t="inlineStr">
        <is>
          <t>0</t>
        </is>
      </c>
      <c r="AX1503" t="inlineStr">
        <is>
          <t>Not Qualified</t>
        </is>
      </c>
      <c r="AY1503" s="4"/>
      <c r="AZ1503"/>
      <c r="BA1503"/>
      <c r="BB1503"/>
      <c r="BC1503" t="inlineStr">
        <is>
          <t>- Headcount: 1
- Hiring Job Details: Renewal 1
- Hiring Urgency: Hiring Now
- Number of outlets: 1
- Have recruiter team: Yes
- Number of recruiter in company: 1
- Have ATS system: No, I don't need at all
- Have career website: No, I don't need at all
- Current hiring budget: RM0.00
- Whole year budget: RM0.00
- Whole year number of vacancies: 5
- Hiring frequency: Every month (100%)
- External job portal: Jobstreet,Hiredly,Linkedin (Paid),Fast Job,Free Job Portal</t>
        </is>
      </c>
      <c r="BD1503" s="4">
        <v>46125.50003472222</v>
      </c>
      <c r="BE1503" t="inlineStr">
        <is>
          <t>paid</t>
        </is>
      </c>
      <c r="BF1503"/>
      <c r="BG1503" t="inlineStr">
        <is>
          <t>Reschedule</t>
        </is>
      </c>
      <c r="BH1503" t="inlineStr">
        <is>
          <t>Fauziah Maharan</t>
        </is>
      </c>
      <c r="BI1503" t="inlineStr">
        <is>
          <t>Property / Real Estate</t>
        </is>
      </c>
      <c r="BJ1503" s="4">
        <v>46144.75304398148</v>
      </c>
      <c r="BK1503" s="4">
        <v>45978.730416666665</v>
      </c>
      <c r="BL1503" t="inlineStr">
        <is>
          <t>3500.0</t>
        </is>
      </c>
      <c r="BM1503" t="inlineStr">
        <is>
          <t>300.0</t>
        </is>
      </c>
      <c r="BN1503" t="inlineStr">
        <is>
          <t>User Visit(Logged In)</t>
        </is>
      </c>
      <c r="BO1503" s="4">
        <v>46114.404270833336</v>
      </c>
      <c r="BP1503">
        <v>166678</v>
      </c>
      <c r="BQ1503">
        <v>115367</v>
      </c>
      <c r="BR1503" t="inlineStr">
        <is>
          <t>Proforma</t>
        </is>
      </c>
      <c r="BS1503" t="inlineStr">
        <is>
          <t>Free Internship Job</t>
        </is>
      </c>
      <c r="BT1503">
        <v>6804</v>
      </c>
      <c r="BU1503"/>
      <c r="BV1503">
        <v>2700535</v>
      </c>
      <c r="BW1503" t="inlineStr">
        <is>
          <t>Customer Inquiry</t>
        </is>
      </c>
      <c r="BX1503">
        <v>6</v>
      </c>
      <c r="BY1503">
        <v>0</v>
      </c>
      <c r="BZ1503" s="4">
        <v>46041.713217592594</v>
      </c>
      <c r="CA1503">
        <v>60</v>
      </c>
      <c r="CB1503">
        <v>60</v>
      </c>
      <c r="CC1503" s="4"/>
      <c r="CD1503" t="inlineStr">
        <is>
          <t>20</t>
        </is>
      </c>
      <c r="CE1503" t="inlineStr">
        <is>
          <t>0</t>
        </is>
      </c>
      <c r="CF1503" t="inlineStr">
        <is>
          <t>Q2-W02</t>
        </is>
      </c>
      <c r="CG1503" t="inlineStr">
        <is>
          <t>Q1-W07</t>
        </is>
      </c>
      <c r="CH1503"/>
      <c r="CI1503"/>
      <c r="CJ1503" t="inlineStr">
        <is>
          <t>Paid</t>
        </is>
      </c>
      <c r="CK1503" t="inlineStr">
        <is>
          <t>Not Eligible</t>
        </is>
      </c>
      <c r="CL1503"/>
      <c r="CM1503"/>
    </row>
    <row r="1504" ht="25.5" customHeight="1">
      <c r="A1504" t="inlineStr">
        <is>
          <t>198150</t>
        </is>
      </c>
      <c r="B1504" s="2"/>
      <c r="C1504"/>
      <c r="D1504" s="3">
        <v>46125.49712962963</v>
      </c>
      <c r="E1504" t="inlineStr">
        <is>
          <t>Q2-W02</t>
        </is>
      </c>
      <c r="F1504" t="inlineStr">
        <is>
          <t>Ken Yi</t>
        </is>
      </c>
      <c r="G1504" t="inlineStr">
        <is>
          <t>Customer</t>
        </is>
      </c>
      <c r="H1504" s="2" t="str">
        <f>=HYPERLINK("https://upbox.ajobthing.my/customer/198150", "https://upbox.ajobthing.my/customer/198150")</f>
        <v>https://upbox.ajobthing.my/customer/198150</v>
      </c>
      <c r="I1504" t="inlineStr">
        <is>
          <t>Chongdee Teahouse (M) Sdn Bhd</t>
        </is>
      </c>
      <c r="J1504" t="inlineStr">
        <is>
          <t>Dolphin</t>
        </is>
      </c>
      <c r="K1504" t="inlineStr">
        <is>
          <t>Kenyi</t>
        </is>
      </c>
      <c r="L1504" s="4"/>
      <c r="M1504" s="4">
        <v>46125.46908564815</v>
      </c>
      <c r="N1504"/>
      <c r="O1504">
        <v>10800</v>
      </c>
      <c r="P1504" s="4"/>
      <c r="Q1504" s="4">
        <v>45973.60857638889</v>
      </c>
      <c r="R1504"/>
      <c r="S1504">
        <v>3780</v>
      </c>
      <c r="T1504" s="4">
        <v>45973.60857638889</v>
      </c>
      <c r="U1504" s="4"/>
      <c r="V1504"/>
      <c r="W1504">
        <v>3780</v>
      </c>
      <c r="X1504"/>
      <c r="Y1504" t="inlineStr">
        <is>
          <t>Pending Appointment</t>
        </is>
      </c>
      <c r="Z1504" t="inlineStr">
        <is>
          <t>Hiring Now</t>
        </is>
      </c>
      <c r="AA1504">
        <v>1</v>
      </c>
      <c r="AB1504" t="inlineStr">
        <is>
          <t>No Appointment Made</t>
        </is>
      </c>
      <c r="AC1504"/>
      <c r="AD1504" t="inlineStr">
        <is>
          <t>Tea Barista 1</t>
        </is>
      </c>
      <c r="AE1504"/>
      <c r="AF1504">
        <v>0</v>
      </c>
      <c r="AG1504" s="4"/>
      <c r="AH1504" s="4"/>
      <c r="AI1504">
        <v>0</v>
      </c>
      <c r="AJ1504">
        <v>1</v>
      </c>
      <c r="AK1504" t="inlineStr">
        <is>
          <t>Yes, I have</t>
        </is>
      </c>
      <c r="AL1504">
        <v>1</v>
      </c>
      <c r="AM1504" t="inlineStr">
        <is>
          <t>No, I don't need at all</t>
        </is>
      </c>
      <c r="AN1504"/>
      <c r="AO1504" t="inlineStr">
        <is>
          <t>No, I don't need at all</t>
        </is>
      </c>
      <c r="AP1504" t="inlineStr">
        <is>
          <t>Every month (100%)</t>
        </is>
      </c>
      <c r="AQ1504">
        <v>5</v>
      </c>
      <c r="AR1504" t="inlineStr">
        <is>
          <t>Did not use any job portal</t>
        </is>
      </c>
      <c r="AS1504" t="inlineStr">
        <is>
          <t>- Headcount: 1
- Hiring Job Details: 1 Tea Barista
- Hiring Urgency: Hiring Now
- Number of outlets: 1
- Have recruiter team: Yes
- Number of recruiter in company: 1
- Have ATS system: No, I don't need at all
- Have career website: No, I don't need at all
- Current hiring budget: RM0.00
- Whole year budget: RM0.00
- Whole year number of vacancies: 5
- Hiring frequency: Every month (100%)
- External job portal: Did not use any job portal</t>
        </is>
      </c>
      <c r="AT1504">
        <v>105</v>
      </c>
      <c r="AU1504" t="inlineStr">
        <is>
          <t>1.05</t>
        </is>
      </c>
      <c r="AV1504" t="inlineStr">
        <is>
          <t>15</t>
        </is>
      </c>
      <c r="AW1504" t="inlineStr">
        <is>
          <t>0</t>
        </is>
      </c>
      <c r="AX1504" t="inlineStr">
        <is>
          <t>Not Qualified</t>
        </is>
      </c>
      <c r="AY1504" s="4"/>
      <c r="AZ1504"/>
      <c r="BA1504"/>
      <c r="BB1504"/>
      <c r="BC1504" t="inlineStr">
        <is>
          <t>- Headcount: 1
- Hiring Job Details: 1 Tea Barista
- Hiring Urgency: Hiring Now
- Number of outlets: 1
- Have recruiter team: Yes
- Number of recruiter in company: 1
- Have ATS system: No, I don't need at all
- Have career website: No, I don't need at all
- Current hiring budget: RM0.00
- Whole year budget: RM0.00
- Whole year number of vacancies: 5
- Hiring frequency: Every month (100%)
- External job portal: Did not use any job portal</t>
        </is>
      </c>
      <c r="BD1504" s="4">
        <v>46125.50003472222</v>
      </c>
      <c r="BE1504" t="inlineStr">
        <is>
          <t>paid</t>
        </is>
      </c>
      <c r="BF1504"/>
      <c r="BG1504" t="inlineStr">
        <is>
          <t>Reschedule</t>
        </is>
      </c>
      <c r="BH1504" t="inlineStr">
        <is>
          <t>Fauziah Maharan</t>
        </is>
      </c>
      <c r="BI1504" t="inlineStr">
        <is>
          <t>Food / Beverage</t>
        </is>
      </c>
      <c r="BJ1504" s="4">
        <v>46144.752974537034</v>
      </c>
      <c r="BK1504" s="4">
        <v>45973.39084490741</v>
      </c>
      <c r="BL1504" t="inlineStr">
        <is>
          <t>3780.0</t>
        </is>
      </c>
      <c r="BM1504" t="inlineStr">
        <is>
          <t>0.0</t>
        </is>
      </c>
      <c r="BN1504" t="inlineStr">
        <is>
          <t>User Visit(Logged In)</t>
        </is>
      </c>
      <c r="BO1504" s="4">
        <v>46125.62976851852</v>
      </c>
      <c r="BP1504">
        <v>166667</v>
      </c>
      <c r="BQ1504">
        <v>6737</v>
      </c>
      <c r="BR1504" t="inlineStr">
        <is>
          <t>Manual (Paid)</t>
        </is>
      </c>
      <c r="BS1504" t="inlineStr">
        <is>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t>
        </is>
      </c>
      <c r="BT1504">
        <v>6737</v>
      </c>
      <c r="BU1504"/>
      <c r="BV1504">
        <v>2700536</v>
      </c>
      <c r="BW1504" t="inlineStr">
        <is>
          <t>Customer Inquiry</t>
        </is>
      </c>
      <c r="BX1504">
        <v>6</v>
      </c>
      <c r="BY1504">
        <v>4</v>
      </c>
      <c r="BZ1504" s="4">
        <v>46041.70533564815</v>
      </c>
      <c r="CA1504">
        <v>60</v>
      </c>
      <c r="CB1504">
        <v>30</v>
      </c>
      <c r="CC1504" s="4">
        <v>46056.52510416666</v>
      </c>
      <c r="CD1504" t="inlineStr">
        <is>
          <t>20</t>
        </is>
      </c>
      <c r="CE1504" t="inlineStr">
        <is>
          <t>0</t>
        </is>
      </c>
      <c r="CF1504" t="inlineStr">
        <is>
          <t>Q2-W02</t>
        </is>
      </c>
      <c r="CG1504"/>
      <c r="CH1504"/>
      <c r="CI1504"/>
      <c r="CJ1504" t="inlineStr">
        <is>
          <t>Paid</t>
        </is>
      </c>
      <c r="CK1504" t="inlineStr">
        <is>
          <t>Not Eligible</t>
        </is>
      </c>
      <c r="CL1504"/>
      <c r="CM1504"/>
    </row>
    <row r="1505" ht="25.5" customHeight="1">
      <c r="A1505" t="inlineStr">
        <is>
          <t>183914</t>
        </is>
      </c>
      <c r="B1505" s="2"/>
      <c r="C1505"/>
      <c r="D1505" s="3">
        <v>46125.500451388885</v>
      </c>
      <c r="E1505" t="inlineStr">
        <is>
          <t>Q2-W02</t>
        </is>
      </c>
      <c r="F1505" t="inlineStr">
        <is>
          <t>Carmen</t>
        </is>
      </c>
      <c r="G1505" t="inlineStr">
        <is>
          <t>Customer</t>
        </is>
      </c>
      <c r="H1505" s="2" t="str">
        <f>=HYPERLINK("https://upbox.ajobthing.my/customer/183914", "https://upbox.ajobthing.my/customer/183914")</f>
        <v>https://upbox.ajobthing.my/customer/183914</v>
      </c>
      <c r="I1505" t="inlineStr">
        <is>
          <t>Teeni Enterprise Sdn Bhd</t>
        </is>
      </c>
      <c r="J1505" t="inlineStr">
        <is>
          <t>Dolphin</t>
        </is>
      </c>
      <c r="K1505" t="inlineStr">
        <is>
          <t>Carmen</t>
        </is>
      </c>
      <c r="L1505" s="4"/>
      <c r="M1505" s="4">
        <v>46125.50053240741</v>
      </c>
      <c r="N1505"/>
      <c r="O1505">
        <v>3888</v>
      </c>
      <c r="P1505" s="4"/>
      <c r="Q1505" s="4">
        <v>46125.50179398148</v>
      </c>
      <c r="R1505"/>
      <c r="S1505">
        <v>0</v>
      </c>
      <c r="T1505" s="4">
        <v>45579</v>
      </c>
      <c r="U1505" s="4"/>
      <c r="V1505"/>
      <c r="W1505">
        <v>972</v>
      </c>
      <c r="X1505"/>
      <c r="Y1505" t="inlineStr">
        <is>
          <t>Pending Appointment</t>
        </is>
      </c>
      <c r="Z1505" t="inlineStr">
        <is>
          <t>Hiring Now</t>
        </is>
      </c>
      <c r="AA1505">
        <v>1</v>
      </c>
      <c r="AB1505" t="inlineStr">
        <is>
          <t>No Appointment Made</t>
        </is>
      </c>
      <c r="AC1505"/>
      <c r="AD1505" t="inlineStr">
        <is>
          <t>1 key account</t>
        </is>
      </c>
      <c r="AE1505"/>
      <c r="AF1505">
        <v>0</v>
      </c>
      <c r="AG1505" s="4"/>
      <c r="AH1505" s="4"/>
      <c r="AI1505"/>
      <c r="AJ1505"/>
      <c r="AK1505"/>
      <c r="AL1505"/>
      <c r="AM1505"/>
      <c r="AN1505"/>
      <c r="AO1505"/>
      <c r="AP1505" t="inlineStr">
        <is>
          <t>Twice a year (50%)</t>
        </is>
      </c>
      <c r="AQ1505"/>
      <c r="AR1505"/>
      <c r="AS1505" t="inlineStr">
        <is>
          <t>- Headcount: 1
- Hiring Job Details: 1 key account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Twice a year (50%)
- External job portal: Not provided</t>
        </is>
      </c>
      <c r="AT1505">
        <v>70</v>
      </c>
      <c r="AU1505" t="inlineStr">
        <is>
          <t>0.70</t>
        </is>
      </c>
      <c r="AV1505" t="inlineStr">
        <is>
          <t>15</t>
        </is>
      </c>
      <c r="AW1505" t="inlineStr">
        <is>
          <t>0</t>
        </is>
      </c>
      <c r="AX1505" t="inlineStr">
        <is>
          <t>Not Qualified</t>
        </is>
      </c>
      <c r="AY1505" s="4"/>
      <c r="AZ1505"/>
      <c r="BA1505"/>
      <c r="BB1505"/>
      <c r="BC1505" t="inlineStr">
        <is>
          <t>npu</t>
        </is>
      </c>
      <c r="BD1505" s="4">
        <v>46140.7033912037</v>
      </c>
      <c r="BE1505" t="inlineStr">
        <is>
          <t>paid</t>
        </is>
      </c>
      <c r="BF1505"/>
      <c r="BG1505" t="inlineStr">
        <is>
          <t>Reschedule</t>
        </is>
      </c>
      <c r="BH1505" t="inlineStr">
        <is>
          <t>Reagen</t>
        </is>
      </c>
      <c r="BI1505" t="inlineStr">
        <is>
          <t>Manufacturing / Production</t>
        </is>
      </c>
      <c r="BJ1505" s="4">
        <v>46144.75199074074</v>
      </c>
      <c r="BK1505" s="4">
        <v>45582.59259259259</v>
      </c>
      <c r="BL1505" t="inlineStr">
        <is>
          <t>0.0</t>
        </is>
      </c>
      <c r="BM1505" t="inlineStr">
        <is>
          <t>1200.0</t>
        </is>
      </c>
      <c r="BN1505" t="inlineStr">
        <is>
          <t>View Jobmanager Page</t>
        </is>
      </c>
      <c r="BO1505" s="4">
        <v>45672.63454861111</v>
      </c>
      <c r="BP1505">
        <v>166684</v>
      </c>
      <c r="BQ1505">
        <v>121978</v>
      </c>
      <c r="BR1505" t="inlineStr">
        <is>
          <t>Proforma</t>
        </is>
      </c>
      <c r="BS1505" t="inlineStr">
        <is>
          <t>Free Internship Job</t>
        </is>
      </c>
      <c r="BT1505">
        <v>73943</v>
      </c>
      <c r="BU1505"/>
      <c r="BV1505">
        <v>2733596</v>
      </c>
      <c r="BW1505" t="inlineStr">
        <is>
          <t>No Answer : Voicemail - WA sent to customer</t>
        </is>
      </c>
      <c r="BX1505"/>
      <c r="BY1505"/>
      <c r="BZ1505" s="4"/>
      <c r="CA1505"/>
      <c r="CB1505"/>
      <c r="CC1505" s="4"/>
      <c r="CD1505" t="inlineStr">
        <is>
          <t>20</t>
        </is>
      </c>
      <c r="CE1505" t="inlineStr">
        <is>
          <t>0</t>
        </is>
      </c>
      <c r="CF1505" t="inlineStr">
        <is>
          <t>Q2-W02</t>
        </is>
      </c>
      <c r="CG1505" t="inlineStr">
        <is>
          <t>Q2-W02</t>
        </is>
      </c>
      <c r="CH1505"/>
      <c r="CI1505"/>
      <c r="CJ1505" t="inlineStr">
        <is>
          <t>Paid</t>
        </is>
      </c>
      <c r="CK1505" t="inlineStr">
        <is>
          <t>Not Eligible</t>
        </is>
      </c>
      <c r="CL1505"/>
      <c r="CM1505"/>
    </row>
    <row r="1506" ht="25.5" customHeight="1">
      <c r="A1506" t="inlineStr">
        <is>
          <t>165344</t>
        </is>
      </c>
      <c r="B1506" s="2"/>
      <c r="C1506"/>
      <c r="D1506" s="3">
        <v>46125.50444444444</v>
      </c>
      <c r="E1506" t="inlineStr">
        <is>
          <t>Q2-W02</t>
        </is>
      </c>
      <c r="F1506" t="inlineStr">
        <is>
          <t>Fariz</t>
        </is>
      </c>
      <c r="G1506" t="inlineStr">
        <is>
          <t>Customer</t>
        </is>
      </c>
      <c r="H1506" s="2" t="str">
        <f>=HYPERLINK("https://upbox.ajobthing.my/customer/165344", "https://upbox.ajobthing.my/customer/165344")</f>
        <v>https://upbox.ajobthing.my/customer/165344</v>
      </c>
      <c r="I1506" t="inlineStr">
        <is>
          <t>Yunda Express (Kuchai Lama) Sdn Bhd</t>
        </is>
      </c>
      <c r="J1506" t="inlineStr">
        <is>
          <t>Dolphin</t>
        </is>
      </c>
      <c r="K1506" t="inlineStr">
        <is>
          <t>Fariz</t>
        </is>
      </c>
      <c r="L1506" s="4"/>
      <c r="M1506" s="4">
        <v>46125.50472222222</v>
      </c>
      <c r="N1506"/>
      <c r="O1506">
        <v>3888</v>
      </c>
      <c r="P1506" s="4"/>
      <c r="Q1506" s="4">
        <v>46127.426030092596</v>
      </c>
      <c r="R1506"/>
      <c r="S1506">
        <v>0</v>
      </c>
      <c r="T1506" s="4">
        <v>46126.58148148148</v>
      </c>
      <c r="U1506" s="4"/>
      <c r="V1506"/>
      <c r="W1506">
        <v>3672</v>
      </c>
      <c r="X1506"/>
      <c r="Y1506" t="inlineStr">
        <is>
          <t>Pending Appointment</t>
        </is>
      </c>
      <c r="Z1506" t="inlineStr">
        <is>
          <t>Hiring Now</t>
        </is>
      </c>
      <c r="AA1506">
        <v>2</v>
      </c>
      <c r="AB1506" t="inlineStr">
        <is>
          <t>No Appointment Made</t>
        </is>
      </c>
      <c r="AC1506"/>
      <c r="AD1506" t="inlineStr">
        <is>
          <t>1.Account Admin 2. Cum Admin</t>
        </is>
      </c>
      <c r="AE1506"/>
      <c r="AF1506">
        <v>3600</v>
      </c>
      <c r="AG1506" s="4"/>
      <c r="AH1506" s="4"/>
      <c r="AI1506">
        <v>3600</v>
      </c>
      <c r="AJ1506"/>
      <c r="AK1506" t="inlineStr">
        <is>
          <t>No, but I want in future</t>
        </is>
      </c>
      <c r="AL1506">
        <v>1</v>
      </c>
      <c r="AM1506" t="inlineStr">
        <is>
          <t>No, but I want in future</t>
        </is>
      </c>
      <c r="AN1506"/>
      <c r="AO1506" t="inlineStr">
        <is>
          <t>No, but I want in future</t>
        </is>
      </c>
      <c r="AP1506" t="inlineStr">
        <is>
          <t>Twice a year (50%)</t>
        </is>
      </c>
      <c r="AQ1506"/>
      <c r="AR1506" t="inlineStr">
        <is>
          <t>Jobstreet</t>
        </is>
      </c>
      <c r="AS1506" t="inlineStr">
        <is>
          <t>- Headcount: 2
- Hiring Job Details: 1.Account Admin, 2.Cum Admin
- Hiring Urgency: Hiring Now
- Number of outlets: Not provided
- Have recruiter team: No, but want in future
- Number of recruiter in company: 1
- Have ATS system: No, but want in future
- Have career website: No, but want in future
- Current hiring budget: RM3,600
- Whole year budget: RM3,600.00
- Whole year number of vacancies: Not provided
- Hiring frequency: Twice a year (50%)
- External job portal: Jobstreet</t>
        </is>
      </c>
      <c r="AT1506">
        <v>75</v>
      </c>
      <c r="AU1506" t="inlineStr">
        <is>
          <t>0.75</t>
        </is>
      </c>
      <c r="AV1506" t="inlineStr">
        <is>
          <t>15</t>
        </is>
      </c>
      <c r="AW1506" t="inlineStr">
        <is>
          <t>0</t>
        </is>
      </c>
      <c r="AX1506" t="inlineStr">
        <is>
          <t>Not Qualified</t>
        </is>
      </c>
      <c r="AY1506" s="4"/>
      <c r="AZ1506"/>
      <c r="BA1506"/>
      <c r="BB1506"/>
      <c r="BC1506" t="inlineStr">
        <is>
          <t>sharing boolean search update</t>
        </is>
      </c>
      <c r="BD1506" s="4">
        <v>46142.737280092595</v>
      </c>
      <c r="BE1506" t="inlineStr">
        <is>
          <t>paid</t>
        </is>
      </c>
      <c r="BF1506" t="inlineStr">
        <is>
          <t>Q2-W02</t>
        </is>
      </c>
      <c r="BG1506" t="inlineStr">
        <is>
          <t>Reschedule</t>
        </is>
      </c>
      <c r="BH1506" t="inlineStr">
        <is>
          <t>Edward Hoo</t>
        </is>
      </c>
      <c r="BI1506" t="inlineStr">
        <is>
          <t>Transportation / Logistics</t>
        </is>
      </c>
      <c r="BJ1506" s="4">
        <v>46144.751226851855</v>
      </c>
      <c r="BK1506" s="4">
        <v>44998.943923611114</v>
      </c>
      <c r="BL1506" t="inlineStr">
        <is>
          <t>3672.0</t>
        </is>
      </c>
      <c r="BM1506" t="inlineStr">
        <is>
          <t>0.0</t>
        </is>
      </c>
      <c r="BN1506" t="inlineStr">
        <is>
          <t>View Company Page</t>
        </is>
      </c>
      <c r="BO1506" s="4">
        <v>46135.39575231481</v>
      </c>
      <c r="BP1506">
        <v>166688</v>
      </c>
      <c r="BQ1506">
        <v>122392</v>
      </c>
      <c r="BR1506" t="inlineStr">
        <is>
          <t>Proforma</t>
        </is>
      </c>
      <c r="BS1506" t="inlineStr">
        <is>
          <t>Free High Pay Job</t>
        </is>
      </c>
      <c r="BT1506">
        <v>93371</v>
      </c>
      <c r="BU1506"/>
      <c r="BV1506">
        <v>2738445</v>
      </c>
      <c r="BW1506" t="inlineStr">
        <is>
          <t>Service / Technical : Job Outcome Enquiry</t>
        </is>
      </c>
      <c r="BX1506">
        <v>6</v>
      </c>
      <c r="BY1506">
        <v>5</v>
      </c>
      <c r="BZ1506" s="4">
        <v>46127.71115740741</v>
      </c>
      <c r="CA1506">
        <v>73</v>
      </c>
      <c r="CB1506">
        <v>72</v>
      </c>
      <c r="CC1506" s="4">
        <v>46127.71505787037</v>
      </c>
      <c r="CD1506" t="inlineStr">
        <is>
          <t>20</t>
        </is>
      </c>
      <c r="CE1506" t="inlineStr">
        <is>
          <t>0</t>
        </is>
      </c>
      <c r="CF1506" t="inlineStr">
        <is>
          <t>Q2-W02</t>
        </is>
      </c>
      <c r="CG1506" t="inlineStr">
        <is>
          <t>Q2-W02</t>
        </is>
      </c>
      <c r="CH1506" t="inlineStr">
        <is>
          <t>Q2-W02</t>
        </is>
      </c>
      <c r="CI1506"/>
      <c r="CJ1506" t="inlineStr">
        <is>
          <t>Paid</t>
        </is>
      </c>
      <c r="CK1506" t="inlineStr">
        <is>
          <t>Not Eligible</t>
        </is>
      </c>
      <c r="CL1506"/>
      <c r="CM1506"/>
    </row>
    <row r="1507" ht="25.5" customHeight="1">
      <c r="A1507" t="inlineStr">
        <is>
          <t>171314</t>
        </is>
      </c>
      <c r="B1507" s="2"/>
      <c r="C1507"/>
      <c r="D1507" s="3">
        <v>46125.5144212963</v>
      </c>
      <c r="E1507" t="inlineStr">
        <is>
          <t>Q2-W02</t>
        </is>
      </c>
      <c r="F1507" t="inlineStr">
        <is>
          <t>Angel  Low</t>
        </is>
      </c>
      <c r="G1507" t="inlineStr">
        <is>
          <t>Customer</t>
        </is>
      </c>
      <c r="H1507" s="2" t="str">
        <f>=HYPERLINK("https://upbox.ajobthing.my/customer/171314", "https://upbox.ajobthing.my/customer/171314")</f>
        <v>https://upbox.ajobthing.my/customer/171314</v>
      </c>
      <c r="I1507" t="inlineStr">
        <is>
          <t>Chen Xin Global Plt</t>
        </is>
      </c>
      <c r="J1507" t="inlineStr">
        <is>
          <t>Dolphin</t>
        </is>
      </c>
      <c r="K1507" t="inlineStr">
        <is>
          <t>Angel Low</t>
        </is>
      </c>
      <c r="L1507" s="4"/>
      <c r="M1507" s="4">
        <v>46125.514814814815</v>
      </c>
      <c r="N1507"/>
      <c r="O1507">
        <v>5508</v>
      </c>
      <c r="P1507" s="4"/>
      <c r="Q1507" s="4">
        <v>46125.50162037037</v>
      </c>
      <c r="R1507"/>
      <c r="S1507">
        <v>864</v>
      </c>
      <c r="T1507" s="4">
        <v>46125.50162037037</v>
      </c>
      <c r="U1507" s="4"/>
      <c r="V1507"/>
      <c r="W1507">
        <v>864</v>
      </c>
      <c r="X1507"/>
      <c r="Y1507" t="inlineStr">
        <is>
          <t>Pending Appointment</t>
        </is>
      </c>
      <c r="Z1507"/>
      <c r="AA1507">
        <v>1</v>
      </c>
      <c r="AB1507" t="inlineStr">
        <is>
          <t>No Appointment Made</t>
        </is>
      </c>
      <c r="AC1507"/>
      <c r="AD1507" t="inlineStr">
        <is>
          <t xml:space="preserve">1 livehost </t>
        </is>
      </c>
      <c r="AE1507"/>
      <c r="AF1507"/>
      <c r="AG1507" s="4"/>
      <c r="AH1507" s="4"/>
      <c r="AI1507"/>
      <c r="AJ1507"/>
      <c r="AK1507"/>
      <c r="AL1507"/>
      <c r="AM1507"/>
      <c r="AN1507"/>
      <c r="AO1507"/>
      <c r="AP1507"/>
      <c r="AQ1507"/>
      <c r="AR1507"/>
      <c r="AS1507" t="inlineStr">
        <is>
          <t>- Headcount: 1
- Hiring Job Details: 1 livehost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507">
        <v>60</v>
      </c>
      <c r="AU1507" t="inlineStr">
        <is>
          <t>0.60</t>
        </is>
      </c>
      <c r="AV1507" t="inlineStr">
        <is>
          <t>5</t>
        </is>
      </c>
      <c r="AW1507" t="inlineStr">
        <is>
          <t>0</t>
        </is>
      </c>
      <c r="AX1507" t="inlineStr">
        <is>
          <t>Not Qualified</t>
        </is>
      </c>
      <c r="AY1507" s="4"/>
      <c r="AZ1507"/>
      <c r="BA1507"/>
      <c r="BB1507"/>
      <c r="BC1507" t="inlineStr">
        <is>
          <t>boss no respond yet</t>
        </is>
      </c>
      <c r="BD1507" s="4">
        <v>46126.71181712963</v>
      </c>
      <c r="BE1507" t="inlineStr">
        <is>
          <t>paid</t>
        </is>
      </c>
      <c r="BF1507" t="inlineStr">
        <is>
          <t>Q2-W02</t>
        </is>
      </c>
      <c r="BG1507" t="inlineStr">
        <is>
          <t>Reschedule</t>
        </is>
      </c>
      <c r="BH1507" t="inlineStr">
        <is>
          <t>Fauziah Maharan</t>
        </is>
      </c>
      <c r="BI1507" t="inlineStr">
        <is>
          <t>Entertainment / Media</t>
        </is>
      </c>
      <c r="BJ1507" s="4">
        <v>46144.75142361111</v>
      </c>
      <c r="BK1507" s="4">
        <v>45192.51284722222</v>
      </c>
      <c r="BL1507" t="inlineStr">
        <is>
          <t>0.0</t>
        </is>
      </c>
      <c r="BM1507" t="inlineStr">
        <is>
          <t>0.0</t>
        </is>
      </c>
      <c r="BN1507" t="inlineStr">
        <is>
          <t>View Company Page</t>
        </is>
      </c>
      <c r="BO1507" s="4">
        <v>46144.5896875</v>
      </c>
      <c r="BP1507">
        <v>166692</v>
      </c>
      <c r="BQ1507">
        <v>93115</v>
      </c>
      <c r="BR1507" t="inlineStr">
        <is>
          <t>Online</t>
        </is>
      </c>
      <c r="BS1507"/>
      <c r="BT1507">
        <v>93115</v>
      </c>
      <c r="BU1507"/>
      <c r="BV1507">
        <v>2704457</v>
      </c>
      <c r="BW1507" t="inlineStr">
        <is>
          <t>Follow Up : Decision Pending</t>
        </is>
      </c>
      <c r="BX1507">
        <v>1</v>
      </c>
      <c r="BY1507">
        <v>0</v>
      </c>
      <c r="BZ1507" s="4">
        <v>46125.50162037037</v>
      </c>
      <c r="CA1507">
        <v>10</v>
      </c>
      <c r="CB1507">
        <v>0</v>
      </c>
      <c r="CC1507" s="4">
        <v>46140.79310185185</v>
      </c>
      <c r="CD1507" t="inlineStr">
        <is>
          <t>5</t>
        </is>
      </c>
      <c r="CE1507" t="inlineStr">
        <is>
          <t>0</t>
        </is>
      </c>
      <c r="CF1507" t="inlineStr">
        <is>
          <t>Q2-W02</t>
        </is>
      </c>
      <c r="CG1507" t="inlineStr">
        <is>
          <t>Q2-W02</t>
        </is>
      </c>
      <c r="CH1507" t="inlineStr">
        <is>
          <t>Q2-W02</t>
        </is>
      </c>
      <c r="CI1507"/>
      <c r="CJ1507" t="inlineStr">
        <is>
          <t>Paid</t>
        </is>
      </c>
      <c r="CK1507" t="inlineStr">
        <is>
          <t>Not Eligible</t>
        </is>
      </c>
      <c r="CL1507"/>
      <c r="CM1507"/>
    </row>
    <row r="1508" ht="25.5" customHeight="1">
      <c r="A1508" t="inlineStr">
        <is>
          <t>195324</t>
        </is>
      </c>
      <c r="B1508" s="2"/>
      <c r="C1508"/>
      <c r="D1508" s="3">
        <v>46125.55347222222</v>
      </c>
      <c r="E1508" t="inlineStr">
        <is>
          <t>Q2-W02</t>
        </is>
      </c>
      <c r="F1508" t="inlineStr">
        <is>
          <t>Jess</t>
        </is>
      </c>
      <c r="G1508" t="inlineStr">
        <is>
          <t>Customer</t>
        </is>
      </c>
      <c r="H1508" s="2" t="str">
        <f>=HYPERLINK("https://upbox.ajobthing.my/customer/195324", "https://upbox.ajobthing.my/customer/195324")</f>
        <v>https://upbox.ajobthing.my/customer/195324</v>
      </c>
      <c r="I1508" t="inlineStr">
        <is>
          <t>Anz Home Furniture Sdn Bhd</t>
        </is>
      </c>
      <c r="J1508" t="inlineStr">
        <is>
          <t>Dolphin</t>
        </is>
      </c>
      <c r="K1508" t="inlineStr">
        <is>
          <t>Jess Lim</t>
        </is>
      </c>
      <c r="L1508" s="4"/>
      <c r="M1508" s="4">
        <v>46125.55372685185</v>
      </c>
      <c r="N1508"/>
      <c r="O1508">
        <v>3672</v>
      </c>
      <c r="P1508" s="4"/>
      <c r="Q1508" s="4"/>
      <c r="R1508"/>
      <c r="S1508"/>
      <c r="T1508" s="4"/>
      <c r="U1508" s="4"/>
      <c r="V1508"/>
      <c r="W1508"/>
      <c r="X1508"/>
      <c r="Y1508" t="inlineStr">
        <is>
          <t>Pending Appointment</t>
        </is>
      </c>
      <c r="Z1508" t="inlineStr">
        <is>
          <t>Hiring Now</t>
        </is>
      </c>
      <c r="AA1508">
        <v>1</v>
      </c>
      <c r="AB1508" t="inlineStr">
        <is>
          <t>No Appointment Made</t>
        </is>
      </c>
      <c r="AC1508"/>
      <c r="AD1508" t="inlineStr">
        <is>
          <t>indoor sales</t>
        </is>
      </c>
      <c r="AE1508"/>
      <c r="AF1508">
        <v>1200</v>
      </c>
      <c r="AG1508" s="4"/>
      <c r="AH1508" s="4"/>
      <c r="AI1508"/>
      <c r="AJ1508">
        <v>1</v>
      </c>
      <c r="AK1508" t="inlineStr">
        <is>
          <t>No, I don't need at all</t>
        </is>
      </c>
      <c r="AL1508">
        <v>1</v>
      </c>
      <c r="AM1508"/>
      <c r="AN1508"/>
      <c r="AO1508"/>
      <c r="AP1508" t="inlineStr">
        <is>
          <t>Once a year (25%)</t>
        </is>
      </c>
      <c r="AQ1508"/>
      <c r="AR1508" t="inlineStr">
        <is>
          <t>Jobstreet</t>
        </is>
      </c>
      <c r="AS1508" t="inlineStr">
        <is>
          <t>- Headcount: 1
- Hiring Job Details: indoor sales
- Hiring Urgency: Hiring Now
- Number of outlets: 1
- Have recruiter team: No, I don't need at all
- Number of recruiter in company: 1
- Have ATS system: Not specified
- Have career website: Not specified
- Current hiring budget: RM1,200.00
- Whole year budget: Not specified
- Whole year number of vacancies: Not specified
- Hiring frequency: Once a year (25%)
- External job portal: Jobstreet</t>
        </is>
      </c>
      <c r="AT1508">
        <v>75</v>
      </c>
      <c r="AU1508" t="inlineStr">
        <is>
          <t>0.75</t>
        </is>
      </c>
      <c r="AV1508" t="inlineStr">
        <is>
          <t>15</t>
        </is>
      </c>
      <c r="AW1508" t="inlineStr">
        <is>
          <t>0</t>
        </is>
      </c>
      <c r="AX1508" t="inlineStr">
        <is>
          <t>Not Qualified</t>
        </is>
      </c>
      <c r="AY1508" s="4"/>
      <c r="AZ1508"/>
      <c r="BA1508"/>
      <c r="BB1508"/>
      <c r="BC1508" t="inlineStr">
        <is>
          <t>jobstreet 200-300 per post , facebook sometimes pay and free &gt; jobstreet not quality</t>
        </is>
      </c>
      <c r="BD1508" s="4">
        <v>46125.61545138889</v>
      </c>
      <c r="BE1508"/>
      <c r="BF1508"/>
      <c r="BG1508" t="inlineStr">
        <is>
          <t>Reschedule</t>
        </is>
      </c>
      <c r="BH1508" t="inlineStr">
        <is>
          <t>Fauziah Maharan</t>
        </is>
      </c>
      <c r="BI1508"/>
      <c r="BJ1508" s="4">
        <v>46144.7527662037</v>
      </c>
      <c r="BK1508" s="4">
        <v>45892.79474537037</v>
      </c>
      <c r="BL1508" t="inlineStr">
        <is>
          <t>0.0</t>
        </is>
      </c>
      <c r="BM1508" t="inlineStr">
        <is>
          <t>600.0</t>
        </is>
      </c>
      <c r="BN1508" t="inlineStr">
        <is>
          <t>View Company Page</t>
        </is>
      </c>
      <c r="BO1508" s="4">
        <v>45892.81862268518</v>
      </c>
      <c r="BP1508">
        <v>166696</v>
      </c>
      <c r="BQ1508"/>
      <c r="BR1508"/>
      <c r="BS1508"/>
      <c r="BT1508"/>
      <c r="BU1508"/>
      <c r="BV1508">
        <v>2701044</v>
      </c>
      <c r="BW1508" t="inlineStr">
        <is>
          <t>Inquire for Hiring Needs : Quotation Sent 50%</t>
        </is>
      </c>
      <c r="BX1508"/>
      <c r="BY1508"/>
      <c r="BZ1508" s="4"/>
      <c r="CA1508"/>
      <c r="CB1508"/>
      <c r="CC1508" s="4"/>
      <c r="CD1508" t="inlineStr">
        <is>
          <t>20</t>
        </is>
      </c>
      <c r="CE1508" t="inlineStr">
        <is>
          <t>0</t>
        </is>
      </c>
      <c r="CF1508" t="inlineStr">
        <is>
          <t>Q2-W02</t>
        </is>
      </c>
      <c r="CG1508"/>
      <c r="CH1508"/>
      <c r="CI1508"/>
      <c r="CJ1508" t="inlineStr">
        <is>
          <t>No Paid</t>
        </is>
      </c>
      <c r="CK1508" t="inlineStr">
        <is>
          <t>Not Eligible</t>
        </is>
      </c>
      <c r="CL1508"/>
      <c r="CM1508"/>
    </row>
    <row r="1509" ht="25.5" customHeight="1">
      <c r="A1509" t="inlineStr">
        <is>
          <t>130057</t>
        </is>
      </c>
      <c r="B1509" s="2"/>
      <c r="C1509"/>
      <c r="D1509" s="3">
        <v>46125.559166666666</v>
      </c>
      <c r="E1509" t="inlineStr">
        <is>
          <t>Q2-W02</t>
        </is>
      </c>
      <c r="F1509" t="inlineStr">
        <is>
          <t>Fariz</t>
        </is>
      </c>
      <c r="G1509" t="inlineStr">
        <is>
          <t>Customer</t>
        </is>
      </c>
      <c r="H1509" s="2" t="str">
        <f>=HYPERLINK("https://upbox.ajobthing.my/customer/130057", "https://upbox.ajobthing.my/customer/130057")</f>
        <v>https://upbox.ajobthing.my/customer/130057</v>
      </c>
      <c r="I1509" t="inlineStr">
        <is>
          <t>Win Mah Sdn Bhd</t>
        </is>
      </c>
      <c r="J1509" t="inlineStr">
        <is>
          <t>Dolphin</t>
        </is>
      </c>
      <c r="K1509" t="inlineStr">
        <is>
          <t>Fariz</t>
        </is>
      </c>
      <c r="L1509" s="4"/>
      <c r="M1509" s="4">
        <v>46125.55962962963</v>
      </c>
      <c r="N1509"/>
      <c r="O1509">
        <v>3888</v>
      </c>
      <c r="P1509" s="4"/>
      <c r="Q1509" s="4">
        <v>46127.40083333333</v>
      </c>
      <c r="R1509"/>
      <c r="S1509">
        <v>3672</v>
      </c>
      <c r="T1509" s="4">
        <v>46127.40083333333</v>
      </c>
      <c r="U1509" s="4"/>
      <c r="V1509"/>
      <c r="W1509">
        <v>3672</v>
      </c>
      <c r="X1509"/>
      <c r="Y1509" t="inlineStr">
        <is>
          <t>Pending Appointment</t>
        </is>
      </c>
      <c r="Z1509" t="inlineStr">
        <is>
          <t>Hiring Now</t>
        </is>
      </c>
      <c r="AA1509">
        <v>1</v>
      </c>
      <c r="AB1509" t="inlineStr">
        <is>
          <t>No Appointment Made</t>
        </is>
      </c>
      <c r="AC1509"/>
      <c r="AD1509" t="inlineStr">
        <is>
          <t>1. sales</t>
        </is>
      </c>
      <c r="AE1509"/>
      <c r="AF1509">
        <v>3600</v>
      </c>
      <c r="AG1509" s="4"/>
      <c r="AH1509" s="4"/>
      <c r="AI1509">
        <v>3600</v>
      </c>
      <c r="AJ1509"/>
      <c r="AK1509" t="inlineStr">
        <is>
          <t>No, but I want in future</t>
        </is>
      </c>
      <c r="AL1509">
        <v>1</v>
      </c>
      <c r="AM1509" t="inlineStr">
        <is>
          <t>No, I don't need at all</t>
        </is>
      </c>
      <c r="AN1509"/>
      <c r="AO1509" t="inlineStr">
        <is>
          <t>No, but I want in future</t>
        </is>
      </c>
      <c r="AP1509" t="inlineStr">
        <is>
          <t>Twice a year (50%)</t>
        </is>
      </c>
      <c r="AQ1509">
        <v>5</v>
      </c>
      <c r="AR1509" t="inlineStr">
        <is>
          <t>Jobstreet, Free Job Portal</t>
        </is>
      </c>
      <c r="AS1509" t="inlineStr">
        <is>
          <t>- Headcount: 1
- Hiring Job Details: 1 sales
- Hiring Urgency: Hiring Now
- Number of outlets: 
- Have recruiter team: No, but want in future
- Number of recruiter in company: 1
- Have ATS system: No, don't need at all
- Have career website: No, but want in future
- Current hiring budget: RM3,600
- Whole year budget: RM3,600.00
- Whole year number of vacancies: 5
- Hiring frequency: Twice a year (50%)
- External job portal: Jobstreet, Free Job Portal</t>
        </is>
      </c>
      <c r="AT1509">
        <v>105</v>
      </c>
      <c r="AU1509" t="inlineStr">
        <is>
          <t>1.05</t>
        </is>
      </c>
      <c r="AV1509" t="inlineStr">
        <is>
          <t>15</t>
        </is>
      </c>
      <c r="AW1509" t="inlineStr">
        <is>
          <t>0</t>
        </is>
      </c>
      <c r="AX1509" t="inlineStr">
        <is>
          <t>Not Qualified</t>
        </is>
      </c>
      <c r="AY1509" s="4"/>
      <c r="AZ1509"/>
      <c r="BA1509"/>
      <c r="BB1509"/>
      <c r="BC1509" t="inlineStr">
        <is>
          <t>customer paid already on 14th, ask for feedback</t>
        </is>
      </c>
      <c r="BD1509" s="4">
        <v>46139.70342592592</v>
      </c>
      <c r="BE1509" t="inlineStr">
        <is>
          <t>paid</t>
        </is>
      </c>
      <c r="BF1509" t="inlineStr">
        <is>
          <t>Q2-W02</t>
        </is>
      </c>
      <c r="BG1509" t="inlineStr">
        <is>
          <t>Reschedule</t>
        </is>
      </c>
      <c r="BH1509" t="inlineStr">
        <is>
          <t>Edward Hoo</t>
        </is>
      </c>
      <c r="BI1509" t="inlineStr">
        <is>
          <t>Retail / Merchandise</t>
        </is>
      </c>
      <c r="BJ1509" s="4">
        <v>46144.750451388885</v>
      </c>
      <c r="BK1509" s="4">
        <v>44092.66886574074</v>
      </c>
      <c r="BL1509" t="inlineStr">
        <is>
          <t>3672.0</t>
        </is>
      </c>
      <c r="BM1509" t="inlineStr">
        <is>
          <t>750.0</t>
        </is>
      </c>
      <c r="BN1509" t="inlineStr">
        <is>
          <t>View Company Page</t>
        </is>
      </c>
      <c r="BO1509" s="4">
        <v>46139.424791666665</v>
      </c>
      <c r="BP1509">
        <v>166697</v>
      </c>
      <c r="BQ1509">
        <v>93504</v>
      </c>
      <c r="BR1509" t="inlineStr">
        <is>
          <t>Online</t>
        </is>
      </c>
      <c r="BS1509"/>
      <c r="BT1509">
        <v>93504</v>
      </c>
      <c r="BU1509"/>
      <c r="BV1509">
        <v>2731321</v>
      </c>
      <c r="BW1509" t="inlineStr">
        <is>
          <t>Follow Up : Win - Customer Paid</t>
        </is>
      </c>
      <c r="BX1509">
        <v>6</v>
      </c>
      <c r="BY1509">
        <v>6</v>
      </c>
      <c r="BZ1509" s="4"/>
      <c r="CA1509">
        <v>60</v>
      </c>
      <c r="CB1509">
        <v>60</v>
      </c>
      <c r="CC1509" s="4"/>
      <c r="CD1509" t="inlineStr">
        <is>
          <t>20</t>
        </is>
      </c>
      <c r="CE1509" t="inlineStr">
        <is>
          <t>0</t>
        </is>
      </c>
      <c r="CF1509" t="inlineStr">
        <is>
          <t>Q2-W02</t>
        </is>
      </c>
      <c r="CG1509" t="inlineStr">
        <is>
          <t>Q2-W02</t>
        </is>
      </c>
      <c r="CH1509" t="inlineStr">
        <is>
          <t>Q2-W02</t>
        </is>
      </c>
      <c r="CI1509"/>
      <c r="CJ1509" t="inlineStr">
        <is>
          <t>Paid</t>
        </is>
      </c>
      <c r="CK1509" t="inlineStr">
        <is>
          <t>Not Eligible</t>
        </is>
      </c>
      <c r="CL1509"/>
      <c r="CM1509"/>
    </row>
    <row r="1510" ht="25.5" customHeight="1">
      <c r="A1510" t="inlineStr">
        <is>
          <t>175907</t>
        </is>
      </c>
      <c r="B1510" s="2"/>
      <c r="C1510"/>
      <c r="D1510" s="3">
        <v>46125.56681712963</v>
      </c>
      <c r="E1510" t="inlineStr">
        <is>
          <t>Q2-W02</t>
        </is>
      </c>
      <c r="F1510" t="inlineStr">
        <is>
          <t>Dickson</t>
        </is>
      </c>
      <c r="G1510" t="inlineStr">
        <is>
          <t>Customer</t>
        </is>
      </c>
      <c r="H1510" s="2" t="str">
        <f>=HYPERLINK("https://upbox.ajobthing.my/customer/175907", "https://upbox.ajobthing.my/customer/175907")</f>
        <v>https://upbox.ajobthing.my/customer/175907</v>
      </c>
      <c r="I1510" t="inlineStr">
        <is>
          <t>BioVision &amp; Greenergy Sdn Bhd</t>
        </is>
      </c>
      <c r="J1510" t="inlineStr">
        <is>
          <t>Dolphin</t>
        </is>
      </c>
      <c r="K1510" t="inlineStr">
        <is>
          <t>Dickson</t>
        </is>
      </c>
      <c r="L1510" s="4"/>
      <c r="M1510" s="4">
        <v>46125.56689814815</v>
      </c>
      <c r="N1510"/>
      <c r="O1510">
        <v>3888</v>
      </c>
      <c r="P1510" s="4"/>
      <c r="Q1510" s="4">
        <v>45351.67061342593</v>
      </c>
      <c r="R1510"/>
      <c r="S1510">
        <v>1908</v>
      </c>
      <c r="T1510" s="4">
        <v>45351.67061342593</v>
      </c>
      <c r="U1510" s="4"/>
      <c r="V1510"/>
      <c r="W1510">
        <v>1908</v>
      </c>
      <c r="X1510"/>
      <c r="Y1510" t="inlineStr">
        <is>
          <t>Pending Appointment</t>
        </is>
      </c>
      <c r="Z1510" t="inlineStr">
        <is>
          <t>Hiring Now</t>
        </is>
      </c>
      <c r="AA1510">
        <v>2</v>
      </c>
      <c r="AB1510" t="inlineStr">
        <is>
          <t>No Appointment Made</t>
        </is>
      </c>
      <c r="AC1510"/>
      <c r="AD1510" t="inlineStr">
        <is>
          <t>hiring 2 positions</t>
        </is>
      </c>
      <c r="AE1510"/>
      <c r="AF1510"/>
      <c r="AG1510" s="4"/>
      <c r="AH1510" s="4"/>
      <c r="AI1510"/>
      <c r="AJ1510">
        <v>1</v>
      </c>
      <c r="AK1510" t="inlineStr">
        <is>
          <t>No, I don't need at all</t>
        </is>
      </c>
      <c r="AL1510"/>
      <c r="AM1510" t="inlineStr">
        <is>
          <t>No, I don't need at all</t>
        </is>
      </c>
      <c r="AN1510"/>
      <c r="AO1510" t="inlineStr">
        <is>
          <t>No, I don't need at all</t>
        </is>
      </c>
      <c r="AP1510" t="inlineStr">
        <is>
          <t>Once per quarter (75%)</t>
        </is>
      </c>
      <c r="AQ1510"/>
      <c r="AR1510"/>
      <c r="AS1510" t="inlineStr">
        <is>
          <t>- Headcount: 2
- Hiring Job Details: hiring 2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1510">
        <v>75</v>
      </c>
      <c r="AU1510" t="inlineStr">
        <is>
          <t>0.75</t>
        </is>
      </c>
      <c r="AV1510" t="inlineStr">
        <is>
          <t>5</t>
        </is>
      </c>
      <c r="AW1510" t="inlineStr">
        <is>
          <t>0</t>
        </is>
      </c>
      <c r="AX1510" t="inlineStr">
        <is>
          <t>Not Qualified</t>
        </is>
      </c>
      <c r="AY1510" s="4"/>
      <c r="AZ1510"/>
      <c r="BA1510"/>
      <c r="BB1510"/>
      <c r="BC1510" t="inlineStr">
        <is>
          <t>not hiring anymore</t>
        </is>
      </c>
      <c r="BD1510" s="4">
        <v>46139.75962962963</v>
      </c>
      <c r="BE1510" t="inlineStr">
        <is>
          <t>paid</t>
        </is>
      </c>
      <c r="BF1510"/>
      <c r="BG1510" t="inlineStr">
        <is>
          <t>Reschedule</t>
        </is>
      </c>
      <c r="BH1510" t="inlineStr">
        <is>
          <t>Edward Hoo</t>
        </is>
      </c>
      <c r="BI1510" t="inlineStr">
        <is>
          <t>BioTech / Pharmaceutical</t>
        </is>
      </c>
      <c r="BJ1510" s="4">
        <v>46144.75163194445</v>
      </c>
      <c r="BK1510" s="4">
        <v>45351.38673611111</v>
      </c>
      <c r="BL1510" t="inlineStr">
        <is>
          <t>0.0</t>
        </is>
      </c>
      <c r="BM1510" t="inlineStr">
        <is>
          <t>600.0</t>
        </is>
      </c>
      <c r="BN1510" t="inlineStr">
        <is>
          <t>View Company Page</t>
        </is>
      </c>
      <c r="BO1510" s="4">
        <v>45530.658784722225</v>
      </c>
      <c r="BP1510">
        <v>166698</v>
      </c>
      <c r="BQ1510">
        <v>66422</v>
      </c>
      <c r="BR1510" t="inlineStr">
        <is>
          <t>Online</t>
        </is>
      </c>
      <c r="BS1510"/>
      <c r="BT1510">
        <v>66422</v>
      </c>
      <c r="BU1510"/>
      <c r="BV1510">
        <v>2731599</v>
      </c>
      <c r="BW1510" t="inlineStr">
        <is>
          <t>Follow Up : Lost - Free Portal</t>
        </is>
      </c>
      <c r="BX1510"/>
      <c r="BY1510"/>
      <c r="BZ1510" s="4"/>
      <c r="CA1510"/>
      <c r="CB1510"/>
      <c r="CC1510" s="4"/>
      <c r="CD1510" t="inlineStr">
        <is>
          <t>5</t>
        </is>
      </c>
      <c r="CE1510" t="inlineStr">
        <is>
          <t>0</t>
        </is>
      </c>
      <c r="CF1510" t="inlineStr">
        <is>
          <t>Q2-W02</t>
        </is>
      </c>
      <c r="CG1510"/>
      <c r="CH1510"/>
      <c r="CI1510"/>
      <c r="CJ1510" t="inlineStr">
        <is>
          <t>Paid</t>
        </is>
      </c>
      <c r="CK1510" t="inlineStr">
        <is>
          <t>Not Eligible</t>
        </is>
      </c>
      <c r="CL1510"/>
      <c r="CM1510"/>
    </row>
    <row r="1511" ht="25.5" customHeight="1">
      <c r="A1511" t="inlineStr">
        <is>
          <t>135403</t>
        </is>
      </c>
      <c r="B1511" s="2"/>
      <c r="C1511"/>
      <c r="D1511" s="3">
        <v>46125.569699074076</v>
      </c>
      <c r="E1511" t="inlineStr">
        <is>
          <t>Q2-W02</t>
        </is>
      </c>
      <c r="F1511" t="inlineStr">
        <is>
          <t>Jia Hui</t>
        </is>
      </c>
      <c r="G1511" t="inlineStr">
        <is>
          <t>Customer</t>
        </is>
      </c>
      <c r="H1511" s="2" t="str">
        <f>=HYPERLINK("https://upbox.ajobthing.my/customer/135403", "https://upbox.ajobthing.my/customer/135403")</f>
        <v>https://upbox.ajobthing.my/customer/135403</v>
      </c>
      <c r="I1511" t="inlineStr">
        <is>
          <t>HL IT Event Solution</t>
        </is>
      </c>
      <c r="J1511" t="inlineStr">
        <is>
          <t>Dolphin</t>
        </is>
      </c>
      <c r="K1511" t="inlineStr">
        <is>
          <t>Jia Hui</t>
        </is>
      </c>
      <c r="L1511" s="4"/>
      <c r="M1511" s="4">
        <v>46122.47</v>
      </c>
      <c r="N1511"/>
      <c r="O1511">
        <v>3888</v>
      </c>
      <c r="P1511" s="4"/>
      <c r="Q1511" s="4">
        <v>46125.95502314815</v>
      </c>
      <c r="R1511"/>
      <c r="S1511">
        <v>3672</v>
      </c>
      <c r="T1511" s="4">
        <v>46125.95502314815</v>
      </c>
      <c r="U1511" s="4"/>
      <c r="V1511"/>
      <c r="W1511">
        <v>3672</v>
      </c>
      <c r="X1511"/>
      <c r="Y1511" t="inlineStr">
        <is>
          <t>Pending Appointment</t>
        </is>
      </c>
      <c r="Z1511" t="inlineStr">
        <is>
          <t>Hiring Now</t>
        </is>
      </c>
      <c r="AA1511">
        <v>2</v>
      </c>
      <c r="AB1511" t="inlineStr">
        <is>
          <t>No Appointment Made</t>
        </is>
      </c>
      <c r="AC1511"/>
      <c r="AD1511" t="inlineStr">
        <is>
          <t>1 admin, 1 content creator</t>
        </is>
      </c>
      <c r="AE1511"/>
      <c r="AF1511">
        <v>500</v>
      </c>
      <c r="AG1511" s="4"/>
      <c r="AH1511" s="4"/>
      <c r="AI1511"/>
      <c r="AJ1511"/>
      <c r="AK1511" t="inlineStr">
        <is>
          <t>No, but I want in future</t>
        </is>
      </c>
      <c r="AL1511"/>
      <c r="AM1511"/>
      <c r="AN1511"/>
      <c r="AO1511"/>
      <c r="AP1511" t="inlineStr">
        <is>
          <t>Once a year (25%)</t>
        </is>
      </c>
      <c r="AQ1511"/>
      <c r="AR1511"/>
      <c r="AS1511" t="inlineStr">
        <is>
          <t>- Headcount: 2
- Hiring Job Details: 1 admin, 1 content creator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is>
      </c>
      <c r="AT1511">
        <v>95</v>
      </c>
      <c r="AU1511" t="inlineStr">
        <is>
          <t>0.95</t>
        </is>
      </c>
      <c r="AV1511" t="inlineStr">
        <is>
          <t>15</t>
        </is>
      </c>
      <c r="AW1511" t="inlineStr">
        <is>
          <t>0</t>
        </is>
      </c>
      <c r="AX1511" t="inlineStr">
        <is>
          <t>Not Qualified</t>
        </is>
      </c>
      <c r="AY1511" s="4"/>
      <c r="AZ1511"/>
      <c r="BA1511"/>
      <c r="BB1511"/>
      <c r="BC1511" t="inlineStr">
        <is>
          <t>customer paid, notify the job ads has been activated</t>
        </is>
      </c>
      <c r="BD1511" s="4">
        <v>46126.439675925925</v>
      </c>
      <c r="BE1511" t="inlineStr">
        <is>
          <t>paid</t>
        </is>
      </c>
      <c r="BF1511" t="inlineStr">
        <is>
          <t>Q2-W02</t>
        </is>
      </c>
      <c r="BG1511" t="inlineStr">
        <is>
          <t>Reschedule</t>
        </is>
      </c>
      <c r="BH1511" t="inlineStr">
        <is>
          <t>Reagen</t>
        </is>
      </c>
      <c r="BI1511" t="inlineStr">
        <is>
          <t>Call Center / BPO</t>
        </is>
      </c>
      <c r="BJ1511" s="4">
        <v>46144.750555555554</v>
      </c>
      <c r="BK1511" s="4">
        <v>44265.72184027778</v>
      </c>
      <c r="BL1511" t="inlineStr">
        <is>
          <t>0.0</t>
        </is>
      </c>
      <c r="BM1511" t="inlineStr">
        <is>
          <t>0.0</t>
        </is>
      </c>
      <c r="BN1511" t="inlineStr">
        <is>
          <t>PA Visit - Job Card</t>
        </is>
      </c>
      <c r="BO1511" s="4">
        <v>46141.442037037035</v>
      </c>
      <c r="BP1511">
        <v>166376</v>
      </c>
      <c r="BQ1511">
        <v>93244</v>
      </c>
      <c r="BR1511" t="inlineStr">
        <is>
          <t>Online</t>
        </is>
      </c>
      <c r="BS1511"/>
      <c r="BT1511">
        <v>93244</v>
      </c>
      <c r="BU1511"/>
      <c r="BV1511">
        <v>2702675</v>
      </c>
      <c r="BW1511" t="inlineStr">
        <is>
          <t>Follow Up : Win - Customer Paid</t>
        </is>
      </c>
      <c r="BX1511">
        <v>6</v>
      </c>
      <c r="BY1511">
        <v>5</v>
      </c>
      <c r="BZ1511" s="4">
        <v>46126.44547453704</v>
      </c>
      <c r="CA1511">
        <v>73</v>
      </c>
      <c r="CB1511">
        <v>73</v>
      </c>
      <c r="CC1511" s="4"/>
      <c r="CD1511" t="inlineStr">
        <is>
          <t>20</t>
        </is>
      </c>
      <c r="CE1511" t="inlineStr">
        <is>
          <t>0</t>
        </is>
      </c>
      <c r="CF1511" t="inlineStr">
        <is>
          <t>Q2-W02</t>
        </is>
      </c>
      <c r="CG1511" t="inlineStr">
        <is>
          <t>Q2-W02</t>
        </is>
      </c>
      <c r="CH1511" t="inlineStr">
        <is>
          <t>Q2-W02</t>
        </is>
      </c>
      <c r="CI1511"/>
      <c r="CJ1511" t="inlineStr">
        <is>
          <t>Paid</t>
        </is>
      </c>
      <c r="CK1511" t="inlineStr">
        <is>
          <t>Not Eligible</t>
        </is>
      </c>
      <c r="CL1511"/>
      <c r="CM1511"/>
    </row>
    <row r="1512" ht="25.5" customHeight="1">
      <c r="A1512" t="inlineStr">
        <is>
          <t>4269376</t>
        </is>
      </c>
      <c r="B1512" s="2"/>
      <c r="C1512"/>
      <c r="D1512" s="3">
        <v>46125.58237268519</v>
      </c>
      <c r="E1512" t="inlineStr">
        <is>
          <t>Q2-W02</t>
        </is>
      </c>
      <c r="F1512" t="inlineStr">
        <is>
          <t>Jess</t>
        </is>
      </c>
      <c r="G1512" t="inlineStr">
        <is>
          <t>Lead</t>
        </is>
      </c>
      <c r="H1512" s="2" t="str">
        <f>=HYPERLINK("https://upbox.ajobthing.my/leads/4269376", "https://upbox.ajobthing.my/leads/4269376")</f>
        <v>https://upbox.ajobthing.my/leads/4269376</v>
      </c>
      <c r="I1512" t="inlineStr">
        <is>
          <t>Kim Frozen Food Sdn Bhd</t>
        </is>
      </c>
      <c r="J1512" t="inlineStr">
        <is>
          <t>Dolphin</t>
        </is>
      </c>
      <c r="K1512" t="inlineStr">
        <is>
          <t>Jess Lim</t>
        </is>
      </c>
      <c r="L1512" s="4"/>
      <c r="M1512" s="4">
        <v>46125.58403935185</v>
      </c>
      <c r="N1512"/>
      <c r="O1512">
        <v>6048</v>
      </c>
      <c r="P1512" s="4"/>
      <c r="Q1512" s="4"/>
      <c r="R1512"/>
      <c r="S1512"/>
      <c r="T1512" s="4"/>
      <c r="U1512" s="4"/>
      <c r="V1512"/>
      <c r="W1512"/>
      <c r="X1512"/>
      <c r="Y1512" t="inlineStr">
        <is>
          <t>Pending Appointment</t>
        </is>
      </c>
      <c r="Z1512" t="inlineStr">
        <is>
          <t>Hiring Now</t>
        </is>
      </c>
      <c r="AA1512">
        <v>2</v>
      </c>
      <c r="AB1512" t="inlineStr">
        <is>
          <t>No Appointment Made</t>
        </is>
      </c>
      <c r="AC1512"/>
      <c r="AD1512" t="inlineStr">
        <is>
          <t>admin sales</t>
        </is>
      </c>
      <c r="AE1512"/>
      <c r="AF1512">
        <v>2400</v>
      </c>
      <c r="AG1512" s="4"/>
      <c r="AH1512" s="4"/>
      <c r="AI1512"/>
      <c r="AJ1512">
        <v>1</v>
      </c>
      <c r="AK1512" t="inlineStr">
        <is>
          <t>No, I don't need at all</t>
        </is>
      </c>
      <c r="AL1512">
        <v>1</v>
      </c>
      <c r="AM1512" t="inlineStr">
        <is>
          <t>No, I don't need at all</t>
        </is>
      </c>
      <c r="AN1512"/>
      <c r="AO1512"/>
      <c r="AP1512" t="inlineStr">
        <is>
          <t>Once a year (25%)</t>
        </is>
      </c>
      <c r="AQ1512"/>
      <c r="AR1512" t="inlineStr">
        <is>
          <t>Jobstreet</t>
        </is>
      </c>
      <c r="AS1512" t="inlineStr">
        <is>
          <t>- Headcount: 2
- Hiring Job Details: admin sales
- Hiring Urgency: Hiring Now
- Number of outlets: 1
- Have recruiter team: No, I don't need at all
- Number of recruiter in company: 1
- Have ATS system: No, I don't need at all
- Have career website: Not specified
- Current hiring budget: RM2,400.00
- Whole year budget: Not specified
- Whole year number of vacancies: Not specified
- Hiring frequency: Once a year (25%)
- External job portal: Jobstreet</t>
        </is>
      </c>
      <c r="AT1512">
        <v>90</v>
      </c>
      <c r="AU1512" t="inlineStr">
        <is>
          <t>0.90</t>
        </is>
      </c>
      <c r="AV1512" t="inlineStr">
        <is>
          <t>15</t>
        </is>
      </c>
      <c r="AW1512" t="inlineStr">
        <is>
          <t>0</t>
        </is>
      </c>
      <c r="AX1512" t="inlineStr">
        <is>
          <t>Not Qualified</t>
        </is>
      </c>
      <c r="AY1512" s="4"/>
      <c r="AZ1512"/>
      <c r="BA1512"/>
      <c r="BB1512"/>
      <c r="BC1512"/>
      <c r="BD1512" s="4"/>
      <c r="BE1512"/>
      <c r="BF1512"/>
      <c r="BG1512" t="inlineStr">
        <is>
          <t>Reschedule</t>
        </is>
      </c>
      <c r="BH1512" t="inlineStr">
        <is>
          <t>Fauziah Maharan</t>
        </is>
      </c>
      <c r="BI1512"/>
      <c r="BJ1512" s="4">
        <v>46144.75578703704</v>
      </c>
      <c r="BK1512" s="4">
        <v>46122.61672453704</v>
      </c>
      <c r="BL1512" t="inlineStr">
        <is>
          <t>0.0</t>
        </is>
      </c>
      <c r="BM1512" t="inlineStr">
        <is>
          <t>2400.0</t>
        </is>
      </c>
      <c r="BN1512"/>
      <c r="BO1512" s="4"/>
      <c r="BP1512">
        <v>166706</v>
      </c>
      <c r="BQ1512"/>
      <c r="BR1512"/>
      <c r="BS1512"/>
      <c r="BT1512"/>
      <c r="BU1512"/>
      <c r="BV1512"/>
      <c r="BW1512"/>
      <c r="BX1512"/>
      <c r="BY1512"/>
      <c r="BZ1512" s="4"/>
      <c r="CA1512"/>
      <c r="CB1512"/>
      <c r="CC1512" s="4"/>
      <c r="CD1512" t="inlineStr">
        <is>
          <t>20</t>
        </is>
      </c>
      <c r="CE1512" t="inlineStr">
        <is>
          <t>0</t>
        </is>
      </c>
      <c r="CF1512" t="inlineStr">
        <is>
          <t>Q2-W02</t>
        </is>
      </c>
      <c r="CG1512"/>
      <c r="CH1512"/>
      <c r="CI1512"/>
      <c r="CJ1512" t="inlineStr">
        <is>
          <t>No Paid</t>
        </is>
      </c>
      <c r="CK1512" t="inlineStr">
        <is>
          <t>Not Eligible</t>
        </is>
      </c>
      <c r="CL1512"/>
      <c r="CM1512"/>
    </row>
    <row r="1513" ht="25.5" customHeight="1">
      <c r="A1513" t="inlineStr">
        <is>
          <t>179463</t>
        </is>
      </c>
      <c r="B1513" s="2"/>
      <c r="C1513"/>
      <c r="D1513" s="3">
        <v>46125.58255787037</v>
      </c>
      <c r="E1513" t="inlineStr">
        <is>
          <t>Q2-W02</t>
        </is>
      </c>
      <c r="F1513" t="inlineStr">
        <is>
          <t>Luqman</t>
        </is>
      </c>
      <c r="G1513" t="inlineStr">
        <is>
          <t>Customer</t>
        </is>
      </c>
      <c r="H1513" s="2" t="str">
        <f>=HYPERLINK("https://upbox.ajobthing.my/customer/179463", "https://upbox.ajobthing.my/customer/179463")</f>
        <v>https://upbox.ajobthing.my/customer/179463</v>
      </c>
      <c r="I1513" t="inlineStr">
        <is>
          <t>High Tech Electrical Engineering Sdn Bhd</t>
        </is>
      </c>
      <c r="J1513" t="inlineStr">
        <is>
          <t>Dolphin</t>
        </is>
      </c>
      <c r="K1513" t="inlineStr">
        <is>
          <t>Luqman</t>
        </is>
      </c>
      <c r="L1513" s="4"/>
      <c r="M1513" s="4">
        <v>46125.582650462966</v>
      </c>
      <c r="N1513"/>
      <c r="O1513">
        <v>3888</v>
      </c>
      <c r="P1513" s="4"/>
      <c r="Q1513" s="4">
        <v>45457.725335648145</v>
      </c>
      <c r="R1513"/>
      <c r="S1513">
        <v>2916</v>
      </c>
      <c r="T1513" s="4">
        <v>45457</v>
      </c>
      <c r="U1513" s="4"/>
      <c r="V1513"/>
      <c r="W1513">
        <v>2916</v>
      </c>
      <c r="X1513"/>
      <c r="Y1513" t="inlineStr">
        <is>
          <t>Pending Appointment</t>
        </is>
      </c>
      <c r="Z1513" t="inlineStr">
        <is>
          <t>Hiring Later</t>
        </is>
      </c>
      <c r="AA1513">
        <v>1</v>
      </c>
      <c r="AB1513" t="inlineStr">
        <is>
          <t>No Appointment Made</t>
        </is>
      </c>
      <c r="AC1513"/>
      <c r="AD1513" t="inlineStr">
        <is>
          <t xml:space="preserve">1. Technician </t>
        </is>
      </c>
      <c r="AE1513"/>
      <c r="AF1513">
        <v>1200</v>
      </c>
      <c r="AG1513" s="4"/>
      <c r="AH1513" s="4"/>
      <c r="AI1513">
        <v>1200</v>
      </c>
      <c r="AJ1513"/>
      <c r="AK1513" t="inlineStr">
        <is>
          <t>No, I don't need at all</t>
        </is>
      </c>
      <c r="AL1513">
        <v>1</v>
      </c>
      <c r="AM1513" t="inlineStr">
        <is>
          <t>No, I don't need at all</t>
        </is>
      </c>
      <c r="AN1513"/>
      <c r="AO1513" t="inlineStr">
        <is>
          <t>No, I don't need at all</t>
        </is>
      </c>
      <c r="AP1513" t="inlineStr">
        <is>
          <t>Once a year (25%)</t>
        </is>
      </c>
      <c r="AQ1513">
        <v>1</v>
      </c>
      <c r="AR1513" t="inlineStr">
        <is>
          <t>Free Job Portal</t>
        </is>
      </c>
      <c r="AS1513" t="inlineStr">
        <is>
          <t>- Headcount: 1
- Hiring Job Details: 1 Technician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1513">
        <v>110</v>
      </c>
      <c r="AU1513" t="inlineStr">
        <is>
          <t>1.10</t>
        </is>
      </c>
      <c r="AV1513" t="inlineStr">
        <is>
          <t>15</t>
        </is>
      </c>
      <c r="AW1513" t="inlineStr">
        <is>
          <t>0</t>
        </is>
      </c>
      <c r="AX1513" t="inlineStr">
        <is>
          <t>Not Qualified</t>
        </is>
      </c>
      <c r="AY1513" s="4"/>
      <c r="AZ1513"/>
      <c r="BA1513"/>
      <c r="BB1513"/>
      <c r="BC1513" t="inlineStr">
        <is>
          <t>Xin yee, Nurul.
Business dont have budget allocate for this month</t>
        </is>
      </c>
      <c r="BD1513" s="4">
        <v>46127.700590277775</v>
      </c>
      <c r="BE1513" t="inlineStr">
        <is>
          <t>paid</t>
        </is>
      </c>
      <c r="BF1513"/>
      <c r="BG1513" t="inlineStr">
        <is>
          <t>Reschedule</t>
        </is>
      </c>
      <c r="BH1513" t="inlineStr">
        <is>
          <t>Edward Hoo</t>
        </is>
      </c>
      <c r="BI1513"/>
      <c r="BJ1513" s="4">
        <v>46144.75178240741</v>
      </c>
      <c r="BK1513" s="4">
        <v>45457.72224537037</v>
      </c>
      <c r="BL1513" t="inlineStr">
        <is>
          <t>0.0</t>
        </is>
      </c>
      <c r="BM1513" t="inlineStr">
        <is>
          <t>600.0</t>
        </is>
      </c>
      <c r="BN1513" t="inlineStr">
        <is>
          <t>View Jobmanager Page</t>
        </is>
      </c>
      <c r="BO1513" s="4">
        <v>45807.490324074075</v>
      </c>
      <c r="BP1513">
        <v>166703</v>
      </c>
      <c r="BQ1513">
        <v>91456</v>
      </c>
      <c r="BR1513" t="inlineStr">
        <is>
          <t>Proforma</t>
        </is>
      </c>
      <c r="BS1513" t="inlineStr">
        <is>
          <t>Yearly Standard Plan</t>
        </is>
      </c>
      <c r="BT1513">
        <v>70189</v>
      </c>
      <c r="BU1513"/>
      <c r="BV1513">
        <v>2706654</v>
      </c>
      <c r="BW1513" t="inlineStr">
        <is>
          <t>Follow Up : Budget Concern</t>
        </is>
      </c>
      <c r="BX1513"/>
      <c r="BY1513"/>
      <c r="BZ1513" s="4"/>
      <c r="CA1513"/>
      <c r="CB1513"/>
      <c r="CC1513" s="4"/>
      <c r="CD1513" t="inlineStr">
        <is>
          <t>20</t>
        </is>
      </c>
      <c r="CE1513" t="inlineStr">
        <is>
          <t>0</t>
        </is>
      </c>
      <c r="CF1513" t="inlineStr">
        <is>
          <t>Q2-W02</t>
        </is>
      </c>
      <c r="CG1513"/>
      <c r="CH1513"/>
      <c r="CI1513"/>
      <c r="CJ1513" t="inlineStr">
        <is>
          <t>Paid</t>
        </is>
      </c>
      <c r="CK1513" t="inlineStr">
        <is>
          <t>Not Eligible</t>
        </is>
      </c>
      <c r="CL1513"/>
      <c r="CM1513"/>
    </row>
    <row r="1514" ht="25.5" customHeight="1">
      <c r="A1514" t="inlineStr">
        <is>
          <t>179421</t>
        </is>
      </c>
      <c r="B1514" s="2"/>
      <c r="C1514"/>
      <c r="D1514" s="3">
        <v>46125.59243055555</v>
      </c>
      <c r="E1514" t="inlineStr">
        <is>
          <t>Q2-W02</t>
        </is>
      </c>
      <c r="F1514" t="inlineStr">
        <is>
          <t>Luqman</t>
        </is>
      </c>
      <c r="G1514" t="inlineStr">
        <is>
          <t>Customer</t>
        </is>
      </c>
      <c r="H1514" s="2" t="str">
        <f>=HYPERLINK("https://upbox.ajobthing.my/customer/179421", "https://upbox.ajobthing.my/customer/179421")</f>
        <v>https://upbox.ajobthing.my/customer/179421</v>
      </c>
      <c r="I1514" t="inlineStr">
        <is>
          <t>Air Power Resources Sdn Bhd</t>
        </is>
      </c>
      <c r="J1514" t="inlineStr">
        <is>
          <t>Dolphin</t>
        </is>
      </c>
      <c r="K1514" t="inlineStr">
        <is>
          <t>Luqman</t>
        </is>
      </c>
      <c r="L1514" s="4"/>
      <c r="M1514" s="4">
        <v>46125.59483796296</v>
      </c>
      <c r="N1514"/>
      <c r="O1514">
        <v>3888</v>
      </c>
      <c r="P1514" s="4"/>
      <c r="Q1514" s="4">
        <v>45674.47741898148</v>
      </c>
      <c r="R1514"/>
      <c r="S1514">
        <v>648</v>
      </c>
      <c r="T1514" s="4">
        <v>45674.47741898148</v>
      </c>
      <c r="U1514" s="4"/>
      <c r="V1514"/>
      <c r="W1514">
        <v>648</v>
      </c>
      <c r="X1514"/>
      <c r="Y1514" t="inlineStr">
        <is>
          <t>Pending Appointment</t>
        </is>
      </c>
      <c r="Z1514" t="inlineStr">
        <is>
          <t>Hiring Later</t>
        </is>
      </c>
      <c r="AA1514">
        <v>1</v>
      </c>
      <c r="AB1514" t="inlineStr">
        <is>
          <t>No Appointment Made</t>
        </is>
      </c>
      <c r="AC1514"/>
      <c r="AD1514" t="inlineStr">
        <is>
          <t xml:space="preserve">1. Admin </t>
        </is>
      </c>
      <c r="AE1514"/>
      <c r="AF1514">
        <v>1200</v>
      </c>
      <c r="AG1514" s="4"/>
      <c r="AH1514" s="4"/>
      <c r="AI1514">
        <v>1200</v>
      </c>
      <c r="AJ1514"/>
      <c r="AK1514" t="inlineStr">
        <is>
          <t>No, I don't need at all</t>
        </is>
      </c>
      <c r="AL1514">
        <v>2</v>
      </c>
      <c r="AM1514" t="inlineStr">
        <is>
          <t>No, I don't need at all</t>
        </is>
      </c>
      <c r="AN1514"/>
      <c r="AO1514" t="inlineStr">
        <is>
          <t>No, I don't need at all</t>
        </is>
      </c>
      <c r="AP1514" t="inlineStr">
        <is>
          <t>Once a year (25%)</t>
        </is>
      </c>
      <c r="AQ1514">
        <v>1</v>
      </c>
      <c r="AR1514" t="inlineStr">
        <is>
          <t>Jobstreet</t>
        </is>
      </c>
      <c r="AS1514" t="inlineStr">
        <is>
          <t>- Headcount: 1
- Hiring Job Details: 1 Admin
- Hiring Urgency: Hiring Later
- Number of outlets: N/A
- Have recruiter team: No, I don't need at all
- Number of recruiter in company: 2
- Have ATS system: No, I don't need at all
- Have career website: No, I don't need at all
- Current hiring budget: RM1,200
- Whole year budget: RM1,200.00
- Whole year number of vacancies: 1
- Hiring frequency: Once a year (25%)
- External job portal: Jobstreet</t>
        </is>
      </c>
      <c r="AT1514">
        <v>115</v>
      </c>
      <c r="AU1514" t="inlineStr">
        <is>
          <t>1.15</t>
        </is>
      </c>
      <c r="AV1514" t="inlineStr">
        <is>
          <t>15</t>
        </is>
      </c>
      <c r="AW1514" t="inlineStr">
        <is>
          <t>0</t>
        </is>
      </c>
      <c r="AX1514" t="inlineStr">
        <is>
          <t>Not Qualified</t>
        </is>
      </c>
      <c r="AY1514" s="4"/>
      <c r="AZ1514"/>
      <c r="BA1514"/>
      <c r="BB1514"/>
      <c r="BC1514" t="inlineStr">
        <is>
          <t>Lost- free portal</t>
        </is>
      </c>
      <c r="BD1514" s="4">
        <v>46132.706099537034</v>
      </c>
      <c r="BE1514" t="inlineStr">
        <is>
          <t>paid</t>
        </is>
      </c>
      <c r="BF1514"/>
      <c r="BG1514" t="inlineStr">
        <is>
          <t>Reschedule</t>
        </is>
      </c>
      <c r="BH1514" t="inlineStr">
        <is>
          <t>Edward Hoo</t>
        </is>
      </c>
      <c r="BI1514" t="inlineStr">
        <is>
          <t>Heavy Industrial / Machinery</t>
        </is>
      </c>
      <c r="BJ1514" s="4">
        <v>46144.75178240741</v>
      </c>
      <c r="BK1514" s="4">
        <v>45456.735127314816</v>
      </c>
      <c r="BL1514" t="inlineStr">
        <is>
          <t>0.0</t>
        </is>
      </c>
      <c r="BM1514" t="inlineStr">
        <is>
          <t>1200.0</t>
        </is>
      </c>
      <c r="BN1514" t="inlineStr">
        <is>
          <t>View Candidate Search Page</t>
        </is>
      </c>
      <c r="BO1514" s="4">
        <v>45757.57347222222</v>
      </c>
      <c r="BP1514">
        <v>166759</v>
      </c>
      <c r="BQ1514">
        <v>76204</v>
      </c>
      <c r="BR1514" t="inlineStr">
        <is>
          <t>Online</t>
        </is>
      </c>
      <c r="BS1514"/>
      <c r="BT1514">
        <v>76204</v>
      </c>
      <c r="BU1514"/>
      <c r="BV1514">
        <v>2716457</v>
      </c>
      <c r="BW1514" t="inlineStr">
        <is>
          <t>Follow Up : Lost - Free Portal</t>
        </is>
      </c>
      <c r="BX1514"/>
      <c r="BY1514"/>
      <c r="BZ1514" s="4"/>
      <c r="CA1514"/>
      <c r="CB1514"/>
      <c r="CC1514" s="4"/>
      <c r="CD1514" t="inlineStr">
        <is>
          <t>20</t>
        </is>
      </c>
      <c r="CE1514" t="inlineStr">
        <is>
          <t>0</t>
        </is>
      </c>
      <c r="CF1514" t="inlineStr">
        <is>
          <t>Q2-W02</t>
        </is>
      </c>
      <c r="CG1514"/>
      <c r="CH1514"/>
      <c r="CI1514"/>
      <c r="CJ1514" t="inlineStr">
        <is>
          <t>Paid</t>
        </is>
      </c>
      <c r="CK1514" t="inlineStr">
        <is>
          <t>Not Eligible</t>
        </is>
      </c>
      <c r="CL1514"/>
      <c r="CM1514"/>
    </row>
    <row r="1515" ht="25.5" customHeight="1">
      <c r="A1515" t="inlineStr">
        <is>
          <t>4270262</t>
        </is>
      </c>
      <c r="B1515" s="2"/>
      <c r="C1515"/>
      <c r="D1515" s="3">
        <v>46125.59297453704</v>
      </c>
      <c r="E1515" t="inlineStr">
        <is>
          <t>Q2-W02</t>
        </is>
      </c>
      <c r="F1515" t="inlineStr">
        <is>
          <t>Janice Yap</t>
        </is>
      </c>
      <c r="G1515" t="inlineStr">
        <is>
          <t>Lead</t>
        </is>
      </c>
      <c r="H1515" s="2" t="str">
        <f>=HYPERLINK("https://upbox.ajobthing.my/leads/4270262", "https://upbox.ajobthing.my/leads/4270262")</f>
        <v>https://upbox.ajobthing.my/leads/4270262</v>
      </c>
      <c r="I1515" t="inlineStr">
        <is>
          <t>Hightune global</t>
        </is>
      </c>
      <c r="J1515" t="inlineStr">
        <is>
          <t>Dolphin</t>
        </is>
      </c>
      <c r="K1515" t="inlineStr">
        <is>
          <t>Janice</t>
        </is>
      </c>
      <c r="L1515" s="4"/>
      <c r="M1515" s="4">
        <v>46125.6166087963</v>
      </c>
      <c r="N1515"/>
      <c r="O1515">
        <v>3888</v>
      </c>
      <c r="P1515" s="4"/>
      <c r="Q1515" s="4"/>
      <c r="R1515"/>
      <c r="S1515"/>
      <c r="T1515" s="4"/>
      <c r="U1515" s="4"/>
      <c r="V1515"/>
      <c r="W1515"/>
      <c r="X1515"/>
      <c r="Y1515" t="inlineStr">
        <is>
          <t>Pending Appointment</t>
        </is>
      </c>
      <c r="Z1515" t="inlineStr">
        <is>
          <t>Hiring Now</t>
        </is>
      </c>
      <c r="AA1515">
        <v>10</v>
      </c>
      <c r="AB1515" t="inlineStr">
        <is>
          <t>No Appointment Made</t>
        </is>
      </c>
      <c r="AC1515"/>
      <c r="AD1515" t="inlineStr">
        <is>
          <t>10 live host</t>
        </is>
      </c>
      <c r="AE1515"/>
      <c r="AF1515">
        <v>0</v>
      </c>
      <c r="AG1515" s="4"/>
      <c r="AH1515" s="4"/>
      <c r="AI1515">
        <v>0</v>
      </c>
      <c r="AJ1515"/>
      <c r="AK1515" t="inlineStr">
        <is>
          <t>No, I don't need at all</t>
        </is>
      </c>
      <c r="AL1515">
        <v>0</v>
      </c>
      <c r="AM1515" t="inlineStr">
        <is>
          <t>No, I don't need at all</t>
        </is>
      </c>
      <c r="AN1515"/>
      <c r="AO1515" t="inlineStr">
        <is>
          <t>No, I don't need at all</t>
        </is>
      </c>
      <c r="AP1515" t="inlineStr">
        <is>
          <t>Once a year (25%)</t>
        </is>
      </c>
      <c r="AQ1515">
        <v>10</v>
      </c>
      <c r="AR1515" t="inlineStr">
        <is>
          <t>Did not use any job portal</t>
        </is>
      </c>
      <c r="AS1515" t="inlineStr">
        <is>
          <t>- Headcount: 10
- Hiring Job Details: 10 live host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10
- Hiring frequency: Once a year (25%)
- External job portal: Did not use any job portal</t>
        </is>
      </c>
      <c r="AT1515">
        <v>110</v>
      </c>
      <c r="AU1515" t="inlineStr">
        <is>
          <t>1.10</t>
        </is>
      </c>
      <c r="AV1515" t="inlineStr">
        <is>
          <t>20</t>
        </is>
      </c>
      <c r="AW1515" t="inlineStr">
        <is>
          <t>0</t>
        </is>
      </c>
      <c r="AX1515" t="inlineStr">
        <is>
          <t>Not Qualified</t>
        </is>
      </c>
      <c r="AY1515" s="4"/>
      <c r="AZ1515"/>
      <c r="BA1515"/>
      <c r="BB1515"/>
      <c r="BC1515"/>
      <c r="BD1515" s="4"/>
      <c r="BE1515"/>
      <c r="BF1515"/>
      <c r="BG1515" t="inlineStr">
        <is>
          <t>Reschedule</t>
        </is>
      </c>
      <c r="BH1515" t="inlineStr">
        <is>
          <t>Yee Hang</t>
        </is>
      </c>
      <c r="BI1515"/>
      <c r="BJ1515" s="4">
        <v>46144.75581018518</v>
      </c>
      <c r="BK1515" s="4">
        <v>46122.76369212963</v>
      </c>
      <c r="BL1515" t="inlineStr">
        <is>
          <t>0.0</t>
        </is>
      </c>
      <c r="BM1515" t="inlineStr">
        <is>
          <t>0.0</t>
        </is>
      </c>
      <c r="BN1515"/>
      <c r="BO1515" s="4"/>
      <c r="BP1515">
        <v>166780</v>
      </c>
      <c r="BQ1515"/>
      <c r="BR1515"/>
      <c r="BS1515"/>
      <c r="BT1515"/>
      <c r="BU1515"/>
      <c r="BV1515"/>
      <c r="BW1515"/>
      <c r="BX1515"/>
      <c r="BY1515"/>
      <c r="BZ1515" s="4"/>
      <c r="CA1515"/>
      <c r="CB1515"/>
      <c r="CC1515" s="4"/>
      <c r="CD1515" t="inlineStr">
        <is>
          <t>30</t>
        </is>
      </c>
      <c r="CE1515" t="inlineStr">
        <is>
          <t>0</t>
        </is>
      </c>
      <c r="CF1515" t="inlineStr">
        <is>
          <t>Q2-W02</t>
        </is>
      </c>
      <c r="CG1515"/>
      <c r="CH1515"/>
      <c r="CI1515"/>
      <c r="CJ1515" t="inlineStr">
        <is>
          <t>No Paid</t>
        </is>
      </c>
      <c r="CK1515" t="inlineStr">
        <is>
          <t>Eligible</t>
        </is>
      </c>
      <c r="CL1515"/>
      <c r="CM1515"/>
    </row>
    <row r="1516" ht="25.5" customHeight="1">
      <c r="A1516" t="inlineStr">
        <is>
          <t>179421</t>
        </is>
      </c>
      <c r="B1516" s="2"/>
      <c r="C1516"/>
      <c r="D1516" s="3">
        <v>46125.593622685185</v>
      </c>
      <c r="E1516" t="inlineStr">
        <is>
          <t>Q2-W02</t>
        </is>
      </c>
      <c r="F1516" t="inlineStr">
        <is>
          <t>Luqman</t>
        </is>
      </c>
      <c r="G1516" t="inlineStr">
        <is>
          <t>Customer</t>
        </is>
      </c>
      <c r="H1516" s="2" t="str">
        <f>=HYPERLINK("https://upbox.ajobthing.my/customer/179421", "https://upbox.ajobthing.my/customer/179421")</f>
        <v>https://upbox.ajobthing.my/customer/179421</v>
      </c>
      <c r="I1516" t="inlineStr">
        <is>
          <t>Air Power Resources Sdn Bhd</t>
        </is>
      </c>
      <c r="J1516" t="inlineStr">
        <is>
          <t>Dolphin</t>
        </is>
      </c>
      <c r="K1516" t="inlineStr">
        <is>
          <t>Luqman</t>
        </is>
      </c>
      <c r="L1516" s="4"/>
      <c r="M1516" s="4">
        <v>46125.59483796296</v>
      </c>
      <c r="N1516"/>
      <c r="O1516">
        <v>3888</v>
      </c>
      <c r="P1516" s="4"/>
      <c r="Q1516" s="4">
        <v>45674.47741898148</v>
      </c>
      <c r="R1516"/>
      <c r="S1516">
        <v>648</v>
      </c>
      <c r="T1516" s="4">
        <v>45674.47741898148</v>
      </c>
      <c r="U1516" s="4"/>
      <c r="V1516"/>
      <c r="W1516">
        <v>648</v>
      </c>
      <c r="X1516"/>
      <c r="Y1516" t="inlineStr">
        <is>
          <t>Pending Appointment</t>
        </is>
      </c>
      <c r="Z1516" t="inlineStr">
        <is>
          <t>Hiring Later</t>
        </is>
      </c>
      <c r="AA1516">
        <v>1</v>
      </c>
      <c r="AB1516" t="inlineStr">
        <is>
          <t>No Appointment Made</t>
        </is>
      </c>
      <c r="AC1516"/>
      <c r="AD1516" t="inlineStr">
        <is>
          <t xml:space="preserve">1. Admin </t>
        </is>
      </c>
      <c r="AE1516"/>
      <c r="AF1516">
        <v>1200</v>
      </c>
      <c r="AG1516" s="4"/>
      <c r="AH1516" s="4"/>
      <c r="AI1516">
        <v>1200</v>
      </c>
      <c r="AJ1516"/>
      <c r="AK1516" t="inlineStr">
        <is>
          <t>No, I don't need at all</t>
        </is>
      </c>
      <c r="AL1516">
        <v>1</v>
      </c>
      <c r="AM1516" t="inlineStr">
        <is>
          <t>No, I don't need at all</t>
        </is>
      </c>
      <c r="AN1516"/>
      <c r="AO1516" t="inlineStr">
        <is>
          <t>No, I don't need at all</t>
        </is>
      </c>
      <c r="AP1516" t="inlineStr">
        <is>
          <t>Once a year (25%)</t>
        </is>
      </c>
      <c r="AQ1516">
        <v>1</v>
      </c>
      <c r="AR1516" t="inlineStr">
        <is>
          <t>Free Job Portal</t>
        </is>
      </c>
      <c r="AS1516" t="inlineStr">
        <is>
          <t>- Headcount: 1
- Hiring Job Details: 1 Admin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1516">
        <v>110</v>
      </c>
      <c r="AU1516" t="inlineStr">
        <is>
          <t>1.10</t>
        </is>
      </c>
      <c r="AV1516" t="inlineStr">
        <is>
          <t>15</t>
        </is>
      </c>
      <c r="AW1516" t="inlineStr">
        <is>
          <t>0</t>
        </is>
      </c>
      <c r="AX1516" t="inlineStr">
        <is>
          <t>Not Qualified</t>
        </is>
      </c>
      <c r="AY1516" s="4"/>
      <c r="AZ1516"/>
      <c r="BA1516"/>
      <c r="BB1516"/>
      <c r="BC1516" t="inlineStr">
        <is>
          <t>Lost- free portal</t>
        </is>
      </c>
      <c r="BD1516" s="4">
        <v>46132.706099537034</v>
      </c>
      <c r="BE1516" t="inlineStr">
        <is>
          <t>paid</t>
        </is>
      </c>
      <c r="BF1516"/>
      <c r="BG1516" t="inlineStr">
        <is>
          <t>Reschedule</t>
        </is>
      </c>
      <c r="BH1516" t="inlineStr">
        <is>
          <t>Edward Hoo</t>
        </is>
      </c>
      <c r="BI1516" t="inlineStr">
        <is>
          <t>Heavy Industrial / Machinery</t>
        </is>
      </c>
      <c r="BJ1516" s="4">
        <v>46144.75178240741</v>
      </c>
      <c r="BK1516" s="4">
        <v>45456.735127314816</v>
      </c>
      <c r="BL1516" t="inlineStr">
        <is>
          <t>0.0</t>
        </is>
      </c>
      <c r="BM1516" t="inlineStr">
        <is>
          <t>1200.0</t>
        </is>
      </c>
      <c r="BN1516" t="inlineStr">
        <is>
          <t>View Candidate Search Page</t>
        </is>
      </c>
      <c r="BO1516" s="4">
        <v>45757.57347222222</v>
      </c>
      <c r="BP1516">
        <v>166759</v>
      </c>
      <c r="BQ1516">
        <v>76204</v>
      </c>
      <c r="BR1516" t="inlineStr">
        <is>
          <t>Online</t>
        </is>
      </c>
      <c r="BS1516"/>
      <c r="BT1516">
        <v>76204</v>
      </c>
      <c r="BU1516"/>
      <c r="BV1516">
        <v>2716457</v>
      </c>
      <c r="BW1516" t="inlineStr">
        <is>
          <t>Follow Up : Lost - Free Portal</t>
        </is>
      </c>
      <c r="BX1516"/>
      <c r="BY1516"/>
      <c r="BZ1516" s="4"/>
      <c r="CA1516"/>
      <c r="CB1516"/>
      <c r="CC1516" s="4"/>
      <c r="CD1516" t="inlineStr">
        <is>
          <t>20</t>
        </is>
      </c>
      <c r="CE1516" t="inlineStr">
        <is>
          <t>0</t>
        </is>
      </c>
      <c r="CF1516" t="inlineStr">
        <is>
          <t>Q2-W02</t>
        </is>
      </c>
      <c r="CG1516"/>
      <c r="CH1516"/>
      <c r="CI1516"/>
      <c r="CJ1516" t="inlineStr">
        <is>
          <t>Paid</t>
        </is>
      </c>
      <c r="CK1516" t="inlineStr">
        <is>
          <t>Not Eligible</t>
        </is>
      </c>
      <c r="CL1516"/>
      <c r="CM1516"/>
    </row>
    <row r="1517" ht="25.5" customHeight="1">
      <c r="A1517" t="inlineStr">
        <is>
          <t>176009</t>
        </is>
      </c>
      <c r="B1517" s="2"/>
      <c r="C1517"/>
      <c r="D1517" s="3">
        <v>46125.59392361111</v>
      </c>
      <c r="E1517" t="inlineStr">
        <is>
          <t>Q2-W02</t>
        </is>
      </c>
      <c r="F1517" t="inlineStr">
        <is>
          <t>Dickson</t>
        </is>
      </c>
      <c r="G1517" t="inlineStr">
        <is>
          <t>Customer</t>
        </is>
      </c>
      <c r="H1517" s="2" t="str">
        <f>=HYPERLINK("https://upbox.ajobthing.my/customer/176009", "https://upbox.ajobthing.my/customer/176009")</f>
        <v>https://upbox.ajobthing.my/customer/176009</v>
      </c>
      <c r="I1517" t="inlineStr">
        <is>
          <t>Kovann Mirror Sdn Bhd</t>
        </is>
      </c>
      <c r="J1517" t="inlineStr">
        <is>
          <t>Dolphin</t>
        </is>
      </c>
      <c r="K1517" t="inlineStr">
        <is>
          <t>Dickson</t>
        </is>
      </c>
      <c r="L1517" s="4"/>
      <c r="M1517" s="4">
        <v>46125.59402777778</v>
      </c>
      <c r="N1517"/>
      <c r="O1517">
        <v>3888</v>
      </c>
      <c r="P1517" s="4"/>
      <c r="Q1517" s="4">
        <v>45355.44100694444</v>
      </c>
      <c r="R1517"/>
      <c r="S1517">
        <v>2916</v>
      </c>
      <c r="T1517" s="4">
        <v>45355.00001157408</v>
      </c>
      <c r="U1517" s="4"/>
      <c r="V1517"/>
      <c r="W1517">
        <v>2916</v>
      </c>
      <c r="X1517"/>
      <c r="Y1517" t="inlineStr">
        <is>
          <t>Pending Appointment</t>
        </is>
      </c>
      <c r="Z1517" t="inlineStr">
        <is>
          <t>Hiring Now</t>
        </is>
      </c>
      <c r="AA1517">
        <v>1</v>
      </c>
      <c r="AB1517" t="inlineStr">
        <is>
          <t>No Appointment Made</t>
        </is>
      </c>
      <c r="AC1517"/>
      <c r="AD1517" t="inlineStr">
        <is>
          <t>1 operator</t>
        </is>
      </c>
      <c r="AE1517"/>
      <c r="AF1517"/>
      <c r="AG1517" s="4"/>
      <c r="AH1517" s="4"/>
      <c r="AI1517"/>
      <c r="AJ1517">
        <v>1</v>
      </c>
      <c r="AK1517" t="inlineStr">
        <is>
          <t>No, I don't need at all</t>
        </is>
      </c>
      <c r="AL1517"/>
      <c r="AM1517" t="inlineStr">
        <is>
          <t>No, I don't need at all</t>
        </is>
      </c>
      <c r="AN1517"/>
      <c r="AO1517" t="inlineStr">
        <is>
          <t>No, I don't need at all</t>
        </is>
      </c>
      <c r="AP1517" t="inlineStr">
        <is>
          <t>Once per quarter (75%)</t>
        </is>
      </c>
      <c r="AQ1517"/>
      <c r="AR1517" t="inlineStr">
        <is>
          <t>Indeed (Paid)</t>
        </is>
      </c>
      <c r="AS1517" t="inlineStr">
        <is>
          <t>- Headcount: 1
- Hiring Job Details: 1 operator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Indeed (Paid)</t>
        </is>
      </c>
      <c r="AT1517">
        <v>95</v>
      </c>
      <c r="AU1517" t="inlineStr">
        <is>
          <t>0.95</t>
        </is>
      </c>
      <c r="AV1517" t="inlineStr">
        <is>
          <t>5</t>
        </is>
      </c>
      <c r="AW1517" t="inlineStr">
        <is>
          <t>0</t>
        </is>
      </c>
      <c r="AX1517" t="inlineStr">
        <is>
          <t>Not Qualified</t>
        </is>
      </c>
      <c r="AY1517" s="4"/>
      <c r="AZ1517"/>
      <c r="BA1517"/>
      <c r="BB1517"/>
      <c r="BC1517" t="inlineStr">
        <is>
          <t>no response</t>
        </is>
      </c>
      <c r="BD1517" s="4">
        <v>46139.76247685185</v>
      </c>
      <c r="BE1517" t="inlineStr">
        <is>
          <t>paid</t>
        </is>
      </c>
      <c r="BF1517"/>
      <c r="BG1517" t="inlineStr">
        <is>
          <t>Reschedule</t>
        </is>
      </c>
      <c r="BH1517" t="inlineStr">
        <is>
          <t>Edward Hoo</t>
        </is>
      </c>
      <c r="BI1517" t="inlineStr">
        <is>
          <t>Manufacturing / Production</t>
        </is>
      </c>
      <c r="BJ1517" s="4">
        <v>46144.75163194445</v>
      </c>
      <c r="BK1517" s="4">
        <v>45355.43883101852</v>
      </c>
      <c r="BL1517" t="inlineStr">
        <is>
          <t>0.0</t>
        </is>
      </c>
      <c r="BM1517" t="inlineStr">
        <is>
          <t>600.0</t>
        </is>
      </c>
      <c r="BN1517" t="inlineStr">
        <is>
          <t>View Jobmanager Page</t>
        </is>
      </c>
      <c r="BO1517" s="4">
        <v>45617.48747685185</v>
      </c>
      <c r="BP1517">
        <v>166756</v>
      </c>
      <c r="BQ1517">
        <v>86512</v>
      </c>
      <c r="BR1517" t="inlineStr">
        <is>
          <t>Proforma</t>
        </is>
      </c>
      <c r="BS1517" t="inlineStr">
        <is>
          <t>Yearly Standard Plan</t>
        </is>
      </c>
      <c r="BT1517">
        <v>66580</v>
      </c>
      <c r="BU1517"/>
      <c r="BV1517">
        <v>2731604</v>
      </c>
      <c r="BW1517" t="inlineStr">
        <is>
          <t>No Answer : Voicemail - WA sent to customer</t>
        </is>
      </c>
      <c r="BX1517"/>
      <c r="BY1517"/>
      <c r="BZ1517" s="4"/>
      <c r="CA1517"/>
      <c r="CB1517"/>
      <c r="CC1517" s="4"/>
      <c r="CD1517" t="inlineStr">
        <is>
          <t>5</t>
        </is>
      </c>
      <c r="CE1517" t="inlineStr">
        <is>
          <t>0</t>
        </is>
      </c>
      <c r="CF1517" t="inlineStr">
        <is>
          <t>Q2-W02</t>
        </is>
      </c>
      <c r="CG1517"/>
      <c r="CH1517"/>
      <c r="CI1517"/>
      <c r="CJ1517" t="inlineStr">
        <is>
          <t>Paid</t>
        </is>
      </c>
      <c r="CK1517" t="inlineStr">
        <is>
          <t>Not Eligible</t>
        </is>
      </c>
      <c r="CL1517"/>
      <c r="CM1517"/>
    </row>
    <row r="1518" ht="25.5" customHeight="1">
      <c r="A1518" t="inlineStr">
        <is>
          <t>203159</t>
        </is>
      </c>
      <c r="B1518" s="2"/>
      <c r="C1518"/>
      <c r="D1518" s="3">
        <v>46125.594456018516</v>
      </c>
      <c r="E1518" t="inlineStr">
        <is>
          <t>Q2-W02</t>
        </is>
      </c>
      <c r="F1518" t="inlineStr">
        <is>
          <t>Jess</t>
        </is>
      </c>
      <c r="G1518" t="inlineStr">
        <is>
          <t>Customer</t>
        </is>
      </c>
      <c r="H1518" s="2" t="str">
        <f>=HYPERLINK("https://upbox.ajobthing.my/customer/203159", "https://upbox.ajobthing.my/customer/203159")</f>
        <v>https://upbox.ajobthing.my/customer/203159</v>
      </c>
      <c r="I1518" t="inlineStr">
        <is>
          <t>Gep Tax Services Sdn Bhd</t>
        </is>
      </c>
      <c r="J1518" t="inlineStr">
        <is>
          <t>Dolphin</t>
        </is>
      </c>
      <c r="K1518" t="inlineStr">
        <is>
          <t>Jess Lim</t>
        </is>
      </c>
      <c r="L1518" s="4"/>
      <c r="M1518" s="4">
        <v>46125.5975</v>
      </c>
      <c r="N1518"/>
      <c r="O1518">
        <v>6048</v>
      </c>
      <c r="P1518" s="4"/>
      <c r="Q1518" s="4">
        <v>46125.507731481484</v>
      </c>
      <c r="R1518"/>
      <c r="S1518">
        <v>0</v>
      </c>
      <c r="T1518" s="4"/>
      <c r="U1518" s="4"/>
      <c r="V1518"/>
      <c r="W1518"/>
      <c r="X1518"/>
      <c r="Y1518" t="inlineStr">
        <is>
          <t>Pending Appointment</t>
        </is>
      </c>
      <c r="Z1518" t="inlineStr">
        <is>
          <t>Hiring Now</t>
        </is>
      </c>
      <c r="AA1518">
        <v>1</v>
      </c>
      <c r="AB1518" t="inlineStr">
        <is>
          <t>No Appointment Made</t>
        </is>
      </c>
      <c r="AC1518"/>
      <c r="AD1518" t="inlineStr">
        <is>
          <t>tax</t>
        </is>
      </c>
      <c r="AE1518"/>
      <c r="AF1518">
        <v>3600</v>
      </c>
      <c r="AG1518" s="4"/>
      <c r="AH1518" s="4"/>
      <c r="AI1518"/>
      <c r="AJ1518">
        <v>1</v>
      </c>
      <c r="AK1518" t="inlineStr">
        <is>
          <t>No, I don't need at all</t>
        </is>
      </c>
      <c r="AL1518">
        <v>1</v>
      </c>
      <c r="AM1518" t="inlineStr">
        <is>
          <t>No, I don't need at all</t>
        </is>
      </c>
      <c r="AN1518"/>
      <c r="AO1518"/>
      <c r="AP1518" t="inlineStr">
        <is>
          <t>Once a year (25%)</t>
        </is>
      </c>
      <c r="AQ1518"/>
      <c r="AR1518" t="inlineStr">
        <is>
          <t>Jobstreet</t>
        </is>
      </c>
      <c r="AS1518" t="inlineStr">
        <is>
          <t>- Headcount: 1
- Hiring Job Details: tax
- Hiring Urgency: Hiring Now
- Number of outlets: 1
- Have recruiter team: No, I don't need at all
- Number of recruiter in company: 1
- Have ATS system: No, I don't need at all
- Have career website: Not provided
- Current hiring budget: RM3,600.00
- Whole year budget: Not provided
- Whole year number of vacancies: Not provided
- Hiring frequency: Once a year (25%)
- External job portal: Jobstreet</t>
        </is>
      </c>
      <c r="AT1518">
        <v>90</v>
      </c>
      <c r="AU1518" t="inlineStr">
        <is>
          <t>0.90</t>
        </is>
      </c>
      <c r="AV1518" t="inlineStr">
        <is>
          <t>15</t>
        </is>
      </c>
      <c r="AW1518" t="inlineStr">
        <is>
          <t>0</t>
        </is>
      </c>
      <c r="AX1518" t="inlineStr">
        <is>
          <t>Not Qualified</t>
        </is>
      </c>
      <c r="AY1518" s="4"/>
      <c r="AZ1518"/>
      <c r="BA1518"/>
      <c r="BB1518"/>
      <c r="BC1518" t="inlineStr">
        <is>
          <t>- Headcount: 1
- Hiring Job Details: tax
- Hiring Urgency: Hiring Now
- Number of outlets: 1
- Have recruiter team: No, I don't need at all
- Number of recruiter in company: 1
- Have ATS system: No, I don't need at all
- Have career website: Not provided
- Current hiring budget: RM3,600.00
- Whole year budget: Not provided
- Whole year number of vacancies: Not provided
- Hiring frequency: Once a year (25%)
- External job portal: Jobstreet</t>
        </is>
      </c>
      <c r="BD1518" s="4">
        <v>46125.6250462963</v>
      </c>
      <c r="BE1518" t="inlineStr">
        <is>
          <t>paid</t>
        </is>
      </c>
      <c r="BF1518"/>
      <c r="BG1518" t="inlineStr">
        <is>
          <t>Reschedule</t>
        </is>
      </c>
      <c r="BH1518" t="inlineStr">
        <is>
          <t>Fauziah Maharan</t>
        </is>
      </c>
      <c r="BI1518"/>
      <c r="BJ1518" s="4">
        <v>46144.75423611111</v>
      </c>
      <c r="BK1518" s="4">
        <v>46125.50711805555</v>
      </c>
      <c r="BL1518" t="inlineStr">
        <is>
          <t>0.0</t>
        </is>
      </c>
      <c r="BM1518" t="inlineStr">
        <is>
          <t>1800.0</t>
        </is>
      </c>
      <c r="BN1518" t="inlineStr">
        <is>
          <t>View Company Page</t>
        </is>
      </c>
      <c r="BO1518" s="4">
        <v>46125.51614583333</v>
      </c>
      <c r="BP1518">
        <v>166762</v>
      </c>
      <c r="BQ1518">
        <v>121988</v>
      </c>
      <c r="BR1518" t="inlineStr">
        <is>
          <t>Proforma</t>
        </is>
      </c>
      <c r="BS1518" t="inlineStr">
        <is>
          <t>Free Internship Job</t>
        </is>
      </c>
      <c r="BT1518"/>
      <c r="BU1518"/>
      <c r="BV1518">
        <v>2701112</v>
      </c>
      <c r="BW1518" t="inlineStr">
        <is>
          <t>Customer Inquiry</t>
        </is>
      </c>
      <c r="BX1518"/>
      <c r="BY1518"/>
      <c r="BZ1518" s="4"/>
      <c r="CA1518"/>
      <c r="CB1518"/>
      <c r="CC1518" s="4"/>
      <c r="CD1518" t="inlineStr">
        <is>
          <t>20</t>
        </is>
      </c>
      <c r="CE1518" t="inlineStr">
        <is>
          <t>0</t>
        </is>
      </c>
      <c r="CF1518" t="inlineStr">
        <is>
          <t>Q2-W02</t>
        </is>
      </c>
      <c r="CG1518" t="inlineStr">
        <is>
          <t>Q2-W02</t>
        </is>
      </c>
      <c r="CH1518"/>
      <c r="CI1518"/>
      <c r="CJ1518" t="inlineStr">
        <is>
          <t>No Paid</t>
        </is>
      </c>
      <c r="CK1518" t="inlineStr">
        <is>
          <t>Not Eligible</t>
        </is>
      </c>
      <c r="CL1518"/>
      <c r="CM1518"/>
    </row>
    <row r="1519" ht="25.5" customHeight="1">
      <c r="A1519" t="inlineStr">
        <is>
          <t>57429</t>
        </is>
      </c>
      <c r="B1519" s="2"/>
      <c r="C1519"/>
      <c r="D1519" s="3">
        <v>46125.606944444444</v>
      </c>
      <c r="E1519" t="inlineStr">
        <is>
          <t>Q2-W02</t>
        </is>
      </c>
      <c r="F1519" t="inlineStr">
        <is>
          <t>Ratha</t>
        </is>
      </c>
      <c r="G1519" t="inlineStr">
        <is>
          <t>Customer</t>
        </is>
      </c>
      <c r="H1519" s="2" t="str">
        <f>=HYPERLINK("https://upbox.ajobthing.my/customer/57429", "https://upbox.ajobthing.my/customer/57429")</f>
        <v>https://upbox.ajobthing.my/customer/57429</v>
      </c>
      <c r="I1519" t="inlineStr">
        <is>
          <t>Ngee Ming Shoe Manufacturers Sdn. Bhd.</t>
        </is>
      </c>
      <c r="J1519" t="inlineStr">
        <is>
          <t>Dolphin</t>
        </is>
      </c>
      <c r="K1519" t="inlineStr">
        <is>
          <t>Ratha</t>
        </is>
      </c>
      <c r="L1519" s="4"/>
      <c r="M1519" s="4">
        <v>46125.60743055555</v>
      </c>
      <c r="N1519"/>
      <c r="O1519">
        <v>3672</v>
      </c>
      <c r="P1519" s="4"/>
      <c r="Q1519" s="4"/>
      <c r="R1519"/>
      <c r="S1519"/>
      <c r="T1519" s="4"/>
      <c r="U1519" s="4"/>
      <c r="V1519"/>
      <c r="W1519"/>
      <c r="X1519"/>
      <c r="Y1519" t="inlineStr">
        <is>
          <t>Pending Appointment</t>
        </is>
      </c>
      <c r="Z1519" t="inlineStr">
        <is>
          <t>Hiring Now</t>
        </is>
      </c>
      <c r="AA1519">
        <v>2</v>
      </c>
      <c r="AB1519" t="inlineStr">
        <is>
          <t>No Appointment Made</t>
        </is>
      </c>
      <c r="AC1519"/>
      <c r="AD1519" t="inlineStr">
        <is>
          <t>Sales : 1 - Mandarin
QA - experienced candidates 
Location : Seri Kembangan</t>
        </is>
      </c>
      <c r="AE1519"/>
      <c r="AF1519"/>
      <c r="AG1519" s="4"/>
      <c r="AH1519" s="4"/>
      <c r="AI1519">
        <v>0</v>
      </c>
      <c r="AJ1519">
        <v>1</v>
      </c>
      <c r="AK1519" t="inlineStr">
        <is>
          <t>Yes, I have</t>
        </is>
      </c>
      <c r="AL1519">
        <v>2</v>
      </c>
      <c r="AM1519" t="inlineStr">
        <is>
          <t>No, I don't need at all</t>
        </is>
      </c>
      <c r="AN1519"/>
      <c r="AO1519" t="inlineStr">
        <is>
          <t>No, I don't need at all</t>
        </is>
      </c>
      <c r="AP1519" t="inlineStr">
        <is>
          <t>Twice a year (50%)</t>
        </is>
      </c>
      <c r="AQ1519">
        <v>0</v>
      </c>
      <c r="AR1519" t="inlineStr">
        <is>
          <t>Free Job Portal</t>
        </is>
      </c>
      <c r="AS1519" t="inlineStr">
        <is>
          <t>- Headcount: 2
- Hiring Job Details: 1 Mandarin-speaking Sales, experienced QA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Free Job Portal</t>
        </is>
      </c>
      <c r="AT1519">
        <v>75</v>
      </c>
      <c r="AU1519" t="inlineStr">
        <is>
          <t>0.75</t>
        </is>
      </c>
      <c r="AV1519" t="inlineStr">
        <is>
          <t>5</t>
        </is>
      </c>
      <c r="AW1519" t="inlineStr">
        <is>
          <t>0</t>
        </is>
      </c>
      <c r="AX1519" t="inlineStr">
        <is>
          <t>Not Qualified</t>
        </is>
      </c>
      <c r="AY1519" s="4"/>
      <c r="AZ1519"/>
      <c r="BA1519"/>
      <c r="BB1519"/>
      <c r="BC1519" t="inlineStr">
        <is>
          <t>not proceed</t>
        </is>
      </c>
      <c r="BD1519" s="4">
        <v>46133.56445601852</v>
      </c>
      <c r="BE1519"/>
      <c r="BF1519"/>
      <c r="BG1519" t="inlineStr">
        <is>
          <t>Reschedule</t>
        </is>
      </c>
      <c r="BH1519" t="inlineStr">
        <is>
          <t>Fauziah Maharan</t>
        </is>
      </c>
      <c r="BI1519" t="inlineStr">
        <is>
          <t>Manufacturing / Production</t>
        </is>
      </c>
      <c r="BJ1519" s="4">
        <v>46144.75609953704</v>
      </c>
      <c r="BK1519" s="4">
        <v>43341.37615740741</v>
      </c>
      <c r="BL1519" t="inlineStr">
        <is>
          <t>0.0</t>
        </is>
      </c>
      <c r="BM1519" t="inlineStr">
        <is>
          <t>0.0</t>
        </is>
      </c>
      <c r="BN1519" t="inlineStr">
        <is>
          <t>View Jobmanager Page</t>
        </is>
      </c>
      <c r="BO1519" s="4">
        <v>44040.675092592595</v>
      </c>
      <c r="BP1519">
        <v>166772</v>
      </c>
      <c r="BQ1519"/>
      <c r="BR1519"/>
      <c r="BS1519"/>
      <c r="BT1519"/>
      <c r="BU1519"/>
      <c r="BV1519">
        <v>2718060</v>
      </c>
      <c r="BW1519" t="inlineStr">
        <is>
          <t>Follow Up : Lost - Free Portal</t>
        </is>
      </c>
      <c r="BX1519"/>
      <c r="BY1519"/>
      <c r="BZ1519" s="4"/>
      <c r="CA1519"/>
      <c r="CB1519"/>
      <c r="CC1519" s="4"/>
      <c r="CD1519" t="inlineStr">
        <is>
          <t>5</t>
        </is>
      </c>
      <c r="CE1519" t="inlineStr">
        <is>
          <t>0</t>
        </is>
      </c>
      <c r="CF1519" t="inlineStr">
        <is>
          <t>Q2-W02</t>
        </is>
      </c>
      <c r="CG1519"/>
      <c r="CH1519"/>
      <c r="CI1519"/>
      <c r="CJ1519" t="inlineStr">
        <is>
          <t>No Paid</t>
        </is>
      </c>
      <c r="CK1519" t="inlineStr">
        <is>
          <t>Not Eligible</t>
        </is>
      </c>
      <c r="CL1519"/>
      <c r="CM1519"/>
    </row>
    <row r="1520" ht="25.5" customHeight="1">
      <c r="A1520" t="inlineStr">
        <is>
          <t>179219</t>
        </is>
      </c>
      <c r="B1520" s="2"/>
      <c r="C1520"/>
      <c r="D1520" s="3">
        <v>46125.61011574074</v>
      </c>
      <c r="E1520" t="inlineStr">
        <is>
          <t>Q2-W02</t>
        </is>
      </c>
      <c r="F1520" t="inlineStr">
        <is>
          <t>Luqman</t>
        </is>
      </c>
      <c r="G1520" t="inlineStr">
        <is>
          <t>Customer</t>
        </is>
      </c>
      <c r="H1520" s="2" t="str">
        <f>=HYPERLINK("https://upbox.ajobthing.my/customer/179219", "https://upbox.ajobthing.my/customer/179219")</f>
        <v>https://upbox.ajobthing.my/customer/179219</v>
      </c>
      <c r="I1520" t="inlineStr">
        <is>
          <t>Wincomm Sdn Bhd</t>
        </is>
      </c>
      <c r="J1520" t="inlineStr">
        <is>
          <t>Dolphin</t>
        </is>
      </c>
      <c r="K1520" t="inlineStr">
        <is>
          <t>Luqman</t>
        </is>
      </c>
      <c r="L1520" s="4"/>
      <c r="M1520" s="4">
        <v>46125.610185185185</v>
      </c>
      <c r="N1520"/>
      <c r="O1520">
        <v>3888</v>
      </c>
      <c r="P1520" s="4"/>
      <c r="Q1520" s="4">
        <v>45453.67275462963</v>
      </c>
      <c r="R1520"/>
      <c r="S1520">
        <v>2916</v>
      </c>
      <c r="T1520" s="4">
        <v>45453.67275462963</v>
      </c>
      <c r="U1520" s="4"/>
      <c r="V1520"/>
      <c r="W1520">
        <v>2916</v>
      </c>
      <c r="X1520"/>
      <c r="Y1520" t="inlineStr">
        <is>
          <t>Pending Appointment</t>
        </is>
      </c>
      <c r="Z1520" t="inlineStr">
        <is>
          <t>Hiring Later</t>
        </is>
      </c>
      <c r="AA1520">
        <v>1</v>
      </c>
      <c r="AB1520" t="inlineStr">
        <is>
          <t>No Appointment Made</t>
        </is>
      </c>
      <c r="AC1520"/>
      <c r="AD1520" t="inlineStr">
        <is>
          <t>1. Account Executive</t>
        </is>
      </c>
      <c r="AE1520"/>
      <c r="AF1520">
        <v>1200</v>
      </c>
      <c r="AG1520" s="4"/>
      <c r="AH1520" s="4"/>
      <c r="AI1520">
        <v>1200</v>
      </c>
      <c r="AJ1520"/>
      <c r="AK1520" t="inlineStr">
        <is>
          <t>No, I don't need at all</t>
        </is>
      </c>
      <c r="AL1520">
        <v>1</v>
      </c>
      <c r="AM1520" t="inlineStr">
        <is>
          <t>No, I don't need at all</t>
        </is>
      </c>
      <c r="AN1520"/>
      <c r="AO1520" t="inlineStr">
        <is>
          <t>No, I don't need at all</t>
        </is>
      </c>
      <c r="AP1520" t="inlineStr">
        <is>
          <t>Once a year (25%)</t>
        </is>
      </c>
      <c r="AQ1520">
        <v>1</v>
      </c>
      <c r="AR1520" t="inlineStr">
        <is>
          <t>Free Job Portal</t>
        </is>
      </c>
      <c r="AS1520" t="inlineStr">
        <is>
          <t>- Headcount: 1
- Hiring Job Details: 1 Account Executive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1520">
        <v>110</v>
      </c>
      <c r="AU1520" t="inlineStr">
        <is>
          <t>1.10</t>
        </is>
      </c>
      <c r="AV1520" t="inlineStr">
        <is>
          <t>15</t>
        </is>
      </c>
      <c r="AW1520" t="inlineStr">
        <is>
          <t>0</t>
        </is>
      </c>
      <c r="AX1520" t="inlineStr">
        <is>
          <t>Not Qualified</t>
        </is>
      </c>
      <c r="AY1520" s="4"/>
      <c r="AZ1520"/>
      <c r="BA1520"/>
      <c r="BB1520"/>
      <c r="BC1520" t="inlineStr">
        <is>
          <t>Business dont have hiring budget allocation</t>
        </is>
      </c>
      <c r="BD1520" s="4">
        <v>46135.63266203704</v>
      </c>
      <c r="BE1520" t="inlineStr">
        <is>
          <t>paid</t>
        </is>
      </c>
      <c r="BF1520"/>
      <c r="BG1520" t="inlineStr">
        <is>
          <t>Reschedule</t>
        </is>
      </c>
      <c r="BH1520" t="inlineStr">
        <is>
          <t>Edward Hoo</t>
        </is>
      </c>
      <c r="BI1520" t="inlineStr">
        <is>
          <t>Telecommunication</t>
        </is>
      </c>
      <c r="BJ1520" s="4">
        <v>46144.75178240741</v>
      </c>
      <c r="BK1520" s="4">
        <v>45450.71710648148</v>
      </c>
      <c r="BL1520" t="inlineStr">
        <is>
          <t>0.0</t>
        </is>
      </c>
      <c r="BM1520" t="inlineStr">
        <is>
          <t>600.0</t>
        </is>
      </c>
      <c r="BN1520" t="inlineStr">
        <is>
          <t>PA Email CTA Click</t>
        </is>
      </c>
      <c r="BO1520" s="4">
        <v>45811.720405092594</v>
      </c>
      <c r="BP1520">
        <v>166775</v>
      </c>
      <c r="BQ1520">
        <v>69954</v>
      </c>
      <c r="BR1520" t="inlineStr">
        <is>
          <t>Online</t>
        </is>
      </c>
      <c r="BS1520"/>
      <c r="BT1520">
        <v>69954</v>
      </c>
      <c r="BU1520"/>
      <c r="BV1520">
        <v>2723856</v>
      </c>
      <c r="BW1520" t="inlineStr">
        <is>
          <t>Follow Up : Budget Concern</t>
        </is>
      </c>
      <c r="BX1520"/>
      <c r="BY1520"/>
      <c r="BZ1520" s="4"/>
      <c r="CA1520"/>
      <c r="CB1520"/>
      <c r="CC1520" s="4"/>
      <c r="CD1520" t="inlineStr">
        <is>
          <t>20</t>
        </is>
      </c>
      <c r="CE1520" t="inlineStr">
        <is>
          <t>0</t>
        </is>
      </c>
      <c r="CF1520" t="inlineStr">
        <is>
          <t>Q2-W02</t>
        </is>
      </c>
      <c r="CG1520"/>
      <c r="CH1520"/>
      <c r="CI1520"/>
      <c r="CJ1520" t="inlineStr">
        <is>
          <t>Paid</t>
        </is>
      </c>
      <c r="CK1520" t="inlineStr">
        <is>
          <t>Not Eligible</t>
        </is>
      </c>
      <c r="CL1520"/>
      <c r="CM1520"/>
    </row>
    <row r="1521" ht="25.5" customHeight="1">
      <c r="A1521" t="inlineStr">
        <is>
          <t>4275667</t>
        </is>
      </c>
      <c r="B1521" s="2"/>
      <c r="C1521"/>
      <c r="D1521" s="3">
        <v>46125.61376157407</v>
      </c>
      <c r="E1521" t="inlineStr">
        <is>
          <t>Q2-W02</t>
        </is>
      </c>
      <c r="F1521" t="inlineStr">
        <is>
          <t>Evan</t>
        </is>
      </c>
      <c r="G1521" t="inlineStr">
        <is>
          <t>Lead</t>
        </is>
      </c>
      <c r="H1521" s="2" t="str">
        <f>=HYPERLINK("https://upbox.ajobthing.my/leads/4275667", "https://upbox.ajobthing.my/leads/4275667")</f>
        <v>https://upbox.ajobthing.my/leads/4275667</v>
      </c>
      <c r="I1521" t="inlineStr">
        <is>
          <t>Kindspire Venture Marketing</t>
        </is>
      </c>
      <c r="J1521" t="inlineStr">
        <is>
          <t>Dolphin</t>
        </is>
      </c>
      <c r="K1521" t="inlineStr">
        <is>
          <t>Evan</t>
        </is>
      </c>
      <c r="L1521" s="4"/>
      <c r="M1521" s="4">
        <v>46125.61219907407</v>
      </c>
      <c r="N1521"/>
      <c r="O1521">
        <v>10800</v>
      </c>
      <c r="P1521" s="4"/>
      <c r="Q1521" s="4"/>
      <c r="R1521"/>
      <c r="S1521"/>
      <c r="T1521" s="4"/>
      <c r="U1521" s="4"/>
      <c r="V1521"/>
      <c r="W1521"/>
      <c r="X1521"/>
      <c r="Y1521" t="inlineStr">
        <is>
          <t>Pending Appointment</t>
        </is>
      </c>
      <c r="Z1521" t="inlineStr">
        <is>
          <t>Continuous Hiring</t>
        </is>
      </c>
      <c r="AA1521">
        <v>30</v>
      </c>
      <c r="AB1521" t="inlineStr">
        <is>
          <t>No Appointment Made</t>
        </is>
      </c>
      <c r="AC1521"/>
      <c r="AD1521" t="inlineStr">
        <is>
          <t>30 sales, all base in MY</t>
        </is>
      </c>
      <c r="AE1521"/>
      <c r="AF1521">
        <v>1</v>
      </c>
      <c r="AG1521" s="4"/>
      <c r="AH1521" s="4"/>
      <c r="AI1521">
        <v>1</v>
      </c>
      <c r="AJ1521">
        <v>1</v>
      </c>
      <c r="AK1521" t="inlineStr">
        <is>
          <t>Yes, I have</t>
        </is>
      </c>
      <c r="AL1521">
        <v>1</v>
      </c>
      <c r="AM1521" t="inlineStr">
        <is>
          <t>No, I don't need at all</t>
        </is>
      </c>
      <c r="AN1521"/>
      <c r="AO1521" t="inlineStr">
        <is>
          <t>No, I don't need at all</t>
        </is>
      </c>
      <c r="AP1521" t="inlineStr">
        <is>
          <t>Every month (100%)</t>
        </is>
      </c>
      <c r="AQ1521">
        <v>30</v>
      </c>
      <c r="AR1521" t="inlineStr">
        <is>
          <t>Free Job Portal</t>
        </is>
      </c>
      <c r="AS1521" t="inlineStr">
        <is>
          <t>- Headcount: 30
- Hiring Job Details: 30 sales, all base in MY
- Hiring Urgency: Continuous Hiring
- Number of outlets: 1
- Have recruiter team: Yes
- Number of recruiter in company: 1
- Have ATS system: No, I don't need at all
- Have career website: No, I don't need at all
- Current hiring budget: RM1
- Whole year budget: RM1.00
- Whole year number of vacancies: 30
- Hiring frequency: Every month (100%)
- External job portal: Free Job Portal</t>
        </is>
      </c>
      <c r="AT1521">
        <v>115</v>
      </c>
      <c r="AU1521" t="inlineStr">
        <is>
          <t>1.15</t>
        </is>
      </c>
      <c r="AV1521" t="inlineStr">
        <is>
          <t>25</t>
        </is>
      </c>
      <c r="AW1521" t="inlineStr">
        <is>
          <t>0</t>
        </is>
      </c>
      <c r="AX1521" t="inlineStr">
        <is>
          <t>Not Qualified</t>
        </is>
      </c>
      <c r="AY1521" s="4"/>
      <c r="AZ1521"/>
      <c r="BA1521"/>
      <c r="BB1521"/>
      <c r="BC1521"/>
      <c r="BD1521" s="4"/>
      <c r="BE1521"/>
      <c r="BF1521"/>
      <c r="BG1521" t="inlineStr">
        <is>
          <t>Reschedule</t>
        </is>
      </c>
      <c r="BH1521" t="inlineStr">
        <is>
          <t>Edward Hoo</t>
        </is>
      </c>
      <c r="BI1521"/>
      <c r="BJ1521" s="4">
        <v>46144.75581018518</v>
      </c>
      <c r="BK1521" s="4">
        <v>46125.44045138889</v>
      </c>
      <c r="BL1521" t="inlineStr">
        <is>
          <t>0.0</t>
        </is>
      </c>
      <c r="BM1521" t="inlineStr">
        <is>
          <t>0.0</t>
        </is>
      </c>
      <c r="BN1521"/>
      <c r="BO1521" s="4"/>
      <c r="BP1521">
        <v>166777</v>
      </c>
      <c r="BQ1521"/>
      <c r="BR1521"/>
      <c r="BS1521"/>
      <c r="BT1521"/>
      <c r="BU1521"/>
      <c r="BV1521"/>
      <c r="BW1521"/>
      <c r="BX1521"/>
      <c r="BY1521"/>
      <c r="BZ1521" s="4"/>
      <c r="CA1521"/>
      <c r="CB1521"/>
      <c r="CC1521" s="4"/>
      <c r="CD1521" t="inlineStr">
        <is>
          <t>35</t>
        </is>
      </c>
      <c r="CE1521" t="inlineStr">
        <is>
          <t>0</t>
        </is>
      </c>
      <c r="CF1521" t="inlineStr">
        <is>
          <t>Q2-W02</t>
        </is>
      </c>
      <c r="CG1521"/>
      <c r="CH1521"/>
      <c r="CI1521"/>
      <c r="CJ1521" t="inlineStr">
        <is>
          <t>No Paid</t>
        </is>
      </c>
      <c r="CK1521" t="inlineStr">
        <is>
          <t>Eligible</t>
        </is>
      </c>
      <c r="CL1521"/>
      <c r="CM1521"/>
    </row>
    <row r="1522" ht="25.5" customHeight="1">
      <c r="A1522" t="inlineStr">
        <is>
          <t>178875</t>
        </is>
      </c>
      <c r="B1522" s="2"/>
      <c r="C1522"/>
      <c r="D1522" s="3">
        <v>46125.61671296296</v>
      </c>
      <c r="E1522" t="inlineStr">
        <is>
          <t>Q2-W02</t>
        </is>
      </c>
      <c r="F1522" t="inlineStr">
        <is>
          <t>Luqman</t>
        </is>
      </c>
      <c r="G1522" t="inlineStr">
        <is>
          <t>Customer</t>
        </is>
      </c>
      <c r="H1522" s="2" t="str">
        <f>=HYPERLINK("https://upbox.ajobthing.my/customer/178875", "https://upbox.ajobthing.my/customer/178875")</f>
        <v>https://upbox.ajobthing.my/customer/178875</v>
      </c>
      <c r="I1522" t="inlineStr">
        <is>
          <t>In Grid Group Sdn. Bhd.</t>
        </is>
      </c>
      <c r="J1522" t="inlineStr">
        <is>
          <t>Dolphin</t>
        </is>
      </c>
      <c r="K1522" t="inlineStr">
        <is>
          <t>Luqman</t>
        </is>
      </c>
      <c r="L1522" s="4"/>
      <c r="M1522" s="4">
        <v>46125.61680555555</v>
      </c>
      <c r="N1522"/>
      <c r="O1522">
        <v>3888</v>
      </c>
      <c r="P1522" s="4"/>
      <c r="Q1522" s="4">
        <v>45449</v>
      </c>
      <c r="R1522"/>
      <c r="S1522">
        <v>2628.72</v>
      </c>
      <c r="T1522" s="4">
        <v>45449</v>
      </c>
      <c r="U1522" s="4"/>
      <c r="V1522"/>
      <c r="W1522">
        <v>2628.72</v>
      </c>
      <c r="X1522"/>
      <c r="Y1522" t="inlineStr">
        <is>
          <t>Pending Appointment</t>
        </is>
      </c>
      <c r="Z1522" t="inlineStr">
        <is>
          <t>Hiring Later</t>
        </is>
      </c>
      <c r="AA1522">
        <v>1</v>
      </c>
      <c r="AB1522" t="inlineStr">
        <is>
          <t>No Appointment Made</t>
        </is>
      </c>
      <c r="AC1522"/>
      <c r="AD1522" t="inlineStr">
        <is>
          <t>1. Admin</t>
        </is>
      </c>
      <c r="AE1522"/>
      <c r="AF1522">
        <v>1200</v>
      </c>
      <c r="AG1522" s="4"/>
      <c r="AH1522" s="4"/>
      <c r="AI1522">
        <v>1200</v>
      </c>
      <c r="AJ1522"/>
      <c r="AK1522" t="inlineStr">
        <is>
          <t>No, I don't need at all</t>
        </is>
      </c>
      <c r="AL1522">
        <v>1</v>
      </c>
      <c r="AM1522" t="inlineStr">
        <is>
          <t>No, I don't need at all</t>
        </is>
      </c>
      <c r="AN1522"/>
      <c r="AO1522" t="inlineStr">
        <is>
          <t>No, I don't need at all</t>
        </is>
      </c>
      <c r="AP1522" t="inlineStr">
        <is>
          <t>Once a year (25%)</t>
        </is>
      </c>
      <c r="AQ1522">
        <v>1</v>
      </c>
      <c r="AR1522" t="inlineStr">
        <is>
          <t>Free Job Portal</t>
        </is>
      </c>
      <c r="AS1522" t="inlineStr">
        <is>
          <t>- Headcount: 1
- Hiring Job Details: 1 Admin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1522">
        <v>110</v>
      </c>
      <c r="AU1522" t="inlineStr">
        <is>
          <t>1.10</t>
        </is>
      </c>
      <c r="AV1522" t="inlineStr">
        <is>
          <t>15</t>
        </is>
      </c>
      <c r="AW1522" t="inlineStr">
        <is>
          <t>0</t>
        </is>
      </c>
      <c r="AX1522" t="inlineStr">
        <is>
          <t>Not Qualified</t>
        </is>
      </c>
      <c r="AY1522" s="4"/>
      <c r="AZ1522"/>
      <c r="BA1522"/>
      <c r="BB1522"/>
      <c r="BC1522" t="inlineStr">
        <is>
          <t>- Headcount: 1
- Hiring Job Details: 1 Admin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BD1522" s="4">
        <v>46125.6250462963</v>
      </c>
      <c r="BE1522" t="inlineStr">
        <is>
          <t>paid</t>
        </is>
      </c>
      <c r="BF1522"/>
      <c r="BG1522" t="inlineStr">
        <is>
          <t>Reschedule</t>
        </is>
      </c>
      <c r="BH1522" t="inlineStr">
        <is>
          <t>Edward Hoo</t>
        </is>
      </c>
      <c r="BI1522" t="inlineStr">
        <is>
          <t>Architecture / Interior Design</t>
        </is>
      </c>
      <c r="BJ1522" s="4">
        <v>46144.751759259256</v>
      </c>
      <c r="BK1522" s="4">
        <v>45440.466145833336</v>
      </c>
      <c r="BL1522" t="inlineStr">
        <is>
          <t>0.0</t>
        </is>
      </c>
      <c r="BM1522" t="inlineStr">
        <is>
          <t>1200.0</t>
        </is>
      </c>
      <c r="BN1522" t="inlineStr">
        <is>
          <t>PA Visit - Applicant Manager</t>
        </is>
      </c>
      <c r="BO1522" s="4">
        <v>45624.53372685185</v>
      </c>
      <c r="BP1522">
        <v>166781</v>
      </c>
      <c r="BQ1522">
        <v>69871</v>
      </c>
      <c r="BR1522" t="inlineStr">
        <is>
          <t>Online</t>
        </is>
      </c>
      <c r="BS1522"/>
      <c r="BT1522">
        <v>69871</v>
      </c>
      <c r="BU1522"/>
      <c r="BV1522">
        <v>2701124</v>
      </c>
      <c r="BW1522" t="inlineStr">
        <is>
          <t>Customer Inquiry</t>
        </is>
      </c>
      <c r="BX1522"/>
      <c r="BY1522"/>
      <c r="BZ1522" s="4"/>
      <c r="CA1522"/>
      <c r="CB1522"/>
      <c r="CC1522" s="4"/>
      <c r="CD1522" t="inlineStr">
        <is>
          <t>20</t>
        </is>
      </c>
      <c r="CE1522" t="inlineStr">
        <is>
          <t>0</t>
        </is>
      </c>
      <c r="CF1522" t="inlineStr">
        <is>
          <t>Q2-W02</t>
        </is>
      </c>
      <c r="CG1522"/>
      <c r="CH1522"/>
      <c r="CI1522"/>
      <c r="CJ1522" t="inlineStr">
        <is>
          <t>Paid</t>
        </is>
      </c>
      <c r="CK1522" t="inlineStr">
        <is>
          <t>Not Eligible</t>
        </is>
      </c>
      <c r="CL1522"/>
      <c r="CM1522"/>
    </row>
    <row r="1523" ht="25.5" customHeight="1">
      <c r="A1523" t="inlineStr">
        <is>
          <t>200378</t>
        </is>
      </c>
      <c r="B1523" s="2"/>
      <c r="C1523"/>
      <c r="D1523" s="3">
        <v>46125.62678240741</v>
      </c>
      <c r="E1523" t="inlineStr">
        <is>
          <t>Q2-W02</t>
        </is>
      </c>
      <c r="F1523" t="inlineStr">
        <is>
          <t>Keegan</t>
        </is>
      </c>
      <c r="G1523" t="inlineStr">
        <is>
          <t>Customer</t>
        </is>
      </c>
      <c r="H1523" s="2" t="str">
        <f>=HYPERLINK("https://upbox.ajobthing.my/customer/200378", "https://upbox.ajobthing.my/customer/200378")</f>
        <v>https://upbox.ajobthing.my/customer/200378</v>
      </c>
      <c r="I1523" t="inlineStr">
        <is>
          <t>Khaya Ilham Sdn Bhd</t>
        </is>
      </c>
      <c r="J1523" t="inlineStr">
        <is>
          <t>Dolphin</t>
        </is>
      </c>
      <c r="K1523" t="inlineStr">
        <is>
          <t>Keegan</t>
        </is>
      </c>
      <c r="L1523" s="4"/>
      <c r="M1523" s="4">
        <v>46125.62716435185</v>
      </c>
      <c r="N1523"/>
      <c r="O1523">
        <v>3672</v>
      </c>
      <c r="P1523" s="4"/>
      <c r="Q1523" s="4"/>
      <c r="R1523"/>
      <c r="S1523"/>
      <c r="T1523" s="4"/>
      <c r="U1523" s="4"/>
      <c r="V1523"/>
      <c r="W1523"/>
      <c r="X1523"/>
      <c r="Y1523" t="inlineStr">
        <is>
          <t>Pending Appointment</t>
        </is>
      </c>
      <c r="Z1523" t="inlineStr">
        <is>
          <t>Hiring Now</t>
        </is>
      </c>
      <c r="AA1523">
        <v>1</v>
      </c>
      <c r="AB1523" t="inlineStr">
        <is>
          <t>No Appointment Made</t>
        </is>
      </c>
      <c r="AC1523"/>
      <c r="AD1523" t="inlineStr">
        <is>
          <t xml:space="preserve">1. Admin </t>
        </is>
      </c>
      <c r="AE1523"/>
      <c r="AF1523"/>
      <c r="AG1523" s="4"/>
      <c r="AH1523" s="4"/>
      <c r="AI1523"/>
      <c r="AJ1523">
        <v>1</v>
      </c>
      <c r="AK1523" t="inlineStr">
        <is>
          <t>No, I don't need at all</t>
        </is>
      </c>
      <c r="AL1523">
        <v>0</v>
      </c>
      <c r="AM1523" t="inlineStr">
        <is>
          <t>No, I don't need at all</t>
        </is>
      </c>
      <c r="AN1523"/>
      <c r="AO1523" t="inlineStr">
        <is>
          <t>No, I don't need at all</t>
        </is>
      </c>
      <c r="AP1523" t="inlineStr">
        <is>
          <t>Once per quarter (75%)</t>
        </is>
      </c>
      <c r="AQ1523"/>
      <c r="AR1523" t="inlineStr">
        <is>
          <t>Did not use any job portal</t>
        </is>
      </c>
      <c r="AS1523"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523">
        <v>105</v>
      </c>
      <c r="AU1523" t="inlineStr">
        <is>
          <t>1.05</t>
        </is>
      </c>
      <c r="AV1523" t="inlineStr">
        <is>
          <t>5</t>
        </is>
      </c>
      <c r="AW1523" t="inlineStr">
        <is>
          <t>0</t>
        </is>
      </c>
      <c r="AX1523" t="inlineStr">
        <is>
          <t>Not Qualified</t>
        </is>
      </c>
      <c r="AY1523" s="4"/>
      <c r="AZ1523"/>
      <c r="BA1523"/>
      <c r="BB1523"/>
      <c r="BC1523" t="inlineStr">
        <is>
          <t>Hiring plan on hold first for now</t>
        </is>
      </c>
      <c r="BD1523" s="4">
        <v>46128.43398148148</v>
      </c>
      <c r="BE1523"/>
      <c r="BF1523"/>
      <c r="BG1523" t="inlineStr">
        <is>
          <t>Reschedule</t>
        </is>
      </c>
      <c r="BH1523" t="inlineStr">
        <is>
          <t>Edward Hoo</t>
        </is>
      </c>
      <c r="BI1523"/>
      <c r="BJ1523" s="4">
        <v>46144.75355324074</v>
      </c>
      <c r="BK1523" s="4">
        <v>46038.68938657407</v>
      </c>
      <c r="BL1523" t="inlineStr">
        <is>
          <t>0.0</t>
        </is>
      </c>
      <c r="BM1523" t="inlineStr">
        <is>
          <t>0.0</t>
        </is>
      </c>
      <c r="BN1523" t="inlineStr">
        <is>
          <t>View Company Page</t>
        </is>
      </c>
      <c r="BO1523" s="4">
        <v>46038.689930555556</v>
      </c>
      <c r="BP1523">
        <v>166785</v>
      </c>
      <c r="BQ1523"/>
      <c r="BR1523"/>
      <c r="BS1523"/>
      <c r="BT1523"/>
      <c r="BU1523"/>
      <c r="BV1523">
        <v>2708112</v>
      </c>
      <c r="BW1523" t="inlineStr">
        <is>
          <t>Follow Up : Lost - Free Portal</t>
        </is>
      </c>
      <c r="BX1523"/>
      <c r="BY1523"/>
      <c r="BZ1523" s="4"/>
      <c r="CA1523"/>
      <c r="CB1523"/>
      <c r="CC1523" s="4"/>
      <c r="CD1523" t="inlineStr">
        <is>
          <t>5</t>
        </is>
      </c>
      <c r="CE1523" t="inlineStr">
        <is>
          <t>0</t>
        </is>
      </c>
      <c r="CF1523" t="inlineStr">
        <is>
          <t>Q2-W02</t>
        </is>
      </c>
      <c r="CG1523"/>
      <c r="CH1523"/>
      <c r="CI1523"/>
      <c r="CJ1523" t="inlineStr">
        <is>
          <t>No Paid</t>
        </is>
      </c>
      <c r="CK1523" t="inlineStr">
        <is>
          <t>Not Eligible</t>
        </is>
      </c>
      <c r="CL1523"/>
      <c r="CM1523"/>
    </row>
    <row r="1524" ht="25.5" customHeight="1">
      <c r="A1524" t="inlineStr">
        <is>
          <t>196522</t>
        </is>
      </c>
      <c r="B1524" s="2"/>
      <c r="C1524"/>
      <c r="D1524" s="3">
        <v>46125.62956018518</v>
      </c>
      <c r="E1524" t="inlineStr">
        <is>
          <t>Q2-W02</t>
        </is>
      </c>
      <c r="F1524" t="inlineStr">
        <is>
          <t>Derek Lim</t>
        </is>
      </c>
      <c r="G1524" t="inlineStr">
        <is>
          <t>Customer</t>
        </is>
      </c>
      <c r="H1524" s="2" t="str">
        <f>=HYPERLINK("https://upbox.ajobthing.my/customer/196522", "https://upbox.ajobthing.my/customer/196522")</f>
        <v>https://upbox.ajobthing.my/customer/196522</v>
      </c>
      <c r="I1524" t="inlineStr">
        <is>
          <t>Continuum Hospitality Group Sdn. Bhd.</t>
        </is>
      </c>
      <c r="J1524" t="inlineStr">
        <is>
          <t>Dolphin</t>
        </is>
      </c>
      <c r="K1524" t="inlineStr">
        <is>
          <t>Derek Lim</t>
        </is>
      </c>
      <c r="L1524" s="4"/>
      <c r="M1524" s="4">
        <v>46125.62986111111</v>
      </c>
      <c r="N1524"/>
      <c r="O1524">
        <v>6048</v>
      </c>
      <c r="P1524" s="4"/>
      <c r="Q1524" s="4">
        <v>46119.563055555554</v>
      </c>
      <c r="R1524"/>
      <c r="S1524">
        <v>0</v>
      </c>
      <c r="T1524" s="4">
        <v>46107.48574074074</v>
      </c>
      <c r="U1524" s="4"/>
      <c r="V1524"/>
      <c r="W1524">
        <v>864</v>
      </c>
      <c r="X1524"/>
      <c r="Y1524" t="inlineStr">
        <is>
          <t>Pending Appointment</t>
        </is>
      </c>
      <c r="Z1524" t="inlineStr">
        <is>
          <t>Hiring Now</t>
        </is>
      </c>
      <c r="AA1524">
        <v>2</v>
      </c>
      <c r="AB1524" t="inlineStr">
        <is>
          <t>No Appointment Made</t>
        </is>
      </c>
      <c r="AC1524"/>
      <c r="AD1524" t="inlineStr">
        <is>
          <t>brand marketing - 1, finance manager - 1</t>
        </is>
      </c>
      <c r="AE1524"/>
      <c r="AF1524">
        <v>800</v>
      </c>
      <c r="AG1524" s="4"/>
      <c r="AH1524" s="4"/>
      <c r="AI1524">
        <v>1000</v>
      </c>
      <c r="AJ1524">
        <v>1</v>
      </c>
      <c r="AK1524" t="inlineStr">
        <is>
          <t>No, I don't need at all</t>
        </is>
      </c>
      <c r="AL1524">
        <v>0</v>
      </c>
      <c r="AM1524" t="inlineStr">
        <is>
          <t>No, I don't need at all</t>
        </is>
      </c>
      <c r="AN1524"/>
      <c r="AO1524" t="inlineStr">
        <is>
          <t>No, but I want in future</t>
        </is>
      </c>
      <c r="AP1524" t="inlineStr">
        <is>
          <t>Twice a year (50%)</t>
        </is>
      </c>
      <c r="AQ1524">
        <v>2</v>
      </c>
      <c r="AR1524" t="inlineStr">
        <is>
          <t>Free Job Portal</t>
        </is>
      </c>
      <c r="AS1524" t="inlineStr">
        <is>
          <t>- Headcount: 2
- Hiring Job Details: 1 brand marketing, 1 finance manager
- Hiring Urgency: Hiring Now
- Number of outlets: 1
- Have recruiter team: No, I don't need at all
- Number of recruiter in company: 0
- Have ATS system: No, I don't need at all
- Have career website: No, but I want in future
- Current hiring budget: RM800
- Whole year budget: RM1,000.00
- Whole year number of vacancies: 2
- Hiring frequency: Twice a year (50%)
- External job portal: Free Job Portal</t>
        </is>
      </c>
      <c r="AT1524">
        <v>115</v>
      </c>
      <c r="AU1524" t="inlineStr">
        <is>
          <t>1.15</t>
        </is>
      </c>
      <c r="AV1524" t="inlineStr">
        <is>
          <t>15</t>
        </is>
      </c>
      <c r="AW1524" t="inlineStr">
        <is>
          <t>0</t>
        </is>
      </c>
      <c r="AX1524" t="inlineStr">
        <is>
          <t>Not Qualified</t>
        </is>
      </c>
      <c r="AY1524" s="4"/>
      <c r="AZ1524"/>
      <c r="BA1524"/>
      <c r="BB1524"/>
      <c r="BC1524" t="inlineStr">
        <is>
          <t>SHE SAY STILL INTERVIEW STAGE, GOT 1 REJECT OFFER AND ANOTHER 2 MORE WITHDRAW ALREADY. FOR NEW POSITION KIV FIRST</t>
        </is>
      </c>
      <c r="BD1524" s="4">
        <v>46134.70758101852</v>
      </c>
      <c r="BE1524" t="inlineStr">
        <is>
          <t>paid</t>
        </is>
      </c>
      <c r="BF1524" t="inlineStr">
        <is>
          <t>Q1-W12</t>
        </is>
      </c>
      <c r="BG1524" t="inlineStr">
        <is>
          <t>Reschedule</t>
        </is>
      </c>
      <c r="BH1524" t="inlineStr">
        <is>
          <t>Edward Hoo</t>
        </is>
      </c>
      <c r="BI1524" t="inlineStr">
        <is>
          <t>Food / Beverage</t>
        </is>
      </c>
      <c r="BJ1524" s="4">
        <v>46144.75283564815</v>
      </c>
      <c r="BK1524" s="4">
        <v>45925.403333333335</v>
      </c>
      <c r="BL1524" t="inlineStr">
        <is>
          <t>1944.0</t>
        </is>
      </c>
      <c r="BM1524" t="inlineStr">
        <is>
          <t>0.0</t>
        </is>
      </c>
      <c r="BN1524" t="inlineStr">
        <is>
          <t>View Company Page</t>
        </is>
      </c>
      <c r="BO1524" s="4">
        <v>46142.68068287037</v>
      </c>
      <c r="BP1524">
        <v>166789</v>
      </c>
      <c r="BQ1524">
        <v>120374</v>
      </c>
      <c r="BR1524" t="inlineStr">
        <is>
          <t>Proforma</t>
        </is>
      </c>
      <c r="BS1524" t="inlineStr">
        <is>
          <t>Free Part-Time Job</t>
        </is>
      </c>
      <c r="BT1524">
        <v>89505</v>
      </c>
      <c r="BU1524"/>
      <c r="BV1524">
        <v>2721646</v>
      </c>
      <c r="BW1524" t="inlineStr">
        <is>
          <t>Service / Technical : Job Outcome Enquiry</t>
        </is>
      </c>
      <c r="BX1524"/>
      <c r="BY1524"/>
      <c r="BZ1524" s="4"/>
      <c r="CA1524">
        <v>10</v>
      </c>
      <c r="CB1524">
        <v>8</v>
      </c>
      <c r="CC1524" s="4">
        <v>46121.40414351852</v>
      </c>
      <c r="CD1524" t="inlineStr">
        <is>
          <t>20</t>
        </is>
      </c>
      <c r="CE1524" t="inlineStr">
        <is>
          <t>0</t>
        </is>
      </c>
      <c r="CF1524" t="inlineStr">
        <is>
          <t>Q2-W02</t>
        </is>
      </c>
      <c r="CG1524" t="inlineStr">
        <is>
          <t>Q2-W01</t>
        </is>
      </c>
      <c r="CH1524" t="inlineStr">
        <is>
          <t>Q1-W12</t>
        </is>
      </c>
      <c r="CI1524"/>
      <c r="CJ1524" t="inlineStr">
        <is>
          <t>Paid</t>
        </is>
      </c>
      <c r="CK1524" t="inlineStr">
        <is>
          <t>Not Eligible</t>
        </is>
      </c>
      <c r="CL1524"/>
      <c r="CM1524"/>
    </row>
    <row r="1525" ht="25.5" customHeight="1">
      <c r="A1525" t="inlineStr">
        <is>
          <t>203170</t>
        </is>
      </c>
      <c r="B1525" s="2"/>
      <c r="C1525"/>
      <c r="D1525" s="3">
        <v>46125.6309837963</v>
      </c>
      <c r="E1525" t="inlineStr">
        <is>
          <t>Q2-W02</t>
        </is>
      </c>
      <c r="F1525" t="inlineStr">
        <is>
          <t>Clover</t>
        </is>
      </c>
      <c r="G1525" t="inlineStr">
        <is>
          <t>Customer</t>
        </is>
      </c>
      <c r="H1525" s="2" t="str">
        <f>=HYPERLINK("https://upbox.ajobthing.my/customer/203170", "https://upbox.ajobthing.my/customer/203170")</f>
        <v>https://upbox.ajobthing.my/customer/203170</v>
      </c>
      <c r="I1525" t="inlineStr">
        <is>
          <t>Terra Environment Management Sdn. Bhd.</t>
        </is>
      </c>
      <c r="J1525" t="inlineStr">
        <is>
          <t>Dolphin</t>
        </is>
      </c>
      <c r="K1525" t="inlineStr">
        <is>
          <t>Clover</t>
        </is>
      </c>
      <c r="L1525" s="4"/>
      <c r="M1525" s="4">
        <v>46125.632581018515</v>
      </c>
      <c r="N1525"/>
      <c r="O1525">
        <v>6048</v>
      </c>
      <c r="P1525" s="4"/>
      <c r="Q1525" s="4"/>
      <c r="R1525"/>
      <c r="S1525"/>
      <c r="T1525" s="4"/>
      <c r="U1525" s="4"/>
      <c r="V1525"/>
      <c r="W1525"/>
      <c r="X1525"/>
      <c r="Y1525" t="inlineStr">
        <is>
          <t>Pending Appointment</t>
        </is>
      </c>
      <c r="Z1525" t="inlineStr">
        <is>
          <t>Hiring Now</t>
        </is>
      </c>
      <c r="AA1525">
        <v>4</v>
      </c>
      <c r="AB1525" t="inlineStr">
        <is>
          <t>No Appointment Made</t>
        </is>
      </c>
      <c r="AC1525"/>
      <c r="AD1525" t="inlineStr">
        <is>
          <t>Survey now, hire Technician x1-2, lorry driver x1-2 GDL license, sewerage, waste water management, KK, suggest stand/pro</t>
        </is>
      </c>
      <c r="AE1525"/>
      <c r="AF1525">
        <v>5000</v>
      </c>
      <c r="AG1525" s="4"/>
      <c r="AH1525" s="4"/>
      <c r="AI1525">
        <v>5000</v>
      </c>
      <c r="AJ1525">
        <v>1</v>
      </c>
      <c r="AK1525" t="inlineStr">
        <is>
          <t>No, but I want in future</t>
        </is>
      </c>
      <c r="AL1525">
        <v>1</v>
      </c>
      <c r="AM1525" t="inlineStr">
        <is>
          <t>No, but I want in future</t>
        </is>
      </c>
      <c r="AN1525"/>
      <c r="AO1525" t="inlineStr">
        <is>
          <t>No, but I want in future</t>
        </is>
      </c>
      <c r="AP1525" t="inlineStr">
        <is>
          <t>Once per quarter (75%)</t>
        </is>
      </c>
      <c r="AQ1525">
        <v>1</v>
      </c>
      <c r="AR1525" t="inlineStr">
        <is>
          <t>Did not use any job portal</t>
        </is>
      </c>
      <c r="AS1525" t="inlineStr">
        <is>
          <t>- Headcount: 4
- Hiring Job Details: Survey now, hire Technician x1-2, lorry driver x1-2 GDL license, sewerage, waste water management, KK, suggest stand/pro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
- Hiring frequency: Once per quarter (75%)
- External job portal: Did not use any</t>
        </is>
      </c>
      <c r="AT1525">
        <v>95</v>
      </c>
      <c r="AU1525" t="inlineStr">
        <is>
          <t>0.95</t>
        </is>
      </c>
      <c r="AV1525" t="inlineStr">
        <is>
          <t>15</t>
        </is>
      </c>
      <c r="AW1525" t="inlineStr">
        <is>
          <t>0</t>
        </is>
      </c>
      <c r="AX1525" t="inlineStr">
        <is>
          <t>Not Qualified</t>
        </is>
      </c>
      <c r="AY1525" s="4"/>
      <c r="AZ1525"/>
      <c r="BA1525"/>
      <c r="BB1525"/>
      <c r="BC1525" t="inlineStr">
        <is>
          <t>Call npu, wa no response, ghost</t>
        </is>
      </c>
      <c r="BD1525" s="4">
        <v>46136.77291666667</v>
      </c>
      <c r="BE1525"/>
      <c r="BF1525"/>
      <c r="BG1525" t="inlineStr">
        <is>
          <t>Reschedule</t>
        </is>
      </c>
      <c r="BH1525" t="inlineStr">
        <is>
          <t>Reagen</t>
        </is>
      </c>
      <c r="BI1525"/>
      <c r="BJ1525" s="4">
        <v>46144.75423611111</v>
      </c>
      <c r="BK1525" s="4">
        <v>46125.62258101852</v>
      </c>
      <c r="BL1525" t="inlineStr">
        <is>
          <t>0.0</t>
        </is>
      </c>
      <c r="BM1525" t="inlineStr">
        <is>
          <t>0.0</t>
        </is>
      </c>
      <c r="BN1525"/>
      <c r="BO1525" s="4"/>
      <c r="BP1525">
        <v>166790</v>
      </c>
      <c r="BQ1525"/>
      <c r="BR1525"/>
      <c r="BS1525"/>
      <c r="BT1525"/>
      <c r="BU1525"/>
      <c r="BV1525">
        <v>2727566</v>
      </c>
      <c r="BW1525" t="inlineStr">
        <is>
          <t>No Answer : 3 Days No Response</t>
        </is>
      </c>
      <c r="BX1525"/>
      <c r="BY1525"/>
      <c r="BZ1525" s="4"/>
      <c r="CA1525"/>
      <c r="CB1525"/>
      <c r="CC1525" s="4"/>
      <c r="CD1525" t="inlineStr">
        <is>
          <t>20</t>
        </is>
      </c>
      <c r="CE1525" t="inlineStr">
        <is>
          <t>0</t>
        </is>
      </c>
      <c r="CF1525" t="inlineStr">
        <is>
          <t>Q2-W02</t>
        </is>
      </c>
      <c r="CG1525"/>
      <c r="CH1525"/>
      <c r="CI1525"/>
      <c r="CJ1525" t="inlineStr">
        <is>
          <t>No Paid</t>
        </is>
      </c>
      <c r="CK1525" t="inlineStr">
        <is>
          <t>Not Eligible</t>
        </is>
      </c>
      <c r="CL1525"/>
      <c r="CM1525"/>
    </row>
    <row r="1526" ht="25.5" customHeight="1">
      <c r="A1526" t="inlineStr">
        <is>
          <t>188105</t>
        </is>
      </c>
      <c r="B1526" s="2"/>
      <c r="C1526"/>
      <c r="D1526" s="3">
        <v>46125.63302083333</v>
      </c>
      <c r="E1526" t="inlineStr">
        <is>
          <t>Q2-W02</t>
        </is>
      </c>
      <c r="F1526" t="inlineStr">
        <is>
          <t>Carmen</t>
        </is>
      </c>
      <c r="G1526" t="inlineStr">
        <is>
          <t>Customer</t>
        </is>
      </c>
      <c r="H1526" s="2" t="str">
        <f>=HYPERLINK("https://upbox.ajobthing.my/customer/188105", "https://upbox.ajobthing.my/customer/188105")</f>
        <v>https://upbox.ajobthing.my/customer/188105</v>
      </c>
      <c r="I1526" t="inlineStr">
        <is>
          <t>Sbc Tech Marketing Sdn Bhd</t>
        </is>
      </c>
      <c r="J1526" t="inlineStr">
        <is>
          <t>Dolphin</t>
        </is>
      </c>
      <c r="K1526" t="inlineStr">
        <is>
          <t>Carmen</t>
        </is>
      </c>
      <c r="L1526" s="4"/>
      <c r="M1526" s="4">
        <v>46105.61582175926</v>
      </c>
      <c r="N1526"/>
      <c r="O1526">
        <v>3888</v>
      </c>
      <c r="P1526" s="4"/>
      <c r="Q1526" s="4">
        <v>46129.640011574076</v>
      </c>
      <c r="R1526"/>
      <c r="S1526">
        <v>1296</v>
      </c>
      <c r="T1526" s="4">
        <v>46129.640011574076</v>
      </c>
      <c r="U1526" s="4"/>
      <c r="V1526"/>
      <c r="W1526">
        <v>1296</v>
      </c>
      <c r="X1526"/>
      <c r="Y1526" t="inlineStr">
        <is>
          <t>Pending Appointment</t>
        </is>
      </c>
      <c r="Z1526" t="inlineStr">
        <is>
          <t>Hiring Now</t>
        </is>
      </c>
      <c r="AA1526">
        <v>1</v>
      </c>
      <c r="AB1526" t="inlineStr">
        <is>
          <t>No Appointment Made</t>
        </is>
      </c>
      <c r="AC1526"/>
      <c r="AD1526" t="inlineStr">
        <is>
          <t>1 admin sales</t>
        </is>
      </c>
      <c r="AE1526"/>
      <c r="AF1526">
        <v>1000</v>
      </c>
      <c r="AG1526" s="4"/>
      <c r="AH1526" s="4"/>
      <c r="AI1526"/>
      <c r="AJ1526"/>
      <c r="AK1526"/>
      <c r="AL1526"/>
      <c r="AM1526"/>
      <c r="AN1526"/>
      <c r="AO1526"/>
      <c r="AP1526" t="inlineStr">
        <is>
          <t>Once a year (25%)</t>
        </is>
      </c>
      <c r="AQ1526"/>
      <c r="AR1526"/>
      <c r="AS1526" t="inlineStr">
        <is>
          <t>- Headcount: 1
- Hiring Job Details: 1 admin sales
- Hiring Urgency: Hiring Now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1526">
        <v>65</v>
      </c>
      <c r="AU1526" t="inlineStr">
        <is>
          <t>0.65</t>
        </is>
      </c>
      <c r="AV1526" t="inlineStr">
        <is>
          <t>15</t>
        </is>
      </c>
      <c r="AW1526" t="inlineStr">
        <is>
          <t>0</t>
        </is>
      </c>
      <c r="AX1526" t="inlineStr">
        <is>
          <t>Not Qualified</t>
        </is>
      </c>
      <c r="AY1526" s="4"/>
      <c r="AZ1526"/>
      <c r="BA1526"/>
      <c r="BB1526"/>
      <c r="BC1526" t="inlineStr">
        <is>
          <t>he said all very bad</t>
        </is>
      </c>
      <c r="BD1526" s="4">
        <v>46141.70431712963</v>
      </c>
      <c r="BE1526" t="inlineStr">
        <is>
          <t>paid</t>
        </is>
      </c>
      <c r="BF1526" t="inlineStr">
        <is>
          <t>Q2-W03</t>
        </is>
      </c>
      <c r="BG1526" t="inlineStr">
        <is>
          <t>Reschedule</t>
        </is>
      </c>
      <c r="BH1526" t="inlineStr">
        <is>
          <t>Reagen</t>
        </is>
      </c>
      <c r="BI1526" t="inlineStr">
        <is>
          <t>Business / Mgmt Consulting</t>
        </is>
      </c>
      <c r="BJ1526" s="4">
        <v>46144.752222222225</v>
      </c>
      <c r="BK1526" s="4">
        <v>45712.72188657407</v>
      </c>
      <c r="BL1526" t="inlineStr">
        <is>
          <t>1296.0</t>
        </is>
      </c>
      <c r="BM1526" t="inlineStr">
        <is>
          <t>2400.0</t>
        </is>
      </c>
      <c r="BN1526" t="inlineStr">
        <is>
          <t>View Company Page</t>
        </is>
      </c>
      <c r="BO1526" s="4">
        <v>46142.386655092596</v>
      </c>
      <c r="BP1526">
        <v>163449</v>
      </c>
      <c r="BQ1526">
        <v>94094</v>
      </c>
      <c r="BR1526" t="inlineStr">
        <is>
          <t>Online</t>
        </is>
      </c>
      <c r="BS1526"/>
      <c r="BT1526">
        <v>94094</v>
      </c>
      <c r="BU1526"/>
      <c r="BV1526">
        <v>2736033</v>
      </c>
      <c r="BW1526" t="inlineStr">
        <is>
          <t>Service / Technical : Job Complaint - Report To Marketing</t>
        </is>
      </c>
      <c r="BX1526">
        <v>1</v>
      </c>
      <c r="BY1526">
        <v>0</v>
      </c>
      <c r="BZ1526" s="4">
        <v>46129.69226851852</v>
      </c>
      <c r="CA1526">
        <v>23</v>
      </c>
      <c r="CB1526">
        <v>23</v>
      </c>
      <c r="CC1526" s="4"/>
      <c r="CD1526" t="inlineStr">
        <is>
          <t>20</t>
        </is>
      </c>
      <c r="CE1526" t="inlineStr">
        <is>
          <t>0</t>
        </is>
      </c>
      <c r="CF1526" t="inlineStr">
        <is>
          <t>Q1-W12</t>
        </is>
      </c>
      <c r="CG1526" t="inlineStr">
        <is>
          <t>Q2-W03</t>
        </is>
      </c>
      <c r="CH1526" t="inlineStr">
        <is>
          <t>Q2-W03</t>
        </is>
      </c>
      <c r="CI1526"/>
      <c r="CJ1526" t="inlineStr">
        <is>
          <t>Paid</t>
        </is>
      </c>
      <c r="CK1526" t="inlineStr">
        <is>
          <t>Not Eligible</t>
        </is>
      </c>
      <c r="CL1526"/>
      <c r="CM1526"/>
    </row>
    <row r="1527" ht="25.5" customHeight="1">
      <c r="A1527" t="inlineStr">
        <is>
          <t>178732</t>
        </is>
      </c>
      <c r="B1527" s="2"/>
      <c r="C1527"/>
      <c r="D1527" s="3">
        <v>46125.635833333334</v>
      </c>
      <c r="E1527" t="inlineStr">
        <is>
          <t>Q2-W02</t>
        </is>
      </c>
      <c r="F1527" t="inlineStr">
        <is>
          <t>Luqman</t>
        </is>
      </c>
      <c r="G1527" t="inlineStr">
        <is>
          <t>Customer</t>
        </is>
      </c>
      <c r="H1527" s="2" t="str">
        <f>=HYPERLINK("https://upbox.ajobthing.my/customer/178732", "https://upbox.ajobthing.my/customer/178732")</f>
        <v>https://upbox.ajobthing.my/customer/178732</v>
      </c>
      <c r="I1527" t="inlineStr">
        <is>
          <t>Koffie Macroy Ventures Sdn Bhd</t>
        </is>
      </c>
      <c r="J1527" t="inlineStr">
        <is>
          <t>Dolphin</t>
        </is>
      </c>
      <c r="K1527" t="inlineStr">
        <is>
          <t>Luqman</t>
        </is>
      </c>
      <c r="L1527" s="4"/>
      <c r="M1527" s="4">
        <v>46125.63506944444</v>
      </c>
      <c r="N1527"/>
      <c r="O1527">
        <v>1296</v>
      </c>
      <c r="P1527" s="4"/>
      <c r="Q1527" s="4">
        <v>45817.52584490741</v>
      </c>
      <c r="R1527"/>
      <c r="S1527">
        <v>1080</v>
      </c>
      <c r="T1527" s="4">
        <v>45817.52584490741</v>
      </c>
      <c r="U1527" s="4"/>
      <c r="V1527"/>
      <c r="W1527">
        <v>1080</v>
      </c>
      <c r="X1527"/>
      <c r="Y1527" t="inlineStr">
        <is>
          <t>Pending Appointment</t>
        </is>
      </c>
      <c r="Z1527" t="inlineStr">
        <is>
          <t>Hiring Later</t>
        </is>
      </c>
      <c r="AA1527">
        <v>1</v>
      </c>
      <c r="AB1527" t="inlineStr">
        <is>
          <t>No Appointment Made</t>
        </is>
      </c>
      <c r="AC1527"/>
      <c r="AD1527" t="inlineStr">
        <is>
          <t xml:space="preserve">1. Barista </t>
        </is>
      </c>
      <c r="AE1527"/>
      <c r="AF1527">
        <v>1200</v>
      </c>
      <c r="AG1527" s="4"/>
      <c r="AH1527" s="4"/>
      <c r="AI1527">
        <v>1200</v>
      </c>
      <c r="AJ1527"/>
      <c r="AK1527" t="inlineStr">
        <is>
          <t>No, but I want in future</t>
        </is>
      </c>
      <c r="AL1527">
        <v>1</v>
      </c>
      <c r="AM1527" t="inlineStr">
        <is>
          <t>No, I don't need at all</t>
        </is>
      </c>
      <c r="AN1527"/>
      <c r="AO1527" t="inlineStr">
        <is>
          <t>No, I don't need at all</t>
        </is>
      </c>
      <c r="AP1527" t="inlineStr">
        <is>
          <t>Once a year (25%)</t>
        </is>
      </c>
      <c r="AQ1527">
        <v>1</v>
      </c>
      <c r="AR1527" t="inlineStr">
        <is>
          <t>Free Job Portal</t>
        </is>
      </c>
      <c r="AS1527" t="inlineStr">
        <is>
          <t>- Headcount: 1
- Hiring Job Details: 1 barista
- Hiring Urgency: Hiring Later
- Number of outlets: Not provided
- Have recruiter team: No, but want in future
- Number of recruiter in company: 1
- Have ATS system: No, don't need at all
- Have career website: No, don't need at all
- Current hiring budget: RM1,200
- Whole year budget: RM1,200.00
- Whole year number of vacancies: 1
- Hiring frequency: Once a year (25%)
- External job portal: Free Job Portal</t>
        </is>
      </c>
      <c r="AT1527">
        <v>110</v>
      </c>
      <c r="AU1527" t="inlineStr">
        <is>
          <t>1.10</t>
        </is>
      </c>
      <c r="AV1527" t="inlineStr">
        <is>
          <t>15</t>
        </is>
      </c>
      <c r="AW1527" t="inlineStr">
        <is>
          <t>0</t>
        </is>
      </c>
      <c r="AX1527" t="inlineStr">
        <is>
          <t>Not Qualified</t>
        </is>
      </c>
      <c r="AY1527" s="4"/>
      <c r="AZ1527"/>
      <c r="BA1527"/>
      <c r="BB1527"/>
      <c r="BC1527" t="inlineStr">
        <is>
          <t>Business will utilize free portal</t>
        </is>
      </c>
      <c r="BD1527" s="4">
        <v>46128.582870370374</v>
      </c>
      <c r="BE1527" t="inlineStr">
        <is>
          <t>paid</t>
        </is>
      </c>
      <c r="BF1527"/>
      <c r="BG1527" t="inlineStr">
        <is>
          <t>Reschedule</t>
        </is>
      </c>
      <c r="BH1527" t="inlineStr">
        <is>
          <t>Edward Hoo</t>
        </is>
      </c>
      <c r="BI1527" t="inlineStr">
        <is>
          <t>Food / Beverage</t>
        </is>
      </c>
      <c r="BJ1527" s="4">
        <v>46144.751759259256</v>
      </c>
      <c r="BK1527" s="4">
        <v>45435.61488425926</v>
      </c>
      <c r="BL1527" t="inlineStr">
        <is>
          <t>1080.0</t>
        </is>
      </c>
      <c r="BM1527" t="inlineStr">
        <is>
          <t>150.0</t>
        </is>
      </c>
      <c r="BN1527" t="inlineStr">
        <is>
          <t>PA Visit - Email</t>
        </is>
      </c>
      <c r="BO1527" s="4">
        <v>45847.86417824074</v>
      </c>
      <c r="BP1527">
        <v>166792</v>
      </c>
      <c r="BQ1527">
        <v>79920</v>
      </c>
      <c r="BR1527" t="inlineStr">
        <is>
          <t>Online</t>
        </is>
      </c>
      <c r="BS1527"/>
      <c r="BT1527">
        <v>79920</v>
      </c>
      <c r="BU1527"/>
      <c r="BV1527">
        <v>2709240</v>
      </c>
      <c r="BW1527" t="inlineStr">
        <is>
          <t>Follow Up : Lost - Free Portal</t>
        </is>
      </c>
      <c r="BX1527"/>
      <c r="BY1527"/>
      <c r="BZ1527" s="4"/>
      <c r="CA1527"/>
      <c r="CB1527"/>
      <c r="CC1527" s="4"/>
      <c r="CD1527" t="inlineStr">
        <is>
          <t>20</t>
        </is>
      </c>
      <c r="CE1527" t="inlineStr">
        <is>
          <t>0</t>
        </is>
      </c>
      <c r="CF1527" t="inlineStr">
        <is>
          <t>Q2-W02</t>
        </is>
      </c>
      <c r="CG1527"/>
      <c r="CH1527"/>
      <c r="CI1527"/>
      <c r="CJ1527" t="inlineStr">
        <is>
          <t>Paid</t>
        </is>
      </c>
      <c r="CK1527" t="inlineStr">
        <is>
          <t>Not Eligible</t>
        </is>
      </c>
      <c r="CL1527"/>
      <c r="CM1527"/>
    </row>
    <row r="1528" ht="25.5" customHeight="1">
      <c r="A1528" t="inlineStr">
        <is>
          <t>192074</t>
        </is>
      </c>
      <c r="B1528" s="2"/>
      <c r="C1528"/>
      <c r="D1528" s="3">
        <v>46125.65185185185</v>
      </c>
      <c r="E1528" t="inlineStr">
        <is>
          <t>Q2-W02</t>
        </is>
      </c>
      <c r="F1528" t="inlineStr">
        <is>
          <t>Xin Quan</t>
        </is>
      </c>
      <c r="G1528" t="inlineStr">
        <is>
          <t>Customer</t>
        </is>
      </c>
      <c r="H1528" s="2" t="str">
        <f>=HYPERLINK("https://upbox.ajobthing.my/customer/192074", "https://upbox.ajobthing.my/customer/192074")</f>
        <v>https://upbox.ajobthing.my/customer/192074</v>
      </c>
      <c r="I1528" t="inlineStr">
        <is>
          <t>Neko Music Center PLT</t>
        </is>
      </c>
      <c r="J1528" t="inlineStr">
        <is>
          <t>Dolphin</t>
        </is>
      </c>
      <c r="K1528" t="inlineStr">
        <is>
          <t>Xin Quan</t>
        </is>
      </c>
      <c r="L1528" s="4"/>
      <c r="M1528" s="4">
        <v>46125.65247685185</v>
      </c>
      <c r="N1528"/>
      <c r="O1528">
        <v>12960</v>
      </c>
      <c r="P1528" s="4"/>
      <c r="Q1528" s="4"/>
      <c r="R1528"/>
      <c r="S1528"/>
      <c r="T1528" s="4"/>
      <c r="U1528" s="4"/>
      <c r="V1528"/>
      <c r="W1528"/>
      <c r="X1528"/>
      <c r="Y1528" t="inlineStr">
        <is>
          <t>Pending Appointment</t>
        </is>
      </c>
      <c r="Z1528" t="inlineStr">
        <is>
          <t>Hiring Now</t>
        </is>
      </c>
      <c r="AA1528">
        <v>1</v>
      </c>
      <c r="AB1528" t="inlineStr">
        <is>
          <t>No Appointment Made</t>
        </is>
      </c>
      <c r="AC1528"/>
      <c r="AD1528" t="inlineStr">
        <is>
          <t>1 Education , Base in Kuching</t>
        </is>
      </c>
      <c r="AE1528"/>
      <c r="AF1528">
        <v>2000</v>
      </c>
      <c r="AG1528" s="4"/>
      <c r="AH1528" s="4"/>
      <c r="AI1528">
        <v>2000</v>
      </c>
      <c r="AJ1528">
        <v>1</v>
      </c>
      <c r="AK1528"/>
      <c r="AL1528"/>
      <c r="AM1528"/>
      <c r="AN1528"/>
      <c r="AO1528"/>
      <c r="AP1528"/>
      <c r="AQ1528">
        <v>1</v>
      </c>
      <c r="AR1528"/>
      <c r="AS1528" t="inlineStr">
        <is>
          <t>- Headcount: 1
- Hiring Job Details: 1 Education, Base in Kuching
- Hiring Urgency: Hiring Now
- Number of outlets: 1
- Have recruiter team: Not specified
- Number of recruiter in company: Not specified
- Have ATS system: Not specified
- Have career website: Not specified
- Current hiring budget: RM2,000
- Whole year budget: RM2,000.00
- Whole year number of vacancies: 1
- Hiring frequency: Not specified
- External job portal: Not specified</t>
        </is>
      </c>
      <c r="AT1528">
        <v>50</v>
      </c>
      <c r="AU1528" t="inlineStr">
        <is>
          <t>0.50</t>
        </is>
      </c>
      <c r="AV1528" t="inlineStr">
        <is>
          <t>15</t>
        </is>
      </c>
      <c r="AW1528" t="inlineStr">
        <is>
          <t>0</t>
        </is>
      </c>
      <c r="AX1528" t="inlineStr">
        <is>
          <t>Not Qualified</t>
        </is>
      </c>
      <c r="AY1528" s="4"/>
      <c r="AZ1528"/>
      <c r="BA1528"/>
      <c r="BB1528"/>
      <c r="BC1528" t="inlineStr">
        <is>
          <t>Clear status + Duplicate ACC</t>
        </is>
      </c>
      <c r="BD1528" s="4">
        <v>46126.661782407406</v>
      </c>
      <c r="BE1528"/>
      <c r="BF1528"/>
      <c r="BG1528" t="inlineStr">
        <is>
          <t>Reschedule</t>
        </is>
      </c>
      <c r="BH1528" t="inlineStr">
        <is>
          <t>Edward Hoo</t>
        </is>
      </c>
      <c r="BI1528" t="inlineStr">
        <is>
          <t>Education / Training</t>
        </is>
      </c>
      <c r="BJ1528" s="4">
        <v>46144.752546296295</v>
      </c>
      <c r="BK1528" s="4">
        <v>45810.49763888889</v>
      </c>
      <c r="BL1528" t="inlineStr">
        <is>
          <t>0.0</t>
        </is>
      </c>
      <c r="BM1528" t="inlineStr">
        <is>
          <t>1200.0</t>
        </is>
      </c>
      <c r="BN1528" t="inlineStr">
        <is>
          <t>View Candidate Search Page</t>
        </is>
      </c>
      <c r="BO1528" s="4">
        <v>46125.646157407406</v>
      </c>
      <c r="BP1528">
        <v>166804</v>
      </c>
      <c r="BQ1528"/>
      <c r="BR1528"/>
      <c r="BS1528"/>
      <c r="BT1528"/>
      <c r="BU1528"/>
      <c r="BV1528">
        <v>2704042</v>
      </c>
      <c r="BW1528" t="inlineStr">
        <is>
          <t>Inquire for Hiring Needs : No Hiring</t>
        </is>
      </c>
      <c r="BX1528"/>
      <c r="BY1528"/>
      <c r="BZ1528" s="4"/>
      <c r="CA1528"/>
      <c r="CB1528"/>
      <c r="CC1528" s="4"/>
      <c r="CD1528" t="inlineStr">
        <is>
          <t>20</t>
        </is>
      </c>
      <c r="CE1528" t="inlineStr">
        <is>
          <t>0</t>
        </is>
      </c>
      <c r="CF1528" t="inlineStr">
        <is>
          <t>Q2-W02</t>
        </is>
      </c>
      <c r="CG1528"/>
      <c r="CH1528"/>
      <c r="CI1528"/>
      <c r="CJ1528" t="inlineStr">
        <is>
          <t>No Paid</t>
        </is>
      </c>
      <c r="CK1528" t="inlineStr">
        <is>
          <t>Not Eligible</t>
        </is>
      </c>
      <c r="CL1528"/>
      <c r="CM1528"/>
    </row>
    <row r="1529" ht="25.5" customHeight="1">
      <c r="A1529" t="inlineStr">
        <is>
          <t>159702</t>
        </is>
      </c>
      <c r="B1529" s="2"/>
      <c r="C1529"/>
      <c r="D1529" s="3">
        <v>46125.65545138889</v>
      </c>
      <c r="E1529" t="inlineStr">
        <is>
          <t>Q2-W02</t>
        </is>
      </c>
      <c r="F1529" t="inlineStr">
        <is>
          <t>Xin Quan</t>
        </is>
      </c>
      <c r="G1529" t="inlineStr">
        <is>
          <t>Customer</t>
        </is>
      </c>
      <c r="H1529" s="2" t="str">
        <f>=HYPERLINK("https://upbox.ajobthing.my/customer/159702", "https://upbox.ajobthing.my/customer/159702")</f>
        <v>https://upbox.ajobthing.my/customer/159702</v>
      </c>
      <c r="I1529" t="inlineStr">
        <is>
          <t>Neko Music Center Plt</t>
        </is>
      </c>
      <c r="J1529" t="inlineStr">
        <is>
          <t>Dolphin</t>
        </is>
      </c>
      <c r="K1529" t="inlineStr">
        <is>
          <t>Xin Quan</t>
        </is>
      </c>
      <c r="L1529" s="4"/>
      <c r="M1529" s="4">
        <v>46125.655543981484</v>
      </c>
      <c r="N1529"/>
      <c r="O1529">
        <v>12960</v>
      </c>
      <c r="P1529" s="4"/>
      <c r="Q1529" s="4">
        <v>45959.438784722224</v>
      </c>
      <c r="R1529"/>
      <c r="S1529">
        <v>1296</v>
      </c>
      <c r="T1529" s="4">
        <v>45959.438784722224</v>
      </c>
      <c r="U1529" s="4"/>
      <c r="V1529"/>
      <c r="W1529">
        <v>1296</v>
      </c>
      <c r="X1529"/>
      <c r="Y1529" t="inlineStr">
        <is>
          <t>Pending Appointment</t>
        </is>
      </c>
      <c r="Z1529" t="inlineStr">
        <is>
          <t>Hiring Now</t>
        </is>
      </c>
      <c r="AA1529">
        <v>1</v>
      </c>
      <c r="AB1529" t="inlineStr">
        <is>
          <t>No Appointment Made</t>
        </is>
      </c>
      <c r="AC1529"/>
      <c r="AD1529" t="inlineStr">
        <is>
          <t>1 Eduation , Base in Kuching</t>
        </is>
      </c>
      <c r="AE1529"/>
      <c r="AF1529">
        <v>2000</v>
      </c>
      <c r="AG1529" s="4"/>
      <c r="AH1529" s="4"/>
      <c r="AI1529">
        <v>24000</v>
      </c>
      <c r="AJ1529">
        <v>1</v>
      </c>
      <c r="AK1529"/>
      <c r="AL1529"/>
      <c r="AM1529"/>
      <c r="AN1529"/>
      <c r="AO1529"/>
      <c r="AP1529"/>
      <c r="AQ1529">
        <v>1</v>
      </c>
      <c r="AR1529"/>
      <c r="AS1529" t="inlineStr">
        <is>
          <t>- Headcount: 1
- Hiring Job Details: 1 Education, base in Kuching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529">
        <v>75</v>
      </c>
      <c r="AU1529" t="inlineStr">
        <is>
          <t>0.75</t>
        </is>
      </c>
      <c r="AV1529" t="inlineStr">
        <is>
          <t>15</t>
        </is>
      </c>
      <c r="AW1529" t="inlineStr">
        <is>
          <t>0</t>
        </is>
      </c>
      <c r="AX1529" t="inlineStr">
        <is>
          <t>Not Qualified</t>
        </is>
      </c>
      <c r="AY1529" s="4"/>
      <c r="AZ1529"/>
      <c r="BA1529"/>
      <c r="BB1529"/>
      <c r="BC1529" t="inlineStr">
        <is>
          <t>- Headcount: 1
- Hiring Job Details: 1 Education, base in Kuching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BD1529" s="4">
        <v>46125.666712962964</v>
      </c>
      <c r="BE1529" t="inlineStr">
        <is>
          <t>paid</t>
        </is>
      </c>
      <c r="BF1529"/>
      <c r="BG1529" t="inlineStr">
        <is>
          <t>Reschedule</t>
        </is>
      </c>
      <c r="BH1529" t="inlineStr">
        <is>
          <t>Edward Hoo</t>
        </is>
      </c>
      <c r="BI1529" t="inlineStr">
        <is>
          <t>Education / Training</t>
        </is>
      </c>
      <c r="BJ1529" s="4">
        <v>46144.751064814816</v>
      </c>
      <c r="BK1529" s="4">
        <v>44816.642118055555</v>
      </c>
      <c r="BL1529" t="inlineStr">
        <is>
          <t>1296.0</t>
        </is>
      </c>
      <c r="BM1529" t="inlineStr">
        <is>
          <t>1200.0</t>
        </is>
      </c>
      <c r="BN1529" t="inlineStr">
        <is>
          <t>View Company Page</t>
        </is>
      </c>
      <c r="BO1529" s="4">
        <v>46125.64886574074</v>
      </c>
      <c r="BP1529">
        <v>166806</v>
      </c>
      <c r="BQ1529">
        <v>83732</v>
      </c>
      <c r="BR1529" t="inlineStr">
        <is>
          <t>Online</t>
        </is>
      </c>
      <c r="BS1529"/>
      <c r="BT1529">
        <v>83732</v>
      </c>
      <c r="BU1529"/>
      <c r="BV1529">
        <v>2701495</v>
      </c>
      <c r="BW1529" t="inlineStr">
        <is>
          <t>Customer Inquiry</t>
        </is>
      </c>
      <c r="BX1529"/>
      <c r="BY1529"/>
      <c r="BZ1529" s="4"/>
      <c r="CA1529"/>
      <c r="CB1529"/>
      <c r="CC1529" s="4"/>
      <c r="CD1529" t="inlineStr">
        <is>
          <t>20</t>
        </is>
      </c>
      <c r="CE1529" t="inlineStr">
        <is>
          <t>0</t>
        </is>
      </c>
      <c r="CF1529" t="inlineStr">
        <is>
          <t>Q2-W02</t>
        </is>
      </c>
      <c r="CG1529"/>
      <c r="CH1529"/>
      <c r="CI1529"/>
      <c r="CJ1529" t="inlineStr">
        <is>
          <t>Paid</t>
        </is>
      </c>
      <c r="CK1529" t="inlineStr">
        <is>
          <t>Not Eligible</t>
        </is>
      </c>
      <c r="CL1529"/>
      <c r="CM1529"/>
    </row>
    <row r="1530" ht="25.5" customHeight="1">
      <c r="A1530" t="inlineStr">
        <is>
          <t>162168</t>
        </is>
      </c>
      <c r="B1530" s="2"/>
      <c r="C1530"/>
      <c r="D1530" s="3">
        <v>46125.657685185186</v>
      </c>
      <c r="E1530" t="inlineStr">
        <is>
          <t>Q2-W02</t>
        </is>
      </c>
      <c r="F1530" t="inlineStr">
        <is>
          <t>Evan</t>
        </is>
      </c>
      <c r="G1530" t="inlineStr">
        <is>
          <t>Customer</t>
        </is>
      </c>
      <c r="H1530" s="2" t="str">
        <f>=HYPERLINK("https://upbox.ajobthing.my/customer/162168", "https://upbox.ajobthing.my/customer/162168")</f>
        <v>https://upbox.ajobthing.my/customer/162168</v>
      </c>
      <c r="I1530" t="inlineStr">
        <is>
          <t xml:space="preserve">Freedom Pilates Sdn Bhd </t>
        </is>
      </c>
      <c r="J1530" t="inlineStr">
        <is>
          <t>Dolphin</t>
        </is>
      </c>
      <c r="K1530" t="inlineStr">
        <is>
          <t>Evan</t>
        </is>
      </c>
      <c r="L1530" s="4"/>
      <c r="M1530" s="4">
        <v>46125.65541666667</v>
      </c>
      <c r="N1530"/>
      <c r="O1530">
        <v>3672</v>
      </c>
      <c r="P1530" s="4"/>
      <c r="Q1530" s="4">
        <v>46125.67061342593</v>
      </c>
      <c r="R1530"/>
      <c r="S1530">
        <v>1296</v>
      </c>
      <c r="T1530" s="4">
        <v>46125.67061342593</v>
      </c>
      <c r="U1530" s="4"/>
      <c r="V1530"/>
      <c r="W1530">
        <v>1296</v>
      </c>
      <c r="X1530"/>
      <c r="Y1530" t="inlineStr">
        <is>
          <t>Pending Appointment</t>
        </is>
      </c>
      <c r="Z1530" t="inlineStr">
        <is>
          <t>Hiring Now</t>
        </is>
      </c>
      <c r="AA1530">
        <v>1</v>
      </c>
      <c r="AB1530" t="inlineStr">
        <is>
          <t>No Appointment Made</t>
        </is>
      </c>
      <c r="AC1530"/>
      <c r="AD1530" t="inlineStr">
        <is>
          <t>1 front desk, all base in KL</t>
        </is>
      </c>
      <c r="AE1530"/>
      <c r="AF1530">
        <v>1</v>
      </c>
      <c r="AG1530" s="4"/>
      <c r="AH1530" s="4"/>
      <c r="AI1530">
        <v>1</v>
      </c>
      <c r="AJ1530">
        <v>1</v>
      </c>
      <c r="AK1530" t="inlineStr">
        <is>
          <t>Yes, I have</t>
        </is>
      </c>
      <c r="AL1530">
        <v>0</v>
      </c>
      <c r="AM1530" t="inlineStr">
        <is>
          <t>No, I don't need at all</t>
        </is>
      </c>
      <c r="AN1530"/>
      <c r="AO1530" t="inlineStr">
        <is>
          <t>No, I don't need at all</t>
        </is>
      </c>
      <c r="AP1530" t="inlineStr">
        <is>
          <t>Once a year (25%)</t>
        </is>
      </c>
      <c r="AQ1530">
        <v>1</v>
      </c>
      <c r="AR1530" t="inlineStr">
        <is>
          <t>Did not use any job portal</t>
        </is>
      </c>
      <c r="AS1530" t="inlineStr">
        <is>
          <t>- Headcount: 1
- Hiring Job Details: 1 front desk (all base in KL)
- Hiring Urgency: Hiring Now
- Number of outlets: 1
- Have recruiter team: Yes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530">
        <v>110</v>
      </c>
      <c r="AU1530" t="inlineStr">
        <is>
          <t>1.10</t>
        </is>
      </c>
      <c r="AV1530" t="inlineStr">
        <is>
          <t>15</t>
        </is>
      </c>
      <c r="AW1530" t="inlineStr">
        <is>
          <t>0</t>
        </is>
      </c>
      <c r="AX1530" t="inlineStr">
        <is>
          <t>Not Qualified</t>
        </is>
      </c>
      <c r="AY1530" s="4"/>
      <c r="AZ1530"/>
      <c r="BA1530"/>
      <c r="BB1530"/>
      <c r="BC1530" t="inlineStr">
        <is>
          <t>so far good</t>
        </is>
      </c>
      <c r="BD1530" s="4">
        <v>46134.70591435185</v>
      </c>
      <c r="BE1530" t="inlineStr">
        <is>
          <t>paid</t>
        </is>
      </c>
      <c r="BF1530" t="inlineStr">
        <is>
          <t>Q2-W02</t>
        </is>
      </c>
      <c r="BG1530" t="inlineStr">
        <is>
          <t>Reschedule</t>
        </is>
      </c>
      <c r="BH1530" t="inlineStr">
        <is>
          <t>Edward Hoo</t>
        </is>
      </c>
      <c r="BI1530" t="inlineStr">
        <is>
          <t>Sports</t>
        </is>
      </c>
      <c r="BJ1530" s="4">
        <v>46144.75115740741</v>
      </c>
      <c r="BK1530" s="4">
        <v>44882.53424768519</v>
      </c>
      <c r="BL1530" t="inlineStr">
        <is>
          <t>1296.0</t>
        </is>
      </c>
      <c r="BM1530" t="inlineStr">
        <is>
          <t>0.0</t>
        </is>
      </c>
      <c r="BN1530" t="inlineStr">
        <is>
          <t>User Visit(Logged In)</t>
        </is>
      </c>
      <c r="BO1530" s="4">
        <v>46133.41471064815</v>
      </c>
      <c r="BP1530">
        <v>166805</v>
      </c>
      <c r="BQ1530">
        <v>93192</v>
      </c>
      <c r="BR1530" t="inlineStr">
        <is>
          <t>Online</t>
        </is>
      </c>
      <c r="BS1530"/>
      <c r="BT1530">
        <v>93192</v>
      </c>
      <c r="BU1530"/>
      <c r="BV1530">
        <v>2721627</v>
      </c>
      <c r="BW1530" t="inlineStr">
        <is>
          <t>Service / Technical : Job Outcome Enquiry</t>
        </is>
      </c>
      <c r="BX1530">
        <v>1</v>
      </c>
      <c r="BY1530">
        <v>0</v>
      </c>
      <c r="BZ1530" s="4">
        <v>46125.670625</v>
      </c>
      <c r="CA1530">
        <v>23</v>
      </c>
      <c r="CB1530">
        <v>18</v>
      </c>
      <c r="CC1530" s="4">
        <v>46128.37158564815</v>
      </c>
      <c r="CD1530" t="inlineStr">
        <is>
          <t>20</t>
        </is>
      </c>
      <c r="CE1530" t="inlineStr">
        <is>
          <t>0</t>
        </is>
      </c>
      <c r="CF1530" t="inlineStr">
        <is>
          <t>Q2-W02</t>
        </is>
      </c>
      <c r="CG1530" t="inlineStr">
        <is>
          <t>Q2-W02</t>
        </is>
      </c>
      <c r="CH1530" t="inlineStr">
        <is>
          <t>Q2-W02</t>
        </is>
      </c>
      <c r="CI1530"/>
      <c r="CJ1530" t="inlineStr">
        <is>
          <t>Paid</t>
        </is>
      </c>
      <c r="CK1530" t="inlineStr">
        <is>
          <t>Not Eligible</t>
        </is>
      </c>
      <c r="CL1530"/>
      <c r="CM1530"/>
    </row>
    <row r="1531" ht="25.5" customHeight="1">
      <c r="A1531" t="inlineStr">
        <is>
          <t>173699</t>
        </is>
      </c>
      <c r="B1531" s="2"/>
      <c r="C1531"/>
      <c r="D1531" s="3">
        <v>46125.65883101852</v>
      </c>
      <c r="E1531" t="inlineStr">
        <is>
          <t>Q2-W02</t>
        </is>
      </c>
      <c r="F1531" t="inlineStr">
        <is>
          <t>Dickson</t>
        </is>
      </c>
      <c r="G1531" t="inlineStr">
        <is>
          <t>Customer</t>
        </is>
      </c>
      <c r="H1531" s="2" t="str">
        <f>=HYPERLINK("https://upbox.ajobthing.my/customer/173699", "https://upbox.ajobthing.my/customer/173699")</f>
        <v>https://upbox.ajobthing.my/customer/173699</v>
      </c>
      <c r="I1531" t="inlineStr">
        <is>
          <t>AUX Cloud Commerce (Malaysia) Sdn Bhd</t>
        </is>
      </c>
      <c r="J1531" t="inlineStr">
        <is>
          <t>Dolphin</t>
        </is>
      </c>
      <c r="K1531" t="inlineStr">
        <is>
          <t>Dickson</t>
        </is>
      </c>
      <c r="L1531" s="4"/>
      <c r="M1531" s="4">
        <v>46125.65895833333</v>
      </c>
      <c r="N1531"/>
      <c r="O1531">
        <v>3888</v>
      </c>
      <c r="P1531" s="4"/>
      <c r="Q1531" s="4">
        <v>45274.556597222225</v>
      </c>
      <c r="R1531"/>
      <c r="S1531">
        <v>954</v>
      </c>
      <c r="T1531" s="4">
        <v>45274.556597222225</v>
      </c>
      <c r="U1531" s="4"/>
      <c r="V1531"/>
      <c r="W1531">
        <v>954</v>
      </c>
      <c r="X1531"/>
      <c r="Y1531" t="inlineStr">
        <is>
          <t>Pending Appointment</t>
        </is>
      </c>
      <c r="Z1531" t="inlineStr">
        <is>
          <t>Hiring Now</t>
        </is>
      </c>
      <c r="AA1531">
        <v>1</v>
      </c>
      <c r="AB1531" t="inlineStr">
        <is>
          <t>No Appointment Made</t>
        </is>
      </c>
      <c r="AC1531"/>
      <c r="AD1531" t="inlineStr">
        <is>
          <t>1 customer service executive</t>
        </is>
      </c>
      <c r="AE1531"/>
      <c r="AF1531"/>
      <c r="AG1531" s="4"/>
      <c r="AH1531" s="4"/>
      <c r="AI1531"/>
      <c r="AJ1531">
        <v>1</v>
      </c>
      <c r="AK1531" t="inlineStr">
        <is>
          <t>No, I don't need at all</t>
        </is>
      </c>
      <c r="AL1531"/>
      <c r="AM1531" t="inlineStr">
        <is>
          <t>No, I don't need at all</t>
        </is>
      </c>
      <c r="AN1531"/>
      <c r="AO1531" t="inlineStr">
        <is>
          <t>No, I don't need at all</t>
        </is>
      </c>
      <c r="AP1531" t="inlineStr">
        <is>
          <t>Once per quarter (75%)</t>
        </is>
      </c>
      <c r="AQ1531"/>
      <c r="AR1531" t="inlineStr">
        <is>
          <t>Free Job Portal</t>
        </is>
      </c>
      <c r="AS1531" t="inlineStr">
        <is>
          <t>- Headcount: 1
- Hiring Job Details: 1 customer service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1531">
        <v>95</v>
      </c>
      <c r="AU1531" t="inlineStr">
        <is>
          <t>0.95</t>
        </is>
      </c>
      <c r="AV1531" t="inlineStr">
        <is>
          <t>5</t>
        </is>
      </c>
      <c r="AW1531" t="inlineStr">
        <is>
          <t>0</t>
        </is>
      </c>
      <c r="AX1531" t="inlineStr">
        <is>
          <t>Not Qualified</t>
        </is>
      </c>
      <c r="AY1531" s="4"/>
      <c r="AZ1531"/>
      <c r="BA1531"/>
      <c r="BB1531"/>
      <c r="BC1531" t="inlineStr">
        <is>
          <t>- Headcount: 1
- Hiring Job Details: 1 customer service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BD1531" s="4">
        <v>46125.666712962964</v>
      </c>
      <c r="BE1531" t="inlineStr">
        <is>
          <t>paid</t>
        </is>
      </c>
      <c r="BF1531"/>
      <c r="BG1531" t="inlineStr">
        <is>
          <t>Reschedule</t>
        </is>
      </c>
      <c r="BH1531" t="inlineStr">
        <is>
          <t>Edward Hoo</t>
        </is>
      </c>
      <c r="BI1531" t="inlineStr">
        <is>
          <t>Business / Mgmt Consulting</t>
        </is>
      </c>
      <c r="BJ1531" s="4">
        <v>46144.75152777778</v>
      </c>
      <c r="BK1531" s="4">
        <v>45272.40373842593</v>
      </c>
      <c r="BL1531" t="inlineStr">
        <is>
          <t>0.0</t>
        </is>
      </c>
      <c r="BM1531" t="inlineStr">
        <is>
          <t>1800.0</t>
        </is>
      </c>
      <c r="BN1531" t="inlineStr">
        <is>
          <t>View Account User</t>
        </is>
      </c>
      <c r="BO1531" s="4">
        <v>45854.50368055556</v>
      </c>
      <c r="BP1531">
        <v>166808</v>
      </c>
      <c r="BQ1531">
        <v>64535</v>
      </c>
      <c r="BR1531" t="inlineStr">
        <is>
          <t>Online</t>
        </is>
      </c>
      <c r="BS1531"/>
      <c r="BT1531">
        <v>64535</v>
      </c>
      <c r="BU1531"/>
      <c r="BV1531">
        <v>2701499</v>
      </c>
      <c r="BW1531" t="inlineStr">
        <is>
          <t>Customer Inquiry</t>
        </is>
      </c>
      <c r="BX1531"/>
      <c r="BY1531"/>
      <c r="BZ1531" s="4"/>
      <c r="CA1531"/>
      <c r="CB1531"/>
      <c r="CC1531" s="4"/>
      <c r="CD1531" t="inlineStr">
        <is>
          <t>5</t>
        </is>
      </c>
      <c r="CE1531" t="inlineStr">
        <is>
          <t>0</t>
        </is>
      </c>
      <c r="CF1531" t="inlineStr">
        <is>
          <t>Q2-W02</t>
        </is>
      </c>
      <c r="CG1531"/>
      <c r="CH1531"/>
      <c r="CI1531"/>
      <c r="CJ1531" t="inlineStr">
        <is>
          <t>Paid</t>
        </is>
      </c>
      <c r="CK1531" t="inlineStr">
        <is>
          <t>Not Eligible</t>
        </is>
      </c>
      <c r="CL1531"/>
      <c r="CM1531"/>
    </row>
    <row r="1532" ht="25.5" customHeight="1">
      <c r="A1532" t="inlineStr">
        <is>
          <t>176802</t>
        </is>
      </c>
      <c r="B1532" s="2"/>
      <c r="C1532"/>
      <c r="D1532" s="3">
        <v>46125.6684837963</v>
      </c>
      <c r="E1532" t="inlineStr">
        <is>
          <t>Q2-W02</t>
        </is>
      </c>
      <c r="F1532" t="inlineStr">
        <is>
          <t>Dickson</t>
        </is>
      </c>
      <c r="G1532" t="inlineStr">
        <is>
          <t>Customer</t>
        </is>
      </c>
      <c r="H1532" s="2" t="str">
        <f>=HYPERLINK("https://upbox.ajobthing.my/customer/176802", "https://upbox.ajobthing.my/customer/176802")</f>
        <v>https://upbox.ajobthing.my/customer/176802</v>
      </c>
      <c r="I1532" t="inlineStr">
        <is>
          <t>Chan Chee Kheong &amp; Brothers Travel Sdn Bhd</t>
        </is>
      </c>
      <c r="J1532" t="inlineStr">
        <is>
          <t>Dolphin</t>
        </is>
      </c>
      <c r="K1532" t="inlineStr">
        <is>
          <t>Dickson</t>
        </is>
      </c>
      <c r="L1532" s="4"/>
      <c r="M1532" s="4">
        <v>46125.66856481481</v>
      </c>
      <c r="N1532"/>
      <c r="O1532">
        <v>1296</v>
      </c>
      <c r="P1532" s="4"/>
      <c r="Q1532" s="4">
        <v>45398.40422453704</v>
      </c>
      <c r="R1532"/>
      <c r="S1532">
        <v>0</v>
      </c>
      <c r="T1532" s="4">
        <v>45370.00001157408</v>
      </c>
      <c r="U1532" s="4"/>
      <c r="V1532"/>
      <c r="W1532">
        <v>2916</v>
      </c>
      <c r="X1532"/>
      <c r="Y1532" t="inlineStr">
        <is>
          <t>Pending Appointment</t>
        </is>
      </c>
      <c r="Z1532" t="inlineStr">
        <is>
          <t>Hiring Now</t>
        </is>
      </c>
      <c r="AA1532">
        <v>1</v>
      </c>
      <c r="AB1532" t="inlineStr">
        <is>
          <t>No Appointment Made</t>
        </is>
      </c>
      <c r="AC1532"/>
      <c r="AD1532" t="inlineStr">
        <is>
          <t>1 senior accountant executive</t>
        </is>
      </c>
      <c r="AE1532"/>
      <c r="AF1532"/>
      <c r="AG1532" s="4"/>
      <c r="AH1532" s="4"/>
      <c r="AI1532"/>
      <c r="AJ1532">
        <v>1</v>
      </c>
      <c r="AK1532" t="inlineStr">
        <is>
          <t>No, I don't need at all</t>
        </is>
      </c>
      <c r="AL1532"/>
      <c r="AM1532" t="inlineStr">
        <is>
          <t>No, I don't need at all</t>
        </is>
      </c>
      <c r="AN1532"/>
      <c r="AO1532" t="inlineStr">
        <is>
          <t>No, I don't need at all</t>
        </is>
      </c>
      <c r="AP1532" t="inlineStr">
        <is>
          <t>Once per quarter (75%)</t>
        </is>
      </c>
      <c r="AQ1532"/>
      <c r="AR1532" t="inlineStr">
        <is>
          <t>Jobstreet</t>
        </is>
      </c>
      <c r="AS1532" t="inlineStr">
        <is>
          <t>- Headcount: 1
- Hiring Job Details: 1 senior accountant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532">
        <v>100</v>
      </c>
      <c r="AU1532" t="inlineStr">
        <is>
          <t>1.00</t>
        </is>
      </c>
      <c r="AV1532" t="inlineStr">
        <is>
          <t>5</t>
        </is>
      </c>
      <c r="AW1532" t="inlineStr">
        <is>
          <t>0</t>
        </is>
      </c>
      <c r="AX1532" t="inlineStr">
        <is>
          <t>Not Qualified</t>
        </is>
      </c>
      <c r="AY1532" s="4"/>
      <c r="AZ1532"/>
      <c r="BA1532"/>
      <c r="BB1532"/>
      <c r="BC1532" t="inlineStr">
        <is>
          <t>still monitoring performance from js
follow up again in 2 weeks</t>
        </is>
      </c>
      <c r="BD1532" s="4">
        <v>46139.76614583333</v>
      </c>
      <c r="BE1532" t="inlineStr">
        <is>
          <t>paid</t>
        </is>
      </c>
      <c r="BF1532"/>
      <c r="BG1532" t="inlineStr">
        <is>
          <t>Reschedule</t>
        </is>
      </c>
      <c r="BH1532" t="inlineStr">
        <is>
          <t>Edward Hoo</t>
        </is>
      </c>
      <c r="BI1532" t="inlineStr">
        <is>
          <t>Travel / Tourism</t>
        </is>
      </c>
      <c r="BJ1532" s="4">
        <v>46144.751655092594</v>
      </c>
      <c r="BK1532" s="4">
        <v>45377.704560185186</v>
      </c>
      <c r="BL1532" t="inlineStr">
        <is>
          <t>0.0</t>
        </is>
      </c>
      <c r="BM1532" t="inlineStr">
        <is>
          <t>600.0</t>
        </is>
      </c>
      <c r="BN1532" t="inlineStr">
        <is>
          <t>View Create Job Page</t>
        </is>
      </c>
      <c r="BO1532" s="4">
        <v>45624.636400462965</v>
      </c>
      <c r="BP1532">
        <v>166814</v>
      </c>
      <c r="BQ1532">
        <v>88458</v>
      </c>
      <c r="BR1532" t="inlineStr">
        <is>
          <t>Proforma</t>
        </is>
      </c>
      <c r="BS1532" t="inlineStr">
        <is>
          <t>SLG 15</t>
        </is>
      </c>
      <c r="BT1532">
        <v>67244</v>
      </c>
      <c r="BU1532"/>
      <c r="BV1532">
        <v>2731608</v>
      </c>
      <c r="BW1532" t="inlineStr">
        <is>
          <t>Follow Up : Quotation Sent 50%</t>
        </is>
      </c>
      <c r="BX1532"/>
      <c r="BY1532"/>
      <c r="BZ1532" s="4"/>
      <c r="CA1532"/>
      <c r="CB1532"/>
      <c r="CC1532" s="4"/>
      <c r="CD1532" t="inlineStr">
        <is>
          <t>5</t>
        </is>
      </c>
      <c r="CE1532" t="inlineStr">
        <is>
          <t>0</t>
        </is>
      </c>
      <c r="CF1532" t="inlineStr">
        <is>
          <t>Q2-W02</t>
        </is>
      </c>
      <c r="CG1532"/>
      <c r="CH1532"/>
      <c r="CI1532"/>
      <c r="CJ1532" t="inlineStr">
        <is>
          <t>Paid</t>
        </is>
      </c>
      <c r="CK1532" t="inlineStr">
        <is>
          <t>Not Eligible</t>
        </is>
      </c>
      <c r="CL1532"/>
      <c r="CM1532"/>
    </row>
    <row r="1533" ht="25.5" customHeight="1">
      <c r="A1533" t="inlineStr">
        <is>
          <t>4276481</t>
        </is>
      </c>
      <c r="B1533" s="2"/>
      <c r="C1533"/>
      <c r="D1533" s="3">
        <v>46125.67903935185</v>
      </c>
      <c r="E1533" t="inlineStr">
        <is>
          <t>Q2-W02</t>
        </is>
      </c>
      <c r="F1533" t="inlineStr">
        <is>
          <t>Alan KY</t>
        </is>
      </c>
      <c r="G1533" t="inlineStr">
        <is>
          <t>Lead</t>
        </is>
      </c>
      <c r="H1533" s="2" t="str">
        <f>=HYPERLINK("https://upbox.ajobthing.my/leads/4276481", "https://upbox.ajobthing.my/leads/4276481")</f>
        <v>https://upbox.ajobthing.my/leads/4276481</v>
      </c>
      <c r="I1533" t="inlineStr">
        <is>
          <t>daikinproshop</t>
        </is>
      </c>
      <c r="J1533" t="inlineStr">
        <is>
          <t>Dolphin</t>
        </is>
      </c>
      <c r="K1533" t="inlineStr">
        <is>
          <t>Alan KY</t>
        </is>
      </c>
      <c r="L1533" s="4"/>
      <c r="M1533" s="4">
        <v>46125.66920138889</v>
      </c>
      <c r="N1533"/>
      <c r="O1533">
        <v>3888</v>
      </c>
      <c r="P1533" s="4"/>
      <c r="Q1533" s="4"/>
      <c r="R1533"/>
      <c r="S1533"/>
      <c r="T1533" s="4"/>
      <c r="U1533" s="4"/>
      <c r="V1533"/>
      <c r="W1533"/>
      <c r="X1533"/>
      <c r="Y1533" t="inlineStr">
        <is>
          <t>Pending Appointment</t>
        </is>
      </c>
      <c r="Z1533" t="inlineStr">
        <is>
          <t>Hiring Now</t>
        </is>
      </c>
      <c r="AA1533">
        <v>4</v>
      </c>
      <c r="AB1533" t="inlineStr">
        <is>
          <t>No Appointment Made</t>
        </is>
      </c>
      <c r="AC1533"/>
      <c r="AD1533" t="inlineStr">
        <is>
          <t xml:space="preserve">1 sales engineer, 3 technician, in Bangsar KL </t>
        </is>
      </c>
      <c r="AE1533"/>
      <c r="AF1533"/>
      <c r="AG1533" s="4"/>
      <c r="AH1533" s="4"/>
      <c r="AI1533"/>
      <c r="AJ1533"/>
      <c r="AK1533" t="inlineStr">
        <is>
          <t>No, I don't need at all</t>
        </is>
      </c>
      <c r="AL1533"/>
      <c r="AM1533" t="inlineStr">
        <is>
          <t>No, I don't need at all</t>
        </is>
      </c>
      <c r="AN1533"/>
      <c r="AO1533" t="inlineStr">
        <is>
          <t>No, I don't need at all</t>
        </is>
      </c>
      <c r="AP1533" t="inlineStr">
        <is>
          <t>Once per quarter (75%)</t>
        </is>
      </c>
      <c r="AQ1533"/>
      <c r="AR1533" t="inlineStr">
        <is>
          <t>Free Job Portal</t>
        </is>
      </c>
      <c r="AS1533" t="inlineStr">
        <is>
          <t>- Headcount: 4
- Hiring Job Details: 1 sales engineer, 3 technician, in Bangsar KL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Free Job Portal</t>
        </is>
      </c>
      <c r="AT1533">
        <v>95</v>
      </c>
      <c r="AU1533" t="inlineStr">
        <is>
          <t>0.95</t>
        </is>
      </c>
      <c r="AV1533" t="inlineStr">
        <is>
          <t>5</t>
        </is>
      </c>
      <c r="AW1533" t="inlineStr">
        <is>
          <t>0</t>
        </is>
      </c>
      <c r="AX1533" t="inlineStr">
        <is>
          <t>Not Qualified</t>
        </is>
      </c>
      <c r="AY1533" s="4"/>
      <c r="AZ1533"/>
      <c r="BA1533"/>
      <c r="BB1533"/>
      <c r="BC1533"/>
      <c r="BD1533" s="4"/>
      <c r="BE1533"/>
      <c r="BF1533"/>
      <c r="BG1533" t="inlineStr">
        <is>
          <t>Reschedule</t>
        </is>
      </c>
      <c r="BH1533" t="inlineStr">
        <is>
          <t>Reagen</t>
        </is>
      </c>
      <c r="BI1533"/>
      <c r="BJ1533" s="4">
        <v>46144.75581018518</v>
      </c>
      <c r="BK1533" s="4">
        <v>46125.5825</v>
      </c>
      <c r="BL1533" t="inlineStr">
        <is>
          <t>0.0</t>
        </is>
      </c>
      <c r="BM1533" t="inlineStr">
        <is>
          <t>0.0</t>
        </is>
      </c>
      <c r="BN1533"/>
      <c r="BO1533" s="4"/>
      <c r="BP1533">
        <v>166815</v>
      </c>
      <c r="BQ1533"/>
      <c r="BR1533"/>
      <c r="BS1533"/>
      <c r="BT1533"/>
      <c r="BU1533"/>
      <c r="BV1533"/>
      <c r="BW1533"/>
      <c r="BX1533"/>
      <c r="BY1533"/>
      <c r="BZ1533" s="4"/>
      <c r="CA1533"/>
      <c r="CB1533"/>
      <c r="CC1533" s="4"/>
      <c r="CD1533" t="inlineStr">
        <is>
          <t>5</t>
        </is>
      </c>
      <c r="CE1533" t="inlineStr">
        <is>
          <t>0</t>
        </is>
      </c>
      <c r="CF1533" t="inlineStr">
        <is>
          <t>Q2-W02</t>
        </is>
      </c>
      <c r="CG1533"/>
      <c r="CH1533"/>
      <c r="CI1533"/>
      <c r="CJ1533" t="inlineStr">
        <is>
          <t>No Paid</t>
        </is>
      </c>
      <c r="CK1533" t="inlineStr">
        <is>
          <t>Not Eligible</t>
        </is>
      </c>
      <c r="CL1533"/>
      <c r="CM1533"/>
    </row>
    <row r="1534" ht="25.5" customHeight="1">
      <c r="A1534" t="inlineStr">
        <is>
          <t>203154</t>
        </is>
      </c>
      <c r="B1534" s="2"/>
      <c r="C1534"/>
      <c r="D1534" s="3">
        <v>46125.681655092594</v>
      </c>
      <c r="E1534" t="inlineStr">
        <is>
          <t>Q2-W02</t>
        </is>
      </c>
      <c r="F1534" t="inlineStr">
        <is>
          <t>Lucas</t>
        </is>
      </c>
      <c r="G1534" t="inlineStr">
        <is>
          <t>Customer</t>
        </is>
      </c>
      <c r="H1534" s="2" t="str">
        <f>=HYPERLINK("https://upbox.ajobthing.my/customer/203154", "https://upbox.ajobthing.my/customer/203154")</f>
        <v>https://upbox.ajobthing.my/customer/203154</v>
      </c>
      <c r="I1534" t="inlineStr">
        <is>
          <t>Sumitomo Electric Hardmetal Asia Pacific Pte Ltd</t>
        </is>
      </c>
      <c r="J1534" t="inlineStr">
        <is>
          <t>Dolphin</t>
        </is>
      </c>
      <c r="K1534" t="inlineStr">
        <is>
          <t>Lucas</t>
        </is>
      </c>
      <c r="L1534" s="4"/>
      <c r="M1534" s="4">
        <v>46125.15392361111</v>
      </c>
      <c r="N1534"/>
      <c r="O1534">
        <v>3888</v>
      </c>
      <c r="P1534" s="4"/>
      <c r="Q1534" s="4">
        <v>46129.656863425924</v>
      </c>
      <c r="R1534"/>
      <c r="S1534">
        <v>0</v>
      </c>
      <c r="T1534" s="4">
        <v>46127.7118287037</v>
      </c>
      <c r="U1534" s="4"/>
      <c r="V1534"/>
      <c r="W1534">
        <v>1296</v>
      </c>
      <c r="X1534"/>
      <c r="Y1534" t="inlineStr">
        <is>
          <t>Pending Appointment</t>
        </is>
      </c>
      <c r="Z1534" t="inlineStr">
        <is>
          <t>Hiring Now</t>
        </is>
      </c>
      <c r="AA1534">
        <v>1</v>
      </c>
      <c r="AB1534" t="inlineStr">
        <is>
          <t>No Appointment Made</t>
        </is>
      </c>
      <c r="AC1534"/>
      <c r="AD1534" t="inlineStr">
        <is>
          <t xml:space="preserve">1 sale </t>
        </is>
      </c>
      <c r="AE1534"/>
      <c r="AF1534">
        <v>0</v>
      </c>
      <c r="AG1534" s="4"/>
      <c r="AH1534" s="4"/>
      <c r="AI1534">
        <v>0</v>
      </c>
      <c r="AJ1534">
        <v>0</v>
      </c>
      <c r="AK1534" t="inlineStr">
        <is>
          <t>No, I don't need at all</t>
        </is>
      </c>
      <c r="AL1534">
        <v>0</v>
      </c>
      <c r="AM1534" t="inlineStr">
        <is>
          <t>No, I don't need at all</t>
        </is>
      </c>
      <c r="AN1534"/>
      <c r="AO1534" t="inlineStr">
        <is>
          <t>No, I don't need at all</t>
        </is>
      </c>
      <c r="AP1534" t="inlineStr">
        <is>
          <t>Once a year (25%)</t>
        </is>
      </c>
      <c r="AQ1534">
        <v>1</v>
      </c>
      <c r="AR1534" t="inlineStr">
        <is>
          <t>Did not use any job portal</t>
        </is>
      </c>
      <c r="AS1534" t="inlineStr">
        <is>
          <t>- Headcount: 1
- Hiring Job Details: 1 sale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534">
        <v>95</v>
      </c>
      <c r="AU1534" t="inlineStr">
        <is>
          <t>0.95</t>
        </is>
      </c>
      <c r="AV1534" t="inlineStr">
        <is>
          <t>15</t>
        </is>
      </c>
      <c r="AW1534" t="inlineStr">
        <is>
          <t>0</t>
        </is>
      </c>
      <c r="AX1534" t="inlineStr">
        <is>
          <t>Not Qualified</t>
        </is>
      </c>
      <c r="AY1534" s="4"/>
      <c r="AZ1534"/>
      <c r="BA1534"/>
      <c r="BB1534"/>
      <c r="BC1534" t="inlineStr">
        <is>
          <t>help to post job</t>
        </is>
      </c>
      <c r="BD1534" s="4">
        <v>46132.39662037037</v>
      </c>
      <c r="BE1534" t="inlineStr">
        <is>
          <t>paid</t>
        </is>
      </c>
      <c r="BF1534" t="inlineStr">
        <is>
          <t>Q2-W02</t>
        </is>
      </c>
      <c r="BG1534" t="inlineStr">
        <is>
          <t>Reschedule</t>
        </is>
      </c>
      <c r="BH1534" t="inlineStr">
        <is>
          <t>Yee Hang</t>
        </is>
      </c>
      <c r="BI1534"/>
      <c r="BJ1534" s="4">
        <v>46144.75423611111</v>
      </c>
      <c r="BK1534" s="4">
        <v>46125.48724537037</v>
      </c>
      <c r="BL1534" t="inlineStr">
        <is>
          <t>1296.0</t>
        </is>
      </c>
      <c r="BM1534" t="inlineStr">
        <is>
          <t>600.0</t>
        </is>
      </c>
      <c r="BN1534" t="inlineStr">
        <is>
          <t>View Notifications</t>
        </is>
      </c>
      <c r="BO1534" s="4">
        <v>46141.58886574074</v>
      </c>
      <c r="BP1534">
        <v>166677</v>
      </c>
      <c r="BQ1534">
        <v>122992</v>
      </c>
      <c r="BR1534" t="inlineStr">
        <is>
          <t>Proforma</t>
        </is>
      </c>
      <c r="BS1534" t="inlineStr">
        <is>
          <t>Free High Pay Job</t>
        </is>
      </c>
      <c r="BT1534">
        <v>93720</v>
      </c>
      <c r="BU1534"/>
      <c r="BV1534">
        <v>2714577</v>
      </c>
      <c r="BW1534" t="inlineStr">
        <is>
          <t>Service / Technical : Help To Post Job</t>
        </is>
      </c>
      <c r="BX1534">
        <v>1</v>
      </c>
      <c r="BY1534">
        <v>0</v>
      </c>
      <c r="BZ1534" s="4">
        <v>46132.39271990741</v>
      </c>
      <c r="CA1534">
        <v>23</v>
      </c>
      <c r="CB1534">
        <v>23</v>
      </c>
      <c r="CC1534" s="4"/>
      <c r="CD1534" t="inlineStr">
        <is>
          <t>20</t>
        </is>
      </c>
      <c r="CE1534" t="inlineStr">
        <is>
          <t>0</t>
        </is>
      </c>
      <c r="CF1534" t="inlineStr">
        <is>
          <t>Q2-W02</t>
        </is>
      </c>
      <c r="CG1534" t="inlineStr">
        <is>
          <t>Q2-W03</t>
        </is>
      </c>
      <c r="CH1534" t="inlineStr">
        <is>
          <t>Q2-W02</t>
        </is>
      </c>
      <c r="CI1534"/>
      <c r="CJ1534" t="inlineStr">
        <is>
          <t>Paid</t>
        </is>
      </c>
      <c r="CK1534" t="inlineStr">
        <is>
          <t>Not Eligible</t>
        </is>
      </c>
      <c r="CL1534"/>
      <c r="CM1534"/>
    </row>
    <row r="1535" ht="25.5" customHeight="1">
      <c r="A1535" t="inlineStr">
        <is>
          <t>203174</t>
        </is>
      </c>
      <c r="B1535" s="2"/>
      <c r="C1535"/>
      <c r="D1535" s="3">
        <v>46125.70104166667</v>
      </c>
      <c r="E1535" t="inlineStr">
        <is>
          <t>Q2-W02</t>
        </is>
      </c>
      <c r="F1535" t="inlineStr">
        <is>
          <t>Janice Yap</t>
        </is>
      </c>
      <c r="G1535" t="inlineStr">
        <is>
          <t>Customer</t>
        </is>
      </c>
      <c r="H1535" s="2" t="str">
        <f>=HYPERLINK("https://upbox.ajobthing.my/customer/203174", "https://upbox.ajobthing.my/customer/203174")</f>
        <v>https://upbox.ajobthing.my/customer/203174</v>
      </c>
      <c r="I1535" t="inlineStr">
        <is>
          <t>Dakwah Digital Network Sdn Bhd</t>
        </is>
      </c>
      <c r="J1535" t="inlineStr">
        <is>
          <t>Dolphin</t>
        </is>
      </c>
      <c r="K1535" t="inlineStr">
        <is>
          <t>Janice</t>
        </is>
      </c>
      <c r="L1535" s="4"/>
      <c r="M1535" s="4">
        <v>46125.69797453703</v>
      </c>
      <c r="N1535"/>
      <c r="O1535">
        <v>3888</v>
      </c>
      <c r="P1535" s="4"/>
      <c r="Q1535" s="4"/>
      <c r="R1535"/>
      <c r="S1535"/>
      <c r="T1535" s="4"/>
      <c r="U1535" s="4"/>
      <c r="V1535"/>
      <c r="W1535"/>
      <c r="X1535"/>
      <c r="Y1535" t="inlineStr">
        <is>
          <t>Pending Appointment</t>
        </is>
      </c>
      <c r="Z1535" t="inlineStr">
        <is>
          <t>Hiring Now</t>
        </is>
      </c>
      <c r="AA1535">
        <v>3</v>
      </c>
      <c r="AB1535" t="inlineStr">
        <is>
          <t>No Appointment Made</t>
        </is>
      </c>
      <c r="AC1535"/>
      <c r="AD1535" t="inlineStr">
        <is>
          <t>1 sales // 1 admin // 1 marketing</t>
        </is>
      </c>
      <c r="AE1535"/>
      <c r="AF1535">
        <v>0</v>
      </c>
      <c r="AG1535" s="4"/>
      <c r="AH1535" s="4"/>
      <c r="AI1535">
        <v>0</v>
      </c>
      <c r="AJ1535"/>
      <c r="AK1535" t="inlineStr">
        <is>
          <t>No, I don't need at all</t>
        </is>
      </c>
      <c r="AL1535">
        <v>0</v>
      </c>
      <c r="AM1535" t="inlineStr">
        <is>
          <t>No, I don't need at all</t>
        </is>
      </c>
      <c r="AN1535"/>
      <c r="AO1535" t="inlineStr">
        <is>
          <t>No, I don't need at all</t>
        </is>
      </c>
      <c r="AP1535" t="inlineStr">
        <is>
          <t>Once a year (25%)</t>
        </is>
      </c>
      <c r="AQ1535">
        <v>3</v>
      </c>
      <c r="AR1535" t="inlineStr">
        <is>
          <t>Free Job Portal</t>
        </is>
      </c>
      <c r="AS1535" t="inlineStr">
        <is>
          <t>- Headcount: 3
- Hiring Job Details: 1 sales, 1 admin, 1 marketing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is>
      </c>
      <c r="AT1535">
        <v>115</v>
      </c>
      <c r="AU1535" t="inlineStr">
        <is>
          <t>1.15</t>
        </is>
      </c>
      <c r="AV1535" t="inlineStr">
        <is>
          <t>15</t>
        </is>
      </c>
      <c r="AW1535" t="inlineStr">
        <is>
          <t>0</t>
        </is>
      </c>
      <c r="AX1535" t="inlineStr">
        <is>
          <t>Not Qualified</t>
        </is>
      </c>
      <c r="AY1535" s="4"/>
      <c r="AZ1535"/>
      <c r="BA1535"/>
      <c r="BB1535"/>
      <c r="BC1535" t="inlineStr">
        <is>
          <t>No answer // no response</t>
        </is>
      </c>
      <c r="BD1535" s="4">
        <v>46141.678564814814</v>
      </c>
      <c r="BE1535"/>
      <c r="BF1535"/>
      <c r="BG1535" t="inlineStr">
        <is>
          <t>Reschedule</t>
        </is>
      </c>
      <c r="BH1535" t="inlineStr">
        <is>
          <t>Yee Hang</t>
        </is>
      </c>
      <c r="BI1535"/>
      <c r="BJ1535" s="4">
        <v>46144.75423611111</v>
      </c>
      <c r="BK1535" s="4">
        <v>46125.673796296294</v>
      </c>
      <c r="BL1535" t="inlineStr">
        <is>
          <t>0.0</t>
        </is>
      </c>
      <c r="BM1535" t="inlineStr">
        <is>
          <t>0.0</t>
        </is>
      </c>
      <c r="BN1535" t="inlineStr">
        <is>
          <t>User Register</t>
        </is>
      </c>
      <c r="BO1535" s="4">
        <v>46125.67380787037</v>
      </c>
      <c r="BP1535">
        <v>166827</v>
      </c>
      <c r="BQ1535"/>
      <c r="BR1535"/>
      <c r="BS1535"/>
      <c r="BT1535"/>
      <c r="BU1535"/>
      <c r="BV1535">
        <v>2735864</v>
      </c>
      <c r="BW1535" t="inlineStr">
        <is>
          <t>No Answer : 3 Days No Response</t>
        </is>
      </c>
      <c r="BX1535"/>
      <c r="BY1535"/>
      <c r="BZ1535" s="4"/>
      <c r="CA1535"/>
      <c r="CB1535"/>
      <c r="CC1535" s="4"/>
      <c r="CD1535" t="inlineStr">
        <is>
          <t>20</t>
        </is>
      </c>
      <c r="CE1535" t="inlineStr">
        <is>
          <t>0</t>
        </is>
      </c>
      <c r="CF1535" t="inlineStr">
        <is>
          <t>Q2-W02</t>
        </is>
      </c>
      <c r="CG1535"/>
      <c r="CH1535"/>
      <c r="CI1535"/>
      <c r="CJ1535" t="inlineStr">
        <is>
          <t>No Paid</t>
        </is>
      </c>
      <c r="CK1535" t="inlineStr">
        <is>
          <t>Not Eligible</t>
        </is>
      </c>
      <c r="CL1535"/>
      <c r="CM1535"/>
    </row>
    <row r="1536" ht="25.5" customHeight="1">
      <c r="A1536" t="inlineStr">
        <is>
          <t>193641</t>
        </is>
      </c>
      <c r="B1536" s="2"/>
      <c r="C1536"/>
      <c r="D1536" s="3">
        <v>46125.701574074075</v>
      </c>
      <c r="E1536" t="inlineStr">
        <is>
          <t>Q2-W02</t>
        </is>
      </c>
      <c r="F1536" t="inlineStr">
        <is>
          <t>Xin Hui</t>
        </is>
      </c>
      <c r="G1536" t="inlineStr">
        <is>
          <t>Customer</t>
        </is>
      </c>
      <c r="H1536" s="2" t="str">
        <f>=HYPERLINK("https://upbox.ajobthing.my/customer/193641", "https://upbox.ajobthing.my/customer/193641")</f>
        <v>https://upbox.ajobthing.my/customer/193641</v>
      </c>
      <c r="I1536" t="inlineStr">
        <is>
          <t>Gm Diversity (malaysia) Sdn Bhd</t>
        </is>
      </c>
      <c r="J1536" t="inlineStr">
        <is>
          <t>Dolphin</t>
        </is>
      </c>
      <c r="K1536" t="inlineStr">
        <is>
          <t>Xin Hui</t>
        </is>
      </c>
      <c r="L1536" s="4"/>
      <c r="M1536" s="4">
        <v>46125.69940972222</v>
      </c>
      <c r="N1536"/>
      <c r="O1536">
        <v>3888</v>
      </c>
      <c r="P1536" s="4"/>
      <c r="Q1536" s="4"/>
      <c r="R1536"/>
      <c r="S1536"/>
      <c r="T1536" s="4"/>
      <c r="U1536" s="4"/>
      <c r="V1536"/>
      <c r="W1536"/>
      <c r="X1536"/>
      <c r="Y1536" t="inlineStr">
        <is>
          <t>Pending Appointment</t>
        </is>
      </c>
      <c r="Z1536" t="inlineStr">
        <is>
          <t>Hiring Later</t>
        </is>
      </c>
      <c r="AA1536">
        <v>1</v>
      </c>
      <c r="AB1536" t="inlineStr">
        <is>
          <t>No Appointment Made</t>
        </is>
      </c>
      <c r="AC1536"/>
      <c r="AD1536" t="inlineStr">
        <is>
          <t>Admin</t>
        </is>
      </c>
      <c r="AE1536"/>
      <c r="AF1536">
        <v>0</v>
      </c>
      <c r="AG1536" s="4"/>
      <c r="AH1536" s="4"/>
      <c r="AI1536">
        <v>0</v>
      </c>
      <c r="AJ1536"/>
      <c r="AK1536" t="inlineStr">
        <is>
          <t>No, I don't need at all</t>
        </is>
      </c>
      <c r="AL1536"/>
      <c r="AM1536" t="inlineStr">
        <is>
          <t>No, I don't need at all</t>
        </is>
      </c>
      <c r="AN1536"/>
      <c r="AO1536" t="inlineStr">
        <is>
          <t>No, I don't need at all</t>
        </is>
      </c>
      <c r="AP1536" t="inlineStr">
        <is>
          <t>Once a year (25%)</t>
        </is>
      </c>
      <c r="AQ1536"/>
      <c r="AR1536"/>
      <c r="AS1536" t="inlineStr">
        <is>
          <t>- Headcount: 1
- Hiring Job Details: Admin
- Hiring Urgency: Hiring Later
- Number of outlets: N/A
- Have recruiter team: No, I don't need at all
- Number of recruiter in company: N/A
- Have ATS system: No, I don't need at all
- Have career website: No, I don't need at all
- Current hiring budget: RM0.00
- Whole year budget: RM0.00
- Whole year number of vacancies: N/A
- Hiring frequency: Once a year (25%)
- External job portal: N/A</t>
        </is>
      </c>
      <c r="AT1536">
        <v>75</v>
      </c>
      <c r="AU1536" t="inlineStr">
        <is>
          <t>0.75</t>
        </is>
      </c>
      <c r="AV1536" t="inlineStr">
        <is>
          <t>15</t>
        </is>
      </c>
      <c r="AW1536" t="inlineStr">
        <is>
          <t>0</t>
        </is>
      </c>
      <c r="AX1536" t="inlineStr">
        <is>
          <t>Not Qualified</t>
        </is>
      </c>
      <c r="AY1536" s="4"/>
      <c r="AZ1536"/>
      <c r="BA1536"/>
      <c r="BB1536"/>
      <c r="BC1536" t="inlineStr">
        <is>
          <t>not hiring</t>
        </is>
      </c>
      <c r="BD1536" s="4">
        <v>46133.64324074074</v>
      </c>
      <c r="BE1536"/>
      <c r="BF1536"/>
      <c r="BG1536" t="inlineStr">
        <is>
          <t>Reschedule</t>
        </is>
      </c>
      <c r="BH1536" t="inlineStr">
        <is>
          <t>Yee Hang</t>
        </is>
      </c>
      <c r="BI1536"/>
      <c r="BJ1536" s="4">
        <v>46144.75263888889</v>
      </c>
      <c r="BK1536" s="4">
        <v>45849.54767361111</v>
      </c>
      <c r="BL1536" t="inlineStr">
        <is>
          <t>0.0</t>
        </is>
      </c>
      <c r="BM1536" t="inlineStr">
        <is>
          <t>1200.0</t>
        </is>
      </c>
      <c r="BN1536" t="inlineStr">
        <is>
          <t>View Create Job Page</t>
        </is>
      </c>
      <c r="BO1536" s="4">
        <v>45849.555347222224</v>
      </c>
      <c r="BP1536">
        <v>166829</v>
      </c>
      <c r="BQ1536"/>
      <c r="BR1536"/>
      <c r="BS1536"/>
      <c r="BT1536"/>
      <c r="BU1536"/>
      <c r="BV1536">
        <v>2718514</v>
      </c>
      <c r="BW1536" t="inlineStr">
        <is>
          <t>Follow Up : Lost - Free Portal</t>
        </is>
      </c>
      <c r="BX1536"/>
      <c r="BY1536"/>
      <c r="BZ1536" s="4"/>
      <c r="CA1536"/>
      <c r="CB1536"/>
      <c r="CC1536" s="4"/>
      <c r="CD1536" t="inlineStr">
        <is>
          <t>20</t>
        </is>
      </c>
      <c r="CE1536" t="inlineStr">
        <is>
          <t>0</t>
        </is>
      </c>
      <c r="CF1536" t="inlineStr">
        <is>
          <t>Q2-W02</t>
        </is>
      </c>
      <c r="CG1536"/>
      <c r="CH1536"/>
      <c r="CI1536"/>
      <c r="CJ1536" t="inlineStr">
        <is>
          <t>No Paid</t>
        </is>
      </c>
      <c r="CK1536" t="inlineStr">
        <is>
          <t>Not Eligible</t>
        </is>
      </c>
      <c r="CL1536"/>
      <c r="CM1536"/>
    </row>
    <row r="1537" ht="25.5" customHeight="1">
      <c r="A1537" t="inlineStr">
        <is>
          <t>187562</t>
        </is>
      </c>
      <c r="B1537" s="2"/>
      <c r="C1537"/>
      <c r="D1537" s="3">
        <v>46125.70210648148</v>
      </c>
      <c r="E1537" t="inlineStr">
        <is>
          <t>Q2-W02</t>
        </is>
      </c>
      <c r="F1537" t="inlineStr">
        <is>
          <t>Jia Hui</t>
        </is>
      </c>
      <c r="G1537" t="inlineStr">
        <is>
          <t>Customer</t>
        </is>
      </c>
      <c r="H1537" s="2" t="str">
        <f>=HYPERLINK("https://upbox.ajobthing.my/customer/187562", "https://upbox.ajobthing.my/customer/187562")</f>
        <v>https://upbox.ajobthing.my/customer/187562</v>
      </c>
      <c r="I1537" t="inlineStr">
        <is>
          <t>Hup Hin Genuine Auto Parts Sdn Bhd</t>
        </is>
      </c>
      <c r="J1537" t="inlineStr">
        <is>
          <t>Dolphin</t>
        </is>
      </c>
      <c r="K1537" t="inlineStr">
        <is>
          <t>Jia Hui</t>
        </is>
      </c>
      <c r="L1537" s="4"/>
      <c r="M1537" s="4">
        <v>46125.70217592592</v>
      </c>
      <c r="N1537"/>
      <c r="O1537">
        <v>3888</v>
      </c>
      <c r="P1537" s="4"/>
      <c r="Q1537" s="4">
        <v>45702.70416666667</v>
      </c>
      <c r="R1537"/>
      <c r="S1537">
        <v>648</v>
      </c>
      <c r="T1537" s="4">
        <v>45702.70416666667</v>
      </c>
      <c r="U1537" s="4"/>
      <c r="V1537"/>
      <c r="W1537">
        <v>648</v>
      </c>
      <c r="X1537"/>
      <c r="Y1537" t="inlineStr">
        <is>
          <t>Pending Appointment</t>
        </is>
      </c>
      <c r="Z1537" t="inlineStr">
        <is>
          <t>Hiring Now</t>
        </is>
      </c>
      <c r="AA1537">
        <v>2</v>
      </c>
      <c r="AB1537" t="inlineStr">
        <is>
          <t>No Appointment Made</t>
        </is>
      </c>
      <c r="AC1537"/>
      <c r="AD1537" t="inlineStr">
        <is>
          <t>1 admin, 1 warehouse assistant</t>
        </is>
      </c>
      <c r="AE1537"/>
      <c r="AF1537">
        <v>500</v>
      </c>
      <c r="AG1537" s="4"/>
      <c r="AH1537" s="4"/>
      <c r="AI1537"/>
      <c r="AJ1537"/>
      <c r="AK1537" t="inlineStr">
        <is>
          <t>No, but I want in future</t>
        </is>
      </c>
      <c r="AL1537"/>
      <c r="AM1537"/>
      <c r="AN1537"/>
      <c r="AO1537"/>
      <c r="AP1537" t="inlineStr">
        <is>
          <t>Once a year (25%)</t>
        </is>
      </c>
      <c r="AQ1537"/>
      <c r="AR1537"/>
      <c r="AS1537" t="inlineStr">
        <is>
          <t>- Headcount: 2
- Hiring Job Details: 1 admin, 1 warehouse assistant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is>
      </c>
      <c r="AT1537">
        <v>95</v>
      </c>
      <c r="AU1537" t="inlineStr">
        <is>
          <t>0.95</t>
        </is>
      </c>
      <c r="AV1537" t="inlineStr">
        <is>
          <t>15</t>
        </is>
      </c>
      <c r="AW1537" t="inlineStr">
        <is>
          <t>0</t>
        </is>
      </c>
      <c r="AX1537" t="inlineStr">
        <is>
          <t>Not Qualified</t>
        </is>
      </c>
      <c r="AY1537" s="4"/>
      <c r="AZ1537"/>
      <c r="BA1537"/>
      <c r="BB1537"/>
      <c r="BC1537" t="inlineStr">
        <is>
          <t>already fulfilled the position, introduce by friend</t>
        </is>
      </c>
      <c r="BD1537" s="4">
        <v>46132.63311342592</v>
      </c>
      <c r="BE1537" t="inlineStr">
        <is>
          <t>paid</t>
        </is>
      </c>
      <c r="BF1537"/>
      <c r="BG1537" t="inlineStr">
        <is>
          <t>Reschedule</t>
        </is>
      </c>
      <c r="BH1537" t="inlineStr">
        <is>
          <t>Reagen</t>
        </is>
      </c>
      <c r="BI1537" t="inlineStr">
        <is>
          <t>General / Wholesale Trading</t>
        </is>
      </c>
      <c r="BJ1537" s="4">
        <v>46144.752175925925</v>
      </c>
      <c r="BK1537" s="4">
        <v>45700.65451388889</v>
      </c>
      <c r="BL1537" t="inlineStr">
        <is>
          <t>0.0</t>
        </is>
      </c>
      <c r="BM1537" t="inlineStr">
        <is>
          <t>0.0</t>
        </is>
      </c>
      <c r="BN1537" t="inlineStr">
        <is>
          <t>PA Visit - Job Card</t>
        </is>
      </c>
      <c r="BO1537" s="4">
        <v>45728.54314814815</v>
      </c>
      <c r="BP1537">
        <v>166832</v>
      </c>
      <c r="BQ1537">
        <v>76780</v>
      </c>
      <c r="BR1537" t="inlineStr">
        <is>
          <t>Online</t>
        </is>
      </c>
      <c r="BS1537"/>
      <c r="BT1537">
        <v>76780</v>
      </c>
      <c r="BU1537"/>
      <c r="BV1537">
        <v>2715944</v>
      </c>
      <c r="BW1537" t="inlineStr">
        <is>
          <t>Follow Up : Lost - Free Portal</t>
        </is>
      </c>
      <c r="BX1537"/>
      <c r="BY1537"/>
      <c r="BZ1537" s="4"/>
      <c r="CA1537"/>
      <c r="CB1537"/>
      <c r="CC1537" s="4"/>
      <c r="CD1537" t="inlineStr">
        <is>
          <t>20</t>
        </is>
      </c>
      <c r="CE1537" t="inlineStr">
        <is>
          <t>0</t>
        </is>
      </c>
      <c r="CF1537" t="inlineStr">
        <is>
          <t>Q2-W02</t>
        </is>
      </c>
      <c r="CG1537"/>
      <c r="CH1537"/>
      <c r="CI1537"/>
      <c r="CJ1537" t="inlineStr">
        <is>
          <t>Paid</t>
        </is>
      </c>
      <c r="CK1537" t="inlineStr">
        <is>
          <t>Not Eligible</t>
        </is>
      </c>
      <c r="CL1537"/>
      <c r="CM1537"/>
    </row>
    <row r="1538" ht="25.5" customHeight="1">
      <c r="A1538" t="inlineStr">
        <is>
          <t>173985</t>
        </is>
      </c>
      <c r="B1538" s="2"/>
      <c r="C1538"/>
      <c r="D1538" s="3">
        <v>46125.70689814815</v>
      </c>
      <c r="E1538" t="inlineStr">
        <is>
          <t>Q2-W02</t>
        </is>
      </c>
      <c r="F1538" t="inlineStr">
        <is>
          <t>Dickson</t>
        </is>
      </c>
      <c r="G1538" t="inlineStr">
        <is>
          <t>Customer</t>
        </is>
      </c>
      <c r="H1538" s="2" t="str">
        <f>=HYPERLINK("https://upbox.ajobthing.my/customer/173985", "https://upbox.ajobthing.my/customer/173985")</f>
        <v>https://upbox.ajobthing.my/customer/173985</v>
      </c>
      <c r="I1538" t="inlineStr">
        <is>
          <t>Wan Ly Protective Packaging Sdn. Bhd.</t>
        </is>
      </c>
      <c r="J1538" t="inlineStr">
        <is>
          <t>Dolphin</t>
        </is>
      </c>
      <c r="K1538" t="inlineStr">
        <is>
          <t>Dickson</t>
        </is>
      </c>
      <c r="L1538" s="4"/>
      <c r="M1538" s="4">
        <v>46125.707141203704</v>
      </c>
      <c r="N1538"/>
      <c r="O1538">
        <v>3888</v>
      </c>
      <c r="P1538" s="4"/>
      <c r="Q1538" s="4">
        <v>45282.59008101852</v>
      </c>
      <c r="R1538"/>
      <c r="S1538">
        <v>1908</v>
      </c>
      <c r="T1538" s="4">
        <v>45280.00001157408</v>
      </c>
      <c r="U1538" s="4"/>
      <c r="V1538"/>
      <c r="W1538">
        <v>1908</v>
      </c>
      <c r="X1538"/>
      <c r="Y1538" t="inlineStr">
        <is>
          <t>Pending Appointment</t>
        </is>
      </c>
      <c r="Z1538" t="inlineStr">
        <is>
          <t>Hiring Now</t>
        </is>
      </c>
      <c r="AA1538">
        <v>5</v>
      </c>
      <c r="AB1538" t="inlineStr">
        <is>
          <t>No Appointment Made</t>
        </is>
      </c>
      <c r="AC1538"/>
      <c r="AD1538" t="inlineStr">
        <is>
          <t>5 lorry driver</t>
        </is>
      </c>
      <c r="AE1538"/>
      <c r="AF1538"/>
      <c r="AG1538" s="4"/>
      <c r="AH1538" s="4"/>
      <c r="AI1538"/>
      <c r="AJ1538">
        <v>1</v>
      </c>
      <c r="AK1538" t="inlineStr">
        <is>
          <t>No, I don't need at all</t>
        </is>
      </c>
      <c r="AL1538"/>
      <c r="AM1538" t="inlineStr">
        <is>
          <t>No, I don't need at all</t>
        </is>
      </c>
      <c r="AN1538"/>
      <c r="AO1538" t="inlineStr">
        <is>
          <t>No, I don't need at all</t>
        </is>
      </c>
      <c r="AP1538" t="inlineStr">
        <is>
          <t>Once per quarter (75%)</t>
        </is>
      </c>
      <c r="AQ1538"/>
      <c r="AR1538" t="inlineStr">
        <is>
          <t>Free Job Portal</t>
        </is>
      </c>
      <c r="AS1538" t="inlineStr">
        <is>
          <t>- Headcount: 5
- Hiring Job Details: 5 lorry driver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1538">
        <v>95</v>
      </c>
      <c r="AU1538" t="inlineStr">
        <is>
          <t>0.95</t>
        </is>
      </c>
      <c r="AV1538" t="inlineStr">
        <is>
          <t>10</t>
        </is>
      </c>
      <c r="AW1538" t="inlineStr">
        <is>
          <t>0</t>
        </is>
      </c>
      <c r="AX1538" t="inlineStr">
        <is>
          <t>Not Qualified</t>
        </is>
      </c>
      <c r="AY1538" s="4"/>
      <c r="AZ1538"/>
      <c r="BA1538"/>
      <c r="BB1538"/>
      <c r="BC1538" t="inlineStr">
        <is>
          <t>will use mfj first</t>
        </is>
      </c>
      <c r="BD1538" s="4">
        <v>46133.47300925926</v>
      </c>
      <c r="BE1538" t="inlineStr">
        <is>
          <t>paid</t>
        </is>
      </c>
      <c r="BF1538"/>
      <c r="BG1538" t="inlineStr">
        <is>
          <t>Reschedule</t>
        </is>
      </c>
      <c r="BH1538" t="inlineStr">
        <is>
          <t>Edward Hoo</t>
        </is>
      </c>
      <c r="BI1538" t="inlineStr">
        <is>
          <t>Manufacturing / Production</t>
        </is>
      </c>
      <c r="BJ1538" s="4">
        <v>46144.75152777778</v>
      </c>
      <c r="BK1538" s="4">
        <v>45282.58356481481</v>
      </c>
      <c r="BL1538" t="inlineStr">
        <is>
          <t>0.0</t>
        </is>
      </c>
      <c r="BM1538" t="inlineStr">
        <is>
          <t>1200.0</t>
        </is>
      </c>
      <c r="BN1538" t="inlineStr">
        <is>
          <t>View Company Page</t>
        </is>
      </c>
      <c r="BO1538" s="4">
        <v>45470.65908564815</v>
      </c>
      <c r="BP1538">
        <v>166833</v>
      </c>
      <c r="BQ1538">
        <v>84074</v>
      </c>
      <c r="BR1538" t="inlineStr">
        <is>
          <t>Proforma</t>
        </is>
      </c>
      <c r="BS1538" t="inlineStr">
        <is>
          <t>Standard Package Christmas Promo</t>
        </is>
      </c>
      <c r="BT1538">
        <v>64731</v>
      </c>
      <c r="BU1538"/>
      <c r="BV1538">
        <v>2717405</v>
      </c>
      <c r="BW1538" t="inlineStr">
        <is>
          <t>Follow Up : Lost - Free Portal</t>
        </is>
      </c>
      <c r="BX1538"/>
      <c r="BY1538"/>
      <c r="BZ1538" s="4"/>
      <c r="CA1538"/>
      <c r="CB1538"/>
      <c r="CC1538" s="4"/>
      <c r="CD1538" t="inlineStr">
        <is>
          <t>15</t>
        </is>
      </c>
      <c r="CE1538" t="inlineStr">
        <is>
          <t>0</t>
        </is>
      </c>
      <c r="CF1538" t="inlineStr">
        <is>
          <t>Q2-W02</t>
        </is>
      </c>
      <c r="CG1538"/>
      <c r="CH1538"/>
      <c r="CI1538"/>
      <c r="CJ1538" t="inlineStr">
        <is>
          <t>Paid</t>
        </is>
      </c>
      <c r="CK1538" t="inlineStr">
        <is>
          <t>Not Eligible</t>
        </is>
      </c>
      <c r="CL1538"/>
      <c r="CM1538"/>
    </row>
    <row r="1539" ht="25.5" customHeight="1">
      <c r="A1539" t="inlineStr">
        <is>
          <t>203136</t>
        </is>
      </c>
      <c r="B1539" s="2"/>
      <c r="C1539"/>
      <c r="D1539" s="3">
        <v>46125.70994212963</v>
      </c>
      <c r="E1539" t="inlineStr">
        <is>
          <t>Q2-W02</t>
        </is>
      </c>
      <c r="F1539" t="inlineStr">
        <is>
          <t>Janice Yap</t>
        </is>
      </c>
      <c r="G1539" t="inlineStr">
        <is>
          <t>Customer</t>
        </is>
      </c>
      <c r="H1539" s="2" t="str">
        <f>=HYPERLINK("https://upbox.ajobthing.my/customer/203136", "https://upbox.ajobthing.my/customer/203136")</f>
        <v>https://upbox.ajobthing.my/customer/203136</v>
      </c>
      <c r="I1539" t="inlineStr">
        <is>
          <t xml:space="preserve">Spearhead Marketing </t>
        </is>
      </c>
      <c r="J1539" t="inlineStr">
        <is>
          <t>Dolphin</t>
        </is>
      </c>
      <c r="K1539" t="inlineStr">
        <is>
          <t>Janice</t>
        </is>
      </c>
      <c r="L1539" s="4"/>
      <c r="M1539" s="4">
        <v>46125.70738425926</v>
      </c>
      <c r="N1539"/>
      <c r="O1539">
        <v>3888</v>
      </c>
      <c r="P1539" s="4"/>
      <c r="Q1539" s="4"/>
      <c r="R1539"/>
      <c r="S1539"/>
      <c r="T1539" s="4"/>
      <c r="U1539" s="4"/>
      <c r="V1539"/>
      <c r="W1539"/>
      <c r="X1539"/>
      <c r="Y1539" t="inlineStr">
        <is>
          <t>Pending Appointment</t>
        </is>
      </c>
      <c r="Z1539" t="inlineStr">
        <is>
          <t>Hiring Now</t>
        </is>
      </c>
      <c r="AA1539">
        <v>3</v>
      </c>
      <c r="AB1539" t="inlineStr">
        <is>
          <t>No Appointment Made</t>
        </is>
      </c>
      <c r="AC1539"/>
      <c r="AD1539" t="inlineStr">
        <is>
          <t>3 sales &amp; marketing</t>
        </is>
      </c>
      <c r="AE1539"/>
      <c r="AF1539">
        <v>0</v>
      </c>
      <c r="AG1539" s="4"/>
      <c r="AH1539" s="4"/>
      <c r="AI1539">
        <v>0</v>
      </c>
      <c r="AJ1539"/>
      <c r="AK1539" t="inlineStr">
        <is>
          <t>No, I don't need at all</t>
        </is>
      </c>
      <c r="AL1539">
        <v>0</v>
      </c>
      <c r="AM1539" t="inlineStr">
        <is>
          <t>No, I don't need at all</t>
        </is>
      </c>
      <c r="AN1539"/>
      <c r="AO1539" t="inlineStr">
        <is>
          <t>No, I don't need at all</t>
        </is>
      </c>
      <c r="AP1539" t="inlineStr">
        <is>
          <t>Once a year (25%)</t>
        </is>
      </c>
      <c r="AQ1539">
        <v>3</v>
      </c>
      <c r="AR1539" t="inlineStr">
        <is>
          <t>Linkedin (Paid)</t>
        </is>
      </c>
      <c r="AS1539" t="inlineStr">
        <is>
          <t>- Headcount: 3
- Hiring Job Details: 3 sales &amp; marketing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Linkedin (Paid)</t>
        </is>
      </c>
      <c r="AT1539">
        <v>110</v>
      </c>
      <c r="AU1539" t="inlineStr">
        <is>
          <t>1.10</t>
        </is>
      </c>
      <c r="AV1539" t="inlineStr">
        <is>
          <t>15</t>
        </is>
      </c>
      <c r="AW1539" t="inlineStr">
        <is>
          <t>0</t>
        </is>
      </c>
      <c r="AX1539" t="inlineStr">
        <is>
          <t>Not Qualified</t>
        </is>
      </c>
      <c r="AY1539" s="4"/>
      <c r="AZ1539"/>
      <c r="BA1539"/>
      <c r="BB1539"/>
      <c r="BC1539" t="inlineStr">
        <is>
          <t>No need post job now // lost</t>
        </is>
      </c>
      <c r="BD1539" s="4">
        <v>46135.487222222226</v>
      </c>
      <c r="BE1539"/>
      <c r="BF1539"/>
      <c r="BG1539" t="inlineStr">
        <is>
          <t>Reschedule</t>
        </is>
      </c>
      <c r="BH1539" t="inlineStr">
        <is>
          <t>Yee Hang</t>
        </is>
      </c>
      <c r="BI1539"/>
      <c r="BJ1539" s="4">
        <v>46144.75423611111</v>
      </c>
      <c r="BK1539" s="4">
        <v>46124.379965277774</v>
      </c>
      <c r="BL1539" t="inlineStr">
        <is>
          <t>0.0</t>
        </is>
      </c>
      <c r="BM1539" t="inlineStr">
        <is>
          <t>0.0</t>
        </is>
      </c>
      <c r="BN1539" t="inlineStr">
        <is>
          <t>View Company Page</t>
        </is>
      </c>
      <c r="BO1539" s="4">
        <v>46124.38837962963</v>
      </c>
      <c r="BP1539">
        <v>166834</v>
      </c>
      <c r="BQ1539"/>
      <c r="BR1539"/>
      <c r="BS1539"/>
      <c r="BT1539"/>
      <c r="BU1539"/>
      <c r="BV1539">
        <v>2722927</v>
      </c>
      <c r="BW1539" t="inlineStr">
        <is>
          <t>Follow Up : Lost - Free Portal</t>
        </is>
      </c>
      <c r="BX1539"/>
      <c r="BY1539"/>
      <c r="BZ1539" s="4"/>
      <c r="CA1539"/>
      <c r="CB1539"/>
      <c r="CC1539" s="4"/>
      <c r="CD1539" t="inlineStr">
        <is>
          <t>20</t>
        </is>
      </c>
      <c r="CE1539" t="inlineStr">
        <is>
          <t>0</t>
        </is>
      </c>
      <c r="CF1539" t="inlineStr">
        <is>
          <t>Q2-W02</t>
        </is>
      </c>
      <c r="CG1539"/>
      <c r="CH1539"/>
      <c r="CI1539"/>
      <c r="CJ1539" t="inlineStr">
        <is>
          <t>No Paid</t>
        </is>
      </c>
      <c r="CK1539" t="inlineStr">
        <is>
          <t>Not Eligible</t>
        </is>
      </c>
      <c r="CL1539"/>
      <c r="CM1539"/>
    </row>
    <row r="1540" ht="25.5" customHeight="1">
      <c r="A1540" t="inlineStr">
        <is>
          <t>119574</t>
        </is>
      </c>
      <c r="B1540" s="2"/>
      <c r="C1540"/>
      <c r="D1540" s="3">
        <v>46125.71063657408</v>
      </c>
      <c r="E1540" t="inlineStr">
        <is>
          <t>Q2-W02</t>
        </is>
      </c>
      <c r="F1540" t="inlineStr">
        <is>
          <t>Alan KY</t>
        </is>
      </c>
      <c r="G1540" t="inlineStr">
        <is>
          <t>Customer</t>
        </is>
      </c>
      <c r="H1540" s="2" t="str">
        <f>=HYPERLINK("https://upbox.ajobthing.my/customer/119574", "https://upbox.ajobthing.my/customer/119574")</f>
        <v>https://upbox.ajobthing.my/customer/119574</v>
      </c>
      <c r="I1540" t="inlineStr">
        <is>
          <t>Big Battery Sdn Bhd</t>
        </is>
      </c>
      <c r="J1540" t="inlineStr">
        <is>
          <t>Dolphin</t>
        </is>
      </c>
      <c r="K1540" t="inlineStr">
        <is>
          <t>Alan KY</t>
        </is>
      </c>
      <c r="L1540" s="4"/>
      <c r="M1540" s="4">
        <v>46125.57979166666</v>
      </c>
      <c r="N1540"/>
      <c r="O1540">
        <v>3888</v>
      </c>
      <c r="P1540" s="4"/>
      <c r="Q1540" s="4">
        <v>44181.669594907406</v>
      </c>
      <c r="R1540"/>
      <c r="S1540">
        <v>1484</v>
      </c>
      <c r="T1540" s="4">
        <v>44181.669594907406</v>
      </c>
      <c r="U1540" s="4"/>
      <c r="V1540"/>
      <c r="W1540">
        <v>1484</v>
      </c>
      <c r="X1540"/>
      <c r="Y1540" t="inlineStr">
        <is>
          <t>Pending Appointment</t>
        </is>
      </c>
      <c r="Z1540" t="inlineStr">
        <is>
          <t>Hiring Now</t>
        </is>
      </c>
      <c r="AA1540">
        <v>4</v>
      </c>
      <c r="AB1540" t="inlineStr">
        <is>
          <t>No Appointment Made</t>
        </is>
      </c>
      <c r="AC1540"/>
      <c r="AD1540" t="inlineStr">
        <is>
          <t xml:space="preserve">3 technician , 1 admin. in puchong selangor </t>
        </is>
      </c>
      <c r="AE1540"/>
      <c r="AF1540"/>
      <c r="AG1540" s="4"/>
      <c r="AH1540" s="4"/>
      <c r="AI1540"/>
      <c r="AJ1540"/>
      <c r="AK1540" t="inlineStr">
        <is>
          <t>No, I don't need at all</t>
        </is>
      </c>
      <c r="AL1540"/>
      <c r="AM1540" t="inlineStr">
        <is>
          <t>No, I don't need at all</t>
        </is>
      </c>
      <c r="AN1540"/>
      <c r="AO1540" t="inlineStr">
        <is>
          <t>No, I don't need at all</t>
        </is>
      </c>
      <c r="AP1540" t="inlineStr">
        <is>
          <t>Once per quarter (75%)</t>
        </is>
      </c>
      <c r="AQ1540"/>
      <c r="AR1540" t="inlineStr">
        <is>
          <t>Jobstreet</t>
        </is>
      </c>
      <c r="AS1540" t="inlineStr">
        <is>
          <t>- Headcount: 4
- Hiring Job Details: 3 technician, 1 admin in Puchong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is>
      </c>
      <c r="AT1540">
        <v>95</v>
      </c>
      <c r="AU1540" t="inlineStr">
        <is>
          <t>0.95</t>
        </is>
      </c>
      <c r="AV1540" t="inlineStr">
        <is>
          <t>5</t>
        </is>
      </c>
      <c r="AW1540" t="inlineStr">
        <is>
          <t>0</t>
        </is>
      </c>
      <c r="AX1540" t="inlineStr">
        <is>
          <t>Not Qualified</t>
        </is>
      </c>
      <c r="AY1540" s="4"/>
      <c r="AZ1540"/>
      <c r="BA1540"/>
      <c r="BB1540"/>
      <c r="BC1540" t="inlineStr">
        <is>
          <t>Small business, prefer cheaper way</t>
        </is>
      </c>
      <c r="BD1540" s="4">
        <v>46127.74883101852</v>
      </c>
      <c r="BE1540" t="inlineStr">
        <is>
          <t>paid</t>
        </is>
      </c>
      <c r="BF1540"/>
      <c r="BG1540" t="inlineStr">
        <is>
          <t>Reschedule</t>
        </is>
      </c>
      <c r="BH1540" t="inlineStr">
        <is>
          <t>Reagen</t>
        </is>
      </c>
      <c r="BI1540" t="inlineStr">
        <is>
          <t>Automobile / Automotive</t>
        </is>
      </c>
      <c r="BJ1540" s="4">
        <v>46144.750231481485</v>
      </c>
      <c r="BK1540" s="4">
        <v>43642.512824074074</v>
      </c>
      <c r="BL1540" t="inlineStr">
        <is>
          <t>0.0</t>
        </is>
      </c>
      <c r="BM1540" t="inlineStr">
        <is>
          <t>0.0</t>
        </is>
      </c>
      <c r="BN1540" t="inlineStr">
        <is>
          <t>View Company Page</t>
        </is>
      </c>
      <c r="BO1540" s="4">
        <v>46122.41068287037</v>
      </c>
      <c r="BP1540">
        <v>166701</v>
      </c>
      <c r="BQ1540">
        <v>28936</v>
      </c>
      <c r="BR1540" t="inlineStr">
        <is>
          <t>Online</t>
        </is>
      </c>
      <c r="BS1540"/>
      <c r="BT1540">
        <v>28936</v>
      </c>
      <c r="BU1540"/>
      <c r="BV1540">
        <v>2707094</v>
      </c>
      <c r="BW1540" t="inlineStr">
        <is>
          <t>Follow Up : Lost - Free Portal</t>
        </is>
      </c>
      <c r="BX1540"/>
      <c r="BY1540"/>
      <c r="BZ1540" s="4"/>
      <c r="CA1540"/>
      <c r="CB1540"/>
      <c r="CC1540" s="4"/>
      <c r="CD1540" t="inlineStr">
        <is>
          <t>5</t>
        </is>
      </c>
      <c r="CE1540" t="inlineStr">
        <is>
          <t>0</t>
        </is>
      </c>
      <c r="CF1540" t="inlineStr">
        <is>
          <t>Q2-W02</t>
        </is>
      </c>
      <c r="CG1540"/>
      <c r="CH1540"/>
      <c r="CI1540"/>
      <c r="CJ1540" t="inlineStr">
        <is>
          <t>Paid</t>
        </is>
      </c>
      <c r="CK1540" t="inlineStr">
        <is>
          <t>Not Eligible</t>
        </is>
      </c>
      <c r="CL1540"/>
      <c r="CM1540"/>
    </row>
    <row r="1541" ht="25.5" customHeight="1">
      <c r="A1541" t="inlineStr">
        <is>
          <t>154269</t>
        </is>
      </c>
      <c r="B1541" s="2"/>
      <c r="C1541"/>
      <c r="D1541" s="3">
        <v>46125.73076388889</v>
      </c>
      <c r="E1541" t="inlineStr">
        <is>
          <t>Q2-W02</t>
        </is>
      </c>
      <c r="F1541" t="inlineStr">
        <is>
          <t>Ratha</t>
        </is>
      </c>
      <c r="G1541" t="inlineStr">
        <is>
          <t>Customer</t>
        </is>
      </c>
      <c r="H1541" s="2" t="str">
        <f>=HYPERLINK("https://upbox.ajobthing.my/customer/154269", "https://upbox.ajobthing.my/customer/154269")</f>
        <v>https://upbox.ajobthing.my/customer/154269</v>
      </c>
      <c r="I1541" t="inlineStr">
        <is>
          <t>Arachem (M) Sdn Bhd</t>
        </is>
      </c>
      <c r="J1541" t="inlineStr">
        <is>
          <t>Dolphin</t>
        </is>
      </c>
      <c r="K1541" t="inlineStr">
        <is>
          <t>Ratha</t>
        </is>
      </c>
      <c r="L1541" s="4"/>
      <c r="M1541" s="4">
        <v>46125.72032407407</v>
      </c>
      <c r="N1541"/>
      <c r="O1541">
        <v>6048</v>
      </c>
      <c r="P1541" s="4"/>
      <c r="Q1541" s="4">
        <v>44700.6183912037</v>
      </c>
      <c r="R1541"/>
      <c r="S1541">
        <v>1060</v>
      </c>
      <c r="T1541" s="4">
        <v>44700.6183912037</v>
      </c>
      <c r="U1541" s="4"/>
      <c r="V1541"/>
      <c r="W1541">
        <v>1060</v>
      </c>
      <c r="X1541"/>
      <c r="Y1541" t="inlineStr">
        <is>
          <t>Pending Appointment</t>
        </is>
      </c>
      <c r="Z1541" t="inlineStr">
        <is>
          <t>Hiring Now</t>
        </is>
      </c>
      <c r="AA1541">
        <v>2</v>
      </c>
      <c r="AB1541" t="inlineStr">
        <is>
          <t>No Appointment Made</t>
        </is>
      </c>
      <c r="AC1541"/>
      <c r="AD1541" t="inlineStr">
        <is>
          <t>medical line
KL</t>
        </is>
      </c>
      <c r="AE1541"/>
      <c r="AF1541"/>
      <c r="AG1541" s="4"/>
      <c r="AH1541" s="4"/>
      <c r="AI1541">
        <v>0</v>
      </c>
      <c r="AJ1541">
        <v>1</v>
      </c>
      <c r="AK1541" t="inlineStr">
        <is>
          <t>Yes, I have</t>
        </is>
      </c>
      <c r="AL1541">
        <v>2</v>
      </c>
      <c r="AM1541" t="inlineStr">
        <is>
          <t>No, I don't need at all</t>
        </is>
      </c>
      <c r="AN1541"/>
      <c r="AO1541" t="inlineStr">
        <is>
          <t>Yes, I have</t>
        </is>
      </c>
      <c r="AP1541" t="inlineStr">
        <is>
          <t>Once per quarter (75%)</t>
        </is>
      </c>
      <c r="AQ1541">
        <v>0</v>
      </c>
      <c r="AR1541" t="inlineStr">
        <is>
          <t>Jobstreet, Fast Job</t>
        </is>
      </c>
      <c r="AS1541" t="inlineStr">
        <is>
          <t>- Headcount: 2
- Hiring Job Details: medical line, KL
- Hiring Urgency: Hiring Now
- Number of outlets: 1
- Have recruiter team: Yes, I have
- Number of recruiter in company: 2
- Have ATS system: No, I don't need at all
- Have career website: Yes, I have
- Current hiring budget: Not specified
- Whole year budget: RM0.00
- Whole year number of vacancies: 0
- Hiring frequency: Once per quarter (75%)
- External job portal: Jobstreet, Fast Job</t>
        </is>
      </c>
      <c r="AT1541">
        <v>75</v>
      </c>
      <c r="AU1541" t="inlineStr">
        <is>
          <t>0.75</t>
        </is>
      </c>
      <c r="AV1541" t="inlineStr">
        <is>
          <t>5</t>
        </is>
      </c>
      <c r="AW1541" t="inlineStr">
        <is>
          <t>0</t>
        </is>
      </c>
      <c r="AX1541" t="inlineStr">
        <is>
          <t>Not Qualified</t>
        </is>
      </c>
      <c r="AY1541" s="4"/>
      <c r="AZ1541"/>
      <c r="BA1541"/>
      <c r="BB1541"/>
      <c r="BC1541" t="inlineStr">
        <is>
          <t>not proceed</t>
        </is>
      </c>
      <c r="BD1541" s="4">
        <v>46140.700266203705</v>
      </c>
      <c r="BE1541" t="inlineStr">
        <is>
          <t>paid</t>
        </is>
      </c>
      <c r="BF1541"/>
      <c r="BG1541" t="inlineStr">
        <is>
          <t>Reschedule</t>
        </is>
      </c>
      <c r="BH1541" t="inlineStr">
        <is>
          <t>Fauziah Maharan</t>
        </is>
      </c>
      <c r="BI1541" t="inlineStr">
        <is>
          <t>Manufacturing / Production</t>
        </is>
      </c>
      <c r="BJ1541" s="4">
        <v>46144.7509375</v>
      </c>
      <c r="BK1541" s="4">
        <v>44700.44938657407</v>
      </c>
      <c r="BL1541" t="inlineStr">
        <is>
          <t>0.0</t>
        </is>
      </c>
      <c r="BM1541" t="inlineStr">
        <is>
          <t>4200.0</t>
        </is>
      </c>
      <c r="BN1541" t="inlineStr">
        <is>
          <t>View Candidate Search Page</t>
        </is>
      </c>
      <c r="BO1541" s="4">
        <v>46125.716782407406</v>
      </c>
      <c r="BP1541">
        <v>166839</v>
      </c>
      <c r="BQ1541">
        <v>45099</v>
      </c>
      <c r="BR1541" t="inlineStr">
        <is>
          <t>Online</t>
        </is>
      </c>
      <c r="BS1541"/>
      <c r="BT1541">
        <v>45099</v>
      </c>
      <c r="BU1541"/>
      <c r="BV1541">
        <v>2733569</v>
      </c>
      <c r="BW1541" t="inlineStr">
        <is>
          <t>Follow Up : Lost - Paid Portal</t>
        </is>
      </c>
      <c r="BX1541"/>
      <c r="BY1541"/>
      <c r="BZ1541" s="4"/>
      <c r="CA1541"/>
      <c r="CB1541"/>
      <c r="CC1541" s="4"/>
      <c r="CD1541" t="inlineStr">
        <is>
          <t>5</t>
        </is>
      </c>
      <c r="CE1541" t="inlineStr">
        <is>
          <t>0</t>
        </is>
      </c>
      <c r="CF1541" t="inlineStr">
        <is>
          <t>Q2-W02</t>
        </is>
      </c>
      <c r="CG1541"/>
      <c r="CH1541"/>
      <c r="CI1541"/>
      <c r="CJ1541" t="inlineStr">
        <is>
          <t>Paid</t>
        </is>
      </c>
      <c r="CK1541" t="inlineStr">
        <is>
          <t>Not Eligible</t>
        </is>
      </c>
      <c r="CL1541"/>
      <c r="CM1541"/>
    </row>
    <row r="1542" ht="25.5" customHeight="1">
      <c r="A1542" t="inlineStr">
        <is>
          <t>189463</t>
        </is>
      </c>
      <c r="B1542" s="2"/>
      <c r="C1542"/>
      <c r="D1542" s="3">
        <v>46125.7475</v>
      </c>
      <c r="E1542" t="inlineStr">
        <is>
          <t>Q2-W02</t>
        </is>
      </c>
      <c r="F1542" t="inlineStr">
        <is>
          <t>Angel  Low</t>
        </is>
      </c>
      <c r="G1542" t="inlineStr">
        <is>
          <t>Customer</t>
        </is>
      </c>
      <c r="H1542" s="2" t="str">
        <f>=HYPERLINK("https://upbox.ajobthing.my/customer/189463", "https://upbox.ajobthing.my/customer/189463")</f>
        <v>https://upbox.ajobthing.my/customer/189463</v>
      </c>
      <c r="I1542" t="inlineStr">
        <is>
          <t>New Hoover Express &amp; Travels Sdn. Bhd.</t>
        </is>
      </c>
      <c r="J1542" t="inlineStr">
        <is>
          <t>Dolphin</t>
        </is>
      </c>
      <c r="K1542" t="inlineStr">
        <is>
          <t>Angel Low</t>
        </is>
      </c>
      <c r="L1542" s="4"/>
      <c r="M1542" s="4">
        <v>46125.74773148148</v>
      </c>
      <c r="N1542"/>
      <c r="O1542">
        <v>3672</v>
      </c>
      <c r="P1542" s="4"/>
      <c r="Q1542" s="4">
        <v>46135.69123842593</v>
      </c>
      <c r="R1542"/>
      <c r="S1542">
        <v>3672</v>
      </c>
      <c r="T1542" s="4">
        <v>46135.69123842593</v>
      </c>
      <c r="U1542" s="4"/>
      <c r="V1542"/>
      <c r="W1542">
        <v>3672</v>
      </c>
      <c r="X1542"/>
      <c r="Y1542" t="inlineStr">
        <is>
          <t>Pending Appointment</t>
        </is>
      </c>
      <c r="Z1542"/>
      <c r="AA1542">
        <v>1</v>
      </c>
      <c r="AB1542" t="inlineStr">
        <is>
          <t>No Appointment Made</t>
        </is>
      </c>
      <c r="AC1542"/>
      <c r="AD1542" t="inlineStr">
        <is>
          <t xml:space="preserve">1 senior HR </t>
        </is>
      </c>
      <c r="AE1542"/>
      <c r="AF1542"/>
      <c r="AG1542" s="4"/>
      <c r="AH1542" s="4"/>
      <c r="AI1542"/>
      <c r="AJ1542"/>
      <c r="AK1542"/>
      <c r="AL1542"/>
      <c r="AM1542"/>
      <c r="AN1542"/>
      <c r="AO1542"/>
      <c r="AP1542"/>
      <c r="AQ1542"/>
      <c r="AR1542"/>
      <c r="AS1542" t="inlineStr">
        <is>
          <t>- Headcount: 1
- Hiring Job Details: 1 senior HR
- Hiring Urgency: Not specified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is>
      </c>
      <c r="AT1542">
        <v>60</v>
      </c>
      <c r="AU1542" t="inlineStr">
        <is>
          <t>0.60</t>
        </is>
      </c>
      <c r="AV1542" t="inlineStr">
        <is>
          <t>5</t>
        </is>
      </c>
      <c r="AW1542" t="inlineStr">
        <is>
          <t>0</t>
        </is>
      </c>
      <c r="AX1542" t="inlineStr">
        <is>
          <t>Not Qualified</t>
        </is>
      </c>
      <c r="AY1542" s="4"/>
      <c r="AZ1542"/>
      <c r="BA1542"/>
      <c r="BB1542"/>
      <c r="BC1542" t="inlineStr">
        <is>
          <t>done payment and create group</t>
        </is>
      </c>
      <c r="BD1542" s="4">
        <v>46139.521053240744</v>
      </c>
      <c r="BE1542" t="inlineStr">
        <is>
          <t>paid</t>
        </is>
      </c>
      <c r="BF1542" t="inlineStr">
        <is>
          <t>Q2-W03</t>
        </is>
      </c>
      <c r="BG1542" t="inlineStr">
        <is>
          <t>Reschedule</t>
        </is>
      </c>
      <c r="BH1542" t="inlineStr">
        <is>
          <t>Fauziah Maharan</t>
        </is>
      </c>
      <c r="BI1542"/>
      <c r="BJ1542" s="4">
        <v>46144.75230324074</v>
      </c>
      <c r="BK1542" s="4">
        <v>45749.551932870374</v>
      </c>
      <c r="BL1542" t="inlineStr">
        <is>
          <t>3672.0</t>
        </is>
      </c>
      <c r="BM1542" t="inlineStr">
        <is>
          <t>0.0</t>
        </is>
      </c>
      <c r="BN1542" t="inlineStr">
        <is>
          <t>View Company Page</t>
        </is>
      </c>
      <c r="BO1542" s="4">
        <v>46140.494166666664</v>
      </c>
      <c r="BP1542">
        <v>166852</v>
      </c>
      <c r="BQ1542">
        <v>7682</v>
      </c>
      <c r="BR1542" t="inlineStr">
        <is>
          <t>Manual (Paid)</t>
        </is>
      </c>
      <c r="BS1542" t="inlineStr">
        <is>
          <t>AI Yearly Standard Plan (Renew carry forward 1 job ad)
- AI Yearly Standard Plan of 3 AI Job Ads + 3 Free + 1 carry forward AI Job Ads with Booster 
- 7 AI Job Ad will be published on Maukerja, Ricebowl and our partner platforms
- 7 AI Job Ad will be published for 45 days
- 7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*Renew : special carry forward 1 job ad balance to renew package.  (Total 7 job ads)</t>
        </is>
      </c>
      <c r="BT1542">
        <v>7682</v>
      </c>
      <c r="BU1542"/>
      <c r="BV1542">
        <v>2729093</v>
      </c>
      <c r="BW1542" t="inlineStr">
        <is>
          <t>Follow Up : Win - Customer Paid</t>
        </is>
      </c>
      <c r="BX1542">
        <v>8</v>
      </c>
      <c r="BY1542">
        <v>8</v>
      </c>
      <c r="BZ1542" s="4"/>
      <c r="CA1542">
        <v>60</v>
      </c>
      <c r="CB1542">
        <v>60</v>
      </c>
      <c r="CC1542" s="4"/>
      <c r="CD1542" t="inlineStr">
        <is>
          <t>5</t>
        </is>
      </c>
      <c r="CE1542" t="inlineStr">
        <is>
          <t>0</t>
        </is>
      </c>
      <c r="CF1542" t="inlineStr">
        <is>
          <t>Q2-W02</t>
        </is>
      </c>
      <c r="CG1542" t="inlineStr">
        <is>
          <t>Q2-W03</t>
        </is>
      </c>
      <c r="CH1542" t="inlineStr">
        <is>
          <t>Q2-W03</t>
        </is>
      </c>
      <c r="CI1542"/>
      <c r="CJ1542" t="inlineStr">
        <is>
          <t>Paid</t>
        </is>
      </c>
      <c r="CK1542" t="inlineStr">
        <is>
          <t>Not Eligible</t>
        </is>
      </c>
      <c r="CL1542"/>
      <c r="CM1542"/>
    </row>
    <row r="1543" ht="25.5" customHeight="1">
      <c r="A1543" t="inlineStr">
        <is>
          <t>156275</t>
        </is>
      </c>
      <c r="B1543" s="2"/>
      <c r="C1543"/>
      <c r="D1543" s="3">
        <v>46125.755428240744</v>
      </c>
      <c r="E1543" t="inlineStr">
        <is>
          <t>Q2-W02</t>
        </is>
      </c>
      <c r="F1543" t="inlineStr">
        <is>
          <t>Jess</t>
        </is>
      </c>
      <c r="G1543" t="inlineStr">
        <is>
          <t>Customer</t>
        </is>
      </c>
      <c r="H1543" s="2" t="str">
        <f>=HYPERLINK("https://upbox.ajobthing.my/customer/156275", "https://upbox.ajobthing.my/customer/156275")</f>
        <v>https://upbox.ajobthing.my/customer/156275</v>
      </c>
      <c r="I1543" t="inlineStr">
        <is>
          <t>AGF Insurance Agencies Sdn Bhd</t>
        </is>
      </c>
      <c r="J1543" t="inlineStr">
        <is>
          <t>Dolphin</t>
        </is>
      </c>
      <c r="K1543" t="inlineStr">
        <is>
          <t>Jess Lim</t>
        </is>
      </c>
      <c r="L1543" s="4"/>
      <c r="M1543" s="4">
        <v>46125.7572337963</v>
      </c>
      <c r="N1543"/>
      <c r="O1543">
        <v>5508</v>
      </c>
      <c r="P1543" s="4"/>
      <c r="Q1543" s="4">
        <v>45693.69825231482</v>
      </c>
      <c r="R1543"/>
      <c r="S1543">
        <v>2662.2</v>
      </c>
      <c r="T1543" s="4">
        <v>45693.69825231482</v>
      </c>
      <c r="U1543" s="4"/>
      <c r="V1543"/>
      <c r="W1543">
        <v>2662.2</v>
      </c>
      <c r="X1543"/>
      <c r="Y1543" t="inlineStr">
        <is>
          <t>Pending Appointment</t>
        </is>
      </c>
      <c r="Z1543"/>
      <c r="AA1543">
        <v>1</v>
      </c>
      <c r="AB1543" t="inlineStr">
        <is>
          <t>No Appointment Made</t>
        </is>
      </c>
      <c r="AC1543"/>
      <c r="AD1543" t="inlineStr">
        <is>
          <t>admin johor kl</t>
        </is>
      </c>
      <c r="AE1543"/>
      <c r="AF1543">
        <v>2800</v>
      </c>
      <c r="AG1543" s="4"/>
      <c r="AH1543" s="4"/>
      <c r="AI1543"/>
      <c r="AJ1543"/>
      <c r="AK1543" t="inlineStr">
        <is>
          <t>No, I don't need at all</t>
        </is>
      </c>
      <c r="AL1543">
        <v>1</v>
      </c>
      <c r="AM1543" t="inlineStr">
        <is>
          <t>No, I don't need at all</t>
        </is>
      </c>
      <c r="AN1543"/>
      <c r="AO1543" t="inlineStr">
        <is>
          <t>No, I don't need at all</t>
        </is>
      </c>
      <c r="AP1543" t="inlineStr">
        <is>
          <t>Once a year (25%)</t>
        </is>
      </c>
      <c r="AQ1543"/>
      <c r="AR1543" t="inlineStr">
        <is>
          <t>Jobstreet</t>
        </is>
      </c>
      <c r="AS1543" t="inlineStr">
        <is>
          <t>- Headcount: 1
- Hiring Job Details: admin johor kl
- Hiring Urgency: Not specified
- Number of outlets: Not specified
- Have recruiter team: No, I don't need at all
- Number of recruiter in company: 1
- Have ATS system: No, I don't need at all
- Have career website: No, I don't need at all
- Current hiring budget: RM2,800.00
- Whole year budget: Not specified
- Whole year number of vacancies: Not specified
- Hiring frequency: Once a year (25%)
- External job portal: Jobstreet</t>
        </is>
      </c>
      <c r="AT1543">
        <v>65</v>
      </c>
      <c r="AU1543" t="inlineStr">
        <is>
          <t>0.65</t>
        </is>
      </c>
      <c r="AV1543" t="inlineStr">
        <is>
          <t>15</t>
        </is>
      </c>
      <c r="AW1543" t="inlineStr">
        <is>
          <t>0</t>
        </is>
      </c>
      <c r="AX1543" t="inlineStr">
        <is>
          <t>Not Qualified</t>
        </is>
      </c>
      <c r="AY1543" s="4"/>
      <c r="AZ1543"/>
      <c r="BA1543"/>
      <c r="BB1543"/>
      <c r="BC1543" t="inlineStr">
        <is>
          <t>customer say 1 post 1200 too expensive , using freee one first</t>
        </is>
      </c>
      <c r="BD1543" s="4">
        <v>46140.508993055555</v>
      </c>
      <c r="BE1543" t="inlineStr">
        <is>
          <t>paid</t>
        </is>
      </c>
      <c r="BF1543"/>
      <c r="BG1543" t="inlineStr">
        <is>
          <t>Reschedule</t>
        </is>
      </c>
      <c r="BH1543" t="inlineStr">
        <is>
          <t>Fauziah Maharan</t>
        </is>
      </c>
      <c r="BI1543" t="inlineStr">
        <is>
          <t>Insurance</t>
        </is>
      </c>
      <c r="BJ1543" s="4">
        <v>46144.75099537037</v>
      </c>
      <c r="BK1543" s="4">
        <v>44739.59069444444</v>
      </c>
      <c r="BL1543" t="inlineStr">
        <is>
          <t>0.0</t>
        </is>
      </c>
      <c r="BM1543" t="inlineStr">
        <is>
          <t>0.0</t>
        </is>
      </c>
      <c r="BN1543" t="inlineStr">
        <is>
          <t>View Company Page</t>
        </is>
      </c>
      <c r="BO1543" s="4">
        <v>46136.49996527778</v>
      </c>
      <c r="BP1543">
        <v>166856</v>
      </c>
      <c r="BQ1543">
        <v>76513</v>
      </c>
      <c r="BR1543" t="inlineStr">
        <is>
          <t>Online</t>
        </is>
      </c>
      <c r="BS1543"/>
      <c r="BT1543">
        <v>76513</v>
      </c>
      <c r="BU1543"/>
      <c r="BV1543">
        <v>2732400</v>
      </c>
      <c r="BW1543" t="inlineStr">
        <is>
          <t>Follow Up : Budget Concern</t>
        </is>
      </c>
      <c r="BX1543"/>
      <c r="BY1543"/>
      <c r="BZ1543" s="4"/>
      <c r="CA1543"/>
      <c r="CB1543"/>
      <c r="CC1543" s="4"/>
      <c r="CD1543" t="inlineStr">
        <is>
          <t>20</t>
        </is>
      </c>
      <c r="CE1543" t="inlineStr">
        <is>
          <t>0</t>
        </is>
      </c>
      <c r="CF1543" t="inlineStr">
        <is>
          <t>Q2-W02</t>
        </is>
      </c>
      <c r="CG1543"/>
      <c r="CH1543"/>
      <c r="CI1543"/>
      <c r="CJ1543" t="inlineStr">
        <is>
          <t>Paid</t>
        </is>
      </c>
      <c r="CK1543" t="inlineStr">
        <is>
          <t>Not Eligible</t>
        </is>
      </c>
      <c r="CL1543"/>
      <c r="CM1543"/>
    </row>
    <row r="1544" ht="25.5" customHeight="1">
      <c r="A1544" t="inlineStr">
        <is>
          <t>168741</t>
        </is>
      </c>
      <c r="B1544" s="2"/>
      <c r="C1544"/>
      <c r="D1544" s="3">
        <v>46125.76464120371</v>
      </c>
      <c r="E1544" t="inlineStr">
        <is>
          <t>Q2-W02</t>
        </is>
      </c>
      <c r="F1544" t="inlineStr">
        <is>
          <t>Ratha</t>
        </is>
      </c>
      <c r="G1544" t="inlineStr">
        <is>
          <t>Customer</t>
        </is>
      </c>
      <c r="H1544" s="2" t="str">
        <f>=HYPERLINK("https://upbox.ajobthing.my/customer/168741", "https://upbox.ajobthing.my/customer/168741")</f>
        <v>https://upbox.ajobthing.my/customer/168741</v>
      </c>
      <c r="I1544" t="inlineStr">
        <is>
          <t>Solid Cool Marketing Sdn Bhd</t>
        </is>
      </c>
      <c r="J1544" t="inlineStr">
        <is>
          <t>Dolphin</t>
        </is>
      </c>
      <c r="K1544" t="inlineStr">
        <is>
          <t>Ratha</t>
        </is>
      </c>
      <c r="L1544" s="4"/>
      <c r="M1544" s="4">
        <v>46125.765231481484</v>
      </c>
      <c r="N1544"/>
      <c r="O1544">
        <v>3672</v>
      </c>
      <c r="P1544" s="4"/>
      <c r="Q1544" s="4">
        <v>45646.581238425926</v>
      </c>
      <c r="R1544"/>
      <c r="S1544">
        <v>648</v>
      </c>
      <c r="T1544" s="4">
        <v>45646.581238425926</v>
      </c>
      <c r="U1544" s="4"/>
      <c r="V1544"/>
      <c r="W1544">
        <v>648</v>
      </c>
      <c r="X1544"/>
      <c r="Y1544" t="inlineStr">
        <is>
          <t>Pending Appointment</t>
        </is>
      </c>
      <c r="Z1544" t="inlineStr">
        <is>
          <t>Hiring Now</t>
        </is>
      </c>
      <c r="AA1544">
        <v>1</v>
      </c>
      <c r="AB1544" t="inlineStr">
        <is>
          <t>No Appointment Made</t>
        </is>
      </c>
      <c r="AC1544"/>
      <c r="AD1544" t="inlineStr">
        <is>
          <t>Sales - 1
Location : Puchong</t>
        </is>
      </c>
      <c r="AE1544"/>
      <c r="AF1544"/>
      <c r="AG1544" s="4"/>
      <c r="AH1544" s="4"/>
      <c r="AI1544">
        <v>0</v>
      </c>
      <c r="AJ1544">
        <v>1</v>
      </c>
      <c r="AK1544" t="inlineStr">
        <is>
          <t>Yes, I have</t>
        </is>
      </c>
      <c r="AL1544">
        <v>2</v>
      </c>
      <c r="AM1544" t="inlineStr">
        <is>
          <t>No, I don't need at all</t>
        </is>
      </c>
      <c r="AN1544"/>
      <c r="AO1544" t="inlineStr">
        <is>
          <t>No, I don't need at all</t>
        </is>
      </c>
      <c r="AP1544" t="inlineStr">
        <is>
          <t>Once per quarter (75%)</t>
        </is>
      </c>
      <c r="AQ1544">
        <v>0</v>
      </c>
      <c r="AR1544" t="inlineStr">
        <is>
          <t>Jobstreet, Free Job Portal</t>
        </is>
      </c>
      <c r="AS1544" t="inlineStr">
        <is>
          <t>- Headcount: 1
- Hiring Job Details: 1 Sales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Jobstreet, Free Job Portal</t>
        </is>
      </c>
      <c r="AT1544">
        <v>100</v>
      </c>
      <c r="AU1544" t="inlineStr">
        <is>
          <t>1.00</t>
        </is>
      </c>
      <c r="AV1544" t="inlineStr">
        <is>
          <t>5</t>
        </is>
      </c>
      <c r="AW1544" t="inlineStr">
        <is>
          <t>0</t>
        </is>
      </c>
      <c r="AX1544" t="inlineStr">
        <is>
          <t>Not Qualified</t>
        </is>
      </c>
      <c r="AY1544" s="4"/>
      <c r="AZ1544"/>
      <c r="BA1544"/>
      <c r="BB1544"/>
      <c r="BC1544" t="inlineStr">
        <is>
          <t>not consider paid</t>
        </is>
      </c>
      <c r="BD1544" s="4">
        <v>46129.58131944444</v>
      </c>
      <c r="BE1544" t="inlineStr">
        <is>
          <t>paid</t>
        </is>
      </c>
      <c r="BF1544"/>
      <c r="BG1544" t="inlineStr">
        <is>
          <t>Reschedule</t>
        </is>
      </c>
      <c r="BH1544" t="inlineStr">
        <is>
          <t>Fauziah Maharan</t>
        </is>
      </c>
      <c r="BI1544" t="inlineStr">
        <is>
          <t>Electrical / Electronics</t>
        </is>
      </c>
      <c r="BJ1544" s="4">
        <v>46144.75134259259</v>
      </c>
      <c r="BK1544" s="4">
        <v>45110.44893518519</v>
      </c>
      <c r="BL1544" t="inlineStr">
        <is>
          <t>0.0</t>
        </is>
      </c>
      <c r="BM1544" t="inlineStr">
        <is>
          <t>750.0</t>
        </is>
      </c>
      <c r="BN1544" t="inlineStr">
        <is>
          <t>View Jobmanager Page</t>
        </is>
      </c>
      <c r="BO1544" s="4">
        <v>45793.68641203704</v>
      </c>
      <c r="BP1544">
        <v>166857</v>
      </c>
      <c r="BQ1544">
        <v>75537</v>
      </c>
      <c r="BR1544" t="inlineStr">
        <is>
          <t>Online</t>
        </is>
      </c>
      <c r="BS1544"/>
      <c r="BT1544">
        <v>75537</v>
      </c>
      <c r="BU1544"/>
      <c r="BV1544">
        <v>2712002</v>
      </c>
      <c r="BW1544" t="inlineStr">
        <is>
          <t>Follow Up : Lost - Free Portal</t>
        </is>
      </c>
      <c r="BX1544"/>
      <c r="BY1544"/>
      <c r="BZ1544" s="4"/>
      <c r="CA1544"/>
      <c r="CB1544"/>
      <c r="CC1544" s="4"/>
      <c r="CD1544" t="inlineStr">
        <is>
          <t>5</t>
        </is>
      </c>
      <c r="CE1544" t="inlineStr">
        <is>
          <t>0</t>
        </is>
      </c>
      <c r="CF1544" t="inlineStr">
        <is>
          <t>Q2-W02</t>
        </is>
      </c>
      <c r="CG1544"/>
      <c r="CH1544"/>
      <c r="CI1544"/>
      <c r="CJ1544" t="inlineStr">
        <is>
          <t>Paid</t>
        </is>
      </c>
      <c r="CK1544" t="inlineStr">
        <is>
          <t>Not Eligible</t>
        </is>
      </c>
      <c r="CL1544"/>
      <c r="CM1544"/>
    </row>
    <row r="1545" ht="25.5" customHeight="1">
      <c r="A1545" t="inlineStr">
        <is>
          <t>200329</t>
        </is>
      </c>
      <c r="B1545" s="2"/>
      <c r="C1545"/>
      <c r="D1545" s="3">
        <v>46126.40293981481</v>
      </c>
      <c r="E1545" t="inlineStr">
        <is>
          <t>Q2-W02</t>
        </is>
      </c>
      <c r="F1545" t="inlineStr">
        <is>
          <t>Ratha</t>
        </is>
      </c>
      <c r="G1545" t="inlineStr">
        <is>
          <t>Customer</t>
        </is>
      </c>
      <c r="H1545" s="2" t="str">
        <f>=HYPERLINK("https://upbox.ajobthing.my/customer/200329", "https://upbox.ajobthing.my/customer/200329")</f>
        <v>https://upbox.ajobthing.my/customer/200329</v>
      </c>
      <c r="I1545" t="inlineStr">
        <is>
          <t>Sogno Coffee Sdn. Bhd.</t>
        </is>
      </c>
      <c r="J1545" t="inlineStr">
        <is>
          <t>Dolphin</t>
        </is>
      </c>
      <c r="K1545" t="inlineStr">
        <is>
          <t>Ratha</t>
        </is>
      </c>
      <c r="L1545" s="4"/>
      <c r="M1545" s="4">
        <v>46126.40368055556</v>
      </c>
      <c r="N1545"/>
      <c r="O1545">
        <v>3672</v>
      </c>
      <c r="P1545" s="4"/>
      <c r="Q1545" s="4">
        <v>46120.59364583333</v>
      </c>
      <c r="R1545"/>
      <c r="S1545">
        <v>0</v>
      </c>
      <c r="T1545" s="4">
        <v>46080.68958333333</v>
      </c>
      <c r="U1545" s="4"/>
      <c r="V1545"/>
      <c r="W1545">
        <v>864</v>
      </c>
      <c r="X1545"/>
      <c r="Y1545" t="inlineStr">
        <is>
          <t>Pending Appointment</t>
        </is>
      </c>
      <c r="Z1545" t="inlineStr">
        <is>
          <t>Hiring Later</t>
        </is>
      </c>
      <c r="AA1545">
        <v>1</v>
      </c>
      <c r="AB1545" t="inlineStr">
        <is>
          <t>No Appointment Made</t>
        </is>
      </c>
      <c r="AC1545"/>
      <c r="AD1545" t="inlineStr">
        <is>
          <t>Area Manager : 1
Location : kelantan</t>
        </is>
      </c>
      <c r="AE1545"/>
      <c r="AF1545"/>
      <c r="AG1545" s="4"/>
      <c r="AH1545" s="4"/>
      <c r="AI1545">
        <v>0</v>
      </c>
      <c r="AJ1545">
        <v>10</v>
      </c>
      <c r="AK1545" t="inlineStr">
        <is>
          <t>Yes, I have</t>
        </is>
      </c>
      <c r="AL1545">
        <v>2</v>
      </c>
      <c r="AM1545" t="inlineStr">
        <is>
          <t>No, I don't need at all</t>
        </is>
      </c>
      <c r="AN1545"/>
      <c r="AO1545" t="inlineStr">
        <is>
          <t>No, I don't need at all</t>
        </is>
      </c>
      <c r="AP1545" t="inlineStr">
        <is>
          <t>Once per quarter (75%)</t>
        </is>
      </c>
      <c r="AQ1545">
        <v>0</v>
      </c>
      <c r="AR1545" t="inlineStr">
        <is>
          <t>Free Job Portal</t>
        </is>
      </c>
      <c r="AS1545" t="inlineStr">
        <is>
          <t>- Headcount: 1
- Hiring Job Details: 1 Area Manager
- Hiring Urgency: Hiring Later
- Number of outlets: 10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Free Job Portal</t>
        </is>
      </c>
      <c r="AT1545">
        <v>95</v>
      </c>
      <c r="AU1545" t="inlineStr">
        <is>
          <t>0.95</t>
        </is>
      </c>
      <c r="AV1545" t="inlineStr">
        <is>
          <t>5</t>
        </is>
      </c>
      <c r="AW1545" t="inlineStr">
        <is>
          <t>0</t>
        </is>
      </c>
      <c r="AX1545" t="inlineStr">
        <is>
          <t>Not Qualified</t>
        </is>
      </c>
      <c r="AY1545" s="4"/>
      <c r="AZ1545"/>
      <c r="BA1545"/>
      <c r="BB1545"/>
      <c r="BC1545" t="inlineStr">
        <is>
          <t>no answer</t>
        </is>
      </c>
      <c r="BD1545" s="4">
        <v>46140.69741898148</v>
      </c>
      <c r="BE1545" t="inlineStr">
        <is>
          <t>paid</t>
        </is>
      </c>
      <c r="BF1545" t="inlineStr">
        <is>
          <t>Q1-W09</t>
        </is>
      </c>
      <c r="BG1545" t="inlineStr">
        <is>
          <t>Reschedule</t>
        </is>
      </c>
      <c r="BH1545" t="inlineStr">
        <is>
          <t>Fauziah Maharan</t>
        </is>
      </c>
      <c r="BI1545" t="inlineStr">
        <is>
          <t>Food / Beverage</t>
        </is>
      </c>
      <c r="BJ1545" s="4">
        <v>46144.75351851852</v>
      </c>
      <c r="BK1545" s="4">
        <v>46037.537303240744</v>
      </c>
      <c r="BL1545" t="inlineStr">
        <is>
          <t>2592.0</t>
        </is>
      </c>
      <c r="BM1545" t="inlineStr">
        <is>
          <t>0.0</t>
        </is>
      </c>
      <c r="BN1545" t="inlineStr">
        <is>
          <t>View Company Page</t>
        </is>
      </c>
      <c r="BO1545" s="4">
        <v>46120.594722222224</v>
      </c>
      <c r="BP1545">
        <v>166861</v>
      </c>
      <c r="BQ1545">
        <v>120947</v>
      </c>
      <c r="BR1545" t="inlineStr">
        <is>
          <t>Proforma</t>
        </is>
      </c>
      <c r="BS1545" t="inlineStr">
        <is>
          <t>Free Part-Time Job</t>
        </is>
      </c>
      <c r="BT1545">
        <v>87232</v>
      </c>
      <c r="BU1545"/>
      <c r="BV1545">
        <v>2733551</v>
      </c>
      <c r="BW1545" t="inlineStr">
        <is>
          <t>No Answer : Voicemail - WA sent to customer</t>
        </is>
      </c>
      <c r="BX1545"/>
      <c r="BY1545"/>
      <c r="BZ1545" s="4"/>
      <c r="CA1545"/>
      <c r="CB1545"/>
      <c r="CC1545" s="4"/>
      <c r="CD1545" t="inlineStr">
        <is>
          <t>5</t>
        </is>
      </c>
      <c r="CE1545" t="inlineStr">
        <is>
          <t>0</t>
        </is>
      </c>
      <c r="CF1545" t="inlineStr">
        <is>
          <t>Q2-W02</t>
        </is>
      </c>
      <c r="CG1545" t="inlineStr">
        <is>
          <t>Q2-W01</t>
        </is>
      </c>
      <c r="CH1545" t="inlineStr">
        <is>
          <t>Q1-W09</t>
        </is>
      </c>
      <c r="CI1545"/>
      <c r="CJ1545" t="inlineStr">
        <is>
          <t>Paid</t>
        </is>
      </c>
      <c r="CK1545" t="inlineStr">
        <is>
          <t>Not Eligible</t>
        </is>
      </c>
      <c r="CL1545"/>
      <c r="CM1545"/>
    </row>
    <row r="1546" ht="25.5" customHeight="1">
      <c r="A1546" t="inlineStr">
        <is>
          <t>165344</t>
        </is>
      </c>
      <c r="B1546" s="2"/>
      <c r="C1546"/>
      <c r="D1546" s="3">
        <v>46126.40462962963</v>
      </c>
      <c r="E1546" t="inlineStr">
        <is>
          <t>Q2-W02</t>
        </is>
      </c>
      <c r="F1546" t="inlineStr">
        <is>
          <t>Fariz</t>
        </is>
      </c>
      <c r="G1546" t="inlineStr">
        <is>
          <t>Customer</t>
        </is>
      </c>
      <c r="H1546" s="2" t="str">
        <f>=HYPERLINK("https://upbox.ajobthing.my/customer/165344", "https://upbox.ajobthing.my/customer/165344")</f>
        <v>https://upbox.ajobthing.my/customer/165344</v>
      </c>
      <c r="I1546" t="inlineStr">
        <is>
          <t>Yunda Express (Kuchai Lama) Sdn Bhd</t>
        </is>
      </c>
      <c r="J1546" t="inlineStr">
        <is>
          <t>Dolphin</t>
        </is>
      </c>
      <c r="K1546" t="inlineStr">
        <is>
          <t>Fariz</t>
        </is>
      </c>
      <c r="L1546" s="4"/>
      <c r="M1546" s="4">
        <v>46125.50472222222</v>
      </c>
      <c r="N1546"/>
      <c r="O1546">
        <v>3888</v>
      </c>
      <c r="P1546" s="4"/>
      <c r="Q1546" s="4">
        <v>46127.426030092596</v>
      </c>
      <c r="R1546"/>
      <c r="S1546">
        <v>0</v>
      </c>
      <c r="T1546" s="4">
        <v>46126.58148148148</v>
      </c>
      <c r="U1546" s="4"/>
      <c r="V1546"/>
      <c r="W1546">
        <v>3672</v>
      </c>
      <c r="X1546"/>
      <c r="Y1546" t="inlineStr">
        <is>
          <t>Pending Appointment</t>
        </is>
      </c>
      <c r="Z1546" t="inlineStr">
        <is>
          <t>Hiring Now</t>
        </is>
      </c>
      <c r="AA1546">
        <v>1</v>
      </c>
      <c r="AB1546" t="inlineStr">
        <is>
          <t>No Appointment Made</t>
        </is>
      </c>
      <c r="AC1546"/>
      <c r="AD1546" t="inlineStr">
        <is>
          <t>1. Admin acc</t>
        </is>
      </c>
      <c r="AE1546"/>
      <c r="AF1546">
        <v>3600</v>
      </c>
      <c r="AG1546" s="4"/>
      <c r="AH1546" s="4"/>
      <c r="AI1546">
        <v>3600</v>
      </c>
      <c r="AJ1546"/>
      <c r="AK1546" t="inlineStr">
        <is>
          <t>No, but I want in future</t>
        </is>
      </c>
      <c r="AL1546">
        <v>1</v>
      </c>
      <c r="AM1546" t="inlineStr">
        <is>
          <t>No, I don't need at all</t>
        </is>
      </c>
      <c r="AN1546"/>
      <c r="AO1546" t="inlineStr">
        <is>
          <t>No, but I want in future</t>
        </is>
      </c>
      <c r="AP1546" t="inlineStr">
        <is>
          <t>Twice a year (50%)</t>
        </is>
      </c>
      <c r="AQ1546"/>
      <c r="AR1546" t="inlineStr">
        <is>
          <t>Jobstreet</t>
        </is>
      </c>
      <c r="AS1546" t="inlineStr">
        <is>
          <t>- Headcount: 1
- Hiring Job Details: 1 Admin acc
- Hiring Urgency: Hiring Now
- Number of outlets: Not specified
- Have recruiter team: No, but want in future
- Number of recruiter in company: 1
- Have ATS system: No, don't need at all
- Have career website: No, but want in future
- Current hiring budget: RM3,600
- Whole year budget: RM3,600.00
- Whole year number of vacancies: Not specified
- Hiring frequency: Twice a year (50%)
- External job portal: Jobstreet</t>
        </is>
      </c>
      <c r="AT1546">
        <v>75</v>
      </c>
      <c r="AU1546" t="inlineStr">
        <is>
          <t>0.75</t>
        </is>
      </c>
      <c r="AV1546" t="inlineStr">
        <is>
          <t>15</t>
        </is>
      </c>
      <c r="AW1546" t="inlineStr">
        <is>
          <t>0</t>
        </is>
      </c>
      <c r="AX1546" t="inlineStr">
        <is>
          <t>Not Qualified</t>
        </is>
      </c>
      <c r="AY1546" s="4"/>
      <c r="AZ1546"/>
      <c r="BA1546"/>
      <c r="BB1546"/>
      <c r="BC1546" t="inlineStr">
        <is>
          <t>sharing boolean search update</t>
        </is>
      </c>
      <c r="BD1546" s="4">
        <v>46142.737280092595</v>
      </c>
      <c r="BE1546" t="inlineStr">
        <is>
          <t>paid</t>
        </is>
      </c>
      <c r="BF1546" t="inlineStr">
        <is>
          <t>Q2-W02</t>
        </is>
      </c>
      <c r="BG1546" t="inlineStr">
        <is>
          <t>Reschedule</t>
        </is>
      </c>
      <c r="BH1546" t="inlineStr">
        <is>
          <t>Edward Hoo</t>
        </is>
      </c>
      <c r="BI1546" t="inlineStr">
        <is>
          <t>Transportation / Logistics</t>
        </is>
      </c>
      <c r="BJ1546" s="4">
        <v>46144.751226851855</v>
      </c>
      <c r="BK1546" s="4">
        <v>44998.943923611114</v>
      </c>
      <c r="BL1546" t="inlineStr">
        <is>
          <t>3672.0</t>
        </is>
      </c>
      <c r="BM1546" t="inlineStr">
        <is>
          <t>0.0</t>
        </is>
      </c>
      <c r="BN1546" t="inlineStr">
        <is>
          <t>View Company Page</t>
        </is>
      </c>
      <c r="BO1546" s="4">
        <v>46135.39575231481</v>
      </c>
      <c r="BP1546">
        <v>166688</v>
      </c>
      <c r="BQ1546">
        <v>122392</v>
      </c>
      <c r="BR1546" t="inlineStr">
        <is>
          <t>Proforma</t>
        </is>
      </c>
      <c r="BS1546" t="inlineStr">
        <is>
          <t>Free High Pay Job</t>
        </is>
      </c>
      <c r="BT1546">
        <v>93371</v>
      </c>
      <c r="BU1546"/>
      <c r="BV1546">
        <v>2738445</v>
      </c>
      <c r="BW1546" t="inlineStr">
        <is>
          <t>Service / Technical : Job Outcome Enquiry</t>
        </is>
      </c>
      <c r="BX1546">
        <v>6</v>
      </c>
      <c r="BY1546">
        <v>5</v>
      </c>
      <c r="BZ1546" s="4">
        <v>46127.71115740741</v>
      </c>
      <c r="CA1546">
        <v>73</v>
      </c>
      <c r="CB1546">
        <v>72</v>
      </c>
      <c r="CC1546" s="4">
        <v>46127.71505787037</v>
      </c>
      <c r="CD1546" t="inlineStr">
        <is>
          <t>20</t>
        </is>
      </c>
      <c r="CE1546" t="inlineStr">
        <is>
          <t>0</t>
        </is>
      </c>
      <c r="CF1546" t="inlineStr">
        <is>
          <t>Q2-W02</t>
        </is>
      </c>
      <c r="CG1546" t="inlineStr">
        <is>
          <t>Q2-W02</t>
        </is>
      </c>
      <c r="CH1546" t="inlineStr">
        <is>
          <t>Q2-W02</t>
        </is>
      </c>
      <c r="CI1546"/>
      <c r="CJ1546" t="inlineStr">
        <is>
          <t>Paid</t>
        </is>
      </c>
      <c r="CK1546" t="inlineStr">
        <is>
          <t>Not Eligible</t>
        </is>
      </c>
      <c r="CL1546"/>
      <c r="CM1546"/>
    </row>
    <row r="1547" ht="25.5" customHeight="1">
      <c r="A1547" t="inlineStr">
        <is>
          <t>158553</t>
        </is>
      </c>
      <c r="B1547" s="2"/>
      <c r="C1547"/>
      <c r="D1547" s="3">
        <v>46126.41195601852</v>
      </c>
      <c r="E1547" t="inlineStr">
        <is>
          <t>Q2-W02</t>
        </is>
      </c>
      <c r="F1547" t="inlineStr">
        <is>
          <t>Carmen</t>
        </is>
      </c>
      <c r="G1547" t="inlineStr">
        <is>
          <t>Customer</t>
        </is>
      </c>
      <c r="H1547" s="2" t="str">
        <f>=HYPERLINK("https://upbox.ajobthing.my/customer/158553", "https://upbox.ajobthing.my/customer/158553")</f>
        <v>https://upbox.ajobthing.my/customer/158553</v>
      </c>
      <c r="I1547" t="inlineStr">
        <is>
          <t>The Luxe Clinic</t>
        </is>
      </c>
      <c r="J1547" t="inlineStr">
        <is>
          <t>Dolphin</t>
        </is>
      </c>
      <c r="K1547" t="inlineStr">
        <is>
          <t>Carmen</t>
        </is>
      </c>
      <c r="L1547" s="4"/>
      <c r="M1547" s="4">
        <v>46126.41075231481</v>
      </c>
      <c r="N1547"/>
      <c r="O1547">
        <v>2592</v>
      </c>
      <c r="P1547" s="4"/>
      <c r="Q1547" s="4">
        <v>45768.639085648145</v>
      </c>
      <c r="R1547"/>
      <c r="S1547">
        <v>1728</v>
      </c>
      <c r="T1547" s="4">
        <v>45768.639085648145</v>
      </c>
      <c r="U1547" s="4"/>
      <c r="V1547"/>
      <c r="W1547">
        <v>1728</v>
      </c>
      <c r="X1547"/>
      <c r="Y1547" t="inlineStr">
        <is>
          <t>Pending Appointment</t>
        </is>
      </c>
      <c r="Z1547" t="inlineStr">
        <is>
          <t>Hiring Now</t>
        </is>
      </c>
      <c r="AA1547">
        <v>2</v>
      </c>
      <c r="AB1547" t="inlineStr">
        <is>
          <t>No Appointment Made</t>
        </is>
      </c>
      <c r="AC1547"/>
      <c r="AD1547" t="inlineStr">
        <is>
          <t>2 marketing</t>
        </is>
      </c>
      <c r="AE1547"/>
      <c r="AF1547">
        <v>0</v>
      </c>
      <c r="AG1547" s="4"/>
      <c r="AH1547" s="4"/>
      <c r="AI1547"/>
      <c r="AJ1547"/>
      <c r="AK1547"/>
      <c r="AL1547"/>
      <c r="AM1547"/>
      <c r="AN1547"/>
      <c r="AO1547"/>
      <c r="AP1547" t="inlineStr">
        <is>
          <t>Once a year (25%)</t>
        </is>
      </c>
      <c r="AQ1547"/>
      <c r="AR1547"/>
      <c r="AS1547" t="inlineStr">
        <is>
          <t>- Headcount: 2
- Hiring Job Details: 2 marketing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1547">
        <v>75</v>
      </c>
      <c r="AU1547" t="inlineStr">
        <is>
          <t>0.75</t>
        </is>
      </c>
      <c r="AV1547" t="inlineStr">
        <is>
          <t>15</t>
        </is>
      </c>
      <c r="AW1547" t="inlineStr">
        <is>
          <t>0</t>
        </is>
      </c>
      <c r="AX1547" t="inlineStr">
        <is>
          <t>Not Qualified</t>
        </is>
      </c>
      <c r="AY1547" s="4"/>
      <c r="AZ1547"/>
      <c r="BA1547"/>
      <c r="BB1547"/>
      <c r="BC1547" t="inlineStr">
        <is>
          <t>share her the latest discount</t>
        </is>
      </c>
      <c r="BD1547" s="4">
        <v>46141.70743055556</v>
      </c>
      <c r="BE1547" t="inlineStr">
        <is>
          <t>paid</t>
        </is>
      </c>
      <c r="BF1547"/>
      <c r="BG1547" t="inlineStr">
        <is>
          <t>Reschedule</t>
        </is>
      </c>
      <c r="BH1547" t="inlineStr">
        <is>
          <t>Reagen</t>
        </is>
      </c>
      <c r="BI1547" t="inlineStr">
        <is>
          <t>Healthcare / Medical</t>
        </is>
      </c>
      <c r="BJ1547" s="4">
        <v>46144.75104166667</v>
      </c>
      <c r="BK1547" s="4">
        <v>44788.66954861111</v>
      </c>
      <c r="BL1547" t="inlineStr">
        <is>
          <t>0.0</t>
        </is>
      </c>
      <c r="BM1547" t="inlineStr">
        <is>
          <t>0.0</t>
        </is>
      </c>
      <c r="BN1547" t="inlineStr">
        <is>
          <t>View Company Page</t>
        </is>
      </c>
      <c r="BO1547" s="4">
        <v>46127.465949074074</v>
      </c>
      <c r="BP1547">
        <v>166864</v>
      </c>
      <c r="BQ1547">
        <v>78628</v>
      </c>
      <c r="BR1547" t="inlineStr">
        <is>
          <t>Online</t>
        </is>
      </c>
      <c r="BS1547"/>
      <c r="BT1547">
        <v>78628</v>
      </c>
      <c r="BU1547"/>
      <c r="BV1547">
        <v>2736055</v>
      </c>
      <c r="BW1547" t="inlineStr">
        <is>
          <t>Follow Up : Callback Request</t>
        </is>
      </c>
      <c r="BX1547"/>
      <c r="BY1547"/>
      <c r="BZ1547" s="4"/>
      <c r="CA1547"/>
      <c r="CB1547"/>
      <c r="CC1547" s="4"/>
      <c r="CD1547" t="inlineStr">
        <is>
          <t>20</t>
        </is>
      </c>
      <c r="CE1547" t="inlineStr">
        <is>
          <t>0</t>
        </is>
      </c>
      <c r="CF1547" t="inlineStr">
        <is>
          <t>Q2-W02</t>
        </is>
      </c>
      <c r="CG1547"/>
      <c r="CH1547"/>
      <c r="CI1547"/>
      <c r="CJ1547" t="inlineStr">
        <is>
          <t>Paid</t>
        </is>
      </c>
      <c r="CK1547" t="inlineStr">
        <is>
          <t>Not Eligible</t>
        </is>
      </c>
      <c r="CL1547"/>
      <c r="CM1547"/>
    </row>
    <row r="1548" ht="25.5" customHeight="1">
      <c r="A1548" t="inlineStr">
        <is>
          <t>167144</t>
        </is>
      </c>
      <c r="B1548" s="2"/>
      <c r="C1548"/>
      <c r="D1548" s="3">
        <v>46126.412835648145</v>
      </c>
      <c r="E1548" t="inlineStr">
        <is>
          <t>Q2-W02</t>
        </is>
      </c>
      <c r="F1548" t="inlineStr">
        <is>
          <t>Lucas</t>
        </is>
      </c>
      <c r="G1548" t="inlineStr">
        <is>
          <t>Customer</t>
        </is>
      </c>
      <c r="H1548" s="2" t="str">
        <f>=HYPERLINK("https://upbox.ajobthing.my/customer/167144", "https://upbox.ajobthing.my/customer/167144")</f>
        <v>https://upbox.ajobthing.my/customer/167144</v>
      </c>
      <c r="I1548" t="inlineStr">
        <is>
          <t>YAMATO TRANSPORT (M) SDN BHD</t>
        </is>
      </c>
      <c r="J1548" t="inlineStr">
        <is>
          <t>Dolphin</t>
        </is>
      </c>
      <c r="K1548" t="inlineStr">
        <is>
          <t>Lucas</t>
        </is>
      </c>
      <c r="L1548" s="4"/>
      <c r="M1548" s="4">
        <v>46126.410219907404</v>
      </c>
      <c r="N1548"/>
      <c r="O1548">
        <v>6048</v>
      </c>
      <c r="P1548" s="4"/>
      <c r="Q1548" s="4"/>
      <c r="R1548"/>
      <c r="S1548"/>
      <c r="T1548" s="4"/>
      <c r="U1548" s="4"/>
      <c r="V1548"/>
      <c r="W1548"/>
      <c r="X1548"/>
      <c r="Y1548" t="inlineStr">
        <is>
          <t>Pending Appointment</t>
        </is>
      </c>
      <c r="Z1548" t="inlineStr">
        <is>
          <t>Hiring Now</t>
        </is>
      </c>
      <c r="AA1548">
        <v>2</v>
      </c>
      <c r="AB1548" t="inlineStr">
        <is>
          <t>No Appointment Made</t>
        </is>
      </c>
      <c r="AC1548"/>
      <c r="AD1548" t="inlineStr">
        <is>
          <t xml:space="preserve">1 logistic operator , 1 sale </t>
        </is>
      </c>
      <c r="AE1548"/>
      <c r="AF1548">
        <v>0</v>
      </c>
      <c r="AG1548" s="4"/>
      <c r="AH1548" s="4"/>
      <c r="AI1548">
        <v>0</v>
      </c>
      <c r="AJ1548">
        <v>0</v>
      </c>
      <c r="AK1548" t="inlineStr">
        <is>
          <t>No, I don't need at all</t>
        </is>
      </c>
      <c r="AL1548">
        <v>0</v>
      </c>
      <c r="AM1548" t="inlineStr">
        <is>
          <t>No, I don't need at all</t>
        </is>
      </c>
      <c r="AN1548"/>
      <c r="AO1548" t="inlineStr">
        <is>
          <t>No, I don't need at all</t>
        </is>
      </c>
      <c r="AP1548" t="inlineStr">
        <is>
          <t>Once a year (25%)</t>
        </is>
      </c>
      <c r="AQ1548">
        <v>2</v>
      </c>
      <c r="AR1548" t="inlineStr">
        <is>
          <t>Did not use any job portal</t>
        </is>
      </c>
      <c r="AS1548" t="inlineStr">
        <is>
          <t>- Headcount: 2
- Hiring Job Details: 1 logistic operator, 1 sale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1548">
        <v>105</v>
      </c>
      <c r="AU1548" t="inlineStr">
        <is>
          <t>1.05</t>
        </is>
      </c>
      <c r="AV1548" t="inlineStr">
        <is>
          <t>15</t>
        </is>
      </c>
      <c r="AW1548" t="inlineStr">
        <is>
          <t>0</t>
        </is>
      </c>
      <c r="AX1548" t="inlineStr">
        <is>
          <t>Not Qualified</t>
        </is>
      </c>
      <c r="AY1548" s="4"/>
      <c r="AZ1548"/>
      <c r="BA1548"/>
      <c r="BB1548"/>
      <c r="BC1548" t="inlineStr">
        <is>
          <t>on hold 1st</t>
        </is>
      </c>
      <c r="BD1548" s="4">
        <v>46129.68633101852</v>
      </c>
      <c r="BE1548"/>
      <c r="BF1548"/>
      <c r="BG1548" t="inlineStr">
        <is>
          <t>Reschedule</t>
        </is>
      </c>
      <c r="BH1548" t="inlineStr">
        <is>
          <t>Yee Hang</t>
        </is>
      </c>
      <c r="BI1548"/>
      <c r="BJ1548" s="4">
        <v>46144.75131944445</v>
      </c>
      <c r="BK1548" s="4">
        <v>45064.65420138889</v>
      </c>
      <c r="BL1548" t="inlineStr">
        <is>
          <t>0.0</t>
        </is>
      </c>
      <c r="BM1548" t="inlineStr">
        <is>
          <t>2400.0</t>
        </is>
      </c>
      <c r="BN1548" t="inlineStr">
        <is>
          <t>View Company Page</t>
        </is>
      </c>
      <c r="BO1548" s="4">
        <v>46126.38065972222</v>
      </c>
      <c r="BP1548">
        <v>166863</v>
      </c>
      <c r="BQ1548"/>
      <c r="BR1548"/>
      <c r="BS1548"/>
      <c r="BT1548"/>
      <c r="BU1548"/>
      <c r="BV1548">
        <v>2712941</v>
      </c>
      <c r="BW1548" t="inlineStr">
        <is>
          <t>Follow Up : Budget Concern</t>
        </is>
      </c>
      <c r="BX1548"/>
      <c r="BY1548"/>
      <c r="BZ1548" s="4"/>
      <c r="CA1548"/>
      <c r="CB1548"/>
      <c r="CC1548" s="4"/>
      <c r="CD1548" t="inlineStr">
        <is>
          <t>20</t>
        </is>
      </c>
      <c r="CE1548" t="inlineStr">
        <is>
          <t>0</t>
        </is>
      </c>
      <c r="CF1548" t="inlineStr">
        <is>
          <t>Q2-W02</t>
        </is>
      </c>
      <c r="CG1548"/>
      <c r="CH1548"/>
      <c r="CI1548"/>
      <c r="CJ1548" t="inlineStr">
        <is>
          <t>No Paid</t>
        </is>
      </c>
      <c r="CK1548" t="inlineStr">
        <is>
          <t>Not Eligible</t>
        </is>
      </c>
      <c r="CL1548"/>
      <c r="CM1548"/>
    </row>
    <row r="1549" ht="25.5" customHeight="1">
      <c r="A1549" t="inlineStr">
        <is>
          <t>197198</t>
        </is>
      </c>
      <c r="B1549" s="2"/>
      <c r="C1549"/>
      <c r="D1549" s="3">
        <v>46126.41792824074</v>
      </c>
      <c r="E1549" t="inlineStr">
        <is>
          <t>Q2-W02</t>
        </is>
      </c>
      <c r="F1549" t="inlineStr">
        <is>
          <t>Jeff Lee</t>
        </is>
      </c>
      <c r="G1549" t="inlineStr">
        <is>
          <t>Customer</t>
        </is>
      </c>
      <c r="H1549" s="2" t="str">
        <f>=HYPERLINK("https://upbox.ajobthing.my/customer/197198", "https://upbox.ajobthing.my/customer/197198")</f>
        <v>https://upbox.ajobthing.my/customer/197198</v>
      </c>
      <c r="I1549" t="inlineStr">
        <is>
          <t>Duria Manufacturing Sdn Bhd</t>
        </is>
      </c>
      <c r="J1549" t="inlineStr">
        <is>
          <t>Dolphin</t>
        </is>
      </c>
      <c r="K1549" t="inlineStr">
        <is>
          <t>Jeff Lee</t>
        </is>
      </c>
      <c r="L1549" s="4"/>
      <c r="M1549" s="4">
        <v>46126.41856481481</v>
      </c>
      <c r="N1549"/>
      <c r="O1549">
        <v>3888</v>
      </c>
      <c r="P1549" s="4"/>
      <c r="Q1549" s="4"/>
      <c r="R1549"/>
      <c r="S1549"/>
      <c r="T1549" s="4"/>
      <c r="U1549" s="4"/>
      <c r="V1549"/>
      <c r="W1549"/>
      <c r="X1549"/>
      <c r="Y1549" t="inlineStr">
        <is>
          <t>Pending Appointment</t>
        </is>
      </c>
      <c r="Z1549" t="inlineStr">
        <is>
          <t>Hiring Now</t>
        </is>
      </c>
      <c r="AA1549">
        <v>1</v>
      </c>
      <c r="AB1549" t="inlineStr">
        <is>
          <t>No Appointment Made</t>
        </is>
      </c>
      <c r="AC1549"/>
      <c r="AD1549" t="inlineStr">
        <is>
          <t>1. Admin
2. 1 only for now</t>
        </is>
      </c>
      <c r="AE1549"/>
      <c r="AF1549">
        <v>0</v>
      </c>
      <c r="AG1549" s="4"/>
      <c r="AH1549" s="4"/>
      <c r="AI1549">
        <v>0</v>
      </c>
      <c r="AJ1549">
        <v>0</v>
      </c>
      <c r="AK1549" t="inlineStr">
        <is>
          <t>No, I don't need at all</t>
        </is>
      </c>
      <c r="AL1549">
        <v>0</v>
      </c>
      <c r="AM1549" t="inlineStr">
        <is>
          <t>No, I don't need at all</t>
        </is>
      </c>
      <c r="AN1549"/>
      <c r="AO1549" t="inlineStr">
        <is>
          <t>No, I don't need at all</t>
        </is>
      </c>
      <c r="AP1549" t="inlineStr">
        <is>
          <t>Twice a year (50%)</t>
        </is>
      </c>
      <c r="AQ1549">
        <v>2</v>
      </c>
      <c r="AR1549" t="inlineStr">
        <is>
          <t>Free Job Portal, Jobstreet</t>
        </is>
      </c>
      <c r="AS1549" t="inlineStr">
        <is>
          <t>- Headcount: 1
- Hiring Job Details: 1 admin, 1 only for now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Twice a year (50%)
- External job portal: Free Job Portal, Jobstreet</t>
        </is>
      </c>
      <c r="AT1549">
        <v>95</v>
      </c>
      <c r="AU1549" t="inlineStr">
        <is>
          <t>0.95</t>
        </is>
      </c>
      <c r="AV1549" t="inlineStr">
        <is>
          <t>15</t>
        </is>
      </c>
      <c r="AW1549" t="inlineStr">
        <is>
          <t>0</t>
        </is>
      </c>
      <c r="AX1549" t="inlineStr">
        <is>
          <t>Not Qualified</t>
        </is>
      </c>
      <c r="AY1549" s="4"/>
      <c r="AZ1549"/>
      <c r="BA1549"/>
      <c r="BB1549"/>
      <c r="BC1549" t="inlineStr">
        <is>
          <t>boss want foc</t>
        </is>
      </c>
      <c r="BD1549" s="4">
        <v>46136.41837962963</v>
      </c>
      <c r="BE1549"/>
      <c r="BF1549"/>
      <c r="BG1549" t="inlineStr">
        <is>
          <t>Reschedule</t>
        </is>
      </c>
      <c r="BH1549" t="inlineStr">
        <is>
          <t>Yee Hang</t>
        </is>
      </c>
      <c r="BI1549"/>
      <c r="BJ1549" s="4">
        <v>46144.75288194444</v>
      </c>
      <c r="BK1549" s="4">
        <v>45944.44671296296</v>
      </c>
      <c r="BL1549" t="inlineStr">
        <is>
          <t>0.0</t>
        </is>
      </c>
      <c r="BM1549" t="inlineStr">
        <is>
          <t>600.0</t>
        </is>
      </c>
      <c r="BN1549" t="inlineStr">
        <is>
          <t>View Company Page</t>
        </is>
      </c>
      <c r="BO1549" s="4">
        <v>45944.44856481482</v>
      </c>
      <c r="BP1549">
        <v>166866</v>
      </c>
      <c r="BQ1549"/>
      <c r="BR1549"/>
      <c r="BS1549"/>
      <c r="BT1549"/>
      <c r="BU1549"/>
      <c r="BV1549">
        <v>2725505</v>
      </c>
      <c r="BW1549" t="inlineStr">
        <is>
          <t>Follow Up : Lost - Free Portal</t>
        </is>
      </c>
      <c r="BX1549"/>
      <c r="BY1549"/>
      <c r="BZ1549" s="4"/>
      <c r="CA1549"/>
      <c r="CB1549"/>
      <c r="CC1549" s="4"/>
      <c r="CD1549" t="inlineStr">
        <is>
          <t>20</t>
        </is>
      </c>
      <c r="CE1549" t="inlineStr">
        <is>
          <t>0</t>
        </is>
      </c>
      <c r="CF1549" t="inlineStr">
        <is>
          <t>Q2-W02</t>
        </is>
      </c>
      <c r="CG1549"/>
      <c r="CH1549"/>
      <c r="CI1549"/>
      <c r="CJ1549" t="inlineStr">
        <is>
          <t>No Paid</t>
        </is>
      </c>
      <c r="CK1549" t="inlineStr">
        <is>
          <t>Not Eligible</t>
        </is>
      </c>
      <c r="CL1549"/>
      <c r="CM1549"/>
    </row>
    <row r="1550" ht="25.5" customHeight="1">
      <c r="A1550" t="inlineStr">
        <is>
          <t>4277451</t>
        </is>
      </c>
      <c r="B1550" s="2"/>
      <c r="C1550"/>
      <c r="D1550" s="3">
        <v>46126.42659722222</v>
      </c>
      <c r="E1550" t="inlineStr">
        <is>
          <t>Q2-W02</t>
        </is>
      </c>
      <c r="F1550" t="inlineStr">
        <is>
          <t>Alan KY</t>
        </is>
      </c>
      <c r="G1550" t="inlineStr">
        <is>
          <t>Lead</t>
        </is>
      </c>
      <c r="H1550" s="2" t="str">
        <f>=HYPERLINK("https://upbox.ajobthing.my/leads/4277451", "https://upbox.ajobthing.my/leads/4277451")</f>
        <v>https://upbox.ajobthing.my/leads/4277451</v>
      </c>
      <c r="I1550" t="inlineStr">
        <is>
          <t>marble emporium sdn bhd</t>
        </is>
      </c>
      <c r="J1550" t="inlineStr">
        <is>
          <t>Dolphin</t>
        </is>
      </c>
      <c r="K1550" t="inlineStr">
        <is>
          <t>Alan KY</t>
        </is>
      </c>
      <c r="L1550" s="4"/>
      <c r="M1550" s="4">
        <v>46126.42805555555</v>
      </c>
      <c r="N1550"/>
      <c r="O1550">
        <v>3888</v>
      </c>
      <c r="P1550" s="4"/>
      <c r="Q1550" s="4"/>
      <c r="R1550"/>
      <c r="S1550"/>
      <c r="T1550" s="4"/>
      <c r="U1550" s="4"/>
      <c r="V1550"/>
      <c r="W1550"/>
      <c r="X1550"/>
      <c r="Y1550" t="inlineStr">
        <is>
          <t>Pending Appointment</t>
        </is>
      </c>
      <c r="Z1550" t="inlineStr">
        <is>
          <t>Hiring Now</t>
        </is>
      </c>
      <c r="AA1550">
        <v>1</v>
      </c>
      <c r="AB1550" t="inlineStr">
        <is>
          <t>No Appointment Made</t>
        </is>
      </c>
      <c r="AC1550"/>
      <c r="AD1550" t="inlineStr">
        <is>
          <t xml:space="preserve">1 admin assistant, Johor </t>
        </is>
      </c>
      <c r="AE1550"/>
      <c r="AF1550"/>
      <c r="AG1550" s="4"/>
      <c r="AH1550" s="4"/>
      <c r="AI1550"/>
      <c r="AJ1550"/>
      <c r="AK1550" t="inlineStr">
        <is>
          <t>No, I don't need at all</t>
        </is>
      </c>
      <c r="AL1550"/>
      <c r="AM1550" t="inlineStr">
        <is>
          <t>No, I don't need at all</t>
        </is>
      </c>
      <c r="AN1550"/>
      <c r="AO1550" t="inlineStr">
        <is>
          <t>No, I don't need at all</t>
        </is>
      </c>
      <c r="AP1550" t="inlineStr">
        <is>
          <t>Twice a year (50%)</t>
        </is>
      </c>
      <c r="AQ1550"/>
      <c r="AR1550" t="inlineStr">
        <is>
          <t>Jobstore</t>
        </is>
      </c>
      <c r="AS1550" t="inlineStr">
        <is>
          <t>- Headcount: 1
- Hiring Job Details: 1 admin assistant, Johor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Twice a year (50%)
- External job portal: Jobstore</t>
        </is>
      </c>
      <c r="AT1550">
        <v>95</v>
      </c>
      <c r="AU1550" t="inlineStr">
        <is>
          <t>0.95</t>
        </is>
      </c>
      <c r="AV1550" t="inlineStr">
        <is>
          <t>5</t>
        </is>
      </c>
      <c r="AW1550" t="inlineStr">
        <is>
          <t>0</t>
        </is>
      </c>
      <c r="AX1550" t="inlineStr">
        <is>
          <t>Not Qualified</t>
        </is>
      </c>
      <c r="AY1550" s="4"/>
      <c r="AZ1550"/>
      <c r="BA1550"/>
      <c r="BB1550"/>
      <c r="BC1550"/>
      <c r="BD1550" s="4"/>
      <c r="BE1550"/>
      <c r="BF1550"/>
      <c r="BG1550" t="inlineStr">
        <is>
          <t>Reschedule</t>
        </is>
      </c>
      <c r="BH1550" t="inlineStr">
        <is>
          <t>Reagen</t>
        </is>
      </c>
      <c r="BI1550"/>
      <c r="BJ1550" s="4">
        <v>46144.75581018518</v>
      </c>
      <c r="BK1550" s="4">
        <v>46125.75145833333</v>
      </c>
      <c r="BL1550" t="inlineStr">
        <is>
          <t>0.0</t>
        </is>
      </c>
      <c r="BM1550" t="inlineStr">
        <is>
          <t>0.0</t>
        </is>
      </c>
      <c r="BN1550"/>
      <c r="BO1550" s="4"/>
      <c r="BP1550">
        <v>166872</v>
      </c>
      <c r="BQ1550"/>
      <c r="BR1550"/>
      <c r="BS1550"/>
      <c r="BT1550"/>
      <c r="BU1550"/>
      <c r="BV1550"/>
      <c r="BW1550"/>
      <c r="BX1550"/>
      <c r="BY1550"/>
      <c r="BZ1550" s="4"/>
      <c r="CA1550"/>
      <c r="CB1550"/>
      <c r="CC1550" s="4"/>
      <c r="CD1550" t="inlineStr">
        <is>
          <t>5</t>
        </is>
      </c>
      <c r="CE1550" t="inlineStr">
        <is>
          <t>0</t>
        </is>
      </c>
      <c r="CF1550" t="inlineStr">
        <is>
          <t>Q2-W02</t>
        </is>
      </c>
      <c r="CG1550"/>
      <c r="CH1550"/>
      <c r="CI1550"/>
      <c r="CJ1550" t="inlineStr">
        <is>
          <t>No Paid</t>
        </is>
      </c>
      <c r="CK1550" t="inlineStr">
        <is>
          <t>Not Eligible</t>
        </is>
      </c>
      <c r="CL1550"/>
      <c r="CM1550"/>
    </row>
    <row r="1551" ht="25.5" customHeight="1">
      <c r="A1551" t="inlineStr">
        <is>
          <t>154236</t>
        </is>
      </c>
      <c r="B1551" s="2"/>
      <c r="C1551"/>
      <c r="D1551" s="3">
        <v>46126.428506944445</v>
      </c>
      <c r="E1551" t="inlineStr">
        <is>
          <t>Q2-W02</t>
        </is>
      </c>
      <c r="F1551" t="inlineStr">
        <is>
          <t>Xin Hui</t>
        </is>
      </c>
      <c r="G1551" t="inlineStr">
        <is>
          <t>Customer</t>
        </is>
      </c>
      <c r="H1551" s="2" t="str">
        <f>=HYPERLINK("https://upbox.ajobthing.my/customer/154236", "https://upbox.ajobthing.my/customer/154236")</f>
        <v>https://upbox.ajobthing.my/customer/154236</v>
      </c>
      <c r="I1551" t="inlineStr">
        <is>
          <t>Chop Ching Hin Nursery Sdn Bhd</t>
        </is>
      </c>
      <c r="J1551" t="inlineStr">
        <is>
          <t>Dolphin</t>
        </is>
      </c>
      <c r="K1551" t="inlineStr">
        <is>
          <t>Xin Hui</t>
        </is>
      </c>
      <c r="L1551" s="4"/>
      <c r="M1551" s="4">
        <v>46126.42928240741</v>
      </c>
      <c r="N1551"/>
      <c r="O1551">
        <v>3888</v>
      </c>
      <c r="P1551" s="4"/>
      <c r="Q1551" s="4"/>
      <c r="R1551"/>
      <c r="S1551"/>
      <c r="T1551" s="4"/>
      <c r="U1551" s="4"/>
      <c r="V1551"/>
      <c r="W1551"/>
      <c r="X1551"/>
      <c r="Y1551" t="inlineStr">
        <is>
          <t>Pending Appointment</t>
        </is>
      </c>
      <c r="Z1551" t="inlineStr">
        <is>
          <t>Hiring Now</t>
        </is>
      </c>
      <c r="AA1551">
        <v>6</v>
      </c>
      <c r="AB1551" t="inlineStr">
        <is>
          <t>No Appointment Made</t>
        </is>
      </c>
      <c r="AC1551"/>
      <c r="AD1551" t="inlineStr">
        <is>
          <t>5 lorry driver // 1 operation manager</t>
        </is>
      </c>
      <c r="AE1551"/>
      <c r="AF1551"/>
      <c r="AG1551" s="4"/>
      <c r="AH1551" s="4"/>
      <c r="AI1551"/>
      <c r="AJ1551"/>
      <c r="AK1551" t="inlineStr">
        <is>
          <t>No, I don't need at all</t>
        </is>
      </c>
      <c r="AL1551"/>
      <c r="AM1551" t="inlineStr">
        <is>
          <t>No, I don't need at all</t>
        </is>
      </c>
      <c r="AN1551"/>
      <c r="AO1551" t="inlineStr">
        <is>
          <t>No, I don't need at all</t>
        </is>
      </c>
      <c r="AP1551" t="inlineStr">
        <is>
          <t>Once a year (25%)</t>
        </is>
      </c>
      <c r="AQ1551"/>
      <c r="AR1551" t="inlineStr">
        <is>
          <t>Indeed (Paid)</t>
        </is>
      </c>
      <c r="AS1551" t="inlineStr">
        <is>
          <t>- Headcount: 6
- Hiring Job Details: 5 lorry driver // 1 operation manager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Indeed (Paid)</t>
        </is>
      </c>
      <c r="AT1551">
        <v>75</v>
      </c>
      <c r="AU1551" t="inlineStr">
        <is>
          <t>0.75</t>
        </is>
      </c>
      <c r="AV1551" t="inlineStr">
        <is>
          <t>10</t>
        </is>
      </c>
      <c r="AW1551" t="inlineStr">
        <is>
          <t>0</t>
        </is>
      </c>
      <c r="AX1551" t="inlineStr">
        <is>
          <t>Not Qualified</t>
        </is>
      </c>
      <c r="AY1551" s="4"/>
      <c r="AZ1551"/>
      <c r="BA1551"/>
      <c r="BB1551"/>
      <c r="BC1551" t="inlineStr">
        <is>
          <t>pending / hang up</t>
        </is>
      </c>
      <c r="BD1551" s="4">
        <v>46140.614756944444</v>
      </c>
      <c r="BE1551"/>
      <c r="BF1551"/>
      <c r="BG1551" t="inlineStr">
        <is>
          <t>Reschedule</t>
        </is>
      </c>
      <c r="BH1551" t="inlineStr">
        <is>
          <t>Yee Hang</t>
        </is>
      </c>
      <c r="BI1551"/>
      <c r="BJ1551" s="4">
        <v>46144.7509375</v>
      </c>
      <c r="BK1551" s="4">
        <v>44699.76368055555</v>
      </c>
      <c r="BL1551" t="inlineStr">
        <is>
          <t>0.0</t>
        </is>
      </c>
      <c r="BM1551" t="inlineStr">
        <is>
          <t>1200.0</t>
        </is>
      </c>
      <c r="BN1551" t="inlineStr">
        <is>
          <t>View Candidate Search Page</t>
        </is>
      </c>
      <c r="BO1551" s="4">
        <v>45992.68545138889</v>
      </c>
      <c r="BP1551">
        <v>166875</v>
      </c>
      <c r="BQ1551"/>
      <c r="BR1551"/>
      <c r="BS1551"/>
      <c r="BT1551"/>
      <c r="BU1551"/>
      <c r="BV1551">
        <v>2732848</v>
      </c>
      <c r="BW1551" t="inlineStr">
        <is>
          <t>Follow Up : Decision Pending</t>
        </is>
      </c>
      <c r="BX1551"/>
      <c r="BY1551"/>
      <c r="BZ1551" s="4"/>
      <c r="CA1551"/>
      <c r="CB1551"/>
      <c r="CC1551" s="4"/>
      <c r="CD1551" t="inlineStr">
        <is>
          <t>15</t>
        </is>
      </c>
      <c r="CE1551" t="inlineStr">
        <is>
          <t>0</t>
        </is>
      </c>
      <c r="CF1551" t="inlineStr">
        <is>
          <t>Q2-W02</t>
        </is>
      </c>
      <c r="CG1551"/>
      <c r="CH1551"/>
      <c r="CI1551"/>
      <c r="CJ1551" t="inlineStr">
        <is>
          <t>No Paid</t>
        </is>
      </c>
      <c r="CK1551" t="inlineStr">
        <is>
          <t>Not Eligible</t>
        </is>
      </c>
      <c r="CL1551"/>
      <c r="CM1551"/>
    </row>
    <row r="1552" ht="25.5" customHeight="1">
      <c r="A1552" t="inlineStr">
        <is>
          <t>4277047</t>
        </is>
      </c>
      <c r="B1552" s="2"/>
      <c r="C1552"/>
      <c r="D1552" s="3">
        <v>46126.431296296294</v>
      </c>
      <c r="E1552" t="inlineStr">
        <is>
          <t>Q2-W02</t>
        </is>
      </c>
      <c r="F1552" t="inlineStr">
        <is>
          <t>Lucas</t>
        </is>
      </c>
      <c r="G1552" t="inlineStr">
        <is>
          <t>Lead</t>
        </is>
      </c>
      <c r="H1552" s="2" t="str">
        <f>=HYPERLINK("https://upbox.ajobthing.my/leads/4277047", "https://upbox.ajobthing.my/leads/4277047")</f>
        <v>https://upbox.ajobthing.my/leads/4277047</v>
      </c>
      <c r="I1552" t="inlineStr">
        <is>
          <t>EIK Engineering Sdn Bhd</t>
        </is>
      </c>
      <c r="J1552" t="inlineStr">
        <is>
          <t>Dolphin</t>
        </is>
      </c>
      <c r="K1552" t="inlineStr">
        <is>
          <t>Lucas</t>
        </is>
      </c>
      <c r="L1552" s="4"/>
      <c r="M1552" s="4">
        <v>46126.42927083333</v>
      </c>
      <c r="N1552"/>
      <c r="O1552">
        <v>3888</v>
      </c>
      <c r="P1552" s="4"/>
      <c r="Q1552" s="4"/>
      <c r="R1552"/>
      <c r="S1552"/>
      <c r="T1552" s="4"/>
      <c r="U1552" s="4"/>
      <c r="V1552"/>
      <c r="W1552"/>
      <c r="X1552"/>
      <c r="Y1552" t="inlineStr">
        <is>
          <t>Pending Appointment</t>
        </is>
      </c>
      <c r="Z1552" t="inlineStr">
        <is>
          <t>Hiring Now</t>
        </is>
      </c>
      <c r="AA1552">
        <v>1</v>
      </c>
      <c r="AB1552" t="inlineStr">
        <is>
          <t>No Appointment Made</t>
        </is>
      </c>
      <c r="AC1552"/>
      <c r="AD1552" t="inlineStr">
        <is>
          <t>1 business operator assistance</t>
        </is>
      </c>
      <c r="AE1552"/>
      <c r="AF1552">
        <v>0</v>
      </c>
      <c r="AG1552" s="4"/>
      <c r="AH1552" s="4"/>
      <c r="AI1552">
        <v>0</v>
      </c>
      <c r="AJ1552">
        <v>0</v>
      </c>
      <c r="AK1552" t="inlineStr">
        <is>
          <t>No, I don't need at all</t>
        </is>
      </c>
      <c r="AL1552">
        <v>0</v>
      </c>
      <c r="AM1552" t="inlineStr">
        <is>
          <t>No, I don't need at all</t>
        </is>
      </c>
      <c r="AN1552"/>
      <c r="AO1552" t="inlineStr">
        <is>
          <t>No, I don't need at all</t>
        </is>
      </c>
      <c r="AP1552" t="inlineStr">
        <is>
          <t>Once a year (25%)</t>
        </is>
      </c>
      <c r="AQ1552">
        <v>1</v>
      </c>
      <c r="AR1552" t="inlineStr">
        <is>
          <t>Did not use any job portal</t>
        </is>
      </c>
      <c r="AS1552" t="inlineStr">
        <is>
          <t>- Headcount: 1
- Hiring Job Details: 1 business operator assistance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552">
        <v>105</v>
      </c>
      <c r="AU1552" t="inlineStr">
        <is>
          <t>1.05</t>
        </is>
      </c>
      <c r="AV1552" t="inlineStr">
        <is>
          <t>15</t>
        </is>
      </c>
      <c r="AW1552" t="inlineStr">
        <is>
          <t>0</t>
        </is>
      </c>
      <c r="AX1552" t="inlineStr">
        <is>
          <t>Not Qualified</t>
        </is>
      </c>
      <c r="AY1552" s="4"/>
      <c r="AZ1552"/>
      <c r="BA1552"/>
      <c r="BB1552"/>
      <c r="BC1552"/>
      <c r="BD1552" s="4"/>
      <c r="BE1552"/>
      <c r="BF1552"/>
      <c r="BG1552" t="inlineStr">
        <is>
          <t>Reschedule</t>
        </is>
      </c>
      <c r="BH1552" t="inlineStr">
        <is>
          <t>Yee Hang</t>
        </is>
      </c>
      <c r="BI1552"/>
      <c r="BJ1552" s="4">
        <v>46144.75581018518</v>
      </c>
      <c r="BK1552" s="4">
        <v>46125.68188657407</v>
      </c>
      <c r="BL1552" t="inlineStr">
        <is>
          <t>0.0</t>
        </is>
      </c>
      <c r="BM1552" t="inlineStr">
        <is>
          <t>3600.0</t>
        </is>
      </c>
      <c r="BN1552"/>
      <c r="BO1552" s="4"/>
      <c r="BP1552">
        <v>166874</v>
      </c>
      <c r="BQ1552"/>
      <c r="BR1552"/>
      <c r="BS1552"/>
      <c r="BT1552"/>
      <c r="BU1552"/>
      <c r="BV1552"/>
      <c r="BW1552"/>
      <c r="BX1552"/>
      <c r="BY1552"/>
      <c r="BZ1552" s="4"/>
      <c r="CA1552"/>
      <c r="CB1552"/>
      <c r="CC1552" s="4"/>
      <c r="CD1552" t="inlineStr">
        <is>
          <t>20</t>
        </is>
      </c>
      <c r="CE1552" t="inlineStr">
        <is>
          <t>0</t>
        </is>
      </c>
      <c r="CF1552" t="inlineStr">
        <is>
          <t>Q2-W02</t>
        </is>
      </c>
      <c r="CG1552"/>
      <c r="CH1552"/>
      <c r="CI1552"/>
      <c r="CJ1552" t="inlineStr">
        <is>
          <t>No Paid</t>
        </is>
      </c>
      <c r="CK1552" t="inlineStr">
        <is>
          <t>Not Eligible</t>
        </is>
      </c>
      <c r="CL1552"/>
      <c r="CM1552"/>
    </row>
    <row r="1553" ht="25.5" customHeight="1">
      <c r="A1553" t="inlineStr">
        <is>
          <t>4278193</t>
        </is>
      </c>
      <c r="B1553" s="2"/>
      <c r="C1553"/>
      <c r="D1553" s="3">
        <v>46126.4371875</v>
      </c>
      <c r="E1553" t="inlineStr">
        <is>
          <t>Q2-W02</t>
        </is>
      </c>
      <c r="F1553" t="inlineStr">
        <is>
          <t>Evan</t>
        </is>
      </c>
      <c r="G1553" t="inlineStr">
        <is>
          <t>Lead</t>
        </is>
      </c>
      <c r="H1553" s="2" t="str">
        <f>=HYPERLINK("https://upbox.ajobthing.my/leads/4278193", "https://upbox.ajobthing.my/leads/4278193")</f>
        <v>https://upbox.ajobthing.my/leads/4278193</v>
      </c>
      <c r="I1553" t="inlineStr">
        <is>
          <t>united allied business sdn. bhd</t>
        </is>
      </c>
      <c r="J1553" t="inlineStr">
        <is>
          <t>Dolphin</t>
        </is>
      </c>
      <c r="K1553" t="inlineStr">
        <is>
          <t>Evan</t>
        </is>
      </c>
      <c r="L1553" s="4"/>
      <c r="M1553" s="4">
        <v>46126.43502314815</v>
      </c>
      <c r="N1553"/>
      <c r="O1553">
        <v>3888</v>
      </c>
      <c r="P1553" s="4"/>
      <c r="Q1553" s="4"/>
      <c r="R1553"/>
      <c r="S1553"/>
      <c r="T1553" s="4"/>
      <c r="U1553" s="4"/>
      <c r="V1553"/>
      <c r="W1553"/>
      <c r="X1553"/>
      <c r="Y1553" t="inlineStr">
        <is>
          <t>Pending Appointment</t>
        </is>
      </c>
      <c r="Z1553" t="inlineStr">
        <is>
          <t>Hiring Now</t>
        </is>
      </c>
      <c r="AA1553">
        <v>2</v>
      </c>
      <c r="AB1553" t="inlineStr">
        <is>
          <t>No Appointment Made</t>
        </is>
      </c>
      <c r="AC1553"/>
      <c r="AD1553" t="inlineStr">
        <is>
          <t>2 software dev, all base in KL</t>
        </is>
      </c>
      <c r="AE1553"/>
      <c r="AF1553">
        <v>1</v>
      </c>
      <c r="AG1553" s="4"/>
      <c r="AH1553" s="4"/>
      <c r="AI1553">
        <v>1</v>
      </c>
      <c r="AJ1553">
        <v>1</v>
      </c>
      <c r="AK1553" t="inlineStr">
        <is>
          <t>No, I don't need at all</t>
        </is>
      </c>
      <c r="AL1553">
        <v>0</v>
      </c>
      <c r="AM1553" t="inlineStr">
        <is>
          <t>No, I don't need at all</t>
        </is>
      </c>
      <c r="AN1553"/>
      <c r="AO1553" t="inlineStr">
        <is>
          <t>No, I don't need at all</t>
        </is>
      </c>
      <c r="AP1553" t="inlineStr">
        <is>
          <t>Once a year (25%)</t>
        </is>
      </c>
      <c r="AQ1553">
        <v>2</v>
      </c>
      <c r="AR1553" t="inlineStr">
        <is>
          <t>Jobstreet</t>
        </is>
      </c>
      <c r="AS1553" t="inlineStr">
        <is>
          <t>- Headcount: 2
- Hiring Job Details: 2 software dev,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Jobstreet</t>
        </is>
      </c>
      <c r="AT1553">
        <v>110</v>
      </c>
      <c r="AU1553" t="inlineStr">
        <is>
          <t>1.10</t>
        </is>
      </c>
      <c r="AV1553" t="inlineStr">
        <is>
          <t>15</t>
        </is>
      </c>
      <c r="AW1553" t="inlineStr">
        <is>
          <t>0</t>
        </is>
      </c>
      <c r="AX1553" t="inlineStr">
        <is>
          <t>Not Qualified</t>
        </is>
      </c>
      <c r="AY1553" s="4"/>
      <c r="AZ1553"/>
      <c r="BA1553"/>
      <c r="BB1553"/>
      <c r="BC1553"/>
      <c r="BD1553" s="4"/>
      <c r="BE1553"/>
      <c r="BF1553"/>
      <c r="BG1553" t="inlineStr">
        <is>
          <t>Reschedule</t>
        </is>
      </c>
      <c r="BH1553" t="inlineStr">
        <is>
          <t>Edward Hoo</t>
        </is>
      </c>
      <c r="BI1553"/>
      <c r="BJ1553" s="4">
        <v>46144.75581018518</v>
      </c>
      <c r="BK1553" s="4">
        <v>46125.98092592593</v>
      </c>
      <c r="BL1553" t="inlineStr">
        <is>
          <t>0.0</t>
        </is>
      </c>
      <c r="BM1553" t="inlineStr">
        <is>
          <t>0.0</t>
        </is>
      </c>
      <c r="BN1553"/>
      <c r="BO1553" s="4"/>
      <c r="BP1553">
        <v>166876</v>
      </c>
      <c r="BQ1553"/>
      <c r="BR1553"/>
      <c r="BS1553"/>
      <c r="BT1553"/>
      <c r="BU1553"/>
      <c r="BV1553"/>
      <c r="BW1553"/>
      <c r="BX1553"/>
      <c r="BY1553"/>
      <c r="BZ1553" s="4"/>
      <c r="CA1553"/>
      <c r="CB1553"/>
      <c r="CC1553" s="4"/>
      <c r="CD1553" t="inlineStr">
        <is>
          <t>20</t>
        </is>
      </c>
      <c r="CE1553" t="inlineStr">
        <is>
          <t>0</t>
        </is>
      </c>
      <c r="CF1553" t="inlineStr">
        <is>
          <t>Q2-W02</t>
        </is>
      </c>
      <c r="CG1553"/>
      <c r="CH1553"/>
      <c r="CI1553"/>
      <c r="CJ1553" t="inlineStr">
        <is>
          <t>No Paid</t>
        </is>
      </c>
      <c r="CK1553" t="inlineStr">
        <is>
          <t>Not Eligible</t>
        </is>
      </c>
      <c r="CL1553"/>
      <c r="CM1553"/>
    </row>
    <row r="1554" ht="25.5" customHeight="1">
      <c r="A1554" t="inlineStr">
        <is>
          <t>168081</t>
        </is>
      </c>
      <c r="B1554" s="2"/>
      <c r="C1554"/>
      <c r="D1554" s="3">
        <v>46126.43912037037</v>
      </c>
      <c r="E1554" t="inlineStr">
        <is>
          <t>Q2-W02</t>
        </is>
      </c>
      <c r="F1554" t="inlineStr">
        <is>
          <t>Xin Quan</t>
        </is>
      </c>
      <c r="G1554" t="inlineStr">
        <is>
          <t>Customer</t>
        </is>
      </c>
      <c r="H1554" s="2" t="str">
        <f>=HYPERLINK("https://upbox.ajobthing.my/customer/168081", "https://upbox.ajobthing.my/customer/168081")</f>
        <v>https://upbox.ajobthing.my/customer/168081</v>
      </c>
      <c r="I1554" t="inlineStr">
        <is>
          <t>Xpert Advisory Enterprise</t>
        </is>
      </c>
      <c r="J1554" t="inlineStr">
        <is>
          <t>Dolphin</t>
        </is>
      </c>
      <c r="K1554" t="inlineStr">
        <is>
          <t>Xin Quan</t>
        </is>
      </c>
      <c r="L1554" s="4"/>
      <c r="M1554" s="4">
        <v>46126.439305555556</v>
      </c>
      <c r="N1554"/>
      <c r="O1554">
        <v>3888</v>
      </c>
      <c r="P1554" s="4"/>
      <c r="Q1554" s="4">
        <v>45104.00001157408</v>
      </c>
      <c r="R1554"/>
      <c r="S1554">
        <v>636</v>
      </c>
      <c r="T1554" s="4">
        <v>45104.00001157408</v>
      </c>
      <c r="U1554" s="4"/>
      <c r="V1554"/>
      <c r="W1554">
        <v>636</v>
      </c>
      <c r="X1554"/>
      <c r="Y1554" t="inlineStr">
        <is>
          <t>Pending Appointment</t>
        </is>
      </c>
      <c r="Z1554" t="inlineStr">
        <is>
          <t>Hiring Now</t>
        </is>
      </c>
      <c r="AA1554">
        <v>1</v>
      </c>
      <c r="AB1554" t="inlineStr">
        <is>
          <t>No Appointment Made</t>
        </is>
      </c>
      <c r="AC1554"/>
      <c r="AD1554" t="inlineStr">
        <is>
          <t>1 Admin , Base in KL</t>
        </is>
      </c>
      <c r="AE1554"/>
      <c r="AF1554">
        <v>2000</v>
      </c>
      <c r="AG1554" s="4"/>
      <c r="AH1554" s="4"/>
      <c r="AI1554">
        <v>24000</v>
      </c>
      <c r="AJ1554">
        <v>1</v>
      </c>
      <c r="AK1554"/>
      <c r="AL1554"/>
      <c r="AM1554"/>
      <c r="AN1554"/>
      <c r="AO1554"/>
      <c r="AP1554"/>
      <c r="AQ1554">
        <v>1</v>
      </c>
      <c r="AR1554"/>
      <c r="AS1554" t="inlineStr">
        <is>
          <t>- Headcount: 1
- Hiring Job Details: 1 Admin,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554">
        <v>100</v>
      </c>
      <c r="AU1554" t="inlineStr">
        <is>
          <t>1.00</t>
        </is>
      </c>
      <c r="AV1554" t="inlineStr">
        <is>
          <t>15</t>
        </is>
      </c>
      <c r="AW1554" t="inlineStr">
        <is>
          <t>0</t>
        </is>
      </c>
      <c r="AX1554" t="inlineStr">
        <is>
          <t>Not Qualified</t>
        </is>
      </c>
      <c r="AY1554" s="4"/>
      <c r="AZ1554"/>
      <c r="BA1554"/>
      <c r="BB1554"/>
      <c r="BC1554" t="inlineStr">
        <is>
          <t>NA</t>
        </is>
      </c>
      <c r="BD1554" s="4">
        <v>46135.62699074074</v>
      </c>
      <c r="BE1554" t="inlineStr">
        <is>
          <t>paid</t>
        </is>
      </c>
      <c r="BF1554"/>
      <c r="BG1554" t="inlineStr">
        <is>
          <t>Reschedule</t>
        </is>
      </c>
      <c r="BH1554" t="inlineStr">
        <is>
          <t>Edward Hoo</t>
        </is>
      </c>
      <c r="BI1554"/>
      <c r="BJ1554" s="4">
        <v>46144.75134259259</v>
      </c>
      <c r="BK1554" s="4">
        <v>45091.47597222222</v>
      </c>
      <c r="BL1554" t="inlineStr">
        <is>
          <t>0.0</t>
        </is>
      </c>
      <c r="BM1554" t="inlineStr">
        <is>
          <t>3000.0</t>
        </is>
      </c>
      <c r="BN1554" t="inlineStr">
        <is>
          <t>View Company Page</t>
        </is>
      </c>
      <c r="BO1554" s="4">
        <v>45181.67508101852</v>
      </c>
      <c r="BP1554">
        <v>166880</v>
      </c>
      <c r="BQ1554">
        <v>59607</v>
      </c>
      <c r="BR1554" t="inlineStr">
        <is>
          <t>Online</t>
        </is>
      </c>
      <c r="BS1554"/>
      <c r="BT1554">
        <v>59607</v>
      </c>
      <c r="BU1554"/>
      <c r="BV1554">
        <v>2723826</v>
      </c>
      <c r="BW1554" t="inlineStr">
        <is>
          <t>No Answer : Voicemail - WA sent to customer</t>
        </is>
      </c>
      <c r="BX1554"/>
      <c r="BY1554"/>
      <c r="BZ1554" s="4"/>
      <c r="CA1554"/>
      <c r="CB1554"/>
      <c r="CC1554" s="4"/>
      <c r="CD1554" t="inlineStr">
        <is>
          <t>20</t>
        </is>
      </c>
      <c r="CE1554" t="inlineStr">
        <is>
          <t>0</t>
        </is>
      </c>
      <c r="CF1554" t="inlineStr">
        <is>
          <t>Q2-W02</t>
        </is>
      </c>
      <c r="CG1554"/>
      <c r="CH1554"/>
      <c r="CI1554"/>
      <c r="CJ1554" t="inlineStr">
        <is>
          <t>Paid</t>
        </is>
      </c>
      <c r="CK1554" t="inlineStr">
        <is>
          <t>Not Eligible</t>
        </is>
      </c>
      <c r="CL1554"/>
      <c r="CM1554"/>
    </row>
    <row r="1555" ht="25.5" customHeight="1">
      <c r="A1555" t="inlineStr">
        <is>
          <t>201951</t>
        </is>
      </c>
      <c r="B1555" s="2"/>
      <c r="C1555"/>
      <c r="D1555" s="3">
        <v>46126.44055555556</v>
      </c>
      <c r="E1555" t="inlineStr">
        <is>
          <t>Q2-W02</t>
        </is>
      </c>
      <c r="F1555" t="inlineStr">
        <is>
          <t>Clover</t>
        </is>
      </c>
      <c r="G1555" t="inlineStr">
        <is>
          <t>Customer</t>
        </is>
      </c>
      <c r="H1555" s="2" t="str">
        <f>=HYPERLINK("https://upbox.ajobthing.my/customer/201951", "https://upbox.ajobthing.my/customer/201951")</f>
        <v>https://upbox.ajobthing.my/customer/201951</v>
      </c>
      <c r="I1555" t="inlineStr">
        <is>
          <t xml:space="preserve">Vitalion Sdn Bhd. </t>
        </is>
      </c>
      <c r="J1555" t="inlineStr">
        <is>
          <t>Dolphin</t>
        </is>
      </c>
      <c r="K1555" t="inlineStr">
        <is>
          <t>Clover</t>
        </is>
      </c>
      <c r="L1555" s="4"/>
      <c r="M1555" s="4">
        <v>46126.44079861111</v>
      </c>
      <c r="N1555"/>
      <c r="O1555">
        <v>6048</v>
      </c>
      <c r="P1555" s="4"/>
      <c r="Q1555" s="4">
        <v>46122.54445601852</v>
      </c>
      <c r="R1555"/>
      <c r="S1555">
        <v>0</v>
      </c>
      <c r="T1555" s="4"/>
      <c r="U1555" s="4"/>
      <c r="V1555"/>
      <c r="W1555"/>
      <c r="X1555"/>
      <c r="Y1555" t="inlineStr">
        <is>
          <t>Pending Appointment</t>
        </is>
      </c>
      <c r="Z1555" t="inlineStr">
        <is>
          <t>Hiring Now</t>
        </is>
      </c>
      <c r="AA1555">
        <v>10</v>
      </c>
      <c r="AB1555" t="inlineStr">
        <is>
          <t>No Appointment Made</t>
        </is>
      </c>
      <c r="AC1555"/>
      <c r="AD1555" t="inlineStr">
        <is>
          <t>Hire wealth planner / intern x10,  all races, future have hiring, insurance services penang, suggest pro</t>
        </is>
      </c>
      <c r="AE1555"/>
      <c r="AF1555">
        <v>5000</v>
      </c>
      <c r="AG1555" s="4"/>
      <c r="AH1555" s="4"/>
      <c r="AI1555">
        <v>5000</v>
      </c>
      <c r="AJ1555">
        <v>1</v>
      </c>
      <c r="AK1555" t="inlineStr">
        <is>
          <t>No, but I want in future</t>
        </is>
      </c>
      <c r="AL1555">
        <v>1</v>
      </c>
      <c r="AM1555" t="inlineStr">
        <is>
          <t>No, but I want in future</t>
        </is>
      </c>
      <c r="AN1555"/>
      <c r="AO1555" t="inlineStr">
        <is>
          <t>No, but I want in future</t>
        </is>
      </c>
      <c r="AP1555" t="inlineStr">
        <is>
          <t>Once per quarter (75%)</t>
        </is>
      </c>
      <c r="AQ1555">
        <v>10</v>
      </c>
      <c r="AR1555" t="inlineStr">
        <is>
          <t>Did not use any job portal</t>
        </is>
      </c>
      <c r="AS1555" t="inlineStr">
        <is>
          <t>- Headcount: 10
- Hiring Job Details: Hire wealth planner / intern x10, all races, future hiring plan, insurance services in Penang,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10
- Hiring frequency: Once per quarter (75%)
- External job portal: Did not use any</t>
        </is>
      </c>
      <c r="AT1555">
        <v>115</v>
      </c>
      <c r="AU1555" t="inlineStr">
        <is>
          <t>1.15</t>
        </is>
      </c>
      <c r="AV1555" t="inlineStr">
        <is>
          <t>20</t>
        </is>
      </c>
      <c r="AW1555" t="inlineStr">
        <is>
          <t>0</t>
        </is>
      </c>
      <c r="AX1555" t="inlineStr">
        <is>
          <t>Not Qualified</t>
        </is>
      </c>
      <c r="AY1555" s="4"/>
      <c r="AZ1555"/>
      <c r="BA1555"/>
      <c r="BB1555"/>
      <c r="BC1555" t="inlineStr">
        <is>
          <t>Still considering</t>
        </is>
      </c>
      <c r="BD1555" s="4">
        <v>46133.70707175926</v>
      </c>
      <c r="BE1555" t="inlineStr">
        <is>
          <t>paid</t>
        </is>
      </c>
      <c r="BF1555"/>
      <c r="BG1555" t="inlineStr">
        <is>
          <t>Reschedule</t>
        </is>
      </c>
      <c r="BH1555" t="inlineStr">
        <is>
          <t>Reagen</t>
        </is>
      </c>
      <c r="BI1555" t="inlineStr">
        <is>
          <t>Banking / Finance</t>
        </is>
      </c>
      <c r="BJ1555" s="4">
        <v>46144.753900462965</v>
      </c>
      <c r="BK1555" s="4">
        <v>46092.44633101852</v>
      </c>
      <c r="BL1555" t="inlineStr">
        <is>
          <t>0.0</t>
        </is>
      </c>
      <c r="BM1555" t="inlineStr">
        <is>
          <t>1050.0</t>
        </is>
      </c>
      <c r="BN1555" t="inlineStr">
        <is>
          <t>User Visit(Logged In)</t>
        </is>
      </c>
      <c r="BO1555" s="4">
        <v>46094.6483912037</v>
      </c>
      <c r="BP1555">
        <v>166883</v>
      </c>
      <c r="BQ1555">
        <v>121661</v>
      </c>
      <c r="BR1555" t="inlineStr">
        <is>
          <t>Proforma</t>
        </is>
      </c>
      <c r="BS1555" t="inlineStr">
        <is>
          <t>Free Internship Job</t>
        </is>
      </c>
      <c r="BT1555"/>
      <c r="BU1555"/>
      <c r="BV1555">
        <v>2718942</v>
      </c>
      <c r="BW1555" t="inlineStr">
        <is>
          <t>Follow Up : Decision Pending</t>
        </is>
      </c>
      <c r="BX1555"/>
      <c r="BY1555"/>
      <c r="BZ1555" s="4"/>
      <c r="CA1555"/>
      <c r="CB1555"/>
      <c r="CC1555" s="4"/>
      <c r="CD1555" t="inlineStr">
        <is>
          <t>30</t>
        </is>
      </c>
      <c r="CE1555" t="inlineStr">
        <is>
          <t>0</t>
        </is>
      </c>
      <c r="CF1555" t="inlineStr">
        <is>
          <t>Q2-W02</t>
        </is>
      </c>
      <c r="CG1555" t="inlineStr">
        <is>
          <t>Q2-W02</t>
        </is>
      </c>
      <c r="CH1555"/>
      <c r="CI1555"/>
      <c r="CJ1555" t="inlineStr">
        <is>
          <t>No Paid</t>
        </is>
      </c>
      <c r="CK1555" t="inlineStr">
        <is>
          <t>Eligible</t>
        </is>
      </c>
      <c r="CL1555"/>
      <c r="CM1555"/>
    </row>
    <row r="1556" ht="25.5" customHeight="1">
      <c r="A1556" t="inlineStr">
        <is>
          <t>163760</t>
        </is>
      </c>
      <c r="B1556" s="2"/>
      <c r="C1556"/>
      <c r="D1556" s="3">
        <v>46126.445023148146</v>
      </c>
      <c r="E1556" t="inlineStr">
        <is>
          <t>Q2-W02</t>
        </is>
      </c>
      <c r="F1556" t="inlineStr">
        <is>
          <t>Carmen</t>
        </is>
      </c>
      <c r="G1556" t="inlineStr">
        <is>
          <t>Customer</t>
        </is>
      </c>
      <c r="H1556" s="2" t="str">
        <f>=HYPERLINK("https://upbox.ajobthing.my/customer/163760", "https://upbox.ajobthing.my/customer/163760")</f>
        <v>https://upbox.ajobthing.my/customer/163760</v>
      </c>
      <c r="I1556" t="inlineStr">
        <is>
          <t xml:space="preserve">AMM </t>
        </is>
      </c>
      <c r="J1556" t="inlineStr">
        <is>
          <t>Dolphin</t>
        </is>
      </c>
      <c r="K1556" t="inlineStr">
        <is>
          <t>Carmen</t>
        </is>
      </c>
      <c r="L1556" s="4"/>
      <c r="M1556" s="4">
        <v>46126.445856481485</v>
      </c>
      <c r="N1556"/>
      <c r="O1556">
        <v>3888</v>
      </c>
      <c r="P1556" s="4"/>
      <c r="Q1556" s="4">
        <v>46136.59265046296</v>
      </c>
      <c r="R1556"/>
      <c r="S1556">
        <v>3672</v>
      </c>
      <c r="T1556" s="4">
        <v>46136.59265046296</v>
      </c>
      <c r="U1556" s="4"/>
      <c r="V1556"/>
      <c r="W1556">
        <v>3672</v>
      </c>
      <c r="X1556"/>
      <c r="Y1556" t="inlineStr">
        <is>
          <t>Pending Appointment</t>
        </is>
      </c>
      <c r="Z1556" t="inlineStr">
        <is>
          <t>Hiring Now</t>
        </is>
      </c>
      <c r="AA1556">
        <v>3</v>
      </c>
      <c r="AB1556" t="inlineStr">
        <is>
          <t>No Appointment Made</t>
        </is>
      </c>
      <c r="AC1556"/>
      <c r="AD1556" t="inlineStr">
        <is>
          <t xml:space="preserve">1 cosec assistant and 2 account assistant </t>
        </is>
      </c>
      <c r="AE1556"/>
      <c r="AF1556">
        <v>100</v>
      </c>
      <c r="AG1556" s="4"/>
      <c r="AH1556" s="4"/>
      <c r="AI1556"/>
      <c r="AJ1556"/>
      <c r="AK1556" t="inlineStr">
        <is>
          <t>No, I don't need at all</t>
        </is>
      </c>
      <c r="AL1556"/>
      <c r="AM1556"/>
      <c r="AN1556"/>
      <c r="AO1556"/>
      <c r="AP1556" t="inlineStr">
        <is>
          <t>Twice a year (50%)</t>
        </is>
      </c>
      <c r="AQ1556"/>
      <c r="AR1556"/>
      <c r="AS1556" t="inlineStr">
        <is>
          <t>- Headcount: 3
- Hiring Job Details: 1 cosec assistant and 2 account assistant
- Hiring Urgency: Hiring Now
- Number of outlets: Not specified
- Have recruiter team: No, I don't need at all
- Number of recruiter in company: Not specified
- Have ATS system: Not specified
- Have career website: Not specified
- Current hiring budget: RM100.00
- Whole year budget: Not specified
- Whole year number of vacancies: Not specified
- Hiring frequency: Twice a year (50%)
- External job portal: Not specified</t>
        </is>
      </c>
      <c r="AT1556">
        <v>95</v>
      </c>
      <c r="AU1556" t="inlineStr">
        <is>
          <t>0.95</t>
        </is>
      </c>
      <c r="AV1556" t="inlineStr">
        <is>
          <t>15</t>
        </is>
      </c>
      <c r="AW1556" t="inlineStr">
        <is>
          <t>0</t>
        </is>
      </c>
      <c r="AX1556" t="inlineStr">
        <is>
          <t>Not Qualified</t>
        </is>
      </c>
      <c r="AY1556" s="4"/>
      <c r="AZ1556"/>
      <c r="BA1556"/>
      <c r="BB1556"/>
      <c r="BC1556" t="inlineStr">
        <is>
          <t>post job</t>
        </is>
      </c>
      <c r="BD1556" s="4">
        <v>46139.61195601852</v>
      </c>
      <c r="BE1556" t="inlineStr">
        <is>
          <t>paid</t>
        </is>
      </c>
      <c r="BF1556" t="inlineStr">
        <is>
          <t>Q2-W04</t>
        </is>
      </c>
      <c r="BG1556" t="inlineStr">
        <is>
          <t>Reschedule</t>
        </is>
      </c>
      <c r="BH1556" t="inlineStr">
        <is>
          <t>Reagen</t>
        </is>
      </c>
      <c r="BI1556" t="inlineStr">
        <is>
          <t>Accounting / Tax Services</t>
        </is>
      </c>
      <c r="BJ1556" s="4">
        <v>46144.7512037037</v>
      </c>
      <c r="BK1556" s="4">
        <v>44943.51548611111</v>
      </c>
      <c r="BL1556" t="inlineStr">
        <is>
          <t>3672.0</t>
        </is>
      </c>
      <c r="BM1556" t="inlineStr">
        <is>
          <t>0.0</t>
        </is>
      </c>
      <c r="BN1556" t="inlineStr">
        <is>
          <t>View Company Page</t>
        </is>
      </c>
      <c r="BO1556" s="4">
        <v>46142.61945601852</v>
      </c>
      <c r="BP1556">
        <v>166887</v>
      </c>
      <c r="BQ1556">
        <v>7694</v>
      </c>
      <c r="BR1556" t="inlineStr">
        <is>
          <t>Manual (Paid)</t>
        </is>
      </c>
      <c r="BS1556"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Closing Special Discount RM200 only valid until 23th April 2026</t>
        </is>
      </c>
      <c r="BT1556">
        <v>7694</v>
      </c>
      <c r="BU1556"/>
      <c r="BV1556">
        <v>2730010</v>
      </c>
      <c r="BW1556" t="inlineStr">
        <is>
          <t>Service / Technical : Help To Post Job</t>
        </is>
      </c>
      <c r="BX1556">
        <v>6</v>
      </c>
      <c r="BY1556">
        <v>4</v>
      </c>
      <c r="BZ1556" s="4">
        <v>46139.71681712963</v>
      </c>
      <c r="CA1556">
        <v>60</v>
      </c>
      <c r="CB1556">
        <v>60</v>
      </c>
      <c r="CC1556" s="4"/>
      <c r="CD1556" t="inlineStr">
        <is>
          <t>20</t>
        </is>
      </c>
      <c r="CE1556" t="inlineStr">
        <is>
          <t>0</t>
        </is>
      </c>
      <c r="CF1556" t="inlineStr">
        <is>
          <t>Q2-W02</t>
        </is>
      </c>
      <c r="CG1556" t="inlineStr">
        <is>
          <t>Q2-W04</t>
        </is>
      </c>
      <c r="CH1556" t="inlineStr">
        <is>
          <t>Q2-W04</t>
        </is>
      </c>
      <c r="CI1556"/>
      <c r="CJ1556" t="inlineStr">
        <is>
          <t>Paid</t>
        </is>
      </c>
      <c r="CK1556" t="inlineStr">
        <is>
          <t>Not Eligible</t>
        </is>
      </c>
      <c r="CL1556"/>
      <c r="CM1556"/>
    </row>
    <row r="1557" ht="25.5" customHeight="1">
      <c r="A1557" t="inlineStr">
        <is>
          <t>4277265</t>
        </is>
      </c>
      <c r="B1557" s="2"/>
      <c r="C1557"/>
      <c r="D1557" s="3">
        <v>46126.45428240741</v>
      </c>
      <c r="E1557" t="inlineStr">
        <is>
          <t>Q2-W02</t>
        </is>
      </c>
      <c r="F1557" t="inlineStr">
        <is>
          <t>Lucas</t>
        </is>
      </c>
      <c r="G1557" t="inlineStr">
        <is>
          <t>Lead</t>
        </is>
      </c>
      <c r="H1557" s="2" t="str">
        <f>=HYPERLINK("https://upbox.ajobthing.my/leads/4277265", "https://upbox.ajobthing.my/leads/4277265")</f>
        <v>https://upbox.ajobthing.my/leads/4277265</v>
      </c>
      <c r="I1557" t="inlineStr">
        <is>
          <t>Sanji Daily</t>
        </is>
      </c>
      <c r="J1557" t="inlineStr">
        <is>
          <t>Dolphin</t>
        </is>
      </c>
      <c r="K1557" t="inlineStr">
        <is>
          <t>Lucas</t>
        </is>
      </c>
      <c r="L1557" s="4"/>
      <c r="M1557" s="4">
        <v>46126.45333333333</v>
      </c>
      <c r="N1557"/>
      <c r="O1557">
        <v>3888</v>
      </c>
      <c r="P1557" s="4"/>
      <c r="Q1557" s="4"/>
      <c r="R1557"/>
      <c r="S1557"/>
      <c r="T1557" s="4"/>
      <c r="U1557" s="4"/>
      <c r="V1557"/>
      <c r="W1557"/>
      <c r="X1557"/>
      <c r="Y1557" t="inlineStr">
        <is>
          <t>Pending Appointment</t>
        </is>
      </c>
      <c r="Z1557" t="inlineStr">
        <is>
          <t>Hiring Now</t>
        </is>
      </c>
      <c r="AA1557">
        <v>1</v>
      </c>
      <c r="AB1557" t="inlineStr">
        <is>
          <t>No Appointment Made</t>
        </is>
      </c>
      <c r="AC1557"/>
      <c r="AD1557" t="inlineStr">
        <is>
          <t xml:space="preserve">1 store keeper </t>
        </is>
      </c>
      <c r="AE1557"/>
      <c r="AF1557">
        <v>0</v>
      </c>
      <c r="AG1557" s="4"/>
      <c r="AH1557" s="4"/>
      <c r="AI1557">
        <v>0</v>
      </c>
      <c r="AJ1557">
        <v>0</v>
      </c>
      <c r="AK1557" t="inlineStr">
        <is>
          <t>No, I don't need at all</t>
        </is>
      </c>
      <c r="AL1557">
        <v>0</v>
      </c>
      <c r="AM1557" t="inlineStr">
        <is>
          <t>No, I don't need at all</t>
        </is>
      </c>
      <c r="AN1557"/>
      <c r="AO1557" t="inlineStr">
        <is>
          <t>No, I don't need at all</t>
        </is>
      </c>
      <c r="AP1557" t="inlineStr">
        <is>
          <t>Once a year (25%)</t>
        </is>
      </c>
      <c r="AQ1557">
        <v>1</v>
      </c>
      <c r="AR1557" t="inlineStr">
        <is>
          <t>Did not use any job portal</t>
        </is>
      </c>
      <c r="AS1557" t="inlineStr">
        <is>
          <t>- Headcount: 1
- Hiring Job Details: 1 store keeper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557">
        <v>110</v>
      </c>
      <c r="AU1557" t="inlineStr">
        <is>
          <t>1.10</t>
        </is>
      </c>
      <c r="AV1557" t="inlineStr">
        <is>
          <t>15</t>
        </is>
      </c>
      <c r="AW1557" t="inlineStr">
        <is>
          <t>0</t>
        </is>
      </c>
      <c r="AX1557" t="inlineStr">
        <is>
          <t>Not Qualified</t>
        </is>
      </c>
      <c r="AY1557" s="4"/>
      <c r="AZ1557"/>
      <c r="BA1557"/>
      <c r="BB1557"/>
      <c r="BC1557"/>
      <c r="BD1557" s="4"/>
      <c r="BE1557"/>
      <c r="BF1557"/>
      <c r="BG1557" t="inlineStr">
        <is>
          <t>Reschedule</t>
        </is>
      </c>
      <c r="BH1557" t="inlineStr">
        <is>
          <t>Yee Hang</t>
        </is>
      </c>
      <c r="BI1557"/>
      <c r="BJ1557" s="4">
        <v>46144.75581018518</v>
      </c>
      <c r="BK1557" s="4">
        <v>46125.719039351854</v>
      </c>
      <c r="BL1557" t="inlineStr">
        <is>
          <t>0.0</t>
        </is>
      </c>
      <c r="BM1557" t="inlineStr">
        <is>
          <t>1350.0</t>
        </is>
      </c>
      <c r="BN1557"/>
      <c r="BO1557" s="4"/>
      <c r="BP1557">
        <v>166891</v>
      </c>
      <c r="BQ1557"/>
      <c r="BR1557"/>
      <c r="BS1557"/>
      <c r="BT1557"/>
      <c r="BU1557"/>
      <c r="BV1557"/>
      <c r="BW1557"/>
      <c r="BX1557"/>
      <c r="BY1557"/>
      <c r="BZ1557" s="4"/>
      <c r="CA1557"/>
      <c r="CB1557"/>
      <c r="CC1557" s="4"/>
      <c r="CD1557" t="inlineStr">
        <is>
          <t>20</t>
        </is>
      </c>
      <c r="CE1557" t="inlineStr">
        <is>
          <t>0</t>
        </is>
      </c>
      <c r="CF1557" t="inlineStr">
        <is>
          <t>Q2-W02</t>
        </is>
      </c>
      <c r="CG1557"/>
      <c r="CH1557"/>
      <c r="CI1557"/>
      <c r="CJ1557" t="inlineStr">
        <is>
          <t>No Paid</t>
        </is>
      </c>
      <c r="CK1557" t="inlineStr">
        <is>
          <t>Not Eligible</t>
        </is>
      </c>
      <c r="CL1557"/>
      <c r="CM1557"/>
    </row>
    <row r="1558" ht="25.5" customHeight="1">
      <c r="A1558" t="inlineStr">
        <is>
          <t>146899</t>
        </is>
      </c>
      <c r="B1558" s="2"/>
      <c r="C1558"/>
      <c r="D1558" s="3">
        <v>46126.460868055554</v>
      </c>
      <c r="E1558" t="inlineStr">
        <is>
          <t>Q2-W02</t>
        </is>
      </c>
      <c r="F1558" t="inlineStr">
        <is>
          <t>Yuli</t>
        </is>
      </c>
      <c r="G1558" t="inlineStr">
        <is>
          <t>Customer</t>
        </is>
      </c>
      <c r="H1558" s="2" t="str">
        <f>=HYPERLINK("https://upbox.ajobthing.my/customer/146899", "https://upbox.ajobthing.my/customer/146899")</f>
        <v>https://upbox.ajobthing.my/customer/146899</v>
      </c>
      <c r="I1558" t="inlineStr">
        <is>
          <t>Piau Kee Marine Sdn Bhd</t>
        </is>
      </c>
      <c r="J1558" t="inlineStr">
        <is>
          <t>Dolphin</t>
        </is>
      </c>
      <c r="K1558" t="inlineStr">
        <is>
          <t>YuLi</t>
        </is>
      </c>
      <c r="L1558" s="4"/>
      <c r="M1558" s="4">
        <v>46126.46167824074</v>
      </c>
      <c r="N1558"/>
      <c r="O1558">
        <v>3672</v>
      </c>
      <c r="P1558" s="4"/>
      <c r="Q1558" s="4">
        <v>44755.07644675926</v>
      </c>
      <c r="R1558"/>
      <c r="S1558">
        <v>0</v>
      </c>
      <c r="T1558" s="4">
        <v>44754.60508101852</v>
      </c>
      <c r="U1558" s="4"/>
      <c r="V1558"/>
      <c r="W1558">
        <v>1590</v>
      </c>
      <c r="X1558"/>
      <c r="Y1558" t="inlineStr">
        <is>
          <t>Pending Appointment</t>
        </is>
      </c>
      <c r="Z1558" t="inlineStr">
        <is>
          <t>Hiring Now</t>
        </is>
      </c>
      <c r="AA1558">
        <v>1</v>
      </c>
      <c r="AB1558" t="inlineStr">
        <is>
          <t>No Appointment Made</t>
        </is>
      </c>
      <c r="AC1558"/>
      <c r="AD1558" t="inlineStr">
        <is>
          <t>1 Accounts Executive</t>
        </is>
      </c>
      <c r="AE1558"/>
      <c r="AF1558"/>
      <c r="AG1558" s="4"/>
      <c r="AH1558" s="4"/>
      <c r="AI1558"/>
      <c r="AJ1558"/>
      <c r="AK1558"/>
      <c r="AL1558"/>
      <c r="AM1558"/>
      <c r="AN1558"/>
      <c r="AO1558"/>
      <c r="AP1558"/>
      <c r="AQ1558"/>
      <c r="AR1558" t="inlineStr">
        <is>
          <t>Did not use any job portal</t>
        </is>
      </c>
      <c r="AS1558" t="inlineStr">
        <is>
          <t>- Headcount: 1
- Hiring Job Details: 1 Accounts Executive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is>
      </c>
      <c r="AT1558">
        <v>80</v>
      </c>
      <c r="AU1558" t="inlineStr">
        <is>
          <t>0.80</t>
        </is>
      </c>
      <c r="AV1558" t="inlineStr">
        <is>
          <t>5</t>
        </is>
      </c>
      <c r="AW1558" t="inlineStr">
        <is>
          <t>0</t>
        </is>
      </c>
      <c r="AX1558" t="inlineStr">
        <is>
          <t>Not Qualified</t>
        </is>
      </c>
      <c r="AY1558" s="4"/>
      <c r="AZ1558"/>
      <c r="BA1558"/>
      <c r="BB1558"/>
      <c r="BC1558" t="inlineStr">
        <is>
          <t>called and spoke to Ms. Yan, they might be not hire for accounts for this moment, will let me know whenever needed</t>
        </is>
      </c>
      <c r="BD1558" s="4">
        <v>46140.67184027778</v>
      </c>
      <c r="BE1558" t="inlineStr">
        <is>
          <t>paid</t>
        </is>
      </c>
      <c r="BF1558"/>
      <c r="BG1558" t="inlineStr">
        <is>
          <t>Reschedule</t>
        </is>
      </c>
      <c r="BH1558" t="inlineStr">
        <is>
          <t>Fauziah Maharan</t>
        </is>
      </c>
      <c r="BI1558" t="inlineStr">
        <is>
          <t>Other industries</t>
        </is>
      </c>
      <c r="BJ1558" s="4">
        <v>46144.75077546296</v>
      </c>
      <c r="BK1558" s="4">
        <v>44571.81995370371</v>
      </c>
      <c r="BL1558" t="inlineStr">
        <is>
          <t>0.0</t>
        </is>
      </c>
      <c r="BM1558" t="inlineStr">
        <is>
          <t>1200.0</t>
        </is>
      </c>
      <c r="BN1558" t="inlineStr">
        <is>
          <t>View Applicant Page</t>
        </is>
      </c>
      <c r="BO1558" s="4">
        <v>45113.5441087963</v>
      </c>
      <c r="BP1558">
        <v>166896</v>
      </c>
      <c r="BQ1558">
        <v>63006</v>
      </c>
      <c r="BR1558" t="inlineStr">
        <is>
          <t>Proforma</t>
        </is>
      </c>
      <c r="BS1558" t="inlineStr">
        <is>
          <t>People Search - Package 50 Ruby</t>
        </is>
      </c>
      <c r="BT1558">
        <v>47646</v>
      </c>
      <c r="BU1558"/>
      <c r="BV1558">
        <v>2733339</v>
      </c>
      <c r="BW1558" t="inlineStr">
        <is>
          <t>Follow Up : Lost - Free Portal</t>
        </is>
      </c>
      <c r="BX1558"/>
      <c r="BY1558"/>
      <c r="BZ1558" s="4"/>
      <c r="CA1558"/>
      <c r="CB1558"/>
      <c r="CC1558" s="4"/>
      <c r="CD1558" t="inlineStr">
        <is>
          <t>5</t>
        </is>
      </c>
      <c r="CE1558" t="inlineStr">
        <is>
          <t>0</t>
        </is>
      </c>
      <c r="CF1558" t="inlineStr">
        <is>
          <t>Q2-W02</t>
        </is>
      </c>
      <c r="CG1558"/>
      <c r="CH1558"/>
      <c r="CI1558"/>
      <c r="CJ1558" t="inlineStr">
        <is>
          <t>Paid</t>
        </is>
      </c>
      <c r="CK1558" t="inlineStr">
        <is>
          <t>Not Eligible</t>
        </is>
      </c>
      <c r="CL1558"/>
      <c r="CM1558"/>
    </row>
    <row r="1559" ht="25.5" customHeight="1">
      <c r="A1559" t="inlineStr">
        <is>
          <t>119192</t>
        </is>
      </c>
      <c r="B1559" s="2"/>
      <c r="C1559"/>
      <c r="D1559" s="3">
        <v>46126.46146990741</v>
      </c>
      <c r="E1559" t="inlineStr">
        <is>
          <t>Q2-W02</t>
        </is>
      </c>
      <c r="F1559" t="inlineStr">
        <is>
          <t>Derek Lim</t>
        </is>
      </c>
      <c r="G1559" t="inlineStr">
        <is>
          <t>Customer</t>
        </is>
      </c>
      <c r="H1559" s="2" t="str">
        <f>=HYPERLINK("https://upbox.ajobthing.my/customer/119192", "https://upbox.ajobthing.my/customer/119192")</f>
        <v>https://upbox.ajobthing.my/customer/119192</v>
      </c>
      <c r="I1559" t="inlineStr">
        <is>
          <t>Intercosmetic Asia Pacific Sdn Bhd</t>
        </is>
      </c>
      <c r="J1559" t="inlineStr">
        <is>
          <t>Dolphin</t>
        </is>
      </c>
      <c r="K1559" t="inlineStr">
        <is>
          <t>Derek Lim</t>
        </is>
      </c>
      <c r="L1559" s="4"/>
      <c r="M1559" s="4">
        <v>46126.46166666667</v>
      </c>
      <c r="N1559"/>
      <c r="O1559">
        <v>6048</v>
      </c>
      <c r="P1559" s="4"/>
      <c r="Q1559" s="4"/>
      <c r="R1559"/>
      <c r="S1559"/>
      <c r="T1559" s="4"/>
      <c r="U1559" s="4"/>
      <c r="V1559"/>
      <c r="W1559"/>
      <c r="X1559"/>
      <c r="Y1559" t="inlineStr">
        <is>
          <t>Pending Appointment</t>
        </is>
      </c>
      <c r="Z1559" t="inlineStr">
        <is>
          <t>Hiring Now</t>
        </is>
      </c>
      <c r="AA1559">
        <v>2</v>
      </c>
      <c r="AB1559" t="inlineStr">
        <is>
          <t>No Appointment Made</t>
        </is>
      </c>
      <c r="AC1559"/>
      <c r="AD1559" t="inlineStr">
        <is>
          <t>Logistic executive - 1, sales executive - 1</t>
        </is>
      </c>
      <c r="AE1559"/>
      <c r="AF1559">
        <v>1300</v>
      </c>
      <c r="AG1559" s="4"/>
      <c r="AH1559" s="4"/>
      <c r="AI1559">
        <v>1300</v>
      </c>
      <c r="AJ1559">
        <v>1</v>
      </c>
      <c r="AK1559" t="inlineStr">
        <is>
          <t>No, but I want in future</t>
        </is>
      </c>
      <c r="AL1559">
        <v>0</v>
      </c>
      <c r="AM1559" t="inlineStr">
        <is>
          <t>No, I don't need at all</t>
        </is>
      </c>
      <c r="AN1559"/>
      <c r="AO1559" t="inlineStr">
        <is>
          <t>No, but I want in future</t>
        </is>
      </c>
      <c r="AP1559" t="inlineStr">
        <is>
          <t>Once a year (25%)</t>
        </is>
      </c>
      <c r="AQ1559">
        <v>2</v>
      </c>
      <c r="AR1559" t="inlineStr">
        <is>
          <t>Jobstreet</t>
        </is>
      </c>
      <c r="AS1559" t="inlineStr">
        <is>
          <t>- Headcount: 2
- Hiring Job Details: 1 logistic executive, 1 sales executive
- Hiring Urgency: Hiring Now
- Number of outlets: 1
- Have recruiter team: No, but want in future
- Number of recruiter in company: 0
- Have ATS system: No, don't need at all
- Have career website: No, but want in future
- Current hiring budget: RM1,300
- Whole year budget: RM1,300.00
- Whole year number of vacancies: 2
- Hiring frequency: Once a year (25%)
- External job portal: Jobstreet</t>
        </is>
      </c>
      <c r="AT1559">
        <v>115</v>
      </c>
      <c r="AU1559" t="inlineStr">
        <is>
          <t>1.15</t>
        </is>
      </c>
      <c r="AV1559" t="inlineStr">
        <is>
          <t>15</t>
        </is>
      </c>
      <c r="AW1559" t="inlineStr">
        <is>
          <t>0</t>
        </is>
      </c>
      <c r="AX1559" t="inlineStr">
        <is>
          <t>Not Qualified</t>
        </is>
      </c>
      <c r="AY1559" s="4"/>
      <c r="AZ1559"/>
      <c r="BA1559"/>
      <c r="BB1559"/>
      <c r="BC1559" t="inlineStr">
        <is>
          <t>CUSTOMER MENTION NOT TO PROCEED</t>
        </is>
      </c>
      <c r="BD1559" s="4">
        <v>46132.74197916667</v>
      </c>
      <c r="BE1559"/>
      <c r="BF1559"/>
      <c r="BG1559" t="inlineStr">
        <is>
          <t>Reschedule</t>
        </is>
      </c>
      <c r="BH1559" t="inlineStr">
        <is>
          <t>Edward Hoo</t>
        </is>
      </c>
      <c r="BI1559"/>
      <c r="BJ1559" s="4">
        <v>46144.750231481485</v>
      </c>
      <c r="BK1559" s="4">
        <v>43628.41863425926</v>
      </c>
      <c r="BL1559" t="inlineStr">
        <is>
          <t>0.0</t>
        </is>
      </c>
      <c r="BM1559" t="inlineStr">
        <is>
          <t>1500.0</t>
        </is>
      </c>
      <c r="BN1559" t="inlineStr">
        <is>
          <t>View Create Job Page</t>
        </is>
      </c>
      <c r="BO1559" s="4">
        <v>43999.49607638889</v>
      </c>
      <c r="BP1559">
        <v>166895</v>
      </c>
      <c r="BQ1559"/>
      <c r="BR1559"/>
      <c r="BS1559"/>
      <c r="BT1559"/>
      <c r="BU1559"/>
      <c r="BV1559">
        <v>2716650</v>
      </c>
      <c r="BW1559" t="inlineStr">
        <is>
          <t>Follow Up : Budget Concern</t>
        </is>
      </c>
      <c r="BX1559"/>
      <c r="BY1559"/>
      <c r="BZ1559" s="4"/>
      <c r="CA1559"/>
      <c r="CB1559"/>
      <c r="CC1559" s="4"/>
      <c r="CD1559" t="inlineStr">
        <is>
          <t>20</t>
        </is>
      </c>
      <c r="CE1559" t="inlineStr">
        <is>
          <t>0</t>
        </is>
      </c>
      <c r="CF1559" t="inlineStr">
        <is>
          <t>Q2-W02</t>
        </is>
      </c>
      <c r="CG1559"/>
      <c r="CH1559"/>
      <c r="CI1559"/>
      <c r="CJ1559" t="inlineStr">
        <is>
          <t>No Paid</t>
        </is>
      </c>
      <c r="CK1559" t="inlineStr">
        <is>
          <t>Not Eligible</t>
        </is>
      </c>
      <c r="CL1559"/>
      <c r="CM1559"/>
    </row>
    <row r="1560" ht="25.5" customHeight="1">
      <c r="A1560" t="inlineStr">
        <is>
          <t>4277056</t>
        </is>
      </c>
      <c r="B1560" s="2"/>
      <c r="C1560"/>
      <c r="D1560" s="3">
        <v>46126.464907407404</v>
      </c>
      <c r="E1560" t="inlineStr">
        <is>
          <t>Q2-W02</t>
        </is>
      </c>
      <c r="F1560" t="inlineStr">
        <is>
          <t>Carmen</t>
        </is>
      </c>
      <c r="G1560" t="inlineStr">
        <is>
          <t>Lead</t>
        </is>
      </c>
      <c r="H1560" s="2" t="str">
        <f>=HYPERLINK("https://upbox.ajobthing.my/leads/4277056", "https://upbox.ajobthing.my/leads/4277056")</f>
        <v>https://upbox.ajobthing.my/leads/4277056</v>
      </c>
      <c r="I1560" t="inlineStr">
        <is>
          <t>Tan Management Services</t>
        </is>
      </c>
      <c r="J1560" t="inlineStr">
        <is>
          <t>Dolphin</t>
        </is>
      </c>
      <c r="K1560" t="inlineStr">
        <is>
          <t>Carmen</t>
        </is>
      </c>
      <c r="L1560" s="4"/>
      <c r="M1560" s="4">
        <v>46126.46528935185</v>
      </c>
      <c r="N1560"/>
      <c r="O1560">
        <v>3888</v>
      </c>
      <c r="P1560" s="4"/>
      <c r="Q1560" s="4"/>
      <c r="R1560"/>
      <c r="S1560"/>
      <c r="T1560" s="4"/>
      <c r="U1560" s="4"/>
      <c r="V1560"/>
      <c r="W1560"/>
      <c r="X1560"/>
      <c r="Y1560" t="inlineStr">
        <is>
          <t>Pending Appointment</t>
        </is>
      </c>
      <c r="Z1560" t="inlineStr">
        <is>
          <t>Hiring Now</t>
        </is>
      </c>
      <c r="AA1560">
        <v>3</v>
      </c>
      <c r="AB1560" t="inlineStr">
        <is>
          <t>No Appointment Made</t>
        </is>
      </c>
      <c r="AC1560"/>
      <c r="AD1560" t="inlineStr">
        <is>
          <t>3 accounts assisatnt</t>
        </is>
      </c>
      <c r="AE1560"/>
      <c r="AF1560">
        <v>0</v>
      </c>
      <c r="AG1560" s="4"/>
      <c r="AH1560" s="4"/>
      <c r="AI1560"/>
      <c r="AJ1560"/>
      <c r="AK1560"/>
      <c r="AL1560"/>
      <c r="AM1560"/>
      <c r="AN1560"/>
      <c r="AO1560"/>
      <c r="AP1560" t="inlineStr">
        <is>
          <t>Twice a year (50%)</t>
        </is>
      </c>
      <c r="AQ1560"/>
      <c r="AR1560"/>
      <c r="AS1560" t="inlineStr">
        <is>
          <t>- Headcount: 3
- Hiring Job Details: 3 accounts assistant
- Hiring Urgency: Hiring Now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Twice a year (50%)
- External job portal: Not specified</t>
        </is>
      </c>
      <c r="AT1560">
        <v>90</v>
      </c>
      <c r="AU1560" t="inlineStr">
        <is>
          <t>0.90</t>
        </is>
      </c>
      <c r="AV1560" t="inlineStr">
        <is>
          <t>15</t>
        </is>
      </c>
      <c r="AW1560" t="inlineStr">
        <is>
          <t>0</t>
        </is>
      </c>
      <c r="AX1560" t="inlineStr">
        <is>
          <t>Not Qualified</t>
        </is>
      </c>
      <c r="AY1560" s="4"/>
      <c r="AZ1560"/>
      <c r="BA1560"/>
      <c r="BB1560"/>
      <c r="BC1560"/>
      <c r="BD1560" s="4"/>
      <c r="BE1560"/>
      <c r="BF1560"/>
      <c r="BG1560" t="inlineStr">
        <is>
          <t>Reschedule</t>
        </is>
      </c>
      <c r="BH1560" t="inlineStr">
        <is>
          <t>Reagen</t>
        </is>
      </c>
      <c r="BI1560"/>
      <c r="BJ1560" s="4">
        <v>46144.75581018518</v>
      </c>
      <c r="BK1560" s="4">
        <v>46125.68299768519</v>
      </c>
      <c r="BL1560" t="inlineStr">
        <is>
          <t>0.0</t>
        </is>
      </c>
      <c r="BM1560" t="inlineStr">
        <is>
          <t>0.0</t>
        </is>
      </c>
      <c r="BN1560"/>
      <c r="BO1560" s="4"/>
      <c r="BP1560">
        <v>166897</v>
      </c>
      <c r="BQ1560"/>
      <c r="BR1560"/>
      <c r="BS1560"/>
      <c r="BT1560"/>
      <c r="BU1560"/>
      <c r="BV1560"/>
      <c r="BW1560"/>
      <c r="BX1560"/>
      <c r="BY1560"/>
      <c r="BZ1560" s="4"/>
      <c r="CA1560"/>
      <c r="CB1560"/>
      <c r="CC1560" s="4"/>
      <c r="CD1560" t="inlineStr">
        <is>
          <t>20</t>
        </is>
      </c>
      <c r="CE1560" t="inlineStr">
        <is>
          <t>0</t>
        </is>
      </c>
      <c r="CF1560" t="inlineStr">
        <is>
          <t>Q2-W02</t>
        </is>
      </c>
      <c r="CG1560"/>
      <c r="CH1560"/>
      <c r="CI1560"/>
      <c r="CJ1560" t="inlineStr">
        <is>
          <t>No Paid</t>
        </is>
      </c>
      <c r="CK1560" t="inlineStr">
        <is>
          <t>Not Eligible</t>
        </is>
      </c>
      <c r="CL1560"/>
      <c r="CM1560"/>
    </row>
    <row r="1561" ht="25.5" customHeight="1">
      <c r="A1561" t="inlineStr">
        <is>
          <t>166609</t>
        </is>
      </c>
      <c r="B1561" s="2"/>
      <c r="C1561"/>
      <c r="D1561" s="3">
        <v>46126.470300925925</v>
      </c>
      <c r="E1561" t="inlineStr">
        <is>
          <t>Q2-W02</t>
        </is>
      </c>
      <c r="F1561" t="inlineStr">
        <is>
          <t>Jia Hui</t>
        </is>
      </c>
      <c r="G1561" t="inlineStr">
        <is>
          <t>Customer</t>
        </is>
      </c>
      <c r="H1561" s="2" t="str">
        <f>=HYPERLINK("https://upbox.ajobthing.my/customer/166609", "https://upbox.ajobthing.my/customer/166609")</f>
        <v>https://upbox.ajobthing.my/customer/166609</v>
      </c>
      <c r="I1561" t="inlineStr">
        <is>
          <t>Chin &amp; Lim Dental Sdn Bhd</t>
        </is>
      </c>
      <c r="J1561" t="inlineStr">
        <is>
          <t>Dolphin</t>
        </is>
      </c>
      <c r="K1561" t="inlineStr">
        <is>
          <t>Jia Hui</t>
        </is>
      </c>
      <c r="L1561" s="4"/>
      <c r="M1561" s="4">
        <v>46126.47064814815</v>
      </c>
      <c r="N1561"/>
      <c r="O1561">
        <v>3888</v>
      </c>
      <c r="P1561" s="4"/>
      <c r="Q1561" s="4">
        <v>46133.64193287037</v>
      </c>
      <c r="R1561"/>
      <c r="S1561">
        <v>1296</v>
      </c>
      <c r="T1561" s="4">
        <v>46133.64193287037</v>
      </c>
      <c r="U1561" s="4"/>
      <c r="V1561"/>
      <c r="W1561">
        <v>1296</v>
      </c>
      <c r="X1561"/>
      <c r="Y1561" t="inlineStr">
        <is>
          <t>Pending Appointment</t>
        </is>
      </c>
      <c r="Z1561" t="inlineStr">
        <is>
          <t>Hiring Now</t>
        </is>
      </c>
      <c r="AA1561">
        <v>1</v>
      </c>
      <c r="AB1561" t="inlineStr">
        <is>
          <t>No Appointment Made</t>
        </is>
      </c>
      <c r="AC1561"/>
      <c r="AD1561" t="inlineStr">
        <is>
          <t xml:space="preserve">1 dental surgery assistant </t>
        </is>
      </c>
      <c r="AE1561"/>
      <c r="AF1561">
        <v>500</v>
      </c>
      <c r="AG1561" s="4"/>
      <c r="AH1561" s="4"/>
      <c r="AI1561"/>
      <c r="AJ1561"/>
      <c r="AK1561" t="inlineStr">
        <is>
          <t>No, but I want in future</t>
        </is>
      </c>
      <c r="AL1561"/>
      <c r="AM1561"/>
      <c r="AN1561"/>
      <c r="AO1561"/>
      <c r="AP1561" t="inlineStr">
        <is>
          <t>Once a year (25%)</t>
        </is>
      </c>
      <c r="AQ1561"/>
      <c r="AR1561"/>
      <c r="AS1561" t="inlineStr">
        <is>
          <t>- Headcount: 1
- Hiring Job Details: 1 dental surgery assistant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is>
      </c>
      <c r="AT1561">
        <v>95</v>
      </c>
      <c r="AU1561" t="inlineStr">
        <is>
          <t>0.95</t>
        </is>
      </c>
      <c r="AV1561" t="inlineStr">
        <is>
          <t>15</t>
        </is>
      </c>
      <c r="AW1561" t="inlineStr">
        <is>
          <t>0</t>
        </is>
      </c>
      <c r="AX1561" t="inlineStr">
        <is>
          <t>Not Qualified</t>
        </is>
      </c>
      <c r="AY1561" s="4"/>
      <c r="AZ1561"/>
      <c r="BA1561"/>
      <c r="BB1561"/>
      <c r="BC1561" t="inlineStr">
        <is>
          <t>received payment, proceed for AI single job ads</t>
        </is>
      </c>
      <c r="BD1561" s="4">
        <v>46133.461597222224</v>
      </c>
      <c r="BE1561" t="inlineStr">
        <is>
          <t>paid</t>
        </is>
      </c>
      <c r="BF1561" t="inlineStr">
        <is>
          <t>Q2-W03</t>
        </is>
      </c>
      <c r="BG1561" t="inlineStr">
        <is>
          <t>Reschedule</t>
        </is>
      </c>
      <c r="BH1561" t="inlineStr">
        <is>
          <t>Reagen</t>
        </is>
      </c>
      <c r="BI1561"/>
      <c r="BJ1561" s="4">
        <v>46144.751296296294</v>
      </c>
      <c r="BK1561" s="4">
        <v>45046.70858796296</v>
      </c>
      <c r="BL1561" t="inlineStr">
        <is>
          <t>1296.0</t>
        </is>
      </c>
      <c r="BM1561" t="inlineStr">
        <is>
          <t>0.0</t>
        </is>
      </c>
      <c r="BN1561" t="inlineStr">
        <is>
          <t>PA Visit - Applicant Manager</t>
        </is>
      </c>
      <c r="BO1561" s="4">
        <v>45796.63313657408</v>
      </c>
      <c r="BP1561">
        <v>166904</v>
      </c>
      <c r="BQ1561">
        <v>94536</v>
      </c>
      <c r="BR1561" t="inlineStr">
        <is>
          <t>Online</t>
        </is>
      </c>
      <c r="BS1561"/>
      <c r="BT1561">
        <v>94536</v>
      </c>
      <c r="BU1561"/>
      <c r="BV1561">
        <v>2717329</v>
      </c>
      <c r="BW1561" t="inlineStr">
        <is>
          <t>Follow Up : Win - Customer Paid</t>
        </is>
      </c>
      <c r="BX1561">
        <v>1</v>
      </c>
      <c r="BY1561">
        <v>1</v>
      </c>
      <c r="BZ1561" s="4"/>
      <c r="CA1561"/>
      <c r="CB1561"/>
      <c r="CC1561" s="4"/>
      <c r="CD1561" t="inlineStr">
        <is>
          <t>20</t>
        </is>
      </c>
      <c r="CE1561" t="inlineStr">
        <is>
          <t>0</t>
        </is>
      </c>
      <c r="CF1561" t="inlineStr">
        <is>
          <t>Q2-W02</t>
        </is>
      </c>
      <c r="CG1561" t="inlineStr">
        <is>
          <t>Q2-W03</t>
        </is>
      </c>
      <c r="CH1561" t="inlineStr">
        <is>
          <t>Q2-W03</t>
        </is>
      </c>
      <c r="CI1561"/>
      <c r="CJ1561" t="inlineStr">
        <is>
          <t>Paid</t>
        </is>
      </c>
      <c r="CK1561" t="inlineStr">
        <is>
          <t>Not Eligible</t>
        </is>
      </c>
      <c r="CL1561"/>
      <c r="CM1561"/>
    </row>
    <row r="1562" ht="25.5" customHeight="1">
      <c r="A1562" t="inlineStr">
        <is>
          <t>170479</t>
        </is>
      </c>
      <c r="B1562" s="2"/>
      <c r="C1562"/>
      <c r="D1562" s="3">
        <v>46126.47454861111</v>
      </c>
      <c r="E1562" t="inlineStr">
        <is>
          <t>Q2-W02</t>
        </is>
      </c>
      <c r="F1562" t="inlineStr">
        <is>
          <t>Dickson</t>
        </is>
      </c>
      <c r="G1562" t="inlineStr">
        <is>
          <t>Customer</t>
        </is>
      </c>
      <c r="H1562" s="2" t="str">
        <f>=HYPERLINK("https://upbox.ajobthing.my/customer/170479", "https://upbox.ajobthing.my/customer/170479")</f>
        <v>https://upbox.ajobthing.my/customer/170479</v>
      </c>
      <c r="I1562" t="inlineStr">
        <is>
          <t>MM Supreme Sdn Bhd</t>
        </is>
      </c>
      <c r="J1562" t="inlineStr">
        <is>
          <t>Dolphin</t>
        </is>
      </c>
      <c r="K1562" t="inlineStr">
        <is>
          <t>Dickson</t>
        </is>
      </c>
      <c r="L1562" s="4"/>
      <c r="M1562" s="4">
        <v>46126.47476851852</v>
      </c>
      <c r="N1562"/>
      <c r="O1562">
        <v>6048</v>
      </c>
      <c r="P1562" s="4"/>
      <c r="Q1562" s="4">
        <v>45190.00001157408</v>
      </c>
      <c r="R1562"/>
      <c r="S1562">
        <v>2374.4</v>
      </c>
      <c r="T1562" s="4">
        <v>45190.00001157408</v>
      </c>
      <c r="U1562" s="4"/>
      <c r="V1562"/>
      <c r="W1562">
        <v>2374.4</v>
      </c>
      <c r="X1562"/>
      <c r="Y1562" t="inlineStr">
        <is>
          <t>Pending Appointment</t>
        </is>
      </c>
      <c r="Z1562" t="inlineStr">
        <is>
          <t>Hiring Now</t>
        </is>
      </c>
      <c r="AA1562">
        <v>2</v>
      </c>
      <c r="AB1562" t="inlineStr">
        <is>
          <t>No Appointment Made</t>
        </is>
      </c>
      <c r="AC1562"/>
      <c r="AD1562" t="inlineStr">
        <is>
          <t>1 sales consultant, 1 sales manager</t>
        </is>
      </c>
      <c r="AE1562"/>
      <c r="AF1562"/>
      <c r="AG1562" s="4"/>
      <c r="AH1562" s="4"/>
      <c r="AI1562"/>
      <c r="AJ1562">
        <v>3</v>
      </c>
      <c r="AK1562" t="inlineStr">
        <is>
          <t>No, I don't need at all</t>
        </is>
      </c>
      <c r="AL1562"/>
      <c r="AM1562" t="inlineStr">
        <is>
          <t>No, I don't need at all</t>
        </is>
      </c>
      <c r="AN1562"/>
      <c r="AO1562" t="inlineStr">
        <is>
          <t>No, I don't need at all</t>
        </is>
      </c>
      <c r="AP1562" t="inlineStr">
        <is>
          <t>Once per quarter (75%)</t>
        </is>
      </c>
      <c r="AQ1562"/>
      <c r="AR1562" t="inlineStr">
        <is>
          <t>Free Job Portal</t>
        </is>
      </c>
      <c r="AS1562" t="inlineStr">
        <is>
          <t>- Headcount: 2
- Hiring Job Details: 1 sales consultant, 1 sales manager
- Hiring Urgency: Hiring Now
- Number of outlets: 3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1562">
        <v>95</v>
      </c>
      <c r="AU1562" t="inlineStr">
        <is>
          <t>0.95</t>
        </is>
      </c>
      <c r="AV1562" t="inlineStr">
        <is>
          <t>5</t>
        </is>
      </c>
      <c r="AW1562" t="inlineStr">
        <is>
          <t>0</t>
        </is>
      </c>
      <c r="AX1562" t="inlineStr">
        <is>
          <t>Not Qualified</t>
        </is>
      </c>
      <c r="AY1562" s="4"/>
      <c r="AZ1562"/>
      <c r="BA1562"/>
      <c r="BB1562"/>
      <c r="BC1562" t="inlineStr">
        <is>
          <t>still have credit with JS</t>
        </is>
      </c>
      <c r="BD1562" s="4">
        <v>46133.46392361111</v>
      </c>
      <c r="BE1562" t="inlineStr">
        <is>
          <t>paid</t>
        </is>
      </c>
      <c r="BF1562"/>
      <c r="BG1562" t="inlineStr">
        <is>
          <t>Reschedule</t>
        </is>
      </c>
      <c r="BH1562" t="inlineStr">
        <is>
          <t>Edward Hoo</t>
        </is>
      </c>
      <c r="BI1562" t="inlineStr">
        <is>
          <t>Automobile / Automotive</t>
        </is>
      </c>
      <c r="BJ1562" s="4">
        <v>46144.75142361111</v>
      </c>
      <c r="BK1562" s="4">
        <v>45162.439050925925</v>
      </c>
      <c r="BL1562" t="inlineStr">
        <is>
          <t>0.0</t>
        </is>
      </c>
      <c r="BM1562" t="inlineStr">
        <is>
          <t>1800.0</t>
        </is>
      </c>
      <c r="BN1562" t="inlineStr">
        <is>
          <t>View Company Page</t>
        </is>
      </c>
      <c r="BO1562" s="4">
        <v>45497.4741087963</v>
      </c>
      <c r="BP1562">
        <v>166907</v>
      </c>
      <c r="BQ1562">
        <v>62349</v>
      </c>
      <c r="BR1562" t="inlineStr">
        <is>
          <t>Online</t>
        </is>
      </c>
      <c r="BS1562"/>
      <c r="BT1562">
        <v>62349</v>
      </c>
      <c r="BU1562"/>
      <c r="BV1562">
        <v>2717344</v>
      </c>
      <c r="BW1562" t="inlineStr">
        <is>
          <t>Follow Up : Lost - Paid Portal</t>
        </is>
      </c>
      <c r="BX1562"/>
      <c r="BY1562"/>
      <c r="BZ1562" s="4"/>
      <c r="CA1562"/>
      <c r="CB1562"/>
      <c r="CC1562" s="4"/>
      <c r="CD1562" t="inlineStr">
        <is>
          <t>5</t>
        </is>
      </c>
      <c r="CE1562" t="inlineStr">
        <is>
          <t>0</t>
        </is>
      </c>
      <c r="CF1562" t="inlineStr">
        <is>
          <t>Q2-W02</t>
        </is>
      </c>
      <c r="CG1562"/>
      <c r="CH1562"/>
      <c r="CI1562"/>
      <c r="CJ1562" t="inlineStr">
        <is>
          <t>Paid</t>
        </is>
      </c>
      <c r="CK1562" t="inlineStr">
        <is>
          <t>Not Eligible</t>
        </is>
      </c>
      <c r="CL1562"/>
      <c r="CM1562"/>
    </row>
    <row r="1563" ht="25.5" customHeight="1">
      <c r="A1563" t="inlineStr">
        <is>
          <t>4280337</t>
        </is>
      </c>
      <c r="B1563" s="2"/>
      <c r="C1563"/>
      <c r="D1563" s="3">
        <v>46126.481770833336</v>
      </c>
      <c r="E1563" t="inlineStr">
        <is>
          <t>Q2-W02</t>
        </is>
      </c>
      <c r="F1563" t="inlineStr">
        <is>
          <t>Lucas</t>
        </is>
      </c>
      <c r="G1563" t="inlineStr">
        <is>
          <t>Lead</t>
        </is>
      </c>
      <c r="H1563" s="2" t="str">
        <f>=HYPERLINK("https://upbox.ajobthing.my/leads/4280337", "https://upbox.ajobthing.my/leads/4280337")</f>
        <v>https://upbox.ajobthing.my/leads/4280337</v>
      </c>
      <c r="I1563" t="inlineStr">
        <is>
          <t>Arts Optic Lab (M) Sdn.Bhd</t>
        </is>
      </c>
      <c r="J1563" t="inlineStr">
        <is>
          <t>Dolphin</t>
        </is>
      </c>
      <c r="K1563" t="inlineStr">
        <is>
          <t>Lucas</t>
        </is>
      </c>
      <c r="L1563" s="4"/>
      <c r="M1563" s="4">
        <v>46126.4793287037</v>
      </c>
      <c r="N1563"/>
      <c r="O1563">
        <v>3888</v>
      </c>
      <c r="P1563" s="4"/>
      <c r="Q1563" s="4"/>
      <c r="R1563"/>
      <c r="S1563"/>
      <c r="T1563" s="4"/>
      <c r="U1563" s="4"/>
      <c r="V1563"/>
      <c r="W1563"/>
      <c r="X1563"/>
      <c r="Y1563" t="inlineStr">
        <is>
          <t>Pending Appointment</t>
        </is>
      </c>
      <c r="Z1563" t="inlineStr">
        <is>
          <t>Hiring Now</t>
        </is>
      </c>
      <c r="AA1563">
        <v>3</v>
      </c>
      <c r="AB1563" t="inlineStr">
        <is>
          <t>No Appointment Made</t>
        </is>
      </c>
      <c r="AC1563"/>
      <c r="AD1563" t="inlineStr">
        <is>
          <t xml:space="preserve">2 qc , 1 warehouse assistance </t>
        </is>
      </c>
      <c r="AE1563"/>
      <c r="AF1563">
        <v>0</v>
      </c>
      <c r="AG1563" s="4"/>
      <c r="AH1563" s="4"/>
      <c r="AI1563">
        <v>0</v>
      </c>
      <c r="AJ1563">
        <v>0</v>
      </c>
      <c r="AK1563" t="inlineStr">
        <is>
          <t>No, I don't need at all</t>
        </is>
      </c>
      <c r="AL1563">
        <v>0</v>
      </c>
      <c r="AM1563" t="inlineStr">
        <is>
          <t>No, I don't need at all</t>
        </is>
      </c>
      <c r="AN1563"/>
      <c r="AO1563" t="inlineStr">
        <is>
          <t>No, I don't need at all</t>
        </is>
      </c>
      <c r="AP1563" t="inlineStr">
        <is>
          <t>Once a year (25%)</t>
        </is>
      </c>
      <c r="AQ1563">
        <v>3</v>
      </c>
      <c r="AR1563" t="inlineStr">
        <is>
          <t>Jobstreet</t>
        </is>
      </c>
      <c r="AS1563" t="inlineStr">
        <is>
          <t>- Headcount: 3
- Hiring Job Details: 2 qc, 1 warehouse assistance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t>
        </is>
      </c>
      <c r="AT1563">
        <v>105</v>
      </c>
      <c r="AU1563" t="inlineStr">
        <is>
          <t>1.05</t>
        </is>
      </c>
      <c r="AV1563" t="inlineStr">
        <is>
          <t>15</t>
        </is>
      </c>
      <c r="AW1563" t="inlineStr">
        <is>
          <t>0</t>
        </is>
      </c>
      <c r="AX1563" t="inlineStr">
        <is>
          <t>Not Qualified</t>
        </is>
      </c>
      <c r="AY1563" s="4"/>
      <c r="AZ1563"/>
      <c r="BA1563"/>
      <c r="BB1563"/>
      <c r="BC1563"/>
      <c r="BD1563" s="4"/>
      <c r="BE1563"/>
      <c r="BF1563"/>
      <c r="BG1563" t="inlineStr">
        <is>
          <t>Reschedule</t>
        </is>
      </c>
      <c r="BH1563" t="inlineStr">
        <is>
          <t>Yee Hang</t>
        </is>
      </c>
      <c r="BI1563"/>
      <c r="BJ1563" s="4">
        <v>46144.75581018518</v>
      </c>
      <c r="BK1563" s="4">
        <v>46126.465046296296</v>
      </c>
      <c r="BL1563" t="inlineStr">
        <is>
          <t>0.0</t>
        </is>
      </c>
      <c r="BM1563" t="inlineStr">
        <is>
          <t>0.0</t>
        </is>
      </c>
      <c r="BN1563"/>
      <c r="BO1563" s="4"/>
      <c r="BP1563">
        <v>166913</v>
      </c>
      <c r="BQ1563"/>
      <c r="BR1563"/>
      <c r="BS1563"/>
      <c r="BT1563"/>
      <c r="BU1563"/>
      <c r="BV1563"/>
      <c r="BW1563"/>
      <c r="BX1563"/>
      <c r="BY1563"/>
      <c r="BZ1563" s="4"/>
      <c r="CA1563"/>
      <c r="CB1563"/>
      <c r="CC1563" s="4"/>
      <c r="CD1563" t="inlineStr">
        <is>
          <t>20</t>
        </is>
      </c>
      <c r="CE1563" t="inlineStr">
        <is>
          <t>0</t>
        </is>
      </c>
      <c r="CF1563" t="inlineStr">
        <is>
          <t>Q2-W02</t>
        </is>
      </c>
      <c r="CG1563"/>
      <c r="CH1563"/>
      <c r="CI1563"/>
      <c r="CJ1563" t="inlineStr">
        <is>
          <t>No Paid</t>
        </is>
      </c>
      <c r="CK1563" t="inlineStr">
        <is>
          <t>Not Eligible</t>
        </is>
      </c>
      <c r="CL1563"/>
      <c r="CM1563"/>
    </row>
    <row r="1564" ht="25.5" customHeight="1">
      <c r="A1564" t="inlineStr">
        <is>
          <t>196504</t>
        </is>
      </c>
      <c r="B1564" s="2"/>
      <c r="C1564"/>
      <c r="D1564" s="3">
        <v>46126.49239583333</v>
      </c>
      <c r="E1564" t="inlineStr">
        <is>
          <t>Q2-W02</t>
        </is>
      </c>
      <c r="F1564" t="inlineStr">
        <is>
          <t>Josh</t>
        </is>
      </c>
      <c r="G1564" t="inlineStr">
        <is>
          <t>Customer</t>
        </is>
      </c>
      <c r="H1564" s="2" t="str">
        <f>=HYPERLINK("https://upbox.ajobthing.my/customer/196504", "https://upbox.ajobthing.my/customer/196504")</f>
        <v>https://upbox.ajobthing.my/customer/196504</v>
      </c>
      <c r="I1564" t="inlineStr">
        <is>
          <t>KT PROFESSIONAL CONSULTANCY SERVICES</t>
        </is>
      </c>
      <c r="J1564" t="inlineStr">
        <is>
          <t>Dolphin</t>
        </is>
      </c>
      <c r="K1564" t="inlineStr">
        <is>
          <t>Josh</t>
        </is>
      </c>
      <c r="L1564" s="4"/>
      <c r="M1564" s="4">
        <v>46126.49266203704</v>
      </c>
      <c r="N1564"/>
      <c r="O1564">
        <v>6048</v>
      </c>
      <c r="P1564" s="4"/>
      <c r="Q1564" s="4"/>
      <c r="R1564"/>
      <c r="S1564"/>
      <c r="T1564" s="4"/>
      <c r="U1564" s="4"/>
      <c r="V1564"/>
      <c r="W1564"/>
      <c r="X1564"/>
      <c r="Y1564" t="inlineStr">
        <is>
          <t>Pending Appointment</t>
        </is>
      </c>
      <c r="Z1564" t="inlineStr">
        <is>
          <t>Hiring Later</t>
        </is>
      </c>
      <c r="AA1564">
        <v>1</v>
      </c>
      <c r="AB1564" t="inlineStr">
        <is>
          <t>No Appointment Made</t>
        </is>
      </c>
      <c r="AC1564"/>
      <c r="AD1564" t="inlineStr">
        <is>
          <t>1 sales</t>
        </is>
      </c>
      <c r="AE1564"/>
      <c r="AF1564">
        <v>3000</v>
      </c>
      <c r="AG1564" s="4"/>
      <c r="AH1564" s="4"/>
      <c r="AI1564"/>
      <c r="AJ1564"/>
      <c r="AK1564" t="inlineStr">
        <is>
          <t>Yes, I have</t>
        </is>
      </c>
      <c r="AL1564">
        <v>1</v>
      </c>
      <c r="AM1564"/>
      <c r="AN1564"/>
      <c r="AO1564"/>
      <c r="AP1564" t="inlineStr">
        <is>
          <t>Once a year (25%)</t>
        </is>
      </c>
      <c r="AQ1564"/>
      <c r="AR1564"/>
      <c r="AS1564" t="inlineStr">
        <is>
          <t>- Headcount: 1
- Hiring Job Details: 1 sales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AT1564">
        <v>75</v>
      </c>
      <c r="AU1564" t="inlineStr">
        <is>
          <t>0.75</t>
        </is>
      </c>
      <c r="AV1564" t="inlineStr">
        <is>
          <t>15</t>
        </is>
      </c>
      <c r="AW1564" t="inlineStr">
        <is>
          <t>0</t>
        </is>
      </c>
      <c r="AX1564" t="inlineStr">
        <is>
          <t>Not Qualified</t>
        </is>
      </c>
      <c r="AY1564" s="4"/>
      <c r="AZ1564"/>
      <c r="BA1564"/>
      <c r="BB1564"/>
      <c r="BC1564" t="inlineStr">
        <is>
          <t>- Headcount: 1
- Hiring Job Details: 1 sales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BD1564" s="4">
        <v>46126.50003472222</v>
      </c>
      <c r="BE1564"/>
      <c r="BF1564"/>
      <c r="BG1564" t="inlineStr">
        <is>
          <t>Reschedule</t>
        </is>
      </c>
      <c r="BH1564" t="inlineStr">
        <is>
          <t>Fauziah Maharan</t>
        </is>
      </c>
      <c r="BI1564"/>
      <c r="BJ1564" s="4">
        <v>46144.75283564815</v>
      </c>
      <c r="BK1564" s="4">
        <v>45924.66025462963</v>
      </c>
      <c r="BL1564" t="inlineStr">
        <is>
          <t>0.0</t>
        </is>
      </c>
      <c r="BM1564" t="inlineStr">
        <is>
          <t>0.0</t>
        </is>
      </c>
      <c r="BN1564" t="inlineStr">
        <is>
          <t>User Login</t>
        </is>
      </c>
      <c r="BO1564" s="4">
        <v>45924.69138888889</v>
      </c>
      <c r="BP1564">
        <v>166919</v>
      </c>
      <c r="BQ1564"/>
      <c r="BR1564"/>
      <c r="BS1564"/>
      <c r="BT1564"/>
      <c r="BU1564"/>
      <c r="BV1564">
        <v>2703225</v>
      </c>
      <c r="BW1564" t="inlineStr">
        <is>
          <t>Customer Inquiry</t>
        </is>
      </c>
      <c r="BX1564"/>
      <c r="BY1564"/>
      <c r="BZ1564" s="4"/>
      <c r="CA1564"/>
      <c r="CB1564"/>
      <c r="CC1564" s="4"/>
      <c r="CD1564" t="inlineStr">
        <is>
          <t>20</t>
        </is>
      </c>
      <c r="CE1564" t="inlineStr">
        <is>
          <t>0</t>
        </is>
      </c>
      <c r="CF1564" t="inlineStr">
        <is>
          <t>Q2-W02</t>
        </is>
      </c>
      <c r="CG1564"/>
      <c r="CH1564"/>
      <c r="CI1564"/>
      <c r="CJ1564" t="inlineStr">
        <is>
          <t>No Paid</t>
        </is>
      </c>
      <c r="CK1564" t="inlineStr">
        <is>
          <t>Not Eligible</t>
        </is>
      </c>
      <c r="CL1564"/>
      <c r="CM1564"/>
    </row>
    <row r="1565" ht="25.5" customHeight="1">
      <c r="A1565" t="inlineStr">
        <is>
          <t>29344</t>
        </is>
      </c>
      <c r="B1565" s="2"/>
      <c r="C1565"/>
      <c r="D1565" s="3">
        <v>46126.49798611111</v>
      </c>
      <c r="E1565" t="inlineStr">
        <is>
          <t>Q2-W02</t>
        </is>
      </c>
      <c r="F1565" t="inlineStr">
        <is>
          <t>Jeff Lee</t>
        </is>
      </c>
      <c r="G1565" t="inlineStr">
        <is>
          <t>Customer</t>
        </is>
      </c>
      <c r="H1565" s="2" t="str">
        <f>=HYPERLINK("https://upbox.ajobthing.my/customer/29344", "https://upbox.ajobthing.my/customer/29344")</f>
        <v>https://upbox.ajobthing.my/customer/29344</v>
      </c>
      <c r="I1565" t="inlineStr">
        <is>
          <t>W Connect</t>
        </is>
      </c>
      <c r="J1565" t="inlineStr">
        <is>
          <t>Dolphin</t>
        </is>
      </c>
      <c r="K1565" t="inlineStr">
        <is>
          <t>Jeff Lee</t>
        </is>
      </c>
      <c r="L1565" s="4"/>
      <c r="M1565" s="4">
        <v>46126.49355324074</v>
      </c>
      <c r="N1565"/>
      <c r="O1565">
        <v>3888</v>
      </c>
      <c r="P1565" s="4"/>
      <c r="Q1565" s="4">
        <v>45742.5096412037</v>
      </c>
      <c r="R1565"/>
      <c r="S1565">
        <v>1296</v>
      </c>
      <c r="T1565" s="4">
        <v>45742.5096412037</v>
      </c>
      <c r="U1565" s="4"/>
      <c r="V1565"/>
      <c r="W1565">
        <v>1296</v>
      </c>
      <c r="X1565"/>
      <c r="Y1565" t="inlineStr">
        <is>
          <t>Pending Appointment</t>
        </is>
      </c>
      <c r="Z1565" t="inlineStr">
        <is>
          <t>Hiring Now</t>
        </is>
      </c>
      <c r="AA1565">
        <v>1</v>
      </c>
      <c r="AB1565" t="inlineStr">
        <is>
          <t>No Appointment Made</t>
        </is>
      </c>
      <c r="AC1565"/>
      <c r="AD1565" t="inlineStr">
        <is>
          <t>1. Driver
2. 1 only</t>
        </is>
      </c>
      <c r="AE1565"/>
      <c r="AF1565">
        <v>0</v>
      </c>
      <c r="AG1565" s="4"/>
      <c r="AH1565" s="4"/>
      <c r="AI1565">
        <v>0</v>
      </c>
      <c r="AJ1565">
        <v>0</v>
      </c>
      <c r="AK1565" t="inlineStr">
        <is>
          <t>No, I don't need at all</t>
        </is>
      </c>
      <c r="AL1565">
        <v>0</v>
      </c>
      <c r="AM1565" t="inlineStr">
        <is>
          <t>No, I don't need at all</t>
        </is>
      </c>
      <c r="AN1565"/>
      <c r="AO1565" t="inlineStr">
        <is>
          <t>No, I don't need at all</t>
        </is>
      </c>
      <c r="AP1565" t="inlineStr">
        <is>
          <t>Once a year (25%)</t>
        </is>
      </c>
      <c r="AQ1565">
        <v>2</v>
      </c>
      <c r="AR1565" t="inlineStr">
        <is>
          <t>Free Job Portal</t>
        </is>
      </c>
      <c r="AS1565" t="inlineStr">
        <is>
          <t>- Headcount: 1
- Hiring Job Details: 1 Driver (1 only)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1565">
        <v>105</v>
      </c>
      <c r="AU1565" t="inlineStr">
        <is>
          <t>1.05</t>
        </is>
      </c>
      <c r="AV1565" t="inlineStr">
        <is>
          <t>15</t>
        </is>
      </c>
      <c r="AW1565" t="inlineStr">
        <is>
          <t>0</t>
        </is>
      </c>
      <c r="AX1565" t="inlineStr">
        <is>
          <t>Not Qualified</t>
        </is>
      </c>
      <c r="AY1565" s="4"/>
      <c r="AZ1565"/>
      <c r="BA1565"/>
      <c r="BB1565"/>
      <c r="BC1565" t="inlineStr">
        <is>
          <t>0 18-661 6838 is wrong number</t>
        </is>
      </c>
      <c r="BD1565" s="4">
        <v>46135.44082175926</v>
      </c>
      <c r="BE1565" t="inlineStr">
        <is>
          <t>paid</t>
        </is>
      </c>
      <c r="BF1565"/>
      <c r="BG1565" t="inlineStr">
        <is>
          <t>Reschedule</t>
        </is>
      </c>
      <c r="BH1565" t="inlineStr">
        <is>
          <t>Yee Hang</t>
        </is>
      </c>
      <c r="BI1565" t="inlineStr">
        <is>
          <t>Advertising / Marketing</t>
        </is>
      </c>
      <c r="BJ1565" s="4">
        <v>46144.75451388889</v>
      </c>
      <c r="BK1565" s="4">
        <v>42646.56649305556</v>
      </c>
      <c r="BL1565" t="inlineStr">
        <is>
          <t>0.0</t>
        </is>
      </c>
      <c r="BM1565" t="inlineStr">
        <is>
          <t>0.0</t>
        </is>
      </c>
      <c r="BN1565" t="inlineStr">
        <is>
          <t>PA Visit - Applicant Manager</t>
        </is>
      </c>
      <c r="BO1565" s="4">
        <v>45783.67533564815</v>
      </c>
      <c r="BP1565">
        <v>166922</v>
      </c>
      <c r="BQ1565">
        <v>77964</v>
      </c>
      <c r="BR1565" t="inlineStr">
        <is>
          <t>Online</t>
        </is>
      </c>
      <c r="BS1565"/>
      <c r="BT1565">
        <v>77964</v>
      </c>
      <c r="BU1565"/>
      <c r="BV1565">
        <v>2722512</v>
      </c>
      <c r="BW1565" t="inlineStr">
        <is>
          <t>No Answer : Voicemail - WA sent to customer</t>
        </is>
      </c>
      <c r="BX1565"/>
      <c r="BY1565"/>
      <c r="BZ1565" s="4"/>
      <c r="CA1565"/>
      <c r="CB1565"/>
      <c r="CC1565" s="4"/>
      <c r="CD1565" t="inlineStr">
        <is>
          <t>20</t>
        </is>
      </c>
      <c r="CE1565" t="inlineStr">
        <is>
          <t>0</t>
        </is>
      </c>
      <c r="CF1565" t="inlineStr">
        <is>
          <t>Q2-W02</t>
        </is>
      </c>
      <c r="CG1565"/>
      <c r="CH1565"/>
      <c r="CI1565"/>
      <c r="CJ1565" t="inlineStr">
        <is>
          <t>Paid</t>
        </is>
      </c>
      <c r="CK1565" t="inlineStr">
        <is>
          <t>Not Eligible</t>
        </is>
      </c>
      <c r="CL1565"/>
      <c r="CM1565"/>
    </row>
    <row r="1566" ht="25.5" customHeight="1">
      <c r="A1566" t="inlineStr">
        <is>
          <t>4273361</t>
        </is>
      </c>
      <c r="B1566" s="2"/>
      <c r="C1566"/>
      <c r="D1566" s="3">
        <v>46126.49959490741</v>
      </c>
      <c r="E1566" t="inlineStr">
        <is>
          <t>Q2-W02</t>
        </is>
      </c>
      <c r="F1566" t="inlineStr">
        <is>
          <t>Janice Yap</t>
        </is>
      </c>
      <c r="G1566" t="inlineStr">
        <is>
          <t>Lead</t>
        </is>
      </c>
      <c r="H1566" s="2" t="str">
        <f>=HYPERLINK("https://upbox.ajobthing.my/leads/4273361", "https://upbox.ajobthing.my/leads/4273361")</f>
        <v>https://upbox.ajobthing.my/leads/4273361</v>
      </c>
      <c r="I1566" t="inlineStr">
        <is>
          <t>Beacon Inverglow Solutions Sdn Bhd</t>
        </is>
      </c>
      <c r="J1566" t="inlineStr">
        <is>
          <t>Dolphin</t>
        </is>
      </c>
      <c r="K1566" t="inlineStr">
        <is>
          <t>Janice</t>
        </is>
      </c>
      <c r="L1566" s="4"/>
      <c r="M1566" s="4">
        <v>46126.49674768518</v>
      </c>
      <c r="N1566"/>
      <c r="O1566">
        <v>3888</v>
      </c>
      <c r="P1566" s="4"/>
      <c r="Q1566" s="4"/>
      <c r="R1566"/>
      <c r="S1566"/>
      <c r="T1566" s="4"/>
      <c r="U1566" s="4"/>
      <c r="V1566"/>
      <c r="W1566"/>
      <c r="X1566"/>
      <c r="Y1566" t="inlineStr">
        <is>
          <t>Pending Appointment</t>
        </is>
      </c>
      <c r="Z1566" t="inlineStr">
        <is>
          <t>Hiring Now</t>
        </is>
      </c>
      <c r="AA1566">
        <v>1</v>
      </c>
      <c r="AB1566" t="inlineStr">
        <is>
          <t>No Appointment Made</t>
        </is>
      </c>
      <c r="AC1566"/>
      <c r="AD1566" t="inlineStr">
        <is>
          <t>1 site engineering</t>
        </is>
      </c>
      <c r="AE1566"/>
      <c r="AF1566">
        <v>0</v>
      </c>
      <c r="AG1566" s="4"/>
      <c r="AH1566" s="4"/>
      <c r="AI1566">
        <v>0</v>
      </c>
      <c r="AJ1566"/>
      <c r="AK1566" t="inlineStr">
        <is>
          <t>No, I don't need at all</t>
        </is>
      </c>
      <c r="AL1566">
        <v>0</v>
      </c>
      <c r="AM1566" t="inlineStr">
        <is>
          <t>No, I don't need at all</t>
        </is>
      </c>
      <c r="AN1566"/>
      <c r="AO1566" t="inlineStr">
        <is>
          <t>No, I don't need at all</t>
        </is>
      </c>
      <c r="AP1566" t="inlineStr">
        <is>
          <t>Once a year (25%)</t>
        </is>
      </c>
      <c r="AQ1566">
        <v>1</v>
      </c>
      <c r="AR1566" t="inlineStr">
        <is>
          <t>Jobstreet, Indeed (Paid)</t>
        </is>
      </c>
      <c r="AS1566" t="inlineStr">
        <is>
          <t>- Headcount: 1
- Hiring Job Details: 1 site engineering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Jobstreet,Indeed (Paid)</t>
        </is>
      </c>
      <c r="AT1566">
        <v>100</v>
      </c>
      <c r="AU1566" t="inlineStr">
        <is>
          <t>1.00</t>
        </is>
      </c>
      <c r="AV1566" t="inlineStr">
        <is>
          <t>15</t>
        </is>
      </c>
      <c r="AW1566" t="inlineStr">
        <is>
          <t>0</t>
        </is>
      </c>
      <c r="AX1566" t="inlineStr">
        <is>
          <t>Not Qualified</t>
        </is>
      </c>
      <c r="AY1566" s="4"/>
      <c r="AZ1566"/>
      <c r="BA1566"/>
      <c r="BB1566"/>
      <c r="BC1566"/>
      <c r="BD1566" s="4"/>
      <c r="BE1566"/>
      <c r="BF1566"/>
      <c r="BG1566" t="inlineStr">
        <is>
          <t>Reschedule</t>
        </is>
      </c>
      <c r="BH1566" t="inlineStr">
        <is>
          <t>Yee Hang</t>
        </is>
      </c>
      <c r="BI1566"/>
      <c r="BJ1566" s="4">
        <v>46144.75581018518</v>
      </c>
      <c r="BK1566" s="4">
        <v>46124.444652777776</v>
      </c>
      <c r="BL1566" t="inlineStr">
        <is>
          <t>0.0</t>
        </is>
      </c>
      <c r="BM1566" t="inlineStr">
        <is>
          <t>0.0</t>
        </is>
      </c>
      <c r="BN1566"/>
      <c r="BO1566" s="4"/>
      <c r="BP1566">
        <v>166925</v>
      </c>
      <c r="BQ1566"/>
      <c r="BR1566"/>
      <c r="BS1566"/>
      <c r="BT1566"/>
      <c r="BU1566"/>
      <c r="BV1566"/>
      <c r="BW1566"/>
      <c r="BX1566"/>
      <c r="BY1566"/>
      <c r="BZ1566" s="4"/>
      <c r="CA1566"/>
      <c r="CB1566"/>
      <c r="CC1566" s="4"/>
      <c r="CD1566" t="inlineStr">
        <is>
          <t>20</t>
        </is>
      </c>
      <c r="CE1566" t="inlineStr">
        <is>
          <t>0</t>
        </is>
      </c>
      <c r="CF1566" t="inlineStr">
        <is>
          <t>Q2-W02</t>
        </is>
      </c>
      <c r="CG1566"/>
      <c r="CH1566"/>
      <c r="CI1566"/>
      <c r="CJ1566" t="inlineStr">
        <is>
          <t>No Paid</t>
        </is>
      </c>
      <c r="CK1566" t="inlineStr">
        <is>
          <t>Not Eligible</t>
        </is>
      </c>
      <c r="CL1566"/>
      <c r="CM1566"/>
    </row>
    <row r="1567" ht="25.5" customHeight="1">
      <c r="A1567" t="inlineStr">
        <is>
          <t>165862</t>
        </is>
      </c>
      <c r="B1567" s="2"/>
      <c r="C1567"/>
      <c r="D1567" s="3">
        <v>46126.509780092594</v>
      </c>
      <c r="E1567" t="inlineStr">
        <is>
          <t>Q2-W02</t>
        </is>
      </c>
      <c r="F1567" t="inlineStr">
        <is>
          <t>Dickson</t>
        </is>
      </c>
      <c r="G1567" t="inlineStr">
        <is>
          <t>Customer</t>
        </is>
      </c>
      <c r="H1567" s="2" t="str">
        <f>=HYPERLINK("https://upbox.ajobthing.my/customer/165862", "https://upbox.ajobthing.my/customer/165862")</f>
        <v>https://upbox.ajobthing.my/customer/165862</v>
      </c>
      <c r="I1567" t="inlineStr">
        <is>
          <t>Fepa Sdn. Bhd</t>
        </is>
      </c>
      <c r="J1567" t="inlineStr">
        <is>
          <t>Dolphin</t>
        </is>
      </c>
      <c r="K1567" t="inlineStr">
        <is>
          <t>Dickson</t>
        </is>
      </c>
      <c r="L1567" s="4"/>
      <c r="M1567" s="4">
        <v>46126.50987268519</v>
      </c>
      <c r="N1567"/>
      <c r="O1567">
        <v>6048</v>
      </c>
      <c r="P1567" s="4"/>
      <c r="Q1567" s="4">
        <v>45019.69730324074</v>
      </c>
      <c r="R1567"/>
      <c r="S1567">
        <v>1908</v>
      </c>
      <c r="T1567" s="4">
        <v>45019.69730324074</v>
      </c>
      <c r="U1567" s="4"/>
      <c r="V1567"/>
      <c r="W1567">
        <v>1908</v>
      </c>
      <c r="X1567"/>
      <c r="Y1567" t="inlineStr">
        <is>
          <t>Pending Appointment</t>
        </is>
      </c>
      <c r="Z1567" t="inlineStr">
        <is>
          <t>Hiring Now</t>
        </is>
      </c>
      <c r="AA1567">
        <v>3</v>
      </c>
      <c r="AB1567" t="inlineStr">
        <is>
          <t>No Appointment Made</t>
        </is>
      </c>
      <c r="AC1567"/>
      <c r="AD1567" t="inlineStr">
        <is>
          <t>1 accountant, 1 accountant assistant, 1 warehouse assistant and other positions</t>
        </is>
      </c>
      <c r="AE1567"/>
      <c r="AF1567"/>
      <c r="AG1567" s="4"/>
      <c r="AH1567" s="4"/>
      <c r="AI1567"/>
      <c r="AJ1567">
        <v>1</v>
      </c>
      <c r="AK1567" t="inlineStr">
        <is>
          <t>No, I don't need at all</t>
        </is>
      </c>
      <c r="AL1567"/>
      <c r="AM1567" t="inlineStr">
        <is>
          <t>No, I don't need at all</t>
        </is>
      </c>
      <c r="AN1567"/>
      <c r="AO1567" t="inlineStr">
        <is>
          <t>No, I don't need at all</t>
        </is>
      </c>
      <c r="AP1567" t="inlineStr">
        <is>
          <t>Once per quarter (75%)</t>
        </is>
      </c>
      <c r="AQ1567"/>
      <c r="AR1567" t="inlineStr">
        <is>
          <t>Free Job Portal</t>
        </is>
      </c>
      <c r="AS1567" t="inlineStr">
        <is>
          <t>- Headcount: 3
- Hiring Job Details: 1 accountant, 1 accountant assistant, 1 warehouse assistant and other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is>
      </c>
      <c r="AT1567">
        <v>45</v>
      </c>
      <c r="AU1567" t="inlineStr">
        <is>
          <t>0.45</t>
        </is>
      </c>
      <c r="AV1567" t="inlineStr">
        <is>
          <t>5</t>
        </is>
      </c>
      <c r="AW1567" t="inlineStr">
        <is>
          <t>0</t>
        </is>
      </c>
      <c r="AX1567" t="inlineStr">
        <is>
          <t>Not Qualified</t>
        </is>
      </c>
      <c r="AY1567" s="4"/>
      <c r="AZ1567"/>
      <c r="BA1567"/>
      <c r="BB1567"/>
      <c r="BC1567" t="inlineStr">
        <is>
          <t>no response</t>
        </is>
      </c>
      <c r="BD1567" s="4">
        <v>46139.769537037035</v>
      </c>
      <c r="BE1567" t="inlineStr">
        <is>
          <t>paid</t>
        </is>
      </c>
      <c r="BF1567"/>
      <c r="BG1567" t="inlineStr">
        <is>
          <t>Reschedule</t>
        </is>
      </c>
      <c r="BH1567" t="inlineStr">
        <is>
          <t>Edward Hoo</t>
        </is>
      </c>
      <c r="BI1567" t="inlineStr">
        <is>
          <t>Manufacturing / Production</t>
        </is>
      </c>
      <c r="BJ1567" s="4">
        <v>46144.75127314815</v>
      </c>
      <c r="BK1567" s="4">
        <v>45016.36319444444</v>
      </c>
      <c r="BL1567" t="inlineStr">
        <is>
          <t>0.0</t>
        </is>
      </c>
      <c r="BM1567" t="inlineStr">
        <is>
          <t>600.0</t>
        </is>
      </c>
      <c r="BN1567" t="inlineStr">
        <is>
          <t>View Jobmanager Page</t>
        </is>
      </c>
      <c r="BO1567" s="4">
        <v>45364.73693287037</v>
      </c>
      <c r="BP1567">
        <v>166932</v>
      </c>
      <c r="BQ1567">
        <v>57195</v>
      </c>
      <c r="BR1567" t="inlineStr">
        <is>
          <t>Online</t>
        </is>
      </c>
      <c r="BS1567"/>
      <c r="BT1567">
        <v>57195</v>
      </c>
      <c r="BU1567"/>
      <c r="BV1567">
        <v>2731612</v>
      </c>
      <c r="BW1567" t="inlineStr">
        <is>
          <t>No Answer : Voicemail - WA sent to customer</t>
        </is>
      </c>
      <c r="BX1567"/>
      <c r="BY1567"/>
      <c r="BZ1567" s="4"/>
      <c r="CA1567"/>
      <c r="CB1567"/>
      <c r="CC1567" s="4"/>
      <c r="CD1567" t="inlineStr">
        <is>
          <t>5</t>
        </is>
      </c>
      <c r="CE1567" t="inlineStr">
        <is>
          <t>0</t>
        </is>
      </c>
      <c r="CF1567" t="inlineStr">
        <is>
          <t>Q2-W02</t>
        </is>
      </c>
      <c r="CG1567"/>
      <c r="CH1567"/>
      <c r="CI1567"/>
      <c r="CJ1567" t="inlineStr">
        <is>
          <t>Paid</t>
        </is>
      </c>
      <c r="CK1567" t="inlineStr">
        <is>
          <t>Not Eligible</t>
        </is>
      </c>
      <c r="CL1567"/>
      <c r="CM1567"/>
    </row>
    <row r="1568" ht="25.5" customHeight="1">
      <c r="A1568" t="inlineStr">
        <is>
          <t>4180283</t>
        </is>
      </c>
      <c r="B1568" s="2"/>
      <c r="C1568"/>
      <c r="D1568" s="3">
        <v>46126.56637731481</v>
      </c>
      <c r="E1568" t="inlineStr">
        <is>
          <t>Q2-W02</t>
        </is>
      </c>
      <c r="F1568" t="inlineStr">
        <is>
          <t>Janice Yap</t>
        </is>
      </c>
      <c r="G1568" t="inlineStr">
        <is>
          <t>Lead</t>
        </is>
      </c>
      <c r="H1568" s="2" t="str">
        <f>=HYPERLINK("https://upbox.ajobthing.my/leads/4180283", "https://upbox.ajobthing.my/leads/4180283")</f>
        <v>https://upbox.ajobthing.my/leads/4180283</v>
      </c>
      <c r="I1568" t="inlineStr">
        <is>
          <t>ALPHAZEN CONTRACT SDN BHD</t>
        </is>
      </c>
      <c r="J1568" t="inlineStr">
        <is>
          <t>Dolphin</t>
        </is>
      </c>
      <c r="K1568" t="inlineStr">
        <is>
          <t>Janice</t>
        </is>
      </c>
      <c r="L1568" s="4"/>
      <c r="M1568" s="4">
        <v>46126.5616087963</v>
      </c>
      <c r="N1568"/>
      <c r="O1568">
        <v>3888</v>
      </c>
      <c r="P1568" s="4"/>
      <c r="Q1568" s="4"/>
      <c r="R1568"/>
      <c r="S1568"/>
      <c r="T1568" s="4"/>
      <c r="U1568" s="4"/>
      <c r="V1568"/>
      <c r="W1568"/>
      <c r="X1568"/>
      <c r="Y1568" t="inlineStr">
        <is>
          <t>Pending Appointment</t>
        </is>
      </c>
      <c r="Z1568" t="inlineStr">
        <is>
          <t>Hiring Now</t>
        </is>
      </c>
      <c r="AA1568">
        <v>1</v>
      </c>
      <c r="AB1568" t="inlineStr">
        <is>
          <t>No Appointment Made</t>
        </is>
      </c>
      <c r="AC1568"/>
      <c r="AD1568" t="inlineStr">
        <is>
          <t>1 admin</t>
        </is>
      </c>
      <c r="AE1568"/>
      <c r="AF1568">
        <v>0</v>
      </c>
      <c r="AG1568" s="4"/>
      <c r="AH1568" s="4"/>
      <c r="AI1568">
        <v>0</v>
      </c>
      <c r="AJ1568"/>
      <c r="AK1568" t="inlineStr">
        <is>
          <t>No, I don't need at all</t>
        </is>
      </c>
      <c r="AL1568">
        <v>0</v>
      </c>
      <c r="AM1568" t="inlineStr">
        <is>
          <t>No, I don't need at all</t>
        </is>
      </c>
      <c r="AN1568"/>
      <c r="AO1568" t="inlineStr">
        <is>
          <t>No, I don't need at all</t>
        </is>
      </c>
      <c r="AP1568" t="inlineStr">
        <is>
          <t>Once a year (25%)</t>
        </is>
      </c>
      <c r="AQ1568">
        <v>1</v>
      </c>
      <c r="AR1568" t="inlineStr">
        <is>
          <t>Did not use any job portal</t>
        </is>
      </c>
      <c r="AS1568"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568">
        <v>100</v>
      </c>
      <c r="AU1568" t="inlineStr">
        <is>
          <t>1.00</t>
        </is>
      </c>
      <c r="AV1568" t="inlineStr">
        <is>
          <t>15</t>
        </is>
      </c>
      <c r="AW1568" t="inlineStr">
        <is>
          <t>0</t>
        </is>
      </c>
      <c r="AX1568" t="inlineStr">
        <is>
          <t>Not Qualified</t>
        </is>
      </c>
      <c r="AY1568" s="4"/>
      <c r="AZ1568"/>
      <c r="BA1568"/>
      <c r="BB1568"/>
      <c r="BC1568"/>
      <c r="BD1568" s="4"/>
      <c r="BE1568"/>
      <c r="BF1568"/>
      <c r="BG1568" t="inlineStr">
        <is>
          <t>Reschedule</t>
        </is>
      </c>
      <c r="BH1568" t="inlineStr">
        <is>
          <t>Yee Hang</t>
        </is>
      </c>
      <c r="BI1568"/>
      <c r="BJ1568" s="4">
        <v>46144.75560185185</v>
      </c>
      <c r="BK1568" s="4">
        <v>46100.843310185184</v>
      </c>
      <c r="BL1568" t="inlineStr">
        <is>
          <t>0.0</t>
        </is>
      </c>
      <c r="BM1568" t="inlineStr">
        <is>
          <t>2400.0</t>
        </is>
      </c>
      <c r="BN1568"/>
      <c r="BO1568" s="4"/>
      <c r="BP1568">
        <v>166936</v>
      </c>
      <c r="BQ1568"/>
      <c r="BR1568"/>
      <c r="BS1568"/>
      <c r="BT1568"/>
      <c r="BU1568"/>
      <c r="BV1568"/>
      <c r="BW1568"/>
      <c r="BX1568"/>
      <c r="BY1568"/>
      <c r="BZ1568" s="4"/>
      <c r="CA1568"/>
      <c r="CB1568"/>
      <c r="CC1568" s="4"/>
      <c r="CD1568" t="inlineStr">
        <is>
          <t>20</t>
        </is>
      </c>
      <c r="CE1568" t="inlineStr">
        <is>
          <t>0</t>
        </is>
      </c>
      <c r="CF1568" t="inlineStr">
        <is>
          <t>Q2-W02</t>
        </is>
      </c>
      <c r="CG1568"/>
      <c r="CH1568"/>
      <c r="CI1568"/>
      <c r="CJ1568" t="inlineStr">
        <is>
          <t>No Paid</t>
        </is>
      </c>
      <c r="CK1568" t="inlineStr">
        <is>
          <t>Not Eligible</t>
        </is>
      </c>
      <c r="CL1568"/>
      <c r="CM1568"/>
    </row>
    <row r="1569" ht="25.5" customHeight="1">
      <c r="A1569" t="inlineStr">
        <is>
          <t>177517</t>
        </is>
      </c>
      <c r="B1569" s="2"/>
      <c r="C1569"/>
      <c r="D1569" s="3">
        <v>46126.57950231482</v>
      </c>
      <c r="E1569" t="inlineStr">
        <is>
          <t>Q2-W02</t>
        </is>
      </c>
      <c r="F1569" t="inlineStr">
        <is>
          <t>Xin Hui</t>
        </is>
      </c>
      <c r="G1569" t="inlineStr">
        <is>
          <t>Customer</t>
        </is>
      </c>
      <c r="H1569" s="2" t="str">
        <f>=HYPERLINK("https://upbox.ajobthing.my/customer/177517", "https://upbox.ajobthing.my/customer/177517")</f>
        <v>https://upbox.ajobthing.my/customer/177517</v>
      </c>
      <c r="I1569" t="inlineStr">
        <is>
          <t>Park Wah Furniture (M) Sdn Bhd</t>
        </is>
      </c>
      <c r="J1569" t="inlineStr">
        <is>
          <t>Dolphin</t>
        </is>
      </c>
      <c r="K1569" t="inlineStr">
        <is>
          <t>Xin Hui</t>
        </is>
      </c>
      <c r="L1569" s="4"/>
      <c r="M1569" s="4">
        <v>46127.593668981484</v>
      </c>
      <c r="N1569"/>
      <c r="O1569">
        <v>1296</v>
      </c>
      <c r="P1569" s="4"/>
      <c r="Q1569" s="4">
        <v>46139.60927083333</v>
      </c>
      <c r="R1569"/>
      <c r="S1569">
        <v>1296</v>
      </c>
      <c r="T1569" s="4">
        <v>46139.60927083333</v>
      </c>
      <c r="U1569" s="4"/>
      <c r="V1569"/>
      <c r="W1569">
        <v>1296</v>
      </c>
      <c r="X1569"/>
      <c r="Y1569" t="inlineStr">
        <is>
          <t>Pending Appointment</t>
        </is>
      </c>
      <c r="Z1569" t="inlineStr">
        <is>
          <t>Hiring Now</t>
        </is>
      </c>
      <c r="AA1569">
        <v>1</v>
      </c>
      <c r="AB1569" t="inlineStr">
        <is>
          <t>No Appointment Made</t>
        </is>
      </c>
      <c r="AC1569"/>
      <c r="AD1569" t="inlineStr">
        <is>
          <t xml:space="preserve">1 accountant </t>
        </is>
      </c>
      <c r="AE1569"/>
      <c r="AF1569">
        <v>0</v>
      </c>
      <c r="AG1569" s="4"/>
      <c r="AH1569" s="4"/>
      <c r="AI1569">
        <v>0</v>
      </c>
      <c r="AJ1569"/>
      <c r="AK1569" t="inlineStr">
        <is>
          <t>No, I don't need at all</t>
        </is>
      </c>
      <c r="AL1569"/>
      <c r="AM1569" t="inlineStr">
        <is>
          <t>No, I don't need at all</t>
        </is>
      </c>
      <c r="AN1569"/>
      <c r="AO1569"/>
      <c r="AP1569" t="inlineStr">
        <is>
          <t>Once a year (25%)</t>
        </is>
      </c>
      <c r="AQ1569"/>
      <c r="AR1569"/>
      <c r="AS1569" t="inlineStr">
        <is>
          <t>- Headcount: 1
- Hiring Job Details: 1 accountant
- Hiring Urgency: Hiring Now
- Number of outlets: Not provided
- Have recruiter team: No, I don't need at all
- Number of recruiter in company: Not provided
- Have ATS system: No, I don't need at all
- Have career website: Not provided
- Current hiring budget: RM0.00
- Whole year budget: RM0.00
- Whole year number of vacancies: Not provided
- Hiring frequency: Once a year (25%)
- External job portal: Not provided</t>
        </is>
      </c>
      <c r="AT1569">
        <v>75</v>
      </c>
      <c r="AU1569" t="inlineStr">
        <is>
          <t>0.75</t>
        </is>
      </c>
      <c r="AV1569" t="inlineStr">
        <is>
          <t>15</t>
        </is>
      </c>
      <c r="AW1569" t="inlineStr">
        <is>
          <t>0</t>
        </is>
      </c>
      <c r="AX1569" t="inlineStr">
        <is>
          <t>Not Qualified</t>
        </is>
      </c>
      <c r="AY1569" s="4"/>
      <c r="AZ1569"/>
      <c r="BA1569"/>
      <c r="BB1569"/>
      <c r="BC1569" t="inlineStr">
        <is>
          <t>asking how to view applicant how to see results</t>
        </is>
      </c>
      <c r="BD1569" s="4">
        <v>46140.41142361111</v>
      </c>
      <c r="BE1569" t="inlineStr">
        <is>
          <t>paid</t>
        </is>
      </c>
      <c r="BF1569" t="inlineStr">
        <is>
          <t>Q2-W04</t>
        </is>
      </c>
      <c r="BG1569" t="inlineStr">
        <is>
          <t>Reschedule</t>
        </is>
      </c>
      <c r="BH1569" t="inlineStr">
        <is>
          <t>Yee Hang</t>
        </is>
      </c>
      <c r="BI1569" t="inlineStr">
        <is>
          <t>Manufacturing / Production</t>
        </is>
      </c>
      <c r="BJ1569" s="4">
        <v>46144.75171296296</v>
      </c>
      <c r="BK1569" s="4">
        <v>45401.60864583333</v>
      </c>
      <c r="BL1569" t="inlineStr">
        <is>
          <t>1296.0</t>
        </is>
      </c>
      <c r="BM1569" t="inlineStr">
        <is>
          <t>0.0</t>
        </is>
      </c>
      <c r="BN1569" t="inlineStr">
        <is>
          <t>User Visit(Logged In)</t>
        </is>
      </c>
      <c r="BO1569" s="4">
        <v>46142.648622685185</v>
      </c>
      <c r="BP1569">
        <v>167182</v>
      </c>
      <c r="BQ1569">
        <v>94805</v>
      </c>
      <c r="BR1569" t="inlineStr">
        <is>
          <t>Online</t>
        </is>
      </c>
      <c r="BS1569"/>
      <c r="BT1569">
        <v>94805</v>
      </c>
      <c r="BU1569"/>
      <c r="BV1569">
        <v>2731732</v>
      </c>
      <c r="BW1569" t="inlineStr">
        <is>
          <t>Service / Technical : Job Outcome Enquiry</t>
        </is>
      </c>
      <c r="BX1569">
        <v>1</v>
      </c>
      <c r="BY1569">
        <v>0</v>
      </c>
      <c r="BZ1569" s="4">
        <v>46140.37399305555</v>
      </c>
      <c r="CA1569">
        <v>10</v>
      </c>
      <c r="CB1569">
        <v>9</v>
      </c>
      <c r="CC1569" s="4">
        <v>46141.64056712963</v>
      </c>
      <c r="CD1569" t="inlineStr">
        <is>
          <t>20</t>
        </is>
      </c>
      <c r="CE1569" t="inlineStr">
        <is>
          <t>0</t>
        </is>
      </c>
      <c r="CF1569" t="inlineStr">
        <is>
          <t>Q2-W02</t>
        </is>
      </c>
      <c r="CG1569" t="inlineStr">
        <is>
          <t>Q2-W04</t>
        </is>
      </c>
      <c r="CH1569" t="inlineStr">
        <is>
          <t>Q2-W04</t>
        </is>
      </c>
      <c r="CI1569"/>
      <c r="CJ1569" t="inlineStr">
        <is>
          <t>Paid</t>
        </is>
      </c>
      <c r="CK1569" t="inlineStr">
        <is>
          <t>Not Eligible</t>
        </is>
      </c>
      <c r="CL1569"/>
      <c r="CM1569"/>
    </row>
    <row r="1570" ht="25.5" customHeight="1">
      <c r="A1570" t="inlineStr">
        <is>
          <t>203184</t>
        </is>
      </c>
      <c r="B1570" s="2"/>
      <c r="C1570"/>
      <c r="D1570" s="3">
        <v>46126.580416666664</v>
      </c>
      <c r="E1570" t="inlineStr">
        <is>
          <t>Q2-W02</t>
        </is>
      </c>
      <c r="F1570" t="inlineStr">
        <is>
          <t>Luqman</t>
        </is>
      </c>
      <c r="G1570" t="inlineStr">
        <is>
          <t>Customer</t>
        </is>
      </c>
      <c r="H1570" s="2" t="str">
        <f>=HYPERLINK("https://upbox.ajobthing.my/customer/203184", "https://upbox.ajobthing.my/customer/203184")</f>
        <v>https://upbox.ajobthing.my/customer/203184</v>
      </c>
      <c r="I1570" t="inlineStr">
        <is>
          <t>Getsolar Pte. Ltd.</t>
        </is>
      </c>
      <c r="J1570" t="inlineStr">
        <is>
          <t>Dolphin</t>
        </is>
      </c>
      <c r="K1570" t="inlineStr">
        <is>
          <t>Luqman</t>
        </is>
      </c>
      <c r="L1570" s="4"/>
      <c r="M1570" s="4">
        <v>46126.584548611114</v>
      </c>
      <c r="N1570"/>
      <c r="O1570">
        <v>4968</v>
      </c>
      <c r="P1570" s="4"/>
      <c r="Q1570" s="4"/>
      <c r="R1570"/>
      <c r="S1570"/>
      <c r="T1570" s="4"/>
      <c r="U1570" s="4"/>
      <c r="V1570"/>
      <c r="W1570"/>
      <c r="X1570"/>
      <c r="Y1570" t="inlineStr">
        <is>
          <t>Pending Appointment</t>
        </is>
      </c>
      <c r="Z1570" t="inlineStr">
        <is>
          <t>Hiring Later</t>
        </is>
      </c>
      <c r="AA1570">
        <v>1</v>
      </c>
      <c r="AB1570" t="inlineStr">
        <is>
          <t>No Appointment Made</t>
        </is>
      </c>
      <c r="AC1570"/>
      <c r="AD1570" t="inlineStr">
        <is>
          <t xml:space="preserve">1. Agent </t>
        </is>
      </c>
      <c r="AE1570"/>
      <c r="AF1570">
        <v>3600</v>
      </c>
      <c r="AG1570" s="4"/>
      <c r="AH1570" s="4"/>
      <c r="AI1570">
        <v>3600</v>
      </c>
      <c r="AJ1570"/>
      <c r="AK1570" t="inlineStr">
        <is>
          <t>No, I don't need at all</t>
        </is>
      </c>
      <c r="AL1570">
        <v>2</v>
      </c>
      <c r="AM1570" t="inlineStr">
        <is>
          <t>No, I don't need at all</t>
        </is>
      </c>
      <c r="AN1570"/>
      <c r="AO1570" t="inlineStr">
        <is>
          <t>No, I don't need at all</t>
        </is>
      </c>
      <c r="AP1570" t="inlineStr">
        <is>
          <t>Once a year (25%)</t>
        </is>
      </c>
      <c r="AQ1570">
        <v>2</v>
      </c>
      <c r="AR1570" t="inlineStr">
        <is>
          <t>Free Job Portal</t>
        </is>
      </c>
      <c r="AS1570" t="inlineStr">
        <is>
          <t>- Headcount: 1
- Hiring Job Details: 1 Agent
- Hiring Urgency: Hiring Later
- Number of outlets: None
- Have recruiter team: No, I don't need at all
- Number of recruiter in company: 2
- Have ATS system: No, I don't need at all
- Have career website: No, I don't need at all
- Current hiring budget: RM3,600
- Whole year budget: RM3,600.00
- Whole year number of vacancies: 2
- Hiring frequency: Once a year (25%)
- External job portal: Free Job Portal</t>
        </is>
      </c>
      <c r="AT1570">
        <v>95</v>
      </c>
      <c r="AU1570" t="inlineStr">
        <is>
          <t>0.95</t>
        </is>
      </c>
      <c r="AV1570" t="inlineStr">
        <is>
          <t>15</t>
        </is>
      </c>
      <c r="AW1570" t="inlineStr">
        <is>
          <t>0</t>
        </is>
      </c>
      <c r="AX1570" t="inlineStr">
        <is>
          <t>Not Qualified</t>
        </is>
      </c>
      <c r="AY1570" s="4"/>
      <c r="AZ1570"/>
      <c r="BA1570"/>
      <c r="BB1570"/>
      <c r="BC1570" t="inlineStr">
        <is>
          <t>No feedback - Lost</t>
        </is>
      </c>
      <c r="BD1570" s="4">
        <v>46141.46975694445</v>
      </c>
      <c r="BE1570"/>
      <c r="BF1570"/>
      <c r="BG1570" t="inlineStr">
        <is>
          <t>Reschedule</t>
        </is>
      </c>
      <c r="BH1570" t="inlineStr">
        <is>
          <t>Edward Hoo</t>
        </is>
      </c>
      <c r="BI1570" t="inlineStr">
        <is>
          <t>Engineering / Technical Consulting</t>
        </is>
      </c>
      <c r="BJ1570" s="4">
        <v>46144.75423611111</v>
      </c>
      <c r="BK1570" s="4">
        <v>46125.70615740741</v>
      </c>
      <c r="BL1570" t="inlineStr">
        <is>
          <t>0.0</t>
        </is>
      </c>
      <c r="BM1570" t="inlineStr">
        <is>
          <t>0.0</t>
        </is>
      </c>
      <c r="BN1570" t="inlineStr">
        <is>
          <t>View Company Page</t>
        </is>
      </c>
      <c r="BO1570" s="4">
        <v>46132.57861111111</v>
      </c>
      <c r="BP1570">
        <v>166949</v>
      </c>
      <c r="BQ1570"/>
      <c r="BR1570"/>
      <c r="BS1570"/>
      <c r="BT1570"/>
      <c r="BU1570"/>
      <c r="BV1570">
        <v>2734683</v>
      </c>
      <c r="BW1570" t="inlineStr">
        <is>
          <t>Follow Up : Lost - Free Portal</t>
        </is>
      </c>
      <c r="BX1570"/>
      <c r="BY1570"/>
      <c r="BZ1570" s="4"/>
      <c r="CA1570"/>
      <c r="CB1570"/>
      <c r="CC1570" s="4"/>
      <c r="CD1570" t="inlineStr">
        <is>
          <t>20</t>
        </is>
      </c>
      <c r="CE1570" t="inlineStr">
        <is>
          <t>0</t>
        </is>
      </c>
      <c r="CF1570" t="inlineStr">
        <is>
          <t>Q2-W02</t>
        </is>
      </c>
      <c r="CG1570"/>
      <c r="CH1570"/>
      <c r="CI1570"/>
      <c r="CJ1570" t="inlineStr">
        <is>
          <t>No Paid</t>
        </is>
      </c>
      <c r="CK1570" t="inlineStr">
        <is>
          <t>Not Eligible</t>
        </is>
      </c>
      <c r="CL1570"/>
      <c r="CM1570"/>
    </row>
    <row r="1571" ht="25.5" customHeight="1">
      <c r="A1571" t="inlineStr">
        <is>
          <t>4281035</t>
        </is>
      </c>
      <c r="B1571" s="2"/>
      <c r="C1571"/>
      <c r="D1571" s="3">
        <v>46126.593194444446</v>
      </c>
      <c r="E1571" t="inlineStr">
        <is>
          <t>Q2-W02</t>
        </is>
      </c>
      <c r="F1571" t="inlineStr">
        <is>
          <t>Lucas</t>
        </is>
      </c>
      <c r="G1571" t="inlineStr">
        <is>
          <t>Lead</t>
        </is>
      </c>
      <c r="H1571" s="2" t="str">
        <f>=HYPERLINK("https://upbox.ajobthing.my/leads/4281035", "https://upbox.ajobthing.my/leads/4281035")</f>
        <v>https://upbox.ajobthing.my/leads/4281035</v>
      </c>
      <c r="I1571" t="inlineStr">
        <is>
          <t>Wau Infra (M) Sdn. Bhd</t>
        </is>
      </c>
      <c r="J1571" t="inlineStr">
        <is>
          <t>Dolphin</t>
        </is>
      </c>
      <c r="K1571" t="inlineStr">
        <is>
          <t>Lucas</t>
        </is>
      </c>
      <c r="L1571" s="4"/>
      <c r="M1571" s="4">
        <v>46126.59233796296</v>
      </c>
      <c r="N1571"/>
      <c r="O1571">
        <v>3888</v>
      </c>
      <c r="P1571" s="4"/>
      <c r="Q1571" s="4"/>
      <c r="R1571"/>
      <c r="S1571"/>
      <c r="T1571" s="4"/>
      <c r="U1571" s="4"/>
      <c r="V1571"/>
      <c r="W1571"/>
      <c r="X1571"/>
      <c r="Y1571" t="inlineStr">
        <is>
          <t>Pending Appointment</t>
        </is>
      </c>
      <c r="Z1571" t="inlineStr">
        <is>
          <t>Hiring Now</t>
        </is>
      </c>
      <c r="AA1571">
        <v>1</v>
      </c>
      <c r="AB1571" t="inlineStr">
        <is>
          <t>No Appointment Made</t>
        </is>
      </c>
      <c r="AC1571"/>
      <c r="AD1571" t="inlineStr">
        <is>
          <t xml:space="preserve">1 site supervisor </t>
        </is>
      </c>
      <c r="AE1571"/>
      <c r="AF1571">
        <v>0</v>
      </c>
      <c r="AG1571" s="4"/>
      <c r="AH1571" s="4"/>
      <c r="AI1571">
        <v>1</v>
      </c>
      <c r="AJ1571">
        <v>0</v>
      </c>
      <c r="AK1571" t="inlineStr">
        <is>
          <t>No, I don't need at all</t>
        </is>
      </c>
      <c r="AL1571">
        <v>0</v>
      </c>
      <c r="AM1571" t="inlineStr">
        <is>
          <t>No, I don't need at all</t>
        </is>
      </c>
      <c r="AN1571"/>
      <c r="AO1571" t="inlineStr">
        <is>
          <t>No, I don't need at all</t>
        </is>
      </c>
      <c r="AP1571" t="inlineStr">
        <is>
          <t>Once a year (25%)</t>
        </is>
      </c>
      <c r="AQ1571">
        <v>1</v>
      </c>
      <c r="AR1571" t="inlineStr">
        <is>
          <t>Did not use any job portal</t>
        </is>
      </c>
      <c r="AS1571" t="inlineStr">
        <is>
          <t>- Headcount: 1
- Hiring Job Details: 1 site supervisor
- Hiring Urgency: Hiring Now
- Number of outlets: 0
- Have recruiter team: No, I don't need at all
- Number of recruiter in company: 0
- Have ATS system: No, I don't need at all
- Have career website: No, I don't need at all
- Current hiring budget: RM0.00
- Whole year budget: RM1.00
- Whole year number of vacancies: 1
- Hiring frequency: Once a year (25%)
- External job portal: Did not use any job portal</t>
        </is>
      </c>
      <c r="AT1571">
        <v>110</v>
      </c>
      <c r="AU1571" t="inlineStr">
        <is>
          <t>1.10</t>
        </is>
      </c>
      <c r="AV1571" t="inlineStr">
        <is>
          <t>15</t>
        </is>
      </c>
      <c r="AW1571" t="inlineStr">
        <is>
          <t>0</t>
        </is>
      </c>
      <c r="AX1571" t="inlineStr">
        <is>
          <t>Not Qualified</t>
        </is>
      </c>
      <c r="AY1571" s="4"/>
      <c r="AZ1571"/>
      <c r="BA1571"/>
      <c r="BB1571"/>
      <c r="BC1571"/>
      <c r="BD1571" s="4"/>
      <c r="BE1571"/>
      <c r="BF1571"/>
      <c r="BG1571" t="inlineStr">
        <is>
          <t>Reschedule</t>
        </is>
      </c>
      <c r="BH1571" t="inlineStr">
        <is>
          <t>Yee Hang</t>
        </is>
      </c>
      <c r="BI1571"/>
      <c r="BJ1571" s="4">
        <v>46144.75581018518</v>
      </c>
      <c r="BK1571" s="4">
        <v>46126.574895833335</v>
      </c>
      <c r="BL1571" t="inlineStr">
        <is>
          <t>0.0</t>
        </is>
      </c>
      <c r="BM1571" t="inlineStr">
        <is>
          <t>1200.0</t>
        </is>
      </c>
      <c r="BN1571"/>
      <c r="BO1571" s="4"/>
      <c r="BP1571">
        <v>166952</v>
      </c>
      <c r="BQ1571"/>
      <c r="BR1571"/>
      <c r="BS1571"/>
      <c r="BT1571"/>
      <c r="BU1571"/>
      <c r="BV1571"/>
      <c r="BW1571"/>
      <c r="BX1571"/>
      <c r="BY1571"/>
      <c r="BZ1571" s="4"/>
      <c r="CA1571"/>
      <c r="CB1571"/>
      <c r="CC1571" s="4"/>
      <c r="CD1571" t="inlineStr">
        <is>
          <t>20</t>
        </is>
      </c>
      <c r="CE1571" t="inlineStr">
        <is>
          <t>0</t>
        </is>
      </c>
      <c r="CF1571" t="inlineStr">
        <is>
          <t>Q2-W02</t>
        </is>
      </c>
      <c r="CG1571"/>
      <c r="CH1571"/>
      <c r="CI1571"/>
      <c r="CJ1571" t="inlineStr">
        <is>
          <t>No Paid</t>
        </is>
      </c>
      <c r="CK1571" t="inlineStr">
        <is>
          <t>Not Eligible</t>
        </is>
      </c>
      <c r="CL1571"/>
      <c r="CM1571"/>
    </row>
    <row r="1572" ht="25.5" customHeight="1">
      <c r="A1572" t="inlineStr">
        <is>
          <t>195577</t>
        </is>
      </c>
      <c r="B1572" s="2"/>
      <c r="C1572"/>
      <c r="D1572" s="3">
        <v>46126.59423611111</v>
      </c>
      <c r="E1572" t="inlineStr">
        <is>
          <t>Q2-W02</t>
        </is>
      </c>
      <c r="F1572" t="inlineStr">
        <is>
          <t>Evan</t>
        </is>
      </c>
      <c r="G1572" t="inlineStr">
        <is>
          <t>Customer</t>
        </is>
      </c>
      <c r="H1572" s="2" t="str">
        <f>=HYPERLINK("https://upbox.ajobthing.my/customer/195577", "https://upbox.ajobthing.my/customer/195577")</f>
        <v>https://upbox.ajobthing.my/customer/195577</v>
      </c>
      <c r="I1572" t="inlineStr">
        <is>
          <t>Manta Ray Communications</t>
        </is>
      </c>
      <c r="J1572" t="inlineStr">
        <is>
          <t>Dolphin</t>
        </is>
      </c>
      <c r="K1572" t="inlineStr">
        <is>
          <t>Evan</t>
        </is>
      </c>
      <c r="L1572" s="4"/>
      <c r="M1572" s="4">
        <v>46114.73391203704</v>
      </c>
      <c r="N1572"/>
      <c r="O1572">
        <v>3672</v>
      </c>
      <c r="P1572" s="4"/>
      <c r="Q1572" s="4">
        <v>46127.414039351854</v>
      </c>
      <c r="R1572"/>
      <c r="S1572">
        <v>1296</v>
      </c>
      <c r="T1572" s="4">
        <v>46127.414039351854</v>
      </c>
      <c r="U1572" s="4"/>
      <c r="V1572"/>
      <c r="W1572">
        <v>1296</v>
      </c>
      <c r="X1572"/>
      <c r="Y1572" t="inlineStr">
        <is>
          <t>Pending Appointment</t>
        </is>
      </c>
      <c r="Z1572" t="inlineStr">
        <is>
          <t>Hiring Now</t>
        </is>
      </c>
      <c r="AA1572">
        <v>1</v>
      </c>
      <c r="AB1572" t="inlineStr">
        <is>
          <t>No Appointment Made</t>
        </is>
      </c>
      <c r="AC1572"/>
      <c r="AD1572" t="inlineStr">
        <is>
          <t>1 admin, all base in PJ</t>
        </is>
      </c>
      <c r="AE1572"/>
      <c r="AF1572">
        <v>1</v>
      </c>
      <c r="AG1572" s="4"/>
      <c r="AH1572" s="4"/>
      <c r="AI1572">
        <v>1</v>
      </c>
      <c r="AJ1572">
        <v>1</v>
      </c>
      <c r="AK1572" t="inlineStr">
        <is>
          <t>No, I don't need at all</t>
        </is>
      </c>
      <c r="AL1572">
        <v>0</v>
      </c>
      <c r="AM1572" t="inlineStr">
        <is>
          <t>No, I don't need at all</t>
        </is>
      </c>
      <c r="AN1572"/>
      <c r="AO1572" t="inlineStr">
        <is>
          <t>No, I don't need at all</t>
        </is>
      </c>
      <c r="AP1572" t="inlineStr">
        <is>
          <t>Once a year (25%)</t>
        </is>
      </c>
      <c r="AQ1572">
        <v>1</v>
      </c>
      <c r="AR1572" t="inlineStr">
        <is>
          <t>Did not use any job portal</t>
        </is>
      </c>
      <c r="AS1572" t="inlineStr">
        <is>
          <t>- Headcount: 1
- Hiring Job Details: 1 admin,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572">
        <v>115</v>
      </c>
      <c r="AU1572" t="inlineStr">
        <is>
          <t>1.15</t>
        </is>
      </c>
      <c r="AV1572" t="inlineStr">
        <is>
          <t>15</t>
        </is>
      </c>
      <c r="AW1572" t="inlineStr">
        <is>
          <t>0</t>
        </is>
      </c>
      <c r="AX1572" t="inlineStr">
        <is>
          <t>Not Qualified</t>
        </is>
      </c>
      <c r="AY1572" s="4"/>
      <c r="AZ1572"/>
      <c r="BA1572"/>
      <c r="BB1572"/>
      <c r="BC1572" t="inlineStr">
        <is>
          <t>help boost</t>
        </is>
      </c>
      <c r="BD1572" s="4">
        <v>46136.57876157408</v>
      </c>
      <c r="BE1572" t="inlineStr">
        <is>
          <t>paid</t>
        </is>
      </c>
      <c r="BF1572" t="inlineStr">
        <is>
          <t>Q2-W02</t>
        </is>
      </c>
      <c r="BG1572" t="inlineStr">
        <is>
          <t>Reschedule</t>
        </is>
      </c>
      <c r="BH1572" t="inlineStr">
        <is>
          <t>Edward Hoo</t>
        </is>
      </c>
      <c r="BI1572"/>
      <c r="BJ1572" s="4">
        <v>46144.7527662037</v>
      </c>
      <c r="BK1572" s="4">
        <v>45898.60901620371</v>
      </c>
      <c r="BL1572" t="inlineStr">
        <is>
          <t>1296.0</t>
        </is>
      </c>
      <c r="BM1572" t="inlineStr">
        <is>
          <t>0.0</t>
        </is>
      </c>
      <c r="BN1572" t="inlineStr">
        <is>
          <t>PA Visit - Job Card</t>
        </is>
      </c>
      <c r="BO1572" s="4">
        <v>46141.783900462964</v>
      </c>
      <c r="BP1572">
        <v>165034</v>
      </c>
      <c r="BQ1572">
        <v>93509</v>
      </c>
      <c r="BR1572" t="inlineStr">
        <is>
          <t>Online</t>
        </is>
      </c>
      <c r="BS1572"/>
      <c r="BT1572">
        <v>93509</v>
      </c>
      <c r="BU1572"/>
      <c r="BV1572">
        <v>2726342</v>
      </c>
      <c r="BW1572" t="inlineStr">
        <is>
          <t>Service / Technical : Job Outcome Enquiry</t>
        </is>
      </c>
      <c r="BX1572">
        <v>1</v>
      </c>
      <c r="BY1572">
        <v>0</v>
      </c>
      <c r="BZ1572" s="4">
        <v>46129.70646990741</v>
      </c>
      <c r="CA1572">
        <v>23</v>
      </c>
      <c r="CB1572">
        <v>23</v>
      </c>
      <c r="CC1572" s="4"/>
      <c r="CD1572" t="inlineStr">
        <is>
          <t>20</t>
        </is>
      </c>
      <c r="CE1572" t="inlineStr">
        <is>
          <t>0</t>
        </is>
      </c>
      <c r="CF1572" t="inlineStr">
        <is>
          <t>Q1-W13</t>
        </is>
      </c>
      <c r="CG1572" t="inlineStr">
        <is>
          <t>Q2-W02</t>
        </is>
      </c>
      <c r="CH1572" t="inlineStr">
        <is>
          <t>Q2-W02</t>
        </is>
      </c>
      <c r="CI1572"/>
      <c r="CJ1572" t="inlineStr">
        <is>
          <t>Paid</t>
        </is>
      </c>
      <c r="CK1572" t="inlineStr">
        <is>
          <t>Not Eligible</t>
        </is>
      </c>
      <c r="CL1572"/>
      <c r="CM1572"/>
    </row>
    <row r="1573" ht="25.5" customHeight="1">
      <c r="A1573" t="inlineStr">
        <is>
          <t>167686</t>
        </is>
      </c>
      <c r="B1573" s="2"/>
      <c r="C1573"/>
      <c r="D1573" s="3">
        <v>46126.59476851852</v>
      </c>
      <c r="E1573" t="inlineStr">
        <is>
          <t>Q2-W02</t>
        </is>
      </c>
      <c r="F1573" t="inlineStr">
        <is>
          <t>Xin Quan</t>
        </is>
      </c>
      <c r="G1573" t="inlineStr">
        <is>
          <t>Customer</t>
        </is>
      </c>
      <c r="H1573" s="2" t="str">
        <f>=HYPERLINK("https://upbox.ajobthing.my/customer/167686", "https://upbox.ajobthing.my/customer/167686")</f>
        <v>https://upbox.ajobthing.my/customer/167686</v>
      </c>
      <c r="I1573" t="inlineStr">
        <is>
          <t>Flex Fleet Sdn Bhd</t>
        </is>
      </c>
      <c r="J1573" t="inlineStr">
        <is>
          <t>Dolphin</t>
        </is>
      </c>
      <c r="K1573" t="inlineStr">
        <is>
          <t>Xin Quan</t>
        </is>
      </c>
      <c r="L1573" s="4"/>
      <c r="M1573" s="4">
        <v>46126.59486111111</v>
      </c>
      <c r="N1573"/>
      <c r="O1573">
        <v>3888</v>
      </c>
      <c r="P1573" s="4"/>
      <c r="Q1573" s="4">
        <v>45083.45486111111</v>
      </c>
      <c r="R1573"/>
      <c r="S1573">
        <v>1696</v>
      </c>
      <c r="T1573" s="4">
        <v>45083.45486111111</v>
      </c>
      <c r="U1573" s="4"/>
      <c r="V1573"/>
      <c r="W1573">
        <v>1696</v>
      </c>
      <c r="X1573"/>
      <c r="Y1573" t="inlineStr">
        <is>
          <t>Pending Appointment</t>
        </is>
      </c>
      <c r="Z1573" t="inlineStr">
        <is>
          <t>Hiring Now</t>
        </is>
      </c>
      <c r="AA1573">
        <v>1</v>
      </c>
      <c r="AB1573" t="inlineStr">
        <is>
          <t>No Appointment Made</t>
        </is>
      </c>
      <c r="AC1573"/>
      <c r="AD1573" t="inlineStr">
        <is>
          <t>1 Account , Base in KL</t>
        </is>
      </c>
      <c r="AE1573"/>
      <c r="AF1573">
        <v>2000</v>
      </c>
      <c r="AG1573" s="4"/>
      <c r="AH1573" s="4"/>
      <c r="AI1573">
        <v>2000</v>
      </c>
      <c r="AJ1573">
        <v>1</v>
      </c>
      <c r="AK1573"/>
      <c r="AL1573"/>
      <c r="AM1573"/>
      <c r="AN1573"/>
      <c r="AO1573"/>
      <c r="AP1573"/>
      <c r="AQ1573">
        <v>1</v>
      </c>
      <c r="AR1573"/>
      <c r="AS1573" t="inlineStr">
        <is>
          <t>- Headcount: 1
- Hiring Job Details: 1 Account, Base in KL
- Hiring Urgency: Hiring Now
- Number of outlets: 1
- Have recruiter team: N/A
- Number of recruiter in company: N/A
- Have ATS system: N/A
- Have career website: N/A
- Current hiring budget: RM2,000
- Whole year budget: RM2,000.00
- Whole year number of vacancies: 1
- Hiring frequency: N/A
- External job portal: N/A</t>
        </is>
      </c>
      <c r="AT1573">
        <v>95</v>
      </c>
      <c r="AU1573" t="inlineStr">
        <is>
          <t>0.95</t>
        </is>
      </c>
      <c r="AV1573" t="inlineStr">
        <is>
          <t>15</t>
        </is>
      </c>
      <c r="AW1573" t="inlineStr">
        <is>
          <t>0</t>
        </is>
      </c>
      <c r="AX1573" t="inlineStr">
        <is>
          <t>Not Qualified</t>
        </is>
      </c>
      <c r="AY1573" s="4"/>
      <c r="AZ1573"/>
      <c r="BA1573"/>
      <c r="BB1573"/>
      <c r="BC1573" t="inlineStr">
        <is>
          <t>NH</t>
        </is>
      </c>
      <c r="BD1573" s="4">
        <v>46127.69695601852</v>
      </c>
      <c r="BE1573" t="inlineStr">
        <is>
          <t>paid</t>
        </is>
      </c>
      <c r="BF1573"/>
      <c r="BG1573" t="inlineStr">
        <is>
          <t>Reschedule</t>
        </is>
      </c>
      <c r="BH1573" t="inlineStr">
        <is>
          <t>Edward Hoo</t>
        </is>
      </c>
      <c r="BI1573" t="inlineStr">
        <is>
          <t>Oil / Gas / Petroleum</t>
        </is>
      </c>
      <c r="BJ1573" s="4">
        <v>46144.75131944445</v>
      </c>
      <c r="BK1573" s="4">
        <v>45083.420069444444</v>
      </c>
      <c r="BL1573" t="inlineStr">
        <is>
          <t>0.0</t>
        </is>
      </c>
      <c r="BM1573" t="inlineStr">
        <is>
          <t>600.0</t>
        </is>
      </c>
      <c r="BN1573" t="inlineStr">
        <is>
          <t>View Applicant Page</t>
        </is>
      </c>
      <c r="BO1573" s="4">
        <v>45286.472858796296</v>
      </c>
      <c r="BP1573">
        <v>166956</v>
      </c>
      <c r="BQ1573">
        <v>59291</v>
      </c>
      <c r="BR1573" t="inlineStr">
        <is>
          <t>Online</t>
        </is>
      </c>
      <c r="BS1573"/>
      <c r="BT1573">
        <v>59291</v>
      </c>
      <c r="BU1573"/>
      <c r="BV1573">
        <v>2706634</v>
      </c>
      <c r="BW1573" t="inlineStr">
        <is>
          <t>Inquire for Hiring Needs : No Hiring</t>
        </is>
      </c>
      <c r="BX1573"/>
      <c r="BY1573"/>
      <c r="BZ1573" s="4"/>
      <c r="CA1573"/>
      <c r="CB1573"/>
      <c r="CC1573" s="4"/>
      <c r="CD1573" t="inlineStr">
        <is>
          <t>20</t>
        </is>
      </c>
      <c r="CE1573" t="inlineStr">
        <is>
          <t>0</t>
        </is>
      </c>
      <c r="CF1573" t="inlineStr">
        <is>
          <t>Q2-W02</t>
        </is>
      </c>
      <c r="CG1573"/>
      <c r="CH1573"/>
      <c r="CI1573"/>
      <c r="CJ1573" t="inlineStr">
        <is>
          <t>Paid</t>
        </is>
      </c>
      <c r="CK1573" t="inlineStr">
        <is>
          <t>Not Eligible</t>
        </is>
      </c>
      <c r="CL1573"/>
      <c r="CM1573"/>
    </row>
    <row r="1574" ht="25.5" customHeight="1">
      <c r="A1574" t="inlineStr">
        <is>
          <t>167686</t>
        </is>
      </c>
      <c r="B1574" s="2"/>
      <c r="C1574"/>
      <c r="D1574" s="3">
        <v>46126.59719907407</v>
      </c>
      <c r="E1574" t="inlineStr">
        <is>
          <t>Q2-W02</t>
        </is>
      </c>
      <c r="F1574" t="inlineStr">
        <is>
          <t>Xin Quan</t>
        </is>
      </c>
      <c r="G1574" t="inlineStr">
        <is>
          <t>Customer</t>
        </is>
      </c>
      <c r="H1574" s="2" t="str">
        <f>=HYPERLINK("https://upbox.ajobthing.my/customer/167686", "https://upbox.ajobthing.my/customer/167686")</f>
        <v>https://upbox.ajobthing.my/customer/167686</v>
      </c>
      <c r="I1574" t="inlineStr">
        <is>
          <t>Flex Fleet Sdn Bhd</t>
        </is>
      </c>
      <c r="J1574" t="inlineStr">
        <is>
          <t>Dolphin</t>
        </is>
      </c>
      <c r="K1574" t="inlineStr">
        <is>
          <t>Xin Quan</t>
        </is>
      </c>
      <c r="L1574" s="4"/>
      <c r="M1574" s="4">
        <v>46126.59486111111</v>
      </c>
      <c r="N1574"/>
      <c r="O1574">
        <v>3888</v>
      </c>
      <c r="P1574" s="4"/>
      <c r="Q1574" s="4">
        <v>45083.45486111111</v>
      </c>
      <c r="R1574"/>
      <c r="S1574">
        <v>1696</v>
      </c>
      <c r="T1574" s="4">
        <v>45083.45486111111</v>
      </c>
      <c r="U1574" s="4"/>
      <c r="V1574"/>
      <c r="W1574">
        <v>1696</v>
      </c>
      <c r="X1574"/>
      <c r="Y1574" t="inlineStr">
        <is>
          <t>Pending Appointment</t>
        </is>
      </c>
      <c r="Z1574" t="inlineStr">
        <is>
          <t>Hiring Later</t>
        </is>
      </c>
      <c r="AA1574">
        <v>1</v>
      </c>
      <c r="AB1574" t="inlineStr">
        <is>
          <t>No Appointment Made</t>
        </is>
      </c>
      <c r="AC1574"/>
      <c r="AD1574" t="inlineStr">
        <is>
          <t>1 Account , Base in KL</t>
        </is>
      </c>
      <c r="AE1574"/>
      <c r="AF1574">
        <v>2000</v>
      </c>
      <c r="AG1574" s="4"/>
      <c r="AH1574" s="4"/>
      <c r="AI1574">
        <v>2000</v>
      </c>
      <c r="AJ1574">
        <v>1</v>
      </c>
      <c r="AK1574" t="inlineStr">
        <is>
          <t>No, I don't need at all</t>
        </is>
      </c>
      <c r="AL1574">
        <v>1</v>
      </c>
      <c r="AM1574" t="inlineStr">
        <is>
          <t>No, I don't need at all</t>
        </is>
      </c>
      <c r="AN1574"/>
      <c r="AO1574" t="inlineStr">
        <is>
          <t>No, I don't need at all</t>
        </is>
      </c>
      <c r="AP1574" t="inlineStr">
        <is>
          <t>Once a year (25%)</t>
        </is>
      </c>
      <c r="AQ1574">
        <v>1</v>
      </c>
      <c r="AR1574"/>
      <c r="AS1574" t="inlineStr">
        <is>
          <t>- Headcount: 1
- Hiring Job Details: 1 Account, Base in KL
- Hiring Urgency: Hiring Later
- Number of outlets: 1
- Have recruiter team: No, I don't need at all
- Number of recruiter in company: 1
- Have ATS system: No, I don't need at all
- Have career website: No, I don't need at all
- Current hiring budget: RM2,000.00
- Whole year budget: RM2,000.00
- Whole year number of vacancies: 1
- Hiring frequency: Once a year (25%)
- External job portal: None</t>
        </is>
      </c>
      <c r="AT1574">
        <v>110</v>
      </c>
      <c r="AU1574" t="inlineStr">
        <is>
          <t>1.10</t>
        </is>
      </c>
      <c r="AV1574" t="inlineStr">
        <is>
          <t>15</t>
        </is>
      </c>
      <c r="AW1574" t="inlineStr">
        <is>
          <t>0</t>
        </is>
      </c>
      <c r="AX1574" t="inlineStr">
        <is>
          <t>Not Qualified</t>
        </is>
      </c>
      <c r="AY1574" s="4"/>
      <c r="AZ1574"/>
      <c r="BA1574"/>
      <c r="BB1574"/>
      <c r="BC1574" t="inlineStr">
        <is>
          <t>NH</t>
        </is>
      </c>
      <c r="BD1574" s="4">
        <v>46127.69695601852</v>
      </c>
      <c r="BE1574" t="inlineStr">
        <is>
          <t>paid</t>
        </is>
      </c>
      <c r="BF1574"/>
      <c r="BG1574" t="inlineStr">
        <is>
          <t>Reschedule</t>
        </is>
      </c>
      <c r="BH1574" t="inlineStr">
        <is>
          <t>Edward Hoo</t>
        </is>
      </c>
      <c r="BI1574" t="inlineStr">
        <is>
          <t>Oil / Gas / Petroleum</t>
        </is>
      </c>
      <c r="BJ1574" s="4">
        <v>46144.75131944445</v>
      </c>
      <c r="BK1574" s="4">
        <v>45083.420069444444</v>
      </c>
      <c r="BL1574" t="inlineStr">
        <is>
          <t>0.0</t>
        </is>
      </c>
      <c r="BM1574" t="inlineStr">
        <is>
          <t>600.0</t>
        </is>
      </c>
      <c r="BN1574" t="inlineStr">
        <is>
          <t>View Applicant Page</t>
        </is>
      </c>
      <c r="BO1574" s="4">
        <v>45286.472858796296</v>
      </c>
      <c r="BP1574">
        <v>166956</v>
      </c>
      <c r="BQ1574">
        <v>59291</v>
      </c>
      <c r="BR1574" t="inlineStr">
        <is>
          <t>Online</t>
        </is>
      </c>
      <c r="BS1574"/>
      <c r="BT1574">
        <v>59291</v>
      </c>
      <c r="BU1574"/>
      <c r="BV1574">
        <v>2706634</v>
      </c>
      <c r="BW1574" t="inlineStr">
        <is>
          <t>Inquire for Hiring Needs : No Hiring</t>
        </is>
      </c>
      <c r="BX1574"/>
      <c r="BY1574"/>
      <c r="BZ1574" s="4"/>
      <c r="CA1574"/>
      <c r="CB1574"/>
      <c r="CC1574" s="4"/>
      <c r="CD1574" t="inlineStr">
        <is>
          <t>20</t>
        </is>
      </c>
      <c r="CE1574" t="inlineStr">
        <is>
          <t>0</t>
        </is>
      </c>
      <c r="CF1574" t="inlineStr">
        <is>
          <t>Q2-W02</t>
        </is>
      </c>
      <c r="CG1574"/>
      <c r="CH1574"/>
      <c r="CI1574"/>
      <c r="CJ1574" t="inlineStr">
        <is>
          <t>Paid</t>
        </is>
      </c>
      <c r="CK1574" t="inlineStr">
        <is>
          <t>Not Eligible</t>
        </is>
      </c>
      <c r="CL1574"/>
      <c r="CM1574"/>
    </row>
    <row r="1575" ht="25.5" customHeight="1">
      <c r="A1575" t="inlineStr">
        <is>
          <t>4280657</t>
        </is>
      </c>
      <c r="B1575" s="2"/>
      <c r="C1575"/>
      <c r="D1575" s="3">
        <v>46126.598761574074</v>
      </c>
      <c r="E1575" t="inlineStr">
        <is>
          <t>Q2-W02</t>
        </is>
      </c>
      <c r="F1575" t="inlineStr">
        <is>
          <t>Alan KY</t>
        </is>
      </c>
      <c r="G1575" t="inlineStr">
        <is>
          <t>Lead</t>
        </is>
      </c>
      <c r="H1575" s="2" t="str">
        <f>=HYPERLINK("https://upbox.ajobthing.my/leads/4280657", "https://upbox.ajobthing.my/leads/4280657")</f>
        <v>https://upbox.ajobthing.my/leads/4280657</v>
      </c>
      <c r="I1575" t="inlineStr">
        <is>
          <t>Alpha Niaga</t>
        </is>
      </c>
      <c r="J1575" t="inlineStr">
        <is>
          <t>Dolphin</t>
        </is>
      </c>
      <c r="K1575" t="inlineStr">
        <is>
          <t>Alan KY</t>
        </is>
      </c>
      <c r="L1575" s="4"/>
      <c r="M1575" s="4">
        <v>46126.59415509259</v>
      </c>
      <c r="N1575"/>
      <c r="O1575">
        <v>4968</v>
      </c>
      <c r="P1575" s="4"/>
      <c r="Q1575" s="4"/>
      <c r="R1575"/>
      <c r="S1575"/>
      <c r="T1575" s="4"/>
      <c r="U1575" s="4"/>
      <c r="V1575"/>
      <c r="W1575"/>
      <c r="X1575"/>
      <c r="Y1575" t="inlineStr">
        <is>
          <t>Pending Appointment</t>
        </is>
      </c>
      <c r="Z1575" t="inlineStr">
        <is>
          <t>Continuous Hiring</t>
        </is>
      </c>
      <c r="AA1575">
        <v>10</v>
      </c>
      <c r="AB1575" t="inlineStr">
        <is>
          <t>No Appointment Made</t>
        </is>
      </c>
      <c r="AC1575"/>
      <c r="AD1575" t="inlineStr">
        <is>
          <t>10 agents , in selangor</t>
        </is>
      </c>
      <c r="AE1575"/>
      <c r="AF1575"/>
      <c r="AG1575" s="4"/>
      <c r="AH1575" s="4"/>
      <c r="AI1575"/>
      <c r="AJ1575"/>
      <c r="AK1575" t="inlineStr">
        <is>
          <t>No, I don't need at all</t>
        </is>
      </c>
      <c r="AL1575"/>
      <c r="AM1575" t="inlineStr">
        <is>
          <t>No, I don't need at all</t>
        </is>
      </c>
      <c r="AN1575"/>
      <c r="AO1575" t="inlineStr">
        <is>
          <t>No, I don't need at all</t>
        </is>
      </c>
      <c r="AP1575" t="inlineStr">
        <is>
          <t>Every month (100%)</t>
        </is>
      </c>
      <c r="AQ1575"/>
      <c r="AR1575" t="inlineStr">
        <is>
          <t>Free Job Portal</t>
        </is>
      </c>
      <c r="AS1575" t="inlineStr">
        <is>
          <t>- Headcount: 10
- Hiring Job Details: 10 agents, in Selangor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Free Job Portal</t>
        </is>
      </c>
      <c r="AT1575">
        <v>95</v>
      </c>
      <c r="AU1575" t="inlineStr">
        <is>
          <t>0.95</t>
        </is>
      </c>
      <c r="AV1575" t="inlineStr">
        <is>
          <t>10</t>
        </is>
      </c>
      <c r="AW1575" t="inlineStr">
        <is>
          <t>0</t>
        </is>
      </c>
      <c r="AX1575" t="inlineStr">
        <is>
          <t>Not Qualified</t>
        </is>
      </c>
      <c r="AY1575" s="4"/>
      <c r="AZ1575"/>
      <c r="BA1575"/>
      <c r="BB1575"/>
      <c r="BC1575"/>
      <c r="BD1575" s="4"/>
      <c r="BE1575"/>
      <c r="BF1575"/>
      <c r="BG1575" t="inlineStr">
        <is>
          <t>Reschedule</t>
        </is>
      </c>
      <c r="BH1575" t="inlineStr">
        <is>
          <t>Reagen</t>
        </is>
      </c>
      <c r="BI1575"/>
      <c r="BJ1575" s="4">
        <v>46144.75581018518</v>
      </c>
      <c r="BK1575" s="4">
        <v>46126.516388888886</v>
      </c>
      <c r="BL1575" t="inlineStr">
        <is>
          <t>0.0</t>
        </is>
      </c>
      <c r="BM1575" t="inlineStr">
        <is>
          <t>0.0</t>
        </is>
      </c>
      <c r="BN1575"/>
      <c r="BO1575" s="4"/>
      <c r="BP1575">
        <v>166955</v>
      </c>
      <c r="BQ1575"/>
      <c r="BR1575"/>
      <c r="BS1575"/>
      <c r="BT1575"/>
      <c r="BU1575"/>
      <c r="BV1575"/>
      <c r="BW1575"/>
      <c r="BX1575"/>
      <c r="BY1575"/>
      <c r="BZ1575" s="4"/>
      <c r="CA1575"/>
      <c r="CB1575"/>
      <c r="CC1575" s="4"/>
      <c r="CD1575" t="inlineStr">
        <is>
          <t>15</t>
        </is>
      </c>
      <c r="CE1575" t="inlineStr">
        <is>
          <t>0</t>
        </is>
      </c>
      <c r="CF1575" t="inlineStr">
        <is>
          <t>Q2-W02</t>
        </is>
      </c>
      <c r="CG1575"/>
      <c r="CH1575"/>
      <c r="CI1575"/>
      <c r="CJ1575" t="inlineStr">
        <is>
          <t>No Paid</t>
        </is>
      </c>
      <c r="CK1575" t="inlineStr">
        <is>
          <t>Eligible</t>
        </is>
      </c>
      <c r="CL1575"/>
      <c r="CM1575"/>
    </row>
    <row r="1576" ht="25.5" customHeight="1">
      <c r="A1576" t="inlineStr">
        <is>
          <t>4274248</t>
        </is>
      </c>
      <c r="B1576" s="2"/>
      <c r="C1576"/>
      <c r="D1576" s="3">
        <v>46126.60653935185</v>
      </c>
      <c r="E1576" t="inlineStr">
        <is>
          <t>Q2-W02</t>
        </is>
      </c>
      <c r="F1576" t="inlineStr">
        <is>
          <t>Josh</t>
        </is>
      </c>
      <c r="G1576" t="inlineStr">
        <is>
          <t>Lead</t>
        </is>
      </c>
      <c r="H1576" s="2" t="str">
        <f>=HYPERLINK("https://upbox.ajobthing.my/leads/4274248", "https://upbox.ajobthing.my/leads/4274248")</f>
        <v>https://upbox.ajobthing.my/leads/4274248</v>
      </c>
      <c r="I1576" t="inlineStr">
        <is>
          <t>Sonoscape Malaysia Sdn. Bhd.</t>
        </is>
      </c>
      <c r="J1576" t="inlineStr">
        <is>
          <t>Dolphin</t>
        </is>
      </c>
      <c r="K1576" t="inlineStr">
        <is>
          <t>Josh</t>
        </is>
      </c>
      <c r="L1576" s="4"/>
      <c r="M1576" s="4">
        <v>46126.60753472222</v>
      </c>
      <c r="N1576"/>
      <c r="O1576">
        <v>1080</v>
      </c>
      <c r="P1576" s="4"/>
      <c r="Q1576" s="4"/>
      <c r="R1576"/>
      <c r="S1576"/>
      <c r="T1576" s="4"/>
      <c r="U1576" s="4"/>
      <c r="V1576"/>
      <c r="W1576"/>
      <c r="X1576"/>
      <c r="Y1576" t="inlineStr">
        <is>
          <t>Pending Appointment</t>
        </is>
      </c>
      <c r="Z1576" t="inlineStr">
        <is>
          <t>Hiring Now</t>
        </is>
      </c>
      <c r="AA1576">
        <v>1</v>
      </c>
      <c r="AB1576" t="inlineStr">
        <is>
          <t>No Appointment Made</t>
        </is>
      </c>
      <c r="AC1576"/>
      <c r="AD1576" t="inlineStr">
        <is>
          <t>1 engineer</t>
        </is>
      </c>
      <c r="AE1576"/>
      <c r="AF1576">
        <v>1000</v>
      </c>
      <c r="AG1576" s="4"/>
      <c r="AH1576" s="4"/>
      <c r="AI1576"/>
      <c r="AJ1576"/>
      <c r="AK1576" t="inlineStr">
        <is>
          <t>Yes, I have</t>
        </is>
      </c>
      <c r="AL1576"/>
      <c r="AM1576"/>
      <c r="AN1576"/>
      <c r="AO1576"/>
      <c r="AP1576" t="inlineStr">
        <is>
          <t>Once a year (25%)</t>
        </is>
      </c>
      <c r="AQ1576"/>
      <c r="AR1576"/>
      <c r="AS1576" t="inlineStr">
        <is>
          <t>- Headcount: 1
- Hiring Job Details: 1 engineer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1576">
        <v>75</v>
      </c>
      <c r="AU1576" t="inlineStr">
        <is>
          <t>0.75</t>
        </is>
      </c>
      <c r="AV1576" t="inlineStr">
        <is>
          <t>15</t>
        </is>
      </c>
      <c r="AW1576" t="inlineStr">
        <is>
          <t>0</t>
        </is>
      </c>
      <c r="AX1576" t="inlineStr">
        <is>
          <t>Not Qualified</t>
        </is>
      </c>
      <c r="AY1576" s="4"/>
      <c r="AZ1576"/>
      <c r="BA1576"/>
      <c r="BB1576"/>
      <c r="BC1576"/>
      <c r="BD1576" s="4"/>
      <c r="BE1576"/>
      <c r="BF1576"/>
      <c r="BG1576" t="inlineStr">
        <is>
          <t>Reschedule</t>
        </is>
      </c>
      <c r="BH1576" t="inlineStr">
        <is>
          <t>Fauziah Maharan</t>
        </is>
      </c>
      <c r="BI1576"/>
      <c r="BJ1576" s="4">
        <v>46144.75581018518</v>
      </c>
      <c r="BK1576" s="4">
        <v>46124.77165509259</v>
      </c>
      <c r="BL1576" t="inlineStr">
        <is>
          <t>0.0</t>
        </is>
      </c>
      <c r="BM1576" t="inlineStr">
        <is>
          <t>0.0</t>
        </is>
      </c>
      <c r="BN1576"/>
      <c r="BO1576" s="4"/>
      <c r="BP1576">
        <v>166965</v>
      </c>
      <c r="BQ1576"/>
      <c r="BR1576"/>
      <c r="BS1576"/>
      <c r="BT1576"/>
      <c r="BU1576"/>
      <c r="BV1576"/>
      <c r="BW1576"/>
      <c r="BX1576"/>
      <c r="BY1576"/>
      <c r="BZ1576" s="4"/>
      <c r="CA1576"/>
      <c r="CB1576"/>
      <c r="CC1576" s="4"/>
      <c r="CD1576" t="inlineStr">
        <is>
          <t>20</t>
        </is>
      </c>
      <c r="CE1576" t="inlineStr">
        <is>
          <t>0</t>
        </is>
      </c>
      <c r="CF1576" t="inlineStr">
        <is>
          <t>Q2-W02</t>
        </is>
      </c>
      <c r="CG1576"/>
      <c r="CH1576"/>
      <c r="CI1576"/>
      <c r="CJ1576" t="inlineStr">
        <is>
          <t>No Paid</t>
        </is>
      </c>
      <c r="CK1576" t="inlineStr">
        <is>
          <t>Not Eligible</t>
        </is>
      </c>
      <c r="CL1576"/>
      <c r="CM1576"/>
    </row>
    <row r="1577" ht="25.5" customHeight="1">
      <c r="A1577" t="inlineStr">
        <is>
          <t>195353</t>
        </is>
      </c>
      <c r="B1577" s="2"/>
      <c r="C1577"/>
      <c r="D1577" s="3">
        <v>46126.60796296296</v>
      </c>
      <c r="E1577" t="inlineStr">
        <is>
          <t>Q2-W02</t>
        </is>
      </c>
      <c r="F1577" t="inlineStr">
        <is>
          <t>Jeff Lee</t>
        </is>
      </c>
      <c r="G1577" t="inlineStr">
        <is>
          <t>Customer</t>
        </is>
      </c>
      <c r="H1577" s="2" t="str">
        <f>=HYPERLINK("https://upbox.ajobthing.my/customer/195353", "https://upbox.ajobthing.my/customer/195353")</f>
        <v>https://upbox.ajobthing.my/customer/195353</v>
      </c>
      <c r="I1577" t="inlineStr">
        <is>
          <t>Kaizen Foods Sdn Bhd</t>
        </is>
      </c>
      <c r="J1577" t="inlineStr">
        <is>
          <t>Dolphin</t>
        </is>
      </c>
      <c r="K1577" t="inlineStr">
        <is>
          <t>Jeff Lee</t>
        </is>
      </c>
      <c r="L1577" s="4"/>
      <c r="M1577" s="4">
        <v>46126.60395833333</v>
      </c>
      <c r="N1577"/>
      <c r="O1577">
        <v>3888</v>
      </c>
      <c r="P1577" s="4"/>
      <c r="Q1577" s="4">
        <v>46139.42201388889</v>
      </c>
      <c r="R1577"/>
      <c r="S1577">
        <v>3672</v>
      </c>
      <c r="T1577" s="4">
        <v>46139.42201388889</v>
      </c>
      <c r="U1577" s="4"/>
      <c r="V1577"/>
      <c r="W1577">
        <v>3672</v>
      </c>
      <c r="X1577"/>
      <c r="Y1577" t="inlineStr">
        <is>
          <t>Pending Appointment</t>
        </is>
      </c>
      <c r="Z1577" t="inlineStr">
        <is>
          <t>Hiring Now</t>
        </is>
      </c>
      <c r="AA1577">
        <v>2</v>
      </c>
      <c r="AB1577" t="inlineStr">
        <is>
          <t>No Appointment Made</t>
        </is>
      </c>
      <c r="AC1577"/>
      <c r="AD1577" t="inlineStr">
        <is>
          <t>1. Key Account Executive and Marketing Manager
2. 2 vacancy</t>
        </is>
      </c>
      <c r="AE1577"/>
      <c r="AF1577">
        <v>0</v>
      </c>
      <c r="AG1577" s="4"/>
      <c r="AH1577" s="4"/>
      <c r="AI1577">
        <v>0</v>
      </c>
      <c r="AJ1577">
        <v>0</v>
      </c>
      <c r="AK1577" t="inlineStr">
        <is>
          <t>No, I don't need at all</t>
        </is>
      </c>
      <c r="AL1577">
        <v>0</v>
      </c>
      <c r="AM1577" t="inlineStr">
        <is>
          <t>No, I don't need at all</t>
        </is>
      </c>
      <c r="AN1577"/>
      <c r="AO1577" t="inlineStr">
        <is>
          <t>No, I don't need at all</t>
        </is>
      </c>
      <c r="AP1577" t="inlineStr">
        <is>
          <t>Once a year (25%)</t>
        </is>
      </c>
      <c r="AQ1577">
        <v>2</v>
      </c>
      <c r="AR1577" t="inlineStr">
        <is>
          <t>Jobstreet</t>
        </is>
      </c>
      <c r="AS1577" t="inlineStr">
        <is>
          <t>- Headcount: 2
- Hiring Job Details: 1. Key Account Executive and Marketing Manager 2. 2 vacancy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t>
        </is>
      </c>
      <c r="AT1577">
        <v>85</v>
      </c>
      <c r="AU1577" t="inlineStr">
        <is>
          <t>0.85</t>
        </is>
      </c>
      <c r="AV1577" t="inlineStr">
        <is>
          <t>15</t>
        </is>
      </c>
      <c r="AW1577" t="inlineStr">
        <is>
          <t>0</t>
        </is>
      </c>
      <c r="AX1577" t="inlineStr">
        <is>
          <t>Not Qualified</t>
        </is>
      </c>
      <c r="AY1577" s="4"/>
      <c r="AZ1577"/>
      <c r="BA1577"/>
      <c r="BB1577"/>
      <c r="BC1577" t="inlineStr">
        <is>
          <t>help chg title</t>
        </is>
      </c>
      <c r="BD1577" s="4">
        <v>46141.405381944445</v>
      </c>
      <c r="BE1577" t="inlineStr">
        <is>
          <t>paid</t>
        </is>
      </c>
      <c r="BF1577" t="inlineStr">
        <is>
          <t>Q2-W04</t>
        </is>
      </c>
      <c r="BG1577" t="inlineStr">
        <is>
          <t>Reschedule</t>
        </is>
      </c>
      <c r="BH1577" t="inlineStr">
        <is>
          <t>Yee Hang</t>
        </is>
      </c>
      <c r="BI1577" t="inlineStr">
        <is>
          <t>Consumer Products / FMCG</t>
        </is>
      </c>
      <c r="BJ1577" s="4">
        <v>46144.7527662037</v>
      </c>
      <c r="BK1577" s="4">
        <v>45894.441458333335</v>
      </c>
      <c r="BL1577" t="inlineStr">
        <is>
          <t>3672.0</t>
        </is>
      </c>
      <c r="BM1577" t="inlineStr">
        <is>
          <t>600.0</t>
        </is>
      </c>
      <c r="BN1577" t="inlineStr">
        <is>
          <t>View Company Page</t>
        </is>
      </c>
      <c r="BO1577" s="4">
        <v>46141.74949074074</v>
      </c>
      <c r="BP1577">
        <v>166964</v>
      </c>
      <c r="BQ1577">
        <v>94779</v>
      </c>
      <c r="BR1577" t="inlineStr">
        <is>
          <t>Online</t>
        </is>
      </c>
      <c r="BS1577"/>
      <c r="BT1577">
        <v>94779</v>
      </c>
      <c r="BU1577"/>
      <c r="BV1577">
        <v>2734196</v>
      </c>
      <c r="BW1577" t="inlineStr">
        <is>
          <t>Service / Technical : Help To Post Job</t>
        </is>
      </c>
      <c r="BX1577">
        <v>7</v>
      </c>
      <c r="BY1577">
        <v>2</v>
      </c>
      <c r="BZ1577" s="4">
        <v>46139.62678240741</v>
      </c>
      <c r="CA1577">
        <v>60</v>
      </c>
      <c r="CB1577">
        <v>58</v>
      </c>
      <c r="CC1577" s="4">
        <v>46141.4328125</v>
      </c>
      <c r="CD1577" t="inlineStr">
        <is>
          <t>20</t>
        </is>
      </c>
      <c r="CE1577" t="inlineStr">
        <is>
          <t>0</t>
        </is>
      </c>
      <c r="CF1577" t="inlineStr">
        <is>
          <t>Q2-W02</t>
        </is>
      </c>
      <c r="CG1577" t="inlineStr">
        <is>
          <t>Q2-W04</t>
        </is>
      </c>
      <c r="CH1577" t="inlineStr">
        <is>
          <t>Q2-W04</t>
        </is>
      </c>
      <c r="CI1577"/>
      <c r="CJ1577" t="inlineStr">
        <is>
          <t>Paid</t>
        </is>
      </c>
      <c r="CK1577" t="inlineStr">
        <is>
          <t>Not Eligible</t>
        </is>
      </c>
      <c r="CL1577"/>
      <c r="CM1577"/>
    </row>
    <row r="1578" ht="25.5" customHeight="1">
      <c r="A1578" t="inlineStr">
        <is>
          <t>186648</t>
        </is>
      </c>
      <c r="B1578" s="2"/>
      <c r="C1578"/>
      <c r="D1578" s="3">
        <v>46126.60880787037</v>
      </c>
      <c r="E1578" t="inlineStr">
        <is>
          <t>Q2-W02</t>
        </is>
      </c>
      <c r="F1578" t="inlineStr">
        <is>
          <t>Yuli</t>
        </is>
      </c>
      <c r="G1578" t="inlineStr">
        <is>
          <t>Customer</t>
        </is>
      </c>
      <c r="H1578" s="2" t="str">
        <f>=HYPERLINK("https://upbox.ajobthing.my/customer/186648", "https://upbox.ajobthing.my/customer/186648")</f>
        <v>https://upbox.ajobthing.my/customer/186648</v>
      </c>
      <c r="I1578" t="inlineStr">
        <is>
          <t>Eco Build And Management Sdn Bhd</t>
        </is>
      </c>
      <c r="J1578" t="inlineStr">
        <is>
          <t>Dolphin</t>
        </is>
      </c>
      <c r="K1578" t="inlineStr">
        <is>
          <t>YuLi</t>
        </is>
      </c>
      <c r="L1578" s="4"/>
      <c r="M1578" s="4">
        <v>46134.50225694444</v>
      </c>
      <c r="N1578"/>
      <c r="O1578">
        <v>3888</v>
      </c>
      <c r="P1578" s="4"/>
      <c r="Q1578" s="4">
        <v>46133.408159722225</v>
      </c>
      <c r="R1578"/>
      <c r="S1578">
        <v>0</v>
      </c>
      <c r="T1578" s="4">
        <v>45694.63385416667</v>
      </c>
      <c r="U1578" s="4"/>
      <c r="V1578"/>
      <c r="W1578">
        <v>2818.8</v>
      </c>
      <c r="X1578"/>
      <c r="Y1578" t="inlineStr">
        <is>
          <t>Pending Appointment</t>
        </is>
      </c>
      <c r="Z1578" t="inlineStr">
        <is>
          <t>Hiring Now</t>
        </is>
      </c>
      <c r="AA1578">
        <v>2</v>
      </c>
      <c r="AB1578" t="inlineStr">
        <is>
          <t>No Appointment Made</t>
        </is>
      </c>
      <c r="AC1578"/>
      <c r="AD1578" t="inlineStr">
        <is>
          <t>Project Engineer-1 headcount ( experience in construction) 
Project clerk-1 headcount ( fresh graduate or experience in this role can be accept)</t>
        </is>
      </c>
      <c r="AE1578"/>
      <c r="AF1578"/>
      <c r="AG1578" s="4"/>
      <c r="AH1578" s="4"/>
      <c r="AI1578"/>
      <c r="AJ1578"/>
      <c r="AK1578"/>
      <c r="AL1578">
        <v>1</v>
      </c>
      <c r="AM1578"/>
      <c r="AN1578"/>
      <c r="AO1578"/>
      <c r="AP1578"/>
      <c r="AQ1578"/>
      <c r="AR1578" t="inlineStr">
        <is>
          <t>Jobstreet</t>
        </is>
      </c>
      <c r="AS1578" t="inlineStr">
        <is>
          <t>- Headcount: 2 (1 Project Engineer, 1 Project Clerk).
- Hiring Job Details: 1 Project Engineer (construction experience); 1 Project Clerk (fresh graduate or role experience acceptable)
- Hiring Urgency: Hiring Now
- Number of outlets: Not provided
- Have recruiter team: Not provided
- Number of recruiter in company: 1
- Have ATS system: Not provided
- Have career website: Not provided
- Current hiring budget: Not provided
- Whole year budget: Not provided
- Whole year number of vacancies: Not provided
- Hiring frequency: Not provided
- External job portal: Jobstreet</t>
        </is>
      </c>
      <c r="AT1578">
        <v>85</v>
      </c>
      <c r="AU1578" t="inlineStr">
        <is>
          <t>0.85</t>
        </is>
      </c>
      <c r="AV1578" t="inlineStr">
        <is>
          <t>5</t>
        </is>
      </c>
      <c r="AW1578" t="inlineStr">
        <is>
          <t>0</t>
        </is>
      </c>
      <c r="AX1578" t="inlineStr">
        <is>
          <t>Not Qualified</t>
        </is>
      </c>
      <c r="AY1578" s="4"/>
      <c r="AZ1578"/>
      <c r="BA1578"/>
      <c r="BB1578"/>
      <c r="BC1578" t="inlineStr">
        <is>
          <t>quotation shared</t>
        </is>
      </c>
      <c r="BD1578" s="4">
        <v>46134.50439814815</v>
      </c>
      <c r="BE1578" t="inlineStr">
        <is>
          <t>paid</t>
        </is>
      </c>
      <c r="BF1578"/>
      <c r="BG1578" t="inlineStr">
        <is>
          <t>Reschedule</t>
        </is>
      </c>
      <c r="BH1578" t="inlineStr">
        <is>
          <t>Fauziah Maharan</t>
        </is>
      </c>
      <c r="BI1578" t="inlineStr">
        <is>
          <t>Construction / Building</t>
        </is>
      </c>
      <c r="BJ1578" s="4">
        <v>46144.752118055556</v>
      </c>
      <c r="BK1578" s="4">
        <v>45667.35554398148</v>
      </c>
      <c r="BL1578" t="inlineStr">
        <is>
          <t>0.0</t>
        </is>
      </c>
      <c r="BM1578" t="inlineStr">
        <is>
          <t>1800.0</t>
        </is>
      </c>
      <c r="BN1578" t="inlineStr">
        <is>
          <t>View Jobmanager Page</t>
        </is>
      </c>
      <c r="BO1578" s="4">
        <v>46134.38138888889</v>
      </c>
      <c r="BP1578">
        <v>168276</v>
      </c>
      <c r="BQ1578">
        <v>123393</v>
      </c>
      <c r="BR1578" t="inlineStr">
        <is>
          <t>Proforma</t>
        </is>
      </c>
      <c r="BS1578" t="inlineStr">
        <is>
          <t>Free High Pay Job</t>
        </is>
      </c>
      <c r="BT1578">
        <v>76547</v>
      </c>
      <c r="BU1578"/>
      <c r="BV1578">
        <v>2720268</v>
      </c>
      <c r="BW1578" t="inlineStr">
        <is>
          <t>Customer Inquiry</t>
        </is>
      </c>
      <c r="BX1578"/>
      <c r="BY1578"/>
      <c r="BZ1578" s="4"/>
      <c r="CA1578"/>
      <c r="CB1578"/>
      <c r="CC1578" s="4"/>
      <c r="CD1578" t="inlineStr">
        <is>
          <t>5</t>
        </is>
      </c>
      <c r="CE1578" t="inlineStr">
        <is>
          <t>0</t>
        </is>
      </c>
      <c r="CF1578" t="inlineStr">
        <is>
          <t>Q2-W03</t>
        </is>
      </c>
      <c r="CG1578" t="inlineStr">
        <is>
          <t>Q2-W03</t>
        </is>
      </c>
      <c r="CH1578"/>
      <c r="CI1578"/>
      <c r="CJ1578" t="inlineStr">
        <is>
          <t>Paid</t>
        </is>
      </c>
      <c r="CK1578" t="inlineStr">
        <is>
          <t>Not Eligible</t>
        </is>
      </c>
      <c r="CL1578"/>
      <c r="CM1578"/>
    </row>
    <row r="1579" ht="25.5" customHeight="1">
      <c r="A1579" t="inlineStr">
        <is>
          <t>203220</t>
        </is>
      </c>
      <c r="B1579" s="2"/>
      <c r="C1579"/>
      <c r="D1579" s="3">
        <v>46126.62185185185</v>
      </c>
      <c r="E1579" t="inlineStr">
        <is>
          <t>Q2-W02</t>
        </is>
      </c>
      <c r="F1579" t="inlineStr">
        <is>
          <t>Dickson</t>
        </is>
      </c>
      <c r="G1579" t="inlineStr">
        <is>
          <t>Customer</t>
        </is>
      </c>
      <c r="H1579" s="2" t="str">
        <f>=HYPERLINK("https://upbox.ajobthing.my/customer/203220", "https://upbox.ajobthing.my/customer/203220")</f>
        <v>https://upbox.ajobthing.my/customer/203220</v>
      </c>
      <c r="I1579" t="inlineStr">
        <is>
          <t>Ing Concept Sdn Bhd</t>
        </is>
      </c>
      <c r="J1579" t="inlineStr">
        <is>
          <t>Dolphin</t>
        </is>
      </c>
      <c r="K1579" t="inlineStr">
        <is>
          <t>Dickson</t>
        </is>
      </c>
      <c r="L1579" s="4"/>
      <c r="M1579" s="4">
        <v>46126.6219212963</v>
      </c>
      <c r="N1579"/>
      <c r="O1579">
        <v>3888</v>
      </c>
      <c r="P1579" s="4"/>
      <c r="Q1579" s="4">
        <v>46129.65528935185</v>
      </c>
      <c r="R1579"/>
      <c r="S1579">
        <v>0</v>
      </c>
      <c r="T1579" s="4">
        <v>46128.874872685185</v>
      </c>
      <c r="U1579" s="4"/>
      <c r="V1579"/>
      <c r="W1579">
        <v>2592</v>
      </c>
      <c r="X1579"/>
      <c r="Y1579" t="inlineStr">
        <is>
          <t>Pending Appointment</t>
        </is>
      </c>
      <c r="Z1579" t="inlineStr">
        <is>
          <t>Hiring Now</t>
        </is>
      </c>
      <c r="AA1579">
        <v>3</v>
      </c>
      <c r="AB1579" t="inlineStr">
        <is>
          <t>No Appointment Made</t>
        </is>
      </c>
      <c r="AC1579"/>
      <c r="AD1579" t="inlineStr">
        <is>
          <t>1 site supervisor, 1 junior QS, 1 social marketing</t>
        </is>
      </c>
      <c r="AE1579"/>
      <c r="AF1579"/>
      <c r="AG1579" s="4"/>
      <c r="AH1579" s="4"/>
      <c r="AI1579"/>
      <c r="AJ1579">
        <v>1</v>
      </c>
      <c r="AK1579" t="inlineStr">
        <is>
          <t>No, I don't need at all</t>
        </is>
      </c>
      <c r="AL1579"/>
      <c r="AM1579" t="inlineStr">
        <is>
          <t>No, I don't need at all</t>
        </is>
      </c>
      <c r="AN1579"/>
      <c r="AO1579" t="inlineStr">
        <is>
          <t>No, I don't need at all</t>
        </is>
      </c>
      <c r="AP1579" t="inlineStr">
        <is>
          <t>Once per quarter (75%)</t>
        </is>
      </c>
      <c r="AQ1579"/>
      <c r="AR1579"/>
      <c r="AS1579" t="inlineStr">
        <is>
          <t>- Headcount: 3
- Hiring Job Details: 1 site supervisor, 1 junior QS, 1 social marketing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1579">
        <v>95</v>
      </c>
      <c r="AU1579" t="inlineStr">
        <is>
          <t>0.95</t>
        </is>
      </c>
      <c r="AV1579" t="inlineStr">
        <is>
          <t>5</t>
        </is>
      </c>
      <c r="AW1579" t="inlineStr">
        <is>
          <t>0</t>
        </is>
      </c>
      <c r="AX1579" t="inlineStr">
        <is>
          <t>Not Qualified</t>
        </is>
      </c>
      <c r="AY1579" s="4"/>
      <c r="AZ1579"/>
      <c r="BA1579"/>
      <c r="BB1579"/>
      <c r="BC1579" t="inlineStr">
        <is>
          <t>customer asking for log in password</t>
        </is>
      </c>
      <c r="BD1579" s="4">
        <v>46134.422534722224</v>
      </c>
      <c r="BE1579" t="inlineStr">
        <is>
          <t>paid</t>
        </is>
      </c>
      <c r="BF1579" t="inlineStr">
        <is>
          <t>Q2-W02</t>
        </is>
      </c>
      <c r="BG1579" t="inlineStr">
        <is>
          <t>Reschedule</t>
        </is>
      </c>
      <c r="BH1579" t="inlineStr">
        <is>
          <t>Edward Hoo</t>
        </is>
      </c>
      <c r="BI1579" t="inlineStr">
        <is>
          <t>Construction / Building</t>
        </is>
      </c>
      <c r="BJ1579" s="4">
        <v>46144.75425925926</v>
      </c>
      <c r="BK1579" s="4">
        <v>46126.60763888889</v>
      </c>
      <c r="BL1579" t="inlineStr">
        <is>
          <t>2592.0</t>
        </is>
      </c>
      <c r="BM1579" t="inlineStr">
        <is>
          <t>0.0</t>
        </is>
      </c>
      <c r="BN1579" t="inlineStr">
        <is>
          <t>View Company Page</t>
        </is>
      </c>
      <c r="BO1579" s="4">
        <v>46141.369525462964</v>
      </c>
      <c r="BP1579">
        <v>166969</v>
      </c>
      <c r="BQ1579">
        <v>122988</v>
      </c>
      <c r="BR1579" t="inlineStr">
        <is>
          <t>Proforma</t>
        </is>
      </c>
      <c r="BS1579" t="inlineStr">
        <is>
          <t>Free Part-Time Job</t>
        </is>
      </c>
      <c r="BT1579">
        <v>7646</v>
      </c>
      <c r="BU1579"/>
      <c r="BV1579">
        <v>2719588</v>
      </c>
      <c r="BW1579" t="inlineStr">
        <is>
          <t>Service / Technical : Job Outcome Enquiry</t>
        </is>
      </c>
      <c r="BX1579">
        <v>3</v>
      </c>
      <c r="BY1579">
        <v>0</v>
      </c>
      <c r="BZ1579" s="4">
        <v>46133.617939814816</v>
      </c>
      <c r="CA1579">
        <v>43</v>
      </c>
      <c r="CB1579">
        <v>43</v>
      </c>
      <c r="CC1579" s="4"/>
      <c r="CD1579" t="inlineStr">
        <is>
          <t>5</t>
        </is>
      </c>
      <c r="CE1579" t="inlineStr">
        <is>
          <t>0</t>
        </is>
      </c>
      <c r="CF1579" t="inlineStr">
        <is>
          <t>Q2-W02</t>
        </is>
      </c>
      <c r="CG1579" t="inlineStr">
        <is>
          <t>Q2-W03</t>
        </is>
      </c>
      <c r="CH1579" t="inlineStr">
        <is>
          <t>Q2-W02</t>
        </is>
      </c>
      <c r="CI1579"/>
      <c r="CJ1579" t="inlineStr">
        <is>
          <t>Paid</t>
        </is>
      </c>
      <c r="CK1579" t="inlineStr">
        <is>
          <t>Not Eligible</t>
        </is>
      </c>
      <c r="CL1579"/>
      <c r="CM1579"/>
    </row>
    <row r="1580" ht="25.5" customHeight="1">
      <c r="A1580" t="inlineStr">
        <is>
          <t>185104</t>
        </is>
      </c>
      <c r="B1580" s="2"/>
      <c r="C1580"/>
      <c r="D1580" s="3">
        <v>46126.626550925925</v>
      </c>
      <c r="E1580" t="inlineStr">
        <is>
          <t>Q2-W02</t>
        </is>
      </c>
      <c r="F1580" t="inlineStr">
        <is>
          <t>Luqman</t>
        </is>
      </c>
      <c r="G1580" t="inlineStr">
        <is>
          <t>Customer</t>
        </is>
      </c>
      <c r="H1580" s="2" t="str">
        <f>=HYPERLINK("https://upbox.ajobthing.my/customer/185104", "https://upbox.ajobthing.my/customer/185104")</f>
        <v>https://upbox.ajobthing.my/customer/185104</v>
      </c>
      <c r="I1580" t="inlineStr">
        <is>
          <t>Restoran Mango Chutney</t>
        </is>
      </c>
      <c r="J1580" t="inlineStr">
        <is>
          <t>Dolphin</t>
        </is>
      </c>
      <c r="K1580" t="inlineStr">
        <is>
          <t>Luqman</t>
        </is>
      </c>
      <c r="L1580" s="4"/>
      <c r="M1580" s="4">
        <v>46126.62662037037</v>
      </c>
      <c r="N1580"/>
      <c r="O1580">
        <v>3888</v>
      </c>
      <c r="P1580" s="4"/>
      <c r="Q1580" s="4">
        <v>45618.76060185185</v>
      </c>
      <c r="R1580"/>
      <c r="S1580">
        <v>2916</v>
      </c>
      <c r="T1580" s="4">
        <v>45618.76060185185</v>
      </c>
      <c r="U1580" s="4"/>
      <c r="V1580"/>
      <c r="W1580">
        <v>2916</v>
      </c>
      <c r="X1580"/>
      <c r="Y1580" t="inlineStr">
        <is>
          <t>Pending Appointment</t>
        </is>
      </c>
      <c r="Z1580" t="inlineStr">
        <is>
          <t>Hiring Later</t>
        </is>
      </c>
      <c r="AA1580">
        <v>3</v>
      </c>
      <c r="AB1580" t="inlineStr">
        <is>
          <t>No Appointment Made</t>
        </is>
      </c>
      <c r="AC1580"/>
      <c r="AD1580" t="inlineStr">
        <is>
          <t xml:space="preserve">1. Service crew 2. Head cook 3. Chef </t>
        </is>
      </c>
      <c r="AE1580"/>
      <c r="AF1580">
        <v>3600</v>
      </c>
      <c r="AG1580" s="4"/>
      <c r="AH1580" s="4"/>
      <c r="AI1580">
        <v>3600</v>
      </c>
      <c r="AJ1580"/>
      <c r="AK1580" t="inlineStr">
        <is>
          <t>No, I don't need at all</t>
        </is>
      </c>
      <c r="AL1580">
        <v>1</v>
      </c>
      <c r="AM1580" t="inlineStr">
        <is>
          <t>No, I don't need at all</t>
        </is>
      </c>
      <c r="AN1580"/>
      <c r="AO1580" t="inlineStr">
        <is>
          <t>No, I don't need at all</t>
        </is>
      </c>
      <c r="AP1580" t="inlineStr">
        <is>
          <t>Once a year (25%)</t>
        </is>
      </c>
      <c r="AQ1580">
        <v>3</v>
      </c>
      <c r="AR1580" t="inlineStr">
        <is>
          <t>Free Job Portal</t>
        </is>
      </c>
      <c r="AS1580" t="inlineStr">
        <is>
          <t>- Headcount: 3
- Hiring Job Details: 1. Service crew 2. Head cook 3. Chef
- Hiring Urgency: Hiring Later
- Number of outlets: Not provided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is>
      </c>
      <c r="AT1580">
        <v>95</v>
      </c>
      <c r="AU1580" t="inlineStr">
        <is>
          <t>0.95</t>
        </is>
      </c>
      <c r="AV1580" t="inlineStr">
        <is>
          <t>15</t>
        </is>
      </c>
      <c r="AW1580" t="inlineStr">
        <is>
          <t>0</t>
        </is>
      </c>
      <c r="AX1580" t="inlineStr">
        <is>
          <t>Not Qualified</t>
        </is>
      </c>
      <c r="AY1580" s="4"/>
      <c r="AZ1580"/>
      <c r="BA1580"/>
      <c r="BB1580"/>
      <c r="BC1580" t="inlineStr">
        <is>
          <t>- Headcount: 3
- Hiring Job Details: 1. Service crew 2. Head cook 3. Chef
- Hiring Urgency: Hiring Later
- Number of outlets: Not provided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is>
      </c>
      <c r="BD1580" s="4">
        <v>46126.66670138889</v>
      </c>
      <c r="BE1580" t="inlineStr">
        <is>
          <t>paid</t>
        </is>
      </c>
      <c r="BF1580"/>
      <c r="BG1580" t="inlineStr">
        <is>
          <t>Reschedule</t>
        </is>
      </c>
      <c r="BH1580" t="inlineStr">
        <is>
          <t>Edward Hoo</t>
        </is>
      </c>
      <c r="BI1580" t="inlineStr">
        <is>
          <t>Food / Beverage</t>
        </is>
      </c>
      <c r="BJ1580" s="4">
        <v>46144.75204861111</v>
      </c>
      <c r="BK1580" s="4">
        <v>45618.60990740741</v>
      </c>
      <c r="BL1580" t="inlineStr">
        <is>
          <t>0.0</t>
        </is>
      </c>
      <c r="BM1580" t="inlineStr">
        <is>
          <t>750.0</t>
        </is>
      </c>
      <c r="BN1580" t="inlineStr">
        <is>
          <t>View Jobmanager Page</t>
        </is>
      </c>
      <c r="BO1580" s="4">
        <v>45908.73925925926</v>
      </c>
      <c r="BP1580">
        <v>166972</v>
      </c>
      <c r="BQ1580">
        <v>74862</v>
      </c>
      <c r="BR1580" t="inlineStr">
        <is>
          <t>Online</t>
        </is>
      </c>
      <c r="BS1580"/>
      <c r="BT1580">
        <v>74862</v>
      </c>
      <c r="BU1580"/>
      <c r="BV1580">
        <v>2704064</v>
      </c>
      <c r="BW1580" t="inlineStr">
        <is>
          <t>Customer Inquiry</t>
        </is>
      </c>
      <c r="BX1580"/>
      <c r="BY1580"/>
      <c r="BZ1580" s="4"/>
      <c r="CA1580"/>
      <c r="CB1580"/>
      <c r="CC1580" s="4"/>
      <c r="CD1580" t="inlineStr">
        <is>
          <t>20</t>
        </is>
      </c>
      <c r="CE1580" t="inlineStr">
        <is>
          <t>0</t>
        </is>
      </c>
      <c r="CF1580" t="inlineStr">
        <is>
          <t>Q2-W02</t>
        </is>
      </c>
      <c r="CG1580"/>
      <c r="CH1580"/>
      <c r="CI1580"/>
      <c r="CJ1580" t="inlineStr">
        <is>
          <t>Paid</t>
        </is>
      </c>
      <c r="CK1580" t="inlineStr">
        <is>
          <t>Not Eligible</t>
        </is>
      </c>
      <c r="CL1580"/>
      <c r="CM1580"/>
    </row>
    <row r="1581" ht="25.5" customHeight="1">
      <c r="A1581" t="inlineStr">
        <is>
          <t>203221</t>
        </is>
      </c>
      <c r="B1581" s="2"/>
      <c r="C1581"/>
      <c r="D1581" s="3">
        <v>46126.632314814815</v>
      </c>
      <c r="E1581" t="inlineStr">
        <is>
          <t>Q2-W02</t>
        </is>
      </c>
      <c r="F1581" t="inlineStr">
        <is>
          <t>Jess</t>
        </is>
      </c>
      <c r="G1581" t="inlineStr">
        <is>
          <t>Customer</t>
        </is>
      </c>
      <c r="H1581" s="2" t="str">
        <f>=HYPERLINK("https://upbox.ajobthing.my/customer/203221", "https://upbox.ajobthing.my/customer/203221")</f>
        <v>https://upbox.ajobthing.my/customer/203221</v>
      </c>
      <c r="I1581" t="inlineStr">
        <is>
          <t>Mtb Industries Sdn. Bhd.</t>
        </is>
      </c>
      <c r="J1581" t="inlineStr">
        <is>
          <t>Dolphin</t>
        </is>
      </c>
      <c r="K1581" t="inlineStr">
        <is>
          <t>Jess Lim</t>
        </is>
      </c>
      <c r="L1581" s="4"/>
      <c r="M1581" s="4">
        <v>46126.633680555555</v>
      </c>
      <c r="N1581"/>
      <c r="O1581">
        <v>6048</v>
      </c>
      <c r="P1581" s="4"/>
      <c r="Q1581" s="4"/>
      <c r="R1581"/>
      <c r="S1581"/>
      <c r="T1581" s="4"/>
      <c r="U1581" s="4"/>
      <c r="V1581"/>
      <c r="W1581"/>
      <c r="X1581"/>
      <c r="Y1581" t="inlineStr">
        <is>
          <t>Pending Appointment</t>
        </is>
      </c>
      <c r="Z1581" t="inlineStr">
        <is>
          <t>Hiring Now</t>
        </is>
      </c>
      <c r="AA1581">
        <v>1</v>
      </c>
      <c r="AB1581" t="inlineStr">
        <is>
          <t>No Appointment Made</t>
        </is>
      </c>
      <c r="AC1581"/>
      <c r="AD1581" t="inlineStr">
        <is>
          <t xml:space="preserve">purchasing , qc
1 orang , 9 </t>
        </is>
      </c>
      <c r="AE1581"/>
      <c r="AF1581">
        <v>1200</v>
      </c>
      <c r="AG1581" s="4"/>
      <c r="AH1581" s="4"/>
      <c r="AI1581"/>
      <c r="AJ1581">
        <v>1</v>
      </c>
      <c r="AK1581" t="inlineStr">
        <is>
          <t>No, I don't need at all</t>
        </is>
      </c>
      <c r="AL1581">
        <v>1</v>
      </c>
      <c r="AM1581" t="inlineStr">
        <is>
          <t>No, I don't need at all</t>
        </is>
      </c>
      <c r="AN1581"/>
      <c r="AO1581" t="inlineStr">
        <is>
          <t>No, I don't need at all</t>
        </is>
      </c>
      <c r="AP1581" t="inlineStr">
        <is>
          <t>Once a year (25%)</t>
        </is>
      </c>
      <c r="AQ1581"/>
      <c r="AR1581" t="inlineStr">
        <is>
          <t>Jobstreet</t>
        </is>
      </c>
      <c r="AS1581" t="inlineStr">
        <is>
          <t>- Headcount: 1
- Hiring Job Details: purchasing, qc; 1 orang, 9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1581">
        <v>95</v>
      </c>
      <c r="AU1581" t="inlineStr">
        <is>
          <t>0.95</t>
        </is>
      </c>
      <c r="AV1581" t="inlineStr">
        <is>
          <t>15</t>
        </is>
      </c>
      <c r="AW1581" t="inlineStr">
        <is>
          <t>0</t>
        </is>
      </c>
      <c r="AX1581" t="inlineStr">
        <is>
          <t>Not Qualified</t>
        </is>
      </c>
      <c r="AY1581" s="4"/>
      <c r="AZ1581"/>
      <c r="BA1581"/>
      <c r="BB1581"/>
      <c r="BC1581" t="inlineStr">
        <is>
          <t>- Headcount: 1
- Hiring Job Details: 1 purchasing
- Hiring Urgency: Hiring Now
- Number of outlets: Not provided
- Have recruiter team: No, I don't need at all
- Number of recruiter in company: 1
- Have ATS system: No, I don't need at all
- Have career website: No, I don't need at all
- Current hiring budget: RM600.00
- Whole year budget: Not provided
- Whole year number of vacancies: Not provided
- Hiring frequency: Once a year (25%)
- External job portal: Free Job Portal</t>
        </is>
      </c>
      <c r="BD1581" s="4">
        <v>46126.666712962964</v>
      </c>
      <c r="BE1581"/>
      <c r="BF1581"/>
      <c r="BG1581" t="inlineStr">
        <is>
          <t>Reschedule</t>
        </is>
      </c>
      <c r="BH1581" t="inlineStr">
        <is>
          <t>Fauziah Maharan</t>
        </is>
      </c>
      <c r="BI1581" t="inlineStr">
        <is>
          <t>Manufacturing / Production</t>
        </is>
      </c>
      <c r="BJ1581" s="4">
        <v>46144.75425925926</v>
      </c>
      <c r="BK1581" s="4">
        <v>46126.61342592593</v>
      </c>
      <c r="BL1581" t="inlineStr">
        <is>
          <t>0.0</t>
        </is>
      </c>
      <c r="BM1581" t="inlineStr">
        <is>
          <t>0.0</t>
        </is>
      </c>
      <c r="BN1581" t="inlineStr">
        <is>
          <t>View Company Page</t>
        </is>
      </c>
      <c r="BO1581" s="4">
        <v>46126.62372685185</v>
      </c>
      <c r="BP1581">
        <v>166978</v>
      </c>
      <c r="BQ1581"/>
      <c r="BR1581"/>
      <c r="BS1581"/>
      <c r="BT1581"/>
      <c r="BU1581"/>
      <c r="BV1581">
        <v>2704069</v>
      </c>
      <c r="BW1581" t="inlineStr">
        <is>
          <t>Customer Inquiry</t>
        </is>
      </c>
      <c r="BX1581"/>
      <c r="BY1581"/>
      <c r="BZ1581" s="4"/>
      <c r="CA1581"/>
      <c r="CB1581"/>
      <c r="CC1581" s="4"/>
      <c r="CD1581" t="inlineStr">
        <is>
          <t>20</t>
        </is>
      </c>
      <c r="CE1581" t="inlineStr">
        <is>
          <t>0</t>
        </is>
      </c>
      <c r="CF1581" t="inlineStr">
        <is>
          <t>Q2-W02</t>
        </is>
      </c>
      <c r="CG1581"/>
      <c r="CH1581"/>
      <c r="CI1581"/>
      <c r="CJ1581" t="inlineStr">
        <is>
          <t>No Paid</t>
        </is>
      </c>
      <c r="CK1581" t="inlineStr">
        <is>
          <t>Not Eligible</t>
        </is>
      </c>
      <c r="CL1581"/>
      <c r="CM1581"/>
    </row>
    <row r="1582" ht="25.5" customHeight="1">
      <c r="A1582" t="inlineStr">
        <is>
          <t>203221</t>
        </is>
      </c>
      <c r="B1582" s="2"/>
      <c r="C1582"/>
      <c r="D1582" s="3">
        <v>46126.633518518516</v>
      </c>
      <c r="E1582" t="inlineStr">
        <is>
          <t>Q2-W02</t>
        </is>
      </c>
      <c r="F1582" t="inlineStr">
        <is>
          <t>Jess</t>
        </is>
      </c>
      <c r="G1582" t="inlineStr">
        <is>
          <t>Customer</t>
        </is>
      </c>
      <c r="H1582" s="2" t="str">
        <f>=HYPERLINK("https://upbox.ajobthing.my/customer/203221", "https://upbox.ajobthing.my/customer/203221")</f>
        <v>https://upbox.ajobthing.my/customer/203221</v>
      </c>
      <c r="I1582" t="inlineStr">
        <is>
          <t>Mtb Industries Sdn. Bhd.</t>
        </is>
      </c>
      <c r="J1582" t="inlineStr">
        <is>
          <t>Dolphin</t>
        </is>
      </c>
      <c r="K1582" t="inlineStr">
        <is>
          <t>Jess Lim</t>
        </is>
      </c>
      <c r="L1582" s="4"/>
      <c r="M1582" s="4">
        <v>46126.633680555555</v>
      </c>
      <c r="N1582"/>
      <c r="O1582">
        <v>6048</v>
      </c>
      <c r="P1582" s="4"/>
      <c r="Q1582" s="4"/>
      <c r="R1582"/>
      <c r="S1582"/>
      <c r="T1582" s="4"/>
      <c r="U1582" s="4"/>
      <c r="V1582"/>
      <c r="W1582"/>
      <c r="X1582"/>
      <c r="Y1582" t="inlineStr">
        <is>
          <t>Pending Appointment</t>
        </is>
      </c>
      <c r="Z1582" t="inlineStr">
        <is>
          <t>Hiring Now</t>
        </is>
      </c>
      <c r="AA1582">
        <v>1</v>
      </c>
      <c r="AB1582" t="inlineStr">
        <is>
          <t>No Appointment Made</t>
        </is>
      </c>
      <c r="AC1582"/>
      <c r="AD1582" t="inlineStr">
        <is>
          <t>purchasing 1</t>
        </is>
      </c>
      <c r="AE1582"/>
      <c r="AF1582">
        <v>600</v>
      </c>
      <c r="AG1582" s="4"/>
      <c r="AH1582" s="4"/>
      <c r="AI1582"/>
      <c r="AJ1582"/>
      <c r="AK1582" t="inlineStr">
        <is>
          <t>No, I don't need at all</t>
        </is>
      </c>
      <c r="AL1582">
        <v>1</v>
      </c>
      <c r="AM1582" t="inlineStr">
        <is>
          <t>No, I don't need at all</t>
        </is>
      </c>
      <c r="AN1582"/>
      <c r="AO1582" t="inlineStr">
        <is>
          <t>No, I don't need at all</t>
        </is>
      </c>
      <c r="AP1582" t="inlineStr">
        <is>
          <t>Once a year (25%)</t>
        </is>
      </c>
      <c r="AQ1582"/>
      <c r="AR1582" t="inlineStr">
        <is>
          <t>Free Job Portal</t>
        </is>
      </c>
      <c r="AS1582" t="inlineStr">
        <is>
          <t>- Headcount: 1
- Hiring Job Details: 1 purchasing
- Hiring Urgency: Hiring Now
- Number of outlets: Not provided
- Have recruiter team: No, I don't need at all
- Number of recruiter in company: 1
- Have ATS system: No, I don't need at all
- Have career website: No, I don't need at all
- Current hiring budget: RM600.00
- Whole year budget: Not provided
- Whole year number of vacancies: Not provided
- Hiring frequency: Once a year (25%)
- External job portal: Free Job Portal</t>
        </is>
      </c>
      <c r="AT1582">
        <v>100</v>
      </c>
      <c r="AU1582" t="inlineStr">
        <is>
          <t>1.00</t>
        </is>
      </c>
      <c r="AV1582" t="inlineStr">
        <is>
          <t>15</t>
        </is>
      </c>
      <c r="AW1582" t="inlineStr">
        <is>
          <t>0</t>
        </is>
      </c>
      <c r="AX1582" t="inlineStr">
        <is>
          <t>Not Qualified</t>
        </is>
      </c>
      <c r="AY1582" s="4"/>
      <c r="AZ1582"/>
      <c r="BA1582"/>
      <c r="BB1582"/>
      <c r="BC1582" t="inlineStr">
        <is>
          <t>- Headcount: 1
- Hiring Job Details: 1 purchasing
- Hiring Urgency: Hiring Now
- Number of outlets: Not provided
- Have recruiter team: No, I don't need at all
- Number of recruiter in company: 1
- Have ATS system: No, I don't need at all
- Have career website: No, I don't need at all
- Current hiring budget: RM600.00
- Whole year budget: Not provided
- Whole year number of vacancies: Not provided
- Hiring frequency: Once a year (25%)
- External job portal: Free Job Portal</t>
        </is>
      </c>
      <c r="BD1582" s="4">
        <v>46126.666712962964</v>
      </c>
      <c r="BE1582"/>
      <c r="BF1582"/>
      <c r="BG1582" t="inlineStr">
        <is>
          <t>Reschedule</t>
        </is>
      </c>
      <c r="BH1582" t="inlineStr">
        <is>
          <t>Fauziah Maharan</t>
        </is>
      </c>
      <c r="BI1582" t="inlineStr">
        <is>
          <t>Manufacturing / Production</t>
        </is>
      </c>
      <c r="BJ1582" s="4">
        <v>46144.75425925926</v>
      </c>
      <c r="BK1582" s="4">
        <v>46126.61342592593</v>
      </c>
      <c r="BL1582" t="inlineStr">
        <is>
          <t>0.0</t>
        </is>
      </c>
      <c r="BM1582" t="inlineStr">
        <is>
          <t>0.0</t>
        </is>
      </c>
      <c r="BN1582" t="inlineStr">
        <is>
          <t>View Company Page</t>
        </is>
      </c>
      <c r="BO1582" s="4">
        <v>46126.62372685185</v>
      </c>
      <c r="BP1582">
        <v>166978</v>
      </c>
      <c r="BQ1582"/>
      <c r="BR1582"/>
      <c r="BS1582"/>
      <c r="BT1582"/>
      <c r="BU1582"/>
      <c r="BV1582">
        <v>2704069</v>
      </c>
      <c r="BW1582" t="inlineStr">
        <is>
          <t>Customer Inquiry</t>
        </is>
      </c>
      <c r="BX1582"/>
      <c r="BY1582"/>
      <c r="BZ1582" s="4"/>
      <c r="CA1582"/>
      <c r="CB1582"/>
      <c r="CC1582" s="4"/>
      <c r="CD1582" t="inlineStr">
        <is>
          <t>20</t>
        </is>
      </c>
      <c r="CE1582" t="inlineStr">
        <is>
          <t>0</t>
        </is>
      </c>
      <c r="CF1582" t="inlineStr">
        <is>
          <t>Q2-W02</t>
        </is>
      </c>
      <c r="CG1582"/>
      <c r="CH1582"/>
      <c r="CI1582"/>
      <c r="CJ1582" t="inlineStr">
        <is>
          <t>No Paid</t>
        </is>
      </c>
      <c r="CK1582" t="inlineStr">
        <is>
          <t>Not Eligible</t>
        </is>
      </c>
      <c r="CL1582"/>
      <c r="CM1582"/>
    </row>
    <row r="1583" ht="25.5" customHeight="1">
      <c r="A1583" t="inlineStr">
        <is>
          <t>32251</t>
        </is>
      </c>
      <c r="B1583" s="2"/>
      <c r="C1583"/>
      <c r="D1583" s="3">
        <v>46126.65414351852</v>
      </c>
      <c r="E1583" t="inlineStr">
        <is>
          <t>Q2-W02</t>
        </is>
      </c>
      <c r="F1583" t="inlineStr">
        <is>
          <t>Jeff Lee</t>
        </is>
      </c>
      <c r="G1583" t="inlineStr">
        <is>
          <t>Customer</t>
        </is>
      </c>
      <c r="H1583" s="2" t="str">
        <f>=HYPERLINK("https://upbox.ajobthing.my/customer/32251", "https://upbox.ajobthing.my/customer/32251")</f>
        <v>https://upbox.ajobthing.my/customer/32251</v>
      </c>
      <c r="I1583" t="inlineStr">
        <is>
          <t>Grace Enrichment Centre</t>
        </is>
      </c>
      <c r="J1583" t="inlineStr">
        <is>
          <t>Dolphin</t>
        </is>
      </c>
      <c r="K1583" t="inlineStr">
        <is>
          <t>Jeff Lee</t>
        </is>
      </c>
      <c r="L1583" s="4"/>
      <c r="M1583" s="4">
        <v>46126.64886574074</v>
      </c>
      <c r="N1583"/>
      <c r="O1583">
        <v>3888</v>
      </c>
      <c r="P1583" s="4"/>
      <c r="Q1583" s="4">
        <v>45466.625023148146</v>
      </c>
      <c r="R1583"/>
      <c r="S1583">
        <v>324</v>
      </c>
      <c r="T1583" s="4">
        <v>45466.625023148146</v>
      </c>
      <c r="U1583" s="4"/>
      <c r="V1583"/>
      <c r="W1583">
        <v>324</v>
      </c>
      <c r="X1583"/>
      <c r="Y1583" t="inlineStr">
        <is>
          <t>Pending Appointment</t>
        </is>
      </c>
      <c r="Z1583" t="inlineStr">
        <is>
          <t>Hiring Now</t>
        </is>
      </c>
      <c r="AA1583">
        <v>1</v>
      </c>
      <c r="AB1583" t="inlineStr">
        <is>
          <t>No Appointment Made</t>
        </is>
      </c>
      <c r="AC1583"/>
      <c r="AD1583" t="inlineStr">
        <is>
          <t>1. Teacher
2. 1</t>
        </is>
      </c>
      <c r="AE1583"/>
      <c r="AF1583">
        <v>0</v>
      </c>
      <c r="AG1583" s="4"/>
      <c r="AH1583" s="4"/>
      <c r="AI1583">
        <v>0</v>
      </c>
      <c r="AJ1583">
        <v>0</v>
      </c>
      <c r="AK1583" t="inlineStr">
        <is>
          <t>No, I don't need at all</t>
        </is>
      </c>
      <c r="AL1583">
        <v>0</v>
      </c>
      <c r="AM1583" t="inlineStr">
        <is>
          <t>No, I don't need at all</t>
        </is>
      </c>
      <c r="AN1583"/>
      <c r="AO1583" t="inlineStr">
        <is>
          <t>No, I don't need at all</t>
        </is>
      </c>
      <c r="AP1583" t="inlineStr">
        <is>
          <t>Once a year (25%)</t>
        </is>
      </c>
      <c r="AQ1583">
        <v>1</v>
      </c>
      <c r="AR1583" t="inlineStr">
        <is>
          <t>Did not use any job portal</t>
        </is>
      </c>
      <c r="AS1583" t="inlineStr">
        <is>
          <t>- Headcount: 1
- Hiring Job Details: 1 Teacher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583">
        <v>105</v>
      </c>
      <c r="AU1583" t="inlineStr">
        <is>
          <t>1.05</t>
        </is>
      </c>
      <c r="AV1583" t="inlineStr">
        <is>
          <t>15</t>
        </is>
      </c>
      <c r="AW1583" t="inlineStr">
        <is>
          <t>0</t>
        </is>
      </c>
      <c r="AX1583" t="inlineStr">
        <is>
          <t>Not Qualified</t>
        </is>
      </c>
      <c r="AY1583" s="4"/>
      <c r="AZ1583"/>
      <c r="BA1583"/>
      <c r="BB1583"/>
      <c r="BC1583" t="inlineStr">
        <is>
          <t>dont want first, when he need will contact me</t>
        </is>
      </c>
      <c r="BD1583" s="4">
        <v>46133.58148148148</v>
      </c>
      <c r="BE1583" t="inlineStr">
        <is>
          <t>paid</t>
        </is>
      </c>
      <c r="BF1583"/>
      <c r="BG1583" t="inlineStr">
        <is>
          <t>Reschedule</t>
        </is>
      </c>
      <c r="BH1583" t="inlineStr">
        <is>
          <t>Yee Hang</t>
        </is>
      </c>
      <c r="BI1583" t="inlineStr">
        <is>
          <t>Education / Training</t>
        </is>
      </c>
      <c r="BJ1583" s="4">
        <v>46144.75454861111</v>
      </c>
      <c r="BK1583" s="4">
        <v>42727.94744212963</v>
      </c>
      <c r="BL1583" t="inlineStr">
        <is>
          <t>0.0</t>
        </is>
      </c>
      <c r="BM1583" t="inlineStr">
        <is>
          <t>0.0</t>
        </is>
      </c>
      <c r="BN1583" t="inlineStr">
        <is>
          <t>View Candidate Search Page</t>
        </is>
      </c>
      <c r="BO1583" s="4">
        <v>45727.6199537037</v>
      </c>
      <c r="BP1583">
        <v>166995</v>
      </c>
      <c r="BQ1583">
        <v>70329</v>
      </c>
      <c r="BR1583" t="inlineStr">
        <is>
          <t>Online</t>
        </is>
      </c>
      <c r="BS1583"/>
      <c r="BT1583">
        <v>70329</v>
      </c>
      <c r="BU1583"/>
      <c r="BV1583">
        <v>2718138</v>
      </c>
      <c r="BW1583" t="inlineStr">
        <is>
          <t>Follow Up : Budget Concern</t>
        </is>
      </c>
      <c r="BX1583"/>
      <c r="BY1583"/>
      <c r="BZ1583" s="4"/>
      <c r="CA1583"/>
      <c r="CB1583"/>
      <c r="CC1583" s="4"/>
      <c r="CD1583" t="inlineStr">
        <is>
          <t>20</t>
        </is>
      </c>
      <c r="CE1583" t="inlineStr">
        <is>
          <t>0</t>
        </is>
      </c>
      <c r="CF1583" t="inlineStr">
        <is>
          <t>Q2-W02</t>
        </is>
      </c>
      <c r="CG1583"/>
      <c r="CH1583"/>
      <c r="CI1583"/>
      <c r="CJ1583" t="inlineStr">
        <is>
          <t>Paid</t>
        </is>
      </c>
      <c r="CK1583" t="inlineStr">
        <is>
          <t>Not Eligible</t>
        </is>
      </c>
      <c r="CL1583"/>
      <c r="CM1583"/>
    </row>
    <row r="1584" ht="25.5" customHeight="1">
      <c r="A1584" t="inlineStr">
        <is>
          <t>4281228</t>
        </is>
      </c>
      <c r="B1584" s="2"/>
      <c r="C1584"/>
      <c r="D1584" s="3">
        <v>46126.65425925926</v>
      </c>
      <c r="E1584" t="inlineStr">
        <is>
          <t>Q2-W02</t>
        </is>
      </c>
      <c r="F1584" t="inlineStr">
        <is>
          <t>Jess</t>
        </is>
      </c>
      <c r="G1584" t="inlineStr">
        <is>
          <t>Lead</t>
        </is>
      </c>
      <c r="H1584" s="2" t="str">
        <f>=HYPERLINK("https://upbox.ajobthing.my/leads/4281228", "https://upbox.ajobthing.my/leads/4281228")</f>
        <v>https://upbox.ajobthing.my/leads/4281228</v>
      </c>
      <c r="I1584" t="inlineStr">
        <is>
          <t>Wheelcorp Sdn Bhd</t>
        </is>
      </c>
      <c r="J1584" t="inlineStr">
        <is>
          <t>Dolphin</t>
        </is>
      </c>
      <c r="K1584" t="inlineStr">
        <is>
          <t>Jess Lim</t>
        </is>
      </c>
      <c r="L1584" s="4"/>
      <c r="M1584" s="4">
        <v>46126.654490740744</v>
      </c>
      <c r="N1584"/>
      <c r="O1584">
        <v>6048</v>
      </c>
      <c r="P1584" s="4"/>
      <c r="Q1584" s="4"/>
      <c r="R1584"/>
      <c r="S1584"/>
      <c r="T1584" s="4"/>
      <c r="U1584" s="4"/>
      <c r="V1584"/>
      <c r="W1584"/>
      <c r="X1584"/>
      <c r="Y1584" t="inlineStr">
        <is>
          <t>Pending Appointment</t>
        </is>
      </c>
      <c r="Z1584" t="inlineStr">
        <is>
          <t>Hiring Now</t>
        </is>
      </c>
      <c r="AA1584">
        <v>1</v>
      </c>
      <c r="AB1584" t="inlineStr">
        <is>
          <t>No Appointment Made</t>
        </is>
      </c>
      <c r="AC1584"/>
      <c r="AD1584" t="inlineStr">
        <is>
          <t>account manager 1</t>
        </is>
      </c>
      <c r="AE1584"/>
      <c r="AF1584">
        <v>1500</v>
      </c>
      <c r="AG1584" s="4"/>
      <c r="AH1584" s="4"/>
      <c r="AI1584"/>
      <c r="AJ1584">
        <v>1</v>
      </c>
      <c r="AK1584" t="inlineStr">
        <is>
          <t>No, I don't need at all</t>
        </is>
      </c>
      <c r="AL1584">
        <v>1</v>
      </c>
      <c r="AM1584" t="inlineStr">
        <is>
          <t>No, I don't need at all</t>
        </is>
      </c>
      <c r="AN1584"/>
      <c r="AO1584" t="inlineStr">
        <is>
          <t>No, I don't need at all</t>
        </is>
      </c>
      <c r="AP1584" t="inlineStr">
        <is>
          <t>Once a year (25%)</t>
        </is>
      </c>
      <c r="AQ1584"/>
      <c r="AR1584" t="inlineStr">
        <is>
          <t>Jobstreet</t>
        </is>
      </c>
      <c r="AS1584" t="inlineStr">
        <is>
          <t>- Headcount: 1
- Hiring Job Details: 1 account manager
- Hiring Urgency: Hiring Now
- Number of outlets: 1
- Have recruiter team: No, I don't need at all
- Number of recruiter in company: 1
- Have ATS system: No, I don't need at all
- Have career website: No, I don't need at all
- Current hiring budget: RM1,500.00
- Whole year budget: 
- Whole year number of vacancies: 
- Hiring frequency: Once a year (25%)
- External job portal: Jobstreet</t>
        </is>
      </c>
      <c r="AT1584">
        <v>105</v>
      </c>
      <c r="AU1584" t="inlineStr">
        <is>
          <t>1.05</t>
        </is>
      </c>
      <c r="AV1584" t="inlineStr">
        <is>
          <t>15</t>
        </is>
      </c>
      <c r="AW1584" t="inlineStr">
        <is>
          <t>0</t>
        </is>
      </c>
      <c r="AX1584" t="inlineStr">
        <is>
          <t>Not Qualified</t>
        </is>
      </c>
      <c r="AY1584" s="4"/>
      <c r="AZ1584"/>
      <c r="BA1584"/>
      <c r="BB1584"/>
      <c r="BC1584"/>
      <c r="BD1584" s="4"/>
      <c r="BE1584"/>
      <c r="BF1584"/>
      <c r="BG1584" t="inlineStr">
        <is>
          <t>Reschedule</t>
        </is>
      </c>
      <c r="BH1584" t="inlineStr">
        <is>
          <t>Fauziah Maharan</t>
        </is>
      </c>
      <c r="BI1584"/>
      <c r="BJ1584" s="4">
        <v>46144.755833333336</v>
      </c>
      <c r="BK1584" s="4">
        <v>46126.603842592594</v>
      </c>
      <c r="BL1584" t="inlineStr">
        <is>
          <t>0.0</t>
        </is>
      </c>
      <c r="BM1584" t="inlineStr">
        <is>
          <t>1500.0</t>
        </is>
      </c>
      <c r="BN1584"/>
      <c r="BO1584" s="4"/>
      <c r="BP1584">
        <v>166998</v>
      </c>
      <c r="BQ1584"/>
      <c r="BR1584"/>
      <c r="BS1584"/>
      <c r="BT1584"/>
      <c r="BU1584"/>
      <c r="BV1584"/>
      <c r="BW1584"/>
      <c r="BX1584"/>
      <c r="BY1584"/>
      <c r="BZ1584" s="4"/>
      <c r="CA1584"/>
      <c r="CB1584"/>
      <c r="CC1584" s="4"/>
      <c r="CD1584" t="inlineStr">
        <is>
          <t>20</t>
        </is>
      </c>
      <c r="CE1584" t="inlineStr">
        <is>
          <t>0</t>
        </is>
      </c>
      <c r="CF1584" t="inlineStr">
        <is>
          <t>Q2-W02</t>
        </is>
      </c>
      <c r="CG1584"/>
      <c r="CH1584"/>
      <c r="CI1584"/>
      <c r="CJ1584" t="inlineStr">
        <is>
          <t>No Paid</t>
        </is>
      </c>
      <c r="CK1584" t="inlineStr">
        <is>
          <t>Not Eligible</t>
        </is>
      </c>
      <c r="CL1584"/>
      <c r="CM1584"/>
    </row>
    <row r="1585" ht="25.5" customHeight="1">
      <c r="A1585" t="inlineStr">
        <is>
          <t>181015</t>
        </is>
      </c>
      <c r="B1585" s="2"/>
      <c r="C1585"/>
      <c r="D1585" s="3">
        <v>46126.66384259259</v>
      </c>
      <c r="E1585" t="inlineStr">
        <is>
          <t>Q2-W02</t>
        </is>
      </c>
      <c r="F1585" t="inlineStr">
        <is>
          <t>Carmen</t>
        </is>
      </c>
      <c r="G1585" t="inlineStr">
        <is>
          <t>Customer</t>
        </is>
      </c>
      <c r="H1585" s="2" t="str">
        <f>=HYPERLINK("https://upbox.ajobthing.my/customer/181015", "https://upbox.ajobthing.my/customer/181015")</f>
        <v>https://upbox.ajobthing.my/customer/181015</v>
      </c>
      <c r="I1585" t="inlineStr">
        <is>
          <t>Apex Dynamic Solutions Sdn. Bhd.</t>
        </is>
      </c>
      <c r="J1585" t="inlineStr">
        <is>
          <t>Dolphin</t>
        </is>
      </c>
      <c r="K1585" t="inlineStr">
        <is>
          <t>Carmen</t>
        </is>
      </c>
      <c r="L1585" s="4"/>
      <c r="M1585" s="4">
        <v>46126.659097222226</v>
      </c>
      <c r="N1585"/>
      <c r="O1585">
        <v>3672</v>
      </c>
      <c r="P1585" s="4"/>
      <c r="Q1585" s="4">
        <v>46142.56423611111</v>
      </c>
      <c r="R1585"/>
      <c r="S1585">
        <v>0</v>
      </c>
      <c r="T1585" s="4">
        <v>46141.3959837963</v>
      </c>
      <c r="U1585" s="4"/>
      <c r="V1585"/>
      <c r="W1585">
        <v>3672</v>
      </c>
      <c r="X1585"/>
      <c r="Y1585" t="inlineStr">
        <is>
          <t>Pending Appointment</t>
        </is>
      </c>
      <c r="Z1585" t="inlineStr">
        <is>
          <t>Hiring Now</t>
        </is>
      </c>
      <c r="AA1585">
        <v>4</v>
      </c>
      <c r="AB1585" t="inlineStr">
        <is>
          <t>No Appointment Made</t>
        </is>
      </c>
      <c r="AC1585"/>
      <c r="AD1585" t="inlineStr">
        <is>
          <t>1 Secretary，1 Mover， 1 Safety Supervisor， 1 Safety Coordinator (OSH Coordinator)</t>
        </is>
      </c>
      <c r="AE1585"/>
      <c r="AF1585">
        <v>2700</v>
      </c>
      <c r="AG1585" s="4"/>
      <c r="AH1585" s="4"/>
      <c r="AI1585"/>
      <c r="AJ1585"/>
      <c r="AK1585" t="inlineStr">
        <is>
          <t>No, I don't need at all</t>
        </is>
      </c>
      <c r="AL1585"/>
      <c r="AM1585"/>
      <c r="AN1585"/>
      <c r="AO1585"/>
      <c r="AP1585" t="inlineStr">
        <is>
          <t>Once a year (25%)</t>
        </is>
      </c>
      <c r="AQ1585"/>
      <c r="AR1585"/>
      <c r="AS1585" t="inlineStr">
        <is>
          <t>- Headcount: 4
- Hiring Job Details: 1 Secretary, 1 Mover, 1 Safety Supervisor, 1 Safety Coordinator (OSH Coordinator)
- Hiring Urgency: Hiring Now
- Number of outlets: Not provided
- Have recruiter team: No, I don't need at all
- Number of recruiter in company: Not provided
- Have ATS system: Not provided
- Have career website: Not provided
- Current hiring budget: RM2,700.00
- Whole year budget: Not provided
- Whole year number of vacancies: Not provided
- Hiring frequency: Once a year (25%)
- External job portal: Not provided</t>
        </is>
      </c>
      <c r="AT1585">
        <v>85</v>
      </c>
      <c r="AU1585" t="inlineStr">
        <is>
          <t>0.85</t>
        </is>
      </c>
      <c r="AV1585" t="inlineStr">
        <is>
          <t>15</t>
        </is>
      </c>
      <c r="AW1585" t="inlineStr">
        <is>
          <t>0</t>
        </is>
      </c>
      <c r="AX1585" t="inlineStr">
        <is>
          <t>Not Qualified</t>
        </is>
      </c>
      <c r="AY1585" s="4"/>
      <c r="AZ1585"/>
      <c r="BA1585"/>
      <c r="BB1585"/>
      <c r="BC1585" t="inlineStr">
        <is>
          <t>she thought her job is wfh</t>
        </is>
      </c>
      <c r="BD1585" s="4">
        <v>46142.69405092593</v>
      </c>
      <c r="BE1585" t="inlineStr">
        <is>
          <t>paid</t>
        </is>
      </c>
      <c r="BF1585" t="inlineStr">
        <is>
          <t>Q2-W04</t>
        </is>
      </c>
      <c r="BG1585" t="inlineStr">
        <is>
          <t>Reschedule</t>
        </is>
      </c>
      <c r="BH1585" t="inlineStr">
        <is>
          <t>Reagen</t>
        </is>
      </c>
      <c r="BI1585" t="inlineStr">
        <is>
          <t>Transportation / Logistics</t>
        </is>
      </c>
      <c r="BJ1585" s="4">
        <v>46144.751863425925</v>
      </c>
      <c r="BK1585" s="4">
        <v>45502.56091435185</v>
      </c>
      <c r="BL1585" t="inlineStr">
        <is>
          <t>3672.0</t>
        </is>
      </c>
      <c r="BM1585" t="inlineStr">
        <is>
          <t>0.0</t>
        </is>
      </c>
      <c r="BN1585" t="inlineStr">
        <is>
          <t>View Create Job Page V4</t>
        </is>
      </c>
      <c r="BO1585" s="4">
        <v>46142.70518518519</v>
      </c>
      <c r="BP1585">
        <v>167000</v>
      </c>
      <c r="BQ1585">
        <v>124187</v>
      </c>
      <c r="BR1585" t="inlineStr">
        <is>
          <t>Proforma</t>
        </is>
      </c>
      <c r="BS1585" t="inlineStr">
        <is>
          <t>Free Internship Job</t>
        </is>
      </c>
      <c r="BT1585">
        <v>95056</v>
      </c>
      <c r="BU1585"/>
      <c r="BV1585">
        <v>2738216</v>
      </c>
      <c r="BW1585" t="inlineStr">
        <is>
          <t>Service / Technical : Job Outcome Enquiry</t>
        </is>
      </c>
      <c r="BX1585">
        <v>7</v>
      </c>
      <c r="BY1585">
        <v>6</v>
      </c>
      <c r="BZ1585" s="4">
        <v>46142.57554398148</v>
      </c>
      <c r="CA1585">
        <v>60</v>
      </c>
      <c r="CB1585">
        <v>60</v>
      </c>
      <c r="CC1585" s="4"/>
      <c r="CD1585" t="inlineStr">
        <is>
          <t>20</t>
        </is>
      </c>
      <c r="CE1585" t="inlineStr">
        <is>
          <t>0</t>
        </is>
      </c>
      <c r="CF1585" t="inlineStr">
        <is>
          <t>Q2-W02</t>
        </is>
      </c>
      <c r="CG1585" t="inlineStr">
        <is>
          <t>Q2-W04</t>
        </is>
      </c>
      <c r="CH1585" t="inlineStr">
        <is>
          <t>Q2-W04</t>
        </is>
      </c>
      <c r="CI1585"/>
      <c r="CJ1585" t="inlineStr">
        <is>
          <t>Paid</t>
        </is>
      </c>
      <c r="CK1585" t="inlineStr">
        <is>
          <t>Not Eligible</t>
        </is>
      </c>
      <c r="CL1585"/>
      <c r="CM1585"/>
    </row>
    <row r="1586" ht="25.5" customHeight="1">
      <c r="A1586" t="inlineStr">
        <is>
          <t>202863</t>
        </is>
      </c>
      <c r="B1586" s="2"/>
      <c r="C1586"/>
      <c r="D1586" s="3">
        <v>46126.66993055555</v>
      </c>
      <c r="E1586" t="inlineStr">
        <is>
          <t>Q2-W02</t>
        </is>
      </c>
      <c r="F1586" t="inlineStr">
        <is>
          <t>Clover</t>
        </is>
      </c>
      <c r="G1586" t="inlineStr">
        <is>
          <t>Customer</t>
        </is>
      </c>
      <c r="H1586" s="2" t="str">
        <f>=HYPERLINK("https://upbox.ajobthing.my/customer/202863", "https://upbox.ajobthing.my/customer/202863")</f>
        <v>https://upbox.ajobthing.my/customer/202863</v>
      </c>
      <c r="I1586" t="inlineStr">
        <is>
          <t>ASPIRASI HNH SDN BHD</t>
        </is>
      </c>
      <c r="J1586" t="inlineStr">
        <is>
          <t>Dolphin</t>
        </is>
      </c>
      <c r="K1586" t="inlineStr">
        <is>
          <t>Clover</t>
        </is>
      </c>
      <c r="L1586" s="4"/>
      <c r="M1586" s="4">
        <v>46126.67056712963</v>
      </c>
      <c r="N1586"/>
      <c r="O1586">
        <v>3888</v>
      </c>
      <c r="P1586" s="4"/>
      <c r="Q1586" s="4"/>
      <c r="R1586"/>
      <c r="S1586"/>
      <c r="T1586" s="4"/>
      <c r="U1586" s="4"/>
      <c r="V1586"/>
      <c r="W1586"/>
      <c r="X1586"/>
      <c r="Y1586" t="inlineStr">
        <is>
          <t>Pending Appointment</t>
        </is>
      </c>
      <c r="Z1586" t="inlineStr">
        <is>
          <t>Hiring Later</t>
        </is>
      </c>
      <c r="AA1586">
        <v>2</v>
      </c>
      <c r="AB1586" t="inlineStr">
        <is>
          <t>No Appointment Made</t>
        </is>
      </c>
      <c r="AC1586"/>
      <c r="AD1586" t="inlineStr">
        <is>
          <t>Call office , wa 0189122819 Ms Mira, already hire, maybe future hiring site supervisorx1, QSx1, depends project, construction, johor, suggest stand</t>
        </is>
      </c>
      <c r="AE1586"/>
      <c r="AF1586">
        <v>3000</v>
      </c>
      <c r="AG1586" s="4"/>
      <c r="AH1586" s="4"/>
      <c r="AI1586">
        <v>3000</v>
      </c>
      <c r="AJ1586">
        <v>1</v>
      </c>
      <c r="AK1586" t="inlineStr">
        <is>
          <t>No, but I want in future</t>
        </is>
      </c>
      <c r="AL1586">
        <v>1</v>
      </c>
      <c r="AM1586" t="inlineStr">
        <is>
          <t>No, but I want in future</t>
        </is>
      </c>
      <c r="AN1586"/>
      <c r="AO1586" t="inlineStr">
        <is>
          <t>No, but I want in future</t>
        </is>
      </c>
      <c r="AP1586" t="inlineStr">
        <is>
          <t>Twice a year (50%)</t>
        </is>
      </c>
      <c r="AQ1586">
        <v>2</v>
      </c>
      <c r="AR1586" t="inlineStr">
        <is>
          <t>Free Job Portal</t>
        </is>
      </c>
      <c r="AS1586" t="inlineStr">
        <is>
          <t>- Headcount: 2
- Hiring Job Details: Call office, wa 0189122819 Ms Mira, already hire, maybe future hiring site supervisorx1, QSx1, depends project, construction, johor,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1586">
        <v>65</v>
      </c>
      <c r="AU1586" t="inlineStr">
        <is>
          <t>0.65</t>
        </is>
      </c>
      <c r="AV1586" t="inlineStr">
        <is>
          <t>15</t>
        </is>
      </c>
      <c r="AW1586" t="inlineStr">
        <is>
          <t>0</t>
        </is>
      </c>
      <c r="AX1586" t="inlineStr">
        <is>
          <t>Not Qualified</t>
        </is>
      </c>
      <c r="AY1586" s="4"/>
      <c r="AZ1586"/>
      <c r="BA1586"/>
      <c r="BB1586"/>
      <c r="BC1586" t="inlineStr">
        <is>
          <t>WA inform not interested, lost</t>
        </is>
      </c>
      <c r="BD1586" s="4">
        <v>46135.68246527778</v>
      </c>
      <c r="BE1586"/>
      <c r="BF1586"/>
      <c r="BG1586" t="inlineStr">
        <is>
          <t>Reschedule</t>
        </is>
      </c>
      <c r="BH1586" t="inlineStr">
        <is>
          <t>Reagen</t>
        </is>
      </c>
      <c r="BI1586"/>
      <c r="BJ1586" s="4">
        <v>46144.75414351852</v>
      </c>
      <c r="BK1586" s="4">
        <v>46118.62322916667</v>
      </c>
      <c r="BL1586" t="inlineStr">
        <is>
          <t>0.0</t>
        </is>
      </c>
      <c r="BM1586" t="inlineStr">
        <is>
          <t>0.0</t>
        </is>
      </c>
      <c r="BN1586"/>
      <c r="BO1586" s="4"/>
      <c r="BP1586">
        <v>167011</v>
      </c>
      <c r="BQ1586"/>
      <c r="BR1586"/>
      <c r="BS1586"/>
      <c r="BT1586"/>
      <c r="BU1586"/>
      <c r="BV1586">
        <v>2724772</v>
      </c>
      <c r="BW1586" t="inlineStr">
        <is>
          <t>Follow Up : Lost - Free Portal</t>
        </is>
      </c>
      <c r="BX1586"/>
      <c r="BY1586"/>
      <c r="BZ1586" s="4"/>
      <c r="CA1586"/>
      <c r="CB1586"/>
      <c r="CC1586" s="4"/>
      <c r="CD1586" t="inlineStr">
        <is>
          <t>20</t>
        </is>
      </c>
      <c r="CE1586" t="inlineStr">
        <is>
          <t>0</t>
        </is>
      </c>
      <c r="CF1586" t="inlineStr">
        <is>
          <t>Q2-W02</t>
        </is>
      </c>
      <c r="CG1586"/>
      <c r="CH1586"/>
      <c r="CI1586"/>
      <c r="CJ1586" t="inlineStr">
        <is>
          <t>No Paid</t>
        </is>
      </c>
      <c r="CK1586" t="inlineStr">
        <is>
          <t>Not Eligible</t>
        </is>
      </c>
      <c r="CL1586"/>
      <c r="CM1586"/>
    </row>
    <row r="1587" ht="25.5" customHeight="1">
      <c r="A1587" t="inlineStr">
        <is>
          <t>4281220</t>
        </is>
      </c>
      <c r="B1587" s="2"/>
      <c r="C1587"/>
      <c r="D1587" s="3">
        <v>46126.683530092596</v>
      </c>
      <c r="E1587" t="inlineStr">
        <is>
          <t>Q2-W02</t>
        </is>
      </c>
      <c r="F1587" t="inlineStr">
        <is>
          <t>Alan KY</t>
        </is>
      </c>
      <c r="G1587" t="inlineStr">
        <is>
          <t>Lead</t>
        </is>
      </c>
      <c r="H1587" s="2" t="str">
        <f>=HYPERLINK("https://upbox.ajobthing.my/leads/4281220", "https://upbox.ajobthing.my/leads/4281220")</f>
        <v>https://upbox.ajobthing.my/leads/4281220</v>
      </c>
      <c r="I1587" t="inlineStr">
        <is>
          <t>Harveston Financial Advisory Sdn Bhd</t>
        </is>
      </c>
      <c r="J1587" t="inlineStr">
        <is>
          <t>Dolphin</t>
        </is>
      </c>
      <c r="K1587" t="inlineStr">
        <is>
          <t>Alan KY</t>
        </is>
      </c>
      <c r="L1587" s="4"/>
      <c r="M1587" s="4">
        <v>46126.68077546296</v>
      </c>
      <c r="N1587"/>
      <c r="O1587">
        <v>6048</v>
      </c>
      <c r="P1587" s="4"/>
      <c r="Q1587" s="4"/>
      <c r="R1587"/>
      <c r="S1587"/>
      <c r="T1587" s="4"/>
      <c r="U1587" s="4"/>
      <c r="V1587"/>
      <c r="W1587"/>
      <c r="X1587"/>
      <c r="Y1587" t="inlineStr">
        <is>
          <t>Pending Appointment</t>
        </is>
      </c>
      <c r="Z1587" t="inlineStr">
        <is>
          <t>Hiring Now</t>
        </is>
      </c>
      <c r="AA1587">
        <v>6</v>
      </c>
      <c r="AB1587" t="inlineStr">
        <is>
          <t>No Appointment Made</t>
        </is>
      </c>
      <c r="AC1587"/>
      <c r="AD1587" t="inlineStr">
        <is>
          <t xml:space="preserve">3 admin assistant, 3 account assistant, Selangor </t>
        </is>
      </c>
      <c r="AE1587"/>
      <c r="AF1587"/>
      <c r="AG1587" s="4"/>
      <c r="AH1587" s="4"/>
      <c r="AI1587"/>
      <c r="AJ1587">
        <v>3</v>
      </c>
      <c r="AK1587" t="inlineStr">
        <is>
          <t>Yes, I have</t>
        </is>
      </c>
      <c r="AL1587">
        <v>1</v>
      </c>
      <c r="AM1587" t="inlineStr">
        <is>
          <t>No, I don't need at all</t>
        </is>
      </c>
      <c r="AN1587"/>
      <c r="AO1587" t="inlineStr">
        <is>
          <t>No, I don't need at all</t>
        </is>
      </c>
      <c r="AP1587" t="inlineStr">
        <is>
          <t>Every month (100%)</t>
        </is>
      </c>
      <c r="AQ1587"/>
      <c r="AR1587" t="inlineStr">
        <is>
          <t>Free Job Portal, Linkedin (Paid)</t>
        </is>
      </c>
      <c r="AS1587" t="inlineStr">
        <is>
          <t>- Headcount: 6
- Hiring Job Details: 3 admin assistant, 3 account assistant, Selangor
- Hiring Urgency: Hiring Now
- Number of outlets: 3
- Have recruiter team: Yes
- Number of recruiter in company: 1
- Have ATS system: No, I don't need at all
- Have career website: No, I don't need at all
- Current hiring budget: Not specified
- Whole year budget: Not specified
- Whole year number of vacancies: Not specified
- Hiring frequency: Every month (100%)
- External job portal: Free Job Portal, Linkedin (Paid)</t>
        </is>
      </c>
      <c r="AT1587">
        <v>100</v>
      </c>
      <c r="AU1587" t="inlineStr">
        <is>
          <t>1.00</t>
        </is>
      </c>
      <c r="AV1587" t="inlineStr">
        <is>
          <t>10</t>
        </is>
      </c>
      <c r="AW1587" t="inlineStr">
        <is>
          <t>0</t>
        </is>
      </c>
      <c r="AX1587" t="inlineStr">
        <is>
          <t>Not Qualified</t>
        </is>
      </c>
      <c r="AY1587" s="4"/>
      <c r="AZ1587"/>
      <c r="BA1587"/>
      <c r="BB1587"/>
      <c r="BC1587"/>
      <c r="BD1587" s="4"/>
      <c r="BE1587"/>
      <c r="BF1587"/>
      <c r="BG1587" t="inlineStr">
        <is>
          <t>Reschedule</t>
        </is>
      </c>
      <c r="BH1587" t="inlineStr">
        <is>
          <t>Reagen</t>
        </is>
      </c>
      <c r="BI1587"/>
      <c r="BJ1587" s="4">
        <v>46144.755833333336</v>
      </c>
      <c r="BK1587" s="4">
        <v>46126.60269675926</v>
      </c>
      <c r="BL1587" t="inlineStr">
        <is>
          <t>0.0</t>
        </is>
      </c>
      <c r="BM1587" t="inlineStr">
        <is>
          <t>0.0</t>
        </is>
      </c>
      <c r="BN1587"/>
      <c r="BO1587" s="4"/>
      <c r="BP1587">
        <v>167019</v>
      </c>
      <c r="BQ1587"/>
      <c r="BR1587"/>
      <c r="BS1587"/>
      <c r="BT1587"/>
      <c r="BU1587"/>
      <c r="BV1587"/>
      <c r="BW1587"/>
      <c r="BX1587"/>
      <c r="BY1587"/>
      <c r="BZ1587" s="4"/>
      <c r="CA1587"/>
      <c r="CB1587"/>
      <c r="CC1587" s="4"/>
      <c r="CD1587" t="inlineStr">
        <is>
          <t>15</t>
        </is>
      </c>
      <c r="CE1587" t="inlineStr">
        <is>
          <t>0</t>
        </is>
      </c>
      <c r="CF1587" t="inlineStr">
        <is>
          <t>Q2-W02</t>
        </is>
      </c>
      <c r="CG1587"/>
      <c r="CH1587"/>
      <c r="CI1587"/>
      <c r="CJ1587" t="inlineStr">
        <is>
          <t>No Paid</t>
        </is>
      </c>
      <c r="CK1587" t="inlineStr">
        <is>
          <t>Not Eligible</t>
        </is>
      </c>
      <c r="CL1587"/>
      <c r="CM1587"/>
    </row>
    <row r="1588" ht="25.5" customHeight="1">
      <c r="A1588" t="inlineStr">
        <is>
          <t>165604</t>
        </is>
      </c>
      <c r="B1588" s="2"/>
      <c r="C1588"/>
      <c r="D1588" s="3">
        <v>46126.684166666666</v>
      </c>
      <c r="E1588" t="inlineStr">
        <is>
          <t>Q2-W02</t>
        </is>
      </c>
      <c r="F1588" t="inlineStr">
        <is>
          <t>Angel  Low</t>
        </is>
      </c>
      <c r="G1588" t="inlineStr">
        <is>
          <t>Customer</t>
        </is>
      </c>
      <c r="H1588" s="2" t="str">
        <f>=HYPERLINK("https://upbox.ajobthing.my/customer/165604", "https://upbox.ajobthing.my/customer/165604")</f>
        <v>https://upbox.ajobthing.my/customer/165604</v>
      </c>
      <c r="I1588" t="inlineStr">
        <is>
          <t>Infinite Wealth Advisory</t>
        </is>
      </c>
      <c r="J1588" t="inlineStr">
        <is>
          <t>Dolphin</t>
        </is>
      </c>
      <c r="K1588" t="inlineStr">
        <is>
          <t>Angel Low</t>
        </is>
      </c>
      <c r="L1588" s="4"/>
      <c r="M1588" s="4">
        <v>46126.68457175926</v>
      </c>
      <c r="N1588"/>
      <c r="O1588">
        <v>5508</v>
      </c>
      <c r="P1588" s="4"/>
      <c r="Q1588" s="4">
        <v>45044.25991898148</v>
      </c>
      <c r="R1588"/>
      <c r="S1588">
        <v>2544</v>
      </c>
      <c r="T1588" s="4">
        <v>45044.00001157408</v>
      </c>
      <c r="U1588" s="4"/>
      <c r="V1588"/>
      <c r="W1588">
        <v>2544</v>
      </c>
      <c r="X1588"/>
      <c r="Y1588" t="inlineStr">
        <is>
          <t>Pending Appointment</t>
        </is>
      </c>
      <c r="Z1588"/>
      <c r="AA1588">
        <v>2</v>
      </c>
      <c r="AB1588" t="inlineStr">
        <is>
          <t>No Appointment Made</t>
        </is>
      </c>
      <c r="AC1588"/>
      <c r="AD1588" t="inlineStr">
        <is>
          <t xml:space="preserve">1 sales , 1 admin johor </t>
        </is>
      </c>
      <c r="AE1588"/>
      <c r="AF1588"/>
      <c r="AG1588" s="4"/>
      <c r="AH1588" s="4"/>
      <c r="AI1588"/>
      <c r="AJ1588"/>
      <c r="AK1588"/>
      <c r="AL1588"/>
      <c r="AM1588"/>
      <c r="AN1588"/>
      <c r="AO1588"/>
      <c r="AP1588"/>
      <c r="AQ1588"/>
      <c r="AR1588"/>
      <c r="AS1588" t="inlineStr">
        <is>
          <t>- Headcount: 2
- Hiring Job Details: 1 sales, 1 admin johor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is>
      </c>
      <c r="AT1588">
        <v>25</v>
      </c>
      <c r="AU1588" t="inlineStr">
        <is>
          <t>0.25</t>
        </is>
      </c>
      <c r="AV1588" t="inlineStr">
        <is>
          <t>5</t>
        </is>
      </c>
      <c r="AW1588" t="inlineStr">
        <is>
          <t>0</t>
        </is>
      </c>
      <c r="AX1588" t="inlineStr">
        <is>
          <t>Not Qualified</t>
        </is>
      </c>
      <c r="AY1588" s="4"/>
      <c r="AZ1588"/>
      <c r="BA1588"/>
      <c r="BB1588"/>
      <c r="BC1588" t="inlineStr">
        <is>
          <t>- Headcount: 2
- Hiring Job Details: 1 sales, 1 admin johor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is>
      </c>
      <c r="BD1588" s="4">
        <v>46126.70842592593</v>
      </c>
      <c r="BE1588" t="inlineStr">
        <is>
          <t>paid</t>
        </is>
      </c>
      <c r="BF1588"/>
      <c r="BG1588" t="inlineStr">
        <is>
          <t>Reschedule</t>
        </is>
      </c>
      <c r="BH1588" t="inlineStr">
        <is>
          <t>Fauziah Maharan</t>
        </is>
      </c>
      <c r="BI1588" t="inlineStr">
        <is>
          <t>Banking / Finance</t>
        </is>
      </c>
      <c r="BJ1588" s="4">
        <v>46144.75127314815</v>
      </c>
      <c r="BK1588" s="4">
        <v>45006.70291666667</v>
      </c>
      <c r="BL1588" t="inlineStr">
        <is>
          <t>0.0</t>
        </is>
      </c>
      <c r="BM1588" t="inlineStr">
        <is>
          <t>0.0</t>
        </is>
      </c>
      <c r="BN1588" t="inlineStr">
        <is>
          <t>View Company Page</t>
        </is>
      </c>
      <c r="BO1588" s="4">
        <v>46126.58733796296</v>
      </c>
      <c r="BP1588">
        <v>167024</v>
      </c>
      <c r="BQ1588">
        <v>75290</v>
      </c>
      <c r="BR1588" t="inlineStr">
        <is>
          <t>Proforma</t>
        </is>
      </c>
      <c r="BS1588" t="inlineStr">
        <is>
          <t>Raya Promo - STARTUP PLUS Package</t>
        </is>
      </c>
      <c r="BT1588">
        <v>58050</v>
      </c>
      <c r="BU1588"/>
      <c r="BV1588">
        <v>2704407</v>
      </c>
      <c r="BW1588" t="inlineStr">
        <is>
          <t>Customer Inquiry</t>
        </is>
      </c>
      <c r="BX1588"/>
      <c r="BY1588"/>
      <c r="BZ1588" s="4"/>
      <c r="CA1588"/>
      <c r="CB1588"/>
      <c r="CC1588" s="4"/>
      <c r="CD1588" t="inlineStr">
        <is>
          <t>5</t>
        </is>
      </c>
      <c r="CE1588" t="inlineStr">
        <is>
          <t>0</t>
        </is>
      </c>
      <c r="CF1588" t="inlineStr">
        <is>
          <t>Q2-W02</t>
        </is>
      </c>
      <c r="CG1588"/>
      <c r="CH1588"/>
      <c r="CI1588"/>
      <c r="CJ1588" t="inlineStr">
        <is>
          <t>Paid</t>
        </is>
      </c>
      <c r="CK1588" t="inlineStr">
        <is>
          <t>Not Eligible</t>
        </is>
      </c>
      <c r="CL1588"/>
      <c r="CM1588"/>
    </row>
    <row r="1589" ht="25.5" customHeight="1">
      <c r="A1589" t="inlineStr">
        <is>
          <t>177773</t>
        </is>
      </c>
      <c r="B1589" s="2"/>
      <c r="C1589"/>
      <c r="D1589" s="3">
        <v>46126.68709490741</v>
      </c>
      <c r="E1589" t="inlineStr">
        <is>
          <t>Q2-W02</t>
        </is>
      </c>
      <c r="F1589" t="inlineStr">
        <is>
          <t>Luqman</t>
        </is>
      </c>
      <c r="G1589" t="inlineStr">
        <is>
          <t>Customer</t>
        </is>
      </c>
      <c r="H1589" s="2" t="str">
        <f>=HYPERLINK("https://upbox.ajobthing.my/customer/177773", "https://upbox.ajobthing.my/customer/177773")</f>
        <v>https://upbox.ajobthing.my/customer/177773</v>
      </c>
      <c r="I1589" t="inlineStr">
        <is>
          <t>Techhaus Sdn Bhd</t>
        </is>
      </c>
      <c r="J1589" t="inlineStr">
        <is>
          <t>Dolphin</t>
        </is>
      </c>
      <c r="K1589" t="inlineStr">
        <is>
          <t>Luqman</t>
        </is>
      </c>
      <c r="L1589" s="4"/>
      <c r="M1589" s="4">
        <v>46126.68724537037</v>
      </c>
      <c r="N1589"/>
      <c r="O1589">
        <v>1296</v>
      </c>
      <c r="P1589" s="4"/>
      <c r="Q1589" s="4">
        <v>45408.72583333333</v>
      </c>
      <c r="R1589"/>
      <c r="S1589">
        <v>2916</v>
      </c>
      <c r="T1589" s="4">
        <v>45408.72583333333</v>
      </c>
      <c r="U1589" s="4"/>
      <c r="V1589"/>
      <c r="W1589">
        <v>2916</v>
      </c>
      <c r="X1589"/>
      <c r="Y1589" t="inlineStr">
        <is>
          <t>Pending Appointment</t>
        </is>
      </c>
      <c r="Z1589" t="inlineStr">
        <is>
          <t>Hiring Later</t>
        </is>
      </c>
      <c r="AA1589">
        <v>1</v>
      </c>
      <c r="AB1589" t="inlineStr">
        <is>
          <t>No Appointment Made</t>
        </is>
      </c>
      <c r="AC1589"/>
      <c r="AD1589" t="inlineStr">
        <is>
          <t>1. Engineer</t>
        </is>
      </c>
      <c r="AE1589"/>
      <c r="AF1589">
        <v>1200</v>
      </c>
      <c r="AG1589" s="4"/>
      <c r="AH1589" s="4"/>
      <c r="AI1589">
        <v>1200</v>
      </c>
      <c r="AJ1589"/>
      <c r="AK1589" t="inlineStr">
        <is>
          <t>No, I don't need at all</t>
        </is>
      </c>
      <c r="AL1589">
        <v>1</v>
      </c>
      <c r="AM1589" t="inlineStr">
        <is>
          <t>No, I don't need at all</t>
        </is>
      </c>
      <c r="AN1589"/>
      <c r="AO1589" t="inlineStr">
        <is>
          <t>No, but I want in future</t>
        </is>
      </c>
      <c r="AP1589" t="inlineStr">
        <is>
          <t>Once a year (25%)</t>
        </is>
      </c>
      <c r="AQ1589">
        <v>1</v>
      </c>
      <c r="AR1589" t="inlineStr">
        <is>
          <t>Free Job Portal</t>
        </is>
      </c>
      <c r="AS1589" t="inlineStr">
        <is>
          <t>- Headcount: 1
- Hiring Job Details: 1 Engineer
- Hiring Urgency: Hiring Later
- Number of outlets: 
- Have recruiter team: No, I don't need at all
- Number of recruiter in company: 1
- Have ATS system: No, I don't need at all
- Have career website: No, but I want in future
- Current hiring budget: RM1,200
- Whole year budget: RM1,200.00
- Whole year number of vacancies: 1
- Hiring frequency: Once a year (25%)
- External job portal: Free Job Portal</t>
        </is>
      </c>
      <c r="AT1589">
        <v>110</v>
      </c>
      <c r="AU1589" t="inlineStr">
        <is>
          <t>1.10</t>
        </is>
      </c>
      <c r="AV1589" t="inlineStr">
        <is>
          <t>15</t>
        </is>
      </c>
      <c r="AW1589" t="inlineStr">
        <is>
          <t>0</t>
        </is>
      </c>
      <c r="AX1589" t="inlineStr">
        <is>
          <t>Not Qualified</t>
        </is>
      </c>
      <c r="AY1589" s="4"/>
      <c r="AZ1589"/>
      <c r="BA1589"/>
      <c r="BB1589"/>
      <c r="BC1589" t="inlineStr">
        <is>
          <t>Business hiring on hold</t>
        </is>
      </c>
      <c r="BD1589" s="4">
        <v>46141.60702546296</v>
      </c>
      <c r="BE1589" t="inlineStr">
        <is>
          <t>paid</t>
        </is>
      </c>
      <c r="BF1589"/>
      <c r="BG1589" t="inlineStr">
        <is>
          <t>Reschedule</t>
        </is>
      </c>
      <c r="BH1589" t="inlineStr">
        <is>
          <t>Edward Hoo</t>
        </is>
      </c>
      <c r="BI1589" t="inlineStr">
        <is>
          <t>Engineering / Technical Consulting</t>
        </is>
      </c>
      <c r="BJ1589" s="4">
        <v>46144.75171296296</v>
      </c>
      <c r="BK1589" s="4">
        <v>45408.649618055555</v>
      </c>
      <c r="BL1589" t="inlineStr">
        <is>
          <t>0.0</t>
        </is>
      </c>
      <c r="BM1589" t="inlineStr">
        <is>
          <t>1200.0</t>
        </is>
      </c>
      <c r="BN1589" t="inlineStr">
        <is>
          <t>View Company Page</t>
        </is>
      </c>
      <c r="BO1589" s="4">
        <v>45522.70453703704</v>
      </c>
      <c r="BP1589">
        <v>167025</v>
      </c>
      <c r="BQ1589">
        <v>68467</v>
      </c>
      <c r="BR1589" t="inlineStr">
        <is>
          <t>Online</t>
        </is>
      </c>
      <c r="BS1589"/>
      <c r="BT1589">
        <v>68467</v>
      </c>
      <c r="BU1589"/>
      <c r="BV1589">
        <v>2735342</v>
      </c>
      <c r="BW1589" t="inlineStr">
        <is>
          <t>Follow Up : Lost - Free Portal</t>
        </is>
      </c>
      <c r="BX1589"/>
      <c r="BY1589"/>
      <c r="BZ1589" s="4"/>
      <c r="CA1589"/>
      <c r="CB1589"/>
      <c r="CC1589" s="4"/>
      <c r="CD1589" t="inlineStr">
        <is>
          <t>20</t>
        </is>
      </c>
      <c r="CE1589" t="inlineStr">
        <is>
          <t>0</t>
        </is>
      </c>
      <c r="CF1589" t="inlineStr">
        <is>
          <t>Q2-W02</t>
        </is>
      </c>
      <c r="CG1589"/>
      <c r="CH1589"/>
      <c r="CI1589"/>
      <c r="CJ1589" t="inlineStr">
        <is>
          <t>Paid</t>
        </is>
      </c>
      <c r="CK1589" t="inlineStr">
        <is>
          <t>Not Eligible</t>
        </is>
      </c>
      <c r="CL1589"/>
      <c r="CM1589"/>
    </row>
    <row r="1590" ht="25.5" customHeight="1">
      <c r="A1590" t="inlineStr">
        <is>
          <t>44991</t>
        </is>
      </c>
      <c r="B1590" s="2"/>
      <c r="C1590"/>
      <c r="D1590" s="3">
        <v>46126.69708333333</v>
      </c>
      <c r="E1590" t="inlineStr">
        <is>
          <t>Q2-W02</t>
        </is>
      </c>
      <c r="F1590" t="inlineStr">
        <is>
          <t>Xin Hui</t>
        </is>
      </c>
      <c r="G1590" t="inlineStr">
        <is>
          <t>Customer</t>
        </is>
      </c>
      <c r="H1590" s="2" t="str">
        <f>=HYPERLINK("https://upbox.ajobthing.my/customer/44991", "https://upbox.ajobthing.my/customer/44991")</f>
        <v>https://upbox.ajobthing.my/customer/44991</v>
      </c>
      <c r="I1590" t="inlineStr">
        <is>
          <t>Kumpulan Voir Sdn Bhd</t>
        </is>
      </c>
      <c r="J1590" t="inlineStr">
        <is>
          <t>Dolphin</t>
        </is>
      </c>
      <c r="K1590" t="inlineStr">
        <is>
          <t>Xin Hui</t>
        </is>
      </c>
      <c r="L1590" s="4"/>
      <c r="M1590" s="4">
        <v>46126.69405092593</v>
      </c>
      <c r="N1590"/>
      <c r="O1590">
        <v>3888</v>
      </c>
      <c r="P1590" s="4"/>
      <c r="Q1590" s="4">
        <v>44483.00001157408</v>
      </c>
      <c r="R1590"/>
      <c r="S1590">
        <v>3922</v>
      </c>
      <c r="T1590" s="4">
        <v>44483.00001157408</v>
      </c>
      <c r="U1590" s="4"/>
      <c r="V1590"/>
      <c r="W1590">
        <v>3922</v>
      </c>
      <c r="X1590"/>
      <c r="Y1590" t="inlineStr">
        <is>
          <t>Pending Appointment</t>
        </is>
      </c>
      <c r="Z1590" t="inlineStr">
        <is>
          <t>Hiring Now</t>
        </is>
      </c>
      <c r="AA1590">
        <v>3</v>
      </c>
      <c r="AB1590" t="inlineStr">
        <is>
          <t>No Appointment Made</t>
        </is>
      </c>
      <c r="AC1590"/>
      <c r="AD1590" t="inlineStr">
        <is>
          <t xml:space="preserve">1 admin exec / 1 QS / 1 warehouse admin </t>
        </is>
      </c>
      <c r="AE1590"/>
      <c r="AF1590"/>
      <c r="AG1590" s="4"/>
      <c r="AH1590" s="4"/>
      <c r="AI1590"/>
      <c r="AJ1590"/>
      <c r="AK1590" t="inlineStr">
        <is>
          <t>No, I don't need at all</t>
        </is>
      </c>
      <c r="AL1590"/>
      <c r="AM1590" t="inlineStr">
        <is>
          <t>No, I don't need at all</t>
        </is>
      </c>
      <c r="AN1590"/>
      <c r="AO1590" t="inlineStr">
        <is>
          <t>No, I don't need at all</t>
        </is>
      </c>
      <c r="AP1590" t="inlineStr">
        <is>
          <t>Once a year (25%)</t>
        </is>
      </c>
      <c r="AQ1590"/>
      <c r="AR1590" t="inlineStr">
        <is>
          <t>Jobstore</t>
        </is>
      </c>
      <c r="AS1590" t="inlineStr">
        <is>
          <t>- Headcount: 3.
- Hiring Job Details: 1 admin exec / 1 QS / 1 warehouse admin.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Jobstore.
- Hiring Urgency: Hiring Now.</t>
        </is>
      </c>
      <c r="AT1590">
        <v>95</v>
      </c>
      <c r="AU1590" t="inlineStr">
        <is>
          <t>0.95</t>
        </is>
      </c>
      <c r="AV1590" t="inlineStr">
        <is>
          <t>5</t>
        </is>
      </c>
      <c r="AW1590" t="inlineStr">
        <is>
          <t>0</t>
        </is>
      </c>
      <c r="AX1590" t="inlineStr">
        <is>
          <t>Not Qualified</t>
        </is>
      </c>
      <c r="AY1590" s="4"/>
      <c r="AZ1590"/>
      <c r="BA1590"/>
      <c r="BB1590"/>
      <c r="BC1590" t="inlineStr">
        <is>
          <t>management donwan proceed, prefer used JS</t>
        </is>
      </c>
      <c r="BD1590" s="4">
        <v>46133.653229166666</v>
      </c>
      <c r="BE1590" t="inlineStr">
        <is>
          <t>paid</t>
        </is>
      </c>
      <c r="BF1590"/>
      <c r="BG1590" t="inlineStr">
        <is>
          <t>Reschedule</t>
        </is>
      </c>
      <c r="BH1590" t="inlineStr">
        <is>
          <t>Yee Hang</t>
        </is>
      </c>
      <c r="BI1590" t="inlineStr">
        <is>
          <t>Arts / Design / Fashion</t>
        </is>
      </c>
      <c r="BJ1590" s="4">
        <v>46144.7559837963</v>
      </c>
      <c r="BK1590" s="4">
        <v>43102.74680555556</v>
      </c>
      <c r="BL1590" t="inlineStr">
        <is>
          <t>0.0</t>
        </is>
      </c>
      <c r="BM1590" t="inlineStr">
        <is>
          <t>1800.0</t>
        </is>
      </c>
      <c r="BN1590" t="inlineStr">
        <is>
          <t>View Jobmanager Page</t>
        </is>
      </c>
      <c r="BO1590" s="4">
        <v>45772.56065972222</v>
      </c>
      <c r="BP1590">
        <v>167028</v>
      </c>
      <c r="BQ1590">
        <v>36036</v>
      </c>
      <c r="BR1590" t="inlineStr">
        <is>
          <t>Online</t>
        </is>
      </c>
      <c r="BS1590"/>
      <c r="BT1590">
        <v>36036</v>
      </c>
      <c r="BU1590"/>
      <c r="BV1590">
        <v>2718596</v>
      </c>
      <c r="BW1590" t="inlineStr">
        <is>
          <t>Follow Up : Lost - Paid Portal</t>
        </is>
      </c>
      <c r="BX1590"/>
      <c r="BY1590"/>
      <c r="BZ1590" s="4"/>
      <c r="CA1590"/>
      <c r="CB1590"/>
      <c r="CC1590" s="4"/>
      <c r="CD1590" t="inlineStr">
        <is>
          <t>5</t>
        </is>
      </c>
      <c r="CE1590" t="inlineStr">
        <is>
          <t>0</t>
        </is>
      </c>
      <c r="CF1590" t="inlineStr">
        <is>
          <t>Q2-W02</t>
        </is>
      </c>
      <c r="CG1590"/>
      <c r="CH1590"/>
      <c r="CI1590"/>
      <c r="CJ1590" t="inlineStr">
        <is>
          <t>Paid</t>
        </is>
      </c>
      <c r="CK1590" t="inlineStr">
        <is>
          <t>Not Eligible</t>
        </is>
      </c>
      <c r="CL1590"/>
      <c r="CM1590"/>
    </row>
    <row r="1591" ht="25.5" customHeight="1">
      <c r="A1591" t="inlineStr">
        <is>
          <t>4281664</t>
        </is>
      </c>
      <c r="B1591" s="2"/>
      <c r="C1591"/>
      <c r="D1591" s="3">
        <v>46126.69993055556</v>
      </c>
      <c r="E1591" t="inlineStr">
        <is>
          <t>Q2-W02</t>
        </is>
      </c>
      <c r="F1591" t="inlineStr">
        <is>
          <t>Josh</t>
        </is>
      </c>
      <c r="G1591" t="inlineStr">
        <is>
          <t>Lead</t>
        </is>
      </c>
      <c r="H1591" s="2" t="str">
        <f>=HYPERLINK("https://upbox.ajobthing.my/leads/4281664", "https://upbox.ajobthing.my/leads/4281664")</f>
        <v>https://upbox.ajobthing.my/leads/4281664</v>
      </c>
      <c r="I1591" t="inlineStr">
        <is>
          <t>EMERALD AUTOMOTIVE SDN BHD</t>
        </is>
      </c>
      <c r="J1591" t="inlineStr">
        <is>
          <t>Dolphin</t>
        </is>
      </c>
      <c r="K1591" t="inlineStr">
        <is>
          <t>Josh</t>
        </is>
      </c>
      <c r="L1591" s="4"/>
      <c r="M1591" s="4">
        <v>46126.700370370374</v>
      </c>
      <c r="N1591"/>
      <c r="O1591">
        <v>3672</v>
      </c>
      <c r="P1591" s="4"/>
      <c r="Q1591" s="4"/>
      <c r="R1591"/>
      <c r="S1591"/>
      <c r="T1591" s="4"/>
      <c r="U1591" s="4"/>
      <c r="V1591"/>
      <c r="W1591"/>
      <c r="X1591"/>
      <c r="Y1591" t="inlineStr">
        <is>
          <t>Pending Appointment</t>
        </is>
      </c>
      <c r="Z1591" t="inlineStr">
        <is>
          <t>Hiring Now</t>
        </is>
      </c>
      <c r="AA1591">
        <v>6</v>
      </c>
      <c r="AB1591" t="inlineStr">
        <is>
          <t>No Appointment Made</t>
        </is>
      </c>
      <c r="AC1591"/>
      <c r="AD1591" t="inlineStr">
        <is>
          <t xml:space="preserve">2 foreman, 4 mechanic </t>
        </is>
      </c>
      <c r="AE1591"/>
      <c r="AF1591">
        <v>3000</v>
      </c>
      <c r="AG1591" s="4"/>
      <c r="AH1591" s="4"/>
      <c r="AI1591"/>
      <c r="AJ1591"/>
      <c r="AK1591" t="inlineStr">
        <is>
          <t>Yes, I have</t>
        </is>
      </c>
      <c r="AL1591">
        <v>1</v>
      </c>
      <c r="AM1591"/>
      <c r="AN1591"/>
      <c r="AO1591"/>
      <c r="AP1591" t="inlineStr">
        <is>
          <t>Once a year (25%)</t>
        </is>
      </c>
      <c r="AQ1591"/>
      <c r="AR1591"/>
      <c r="AS1591" t="inlineStr">
        <is>
          <t>- Headcount: 6
- Hiring Job Details: 2 foreman, 4 mechanic
- Number of outlets: N/A
- Have recruiter team: Yes
- Number of recruiter in company: 1
- Have ATS system: N/A
- Have career website: N/A
- Current hiring budget: RM3,000.00
- Whole year budget: N/A
- Whole year number of vacancies: N/A
- Hiring frequency: Once a year (25%)
- External job portal: N/A
- Hiring Urgency: Hiring Now</t>
        </is>
      </c>
      <c r="AT1591">
        <v>105</v>
      </c>
      <c r="AU1591" t="inlineStr">
        <is>
          <t>1.05</t>
        </is>
      </c>
      <c r="AV1591" t="inlineStr">
        <is>
          <t>20</t>
        </is>
      </c>
      <c r="AW1591" t="inlineStr">
        <is>
          <t>0</t>
        </is>
      </c>
      <c r="AX1591" t="inlineStr">
        <is>
          <t>Not Qualified</t>
        </is>
      </c>
      <c r="AY1591" s="4"/>
      <c r="AZ1591"/>
      <c r="BA1591"/>
      <c r="BB1591"/>
      <c r="BC1591"/>
      <c r="BD1591" s="4"/>
      <c r="BE1591"/>
      <c r="BF1591"/>
      <c r="BG1591" t="inlineStr">
        <is>
          <t>Reschedule</t>
        </is>
      </c>
      <c r="BH1591" t="inlineStr">
        <is>
          <t>Fauziah Maharan</t>
        </is>
      </c>
      <c r="BI1591"/>
      <c r="BJ1591" s="4">
        <v>46144.755833333336</v>
      </c>
      <c r="BK1591" s="4">
        <v>46126.678078703706</v>
      </c>
      <c r="BL1591" t="inlineStr">
        <is>
          <t>0.0</t>
        </is>
      </c>
      <c r="BM1591" t="inlineStr">
        <is>
          <t>0.0</t>
        </is>
      </c>
      <c r="BN1591"/>
      <c r="BO1591" s="4"/>
      <c r="BP1591">
        <v>167033</v>
      </c>
      <c r="BQ1591"/>
      <c r="BR1591"/>
      <c r="BS1591"/>
      <c r="BT1591"/>
      <c r="BU1591"/>
      <c r="BV1591"/>
      <c r="BW1591"/>
      <c r="BX1591"/>
      <c r="BY1591"/>
      <c r="BZ1591" s="4"/>
      <c r="CA1591"/>
      <c r="CB1591"/>
      <c r="CC1591" s="4"/>
      <c r="CD1591" t="inlineStr">
        <is>
          <t>30</t>
        </is>
      </c>
      <c r="CE1591" t="inlineStr">
        <is>
          <t>0</t>
        </is>
      </c>
      <c r="CF1591" t="inlineStr">
        <is>
          <t>Q2-W02</t>
        </is>
      </c>
      <c r="CG1591"/>
      <c r="CH1591"/>
      <c r="CI1591"/>
      <c r="CJ1591" t="inlineStr">
        <is>
          <t>No Paid</t>
        </is>
      </c>
      <c r="CK1591" t="inlineStr">
        <is>
          <t>Not Eligible</t>
        </is>
      </c>
      <c r="CL1591"/>
      <c r="CM1591"/>
    </row>
    <row r="1592" ht="25.5" customHeight="1">
      <c r="A1592" t="inlineStr">
        <is>
          <t>29950</t>
        </is>
      </c>
      <c r="B1592" s="2"/>
      <c r="C1592"/>
      <c r="D1592" s="3">
        <v>46126.70375</v>
      </c>
      <c r="E1592" t="inlineStr">
        <is>
          <t>Q2-W02</t>
        </is>
      </c>
      <c r="F1592" t="inlineStr">
        <is>
          <t>Derek Lim</t>
        </is>
      </c>
      <c r="G1592" t="inlineStr">
        <is>
          <t>Customer</t>
        </is>
      </c>
      <c r="H1592" s="2" t="str">
        <f>=HYPERLINK("https://upbox.ajobthing.my/customer/29950", "https://upbox.ajobthing.my/customer/29950")</f>
        <v>https://upbox.ajobthing.my/customer/29950</v>
      </c>
      <c r="I1592" t="inlineStr">
        <is>
          <t>Shareworks Sdn Bhd</t>
        </is>
      </c>
      <c r="J1592" t="inlineStr">
        <is>
          <t>Dolphin</t>
        </is>
      </c>
      <c r="K1592" t="inlineStr">
        <is>
          <t>Derek Lim</t>
        </is>
      </c>
      <c r="L1592" s="4"/>
      <c r="M1592" s="4">
        <v>46126.704097222224</v>
      </c>
      <c r="N1592"/>
      <c r="O1592">
        <v>6048</v>
      </c>
      <c r="P1592" s="4"/>
      <c r="Q1592" s="4">
        <v>46135.74314814815</v>
      </c>
      <c r="R1592"/>
      <c r="S1592">
        <v>1296</v>
      </c>
      <c r="T1592" s="4">
        <v>46135.74314814815</v>
      </c>
      <c r="U1592" s="4"/>
      <c r="V1592"/>
      <c r="W1592">
        <v>1296</v>
      </c>
      <c r="X1592"/>
      <c r="Y1592" t="inlineStr">
        <is>
          <t>Pending Appointment</t>
        </is>
      </c>
      <c r="Z1592" t="inlineStr">
        <is>
          <t>Hiring Now</t>
        </is>
      </c>
      <c r="AA1592">
        <v>1</v>
      </c>
      <c r="AB1592" t="inlineStr">
        <is>
          <t>No Appointment Made</t>
        </is>
      </c>
      <c r="AC1592"/>
      <c r="AD1592" t="inlineStr">
        <is>
          <t>assistant - 1</t>
        </is>
      </c>
      <c r="AE1592"/>
      <c r="AF1592">
        <v>1000</v>
      </c>
      <c r="AG1592" s="4"/>
      <c r="AH1592" s="4"/>
      <c r="AI1592">
        <v>1000</v>
      </c>
      <c r="AJ1592">
        <v>1</v>
      </c>
      <c r="AK1592" t="inlineStr">
        <is>
          <t>No, but I want in future</t>
        </is>
      </c>
      <c r="AL1592">
        <v>0</v>
      </c>
      <c r="AM1592" t="inlineStr">
        <is>
          <t>No, I don't need at all</t>
        </is>
      </c>
      <c r="AN1592"/>
      <c r="AO1592" t="inlineStr">
        <is>
          <t>No, but I want in future</t>
        </is>
      </c>
      <c r="AP1592" t="inlineStr">
        <is>
          <t>Once a year (25%)</t>
        </is>
      </c>
      <c r="AQ1592">
        <v>2</v>
      </c>
      <c r="AR1592" t="inlineStr">
        <is>
          <t>Did not use any job portal</t>
        </is>
      </c>
      <c r="AS1592" t="inlineStr">
        <is>
          <t>- Headcount: 1
- Hiring Job Details: 1 assistant
- Hiring Urgency: Hiring Now
- Number of outlets: 1
- Have recruiter team: No, but want in future
- Number of recruiter in company: 0
- Have ATS system: No, don't need at all
- Have career website: No, but want in future
- Current hiring budget: RM1,000
- Whole year budget: RM1,000.00
- Whole year number of vacancies: 2
- Hiring frequency: Once a year (25%)
- External job portal: Did not use any</t>
        </is>
      </c>
      <c r="AT1592">
        <v>95</v>
      </c>
      <c r="AU1592" t="inlineStr">
        <is>
          <t>0.95</t>
        </is>
      </c>
      <c r="AV1592" t="inlineStr">
        <is>
          <t>15</t>
        </is>
      </c>
      <c r="AW1592" t="inlineStr">
        <is>
          <t>0</t>
        </is>
      </c>
      <c r="AX1592" t="inlineStr">
        <is>
          <t>Not Qualified</t>
        </is>
      </c>
      <c r="AY1592" s="4"/>
      <c r="AZ1592"/>
      <c r="BA1592"/>
      <c r="BB1592"/>
      <c r="BC1592" t="inlineStr">
        <is>
          <t>HELP CUSTOMER TO POST JOB</t>
        </is>
      </c>
      <c r="BD1592" s="4">
        <v>46136.43210648148</v>
      </c>
      <c r="BE1592" t="inlineStr">
        <is>
          <t>paid</t>
        </is>
      </c>
      <c r="BF1592" t="inlineStr">
        <is>
          <t>Q2-W03</t>
        </is>
      </c>
      <c r="BG1592" t="inlineStr">
        <is>
          <t>Reschedule</t>
        </is>
      </c>
      <c r="BH1592" t="inlineStr">
        <is>
          <t>Edward Hoo</t>
        </is>
      </c>
      <c r="BI1592" t="inlineStr">
        <is>
          <t>Business / Mgmt Consulting</t>
        </is>
      </c>
      <c r="BJ1592" s="4">
        <v>46144.75451388889</v>
      </c>
      <c r="BK1592" s="4">
        <v>42656.75576388889</v>
      </c>
      <c r="BL1592" t="inlineStr">
        <is>
          <t>1296.0</t>
        </is>
      </c>
      <c r="BM1592" t="inlineStr">
        <is>
          <t>0.0</t>
        </is>
      </c>
      <c r="BN1592" t="inlineStr">
        <is>
          <t>PA Visit - Job Card</t>
        </is>
      </c>
      <c r="BO1592" s="4">
        <v>46137.76604166667</v>
      </c>
      <c r="BP1592">
        <v>167036</v>
      </c>
      <c r="BQ1592">
        <v>94686</v>
      </c>
      <c r="BR1592" t="inlineStr">
        <is>
          <t>Online</t>
        </is>
      </c>
      <c r="BS1592"/>
      <c r="BT1592">
        <v>94686</v>
      </c>
      <c r="BU1592"/>
      <c r="BV1592">
        <v>2725575</v>
      </c>
      <c r="BW1592" t="inlineStr">
        <is>
          <t>Service / Technical : Help To Post Job</t>
        </is>
      </c>
      <c r="BX1592">
        <v>1</v>
      </c>
      <c r="BY1592">
        <v>0</v>
      </c>
      <c r="BZ1592" s="4">
        <v>46136.52165509259</v>
      </c>
      <c r="CA1592">
        <v>23</v>
      </c>
      <c r="CB1592">
        <v>23</v>
      </c>
      <c r="CC1592" s="4"/>
      <c r="CD1592" t="inlineStr">
        <is>
          <t>20</t>
        </is>
      </c>
      <c r="CE1592" t="inlineStr">
        <is>
          <t>0</t>
        </is>
      </c>
      <c r="CF1592" t="inlineStr">
        <is>
          <t>Q2-W02</t>
        </is>
      </c>
      <c r="CG1592" t="inlineStr">
        <is>
          <t>Q2-W03</t>
        </is>
      </c>
      <c r="CH1592" t="inlineStr">
        <is>
          <t>Q2-W03</t>
        </is>
      </c>
      <c r="CI1592"/>
      <c r="CJ1592" t="inlineStr">
        <is>
          <t>Paid</t>
        </is>
      </c>
      <c r="CK1592" t="inlineStr">
        <is>
          <t>Not Eligible</t>
        </is>
      </c>
      <c r="CL1592"/>
      <c r="CM1592"/>
    </row>
    <row r="1593" ht="25.5" customHeight="1">
      <c r="A1593" t="inlineStr">
        <is>
          <t>181057</t>
        </is>
      </c>
      <c r="B1593" s="2"/>
      <c r="C1593"/>
      <c r="D1593" s="3">
        <v>46126.70516203704</v>
      </c>
      <c r="E1593" t="inlineStr">
        <is>
          <t>Q2-W02</t>
        </is>
      </c>
      <c r="F1593" t="inlineStr">
        <is>
          <t>Evan</t>
        </is>
      </c>
      <c r="G1593" t="inlineStr">
        <is>
          <t>Customer</t>
        </is>
      </c>
      <c r="H1593" s="2" t="str">
        <f>=HYPERLINK("https://upbox.ajobthing.my/customer/181057", "https://upbox.ajobthing.my/customer/181057")</f>
        <v>https://upbox.ajobthing.my/customer/181057</v>
      </c>
      <c r="I1593" t="inlineStr">
        <is>
          <t>Ryoka Malaysia Sdn Bhd</t>
        </is>
      </c>
      <c r="J1593" t="inlineStr">
        <is>
          <t>Dolphin</t>
        </is>
      </c>
      <c r="K1593" t="inlineStr">
        <is>
          <t>Evan</t>
        </is>
      </c>
      <c r="L1593" s="4"/>
      <c r="M1593" s="4">
        <v>46126.70344907408</v>
      </c>
      <c r="N1593"/>
      <c r="O1593">
        <v>4968</v>
      </c>
      <c r="P1593" s="4"/>
      <c r="Q1593" s="4">
        <v>46092.543645833335</v>
      </c>
      <c r="R1593"/>
      <c r="S1593">
        <v>0</v>
      </c>
      <c r="T1593" s="4">
        <v>46076.69222222222</v>
      </c>
      <c r="U1593" s="4"/>
      <c r="V1593"/>
      <c r="W1593">
        <v>864</v>
      </c>
      <c r="X1593"/>
      <c r="Y1593" t="inlineStr">
        <is>
          <t>Pending Appointment</t>
        </is>
      </c>
      <c r="Z1593" t="inlineStr">
        <is>
          <t>Hiring Now</t>
        </is>
      </c>
      <c r="AA1593">
        <v>1</v>
      </c>
      <c r="AB1593" t="inlineStr">
        <is>
          <t>No Appointment Made</t>
        </is>
      </c>
      <c r="AC1593"/>
      <c r="AD1593" t="inlineStr">
        <is>
          <t>1 admin, all base in KL</t>
        </is>
      </c>
      <c r="AE1593"/>
      <c r="AF1593">
        <v>1</v>
      </c>
      <c r="AG1593" s="4"/>
      <c r="AH1593" s="4"/>
      <c r="AI1593">
        <v>1</v>
      </c>
      <c r="AJ1593">
        <v>1</v>
      </c>
      <c r="AK1593" t="inlineStr">
        <is>
          <t>No, I don't need at all</t>
        </is>
      </c>
      <c r="AL1593">
        <v>0</v>
      </c>
      <c r="AM1593" t="inlineStr">
        <is>
          <t>No, I don't need at all</t>
        </is>
      </c>
      <c r="AN1593"/>
      <c r="AO1593" t="inlineStr">
        <is>
          <t>No, I don't need at all</t>
        </is>
      </c>
      <c r="AP1593" t="inlineStr">
        <is>
          <t>Once a year (25%)</t>
        </is>
      </c>
      <c r="AQ1593">
        <v>1</v>
      </c>
      <c r="AR1593" t="inlineStr">
        <is>
          <t>Did not use any job portal</t>
        </is>
      </c>
      <c r="AS1593"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593">
        <v>115</v>
      </c>
      <c r="AU1593" t="inlineStr">
        <is>
          <t>1.15</t>
        </is>
      </c>
      <c r="AV1593" t="inlineStr">
        <is>
          <t>15</t>
        </is>
      </c>
      <c r="AW1593" t="inlineStr">
        <is>
          <t>0</t>
        </is>
      </c>
      <c r="AX1593" t="inlineStr">
        <is>
          <t>Not Qualified</t>
        </is>
      </c>
      <c r="AY1593" s="4"/>
      <c r="AZ1593"/>
      <c r="BA1593"/>
      <c r="BB1593"/>
      <c r="BC1593"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1593" s="4">
        <v>46126.7084375</v>
      </c>
      <c r="BE1593" t="inlineStr">
        <is>
          <t>paid</t>
        </is>
      </c>
      <c r="BF1593" t="inlineStr">
        <is>
          <t>Q1-W08</t>
        </is>
      </c>
      <c r="BG1593" t="inlineStr">
        <is>
          <t>Reschedule</t>
        </is>
      </c>
      <c r="BH1593" t="inlineStr">
        <is>
          <t>Edward Hoo</t>
        </is>
      </c>
      <c r="BI1593" t="inlineStr">
        <is>
          <t>Polymer / Rubber</t>
        </is>
      </c>
      <c r="BJ1593" s="4">
        <v>46144.751863425925</v>
      </c>
      <c r="BK1593" s="4">
        <v>45503.6087962963</v>
      </c>
      <c r="BL1593" t="inlineStr">
        <is>
          <t>3240.0</t>
        </is>
      </c>
      <c r="BM1593" t="inlineStr">
        <is>
          <t>0.0</t>
        </is>
      </c>
      <c r="BN1593" t="inlineStr">
        <is>
          <t>View Jobmanager Page</t>
        </is>
      </c>
      <c r="BO1593" s="4">
        <v>46086.53722222222</v>
      </c>
      <c r="BP1593">
        <v>167034</v>
      </c>
      <c r="BQ1593">
        <v>116770</v>
      </c>
      <c r="BR1593" t="inlineStr">
        <is>
          <t>Proforma</t>
        </is>
      </c>
      <c r="BS1593" t="inlineStr">
        <is>
          <t>Free Internship Job</t>
        </is>
      </c>
      <c r="BT1593">
        <v>87093</v>
      </c>
      <c r="BU1593"/>
      <c r="BV1593">
        <v>2704418</v>
      </c>
      <c r="BW1593" t="inlineStr">
        <is>
          <t>Customer Inquiry</t>
        </is>
      </c>
      <c r="BX1593"/>
      <c r="BY1593"/>
      <c r="BZ1593" s="4"/>
      <c r="CA1593"/>
      <c r="CB1593"/>
      <c r="CC1593" s="4"/>
      <c r="CD1593" t="inlineStr">
        <is>
          <t>20</t>
        </is>
      </c>
      <c r="CE1593" t="inlineStr">
        <is>
          <t>0</t>
        </is>
      </c>
      <c r="CF1593" t="inlineStr">
        <is>
          <t>Q2-W02</t>
        </is>
      </c>
      <c r="CG1593" t="inlineStr">
        <is>
          <t>Q1-W10</t>
        </is>
      </c>
      <c r="CH1593" t="inlineStr">
        <is>
          <t>Q1-W08</t>
        </is>
      </c>
      <c r="CI1593"/>
      <c r="CJ1593" t="inlineStr">
        <is>
          <t>Paid</t>
        </is>
      </c>
      <c r="CK1593" t="inlineStr">
        <is>
          <t>Not Eligible</t>
        </is>
      </c>
      <c r="CL1593"/>
      <c r="CM1593"/>
    </row>
    <row r="1594" ht="25.5" customHeight="1">
      <c r="A1594" t="inlineStr">
        <is>
          <t>18443</t>
        </is>
      </c>
      <c r="B1594" s="2"/>
      <c r="C1594"/>
      <c r="D1594" s="3">
        <v>46126.71640046296</v>
      </c>
      <c r="E1594" t="inlineStr">
        <is>
          <t>Q2-W02</t>
        </is>
      </c>
      <c r="F1594" t="inlineStr">
        <is>
          <t>Xin Hui</t>
        </is>
      </c>
      <c r="G1594" t="inlineStr">
        <is>
          <t>Customer</t>
        </is>
      </c>
      <c r="H1594" s="2" t="str">
        <f>=HYPERLINK("https://upbox.ajobthing.my/customer/18443", "https://upbox.ajobthing.my/customer/18443")</f>
        <v>https://upbox.ajobthing.my/customer/18443</v>
      </c>
      <c r="I1594" t="inlineStr">
        <is>
          <t>Southern University College</t>
        </is>
      </c>
      <c r="J1594" t="inlineStr">
        <is>
          <t>Dolphin</t>
        </is>
      </c>
      <c r="K1594" t="inlineStr">
        <is>
          <t>Xin Hui</t>
        </is>
      </c>
      <c r="L1594" s="4"/>
      <c r="M1594" s="4">
        <v>46126.71680555555</v>
      </c>
      <c r="N1594"/>
      <c r="O1594">
        <v>3888</v>
      </c>
      <c r="P1594" s="4"/>
      <c r="Q1594" s="4"/>
      <c r="R1594"/>
      <c r="S1594"/>
      <c r="T1594" s="4"/>
      <c r="U1594" s="4"/>
      <c r="V1594"/>
      <c r="W1594"/>
      <c r="X1594"/>
      <c r="Y1594" t="inlineStr">
        <is>
          <t>Pending Appointment</t>
        </is>
      </c>
      <c r="Z1594" t="inlineStr">
        <is>
          <t>Hiring Now</t>
        </is>
      </c>
      <c r="AA1594">
        <v>2</v>
      </c>
      <c r="AB1594" t="inlineStr">
        <is>
          <t>No Appointment Made</t>
        </is>
      </c>
      <c r="AC1594"/>
      <c r="AD1594" t="inlineStr">
        <is>
          <t xml:space="preserve">lecturer // admin </t>
        </is>
      </c>
      <c r="AE1594"/>
      <c r="AF1594"/>
      <c r="AG1594" s="4"/>
      <c r="AH1594" s="4"/>
      <c r="AI1594"/>
      <c r="AJ1594"/>
      <c r="AK1594" t="inlineStr">
        <is>
          <t>No, I don't need at all</t>
        </is>
      </c>
      <c r="AL1594"/>
      <c r="AM1594" t="inlineStr">
        <is>
          <t>No, I don't need at all</t>
        </is>
      </c>
      <c r="AN1594"/>
      <c r="AO1594" t="inlineStr">
        <is>
          <t>No, I don't need at all</t>
        </is>
      </c>
      <c r="AP1594" t="inlineStr">
        <is>
          <t>Once a year (25%)</t>
        </is>
      </c>
      <c r="AQ1594"/>
      <c r="AR1594" t="inlineStr">
        <is>
          <t>Jobstreet</t>
        </is>
      </c>
      <c r="AS1594" t="inlineStr">
        <is>
          <t>- Headcount: 2
- Hiring Job Details: lecturer // admin
- Hiring Urgency: Hiring Now
- Number of outlets: 
- Have recruiter team: No, I don't need at all
- Number of recruiter in company: 
- Have ATS system: No, I don't need at all
- Have career website: No, I don't need at all
- Current hiring budget: 
- Whole year budget: 
- Whole year number of vacancies: 
- Hiring frequency: Once a year (25%)
- External job portal: Jobstreet</t>
        </is>
      </c>
      <c r="AT1594">
        <v>75</v>
      </c>
      <c r="AU1594" t="inlineStr">
        <is>
          <t>0.75</t>
        </is>
      </c>
      <c r="AV1594" t="inlineStr">
        <is>
          <t>5</t>
        </is>
      </c>
      <c r="AW1594" t="inlineStr">
        <is>
          <t>0</t>
        </is>
      </c>
      <c r="AX1594" t="inlineStr">
        <is>
          <t>Not Qualified</t>
        </is>
      </c>
      <c r="AY1594" s="4"/>
      <c r="AZ1594"/>
      <c r="BA1594"/>
      <c r="BB1594"/>
      <c r="BC1594" t="inlineStr">
        <is>
          <t>prefer jobstreet / linkedln , maybe future can try , but not now</t>
        </is>
      </c>
      <c r="BD1594" s="4">
        <v>46133.65641203704</v>
      </c>
      <c r="BE1594"/>
      <c r="BF1594"/>
      <c r="BG1594" t="inlineStr">
        <is>
          <t>Reschedule</t>
        </is>
      </c>
      <c r="BH1594" t="inlineStr">
        <is>
          <t>Yee Hang</t>
        </is>
      </c>
      <c r="BI1594" t="inlineStr">
        <is>
          <t>Education / Training</t>
        </is>
      </c>
      <c r="BJ1594" s="4">
        <v>46144.75199074074</v>
      </c>
      <c r="BK1594" s="4">
        <v>42478.856620370374</v>
      </c>
      <c r="BL1594" t="inlineStr">
        <is>
          <t>0.0</t>
        </is>
      </c>
      <c r="BM1594" t="inlineStr">
        <is>
          <t>1800.0</t>
        </is>
      </c>
      <c r="BN1594" t="inlineStr">
        <is>
          <t>View Company Page</t>
        </is>
      </c>
      <c r="BO1594" s="4">
        <v>45848.680231481485</v>
      </c>
      <c r="BP1594">
        <v>167044</v>
      </c>
      <c r="BQ1594"/>
      <c r="BR1594"/>
      <c r="BS1594"/>
      <c r="BT1594"/>
      <c r="BU1594"/>
      <c r="BV1594">
        <v>2718618</v>
      </c>
      <c r="BW1594" t="inlineStr">
        <is>
          <t>Follow Up : Lost - Paid Portal</t>
        </is>
      </c>
      <c r="BX1594"/>
      <c r="BY1594"/>
      <c r="BZ1594" s="4"/>
      <c r="CA1594"/>
      <c r="CB1594"/>
      <c r="CC1594" s="4"/>
      <c r="CD1594" t="inlineStr">
        <is>
          <t>5</t>
        </is>
      </c>
      <c r="CE1594" t="inlineStr">
        <is>
          <t>0</t>
        </is>
      </c>
      <c r="CF1594" t="inlineStr">
        <is>
          <t>Q2-W02</t>
        </is>
      </c>
      <c r="CG1594"/>
      <c r="CH1594"/>
      <c r="CI1594"/>
      <c r="CJ1594" t="inlineStr">
        <is>
          <t>No Paid</t>
        </is>
      </c>
      <c r="CK1594" t="inlineStr">
        <is>
          <t>Not Eligible</t>
        </is>
      </c>
      <c r="CL1594"/>
      <c r="CM1594"/>
    </row>
    <row r="1595" ht="25.5" customHeight="1">
      <c r="A1595" t="inlineStr">
        <is>
          <t>4281715</t>
        </is>
      </c>
      <c r="B1595" s="2"/>
      <c r="C1595"/>
      <c r="D1595" s="3">
        <v>46126.7187962963</v>
      </c>
      <c r="E1595" t="inlineStr">
        <is>
          <t>Q2-W02</t>
        </is>
      </c>
      <c r="F1595" t="inlineStr">
        <is>
          <t>Alan KY</t>
        </is>
      </c>
      <c r="G1595" t="inlineStr">
        <is>
          <t>Lead</t>
        </is>
      </c>
      <c r="H1595" s="2" t="str">
        <f>=HYPERLINK("https://upbox.ajobthing.my/leads/4281715", "https://upbox.ajobthing.my/leads/4281715")</f>
        <v>https://upbox.ajobthing.my/leads/4281715</v>
      </c>
      <c r="I1595" t="inlineStr">
        <is>
          <t>Emerald Auto Parts (Sharon)</t>
        </is>
      </c>
      <c r="J1595" t="inlineStr">
        <is>
          <t>Dolphin</t>
        </is>
      </c>
      <c r="K1595" t="inlineStr">
        <is>
          <t>Alan KY</t>
        </is>
      </c>
      <c r="L1595" s="4"/>
      <c r="M1595" s="4">
        <v>46126.713854166665</v>
      </c>
      <c r="N1595"/>
      <c r="O1595">
        <v>5508</v>
      </c>
      <c r="P1595" s="4"/>
      <c r="Q1595" s="4"/>
      <c r="R1595"/>
      <c r="S1595"/>
      <c r="T1595" s="4"/>
      <c r="U1595" s="4"/>
      <c r="V1595"/>
      <c r="W1595"/>
      <c r="X1595"/>
      <c r="Y1595" t="inlineStr">
        <is>
          <t>Pending Appointment</t>
        </is>
      </c>
      <c r="Z1595" t="inlineStr">
        <is>
          <t>Hiring Now</t>
        </is>
      </c>
      <c r="AA1595">
        <v>2.5</v>
      </c>
      <c r="AB1595" t="inlineStr">
        <is>
          <t>No Appointment Made</t>
        </is>
      </c>
      <c r="AC1595"/>
      <c r="AD1595" t="inlineStr">
        <is>
          <t xml:space="preserve">2 - 3 ecommerce executive, based in selangor </t>
        </is>
      </c>
      <c r="AE1595"/>
      <c r="AF1595"/>
      <c r="AG1595" s="4"/>
      <c r="AH1595" s="4"/>
      <c r="AI1595"/>
      <c r="AJ1595">
        <v>1</v>
      </c>
      <c r="AK1595" t="inlineStr">
        <is>
          <t>No, I don't need at all</t>
        </is>
      </c>
      <c r="AL1595"/>
      <c r="AM1595" t="inlineStr">
        <is>
          <t>No, I don't need at all</t>
        </is>
      </c>
      <c r="AN1595"/>
      <c r="AO1595" t="inlineStr">
        <is>
          <t>No, I don't need at all</t>
        </is>
      </c>
      <c r="AP1595" t="inlineStr">
        <is>
          <t>Once per quarter (75%)</t>
        </is>
      </c>
      <c r="AQ1595"/>
      <c r="AR1595" t="inlineStr">
        <is>
          <t>Jobstreet</t>
        </is>
      </c>
      <c r="AS1595" t="inlineStr">
        <is>
          <t>- Headcount: 2
- Hiring Job Details: 2 - 3 ecommerce executive, based in selangor
- Hiring Urgency: Hiring Now
- Number of outlets: 1
- Have recruiter team: No, I don't need at all
- Number of recruiter in company: 
- Have ATS system: No, I don't need at all
- Have career website: No, I don't need at all
- Current hiring budget: 
- Whole year budget: 
- Whole year number of vacancies: 
- Hiring frequency: Once per quarter (75%)
- External job portal: Jobstreet</t>
        </is>
      </c>
      <c r="AT1595">
        <v>95</v>
      </c>
      <c r="AU1595" t="inlineStr">
        <is>
          <t>0.95</t>
        </is>
      </c>
      <c r="AV1595" t="inlineStr">
        <is>
          <t>5</t>
        </is>
      </c>
      <c r="AW1595" t="inlineStr">
        <is>
          <t>0</t>
        </is>
      </c>
      <c r="AX1595" t="inlineStr">
        <is>
          <t>Not Qualified</t>
        </is>
      </c>
      <c r="AY1595" s="4"/>
      <c r="AZ1595"/>
      <c r="BA1595"/>
      <c r="BB1595"/>
      <c r="BC1595"/>
      <c r="BD1595" s="4"/>
      <c r="BE1595"/>
      <c r="BF1595"/>
      <c r="BG1595" t="inlineStr">
        <is>
          <t>Reschedule</t>
        </is>
      </c>
      <c r="BH1595" t="inlineStr">
        <is>
          <t>Reagen</t>
        </is>
      </c>
      <c r="BI1595"/>
      <c r="BJ1595" s="4">
        <v>46144.755833333336</v>
      </c>
      <c r="BK1595" s="4">
        <v>46126.68958333333</v>
      </c>
      <c r="BL1595" t="inlineStr">
        <is>
          <t>3672.0</t>
        </is>
      </c>
      <c r="BM1595" t="inlineStr">
        <is>
          <t>600.0</t>
        </is>
      </c>
      <c r="BN1595"/>
      <c r="BO1595" s="4"/>
      <c r="BP1595">
        <v>167042</v>
      </c>
      <c r="BQ1595"/>
      <c r="BR1595"/>
      <c r="BS1595"/>
      <c r="BT1595"/>
      <c r="BU1595"/>
      <c r="BV1595"/>
      <c r="BW1595"/>
      <c r="BX1595"/>
      <c r="BY1595"/>
      <c r="BZ1595" s="4"/>
      <c r="CA1595"/>
      <c r="CB1595"/>
      <c r="CC1595" s="4"/>
      <c r="CD1595" t="inlineStr">
        <is>
          <t>5</t>
        </is>
      </c>
      <c r="CE1595" t="inlineStr">
        <is>
          <t>0</t>
        </is>
      </c>
      <c r="CF1595" t="inlineStr">
        <is>
          <t>Q2-W02</t>
        </is>
      </c>
      <c r="CG1595"/>
      <c r="CH1595"/>
      <c r="CI1595"/>
      <c r="CJ1595" t="inlineStr">
        <is>
          <t>No Paid</t>
        </is>
      </c>
      <c r="CK1595" t="inlineStr">
        <is>
          <t>Not Eligible</t>
        </is>
      </c>
      <c r="CL1595"/>
      <c r="CM1595"/>
    </row>
    <row r="1596" ht="25.5" customHeight="1">
      <c r="A1596" t="inlineStr">
        <is>
          <t>177275</t>
        </is>
      </c>
      <c r="B1596" s="2"/>
      <c r="C1596"/>
      <c r="D1596" s="3">
        <v>46126.72673611111</v>
      </c>
      <c r="E1596" t="inlineStr">
        <is>
          <t>Q2-W02</t>
        </is>
      </c>
      <c r="F1596" t="inlineStr">
        <is>
          <t>Luqman</t>
        </is>
      </c>
      <c r="G1596" t="inlineStr">
        <is>
          <t>Customer</t>
        </is>
      </c>
      <c r="H1596" s="2" t="str">
        <f>=HYPERLINK("https://upbox.ajobthing.my/customer/177275", "https://upbox.ajobthing.my/customer/177275")</f>
        <v>https://upbox.ajobthing.my/customer/177275</v>
      </c>
      <c r="I1596" t="inlineStr">
        <is>
          <t>Seiko Technology Sdn Bhd</t>
        </is>
      </c>
      <c r="J1596" t="inlineStr">
        <is>
          <t>Dolphin</t>
        </is>
      </c>
      <c r="K1596" t="inlineStr">
        <is>
          <t>Luqman</t>
        </is>
      </c>
      <c r="L1596" s="4"/>
      <c r="M1596" s="4">
        <v>46126.7268287037</v>
      </c>
      <c r="N1596"/>
      <c r="O1596">
        <v>3576.96</v>
      </c>
      <c r="P1596" s="4"/>
      <c r="Q1596" s="4">
        <v>45447.75568287037</v>
      </c>
      <c r="R1596"/>
      <c r="S1596">
        <v>1944</v>
      </c>
      <c r="T1596" s="4">
        <v>45447.75568287037</v>
      </c>
      <c r="U1596" s="4"/>
      <c r="V1596"/>
      <c r="W1596">
        <v>1944</v>
      </c>
      <c r="X1596"/>
      <c r="Y1596" t="inlineStr">
        <is>
          <t>Pending Appointment</t>
        </is>
      </c>
      <c r="Z1596" t="inlineStr">
        <is>
          <t>Hiring Later</t>
        </is>
      </c>
      <c r="AA1596">
        <v>1</v>
      </c>
      <c r="AB1596" t="inlineStr">
        <is>
          <t>No Appointment Made</t>
        </is>
      </c>
      <c r="AC1596"/>
      <c r="AD1596" t="inlineStr">
        <is>
          <t xml:space="preserve">1. Admin </t>
        </is>
      </c>
      <c r="AE1596"/>
      <c r="AF1596">
        <v>1200</v>
      </c>
      <c r="AG1596" s="4"/>
      <c r="AH1596" s="4"/>
      <c r="AI1596">
        <v>1200</v>
      </c>
      <c r="AJ1596"/>
      <c r="AK1596" t="inlineStr">
        <is>
          <t>No, but I want in future</t>
        </is>
      </c>
      <c r="AL1596">
        <v>1</v>
      </c>
      <c r="AM1596" t="inlineStr">
        <is>
          <t>No, but I want in future</t>
        </is>
      </c>
      <c r="AN1596"/>
      <c r="AO1596" t="inlineStr">
        <is>
          <t>No, but I want in future</t>
        </is>
      </c>
      <c r="AP1596" t="inlineStr">
        <is>
          <t>Once a year (25%)</t>
        </is>
      </c>
      <c r="AQ1596">
        <v>1</v>
      </c>
      <c r="AR1596" t="inlineStr">
        <is>
          <t>Free Job Portal</t>
        </is>
      </c>
      <c r="AS1596" t="inlineStr">
        <is>
          <t>- Headcount: 1
- Hiring Job Details: 1 Admin
- Hiring Urgency: Hiring Later
- Number of outlets: Not provided
- Have recruiter team: No, but want in future
- Number of recruiter in company: 1
- Have ATS system: No, but want in future
- Have career website: No, but want in future
- Current hiring budget: RM1,200
- Whole year budget: RM1,200.00
- Whole year number of vacancies: 1
- Hiring frequency: Once a year (25%)
- External job portal: Free Job Portal</t>
        </is>
      </c>
      <c r="AT1596">
        <v>115</v>
      </c>
      <c r="AU1596" t="inlineStr">
        <is>
          <t>1.15</t>
        </is>
      </c>
      <c r="AV1596" t="inlineStr">
        <is>
          <t>15</t>
        </is>
      </c>
      <c r="AW1596" t="inlineStr">
        <is>
          <t>0</t>
        </is>
      </c>
      <c r="AX1596" t="inlineStr">
        <is>
          <t>Not Qualified</t>
        </is>
      </c>
      <c r="AY1596" s="4"/>
      <c r="AZ1596"/>
      <c r="BA1596"/>
      <c r="BB1596"/>
      <c r="BC1596" t="inlineStr">
        <is>
          <t>Business hiring on hold</t>
        </is>
      </c>
      <c r="BD1596" s="4">
        <v>46142.573125</v>
      </c>
      <c r="BE1596" t="inlineStr">
        <is>
          <t>paid</t>
        </is>
      </c>
      <c r="BF1596"/>
      <c r="BG1596" t="inlineStr">
        <is>
          <t>Reschedule</t>
        </is>
      </c>
      <c r="BH1596" t="inlineStr">
        <is>
          <t>Edward Hoo</t>
        </is>
      </c>
      <c r="BI1596" t="inlineStr">
        <is>
          <t>Manufacturing / Production</t>
        </is>
      </c>
      <c r="BJ1596" s="4">
        <v>46144.75167824074</v>
      </c>
      <c r="BK1596" s="4">
        <v>45395.73138888889</v>
      </c>
      <c r="BL1596" t="inlineStr">
        <is>
          <t>0.0</t>
        </is>
      </c>
      <c r="BM1596" t="inlineStr">
        <is>
          <t>600.0</t>
        </is>
      </c>
      <c r="BN1596" t="inlineStr">
        <is>
          <t>PA Visit - Applicant Manager</t>
        </is>
      </c>
      <c r="BO1596" s="4">
        <v>45586.55327546296</v>
      </c>
      <c r="BP1596">
        <v>167051</v>
      </c>
      <c r="BQ1596">
        <v>69766</v>
      </c>
      <c r="BR1596" t="inlineStr">
        <is>
          <t>Online</t>
        </is>
      </c>
      <c r="BS1596"/>
      <c r="BT1596">
        <v>69766</v>
      </c>
      <c r="BU1596"/>
      <c r="BV1596">
        <v>2737541</v>
      </c>
      <c r="BW1596" t="inlineStr">
        <is>
          <t>Follow Up : Lost - Free Portal</t>
        </is>
      </c>
      <c r="BX1596"/>
      <c r="BY1596"/>
      <c r="BZ1596" s="4"/>
      <c r="CA1596"/>
      <c r="CB1596"/>
      <c r="CC1596" s="4"/>
      <c r="CD1596" t="inlineStr">
        <is>
          <t>20</t>
        </is>
      </c>
      <c r="CE1596" t="inlineStr">
        <is>
          <t>0</t>
        </is>
      </c>
      <c r="CF1596" t="inlineStr">
        <is>
          <t>Q2-W02</t>
        </is>
      </c>
      <c r="CG1596"/>
      <c r="CH1596"/>
      <c r="CI1596"/>
      <c r="CJ1596" t="inlineStr">
        <is>
          <t>Paid</t>
        </is>
      </c>
      <c r="CK1596" t="inlineStr">
        <is>
          <t>Not Eligible</t>
        </is>
      </c>
      <c r="CL1596"/>
      <c r="CM1596"/>
    </row>
    <row r="1597" ht="25.5" customHeight="1">
      <c r="A1597" t="inlineStr">
        <is>
          <t>177252</t>
        </is>
      </c>
      <c r="B1597" s="2"/>
      <c r="C1597"/>
      <c r="D1597" s="3">
        <v>46126.732465277775</v>
      </c>
      <c r="E1597" t="inlineStr">
        <is>
          <t>Q2-W02</t>
        </is>
      </c>
      <c r="F1597" t="inlineStr">
        <is>
          <t>Luqman</t>
        </is>
      </c>
      <c r="G1597" t="inlineStr">
        <is>
          <t>Customer</t>
        </is>
      </c>
      <c r="H1597" s="2" t="str">
        <f>=HYPERLINK("https://upbox.ajobthing.my/customer/177252", "https://upbox.ajobthing.my/customer/177252")</f>
        <v>https://upbox.ajobthing.my/customer/177252</v>
      </c>
      <c r="I1597" t="inlineStr">
        <is>
          <t>NATESKIN</t>
        </is>
      </c>
      <c r="J1597" t="inlineStr">
        <is>
          <t>Dolphin</t>
        </is>
      </c>
      <c r="K1597" t="inlineStr">
        <is>
          <t>Luqman</t>
        </is>
      </c>
      <c r="L1597" s="4"/>
      <c r="M1597" s="4">
        <v>46126.73258101852</v>
      </c>
      <c r="N1597"/>
      <c r="O1597">
        <v>3888</v>
      </c>
      <c r="P1597" s="4"/>
      <c r="Q1597" s="4">
        <v>45394.57488425926</v>
      </c>
      <c r="R1597"/>
      <c r="S1597">
        <v>972</v>
      </c>
      <c r="T1597" s="4">
        <v>45394.57488425926</v>
      </c>
      <c r="U1597" s="4"/>
      <c r="V1597"/>
      <c r="W1597">
        <v>972</v>
      </c>
      <c r="X1597"/>
      <c r="Y1597" t="inlineStr">
        <is>
          <t>Pending Appointment</t>
        </is>
      </c>
      <c r="Z1597" t="inlineStr">
        <is>
          <t>Hiring Now</t>
        </is>
      </c>
      <c r="AA1597">
        <v>1</v>
      </c>
      <c r="AB1597" t="inlineStr">
        <is>
          <t>No Appointment Made</t>
        </is>
      </c>
      <c r="AC1597"/>
      <c r="AD1597" t="inlineStr">
        <is>
          <t xml:space="preserve">1. Retail Assistant </t>
        </is>
      </c>
      <c r="AE1597"/>
      <c r="AF1597">
        <v>1200</v>
      </c>
      <c r="AG1597" s="4"/>
      <c r="AH1597" s="4"/>
      <c r="AI1597">
        <v>1200</v>
      </c>
      <c r="AJ1597"/>
      <c r="AK1597" t="inlineStr">
        <is>
          <t>No, I don't need at all</t>
        </is>
      </c>
      <c r="AL1597">
        <v>1</v>
      </c>
      <c r="AM1597" t="inlineStr">
        <is>
          <t>No, I don't need at all</t>
        </is>
      </c>
      <c r="AN1597"/>
      <c r="AO1597" t="inlineStr">
        <is>
          <t>No, I don't need at all</t>
        </is>
      </c>
      <c r="AP1597" t="inlineStr">
        <is>
          <t>Once a year (25%)</t>
        </is>
      </c>
      <c r="AQ1597">
        <v>10</v>
      </c>
      <c r="AR1597" t="inlineStr">
        <is>
          <t>Jobstreet</t>
        </is>
      </c>
      <c r="AS1597" t="inlineStr">
        <is>
          <t>- Headcount: 1
- Hiring Job Details: 1 Retail Assistant
- Hiring Urgency: Hiring Now
- Number of outlets: 
- Have recruiter team: No, I don't need at all
- Number of recruiter in company: 1
- Have ATS system: No, I don't need at all
- Have career website: No, I don't need at all
- Current hiring budget: RM1,200
- Whole year budget: RM1,200.00
- Whole year number of vacancies: 10
- Hiring frequency: Once a year (25%)
- External job portal: Jobstreet</t>
        </is>
      </c>
      <c r="AT1597">
        <v>105</v>
      </c>
      <c r="AU1597" t="inlineStr">
        <is>
          <t>1.05</t>
        </is>
      </c>
      <c r="AV1597" t="inlineStr">
        <is>
          <t>15</t>
        </is>
      </c>
      <c r="AW1597" t="inlineStr">
        <is>
          <t>0</t>
        </is>
      </c>
      <c r="AX1597" t="inlineStr">
        <is>
          <t>Not Qualified</t>
        </is>
      </c>
      <c r="AY1597" s="4"/>
      <c r="AZ1597"/>
      <c r="BA1597"/>
      <c r="BB1597"/>
      <c r="BC1597" t="inlineStr">
        <is>
          <t>Business utilize other job portal</t>
        </is>
      </c>
      <c r="BD1597" s="4">
        <v>46133.749606481484</v>
      </c>
      <c r="BE1597" t="inlineStr">
        <is>
          <t>paid</t>
        </is>
      </c>
      <c r="BF1597"/>
      <c r="BG1597" t="inlineStr">
        <is>
          <t>Reschedule</t>
        </is>
      </c>
      <c r="BH1597" t="inlineStr">
        <is>
          <t>Edward Hoo</t>
        </is>
      </c>
      <c r="BI1597" t="inlineStr">
        <is>
          <t>Beauty / Fitness</t>
        </is>
      </c>
      <c r="BJ1597" s="4">
        <v>46144.75167824074</v>
      </c>
      <c r="BK1597" s="4">
        <v>45394.492847222224</v>
      </c>
      <c r="BL1597" t="inlineStr">
        <is>
          <t>0.0</t>
        </is>
      </c>
      <c r="BM1597" t="inlineStr">
        <is>
          <t>3750.0</t>
        </is>
      </c>
      <c r="BN1597" t="inlineStr">
        <is>
          <t>View Jobmanager Page</t>
        </is>
      </c>
      <c r="BO1597" s="4">
        <v>45450.74207175926</v>
      </c>
      <c r="BP1597">
        <v>167053</v>
      </c>
      <c r="BQ1597">
        <v>67734</v>
      </c>
      <c r="BR1597" t="inlineStr">
        <is>
          <t>Online</t>
        </is>
      </c>
      <c r="BS1597"/>
      <c r="BT1597">
        <v>67734</v>
      </c>
      <c r="BU1597"/>
      <c r="BV1597">
        <v>2719204</v>
      </c>
      <c r="BW1597" t="inlineStr">
        <is>
          <t>Follow Up : Lost - Paid Portal</t>
        </is>
      </c>
      <c r="BX1597"/>
      <c r="BY1597"/>
      <c r="BZ1597" s="4"/>
      <c r="CA1597"/>
      <c r="CB1597"/>
      <c r="CC1597" s="4"/>
      <c r="CD1597" t="inlineStr">
        <is>
          <t>20</t>
        </is>
      </c>
      <c r="CE1597" t="inlineStr">
        <is>
          <t>0</t>
        </is>
      </c>
      <c r="CF1597" t="inlineStr">
        <is>
          <t>Q2-W02</t>
        </is>
      </c>
      <c r="CG1597"/>
      <c r="CH1597"/>
      <c r="CI1597"/>
      <c r="CJ1597" t="inlineStr">
        <is>
          <t>Paid</t>
        </is>
      </c>
      <c r="CK1597" t="inlineStr">
        <is>
          <t>Not Eligible</t>
        </is>
      </c>
      <c r="CL1597"/>
      <c r="CM1597"/>
    </row>
    <row r="1598" ht="25.5" customHeight="1">
      <c r="A1598" t="inlineStr">
        <is>
          <t>169938</t>
        </is>
      </c>
      <c r="B1598" s="2"/>
      <c r="C1598"/>
      <c r="D1598" s="3">
        <v>46126.75576388889</v>
      </c>
      <c r="E1598" t="inlineStr">
        <is>
          <t>Q2-W02</t>
        </is>
      </c>
      <c r="F1598" t="inlineStr">
        <is>
          <t>Dickson</t>
        </is>
      </c>
      <c r="G1598" t="inlineStr">
        <is>
          <t>Customer</t>
        </is>
      </c>
      <c r="H1598" s="2" t="str">
        <f>=HYPERLINK("https://upbox.ajobthing.my/customer/169938", "https://upbox.ajobthing.my/customer/169938")</f>
        <v>https://upbox.ajobthing.my/customer/169938</v>
      </c>
      <c r="I1598" t="inlineStr">
        <is>
          <t>Vtopian Orb Sdn Bhd</t>
        </is>
      </c>
      <c r="J1598" t="inlineStr">
        <is>
          <t>Dolphin</t>
        </is>
      </c>
      <c r="K1598" t="inlineStr">
        <is>
          <t>Dickson</t>
        </is>
      </c>
      <c r="L1598" s="4"/>
      <c r="M1598" s="4">
        <v>46126.755844907406</v>
      </c>
      <c r="N1598"/>
      <c r="O1598">
        <v>1296</v>
      </c>
      <c r="P1598" s="4"/>
      <c r="Q1598" s="4">
        <v>45148.56070601852</v>
      </c>
      <c r="R1598"/>
      <c r="S1598">
        <v>954</v>
      </c>
      <c r="T1598" s="4">
        <v>45148.56070601852</v>
      </c>
      <c r="U1598" s="4"/>
      <c r="V1598"/>
      <c r="W1598">
        <v>954</v>
      </c>
      <c r="X1598"/>
      <c r="Y1598" t="inlineStr">
        <is>
          <t>Pending Appointment</t>
        </is>
      </c>
      <c r="Z1598" t="inlineStr">
        <is>
          <t>Hiring Now</t>
        </is>
      </c>
      <c r="AA1598">
        <v>1</v>
      </c>
      <c r="AB1598" t="inlineStr">
        <is>
          <t>No Appointment Made</t>
        </is>
      </c>
      <c r="AC1598"/>
      <c r="AD1598" t="inlineStr">
        <is>
          <t>1 accountant executive</t>
        </is>
      </c>
      <c r="AE1598"/>
      <c r="AF1598"/>
      <c r="AG1598" s="4"/>
      <c r="AH1598" s="4"/>
      <c r="AI1598"/>
      <c r="AJ1598">
        <v>1</v>
      </c>
      <c r="AK1598" t="inlineStr">
        <is>
          <t>No, I don't need at all</t>
        </is>
      </c>
      <c r="AL1598"/>
      <c r="AM1598" t="inlineStr">
        <is>
          <t>No, I don't need at all</t>
        </is>
      </c>
      <c r="AN1598"/>
      <c r="AO1598" t="inlineStr">
        <is>
          <t>No, I don't need at all</t>
        </is>
      </c>
      <c r="AP1598" t="inlineStr">
        <is>
          <t>Once per quarter (75%)</t>
        </is>
      </c>
      <c r="AQ1598"/>
      <c r="AR1598" t="inlineStr">
        <is>
          <t>Hiredly</t>
        </is>
      </c>
      <c r="AS1598" t="inlineStr">
        <is>
          <t>- Headcount: 1 (1 accountant executive)
- Hiring Job Details: 1 accountant executive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Hiredly</t>
        </is>
      </c>
      <c r="AT1598">
        <v>95</v>
      </c>
      <c r="AU1598" t="inlineStr">
        <is>
          <t>0.95</t>
        </is>
      </c>
      <c r="AV1598" t="inlineStr">
        <is>
          <t>5</t>
        </is>
      </c>
      <c r="AW1598" t="inlineStr">
        <is>
          <t>0</t>
        </is>
      </c>
      <c r="AX1598" t="inlineStr">
        <is>
          <t>Not Qualified</t>
        </is>
      </c>
      <c r="AY1598" s="4"/>
      <c r="AZ1598"/>
      <c r="BA1598"/>
      <c r="BB1598"/>
      <c r="BC1598" t="inlineStr">
        <is>
          <t>considering
whatsapp instead of call
mandarin speaker</t>
        </is>
      </c>
      <c r="BD1598" s="4">
        <v>46139.77545138889</v>
      </c>
      <c r="BE1598" t="inlineStr">
        <is>
          <t>paid</t>
        </is>
      </c>
      <c r="BF1598"/>
      <c r="BG1598" t="inlineStr">
        <is>
          <t>Reschedule</t>
        </is>
      </c>
      <c r="BH1598" t="inlineStr">
        <is>
          <t>Edward Hoo</t>
        </is>
      </c>
      <c r="BI1598"/>
      <c r="BJ1598" s="4">
        <v>46144.75140046296</v>
      </c>
      <c r="BK1598" s="4">
        <v>45146.44976851852</v>
      </c>
      <c r="BL1598" t="inlineStr">
        <is>
          <t>0.0</t>
        </is>
      </c>
      <c r="BM1598" t="inlineStr">
        <is>
          <t>1200.0</t>
        </is>
      </c>
      <c r="BN1598" t="inlineStr">
        <is>
          <t>View Shop</t>
        </is>
      </c>
      <c r="BO1598" s="4">
        <v>45282.72993055556</v>
      </c>
      <c r="BP1598">
        <v>167061</v>
      </c>
      <c r="BQ1598">
        <v>61274</v>
      </c>
      <c r="BR1598" t="inlineStr">
        <is>
          <t>Online</t>
        </is>
      </c>
      <c r="BS1598"/>
      <c r="BT1598">
        <v>61274</v>
      </c>
      <c r="BU1598"/>
      <c r="BV1598">
        <v>2731620</v>
      </c>
      <c r="BW1598" t="inlineStr">
        <is>
          <t>Follow Up : Decision Pending</t>
        </is>
      </c>
      <c r="BX1598"/>
      <c r="BY1598"/>
      <c r="BZ1598" s="4"/>
      <c r="CA1598"/>
      <c r="CB1598"/>
      <c r="CC1598" s="4"/>
      <c r="CD1598" t="inlineStr">
        <is>
          <t>5</t>
        </is>
      </c>
      <c r="CE1598" t="inlineStr">
        <is>
          <t>0</t>
        </is>
      </c>
      <c r="CF1598" t="inlineStr">
        <is>
          <t>Q2-W02</t>
        </is>
      </c>
      <c r="CG1598"/>
      <c r="CH1598"/>
      <c r="CI1598"/>
      <c r="CJ1598" t="inlineStr">
        <is>
          <t>Paid</t>
        </is>
      </c>
      <c r="CK1598" t="inlineStr">
        <is>
          <t>Not Eligible</t>
        </is>
      </c>
      <c r="CL1598"/>
      <c r="CM1598"/>
    </row>
    <row r="1599" ht="25.5" customHeight="1">
      <c r="A1599" t="inlineStr">
        <is>
          <t>165697</t>
        </is>
      </c>
      <c r="B1599" s="2"/>
      <c r="C1599"/>
      <c r="D1599" s="3">
        <v>46126.78203703704</v>
      </c>
      <c r="E1599" t="inlineStr">
        <is>
          <t>Q2-W02</t>
        </is>
      </c>
      <c r="F1599" t="inlineStr">
        <is>
          <t>Dickson</t>
        </is>
      </c>
      <c r="G1599" t="inlineStr">
        <is>
          <t>Customer</t>
        </is>
      </c>
      <c r="H1599" s="2" t="str">
        <f>=HYPERLINK("https://upbox.ajobthing.my/customer/165697", "https://upbox.ajobthing.my/customer/165697")</f>
        <v>https://upbox.ajobthing.my/customer/165697</v>
      </c>
      <c r="I1599" t="inlineStr">
        <is>
          <t>Adaptive Netpoleon Malaysia Sdn. Bhd.</t>
        </is>
      </c>
      <c r="J1599" t="inlineStr">
        <is>
          <t>Dolphin</t>
        </is>
      </c>
      <c r="K1599" t="inlineStr">
        <is>
          <t>Dickson</t>
        </is>
      </c>
      <c r="L1599" s="4"/>
      <c r="M1599" s="4">
        <v>46126.782118055555</v>
      </c>
      <c r="N1599"/>
      <c r="O1599">
        <v>3888</v>
      </c>
      <c r="P1599" s="4"/>
      <c r="Q1599" s="4">
        <v>45022.00001157408</v>
      </c>
      <c r="R1599"/>
      <c r="S1599">
        <v>1696</v>
      </c>
      <c r="T1599" s="4">
        <v>45022.00001157408</v>
      </c>
      <c r="U1599" s="4"/>
      <c r="V1599"/>
      <c r="W1599">
        <v>1696</v>
      </c>
      <c r="X1599"/>
      <c r="Y1599" t="inlineStr">
        <is>
          <t>Pending Appointment</t>
        </is>
      </c>
      <c r="Z1599" t="inlineStr">
        <is>
          <t>Hiring Now</t>
        </is>
      </c>
      <c r="AA1599">
        <v>2</v>
      </c>
      <c r="AB1599" t="inlineStr">
        <is>
          <t>No Appointment Made</t>
        </is>
      </c>
      <c r="AC1599"/>
      <c r="AD1599" t="inlineStr">
        <is>
          <t>1 presale engineer, 1 product manager or executive</t>
        </is>
      </c>
      <c r="AE1599"/>
      <c r="AF1599"/>
      <c r="AG1599" s="4"/>
      <c r="AH1599" s="4"/>
      <c r="AI1599"/>
      <c r="AJ1599">
        <v>1</v>
      </c>
      <c r="AK1599" t="inlineStr">
        <is>
          <t>No, I don't need at all</t>
        </is>
      </c>
      <c r="AL1599"/>
      <c r="AM1599" t="inlineStr">
        <is>
          <t>No, I don't need at all</t>
        </is>
      </c>
      <c r="AN1599"/>
      <c r="AO1599" t="inlineStr">
        <is>
          <t>No, I don't need at all</t>
        </is>
      </c>
      <c r="AP1599" t="inlineStr">
        <is>
          <t>Once per quarter (75%)</t>
        </is>
      </c>
      <c r="AQ1599"/>
      <c r="AR1599"/>
      <c r="AS1599" t="inlineStr">
        <is>
          <t>- Headcount: 2
- Hiring Job Details: 1 presale engineer, 1 product manager or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1599">
        <v>95</v>
      </c>
      <c r="AU1599" t="inlineStr">
        <is>
          <t>0.95</t>
        </is>
      </c>
      <c r="AV1599" t="inlineStr">
        <is>
          <t>5</t>
        </is>
      </c>
      <c r="AW1599" t="inlineStr">
        <is>
          <t>0</t>
        </is>
      </c>
      <c r="AX1599" t="inlineStr">
        <is>
          <t>Not Qualified</t>
        </is>
      </c>
      <c r="AY1599" s="4"/>
      <c r="AZ1599"/>
      <c r="BA1599"/>
      <c r="BB1599"/>
      <c r="BC1599" t="inlineStr">
        <is>
          <t>no response</t>
        </is>
      </c>
      <c r="BD1599" s="4">
        <v>46139.77707175926</v>
      </c>
      <c r="BE1599" t="inlineStr">
        <is>
          <t>paid</t>
        </is>
      </c>
      <c r="BF1599"/>
      <c r="BG1599" t="inlineStr">
        <is>
          <t>Reschedule</t>
        </is>
      </c>
      <c r="BH1599" t="inlineStr">
        <is>
          <t>Edward Hoo</t>
        </is>
      </c>
      <c r="BI1599"/>
      <c r="BJ1599" s="4">
        <v>46144.75127314815</v>
      </c>
      <c r="BK1599" s="4">
        <v>45009.70721064815</v>
      </c>
      <c r="BL1599" t="inlineStr">
        <is>
          <t>0.0</t>
        </is>
      </c>
      <c r="BM1599" t="inlineStr">
        <is>
          <t>600.0</t>
        </is>
      </c>
      <c r="BN1599" t="inlineStr">
        <is>
          <t>View Jobmanager Page</t>
        </is>
      </c>
      <c r="BO1599" s="4">
        <v>45387.488530092596</v>
      </c>
      <c r="BP1599">
        <v>167068</v>
      </c>
      <c r="BQ1599">
        <v>56978</v>
      </c>
      <c r="BR1599" t="inlineStr">
        <is>
          <t>Online</t>
        </is>
      </c>
      <c r="BS1599"/>
      <c r="BT1599">
        <v>56978</v>
      </c>
      <c r="BU1599"/>
      <c r="BV1599">
        <v>2731621</v>
      </c>
      <c r="BW1599" t="inlineStr">
        <is>
          <t>No Answer : Voicemail - WA sent to customer</t>
        </is>
      </c>
      <c r="BX1599"/>
      <c r="BY1599"/>
      <c r="BZ1599" s="4"/>
      <c r="CA1599"/>
      <c r="CB1599"/>
      <c r="CC1599" s="4"/>
      <c r="CD1599" t="inlineStr">
        <is>
          <t>5</t>
        </is>
      </c>
      <c r="CE1599" t="inlineStr">
        <is>
          <t>0</t>
        </is>
      </c>
      <c r="CF1599" t="inlineStr">
        <is>
          <t>Q2-W02</t>
        </is>
      </c>
      <c r="CG1599"/>
      <c r="CH1599"/>
      <c r="CI1599"/>
      <c r="CJ1599" t="inlineStr">
        <is>
          <t>Paid</t>
        </is>
      </c>
      <c r="CK1599" t="inlineStr">
        <is>
          <t>Not Eligible</t>
        </is>
      </c>
      <c r="CL1599"/>
      <c r="CM1599"/>
    </row>
    <row r="1600" ht="25.5" customHeight="1">
      <c r="A1600" t="inlineStr">
        <is>
          <t>196536</t>
        </is>
      </c>
      <c r="B1600" s="2"/>
      <c r="C1600"/>
      <c r="D1600" s="3">
        <v>46126.89753472222</v>
      </c>
      <c r="E1600" t="inlineStr">
        <is>
          <t>Q2-W02</t>
        </is>
      </c>
      <c r="F1600" t="inlineStr">
        <is>
          <t>Jess</t>
        </is>
      </c>
      <c r="G1600" t="inlineStr">
        <is>
          <t>Customer</t>
        </is>
      </c>
      <c r="H1600" s="2" t="str">
        <f>=HYPERLINK("https://upbox.ajobthing.my/customer/196536", "https://upbox.ajobthing.my/customer/196536")</f>
        <v>https://upbox.ajobthing.my/customer/196536</v>
      </c>
      <c r="I1600" t="inlineStr">
        <is>
          <t>Nome Technology Sdn Bhd</t>
        </is>
      </c>
      <c r="J1600" t="inlineStr">
        <is>
          <t>Dolphin</t>
        </is>
      </c>
      <c r="K1600" t="inlineStr">
        <is>
          <t>Jess Lim</t>
        </is>
      </c>
      <c r="L1600" s="4"/>
      <c r="M1600" s="4">
        <v>46125.69642361111</v>
      </c>
      <c r="N1600"/>
      <c r="O1600">
        <v>3672</v>
      </c>
      <c r="P1600" s="4"/>
      <c r="Q1600" s="4"/>
      <c r="R1600"/>
      <c r="S1600"/>
      <c r="T1600" s="4"/>
      <c r="U1600" s="4"/>
      <c r="V1600"/>
      <c r="W1600"/>
      <c r="X1600"/>
      <c r="Y1600" t="inlineStr">
        <is>
          <t>Pending Appointment</t>
        </is>
      </c>
      <c r="Z1600" t="inlineStr">
        <is>
          <t>Hiring Now</t>
        </is>
      </c>
      <c r="AA1600">
        <v>1</v>
      </c>
      <c r="AB1600" t="inlineStr">
        <is>
          <t>No Appointment Made</t>
        </is>
      </c>
      <c r="AC1600"/>
      <c r="AD1600" t="inlineStr">
        <is>
          <t>retail 1</t>
        </is>
      </c>
      <c r="AE1600"/>
      <c r="AF1600">
        <v>1200</v>
      </c>
      <c r="AG1600" s="4"/>
      <c r="AH1600" s="4"/>
      <c r="AI1600"/>
      <c r="AJ1600">
        <v>1</v>
      </c>
      <c r="AK1600" t="inlineStr">
        <is>
          <t>No, I don't need at all</t>
        </is>
      </c>
      <c r="AL1600">
        <v>1</v>
      </c>
      <c r="AM1600" t="inlineStr">
        <is>
          <t>No, I don't need at all</t>
        </is>
      </c>
      <c r="AN1600"/>
      <c r="AO1600" t="inlineStr">
        <is>
          <t>No, I don't need at all</t>
        </is>
      </c>
      <c r="AP1600" t="inlineStr">
        <is>
          <t>Once a year (25%)</t>
        </is>
      </c>
      <c r="AQ1600"/>
      <c r="AR1600" t="inlineStr">
        <is>
          <t>Free Job Portal</t>
        </is>
      </c>
      <c r="AS1600" t="inlineStr">
        <is>
          <t>- Headcount: 1
- Hiring Job Details: 1 retail
- Hiring Urgency: Hiring Now
- Number of outlets: 1
- Have recruiter team: No, I don't need at all
- Number of recruiter in company: 1
- Have ATS system: No, I don't need at all
- Have career website: No, I don't need at all
- Current hiring budget: RM1,200.00
- Whole year budget: Not available
- Whole year number of vacancies: Not available
- Hiring frequency: Once a year (25%)
- External job portal: Free Job Portal</t>
        </is>
      </c>
      <c r="AT1600">
        <v>75</v>
      </c>
      <c r="AU1600" t="inlineStr">
        <is>
          <t>0.75</t>
        </is>
      </c>
      <c r="AV1600" t="inlineStr">
        <is>
          <t>15</t>
        </is>
      </c>
      <c r="AW1600" t="inlineStr">
        <is>
          <t>0</t>
        </is>
      </c>
      <c r="AX1600" t="inlineStr">
        <is>
          <t>Not Qualified</t>
        </is>
      </c>
      <c r="AY1600" s="4"/>
      <c r="AZ1600"/>
      <c r="BA1600"/>
      <c r="BB1600"/>
      <c r="BC1600" t="inlineStr">
        <is>
          <t>no pick up</t>
        </is>
      </c>
      <c r="BD1600" s="4">
        <v>46135.456921296296</v>
      </c>
      <c r="BE1600"/>
      <c r="BF1600"/>
      <c r="BG1600" t="inlineStr">
        <is>
          <t>Reschedule</t>
        </is>
      </c>
      <c r="BH1600" t="inlineStr">
        <is>
          <t>Fauziah Maharan</t>
        </is>
      </c>
      <c r="BI1600" t="inlineStr">
        <is>
          <t>Entertainment / Media</t>
        </is>
      </c>
      <c r="BJ1600" s="4">
        <v>46144.75283564815</v>
      </c>
      <c r="BK1600" s="4">
        <v>45925.45648148148</v>
      </c>
      <c r="BL1600" t="inlineStr">
        <is>
          <t>0.0</t>
        </is>
      </c>
      <c r="BM1600" t="inlineStr">
        <is>
          <t>0.0</t>
        </is>
      </c>
      <c r="BN1600" t="inlineStr">
        <is>
          <t>User Visit(Logged In)</t>
        </is>
      </c>
      <c r="BO1600" s="4">
        <v>46142.62564814815</v>
      </c>
      <c r="BP1600">
        <v>166825</v>
      </c>
      <c r="BQ1600"/>
      <c r="BR1600"/>
      <c r="BS1600"/>
      <c r="BT1600"/>
      <c r="BU1600"/>
      <c r="BV1600">
        <v>2722670</v>
      </c>
      <c r="BW1600" t="inlineStr">
        <is>
          <t>No Answer : Voicemail - WA sent to customer</t>
        </is>
      </c>
      <c r="BX1600"/>
      <c r="BY1600"/>
      <c r="BZ1600" s="4"/>
      <c r="CA1600"/>
      <c r="CB1600"/>
      <c r="CC1600" s="4"/>
      <c r="CD1600" t="inlineStr">
        <is>
          <t>20</t>
        </is>
      </c>
      <c r="CE1600" t="inlineStr">
        <is>
          <t>0</t>
        </is>
      </c>
      <c r="CF1600" t="inlineStr">
        <is>
          <t>Q2-W02</t>
        </is>
      </c>
      <c r="CG1600"/>
      <c r="CH1600"/>
      <c r="CI1600"/>
      <c r="CJ1600" t="inlineStr">
        <is>
          <t>No Paid</t>
        </is>
      </c>
      <c r="CK1600" t="inlineStr">
        <is>
          <t>Not Eligible</t>
        </is>
      </c>
      <c r="CL1600"/>
      <c r="CM1600"/>
    </row>
    <row r="1601" ht="25.5" customHeight="1">
      <c r="A1601" t="inlineStr">
        <is>
          <t>152764</t>
        </is>
      </c>
      <c r="B1601" s="2"/>
      <c r="C1601"/>
      <c r="D1601" s="3">
        <v>46126.898888888885</v>
      </c>
      <c r="E1601" t="inlineStr">
        <is>
          <t>Q2-W02</t>
        </is>
      </c>
      <c r="F1601" t="inlineStr">
        <is>
          <t>Jess</t>
        </is>
      </c>
      <c r="G1601" t="inlineStr">
        <is>
          <t>Customer</t>
        </is>
      </c>
      <c r="H1601" s="2" t="str">
        <f>=HYPERLINK("https://upbox.ajobthing.my/customer/152764", "https://upbox.ajobthing.my/customer/152764")</f>
        <v>https://upbox.ajobthing.my/customer/152764</v>
      </c>
      <c r="I1601" t="inlineStr">
        <is>
          <t>Mastery Advertising Media Sdn Bhd</t>
        </is>
      </c>
      <c r="J1601" t="inlineStr">
        <is>
          <t>Dolphin</t>
        </is>
      </c>
      <c r="K1601" t="inlineStr">
        <is>
          <t>Jess Lim</t>
        </is>
      </c>
      <c r="L1601" s="4"/>
      <c r="M1601" s="4">
        <v>46125.73652777778</v>
      </c>
      <c r="N1601"/>
      <c r="O1601">
        <v>3888</v>
      </c>
      <c r="P1601" s="4"/>
      <c r="Q1601" s="4">
        <v>46121.7084837963</v>
      </c>
      <c r="R1601"/>
      <c r="S1601">
        <v>0</v>
      </c>
      <c r="T1601" s="4">
        <v>45023.66170138889</v>
      </c>
      <c r="U1601" s="4"/>
      <c r="V1601"/>
      <c r="W1601">
        <v>636</v>
      </c>
      <c r="X1601"/>
      <c r="Y1601" t="inlineStr">
        <is>
          <t>Pending Appointment</t>
        </is>
      </c>
      <c r="Z1601" t="inlineStr">
        <is>
          <t>Hiring Now</t>
        </is>
      </c>
      <c r="AA1601">
        <v>1</v>
      </c>
      <c r="AB1601" t="inlineStr">
        <is>
          <t>No Appointment Made</t>
        </is>
      </c>
      <c r="AC1601"/>
      <c r="AD1601" t="inlineStr">
        <is>
          <t>site superviosr qs</t>
        </is>
      </c>
      <c r="AE1601"/>
      <c r="AF1601">
        <v>800</v>
      </c>
      <c r="AG1601" s="4"/>
      <c r="AH1601" s="4"/>
      <c r="AI1601"/>
      <c r="AJ1601">
        <v>1</v>
      </c>
      <c r="AK1601" t="inlineStr">
        <is>
          <t>No, I don't need at all</t>
        </is>
      </c>
      <c r="AL1601">
        <v>1</v>
      </c>
      <c r="AM1601" t="inlineStr">
        <is>
          <t>No, I don't need at all</t>
        </is>
      </c>
      <c r="AN1601"/>
      <c r="AO1601"/>
      <c r="AP1601" t="inlineStr">
        <is>
          <t>Once a year (25%)</t>
        </is>
      </c>
      <c r="AQ1601"/>
      <c r="AR1601" t="inlineStr">
        <is>
          <t>Jobstreet</t>
        </is>
      </c>
      <c r="AS1601" t="inlineStr">
        <is>
          <t>- Headcount: 1
- Hiring Job Details: site supervisor qs
- Hiring Urgency: Hiring Now
- Number of outlets: 1
- Have recruiter team: No, I don't need at all
- Number of recruiter in company: 1
- Have ATS system: No, I don't need at all
- Have career website: Not specified
- Current hiring budget: RM800.00
- Whole year budget: Not specified
- Whole year number of vacancies: Not specified
- Hiring frequency: Once a year (25%)
- External job portal: Jobstreet</t>
        </is>
      </c>
      <c r="AT1601">
        <v>95</v>
      </c>
      <c r="AU1601" t="inlineStr">
        <is>
          <t>0.95</t>
        </is>
      </c>
      <c r="AV1601" t="inlineStr">
        <is>
          <t>15</t>
        </is>
      </c>
      <c r="AW1601" t="inlineStr">
        <is>
          <t>0</t>
        </is>
      </c>
      <c r="AX1601" t="inlineStr">
        <is>
          <t>Not Qualified</t>
        </is>
      </c>
      <c r="AY1601" s="4"/>
      <c r="AZ1601"/>
      <c r="BA1601"/>
      <c r="BB1601"/>
      <c r="BC1601" t="inlineStr">
        <is>
          <t>- Headcount: 1
- Hiring Job Details: site supervisor qs
- Hiring Urgency: Hiring Now
- Number of outlets: 1
- Have recruiter team: No, I don't need at all
- Number of recruiter in company: 1
- Have ATS system: No, I don't need at all
- Have career website: Not specified
- Current hiring budget: RM800.00
- Whole year budget: Not specified
- Whole year number of vacancies: Not specified
- Hiring frequency: Once a year (25%)
- External job portal: Jobstreet</t>
        </is>
      </c>
      <c r="BD1601" s="4">
        <v>46126.916712962964</v>
      </c>
      <c r="BE1601" t="inlineStr">
        <is>
          <t>paid</t>
        </is>
      </c>
      <c r="BF1601"/>
      <c r="BG1601" t="inlineStr">
        <is>
          <t>Reschedule</t>
        </is>
      </c>
      <c r="BH1601" t="inlineStr">
        <is>
          <t>Fauziah Maharan</t>
        </is>
      </c>
      <c r="BI1601" t="inlineStr">
        <is>
          <t>Advertising / Marketing</t>
        </is>
      </c>
      <c r="BJ1601" s="4">
        <v>46144.750914351855</v>
      </c>
      <c r="BK1601" s="4">
        <v>44672.450208333335</v>
      </c>
      <c r="BL1601" t="inlineStr">
        <is>
          <t>0.0</t>
        </is>
      </c>
      <c r="BM1601" t="inlineStr">
        <is>
          <t>0.0</t>
        </is>
      </c>
      <c r="BN1601" t="inlineStr">
        <is>
          <t>View Jobmanager Page</t>
        </is>
      </c>
      <c r="BO1601" s="4">
        <v>45033.42634259259</v>
      </c>
      <c r="BP1601">
        <v>166847</v>
      </c>
      <c r="BQ1601">
        <v>121397</v>
      </c>
      <c r="BR1601" t="inlineStr">
        <is>
          <t>Proforma</t>
        </is>
      </c>
      <c r="BS1601" t="inlineStr">
        <is>
          <t>Free Internship Job</t>
        </is>
      </c>
      <c r="BT1601">
        <v>57441</v>
      </c>
      <c r="BU1601"/>
      <c r="BV1601">
        <v>2704857</v>
      </c>
      <c r="BW1601" t="inlineStr">
        <is>
          <t>Customer Inquiry</t>
        </is>
      </c>
      <c r="BX1601"/>
      <c r="BY1601"/>
      <c r="BZ1601" s="4"/>
      <c r="CA1601"/>
      <c r="CB1601"/>
      <c r="CC1601" s="4"/>
      <c r="CD1601" t="inlineStr">
        <is>
          <t>20</t>
        </is>
      </c>
      <c r="CE1601" t="inlineStr">
        <is>
          <t>0</t>
        </is>
      </c>
      <c r="CF1601" t="inlineStr">
        <is>
          <t>Q2-W02</t>
        </is>
      </c>
      <c r="CG1601" t="inlineStr">
        <is>
          <t>Q2-W01</t>
        </is>
      </c>
      <c r="CH1601"/>
      <c r="CI1601"/>
      <c r="CJ1601" t="inlineStr">
        <is>
          <t>Paid</t>
        </is>
      </c>
      <c r="CK1601" t="inlineStr">
        <is>
          <t>Not Eligible</t>
        </is>
      </c>
      <c r="CL1601"/>
      <c r="CM1601"/>
    </row>
    <row r="1602" ht="25.5" customHeight="1">
      <c r="A1602" t="inlineStr">
        <is>
          <t>199711</t>
        </is>
      </c>
      <c r="B1602" s="2"/>
      <c r="C1602"/>
      <c r="D1602" s="3">
        <v>46127.405277777776</v>
      </c>
      <c r="E1602" t="inlineStr">
        <is>
          <t>Q2-W02</t>
        </is>
      </c>
      <c r="F1602" t="inlineStr">
        <is>
          <t>Eugene</t>
        </is>
      </c>
      <c r="G1602" t="inlineStr">
        <is>
          <t>Customer</t>
        </is>
      </c>
      <c r="H1602" s="2" t="str">
        <f>=HYPERLINK("https://upbox.ajobthing.my/customer/199711", "https://upbox.ajobthing.my/customer/199711")</f>
        <v>https://upbox.ajobthing.my/customer/199711</v>
      </c>
      <c r="I1602" t="inlineStr">
        <is>
          <t>Lunix Kids Sdn. Bhd.</t>
        </is>
      </c>
      <c r="J1602" t="inlineStr">
        <is>
          <t>Dolphin</t>
        </is>
      </c>
      <c r="K1602" t="inlineStr">
        <is>
          <t>Eugene</t>
        </is>
      </c>
      <c r="L1602" s="4"/>
      <c r="M1602" s="4">
        <v>46127.4053587963</v>
      </c>
      <c r="N1602"/>
      <c r="O1602">
        <v>3888</v>
      </c>
      <c r="P1602" s="4"/>
      <c r="Q1602" s="4">
        <v>46128.73149305556</v>
      </c>
      <c r="R1602"/>
      <c r="S1602">
        <v>864</v>
      </c>
      <c r="T1602" s="4">
        <v>46128.73149305556</v>
      </c>
      <c r="U1602" s="4"/>
      <c r="V1602"/>
      <c r="W1602">
        <v>864</v>
      </c>
      <c r="X1602"/>
      <c r="Y1602" t="inlineStr">
        <is>
          <t>Pending Appointment</t>
        </is>
      </c>
      <c r="Z1602" t="inlineStr">
        <is>
          <t>Hiring Now</t>
        </is>
      </c>
      <c r="AA1602">
        <v>1</v>
      </c>
      <c r="AB1602" t="inlineStr">
        <is>
          <t>No Appointment Made</t>
        </is>
      </c>
      <c r="AC1602"/>
      <c r="AD1602" t="inlineStr">
        <is>
          <t>1 position, based in KL</t>
        </is>
      </c>
      <c r="AE1602"/>
      <c r="AF1602">
        <v>3000</v>
      </c>
      <c r="AG1602" s="4"/>
      <c r="AH1602" s="4"/>
      <c r="AI1602">
        <v>3000</v>
      </c>
      <c r="AJ1602">
        <v>1</v>
      </c>
      <c r="AK1602" t="inlineStr">
        <is>
          <t>No, I don't need at all</t>
        </is>
      </c>
      <c r="AL1602">
        <v>1</v>
      </c>
      <c r="AM1602" t="inlineStr">
        <is>
          <t>No, I don't need at all</t>
        </is>
      </c>
      <c r="AN1602"/>
      <c r="AO1602" t="inlineStr">
        <is>
          <t>No, I don't need at all</t>
        </is>
      </c>
      <c r="AP1602" t="inlineStr">
        <is>
          <t>Twice a year (50%)</t>
        </is>
      </c>
      <c r="AQ1602">
        <v>3</v>
      </c>
      <c r="AR1602" t="inlineStr">
        <is>
          <t>Free Job Portal</t>
        </is>
      </c>
      <c r="AS1602"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1602">
        <v>85</v>
      </c>
      <c r="AU1602" t="inlineStr">
        <is>
          <t>0.85</t>
        </is>
      </c>
      <c r="AV1602" t="inlineStr">
        <is>
          <t>15</t>
        </is>
      </c>
      <c r="AW1602" t="inlineStr">
        <is>
          <t>0</t>
        </is>
      </c>
      <c r="AX1602" t="inlineStr">
        <is>
          <t>Not Qualified</t>
        </is>
      </c>
      <c r="AY1602" s="4"/>
      <c r="AZ1602"/>
      <c r="BA1602"/>
      <c r="BB1602"/>
      <c r="BC1602" t="inlineStr">
        <is>
          <t>pending to proceed</t>
        </is>
      </c>
      <c r="BD1602" s="4">
        <v>46128.71474537037</v>
      </c>
      <c r="BE1602" t="inlineStr">
        <is>
          <t>paid</t>
        </is>
      </c>
      <c r="BF1602" t="inlineStr">
        <is>
          <t>Q2-W02</t>
        </is>
      </c>
      <c r="BG1602" t="inlineStr">
        <is>
          <t>Reschedule</t>
        </is>
      </c>
      <c r="BH1602" t="inlineStr">
        <is>
          <t>Edward Hoo</t>
        </is>
      </c>
      <c r="BI1602" t="inlineStr">
        <is>
          <t>Education / Training</t>
        </is>
      </c>
      <c r="BJ1602" s="4">
        <v>46144.75336805556</v>
      </c>
      <c r="BK1602" s="4">
        <v>46015.47224537037</v>
      </c>
      <c r="BL1602" t="inlineStr">
        <is>
          <t>1728.0</t>
        </is>
      </c>
      <c r="BM1602" t="inlineStr">
        <is>
          <t>0.0</t>
        </is>
      </c>
      <c r="BN1602" t="inlineStr">
        <is>
          <t>View Candidate Search Page</t>
        </is>
      </c>
      <c r="BO1602" s="4">
        <v>46142.65719907408</v>
      </c>
      <c r="BP1602">
        <v>167070</v>
      </c>
      <c r="BQ1602">
        <v>93918</v>
      </c>
      <c r="BR1602" t="inlineStr">
        <is>
          <t>Online</t>
        </is>
      </c>
      <c r="BS1602"/>
      <c r="BT1602">
        <v>93918</v>
      </c>
      <c r="BU1602"/>
      <c r="BV1602">
        <v>2710400</v>
      </c>
      <c r="BW1602" t="inlineStr">
        <is>
          <t>Follow Up : Decision Pending</t>
        </is>
      </c>
      <c r="BX1602">
        <v>1</v>
      </c>
      <c r="BY1602">
        <v>0</v>
      </c>
      <c r="BZ1602" s="4">
        <v>46128.73149305556</v>
      </c>
      <c r="CA1602">
        <v>23</v>
      </c>
      <c r="CB1602">
        <v>15</v>
      </c>
      <c r="CC1602" s="4">
        <v>46139.604050925926</v>
      </c>
      <c r="CD1602" t="inlineStr">
        <is>
          <t>20</t>
        </is>
      </c>
      <c r="CE1602" t="inlineStr">
        <is>
          <t>0</t>
        </is>
      </c>
      <c r="CF1602" t="inlineStr">
        <is>
          <t>Q2-W02</t>
        </is>
      </c>
      <c r="CG1602" t="inlineStr">
        <is>
          <t>Q2-W02</t>
        </is>
      </c>
      <c r="CH1602" t="inlineStr">
        <is>
          <t>Q2-W02</t>
        </is>
      </c>
      <c r="CI1602"/>
      <c r="CJ1602" t="inlineStr">
        <is>
          <t>Paid</t>
        </is>
      </c>
      <c r="CK1602" t="inlineStr">
        <is>
          <t>Not Eligible</t>
        </is>
      </c>
      <c r="CL1602"/>
      <c r="CM1602"/>
    </row>
    <row r="1603" ht="25.5" customHeight="1">
      <c r="A1603" t="inlineStr">
        <is>
          <t>203215</t>
        </is>
      </c>
      <c r="B1603" s="2"/>
      <c r="C1603"/>
      <c r="D1603" s="3">
        <v>46127.41125</v>
      </c>
      <c r="E1603" t="inlineStr">
        <is>
          <t>Q2-W02</t>
        </is>
      </c>
      <c r="F1603" t="inlineStr">
        <is>
          <t>Clover</t>
        </is>
      </c>
      <c r="G1603" t="inlineStr">
        <is>
          <t>Customer</t>
        </is>
      </c>
      <c r="H1603" s="2" t="str">
        <f>=HYPERLINK("https://upbox.ajobthing.my/customer/203215", "https://upbox.ajobthing.my/customer/203215")</f>
        <v>https://upbox.ajobthing.my/customer/203215</v>
      </c>
      <c r="I1603" t="inlineStr">
        <is>
          <t>Graceland</t>
        </is>
      </c>
      <c r="J1603" t="inlineStr">
        <is>
          <t>Dolphin</t>
        </is>
      </c>
      <c r="K1603" t="inlineStr">
        <is>
          <t>Clover</t>
        </is>
      </c>
      <c r="L1603" s="4"/>
      <c r="M1603" s="4">
        <v>46127.411886574075</v>
      </c>
      <c r="N1603"/>
      <c r="O1603">
        <v>6048</v>
      </c>
      <c r="P1603" s="4"/>
      <c r="Q1603" s="4"/>
      <c r="R1603"/>
      <c r="S1603"/>
      <c r="T1603" s="4"/>
      <c r="U1603" s="4"/>
      <c r="V1603"/>
      <c r="W1603"/>
      <c r="X1603"/>
      <c r="Y1603" t="inlineStr">
        <is>
          <t>Pending Appointment</t>
        </is>
      </c>
      <c r="Z1603" t="inlineStr">
        <is>
          <t>Hiring Now</t>
        </is>
      </c>
      <c r="AA1603">
        <v>16</v>
      </c>
      <c r="AB1603" t="inlineStr">
        <is>
          <t>No Appointment Made</t>
        </is>
      </c>
      <c r="AC1603"/>
      <c r="AD1603" t="inlineStr">
        <is>
          <t>Hire caregiver x15 nursing background, nurse x1-2
1 PJ, 1 Taiping, care center, previous try free portal, Taiping opening on June, suggest pro</t>
        </is>
      </c>
      <c r="AE1603"/>
      <c r="AF1603">
        <v>5000</v>
      </c>
      <c r="AG1603" s="4"/>
      <c r="AH1603" s="4"/>
      <c r="AI1603">
        <v>5000</v>
      </c>
      <c r="AJ1603">
        <v>1</v>
      </c>
      <c r="AK1603" t="inlineStr">
        <is>
          <t>No, but I want in future</t>
        </is>
      </c>
      <c r="AL1603">
        <v>1</v>
      </c>
      <c r="AM1603" t="inlineStr">
        <is>
          <t>No, but I want in future</t>
        </is>
      </c>
      <c r="AN1603"/>
      <c r="AO1603" t="inlineStr">
        <is>
          <t>No, but I want in future</t>
        </is>
      </c>
      <c r="AP1603" t="inlineStr">
        <is>
          <t>Once per quarter (75%)</t>
        </is>
      </c>
      <c r="AQ1603">
        <v>17</v>
      </c>
      <c r="AR1603" t="inlineStr">
        <is>
          <t>Did not use any job portal</t>
        </is>
      </c>
      <c r="AS1603" t="inlineStr">
        <is>
          <t>- Headcount: 16
- Hiring Job Details: Hire caregiver x15 (nursing background), nurse x1-2; 1 PJ, 1 Taiping care center; previous try free portal; Taiping opening on June;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17
- Hiring frequency: Once per quarter (75%)
- External job portal: Did not use any</t>
        </is>
      </c>
      <c r="AT1603">
        <v>115</v>
      </c>
      <c r="AU1603" t="inlineStr">
        <is>
          <t>1.15</t>
        </is>
      </c>
      <c r="AV1603" t="inlineStr">
        <is>
          <t>25</t>
        </is>
      </c>
      <c r="AW1603" t="inlineStr">
        <is>
          <t>0</t>
        </is>
      </c>
      <c r="AX1603" t="inlineStr">
        <is>
          <t>Not Qualified</t>
        </is>
      </c>
      <c r="AY1603" s="4"/>
      <c r="AZ1603"/>
      <c r="BA1603"/>
      <c r="BB1603"/>
      <c r="BC1603" t="inlineStr">
        <is>
          <t>Reject on hold, no reason</t>
        </is>
      </c>
      <c r="BD1603" s="4">
        <v>46135.398148148146</v>
      </c>
      <c r="BE1603"/>
      <c r="BF1603"/>
      <c r="BG1603" t="inlineStr">
        <is>
          <t>Reschedule</t>
        </is>
      </c>
      <c r="BH1603" t="inlineStr">
        <is>
          <t>Reagen</t>
        </is>
      </c>
      <c r="BI1603"/>
      <c r="BJ1603" s="4">
        <v>46144.75425925926</v>
      </c>
      <c r="BK1603" s="4">
        <v>46126.56664351852</v>
      </c>
      <c r="BL1603" t="inlineStr">
        <is>
          <t>0.0</t>
        </is>
      </c>
      <c r="BM1603" t="inlineStr">
        <is>
          <t>0.0</t>
        </is>
      </c>
      <c r="BN1603"/>
      <c r="BO1603" s="4"/>
      <c r="BP1603">
        <v>167072</v>
      </c>
      <c r="BQ1603"/>
      <c r="BR1603"/>
      <c r="BS1603"/>
      <c r="BT1603"/>
      <c r="BU1603"/>
      <c r="BV1603">
        <v>2722202</v>
      </c>
      <c r="BW1603" t="inlineStr">
        <is>
          <t>Follow Up : Lost - Free Portal</t>
        </is>
      </c>
      <c r="BX1603"/>
      <c r="BY1603"/>
      <c r="BZ1603" s="4"/>
      <c r="CA1603"/>
      <c r="CB1603"/>
      <c r="CC1603" s="4"/>
      <c r="CD1603" t="inlineStr">
        <is>
          <t>35</t>
        </is>
      </c>
      <c r="CE1603" t="inlineStr">
        <is>
          <t>0</t>
        </is>
      </c>
      <c r="CF1603" t="inlineStr">
        <is>
          <t>Q2-W02</t>
        </is>
      </c>
      <c r="CG1603"/>
      <c r="CH1603"/>
      <c r="CI1603"/>
      <c r="CJ1603" t="inlineStr">
        <is>
          <t>No Paid</t>
        </is>
      </c>
      <c r="CK1603" t="inlineStr">
        <is>
          <t>Eligible</t>
        </is>
      </c>
      <c r="CL1603"/>
      <c r="CM1603"/>
    </row>
    <row r="1604" ht="25.5" customHeight="1">
      <c r="A1604" t="inlineStr">
        <is>
          <t>177297</t>
        </is>
      </c>
      <c r="B1604" s="2"/>
      <c r="C1604"/>
      <c r="D1604" s="3">
        <v>46127.41458333333</v>
      </c>
      <c r="E1604" t="inlineStr">
        <is>
          <t>Q2-W02</t>
        </is>
      </c>
      <c r="F1604" t="inlineStr">
        <is>
          <t>Luqman</t>
        </is>
      </c>
      <c r="G1604" t="inlineStr">
        <is>
          <t>Customer</t>
        </is>
      </c>
      <c r="H1604" s="2" t="str">
        <f>=HYPERLINK("https://upbox.ajobthing.my/customer/177297", "https://upbox.ajobthing.my/customer/177297")</f>
        <v>https://upbox.ajobthing.my/customer/177297</v>
      </c>
      <c r="I1604" t="inlineStr">
        <is>
          <t>Prompt Brothers Sdn. Bhd.</t>
        </is>
      </c>
      <c r="J1604" t="inlineStr">
        <is>
          <t>Dolphin</t>
        </is>
      </c>
      <c r="K1604" t="inlineStr">
        <is>
          <t>Luqman</t>
        </is>
      </c>
      <c r="L1604" s="4"/>
      <c r="M1604" s="4">
        <v>46127.415</v>
      </c>
      <c r="N1604"/>
      <c r="O1604">
        <v>3888</v>
      </c>
      <c r="P1604" s="4"/>
      <c r="Q1604" s="4">
        <v>45600.613483796296</v>
      </c>
      <c r="R1604"/>
      <c r="S1604">
        <v>2700</v>
      </c>
      <c r="T1604" s="4">
        <v>45600</v>
      </c>
      <c r="U1604" s="4"/>
      <c r="V1604"/>
      <c r="W1604">
        <v>2700</v>
      </c>
      <c r="X1604"/>
      <c r="Y1604" t="inlineStr">
        <is>
          <t>Pending Appointment</t>
        </is>
      </c>
      <c r="Z1604" t="inlineStr">
        <is>
          <t>Hiring Later</t>
        </is>
      </c>
      <c r="AA1604">
        <v>1</v>
      </c>
      <c r="AB1604" t="inlineStr">
        <is>
          <t>No Appointment Made</t>
        </is>
      </c>
      <c r="AC1604"/>
      <c r="AD1604" t="inlineStr">
        <is>
          <t xml:space="preserve">1. Operator </t>
        </is>
      </c>
      <c r="AE1604"/>
      <c r="AF1604">
        <v>1200</v>
      </c>
      <c r="AG1604" s="4"/>
      <c r="AH1604" s="4"/>
      <c r="AI1604">
        <v>1200</v>
      </c>
      <c r="AJ1604"/>
      <c r="AK1604" t="inlineStr">
        <is>
          <t>No, I don't need at all</t>
        </is>
      </c>
      <c r="AL1604">
        <v>1</v>
      </c>
      <c r="AM1604" t="inlineStr">
        <is>
          <t>No, but I want in future</t>
        </is>
      </c>
      <c r="AN1604"/>
      <c r="AO1604" t="inlineStr">
        <is>
          <t>No, I don't need at all</t>
        </is>
      </c>
      <c r="AP1604" t="inlineStr">
        <is>
          <t>Once a year (25%)</t>
        </is>
      </c>
      <c r="AQ1604">
        <v>1</v>
      </c>
      <c r="AR1604" t="inlineStr">
        <is>
          <t>Free Job Portal</t>
        </is>
      </c>
      <c r="AS1604" t="inlineStr">
        <is>
          <t>- Headcount: 1
- Hiring Job Details: 1 Operator
- Hiring Urgency: Hiring Later
- Number of outlets: N/A
- Have recruiter team: No, I don't need at all
- Number of recruiter in company: 1
- Have ATS system: No, but I want in future
- Have career website: No, I don't need at all
- Current hiring budget: RM1,200
- Whole year budget: RM1,200.00
- Whole year number of vacancies: 1
- Hiring frequency: Once a year (25%)
- External job portal: Free Job Portal</t>
        </is>
      </c>
      <c r="AT1604">
        <v>110</v>
      </c>
      <c r="AU1604" t="inlineStr">
        <is>
          <t>1.10</t>
        </is>
      </c>
      <c r="AV1604" t="inlineStr">
        <is>
          <t>15</t>
        </is>
      </c>
      <c r="AW1604" t="inlineStr">
        <is>
          <t>0</t>
        </is>
      </c>
      <c r="AX1604" t="inlineStr">
        <is>
          <t>Not Qualified</t>
        </is>
      </c>
      <c r="AY1604" s="4"/>
      <c r="AZ1604"/>
      <c r="BA1604"/>
      <c r="BB1604"/>
      <c r="BC1604" t="inlineStr">
        <is>
          <t>Lost - Free portal</t>
        </is>
      </c>
      <c r="BD1604" s="4">
        <v>46141.49935185185</v>
      </c>
      <c r="BE1604" t="inlineStr">
        <is>
          <t>paid</t>
        </is>
      </c>
      <c r="BF1604"/>
      <c r="BG1604" t="inlineStr">
        <is>
          <t>Reschedule</t>
        </is>
      </c>
      <c r="BH1604" t="inlineStr">
        <is>
          <t>Edward Hoo</t>
        </is>
      </c>
      <c r="BI1604" t="inlineStr">
        <is>
          <t>Hotel / Hospitality</t>
        </is>
      </c>
      <c r="BJ1604" s="4">
        <v>46144.75167824074</v>
      </c>
      <c r="BK1604" s="4">
        <v>45397.44604166667</v>
      </c>
      <c r="BL1604" t="inlineStr">
        <is>
          <t>0.0</t>
        </is>
      </c>
      <c r="BM1604" t="inlineStr">
        <is>
          <t>0.0</t>
        </is>
      </c>
      <c r="BN1604" t="inlineStr">
        <is>
          <t>View Jobmanager Page</t>
        </is>
      </c>
      <c r="BO1604" s="4">
        <v>45923.93954861111</v>
      </c>
      <c r="BP1604">
        <v>167074</v>
      </c>
      <c r="BQ1604">
        <v>97126</v>
      </c>
      <c r="BR1604" t="inlineStr">
        <is>
          <t>Proforma</t>
        </is>
      </c>
      <c r="BS1604" t="inlineStr">
        <is>
          <t>Yearly Standard Plan</t>
        </is>
      </c>
      <c r="BT1604">
        <v>74368</v>
      </c>
      <c r="BU1604"/>
      <c r="BV1604">
        <v>2734856</v>
      </c>
      <c r="BW1604" t="inlineStr">
        <is>
          <t>Follow Up : Lost - Free Portal</t>
        </is>
      </c>
      <c r="BX1604"/>
      <c r="BY1604"/>
      <c r="BZ1604" s="4"/>
      <c r="CA1604"/>
      <c r="CB1604"/>
      <c r="CC1604" s="4"/>
      <c r="CD1604" t="inlineStr">
        <is>
          <t>20</t>
        </is>
      </c>
      <c r="CE1604" t="inlineStr">
        <is>
          <t>0</t>
        </is>
      </c>
      <c r="CF1604" t="inlineStr">
        <is>
          <t>Q2-W02</t>
        </is>
      </c>
      <c r="CG1604"/>
      <c r="CH1604"/>
      <c r="CI1604"/>
      <c r="CJ1604" t="inlineStr">
        <is>
          <t>Paid</t>
        </is>
      </c>
      <c r="CK1604" t="inlineStr">
        <is>
          <t>Not Eligible</t>
        </is>
      </c>
      <c r="CL1604"/>
      <c r="CM1604"/>
    </row>
    <row r="1605" ht="25.5" customHeight="1">
      <c r="A1605" t="inlineStr">
        <is>
          <t>203246</t>
        </is>
      </c>
      <c r="B1605" s="2"/>
      <c r="C1605"/>
      <c r="D1605" s="3">
        <v>46127.43256944444</v>
      </c>
      <c r="E1605" t="inlineStr">
        <is>
          <t>Q2-W02</t>
        </is>
      </c>
      <c r="F1605" t="inlineStr">
        <is>
          <t>Eugene</t>
        </is>
      </c>
      <c r="G1605" t="inlineStr">
        <is>
          <t>Customer</t>
        </is>
      </c>
      <c r="H1605" s="2" t="str">
        <f>=HYPERLINK("https://upbox.ajobthing.my/customer/203246", "https://upbox.ajobthing.my/customer/203246")</f>
        <v>https://upbox.ajobthing.my/customer/203246</v>
      </c>
      <c r="I1605" t="inlineStr">
        <is>
          <t>Nf Multi Resources</t>
        </is>
      </c>
      <c r="J1605" t="inlineStr">
        <is>
          <t>Dolphin</t>
        </is>
      </c>
      <c r="K1605" t="inlineStr">
        <is>
          <t>Eugene</t>
        </is>
      </c>
      <c r="L1605" s="4"/>
      <c r="M1605" s="4">
        <v>46127.444652777776</v>
      </c>
      <c r="N1605"/>
      <c r="O1605">
        <v>3888</v>
      </c>
      <c r="P1605" s="4"/>
      <c r="Q1605" s="4">
        <v>46127.42040509259</v>
      </c>
      <c r="R1605"/>
      <c r="S1605">
        <v>0</v>
      </c>
      <c r="T1605" s="4"/>
      <c r="U1605" s="4"/>
      <c r="V1605"/>
      <c r="W1605"/>
      <c r="X1605"/>
      <c r="Y1605" t="inlineStr">
        <is>
          <t>Pending Appointment</t>
        </is>
      </c>
      <c r="Z1605" t="inlineStr">
        <is>
          <t>Hiring Now</t>
        </is>
      </c>
      <c r="AA1605">
        <v>1</v>
      </c>
      <c r="AB1605" t="inlineStr">
        <is>
          <t>No Appointment Made</t>
        </is>
      </c>
      <c r="AC1605"/>
      <c r="AD1605" t="inlineStr">
        <is>
          <t>1 position, based in KL</t>
        </is>
      </c>
      <c r="AE1605"/>
      <c r="AF1605">
        <v>3000</v>
      </c>
      <c r="AG1605" s="4"/>
      <c r="AH1605" s="4"/>
      <c r="AI1605">
        <v>3000</v>
      </c>
      <c r="AJ1605">
        <v>1</v>
      </c>
      <c r="AK1605" t="inlineStr">
        <is>
          <t>No, I don't need at all</t>
        </is>
      </c>
      <c r="AL1605">
        <v>1</v>
      </c>
      <c r="AM1605" t="inlineStr">
        <is>
          <t>No, I don't need at all</t>
        </is>
      </c>
      <c r="AN1605"/>
      <c r="AO1605" t="inlineStr">
        <is>
          <t>No, I don't need at all</t>
        </is>
      </c>
      <c r="AP1605" t="inlineStr">
        <is>
          <t>Twice a year (50%)</t>
        </is>
      </c>
      <c r="AQ1605">
        <v>2</v>
      </c>
      <c r="AR1605" t="inlineStr">
        <is>
          <t>Free Job Portal</t>
        </is>
      </c>
      <c r="AS1605"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is>
      </c>
      <c r="AT1605">
        <v>90</v>
      </c>
      <c r="AU1605" t="inlineStr">
        <is>
          <t>0.90</t>
        </is>
      </c>
      <c r="AV1605" t="inlineStr">
        <is>
          <t>15</t>
        </is>
      </c>
      <c r="AW1605" t="inlineStr">
        <is>
          <t>0</t>
        </is>
      </c>
      <c r="AX1605" t="inlineStr">
        <is>
          <t>Not Qualified</t>
        </is>
      </c>
      <c r="AY1605" s="4"/>
      <c r="AZ1605"/>
      <c r="BA1605"/>
      <c r="BB1605"/>
      <c r="BC1605" t="inlineStr">
        <is>
          <t>meniton will share ssm</t>
        </is>
      </c>
      <c r="BD1605" s="4">
        <v>46129.72849537037</v>
      </c>
      <c r="BE1605" t="inlineStr">
        <is>
          <t>paid</t>
        </is>
      </c>
      <c r="BF1605"/>
      <c r="BG1605" t="inlineStr">
        <is>
          <t>Reschedule</t>
        </is>
      </c>
      <c r="BH1605" t="inlineStr">
        <is>
          <t>Edward Hoo</t>
        </is>
      </c>
      <c r="BI1605" t="inlineStr">
        <is>
          <t>Retail / Merchandise</t>
        </is>
      </c>
      <c r="BJ1605" s="4">
        <v>46144.75425925926</v>
      </c>
      <c r="BK1605" s="4">
        <v>46127.41981481481</v>
      </c>
      <c r="BL1605" t="inlineStr">
        <is>
          <t>0.0</t>
        </is>
      </c>
      <c r="BM1605" t="inlineStr">
        <is>
          <t>0.0</t>
        </is>
      </c>
      <c r="BN1605" t="inlineStr">
        <is>
          <t>View Jobmanager Page</t>
        </is>
      </c>
      <c r="BO1605" s="4">
        <v>46129.72673611111</v>
      </c>
      <c r="BP1605">
        <v>167114</v>
      </c>
      <c r="BQ1605">
        <v>122385</v>
      </c>
      <c r="BR1605" t="inlineStr">
        <is>
          <t>Proforma</t>
        </is>
      </c>
      <c r="BS1605" t="inlineStr">
        <is>
          <t>Free Part-Time Job</t>
        </is>
      </c>
      <c r="BT1605"/>
      <c r="BU1605"/>
      <c r="BV1605">
        <v>2713661</v>
      </c>
      <c r="BW1605" t="inlineStr">
        <is>
          <t>Inquire for Hiring Needs : No Hiring</t>
        </is>
      </c>
      <c r="BX1605"/>
      <c r="BY1605"/>
      <c r="BZ1605" s="4"/>
      <c r="CA1605"/>
      <c r="CB1605"/>
      <c r="CC1605" s="4"/>
      <c r="CD1605" t="inlineStr">
        <is>
          <t>20</t>
        </is>
      </c>
      <c r="CE1605" t="inlineStr">
        <is>
          <t>0</t>
        </is>
      </c>
      <c r="CF1605" t="inlineStr">
        <is>
          <t>Q2-W02</t>
        </is>
      </c>
      <c r="CG1605" t="inlineStr">
        <is>
          <t>Q2-W02</t>
        </is>
      </c>
      <c r="CH1605"/>
      <c r="CI1605"/>
      <c r="CJ1605" t="inlineStr">
        <is>
          <t>No Paid</t>
        </is>
      </c>
      <c r="CK1605" t="inlineStr">
        <is>
          <t>Not Eligible</t>
        </is>
      </c>
      <c r="CL1605"/>
      <c r="CM1605"/>
    </row>
    <row r="1606" ht="25.5" customHeight="1">
      <c r="A1606" t="inlineStr">
        <is>
          <t>200313</t>
        </is>
      </c>
      <c r="B1606" s="2"/>
      <c r="C1606"/>
      <c r="D1606" s="3">
        <v>46127.432754629626</v>
      </c>
      <c r="E1606" t="inlineStr">
        <is>
          <t>Q2-W02</t>
        </is>
      </c>
      <c r="F1606" t="inlineStr">
        <is>
          <t>Carmen</t>
        </is>
      </c>
      <c r="G1606" t="inlineStr">
        <is>
          <t>Customer</t>
        </is>
      </c>
      <c r="H1606" s="2" t="str">
        <f>=HYPERLINK("https://upbox.ajobthing.my/customer/200313", "https://upbox.ajobthing.my/customer/200313")</f>
        <v>https://upbox.ajobthing.my/customer/200313</v>
      </c>
      <c r="I1606" t="inlineStr">
        <is>
          <t>Team Marine Sdn Bhd</t>
        </is>
      </c>
      <c r="J1606" t="inlineStr">
        <is>
          <t>Dolphin</t>
        </is>
      </c>
      <c r="K1606" t="inlineStr">
        <is>
          <t>Carmen</t>
        </is>
      </c>
      <c r="L1606" s="4"/>
      <c r="M1606" s="4">
        <v>46127.43332175926</v>
      </c>
      <c r="N1606"/>
      <c r="O1606">
        <v>1296</v>
      </c>
      <c r="P1606" s="4"/>
      <c r="Q1606" s="4">
        <v>46044.49208333333</v>
      </c>
      <c r="R1606"/>
      <c r="S1606">
        <v>0</v>
      </c>
      <c r="T1606" s="4">
        <v>46038.60486111111</v>
      </c>
      <c r="U1606" s="4"/>
      <c r="V1606"/>
      <c r="W1606">
        <v>1296</v>
      </c>
      <c r="X1606"/>
      <c r="Y1606" t="inlineStr">
        <is>
          <t>Pending Appointment</t>
        </is>
      </c>
      <c r="Z1606" t="inlineStr">
        <is>
          <t>Hiring Now</t>
        </is>
      </c>
      <c r="AA1606">
        <v>1</v>
      </c>
      <c r="AB1606" t="inlineStr">
        <is>
          <t>No Appointment Made</t>
        </is>
      </c>
      <c r="AC1606"/>
      <c r="AD1606" t="inlineStr">
        <is>
          <t>1 sales and marketing</t>
        </is>
      </c>
      <c r="AE1606"/>
      <c r="AF1606">
        <v>1000</v>
      </c>
      <c r="AG1606" s="4"/>
      <c r="AH1606" s="4"/>
      <c r="AI1606"/>
      <c r="AJ1606"/>
      <c r="AK1606"/>
      <c r="AL1606"/>
      <c r="AM1606"/>
      <c r="AN1606"/>
      <c r="AO1606"/>
      <c r="AP1606"/>
      <c r="AQ1606"/>
      <c r="AR1606"/>
      <c r="AS1606" t="inlineStr">
        <is>
          <t>- Headcount: 1
- Hiring Job Details: 1 sales and marketing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Not available
- External job portal: Not available</t>
        </is>
      </c>
      <c r="AT1606">
        <v>65</v>
      </c>
      <c r="AU1606" t="inlineStr">
        <is>
          <t>0.65</t>
        </is>
      </c>
      <c r="AV1606" t="inlineStr">
        <is>
          <t>15</t>
        </is>
      </c>
      <c r="AW1606" t="inlineStr">
        <is>
          <t>0</t>
        </is>
      </c>
      <c r="AX1606" t="inlineStr">
        <is>
          <t>Not Qualified</t>
        </is>
      </c>
      <c r="AY1606" s="4"/>
      <c r="AZ1606"/>
      <c r="BA1606"/>
      <c r="BB1606"/>
      <c r="BC1606" t="inlineStr">
        <is>
          <t>she said she used rexcool there to hire back</t>
        </is>
      </c>
      <c r="BD1606" s="4">
        <v>46134.74034722222</v>
      </c>
      <c r="BE1606" t="inlineStr">
        <is>
          <t>paid</t>
        </is>
      </c>
      <c r="BF1606" t="inlineStr">
        <is>
          <t>Q1-W03</t>
        </is>
      </c>
      <c r="BG1606" t="inlineStr">
        <is>
          <t>Reschedule</t>
        </is>
      </c>
      <c r="BH1606" t="inlineStr">
        <is>
          <t>Reagen</t>
        </is>
      </c>
      <c r="BI1606" t="inlineStr">
        <is>
          <t>Marine / Aquaculture</t>
        </is>
      </c>
      <c r="BJ1606" s="4">
        <v>46144.75351851852</v>
      </c>
      <c r="BK1606" s="4">
        <v>46037.432708333334</v>
      </c>
      <c r="BL1606" t="inlineStr">
        <is>
          <t>1296.0</t>
        </is>
      </c>
      <c r="BM1606" t="inlineStr">
        <is>
          <t>0.0</t>
        </is>
      </c>
      <c r="BN1606" t="inlineStr">
        <is>
          <t>View Company Page</t>
        </is>
      </c>
      <c r="BO1606" s="4">
        <v>46130.37306712963</v>
      </c>
      <c r="BP1606">
        <v>167080</v>
      </c>
      <c r="BQ1606">
        <v>114245</v>
      </c>
      <c r="BR1606" t="inlineStr">
        <is>
          <t>Proforma</t>
        </is>
      </c>
      <c r="BS1606" t="inlineStr">
        <is>
          <t>Free Internship Job</t>
        </is>
      </c>
      <c r="BT1606">
        <v>85636</v>
      </c>
      <c r="BU1606"/>
      <c r="BV1606">
        <v>2721983</v>
      </c>
      <c r="BW1606" t="inlineStr">
        <is>
          <t>Follow Up : Lost - Paid Portal</t>
        </is>
      </c>
      <c r="BX1606"/>
      <c r="BY1606"/>
      <c r="BZ1606" s="4"/>
      <c r="CA1606"/>
      <c r="CB1606"/>
      <c r="CC1606" s="4"/>
      <c r="CD1606" t="inlineStr">
        <is>
          <t>20</t>
        </is>
      </c>
      <c r="CE1606" t="inlineStr">
        <is>
          <t>0</t>
        </is>
      </c>
      <c r="CF1606" t="inlineStr">
        <is>
          <t>Q2-W02</t>
        </is>
      </c>
      <c r="CG1606" t="inlineStr">
        <is>
          <t>Q1-W03</t>
        </is>
      </c>
      <c r="CH1606" t="inlineStr">
        <is>
          <t>Q1-W03</t>
        </is>
      </c>
      <c r="CI1606"/>
      <c r="CJ1606" t="inlineStr">
        <is>
          <t>Paid</t>
        </is>
      </c>
      <c r="CK1606" t="inlineStr">
        <is>
          <t>Not Eligible</t>
        </is>
      </c>
      <c r="CL1606"/>
      <c r="CM1606"/>
    </row>
    <row r="1607" ht="25.5" customHeight="1">
      <c r="A1607" t="inlineStr">
        <is>
          <t>177233</t>
        </is>
      </c>
      <c r="B1607" s="2"/>
      <c r="C1607"/>
      <c r="D1607" s="3">
        <v>46127.43292824074</v>
      </c>
      <c r="E1607" t="inlineStr">
        <is>
          <t>Q2-W02</t>
        </is>
      </c>
      <c r="F1607" t="inlineStr">
        <is>
          <t>Luqman</t>
        </is>
      </c>
      <c r="G1607" t="inlineStr">
        <is>
          <t>Customer</t>
        </is>
      </c>
      <c r="H1607" s="2" t="str">
        <f>=HYPERLINK("https://upbox.ajobthing.my/customer/177233", "https://upbox.ajobthing.my/customer/177233")</f>
        <v>https://upbox.ajobthing.my/customer/177233</v>
      </c>
      <c r="I1607" t="inlineStr">
        <is>
          <t>Ecosense Environmental Technology Sdn. Bhd.</t>
        </is>
      </c>
      <c r="J1607" t="inlineStr">
        <is>
          <t>Dolphin</t>
        </is>
      </c>
      <c r="K1607" t="inlineStr">
        <is>
          <t>Luqman</t>
        </is>
      </c>
      <c r="L1607" s="4"/>
      <c r="M1607" s="4">
        <v>46127.44431712963</v>
      </c>
      <c r="N1607"/>
      <c r="O1607">
        <v>3888</v>
      </c>
      <c r="P1607" s="4"/>
      <c r="Q1607" s="4">
        <v>45405.538668981484</v>
      </c>
      <c r="R1607"/>
      <c r="S1607">
        <v>648</v>
      </c>
      <c r="T1607" s="4">
        <v>45405.538668981484</v>
      </c>
      <c r="U1607" s="4"/>
      <c r="V1607"/>
      <c r="W1607">
        <v>648</v>
      </c>
      <c r="X1607"/>
      <c r="Y1607" t="inlineStr">
        <is>
          <t>Pending Appointment</t>
        </is>
      </c>
      <c r="Z1607" t="inlineStr">
        <is>
          <t>Hiring Later</t>
        </is>
      </c>
      <c r="AA1607">
        <v>1</v>
      </c>
      <c r="AB1607" t="inlineStr">
        <is>
          <t>No Appointment Made</t>
        </is>
      </c>
      <c r="AC1607"/>
      <c r="AD1607" t="inlineStr">
        <is>
          <t>1. Operation Executive</t>
        </is>
      </c>
      <c r="AE1607"/>
      <c r="AF1607">
        <v>1200</v>
      </c>
      <c r="AG1607" s="4"/>
      <c r="AH1607" s="4"/>
      <c r="AI1607">
        <v>1200</v>
      </c>
      <c r="AJ1607"/>
      <c r="AK1607" t="inlineStr">
        <is>
          <t>No, I don't need at all</t>
        </is>
      </c>
      <c r="AL1607">
        <v>1</v>
      </c>
      <c r="AM1607" t="inlineStr">
        <is>
          <t>No, I don't need at all</t>
        </is>
      </c>
      <c r="AN1607"/>
      <c r="AO1607" t="inlineStr">
        <is>
          <t>No, I don't need at all</t>
        </is>
      </c>
      <c r="AP1607" t="inlineStr">
        <is>
          <t>Once a year (25%)</t>
        </is>
      </c>
      <c r="AQ1607">
        <v>1</v>
      </c>
      <c r="AR1607"/>
      <c r="AS1607" t="inlineStr">
        <is>
          <t>- Headcount: 1
- Hiring Job Details: 1 Operation Executive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Not specified</t>
        </is>
      </c>
      <c r="AT1607">
        <v>105</v>
      </c>
      <c r="AU1607" t="inlineStr">
        <is>
          <t>1.05</t>
        </is>
      </c>
      <c r="AV1607" t="inlineStr">
        <is>
          <t>15</t>
        </is>
      </c>
      <c r="AW1607" t="inlineStr">
        <is>
          <t>0</t>
        </is>
      </c>
      <c r="AX1607" t="inlineStr">
        <is>
          <t>Not Qualified</t>
        </is>
      </c>
      <c r="AY1607" s="4"/>
      <c r="AZ1607"/>
      <c r="BA1607"/>
      <c r="BB1607"/>
      <c r="BC1607" t="inlineStr">
        <is>
          <t>Contact different PIC</t>
        </is>
      </c>
      <c r="BD1607" s="4">
        <v>46129.46079861111</v>
      </c>
      <c r="BE1607" t="inlineStr">
        <is>
          <t>paid</t>
        </is>
      </c>
      <c r="BF1607"/>
      <c r="BG1607" t="inlineStr">
        <is>
          <t>Reschedule</t>
        </is>
      </c>
      <c r="BH1607" t="inlineStr">
        <is>
          <t>Edward Hoo</t>
        </is>
      </c>
      <c r="BI1607" t="inlineStr">
        <is>
          <t>Manufacturing / Production</t>
        </is>
      </c>
      <c r="BJ1607" s="4">
        <v>46144.75167824074</v>
      </c>
      <c r="BK1607" s="4">
        <v>45392.6616087963</v>
      </c>
      <c r="BL1607" t="inlineStr">
        <is>
          <t>0.0</t>
        </is>
      </c>
      <c r="BM1607" t="inlineStr">
        <is>
          <t>1200.0</t>
        </is>
      </c>
      <c r="BN1607" t="inlineStr">
        <is>
          <t>View Company Page</t>
        </is>
      </c>
      <c r="BO1607" s="4">
        <v>45569.6043287037</v>
      </c>
      <c r="BP1607">
        <v>167112</v>
      </c>
      <c r="BQ1607">
        <v>68275</v>
      </c>
      <c r="BR1607" t="inlineStr">
        <is>
          <t>Online</t>
        </is>
      </c>
      <c r="BS1607"/>
      <c r="BT1607">
        <v>68275</v>
      </c>
      <c r="BU1607"/>
      <c r="BV1607">
        <v>2711396</v>
      </c>
      <c r="BW1607" t="inlineStr">
        <is>
          <t>Follow Up : Budget Concern</t>
        </is>
      </c>
      <c r="BX1607"/>
      <c r="BY1607"/>
      <c r="BZ1607" s="4"/>
      <c r="CA1607"/>
      <c r="CB1607"/>
      <c r="CC1607" s="4"/>
      <c r="CD1607" t="inlineStr">
        <is>
          <t>20</t>
        </is>
      </c>
      <c r="CE1607" t="inlineStr">
        <is>
          <t>0</t>
        </is>
      </c>
      <c r="CF1607" t="inlineStr">
        <is>
          <t>Q2-W02</t>
        </is>
      </c>
      <c r="CG1607"/>
      <c r="CH1607"/>
      <c r="CI1607"/>
      <c r="CJ1607" t="inlineStr">
        <is>
          <t>Paid</t>
        </is>
      </c>
      <c r="CK1607" t="inlineStr">
        <is>
          <t>Not Eligible</t>
        </is>
      </c>
      <c r="CL1607"/>
      <c r="CM1607"/>
    </row>
    <row r="1608" ht="25.5" customHeight="1">
      <c r="A1608" t="inlineStr">
        <is>
          <t>177233</t>
        </is>
      </c>
      <c r="B1608" s="2"/>
      <c r="C1608"/>
      <c r="D1608" s="3">
        <v>46127.43960648148</v>
      </c>
      <c r="E1608" t="inlineStr">
        <is>
          <t>Q2-W02</t>
        </is>
      </c>
      <c r="F1608" t="inlineStr">
        <is>
          <t>Luqman</t>
        </is>
      </c>
      <c r="G1608" t="inlineStr">
        <is>
          <t>Customer</t>
        </is>
      </c>
      <c r="H1608" s="2" t="str">
        <f>=HYPERLINK("https://upbox.ajobthing.my/customer/177233", "https://upbox.ajobthing.my/customer/177233")</f>
        <v>https://upbox.ajobthing.my/customer/177233</v>
      </c>
      <c r="I1608" t="inlineStr">
        <is>
          <t>Ecosense Environmental Technology Sdn. Bhd.</t>
        </is>
      </c>
      <c r="J1608" t="inlineStr">
        <is>
          <t>Dolphin</t>
        </is>
      </c>
      <c r="K1608" t="inlineStr">
        <is>
          <t>Luqman</t>
        </is>
      </c>
      <c r="L1608" s="4"/>
      <c r="M1608" s="4">
        <v>46127.44431712963</v>
      </c>
      <c r="N1608"/>
      <c r="O1608">
        <v>3888</v>
      </c>
      <c r="P1608" s="4"/>
      <c r="Q1608" s="4">
        <v>45405.538668981484</v>
      </c>
      <c r="R1608"/>
      <c r="S1608">
        <v>648</v>
      </c>
      <c r="T1608" s="4">
        <v>45405.538668981484</v>
      </c>
      <c r="U1608" s="4"/>
      <c r="V1608"/>
      <c r="W1608">
        <v>648</v>
      </c>
      <c r="X1608"/>
      <c r="Y1608" t="inlineStr">
        <is>
          <t>Pending Appointment</t>
        </is>
      </c>
      <c r="Z1608" t="inlineStr">
        <is>
          <t>Hiring Later</t>
        </is>
      </c>
      <c r="AA1608">
        <v>1</v>
      </c>
      <c r="AB1608" t="inlineStr">
        <is>
          <t>No Appointment Made</t>
        </is>
      </c>
      <c r="AC1608"/>
      <c r="AD1608" t="inlineStr">
        <is>
          <t xml:space="preserve">1. Operation Executive </t>
        </is>
      </c>
      <c r="AE1608"/>
      <c r="AF1608">
        <v>1200</v>
      </c>
      <c r="AG1608" s="4"/>
      <c r="AH1608" s="4"/>
      <c r="AI1608">
        <v>1200</v>
      </c>
      <c r="AJ1608"/>
      <c r="AK1608" t="inlineStr">
        <is>
          <t>No, I don't need at all</t>
        </is>
      </c>
      <c r="AL1608">
        <v>1</v>
      </c>
      <c r="AM1608" t="inlineStr">
        <is>
          <t>No, I don't need at all</t>
        </is>
      </c>
      <c r="AN1608"/>
      <c r="AO1608" t="inlineStr">
        <is>
          <t>No, I don't need at all</t>
        </is>
      </c>
      <c r="AP1608" t="inlineStr">
        <is>
          <t>Once a year (25%)</t>
        </is>
      </c>
      <c r="AQ1608">
        <v>1</v>
      </c>
      <c r="AR1608"/>
      <c r="AS1608" t="inlineStr">
        <is>
          <t>- Headcount: 1
- Hiring Job Details: 1 Operation Executive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Not specified</t>
        </is>
      </c>
      <c r="AT1608">
        <v>110</v>
      </c>
      <c r="AU1608" t="inlineStr">
        <is>
          <t>1.10</t>
        </is>
      </c>
      <c r="AV1608" t="inlineStr">
        <is>
          <t>15</t>
        </is>
      </c>
      <c r="AW1608" t="inlineStr">
        <is>
          <t>0</t>
        </is>
      </c>
      <c r="AX1608" t="inlineStr">
        <is>
          <t>Not Qualified</t>
        </is>
      </c>
      <c r="AY1608" s="4"/>
      <c r="AZ1608"/>
      <c r="BA1608"/>
      <c r="BB1608"/>
      <c r="BC1608" t="inlineStr">
        <is>
          <t>Contact different PIC</t>
        </is>
      </c>
      <c r="BD1608" s="4">
        <v>46129.46079861111</v>
      </c>
      <c r="BE1608" t="inlineStr">
        <is>
          <t>paid</t>
        </is>
      </c>
      <c r="BF1608"/>
      <c r="BG1608" t="inlineStr">
        <is>
          <t>Reschedule</t>
        </is>
      </c>
      <c r="BH1608" t="inlineStr">
        <is>
          <t>Edward Hoo</t>
        </is>
      </c>
      <c r="BI1608" t="inlineStr">
        <is>
          <t>Manufacturing / Production</t>
        </is>
      </c>
      <c r="BJ1608" s="4">
        <v>46144.75167824074</v>
      </c>
      <c r="BK1608" s="4">
        <v>45392.6616087963</v>
      </c>
      <c r="BL1608" t="inlineStr">
        <is>
          <t>0.0</t>
        </is>
      </c>
      <c r="BM1608" t="inlineStr">
        <is>
          <t>1200.0</t>
        </is>
      </c>
      <c r="BN1608" t="inlineStr">
        <is>
          <t>View Company Page</t>
        </is>
      </c>
      <c r="BO1608" s="4">
        <v>45569.6043287037</v>
      </c>
      <c r="BP1608">
        <v>167112</v>
      </c>
      <c r="BQ1608">
        <v>68275</v>
      </c>
      <c r="BR1608" t="inlineStr">
        <is>
          <t>Online</t>
        </is>
      </c>
      <c r="BS1608"/>
      <c r="BT1608">
        <v>68275</v>
      </c>
      <c r="BU1608"/>
      <c r="BV1608">
        <v>2711396</v>
      </c>
      <c r="BW1608" t="inlineStr">
        <is>
          <t>Follow Up : Budget Concern</t>
        </is>
      </c>
      <c r="BX1608"/>
      <c r="BY1608"/>
      <c r="BZ1608" s="4"/>
      <c r="CA1608"/>
      <c r="CB1608"/>
      <c r="CC1608" s="4"/>
      <c r="CD1608" t="inlineStr">
        <is>
          <t>20</t>
        </is>
      </c>
      <c r="CE1608" t="inlineStr">
        <is>
          <t>0</t>
        </is>
      </c>
      <c r="CF1608" t="inlineStr">
        <is>
          <t>Q2-W02</t>
        </is>
      </c>
      <c r="CG1608"/>
      <c r="CH1608"/>
      <c r="CI1608"/>
      <c r="CJ1608" t="inlineStr">
        <is>
          <t>Paid</t>
        </is>
      </c>
      <c r="CK1608" t="inlineStr">
        <is>
          <t>Not Eligible</t>
        </is>
      </c>
      <c r="CL1608"/>
      <c r="CM1608"/>
    </row>
    <row r="1609" ht="25.5" customHeight="1">
      <c r="A1609" t="inlineStr">
        <is>
          <t>194974</t>
        </is>
      </c>
      <c r="B1609" s="2"/>
      <c r="C1609"/>
      <c r="D1609" s="3">
        <v>46127.43990740741</v>
      </c>
      <c r="E1609" t="inlineStr">
        <is>
          <t>Q2-W02</t>
        </is>
      </c>
      <c r="F1609" t="inlineStr">
        <is>
          <t>Clover</t>
        </is>
      </c>
      <c r="G1609" t="inlineStr">
        <is>
          <t>Customer</t>
        </is>
      </c>
      <c r="H1609" s="2" t="str">
        <f>=HYPERLINK("https://upbox.ajobthing.my/customer/194974", "https://upbox.ajobthing.my/customer/194974")</f>
        <v>https://upbox.ajobthing.my/customer/194974</v>
      </c>
      <c r="I1609" t="inlineStr">
        <is>
          <t>American Sky International Sdn. Bhd.</t>
        </is>
      </c>
      <c r="J1609" t="inlineStr">
        <is>
          <t>Dolphin</t>
        </is>
      </c>
      <c r="K1609" t="inlineStr">
        <is>
          <t>Clover</t>
        </is>
      </c>
      <c r="L1609" s="4"/>
      <c r="M1609" s="4">
        <v>46127.444340277776</v>
      </c>
      <c r="N1609"/>
      <c r="O1609">
        <v>7344</v>
      </c>
      <c r="P1609" s="4"/>
      <c r="Q1609" s="4">
        <v>46099.277141203704</v>
      </c>
      <c r="R1609"/>
      <c r="S1609">
        <v>1296</v>
      </c>
      <c r="T1609" s="4">
        <v>46099.277141203704</v>
      </c>
      <c r="U1609" s="4"/>
      <c r="V1609"/>
      <c r="W1609">
        <v>1296</v>
      </c>
      <c r="X1609"/>
      <c r="Y1609" t="inlineStr">
        <is>
          <t>Pending Appointment</t>
        </is>
      </c>
      <c r="Z1609" t="inlineStr">
        <is>
          <t>Hiring Now</t>
        </is>
      </c>
      <c r="AA1609">
        <v>4</v>
      </c>
      <c r="AB1609" t="inlineStr">
        <is>
          <t>No Appointment Made</t>
        </is>
      </c>
      <c r="AC1609"/>
      <c r="AD1609" t="inlineStr">
        <is>
          <t>Current Indoor sales x4, night shift 10-7am Mon - Fri, mount kiara, future will continue hiring, prefer more on candidate search, suggest buy 3 free 3 + candidate search 320</t>
        </is>
      </c>
      <c r="AE1609"/>
      <c r="AF1609">
        <v>3000</v>
      </c>
      <c r="AG1609" s="4"/>
      <c r="AH1609" s="4"/>
      <c r="AI1609">
        <v>3000</v>
      </c>
      <c r="AJ1609">
        <v>1</v>
      </c>
      <c r="AK1609" t="inlineStr">
        <is>
          <t>No, but I want in future</t>
        </is>
      </c>
      <c r="AL1609">
        <v>1</v>
      </c>
      <c r="AM1609" t="inlineStr">
        <is>
          <t>No, but I want in future</t>
        </is>
      </c>
      <c r="AN1609"/>
      <c r="AO1609" t="inlineStr">
        <is>
          <t>No, but I want in future</t>
        </is>
      </c>
      <c r="AP1609" t="inlineStr">
        <is>
          <t>Once per quarter (75%)</t>
        </is>
      </c>
      <c r="AQ1609">
        <v>4</v>
      </c>
      <c r="AR1609" t="inlineStr">
        <is>
          <t>Did not use any job portal</t>
        </is>
      </c>
      <c r="AS1609" t="inlineStr">
        <is>
          <t>- Headcount: 4
- Hiring Job Details: Current 4 indoor sales (10-7am night shift Mon-Fri, Mount Kiara); future hiring, prefer candidate search, suggest buy 3 free 3 + candidate search 320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4
- Hiring frequency: Once per quarter (75%)
- External job portal: Did not use any</t>
        </is>
      </c>
      <c r="AT1609">
        <v>115</v>
      </c>
      <c r="AU1609" t="inlineStr">
        <is>
          <t>1.15</t>
        </is>
      </c>
      <c r="AV1609" t="inlineStr">
        <is>
          <t>15</t>
        </is>
      </c>
      <c r="AW1609" t="inlineStr">
        <is>
          <t>0</t>
        </is>
      </c>
      <c r="AX1609" t="inlineStr">
        <is>
          <t>Not Qualified</t>
        </is>
      </c>
      <c r="AY1609" s="4"/>
      <c r="AZ1609"/>
      <c r="BA1609"/>
      <c r="BB1609"/>
      <c r="BC1609" t="inlineStr">
        <is>
          <t>Share month end promo, pending update</t>
        </is>
      </c>
      <c r="BD1609" s="4">
        <v>46141.42538194444</v>
      </c>
      <c r="BE1609" t="inlineStr">
        <is>
          <t>paid</t>
        </is>
      </c>
      <c r="BF1609" t="inlineStr">
        <is>
          <t>Q1-W11</t>
        </is>
      </c>
      <c r="BG1609" t="inlineStr">
        <is>
          <t>Reschedule</t>
        </is>
      </c>
      <c r="BH1609" t="inlineStr">
        <is>
          <t>Reagen</t>
        </is>
      </c>
      <c r="BI1609" t="inlineStr">
        <is>
          <t>Call Center / BPO</t>
        </is>
      </c>
      <c r="BJ1609" s="4">
        <v>46144.75274305556</v>
      </c>
      <c r="BK1609" s="4">
        <v>45883.869837962964</v>
      </c>
      <c r="BL1609" t="inlineStr">
        <is>
          <t>4266.0</t>
        </is>
      </c>
      <c r="BM1609" t="inlineStr">
        <is>
          <t>0.0</t>
        </is>
      </c>
      <c r="BN1609" t="inlineStr">
        <is>
          <t>View Candidate Search Page</t>
        </is>
      </c>
      <c r="BO1609" s="4">
        <v>46142.94412037037</v>
      </c>
      <c r="BP1609">
        <v>167113</v>
      </c>
      <c r="BQ1609">
        <v>88961</v>
      </c>
      <c r="BR1609" t="inlineStr">
        <is>
          <t>Online</t>
        </is>
      </c>
      <c r="BS1609"/>
      <c r="BT1609">
        <v>88961</v>
      </c>
      <c r="BU1609"/>
      <c r="BV1609">
        <v>2734325</v>
      </c>
      <c r="BW1609" t="inlineStr">
        <is>
          <t>Follow Up : Decision Pending</t>
        </is>
      </c>
      <c r="BX1609">
        <v>3</v>
      </c>
      <c r="BY1609">
        <v>2</v>
      </c>
      <c r="BZ1609" s="4">
        <v>46129.17789351852</v>
      </c>
      <c r="CA1609"/>
      <c r="CB1609"/>
      <c r="CC1609" s="4"/>
      <c r="CD1609" t="inlineStr">
        <is>
          <t>20</t>
        </is>
      </c>
      <c r="CE1609" t="inlineStr">
        <is>
          <t>0</t>
        </is>
      </c>
      <c r="CF1609" t="inlineStr">
        <is>
          <t>Q2-W02</t>
        </is>
      </c>
      <c r="CG1609" t="inlineStr">
        <is>
          <t>Q1-W11</t>
        </is>
      </c>
      <c r="CH1609" t="inlineStr">
        <is>
          <t>Q1-W11</t>
        </is>
      </c>
      <c r="CI1609"/>
      <c r="CJ1609" t="inlineStr">
        <is>
          <t>Paid</t>
        </is>
      </c>
      <c r="CK1609" t="inlineStr">
        <is>
          <t>Not Eligible</t>
        </is>
      </c>
      <c r="CL1609"/>
      <c r="CM1609"/>
    </row>
    <row r="1610" ht="25.5" customHeight="1">
      <c r="A1610" t="inlineStr">
        <is>
          <t>203246</t>
        </is>
      </c>
      <c r="B1610" s="2"/>
      <c r="C1610"/>
      <c r="D1610" s="3">
        <v>46127.44541666667</v>
      </c>
      <c r="E1610" t="inlineStr">
        <is>
          <t>Q2-W02</t>
        </is>
      </c>
      <c r="F1610" t="inlineStr">
        <is>
          <t>Eugene</t>
        </is>
      </c>
      <c r="G1610" t="inlineStr">
        <is>
          <t>Customer</t>
        </is>
      </c>
      <c r="H1610" s="2" t="str">
        <f>=HYPERLINK("https://upbox.ajobthing.my/customer/203246", "https://upbox.ajobthing.my/customer/203246")</f>
        <v>https://upbox.ajobthing.my/customer/203246</v>
      </c>
      <c r="I1610" t="inlineStr">
        <is>
          <t>Nf Multi Resources</t>
        </is>
      </c>
      <c r="J1610" t="inlineStr">
        <is>
          <t>Dolphin</t>
        </is>
      </c>
      <c r="K1610" t="inlineStr">
        <is>
          <t>Eugene</t>
        </is>
      </c>
      <c r="L1610" s="4"/>
      <c r="M1610" s="4">
        <v>46127.444652777776</v>
      </c>
      <c r="N1610"/>
      <c r="O1610">
        <v>3888</v>
      </c>
      <c r="P1610" s="4"/>
      <c r="Q1610" s="4">
        <v>46127.42040509259</v>
      </c>
      <c r="R1610"/>
      <c r="S1610">
        <v>0</v>
      </c>
      <c r="T1610" s="4"/>
      <c r="U1610" s="4"/>
      <c r="V1610"/>
      <c r="W1610"/>
      <c r="X1610"/>
      <c r="Y1610" t="inlineStr">
        <is>
          <t>Pending Appointment</t>
        </is>
      </c>
      <c r="Z1610" t="inlineStr">
        <is>
          <t>Hiring Now</t>
        </is>
      </c>
      <c r="AA1610">
        <v>1</v>
      </c>
      <c r="AB1610" t="inlineStr">
        <is>
          <t>No Appointment Made</t>
        </is>
      </c>
      <c r="AC1610"/>
      <c r="AD1610" t="inlineStr">
        <is>
          <t>1 position, based in KL</t>
        </is>
      </c>
      <c r="AE1610"/>
      <c r="AF1610">
        <v>3000</v>
      </c>
      <c r="AG1610" s="4"/>
      <c r="AH1610" s="4"/>
      <c r="AI1610">
        <v>3000</v>
      </c>
      <c r="AJ1610">
        <v>1</v>
      </c>
      <c r="AK1610" t="inlineStr">
        <is>
          <t>No, I don't need at all</t>
        </is>
      </c>
      <c r="AL1610">
        <v>1</v>
      </c>
      <c r="AM1610" t="inlineStr">
        <is>
          <t>No, I don't need at all</t>
        </is>
      </c>
      <c r="AN1610"/>
      <c r="AO1610" t="inlineStr">
        <is>
          <t>No, I don't need at all</t>
        </is>
      </c>
      <c r="AP1610" t="inlineStr">
        <is>
          <t>Twice a year (50%)</t>
        </is>
      </c>
      <c r="AQ1610">
        <v>2</v>
      </c>
      <c r="AR1610" t="inlineStr">
        <is>
          <t>Free Job Portal</t>
        </is>
      </c>
      <c r="AS1610"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is>
      </c>
      <c r="AT1610">
        <v>85</v>
      </c>
      <c r="AU1610" t="inlineStr">
        <is>
          <t>0.85</t>
        </is>
      </c>
      <c r="AV1610" t="inlineStr">
        <is>
          <t>15</t>
        </is>
      </c>
      <c r="AW1610" t="inlineStr">
        <is>
          <t>0</t>
        </is>
      </c>
      <c r="AX1610" t="inlineStr">
        <is>
          <t>Not Qualified</t>
        </is>
      </c>
      <c r="AY1610" s="4"/>
      <c r="AZ1610"/>
      <c r="BA1610"/>
      <c r="BB1610"/>
      <c r="BC1610" t="inlineStr">
        <is>
          <t>meniton will share ssm</t>
        </is>
      </c>
      <c r="BD1610" s="4">
        <v>46129.72849537037</v>
      </c>
      <c r="BE1610" t="inlineStr">
        <is>
          <t>paid</t>
        </is>
      </c>
      <c r="BF1610"/>
      <c r="BG1610" t="inlineStr">
        <is>
          <t>Reschedule</t>
        </is>
      </c>
      <c r="BH1610" t="inlineStr">
        <is>
          <t>Edward Hoo</t>
        </is>
      </c>
      <c r="BI1610" t="inlineStr">
        <is>
          <t>Retail / Merchandise</t>
        </is>
      </c>
      <c r="BJ1610" s="4">
        <v>46144.75425925926</v>
      </c>
      <c r="BK1610" s="4">
        <v>46127.41981481481</v>
      </c>
      <c r="BL1610" t="inlineStr">
        <is>
          <t>0.0</t>
        </is>
      </c>
      <c r="BM1610" t="inlineStr">
        <is>
          <t>0.0</t>
        </is>
      </c>
      <c r="BN1610" t="inlineStr">
        <is>
          <t>View Jobmanager Page</t>
        </is>
      </c>
      <c r="BO1610" s="4">
        <v>46129.72673611111</v>
      </c>
      <c r="BP1610">
        <v>167114</v>
      </c>
      <c r="BQ1610">
        <v>122385</v>
      </c>
      <c r="BR1610" t="inlineStr">
        <is>
          <t>Proforma</t>
        </is>
      </c>
      <c r="BS1610" t="inlineStr">
        <is>
          <t>Free Part-Time Job</t>
        </is>
      </c>
      <c r="BT1610"/>
      <c r="BU1610"/>
      <c r="BV1610">
        <v>2713661</v>
      </c>
      <c r="BW1610" t="inlineStr">
        <is>
          <t>Inquire for Hiring Needs : No Hiring</t>
        </is>
      </c>
      <c r="BX1610"/>
      <c r="BY1610"/>
      <c r="BZ1610" s="4"/>
      <c r="CA1610"/>
      <c r="CB1610"/>
      <c r="CC1610" s="4"/>
      <c r="CD1610" t="inlineStr">
        <is>
          <t>20</t>
        </is>
      </c>
      <c r="CE1610" t="inlineStr">
        <is>
          <t>0</t>
        </is>
      </c>
      <c r="CF1610" t="inlineStr">
        <is>
          <t>Q2-W02</t>
        </is>
      </c>
      <c r="CG1610" t="inlineStr">
        <is>
          <t>Q2-W02</t>
        </is>
      </c>
      <c r="CH1610"/>
      <c r="CI1610"/>
      <c r="CJ1610" t="inlineStr">
        <is>
          <t>No Paid</t>
        </is>
      </c>
      <c r="CK1610" t="inlineStr">
        <is>
          <t>Not Eligible</t>
        </is>
      </c>
      <c r="CL1610"/>
      <c r="CM1610"/>
    </row>
    <row r="1611" ht="25.5" customHeight="1">
      <c r="A1611" t="inlineStr">
        <is>
          <t>185704</t>
        </is>
      </c>
      <c r="B1611" s="2"/>
      <c r="C1611"/>
      <c r="D1611" s="3">
        <v>46127.44763888889</v>
      </c>
      <c r="E1611" t="inlineStr">
        <is>
          <t>Q2-W02</t>
        </is>
      </c>
      <c r="F1611" t="inlineStr">
        <is>
          <t>Angel  Low</t>
        </is>
      </c>
      <c r="G1611" t="inlineStr">
        <is>
          <t>Customer</t>
        </is>
      </c>
      <c r="H1611" s="2" t="str">
        <f>=HYPERLINK("https://upbox.ajobthing.my/customer/185704", "https://upbox.ajobthing.my/customer/185704")</f>
        <v>https://upbox.ajobthing.my/customer/185704</v>
      </c>
      <c r="I1611" t="inlineStr">
        <is>
          <t>EOS Stay Sdn Bhd</t>
        </is>
      </c>
      <c r="J1611" t="inlineStr">
        <is>
          <t>Dolphin</t>
        </is>
      </c>
      <c r="K1611" t="inlineStr">
        <is>
          <t>Angel Low</t>
        </is>
      </c>
      <c r="L1611" s="4"/>
      <c r="M1611" s="4">
        <v>46127.44789351852</v>
      </c>
      <c r="N1611"/>
      <c r="O1611">
        <v>3672</v>
      </c>
      <c r="P1611" s="4"/>
      <c r="Q1611" s="4">
        <v>45639.65925925926</v>
      </c>
      <c r="R1611"/>
      <c r="S1611">
        <v>2160</v>
      </c>
      <c r="T1611" s="4">
        <v>45639.65925925926</v>
      </c>
      <c r="U1611" s="4"/>
      <c r="V1611"/>
      <c r="W1611">
        <v>2160</v>
      </c>
      <c r="X1611" t="inlineStr">
        <is>
          <t>Fauziah Maharan</t>
        </is>
      </c>
      <c r="Y1611" t="inlineStr">
        <is>
          <t>Pending Appointment</t>
        </is>
      </c>
      <c r="Z1611"/>
      <c r="AA1611">
        <v>1</v>
      </c>
      <c r="AB1611" t="inlineStr">
        <is>
          <t>Appointment Made</t>
        </is>
      </c>
      <c r="AC1611" t="inlineStr">
        <is>
          <t>SME (&lt;50 employees)</t>
        </is>
      </c>
      <c r="AD1611" t="inlineStr">
        <is>
          <t xml:space="preserve">1 sales </t>
        </is>
      </c>
      <c r="AE1611" t="inlineStr">
        <is>
          <t>HR Manager / Talent Manager</t>
        </is>
      </c>
      <c r="AF1611"/>
      <c r="AG1611" s="4">
        <v>46127.416666666664</v>
      </c>
      <c r="AH1611" s="4">
        <v>46127.4375</v>
      </c>
      <c r="AI1611"/>
      <c r="AJ1611"/>
      <c r="AK1611"/>
      <c r="AL1611"/>
      <c r="AM1611"/>
      <c r="AN1611"/>
      <c r="AO1611"/>
      <c r="AP1611"/>
      <c r="AQ1611"/>
      <c r="AR1611"/>
      <c r="AS1611" t="inlineStr">
        <is>
          <t>- Headcount: 1
- Hiring Job Details: 1 sales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611">
        <v>60</v>
      </c>
      <c r="AU1611" t="inlineStr">
        <is>
          <t>0.60</t>
        </is>
      </c>
      <c r="AV1611" t="inlineStr">
        <is>
          <t>20</t>
        </is>
      </c>
      <c r="AW1611" t="inlineStr">
        <is>
          <t>0</t>
        </is>
      </c>
      <c r="AX1611" t="inlineStr">
        <is>
          <t>Not Qualified</t>
        </is>
      </c>
      <c r="AY1611" s="4"/>
      <c r="AZ1611"/>
      <c r="BA1611"/>
      <c r="BB1611"/>
      <c r="BC1611" t="inlineStr">
        <is>
          <t>on hold</t>
        </is>
      </c>
      <c r="BD1611" s="4">
        <v>46133.46337962963</v>
      </c>
      <c r="BE1611" t="inlineStr">
        <is>
          <t>paid</t>
        </is>
      </c>
      <c r="BF1611"/>
      <c r="BG1611" t="inlineStr">
        <is>
          <t>Reschedule</t>
        </is>
      </c>
      <c r="BH1611" t="inlineStr">
        <is>
          <t>Fauziah Maharan</t>
        </is>
      </c>
      <c r="BI1611" t="inlineStr">
        <is>
          <t>Hotel / Hospitality</t>
        </is>
      </c>
      <c r="BJ1611" s="4">
        <v>46144.752071759256</v>
      </c>
      <c r="BK1611" s="4">
        <v>45636.90393518518</v>
      </c>
      <c r="BL1611" t="inlineStr">
        <is>
          <t>0.0</t>
        </is>
      </c>
      <c r="BM1611" t="inlineStr">
        <is>
          <t>0.0</t>
        </is>
      </c>
      <c r="BN1611" t="inlineStr">
        <is>
          <t>User Visit(Logged In)</t>
        </is>
      </c>
      <c r="BO1611" s="4">
        <v>46127.45482638889</v>
      </c>
      <c r="BP1611">
        <v>167117</v>
      </c>
      <c r="BQ1611">
        <v>75406</v>
      </c>
      <c r="BR1611" t="inlineStr">
        <is>
          <t>Online</t>
        </is>
      </c>
      <c r="BS1611"/>
      <c r="BT1611">
        <v>75406</v>
      </c>
      <c r="BU1611"/>
      <c r="BV1611">
        <v>2717340</v>
      </c>
      <c r="BW1611" t="inlineStr">
        <is>
          <t>Follow Up : Lost - Free Portal</t>
        </is>
      </c>
      <c r="BX1611"/>
      <c r="BY1611"/>
      <c r="BZ1611" s="4"/>
      <c r="CA1611"/>
      <c r="CB1611"/>
      <c r="CC1611" s="4"/>
      <c r="CD1611" t="inlineStr">
        <is>
          <t>25</t>
        </is>
      </c>
      <c r="CE1611" t="inlineStr">
        <is>
          <t>0</t>
        </is>
      </c>
      <c r="CF1611" t="inlineStr">
        <is>
          <t>Q2-W02</t>
        </is>
      </c>
      <c r="CG1611"/>
      <c r="CH1611"/>
      <c r="CI1611"/>
      <c r="CJ1611" t="inlineStr">
        <is>
          <t>Paid</t>
        </is>
      </c>
      <c r="CK1611" t="inlineStr">
        <is>
          <t>Not Eligible</t>
        </is>
      </c>
      <c r="CL1611"/>
      <c r="CM1611"/>
    </row>
    <row r="1612" ht="25.5" customHeight="1">
      <c r="A1612" t="inlineStr">
        <is>
          <t>44716</t>
        </is>
      </c>
      <c r="B1612" s="2"/>
      <c r="C1612"/>
      <c r="D1612" s="3">
        <v>46127.448969907404</v>
      </c>
      <c r="E1612" t="inlineStr">
        <is>
          <t>Q2-W02</t>
        </is>
      </c>
      <c r="F1612" t="inlineStr">
        <is>
          <t>Josh</t>
        </is>
      </c>
      <c r="G1612" t="inlineStr">
        <is>
          <t>Customer</t>
        </is>
      </c>
      <c r="H1612" s="2" t="str">
        <f>=HYPERLINK("https://upbox.ajobthing.my/customer/44716", "https://upbox.ajobthing.my/customer/44716")</f>
        <v>https://upbox.ajobthing.my/customer/44716</v>
      </c>
      <c r="I1612" t="inlineStr">
        <is>
          <t>BSgifts Sdn. Bhd.</t>
        </is>
      </c>
      <c r="J1612" t="inlineStr">
        <is>
          <t>Dolphin</t>
        </is>
      </c>
      <c r="K1612" t="inlineStr">
        <is>
          <t>Josh</t>
        </is>
      </c>
      <c r="L1612" s="4"/>
      <c r="M1612" s="4">
        <v>46127.4490625</v>
      </c>
      <c r="N1612"/>
      <c r="O1612">
        <v>864</v>
      </c>
      <c r="P1612" s="4"/>
      <c r="Q1612" s="4">
        <v>46127.60565972222</v>
      </c>
      <c r="R1612"/>
      <c r="S1612">
        <v>864</v>
      </c>
      <c r="T1612" s="4">
        <v>46127.60565972222</v>
      </c>
      <c r="U1612" s="4"/>
      <c r="V1612"/>
      <c r="W1612">
        <v>864</v>
      </c>
      <c r="X1612"/>
      <c r="Y1612" t="inlineStr">
        <is>
          <t>Pending Appointment</t>
        </is>
      </c>
      <c r="Z1612" t="inlineStr">
        <is>
          <t>Hiring Now</t>
        </is>
      </c>
      <c r="AA1612">
        <v>1</v>
      </c>
      <c r="AB1612" t="inlineStr">
        <is>
          <t>No Appointment Made</t>
        </is>
      </c>
      <c r="AC1612"/>
      <c r="AD1612" t="inlineStr">
        <is>
          <t xml:space="preserve">1 operator </t>
        </is>
      </c>
      <c r="AE1612"/>
      <c r="AF1612">
        <v>1000</v>
      </c>
      <c r="AG1612" s="4"/>
      <c r="AH1612" s="4"/>
      <c r="AI1612"/>
      <c r="AJ1612"/>
      <c r="AK1612" t="inlineStr">
        <is>
          <t>Yes, I have</t>
        </is>
      </c>
      <c r="AL1612"/>
      <c r="AM1612"/>
      <c r="AN1612"/>
      <c r="AO1612"/>
      <c r="AP1612" t="inlineStr">
        <is>
          <t>Once a year (25%)</t>
        </is>
      </c>
      <c r="AQ1612"/>
      <c r="AR1612"/>
      <c r="AS1612" t="inlineStr">
        <is>
          <t>- Headcount: 1
- Hiring Job Details: 1 operator
- Number of outlets: N/A
- Have recruiter team: Yes
- Number of recruiter in company: N/A
- Have ATS system: N/A
- Have career website: N/A
- Current hiring budget: RM1,000.00
- Whole year budget: N/A
- Whole year number of vacancies: N/A
- Hiring frequency: Once a year (25%)
- External job portal: N/A
- Hiring Urgency: Hiring Now</t>
        </is>
      </c>
      <c r="AT1612">
        <v>85</v>
      </c>
      <c r="AU1612" t="inlineStr">
        <is>
          <t>0.85</t>
        </is>
      </c>
      <c r="AV1612" t="inlineStr">
        <is>
          <t>15</t>
        </is>
      </c>
      <c r="AW1612" t="inlineStr">
        <is>
          <t>0</t>
        </is>
      </c>
      <c r="AX1612" t="inlineStr">
        <is>
          <t>Not Qualified</t>
        </is>
      </c>
      <c r="AY1612" s="4"/>
      <c r="AZ1612"/>
      <c r="BA1612"/>
      <c r="BB1612"/>
      <c r="BC1612" t="inlineStr">
        <is>
          <t>assist update job details</t>
        </is>
      </c>
      <c r="BD1612" s="4">
        <v>46136.38480324074</v>
      </c>
      <c r="BE1612" t="inlineStr">
        <is>
          <t>paid</t>
        </is>
      </c>
      <c r="BF1612" t="inlineStr">
        <is>
          <t>Q2-W02</t>
        </is>
      </c>
      <c r="BG1612" t="inlineStr">
        <is>
          <t>Reschedule</t>
        </is>
      </c>
      <c r="BH1612" t="inlineStr">
        <is>
          <t>Fauziah Maharan</t>
        </is>
      </c>
      <c r="BI1612" t="inlineStr">
        <is>
          <t>Retail / Merchandise</t>
        </is>
      </c>
      <c r="BJ1612" s="4">
        <v>46144.7559837963</v>
      </c>
      <c r="BK1612" s="4">
        <v>43088.67157407408</v>
      </c>
      <c r="BL1612" t="inlineStr">
        <is>
          <t>864.0</t>
        </is>
      </c>
      <c r="BM1612" t="inlineStr">
        <is>
          <t>1800.0</t>
        </is>
      </c>
      <c r="BN1612" t="inlineStr">
        <is>
          <t>View Company Page</t>
        </is>
      </c>
      <c r="BO1612" s="4">
        <v>46143.343090277776</v>
      </c>
      <c r="BP1612">
        <v>167119</v>
      </c>
      <c r="BQ1612">
        <v>93646</v>
      </c>
      <c r="BR1612" t="inlineStr">
        <is>
          <t>Online</t>
        </is>
      </c>
      <c r="BS1612"/>
      <c r="BT1612">
        <v>93646</v>
      </c>
      <c r="BU1612"/>
      <c r="BV1612">
        <v>2725306</v>
      </c>
      <c r="BW1612" t="inlineStr">
        <is>
          <t>Service / Technical : Job Outcome Enquiry</t>
        </is>
      </c>
      <c r="BX1612">
        <v>1</v>
      </c>
      <c r="BY1612">
        <v>0</v>
      </c>
      <c r="BZ1612" s="4">
        <v>46128.33510416667</v>
      </c>
      <c r="CA1612">
        <v>23</v>
      </c>
      <c r="CB1612">
        <v>23</v>
      </c>
      <c r="CC1612" s="4"/>
      <c r="CD1612" t="inlineStr">
        <is>
          <t>20</t>
        </is>
      </c>
      <c r="CE1612" t="inlineStr">
        <is>
          <t>0</t>
        </is>
      </c>
      <c r="CF1612" t="inlineStr">
        <is>
          <t>Q2-W02</t>
        </is>
      </c>
      <c r="CG1612" t="inlineStr">
        <is>
          <t>Q2-W02</t>
        </is>
      </c>
      <c r="CH1612" t="inlineStr">
        <is>
          <t>Q2-W02</t>
        </is>
      </c>
      <c r="CI1612"/>
      <c r="CJ1612" t="inlineStr">
        <is>
          <t>Paid</t>
        </is>
      </c>
      <c r="CK1612" t="inlineStr">
        <is>
          <t>Not Eligible</t>
        </is>
      </c>
      <c r="CL1612"/>
      <c r="CM1612"/>
    </row>
    <row r="1613" ht="25.5" customHeight="1">
      <c r="A1613" t="inlineStr">
        <is>
          <t>202561</t>
        </is>
      </c>
      <c r="B1613" s="2"/>
      <c r="C1613"/>
      <c r="D1613" s="3">
        <v>46127.44998842593</v>
      </c>
      <c r="E1613" t="inlineStr">
        <is>
          <t>Q2-W02</t>
        </is>
      </c>
      <c r="F1613" t="inlineStr">
        <is>
          <t>Keegan</t>
        </is>
      </c>
      <c r="G1613" t="inlineStr">
        <is>
          <t>Customer</t>
        </is>
      </c>
      <c r="H1613" s="2" t="str">
        <f>=HYPERLINK("https://upbox.ajobthing.my/customer/202561", "https://upbox.ajobthing.my/customer/202561")</f>
        <v>https://upbox.ajobthing.my/customer/202561</v>
      </c>
      <c r="I1613" t="inlineStr">
        <is>
          <t>Kien Seng Engineering &amp; Trading Sdn Bhd</t>
        </is>
      </c>
      <c r="J1613" t="inlineStr">
        <is>
          <t>Dolphin</t>
        </is>
      </c>
      <c r="K1613" t="inlineStr">
        <is>
          <t>Keegan</t>
        </is>
      </c>
      <c r="L1613" s="4"/>
      <c r="M1613" s="4">
        <v>46111.61616898148</v>
      </c>
      <c r="N1613"/>
      <c r="O1613">
        <v>3672</v>
      </c>
      <c r="P1613" s="4"/>
      <c r="Q1613" s="4">
        <v>46127.60525462963</v>
      </c>
      <c r="R1613"/>
      <c r="S1613">
        <v>3672</v>
      </c>
      <c r="T1613" s="4">
        <v>46127.60525462963</v>
      </c>
      <c r="U1613" s="4"/>
      <c r="V1613"/>
      <c r="W1613">
        <v>3672</v>
      </c>
      <c r="X1613"/>
      <c r="Y1613" t="inlineStr">
        <is>
          <t>Pending Appointment</t>
        </is>
      </c>
      <c r="Z1613" t="inlineStr">
        <is>
          <t>Hiring Now</t>
        </is>
      </c>
      <c r="AA1613">
        <v>3</v>
      </c>
      <c r="AB1613" t="inlineStr">
        <is>
          <t>No Appointment Made</t>
        </is>
      </c>
      <c r="AC1613"/>
      <c r="AD1613" t="inlineStr">
        <is>
          <t xml:space="preserve">1. Driver 
2. Marketing 
3. Engineer </t>
        </is>
      </c>
      <c r="AE1613"/>
      <c r="AF1613"/>
      <c r="AG1613" s="4"/>
      <c r="AH1613" s="4"/>
      <c r="AI1613"/>
      <c r="AJ1613">
        <v>1</v>
      </c>
      <c r="AK1613" t="inlineStr">
        <is>
          <t>No, I don't need at all</t>
        </is>
      </c>
      <c r="AL1613">
        <v>0</v>
      </c>
      <c r="AM1613" t="inlineStr">
        <is>
          <t>No, I don't need at all</t>
        </is>
      </c>
      <c r="AN1613"/>
      <c r="AO1613" t="inlineStr">
        <is>
          <t>No, I don't need at all</t>
        </is>
      </c>
      <c r="AP1613" t="inlineStr">
        <is>
          <t>Once per quarter (75%)</t>
        </is>
      </c>
      <c r="AQ1613"/>
      <c r="AR1613" t="inlineStr">
        <is>
          <t>Did not use any job portal</t>
        </is>
      </c>
      <c r="AS1613" t="inlineStr">
        <is>
          <t>- Headcount: 3
- Hiring Job Details: 1. Driver, 2. Marketing, 3. Engineer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613">
        <v>75</v>
      </c>
      <c r="AU1613" t="inlineStr">
        <is>
          <t>0.75</t>
        </is>
      </c>
      <c r="AV1613" t="inlineStr">
        <is>
          <t>5</t>
        </is>
      </c>
      <c r="AW1613" t="inlineStr">
        <is>
          <t>0</t>
        </is>
      </c>
      <c r="AX1613" t="inlineStr">
        <is>
          <t>Not Qualified</t>
        </is>
      </c>
      <c r="AY1613" s="4"/>
      <c r="AZ1613"/>
      <c r="BA1613"/>
      <c r="BB1613"/>
      <c r="BC1613" t="inlineStr">
        <is>
          <t>Send out the company doc as per request</t>
        </is>
      </c>
      <c r="BD1613" s="4">
        <v>46140.5975</v>
      </c>
      <c r="BE1613" t="inlineStr">
        <is>
          <t>paid</t>
        </is>
      </c>
      <c r="BF1613" t="inlineStr">
        <is>
          <t>Q2-W02</t>
        </is>
      </c>
      <c r="BG1613" t="inlineStr">
        <is>
          <t>Reschedule</t>
        </is>
      </c>
      <c r="BH1613" t="inlineStr">
        <is>
          <t>Edward Hoo</t>
        </is>
      </c>
      <c r="BI1613" t="inlineStr">
        <is>
          <t>Manufacturing / Production</t>
        </is>
      </c>
      <c r="BJ1613" s="4">
        <v>46144.75407407407</v>
      </c>
      <c r="BK1613" s="4">
        <v>46111.59489583333</v>
      </c>
      <c r="BL1613" t="inlineStr">
        <is>
          <t>3672.0</t>
        </is>
      </c>
      <c r="BM1613" t="inlineStr">
        <is>
          <t>1200.0</t>
        </is>
      </c>
      <c r="BN1613" t="inlineStr">
        <is>
          <t>View Company Page</t>
        </is>
      </c>
      <c r="BO1613" s="4">
        <v>46142.40552083333</v>
      </c>
      <c r="BP1613">
        <v>164262</v>
      </c>
      <c r="BQ1613">
        <v>93645</v>
      </c>
      <c r="BR1613" t="inlineStr">
        <is>
          <t>Online</t>
        </is>
      </c>
      <c r="BS1613"/>
      <c r="BT1613">
        <v>93645</v>
      </c>
      <c r="BU1613"/>
      <c r="BV1613">
        <v>2732743</v>
      </c>
      <c r="BW1613" t="inlineStr">
        <is>
          <t>Service / Technical : Job Outcome Enquiry</t>
        </is>
      </c>
      <c r="BX1613">
        <v>6</v>
      </c>
      <c r="BY1613">
        <v>3</v>
      </c>
      <c r="BZ1613" s="4">
        <v>46133.456030092595</v>
      </c>
      <c r="CA1613">
        <v>73</v>
      </c>
      <c r="CB1613">
        <v>73</v>
      </c>
      <c r="CC1613" s="4"/>
      <c r="CD1613" t="inlineStr">
        <is>
          <t>5</t>
        </is>
      </c>
      <c r="CE1613" t="inlineStr">
        <is>
          <t>0</t>
        </is>
      </c>
      <c r="CF1613" t="inlineStr">
        <is>
          <t>Q1-W13</t>
        </is>
      </c>
      <c r="CG1613" t="inlineStr">
        <is>
          <t>Q2-W02</t>
        </is>
      </c>
      <c r="CH1613" t="inlineStr">
        <is>
          <t>Q2-W02</t>
        </is>
      </c>
      <c r="CI1613"/>
      <c r="CJ1613" t="inlineStr">
        <is>
          <t>Paid</t>
        </is>
      </c>
      <c r="CK1613" t="inlineStr">
        <is>
          <t>Not Eligible</t>
        </is>
      </c>
      <c r="CL1613"/>
      <c r="CM1613"/>
    </row>
    <row r="1614" ht="25.5" customHeight="1">
      <c r="A1614" t="inlineStr">
        <is>
          <t>189982</t>
        </is>
      </c>
      <c r="B1614" s="2"/>
      <c r="C1614"/>
      <c r="D1614" s="3">
        <v>46127.45311342592</v>
      </c>
      <c r="E1614" t="inlineStr">
        <is>
          <t>Q2-W02</t>
        </is>
      </c>
      <c r="F1614" t="inlineStr">
        <is>
          <t>Eugene</t>
        </is>
      </c>
      <c r="G1614" t="inlineStr">
        <is>
          <t>Customer</t>
        </is>
      </c>
      <c r="H1614" s="2" t="str">
        <f>=HYPERLINK("https://upbox.ajobthing.my/customer/189982", "https://upbox.ajobthing.my/customer/189982")</f>
        <v>https://upbox.ajobthing.my/customer/189982</v>
      </c>
      <c r="I1614" t="inlineStr">
        <is>
          <t>Ladore Signature Sdn Bhd</t>
        </is>
      </c>
      <c r="J1614" t="inlineStr">
        <is>
          <t>Dolphin</t>
        </is>
      </c>
      <c r="K1614" t="inlineStr">
        <is>
          <t>Eugene</t>
        </is>
      </c>
      <c r="L1614" s="4"/>
      <c r="M1614" s="4">
        <v>46127.45376157408</v>
      </c>
      <c r="N1614"/>
      <c r="O1614">
        <v>3888</v>
      </c>
      <c r="P1614" s="4"/>
      <c r="Q1614" s="4">
        <v>46129.63856481481</v>
      </c>
      <c r="R1614"/>
      <c r="S1614">
        <v>1296</v>
      </c>
      <c r="T1614" s="4">
        <v>46129.63856481481</v>
      </c>
      <c r="U1614" s="4"/>
      <c r="V1614"/>
      <c r="W1614">
        <v>1296</v>
      </c>
      <c r="X1614"/>
      <c r="Y1614" t="inlineStr">
        <is>
          <t>Pending Appointment</t>
        </is>
      </c>
      <c r="Z1614" t="inlineStr">
        <is>
          <t>Hiring Now</t>
        </is>
      </c>
      <c r="AA1614">
        <v>2</v>
      </c>
      <c r="AB1614" t="inlineStr">
        <is>
          <t>No Appointment Made</t>
        </is>
      </c>
      <c r="AC1614"/>
      <c r="AD1614" t="inlineStr">
        <is>
          <t>2 positions, based in KL</t>
        </is>
      </c>
      <c r="AE1614"/>
      <c r="AF1614">
        <v>3000</v>
      </c>
      <c r="AG1614" s="4"/>
      <c r="AH1614" s="4"/>
      <c r="AI1614">
        <v>3000</v>
      </c>
      <c r="AJ1614">
        <v>1</v>
      </c>
      <c r="AK1614" t="inlineStr">
        <is>
          <t>No, I don't need at all</t>
        </is>
      </c>
      <c r="AL1614">
        <v>1</v>
      </c>
      <c r="AM1614" t="inlineStr">
        <is>
          <t>No, I don't need at all</t>
        </is>
      </c>
      <c r="AN1614"/>
      <c r="AO1614" t="inlineStr">
        <is>
          <t>No, I don't need at all</t>
        </is>
      </c>
      <c r="AP1614" t="inlineStr">
        <is>
          <t>Twice a year (50%)</t>
        </is>
      </c>
      <c r="AQ1614">
        <v>4</v>
      </c>
      <c r="AR1614" t="inlineStr">
        <is>
          <t>Free Job Portal</t>
        </is>
      </c>
      <c r="AS1614"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is>
      </c>
      <c r="AT1614">
        <v>95</v>
      </c>
      <c r="AU1614" t="inlineStr">
        <is>
          <t>0.95</t>
        </is>
      </c>
      <c r="AV1614" t="inlineStr">
        <is>
          <t>15</t>
        </is>
      </c>
      <c r="AW1614" t="inlineStr">
        <is>
          <t>0</t>
        </is>
      </c>
      <c r="AX1614" t="inlineStr">
        <is>
          <t>Not Qualified</t>
        </is>
      </c>
      <c r="AY1614" s="4"/>
      <c r="AZ1614"/>
      <c r="BA1614"/>
      <c r="BB1614"/>
      <c r="BC1614" t="inlineStr">
        <is>
          <t>advise salary range</t>
        </is>
      </c>
      <c r="BD1614" s="4">
        <v>46134.42901620371</v>
      </c>
      <c r="BE1614" t="inlineStr">
        <is>
          <t>paid</t>
        </is>
      </c>
      <c r="BF1614" t="inlineStr">
        <is>
          <t>Q2-W03</t>
        </is>
      </c>
      <c r="BG1614" t="inlineStr">
        <is>
          <t>Reschedule</t>
        </is>
      </c>
      <c r="BH1614" t="inlineStr">
        <is>
          <t>Edward Hoo</t>
        </is>
      </c>
      <c r="BI1614" t="inlineStr">
        <is>
          <t>Manufacturing / Production</t>
        </is>
      </c>
      <c r="BJ1614" s="4">
        <v>46144.75232638889</v>
      </c>
      <c r="BK1614" s="4">
        <v>45761.620254629626</v>
      </c>
      <c r="BL1614" t="inlineStr">
        <is>
          <t>3132.0</t>
        </is>
      </c>
      <c r="BM1614" t="inlineStr">
        <is>
          <t>0.0</t>
        </is>
      </c>
      <c r="BN1614" t="inlineStr">
        <is>
          <t>User Visit(Logged In)</t>
        </is>
      </c>
      <c r="BO1614" s="4">
        <v>46141.392233796294</v>
      </c>
      <c r="BP1614">
        <v>167128</v>
      </c>
      <c r="BQ1614">
        <v>94093</v>
      </c>
      <c r="BR1614" t="inlineStr">
        <is>
          <t>Online</t>
        </is>
      </c>
      <c r="BS1614"/>
      <c r="BT1614">
        <v>94093</v>
      </c>
      <c r="BU1614"/>
      <c r="BV1614">
        <v>2719644</v>
      </c>
      <c r="BW1614" t="inlineStr">
        <is>
          <t>Service / Technical : Job Complaint - Report To Marketing</t>
        </is>
      </c>
      <c r="BX1614">
        <v>1</v>
      </c>
      <c r="BY1614">
        <v>0</v>
      </c>
      <c r="BZ1614" s="4">
        <v>46129.67927083333</v>
      </c>
      <c r="CA1614">
        <v>10</v>
      </c>
      <c r="CB1614">
        <v>1</v>
      </c>
      <c r="CC1614" s="4">
        <v>46139.44494212963</v>
      </c>
      <c r="CD1614" t="inlineStr">
        <is>
          <t>20</t>
        </is>
      </c>
      <c r="CE1614" t="inlineStr">
        <is>
          <t>0</t>
        </is>
      </c>
      <c r="CF1614" t="inlineStr">
        <is>
          <t>Q2-W02</t>
        </is>
      </c>
      <c r="CG1614" t="inlineStr">
        <is>
          <t>Q2-W03</t>
        </is>
      </c>
      <c r="CH1614" t="inlineStr">
        <is>
          <t>Q2-W03</t>
        </is>
      </c>
      <c r="CI1614"/>
      <c r="CJ1614" t="inlineStr">
        <is>
          <t>Paid</t>
        </is>
      </c>
      <c r="CK1614" t="inlineStr">
        <is>
          <t>Not Eligible</t>
        </is>
      </c>
      <c r="CL1614"/>
      <c r="CM1614"/>
    </row>
    <row r="1615" ht="25.5" customHeight="1">
      <c r="A1615" t="inlineStr">
        <is>
          <t>200761</t>
        </is>
      </c>
      <c r="B1615" s="2"/>
      <c r="C1615"/>
      <c r="D1615" s="3">
        <v>46127.45407407408</v>
      </c>
      <c r="E1615" t="inlineStr">
        <is>
          <t>Q2-W02</t>
        </is>
      </c>
      <c r="F1615" t="inlineStr">
        <is>
          <t>Carmen</t>
        </is>
      </c>
      <c r="G1615" t="inlineStr">
        <is>
          <t>Customer</t>
        </is>
      </c>
      <c r="H1615" s="2" t="str">
        <f>=HYPERLINK("https://upbox.ajobthing.my/customer/200761", "https://upbox.ajobthing.my/customer/200761")</f>
        <v>https://upbox.ajobthing.my/customer/200761</v>
      </c>
      <c r="I1615" t="inlineStr">
        <is>
          <t>Supremasonic (M) Sdn. Bhd.</t>
        </is>
      </c>
      <c r="J1615" t="inlineStr">
        <is>
          <t>Dolphin</t>
        </is>
      </c>
      <c r="K1615" t="inlineStr">
        <is>
          <t>Carmen</t>
        </is>
      </c>
      <c r="L1615" s="4"/>
      <c r="M1615" s="4">
        <v>46127.45186342593</v>
      </c>
      <c r="N1615"/>
      <c r="O1615">
        <v>3456</v>
      </c>
      <c r="P1615" s="4"/>
      <c r="Q1615" s="4">
        <v>46133.64502314815</v>
      </c>
      <c r="R1615"/>
      <c r="S1615">
        <v>648</v>
      </c>
      <c r="T1615" s="4">
        <v>46133.64502314815</v>
      </c>
      <c r="U1615" s="4"/>
      <c r="V1615"/>
      <c r="W1615">
        <v>648</v>
      </c>
      <c r="X1615"/>
      <c r="Y1615" t="inlineStr">
        <is>
          <t>Pending Appointment</t>
        </is>
      </c>
      <c r="Z1615" t="inlineStr">
        <is>
          <t>Hiring Now</t>
        </is>
      </c>
      <c r="AA1615">
        <v>2</v>
      </c>
      <c r="AB1615" t="inlineStr">
        <is>
          <t>No Appointment Made</t>
        </is>
      </c>
      <c r="AC1615"/>
      <c r="AD1615" t="inlineStr">
        <is>
          <t>1 business devlopment , 1 training development</t>
        </is>
      </c>
      <c r="AE1615"/>
      <c r="AF1615">
        <v>800</v>
      </c>
      <c r="AG1615" s="4"/>
      <c r="AH1615" s="4"/>
      <c r="AI1615"/>
      <c r="AJ1615"/>
      <c r="AK1615"/>
      <c r="AL1615"/>
      <c r="AM1615"/>
      <c r="AN1615"/>
      <c r="AO1615"/>
      <c r="AP1615" t="inlineStr">
        <is>
          <t>Twice a year (50%)</t>
        </is>
      </c>
      <c r="AQ1615"/>
      <c r="AR1615"/>
      <c r="AS1615" t="inlineStr">
        <is>
          <t>- Headcount: 2
- Hiring Job Details: 1 business development, 1 training development
- Hiring Urgency: Hiring Now
- Number of outlets: Not provided
- Have recruiter team: Not provided
- Number of recruiter in company: Not provided
- Have ATS system: Not provided
- Have career website: Not provided
- Current hiring budget: RM800.00
- Whole year budget: Not provided
- Whole year number of vacancies: Not provided
- Hiring frequency: Twice a year (50%)
- External job portal: Not provided</t>
        </is>
      </c>
      <c r="AT1615">
        <v>75</v>
      </c>
      <c r="AU1615" t="inlineStr">
        <is>
          <t>0.75</t>
        </is>
      </c>
      <c r="AV1615" t="inlineStr">
        <is>
          <t>15</t>
        </is>
      </c>
      <c r="AW1615" t="inlineStr">
        <is>
          <t>0</t>
        </is>
      </c>
      <c r="AX1615" t="inlineStr">
        <is>
          <t>Not Qualified</t>
        </is>
      </c>
      <c r="AY1615" s="4"/>
      <c r="AZ1615"/>
      <c r="BA1615"/>
      <c r="BB1615"/>
      <c r="BC1615" t="inlineStr">
        <is>
          <t>help to post job</t>
        </is>
      </c>
      <c r="BD1615" s="4">
        <v>46139.46511574074</v>
      </c>
      <c r="BE1615" t="inlineStr">
        <is>
          <t>paid</t>
        </is>
      </c>
      <c r="BF1615" t="inlineStr">
        <is>
          <t>Q2-W03</t>
        </is>
      </c>
      <c r="BG1615" t="inlineStr">
        <is>
          <t>Reschedule</t>
        </is>
      </c>
      <c r="BH1615" t="inlineStr">
        <is>
          <t>Reagen</t>
        </is>
      </c>
      <c r="BI1615" t="inlineStr">
        <is>
          <t>Retail / Merchandise</t>
        </is>
      </c>
      <c r="BJ1615" s="4">
        <v>46144.753657407404</v>
      </c>
      <c r="BK1615" s="4">
        <v>46050.598449074074</v>
      </c>
      <c r="BL1615" t="inlineStr">
        <is>
          <t>4536.0</t>
        </is>
      </c>
      <c r="BM1615" t="inlineStr">
        <is>
          <t>0.0</t>
        </is>
      </c>
      <c r="BN1615" t="inlineStr">
        <is>
          <t>View Notifications</t>
        </is>
      </c>
      <c r="BO1615" s="4">
        <v>46143.88643518519</v>
      </c>
      <c r="BP1615">
        <v>167124</v>
      </c>
      <c r="BQ1615">
        <v>94537</v>
      </c>
      <c r="BR1615" t="inlineStr">
        <is>
          <t>Online</t>
        </is>
      </c>
      <c r="BS1615"/>
      <c r="BT1615">
        <v>94537</v>
      </c>
      <c r="BU1615"/>
      <c r="BV1615">
        <v>2728544</v>
      </c>
      <c r="BW1615" t="inlineStr">
        <is>
          <t>Service / Technical : Help To Post Job</t>
        </is>
      </c>
      <c r="BX1615">
        <v>8</v>
      </c>
      <c r="BY1615">
        <v>2</v>
      </c>
      <c r="BZ1615" s="4">
        <v>46139.47646990741</v>
      </c>
      <c r="CA1615">
        <v>60</v>
      </c>
      <c r="CB1615">
        <v>0</v>
      </c>
      <c r="CC1615" s="4">
        <v>46132.416655092595</v>
      </c>
      <c r="CD1615" t="inlineStr">
        <is>
          <t>20</t>
        </is>
      </c>
      <c r="CE1615" t="inlineStr">
        <is>
          <t>0</t>
        </is>
      </c>
      <c r="CF1615" t="inlineStr">
        <is>
          <t>Q2-W02</t>
        </is>
      </c>
      <c r="CG1615" t="inlineStr">
        <is>
          <t>Q2-W03</t>
        </is>
      </c>
      <c r="CH1615" t="inlineStr">
        <is>
          <t>Q2-W03</t>
        </is>
      </c>
      <c r="CI1615"/>
      <c r="CJ1615" t="inlineStr">
        <is>
          <t>Paid</t>
        </is>
      </c>
      <c r="CK1615" t="inlineStr">
        <is>
          <t>Not Eligible</t>
        </is>
      </c>
      <c r="CL1615"/>
      <c r="CM1615"/>
    </row>
    <row r="1616" ht="25.5" customHeight="1">
      <c r="A1616" t="inlineStr">
        <is>
          <t>164857</t>
        </is>
      </c>
      <c r="B1616" s="2"/>
      <c r="C1616"/>
      <c r="D1616" s="3">
        <v>46127.45612268519</v>
      </c>
      <c r="E1616" t="inlineStr">
        <is>
          <t>Q2-W02</t>
        </is>
      </c>
      <c r="F1616" t="inlineStr">
        <is>
          <t>Luqman</t>
        </is>
      </c>
      <c r="G1616" t="inlineStr">
        <is>
          <t>Customer</t>
        </is>
      </c>
      <c r="H1616" s="2" t="str">
        <f>=HYPERLINK("https://upbox.ajobthing.my/customer/164857", "https://upbox.ajobthing.my/customer/164857")</f>
        <v>https://upbox.ajobthing.my/customer/164857</v>
      </c>
      <c r="I1616" t="inlineStr">
        <is>
          <t>3 Max Car Accessories Sdn Bhd</t>
        </is>
      </c>
      <c r="J1616" t="inlineStr">
        <is>
          <t>Dolphin</t>
        </is>
      </c>
      <c r="K1616" t="inlineStr">
        <is>
          <t>Luqman</t>
        </is>
      </c>
      <c r="L1616" s="4"/>
      <c r="M1616" s="4">
        <v>46127.45673611111</v>
      </c>
      <c r="N1616"/>
      <c r="O1616">
        <v>3888</v>
      </c>
      <c r="P1616" s="4"/>
      <c r="Q1616" s="4">
        <v>46140.392060185186</v>
      </c>
      <c r="R1616"/>
      <c r="S1616">
        <v>3672</v>
      </c>
      <c r="T1616" s="4">
        <v>46140.392060185186</v>
      </c>
      <c r="U1616" s="4"/>
      <c r="V1616"/>
      <c r="W1616">
        <v>3672</v>
      </c>
      <c r="X1616"/>
      <c r="Y1616" t="inlineStr">
        <is>
          <t>Pending Appointment</t>
        </is>
      </c>
      <c r="Z1616" t="inlineStr">
        <is>
          <t>Hiring Now</t>
        </is>
      </c>
      <c r="AA1616">
        <v>3</v>
      </c>
      <c r="AB1616" t="inlineStr">
        <is>
          <t>No Appointment Made</t>
        </is>
      </c>
      <c r="AC1616"/>
      <c r="AD1616" t="inlineStr">
        <is>
          <t xml:space="preserve">1. Admin SQL 2. Marketing 3. HR </t>
        </is>
      </c>
      <c r="AE1616"/>
      <c r="AF1616">
        <v>3600</v>
      </c>
      <c r="AG1616" s="4"/>
      <c r="AH1616" s="4"/>
      <c r="AI1616">
        <v>3600</v>
      </c>
      <c r="AJ1616"/>
      <c r="AK1616" t="inlineStr">
        <is>
          <t>No, I don't need at all</t>
        </is>
      </c>
      <c r="AL1616">
        <v>2</v>
      </c>
      <c r="AM1616" t="inlineStr">
        <is>
          <t>No, I don't need at all</t>
        </is>
      </c>
      <c r="AN1616"/>
      <c r="AO1616" t="inlineStr">
        <is>
          <t>No, I don't need at all</t>
        </is>
      </c>
      <c r="AP1616" t="inlineStr">
        <is>
          <t>Once a year (25%)</t>
        </is>
      </c>
      <c r="AQ1616">
        <v>5</v>
      </c>
      <c r="AR1616" t="inlineStr">
        <is>
          <t>Free Job Portal</t>
        </is>
      </c>
      <c r="AS1616" t="inlineStr">
        <is>
          <t>- Headcount: 3
- Hiring Job Details: 1. Admin SQL 2. Marketing 3. HR
- Hiring Urgency: Hiring Now
- Number of outlets: 
- Have recruiter team: No, I don't need at all
- Number of recruiter in company: 2
- Have ATS system: No, I don't need at all
- Have career website: No, I don't need at all
- Current hiring budget: RM3,600
- Whole year budget: RM3,600.00
- Whole year number of vacancies: 5
- Hiring frequency: Once a year (25%)
- External job portal: Free Job Portal</t>
        </is>
      </c>
      <c r="AT1616">
        <v>75</v>
      </c>
      <c r="AU1616" t="inlineStr">
        <is>
          <t>0.75</t>
        </is>
      </c>
      <c r="AV1616" t="inlineStr">
        <is>
          <t>15</t>
        </is>
      </c>
      <c r="AW1616" t="inlineStr">
        <is>
          <t>0</t>
        </is>
      </c>
      <c r="AX1616" t="inlineStr">
        <is>
          <t>Not Qualified</t>
        </is>
      </c>
      <c r="AY1616" s="4"/>
      <c r="AZ1616"/>
      <c r="BA1616"/>
      <c r="BB1616"/>
      <c r="BC1616" t="inlineStr">
        <is>
          <t>Temp checking on client package activation. Payment yet to be approve by finance team</t>
        </is>
      </c>
      <c r="BD1616" s="4">
        <v>46140.371157407404</v>
      </c>
      <c r="BE1616" t="inlineStr">
        <is>
          <t>paid</t>
        </is>
      </c>
      <c r="BF1616" t="inlineStr">
        <is>
          <t>Q2-W04</t>
        </is>
      </c>
      <c r="BG1616" t="inlineStr">
        <is>
          <t>Reschedule</t>
        </is>
      </c>
      <c r="BH1616" t="inlineStr">
        <is>
          <t>Edward Hoo</t>
        </is>
      </c>
      <c r="BI1616" t="inlineStr">
        <is>
          <t>Automobile / Automotive</t>
        </is>
      </c>
      <c r="BJ1616" s="4">
        <v>46144.751226851855</v>
      </c>
      <c r="BK1616" s="4">
        <v>44983.964467592596</v>
      </c>
      <c r="BL1616" t="inlineStr">
        <is>
          <t>3672.0</t>
        </is>
      </c>
      <c r="BM1616" t="inlineStr">
        <is>
          <t>0.0</t>
        </is>
      </c>
      <c r="BN1616" t="inlineStr">
        <is>
          <t>User Visit(Logged In)</t>
        </is>
      </c>
      <c r="BO1616" s="4">
        <v>46142.73351851852</v>
      </c>
      <c r="BP1616">
        <v>167129</v>
      </c>
      <c r="BQ1616">
        <v>94851</v>
      </c>
      <c r="BR1616" t="inlineStr">
        <is>
          <t>Online</t>
        </is>
      </c>
      <c r="BS1616"/>
      <c r="BT1616">
        <v>94851</v>
      </c>
      <c r="BU1616"/>
      <c r="BV1616">
        <v>2731663</v>
      </c>
      <c r="BW1616" t="inlineStr">
        <is>
          <t>Service / Technical : Help To Post Job</t>
        </is>
      </c>
      <c r="BX1616">
        <v>6</v>
      </c>
      <c r="BY1616">
        <v>4</v>
      </c>
      <c r="BZ1616" s="4">
        <v>46142.67534722222</v>
      </c>
      <c r="CA1616">
        <v>60</v>
      </c>
      <c r="CB1616">
        <v>60</v>
      </c>
      <c r="CC1616" s="4"/>
      <c r="CD1616" t="inlineStr">
        <is>
          <t>20</t>
        </is>
      </c>
      <c r="CE1616" t="inlineStr">
        <is>
          <t>0</t>
        </is>
      </c>
      <c r="CF1616" t="inlineStr">
        <is>
          <t>Q2-W02</t>
        </is>
      </c>
      <c r="CG1616" t="inlineStr">
        <is>
          <t>Q2-W04</t>
        </is>
      </c>
      <c r="CH1616" t="inlineStr">
        <is>
          <t>Q2-W04</t>
        </is>
      </c>
      <c r="CI1616"/>
      <c r="CJ1616" t="inlineStr">
        <is>
          <t>Paid</t>
        </is>
      </c>
      <c r="CK1616" t="inlineStr">
        <is>
          <t>Not Eligible</t>
        </is>
      </c>
      <c r="CL1616"/>
      <c r="CM1616"/>
    </row>
    <row r="1617" ht="25.5" customHeight="1">
      <c r="A1617" t="inlineStr">
        <is>
          <t>202455</t>
        </is>
      </c>
      <c r="B1617" s="2"/>
      <c r="C1617"/>
      <c r="D1617" s="3">
        <v>46127.461689814816</v>
      </c>
      <c r="E1617" t="inlineStr">
        <is>
          <t>Q2-W02</t>
        </is>
      </c>
      <c r="F1617" t="inlineStr">
        <is>
          <t>Clover</t>
        </is>
      </c>
      <c r="G1617" t="inlineStr">
        <is>
          <t>Customer</t>
        </is>
      </c>
      <c r="H1617" s="2" t="str">
        <f>=HYPERLINK("https://upbox.ajobthing.my/customer/202455", "https://upbox.ajobthing.my/customer/202455")</f>
        <v>https://upbox.ajobthing.my/customer/202455</v>
      </c>
      <c r="I1617" t="inlineStr">
        <is>
          <t>Xinature Physio &amp; Rehab Centre</t>
        </is>
      </c>
      <c r="J1617" t="inlineStr">
        <is>
          <t>Dolphin</t>
        </is>
      </c>
      <c r="K1617" t="inlineStr">
        <is>
          <t>Clover</t>
        </is>
      </c>
      <c r="L1617" s="4"/>
      <c r="M1617" s="4">
        <v>46127.46094907408</v>
      </c>
      <c r="N1617"/>
      <c r="O1617">
        <v>3888</v>
      </c>
      <c r="P1617" s="4"/>
      <c r="Q1617" s="4">
        <v>46139.69756944444</v>
      </c>
      <c r="R1617"/>
      <c r="S1617">
        <v>3672</v>
      </c>
      <c r="T1617" s="4">
        <v>46139.69756944444</v>
      </c>
      <c r="U1617" s="4"/>
      <c r="V1617"/>
      <c r="W1617">
        <v>3672</v>
      </c>
      <c r="X1617"/>
      <c r="Y1617" t="inlineStr">
        <is>
          <t>Pending Appointment</t>
        </is>
      </c>
      <c r="Z1617" t="inlineStr">
        <is>
          <t>Hiring Now</t>
        </is>
      </c>
      <c r="AA1617">
        <v>1</v>
      </c>
      <c r="AB1617" t="inlineStr">
        <is>
          <t>No Appointment Made</t>
        </is>
      </c>
      <c r="AC1617"/>
      <c r="AD1617" t="inlineStr">
        <is>
          <t>Concern if low applicant, hire physio therapy x1, prefer chi, fresh grads, USJ, need more man power cause staff maternity leave, suggest stand , previous indeed not relevant</t>
        </is>
      </c>
      <c r="AE1617"/>
      <c r="AF1617">
        <v>3000</v>
      </c>
      <c r="AG1617" s="4"/>
      <c r="AH1617" s="4"/>
      <c r="AI1617">
        <v>3000</v>
      </c>
      <c r="AJ1617">
        <v>1</v>
      </c>
      <c r="AK1617" t="inlineStr">
        <is>
          <t>No, but I want in future</t>
        </is>
      </c>
      <c r="AL1617">
        <v>1</v>
      </c>
      <c r="AM1617" t="inlineStr">
        <is>
          <t>No, but I want in future</t>
        </is>
      </c>
      <c r="AN1617"/>
      <c r="AO1617" t="inlineStr">
        <is>
          <t>No, but I want in future</t>
        </is>
      </c>
      <c r="AP1617" t="inlineStr">
        <is>
          <t>Twice a year (50%)</t>
        </is>
      </c>
      <c r="AQ1617">
        <v>2</v>
      </c>
      <c r="AR1617" t="inlineStr">
        <is>
          <t>Did not use any job portal</t>
        </is>
      </c>
      <c r="AS1617" t="inlineStr">
        <is>
          <t>- Headcount: 1
- Hiring Job Details: 1 physiotherapy (prefer chiropractor, fresh grads, USJ; hire if low applicants; need manpower due to staff maternity leave; suggest stand; previous Indeed posts irrelevant)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1617">
        <v>110</v>
      </c>
      <c r="AU1617" t="inlineStr">
        <is>
          <t>1.10</t>
        </is>
      </c>
      <c r="AV1617" t="inlineStr">
        <is>
          <t>15</t>
        </is>
      </c>
      <c r="AW1617" t="inlineStr">
        <is>
          <t>0</t>
        </is>
      </c>
      <c r="AX1617" t="inlineStr">
        <is>
          <t>Not Qualified</t>
        </is>
      </c>
      <c r="AY1617" s="4"/>
      <c r="AZ1617"/>
      <c r="BA1617"/>
      <c r="BB1617"/>
      <c r="BC1617" t="inlineStr">
        <is>
          <t>collect ssm, bill, receipt</t>
        </is>
      </c>
      <c r="BD1617" s="4">
        <v>46139.39314814815</v>
      </c>
      <c r="BE1617" t="inlineStr">
        <is>
          <t>paid</t>
        </is>
      </c>
      <c r="BF1617" t="inlineStr">
        <is>
          <t>Q2-W04</t>
        </is>
      </c>
      <c r="BG1617" t="inlineStr">
        <is>
          <t>Reschedule</t>
        </is>
      </c>
      <c r="BH1617" t="inlineStr">
        <is>
          <t>Reagen</t>
        </is>
      </c>
      <c r="BI1617"/>
      <c r="BJ1617" s="4">
        <v>46144.75405092593</v>
      </c>
      <c r="BK1617" s="4">
        <v>46107.63799768518</v>
      </c>
      <c r="BL1617" t="inlineStr">
        <is>
          <t>3672.0</t>
        </is>
      </c>
      <c r="BM1617" t="inlineStr">
        <is>
          <t>0.0</t>
        </is>
      </c>
      <c r="BN1617" t="inlineStr">
        <is>
          <t>View Company Page</t>
        </is>
      </c>
      <c r="BO1617" s="4">
        <v>46140.61865740741</v>
      </c>
      <c r="BP1617">
        <v>167132</v>
      </c>
      <c r="BQ1617">
        <v>94823</v>
      </c>
      <c r="BR1617" t="inlineStr">
        <is>
          <t>Online</t>
        </is>
      </c>
      <c r="BS1617"/>
      <c r="BT1617">
        <v>94823</v>
      </c>
      <c r="BU1617"/>
      <c r="BV1617">
        <v>2728100</v>
      </c>
      <c r="BW1617" t="inlineStr">
        <is>
          <t>Follow Up : Payment Pending</t>
        </is>
      </c>
      <c r="BX1617">
        <v>6</v>
      </c>
      <c r="BY1617">
        <v>6</v>
      </c>
      <c r="BZ1617" s="4"/>
      <c r="CA1617">
        <v>60</v>
      </c>
      <c r="CB1617">
        <v>60</v>
      </c>
      <c r="CC1617" s="4"/>
      <c r="CD1617" t="inlineStr">
        <is>
          <t>20</t>
        </is>
      </c>
      <c r="CE1617" t="inlineStr">
        <is>
          <t>0</t>
        </is>
      </c>
      <c r="CF1617" t="inlineStr">
        <is>
          <t>Q2-W02</t>
        </is>
      </c>
      <c r="CG1617" t="inlineStr">
        <is>
          <t>Q2-W04</t>
        </is>
      </c>
      <c r="CH1617" t="inlineStr">
        <is>
          <t>Q2-W04</t>
        </is>
      </c>
      <c r="CI1617"/>
      <c r="CJ1617" t="inlineStr">
        <is>
          <t>Paid</t>
        </is>
      </c>
      <c r="CK1617" t="inlineStr">
        <is>
          <t>Not Eligible</t>
        </is>
      </c>
      <c r="CL1617"/>
      <c r="CM1617"/>
    </row>
    <row r="1618" ht="25.5" customHeight="1">
      <c r="A1618" t="inlineStr">
        <is>
          <t>203235</t>
        </is>
      </c>
      <c r="B1618" s="2"/>
      <c r="C1618"/>
      <c r="D1618" s="3">
        <v>46127.465104166666</v>
      </c>
      <c r="E1618" t="inlineStr">
        <is>
          <t>Q2-W02</t>
        </is>
      </c>
      <c r="F1618" t="inlineStr">
        <is>
          <t>Alan KY</t>
        </is>
      </c>
      <c r="G1618" t="inlineStr">
        <is>
          <t>Customer</t>
        </is>
      </c>
      <c r="H1618" s="2" t="str">
        <f>=HYPERLINK("https://upbox.ajobthing.my/customer/203235", "https://upbox.ajobthing.my/customer/203235")</f>
        <v>https://upbox.ajobthing.my/customer/203235</v>
      </c>
      <c r="I1618" t="inlineStr">
        <is>
          <t>Taogo Mart</t>
        </is>
      </c>
      <c r="J1618" t="inlineStr">
        <is>
          <t>Dolphin</t>
        </is>
      </c>
      <c r="K1618" t="inlineStr">
        <is>
          <t>Alan KY</t>
        </is>
      </c>
      <c r="L1618" s="4"/>
      <c r="M1618" s="4">
        <v>46127.465520833335</v>
      </c>
      <c r="N1618"/>
      <c r="O1618">
        <v>6048</v>
      </c>
      <c r="P1618" s="4"/>
      <c r="Q1618" s="4"/>
      <c r="R1618"/>
      <c r="S1618"/>
      <c r="T1618" s="4"/>
      <c r="U1618" s="4"/>
      <c r="V1618"/>
      <c r="W1618"/>
      <c r="X1618"/>
      <c r="Y1618" t="inlineStr">
        <is>
          <t>Pending Appointment</t>
        </is>
      </c>
      <c r="Z1618" t="inlineStr">
        <is>
          <t>Hiring Now</t>
        </is>
      </c>
      <c r="AA1618">
        <v>5</v>
      </c>
      <c r="AB1618" t="inlineStr">
        <is>
          <t>No Appointment Made</t>
        </is>
      </c>
      <c r="AC1618"/>
      <c r="AD1618" t="inlineStr">
        <is>
          <t xml:space="preserve"> 1 HR assistant manager, 2retail assistant, 2 live host , in KL and selangor </t>
        </is>
      </c>
      <c r="AE1618"/>
      <c r="AF1618"/>
      <c r="AG1618" s="4"/>
      <c r="AH1618" s="4"/>
      <c r="AI1618"/>
      <c r="AJ1618">
        <v>4</v>
      </c>
      <c r="AK1618" t="inlineStr">
        <is>
          <t>No, I don't need at all</t>
        </is>
      </c>
      <c r="AL1618"/>
      <c r="AM1618" t="inlineStr">
        <is>
          <t>No, I don't need at all</t>
        </is>
      </c>
      <c r="AN1618"/>
      <c r="AO1618" t="inlineStr">
        <is>
          <t>No, I don't need at all</t>
        </is>
      </c>
      <c r="AP1618" t="inlineStr">
        <is>
          <t>Once per quarter (75%)</t>
        </is>
      </c>
      <c r="AQ1618"/>
      <c r="AR1618" t="inlineStr">
        <is>
          <t>Jobstreet, Free Job Portal</t>
        </is>
      </c>
      <c r="AS1618" t="inlineStr">
        <is>
          <t>- Headcount: 5
- Hiring Job Details: 1 HR assistant manager, 2 retail assistant, 2 live host (in KL and selangor)
- Hiring Urgency: Hiring Now
- Number of outlets: 4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 Free Job Portal</t>
        </is>
      </c>
      <c r="AT1618">
        <v>95</v>
      </c>
      <c r="AU1618" t="inlineStr">
        <is>
          <t>0.95</t>
        </is>
      </c>
      <c r="AV1618" t="inlineStr">
        <is>
          <t>10</t>
        </is>
      </c>
      <c r="AW1618" t="inlineStr">
        <is>
          <t>0</t>
        </is>
      </c>
      <c r="AX1618" t="inlineStr">
        <is>
          <t>Not Qualified</t>
        </is>
      </c>
      <c r="AY1618" s="4"/>
      <c r="AZ1618"/>
      <c r="BA1618"/>
      <c r="BB1618"/>
      <c r="BC1618" t="inlineStr">
        <is>
          <t>No need proceed already, she went back to China first</t>
        </is>
      </c>
      <c r="BD1618" s="4">
        <v>46136.706192129626</v>
      </c>
      <c r="BE1618"/>
      <c r="BF1618"/>
      <c r="BG1618" t="inlineStr">
        <is>
          <t>Reschedule</t>
        </is>
      </c>
      <c r="BH1618" t="inlineStr">
        <is>
          <t>Reagen</t>
        </is>
      </c>
      <c r="BI1618"/>
      <c r="BJ1618" s="4">
        <v>46144.75425925926</v>
      </c>
      <c r="BK1618" s="4">
        <v>46126.77457175926</v>
      </c>
      <c r="BL1618" t="inlineStr">
        <is>
          <t>0.0</t>
        </is>
      </c>
      <c r="BM1618" t="inlineStr">
        <is>
          <t>0.0</t>
        </is>
      </c>
      <c r="BN1618" t="inlineStr">
        <is>
          <t>View Company Page</t>
        </is>
      </c>
      <c r="BO1618" s="4">
        <v>46126.93541666667</v>
      </c>
      <c r="BP1618">
        <v>167139</v>
      </c>
      <c r="BQ1618"/>
      <c r="BR1618"/>
      <c r="BS1618"/>
      <c r="BT1618"/>
      <c r="BU1618"/>
      <c r="BV1618">
        <v>2727166</v>
      </c>
      <c r="BW1618" t="inlineStr">
        <is>
          <t>Follow Up : Budget Concern</t>
        </is>
      </c>
      <c r="BX1618"/>
      <c r="BY1618"/>
      <c r="BZ1618" s="4"/>
      <c r="CA1618"/>
      <c r="CB1618"/>
      <c r="CC1618" s="4"/>
      <c r="CD1618" t="inlineStr">
        <is>
          <t>15</t>
        </is>
      </c>
      <c r="CE1618" t="inlineStr">
        <is>
          <t>0</t>
        </is>
      </c>
      <c r="CF1618" t="inlineStr">
        <is>
          <t>Q2-W02</t>
        </is>
      </c>
      <c r="CG1618"/>
      <c r="CH1618"/>
      <c r="CI1618"/>
      <c r="CJ1618" t="inlineStr">
        <is>
          <t>No Paid</t>
        </is>
      </c>
      <c r="CK1618" t="inlineStr">
        <is>
          <t>Not Eligible</t>
        </is>
      </c>
      <c r="CL1618"/>
      <c r="CM1618"/>
    </row>
    <row r="1619" ht="25.5" customHeight="1">
      <c r="A1619" t="inlineStr">
        <is>
          <t>38284</t>
        </is>
      </c>
      <c r="B1619" s="2"/>
      <c r="C1619"/>
      <c r="D1619" s="3">
        <v>46127.46761574074</v>
      </c>
      <c r="E1619" t="inlineStr">
        <is>
          <t>Q2-W02</t>
        </is>
      </c>
      <c r="F1619" t="inlineStr">
        <is>
          <t>Josh</t>
        </is>
      </c>
      <c r="G1619" t="inlineStr">
        <is>
          <t>Customer</t>
        </is>
      </c>
      <c r="H1619" s="2" t="str">
        <f>=HYPERLINK("https://upbox.ajobthing.my/customer/38284", "https://upbox.ajobthing.my/customer/38284")</f>
        <v>https://upbox.ajobthing.my/customer/38284</v>
      </c>
      <c r="I1619" t="inlineStr">
        <is>
          <t>International Trading Profile (M) Sdn Bhd</t>
        </is>
      </c>
      <c r="J1619" t="inlineStr">
        <is>
          <t>Dolphin</t>
        </is>
      </c>
      <c r="K1619" t="inlineStr">
        <is>
          <t>Josh</t>
        </is>
      </c>
      <c r="L1619" s="4"/>
      <c r="M1619" s="4">
        <v>46127.467939814815</v>
      </c>
      <c r="N1619"/>
      <c r="O1619">
        <v>6048</v>
      </c>
      <c r="P1619" s="4"/>
      <c r="Q1619" s="4"/>
      <c r="R1619"/>
      <c r="S1619"/>
      <c r="T1619" s="4"/>
      <c r="U1619" s="4"/>
      <c r="V1619"/>
      <c r="W1619"/>
      <c r="X1619"/>
      <c r="Y1619" t="inlineStr">
        <is>
          <t>Pending Appointment</t>
        </is>
      </c>
      <c r="Z1619" t="inlineStr">
        <is>
          <t>Hiring Now</t>
        </is>
      </c>
      <c r="AA1619">
        <v>8</v>
      </c>
      <c r="AB1619" t="inlineStr">
        <is>
          <t>No Appointment Made</t>
        </is>
      </c>
      <c r="AC1619"/>
      <c r="AD1619" t="inlineStr">
        <is>
          <t xml:space="preserve">4 production, 1 warehouse, 2 account, 1 admin </t>
        </is>
      </c>
      <c r="AE1619"/>
      <c r="AF1619">
        <v>3000</v>
      </c>
      <c r="AG1619" s="4"/>
      <c r="AH1619" s="4"/>
      <c r="AI1619"/>
      <c r="AJ1619"/>
      <c r="AK1619" t="inlineStr">
        <is>
          <t>Yes, I have</t>
        </is>
      </c>
      <c r="AL1619"/>
      <c r="AM1619"/>
      <c r="AN1619"/>
      <c r="AO1619"/>
      <c r="AP1619" t="inlineStr">
        <is>
          <t>Once a year (25%)</t>
        </is>
      </c>
      <c r="AQ1619"/>
      <c r="AR1619"/>
      <c r="AS1619" t="inlineStr">
        <is>
          <t>- Headcount: 8
- Hiring Job Details: 4 production, 1 warehouse, 2 account, 1 admin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619">
        <v>75</v>
      </c>
      <c r="AU1619" t="inlineStr">
        <is>
          <t>0.75</t>
        </is>
      </c>
      <c r="AV1619" t="inlineStr">
        <is>
          <t>20</t>
        </is>
      </c>
      <c r="AW1619" t="inlineStr">
        <is>
          <t>0</t>
        </is>
      </c>
      <c r="AX1619" t="inlineStr">
        <is>
          <t>Not Qualified</t>
        </is>
      </c>
      <c r="AY1619" s="4"/>
      <c r="AZ1619"/>
      <c r="BA1619"/>
      <c r="BB1619"/>
      <c r="BC1619" t="inlineStr">
        <is>
          <t>team still no give any update, if any question, hr will contact me</t>
        </is>
      </c>
      <c r="BD1619" s="4">
        <v>46134.45174768518</v>
      </c>
      <c r="BE1619"/>
      <c r="BF1619"/>
      <c r="BG1619" t="inlineStr">
        <is>
          <t>Reschedule</t>
        </is>
      </c>
      <c r="BH1619" t="inlineStr">
        <is>
          <t>Fauziah Maharan</t>
        </is>
      </c>
      <c r="BI1619" t="inlineStr">
        <is>
          <t>General / Wholesale Trading</t>
        </is>
      </c>
      <c r="BJ1619" s="4">
        <v>46144.75493055556</v>
      </c>
      <c r="BK1619" s="4">
        <v>42893.649988425925</v>
      </c>
      <c r="BL1619" t="inlineStr">
        <is>
          <t>0.0</t>
        </is>
      </c>
      <c r="BM1619" t="inlineStr">
        <is>
          <t>2400.0</t>
        </is>
      </c>
      <c r="BN1619"/>
      <c r="BO1619" s="4"/>
      <c r="BP1619">
        <v>167142</v>
      </c>
      <c r="BQ1619"/>
      <c r="BR1619"/>
      <c r="BS1619"/>
      <c r="BT1619"/>
      <c r="BU1619"/>
      <c r="BV1619">
        <v>2719823</v>
      </c>
      <c r="BW1619" t="inlineStr">
        <is>
          <t>Follow Up : Decision Pending</t>
        </is>
      </c>
      <c r="BX1619"/>
      <c r="BY1619"/>
      <c r="BZ1619" s="4"/>
      <c r="CA1619"/>
      <c r="CB1619"/>
      <c r="CC1619" s="4"/>
      <c r="CD1619" t="inlineStr">
        <is>
          <t>30</t>
        </is>
      </c>
      <c r="CE1619" t="inlineStr">
        <is>
          <t>0</t>
        </is>
      </c>
      <c r="CF1619" t="inlineStr">
        <is>
          <t>Q2-W02</t>
        </is>
      </c>
      <c r="CG1619"/>
      <c r="CH1619"/>
      <c r="CI1619"/>
      <c r="CJ1619" t="inlineStr">
        <is>
          <t>No Paid</t>
        </is>
      </c>
      <c r="CK1619" t="inlineStr">
        <is>
          <t>Eligible</t>
        </is>
      </c>
      <c r="CL1619"/>
      <c r="CM1619"/>
    </row>
    <row r="1620" ht="25.5" customHeight="1">
      <c r="A1620" t="inlineStr">
        <is>
          <t>147860</t>
        </is>
      </c>
      <c r="B1620" s="2"/>
      <c r="C1620"/>
      <c r="D1620" s="3">
        <v>46127.47157407407</v>
      </c>
      <c r="E1620" t="inlineStr">
        <is>
          <t>Q2-W02</t>
        </is>
      </c>
      <c r="F1620" t="inlineStr">
        <is>
          <t>Clover</t>
        </is>
      </c>
      <c r="G1620" t="inlineStr">
        <is>
          <t>Customer</t>
        </is>
      </c>
      <c r="H1620" s="2" t="str">
        <f>=HYPERLINK("https://upbox.ajobthing.my/customer/147860", "https://upbox.ajobthing.my/customer/147860")</f>
        <v>https://upbox.ajobthing.my/customer/147860</v>
      </c>
      <c r="I1620" t="inlineStr">
        <is>
          <t>BTB Builders Sdn Bhd</t>
        </is>
      </c>
      <c r="J1620" t="inlineStr">
        <is>
          <t>Dolphin</t>
        </is>
      </c>
      <c r="K1620" t="inlineStr">
        <is>
          <t>Clover</t>
        </is>
      </c>
      <c r="L1620" s="4"/>
      <c r="M1620" s="4">
        <v>46127.4718287037</v>
      </c>
      <c r="N1620"/>
      <c r="O1620">
        <v>3888</v>
      </c>
      <c r="P1620" s="4"/>
      <c r="Q1620" s="4">
        <v>45867.423784722225</v>
      </c>
      <c r="R1620"/>
      <c r="S1620">
        <v>1728</v>
      </c>
      <c r="T1620" s="4">
        <v>45867.423784722225</v>
      </c>
      <c r="U1620" s="4"/>
      <c r="V1620"/>
      <c r="W1620">
        <v>1728</v>
      </c>
      <c r="X1620"/>
      <c r="Y1620" t="inlineStr">
        <is>
          <t>Pending Appointment</t>
        </is>
      </c>
      <c r="Z1620" t="inlineStr">
        <is>
          <t>Hiring Now</t>
        </is>
      </c>
      <c r="AA1620">
        <v>2</v>
      </c>
      <c r="AB1620" t="inlineStr">
        <is>
          <t>No Appointment Made</t>
        </is>
      </c>
      <c r="AC1620"/>
      <c r="AD1620" t="inlineStr">
        <is>
          <t>No budget, post at social media, hire Jr. executive x1, general clerk x1, Construction,  seremban, suggest stand</t>
        </is>
      </c>
      <c r="AE1620"/>
      <c r="AF1620">
        <v>3000</v>
      </c>
      <c r="AG1620" s="4"/>
      <c r="AH1620" s="4"/>
      <c r="AI1620">
        <v>3000</v>
      </c>
      <c r="AJ1620">
        <v>1</v>
      </c>
      <c r="AK1620" t="inlineStr">
        <is>
          <t>No, but I want in future</t>
        </is>
      </c>
      <c r="AL1620">
        <v>1</v>
      </c>
      <c r="AM1620" t="inlineStr">
        <is>
          <t>No, but I want in future</t>
        </is>
      </c>
      <c r="AN1620"/>
      <c r="AO1620" t="inlineStr">
        <is>
          <t>No, but I want in future</t>
        </is>
      </c>
      <c r="AP1620" t="inlineStr">
        <is>
          <t>Twice a year (50%)</t>
        </is>
      </c>
      <c r="AQ1620">
        <v>2</v>
      </c>
      <c r="AR1620" t="inlineStr">
        <is>
          <t>Did not use any job portal</t>
        </is>
      </c>
      <c r="AS1620" t="inlineStr">
        <is>
          <t>- Headcount: 2
- Hiring Job Details: No budget, post at social media, hire Jr. executive x1, general clerk x1, Construction, Seremban,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1620">
        <v>110</v>
      </c>
      <c r="AU1620" t="inlineStr">
        <is>
          <t>1.10</t>
        </is>
      </c>
      <c r="AV1620" t="inlineStr">
        <is>
          <t>15</t>
        </is>
      </c>
      <c r="AW1620" t="inlineStr">
        <is>
          <t>0</t>
        </is>
      </c>
      <c r="AX1620" t="inlineStr">
        <is>
          <t>Not Qualified</t>
        </is>
      </c>
      <c r="AY1620" s="4"/>
      <c r="AZ1620"/>
      <c r="BA1620"/>
      <c r="BB1620"/>
      <c r="BC1620" t="inlineStr">
        <is>
          <t>Call npu</t>
        </is>
      </c>
      <c r="BD1620" s="4">
        <v>46133.73894675926</v>
      </c>
      <c r="BE1620" t="inlineStr">
        <is>
          <t>paid</t>
        </is>
      </c>
      <c r="BF1620"/>
      <c r="BG1620" t="inlineStr">
        <is>
          <t>Reschedule</t>
        </is>
      </c>
      <c r="BH1620" t="inlineStr">
        <is>
          <t>Reagen</t>
        </is>
      </c>
      <c r="BI1620" t="inlineStr">
        <is>
          <t>Construction / Building</t>
        </is>
      </c>
      <c r="BJ1620" s="4">
        <v>46144.75079861111</v>
      </c>
      <c r="BK1620" s="4">
        <v>44593.3155787037</v>
      </c>
      <c r="BL1620" t="inlineStr">
        <is>
          <t>1728.0</t>
        </is>
      </c>
      <c r="BM1620" t="inlineStr">
        <is>
          <t>1200.0</t>
        </is>
      </c>
      <c r="BN1620" t="inlineStr">
        <is>
          <t>User Visit(Logged In)</t>
        </is>
      </c>
      <c r="BO1620" s="4">
        <v>46124.890648148146</v>
      </c>
      <c r="BP1620">
        <v>167143</v>
      </c>
      <c r="BQ1620">
        <v>6170</v>
      </c>
      <c r="BR1620" t="inlineStr">
        <is>
          <t>Manual (Paid)</t>
        </is>
      </c>
      <c r="BS1620" t="inlineStr">
        <is>
          <t>Double plus package inclusive of :
- 2 Job ad 
- Each job listing for 45 days
- We are using AI tools to reach up to 100 relevant candidates within 72 hours!
- Dedicate Account Manager Assist on hiring journey
- Auto bump up job for 8x on front page listing
- Job ad listing at 3 platforms: Ricebowl and Maukerja
- Job ad listing at partnership platform: Facebook (subject to approval)
**Extra RM 200 discount voucher applied**
**Extra Free 1 internship / manager posting (Worth RM 600) 
**Free 20x talent profiles for candidate search**
**Job extend for 10 days if did not reach 20 applications**</t>
        </is>
      </c>
      <c r="BT1620">
        <v>6170</v>
      </c>
      <c r="BU1620"/>
      <c r="BV1620">
        <v>2719142</v>
      </c>
      <c r="BW1620" t="inlineStr">
        <is>
          <t>No Answer : Voicemail - WA sent to customer</t>
        </is>
      </c>
      <c r="BX1620"/>
      <c r="BY1620"/>
      <c r="BZ1620" s="4"/>
      <c r="CA1620"/>
      <c r="CB1620"/>
      <c r="CC1620" s="4"/>
      <c r="CD1620" t="inlineStr">
        <is>
          <t>20</t>
        </is>
      </c>
      <c r="CE1620" t="inlineStr">
        <is>
          <t>0</t>
        </is>
      </c>
      <c r="CF1620" t="inlineStr">
        <is>
          <t>Q2-W02</t>
        </is>
      </c>
      <c r="CG1620"/>
      <c r="CH1620"/>
      <c r="CI1620"/>
      <c r="CJ1620" t="inlineStr">
        <is>
          <t>Paid</t>
        </is>
      </c>
      <c r="CK1620" t="inlineStr">
        <is>
          <t>Not Eligible</t>
        </is>
      </c>
      <c r="CL1620"/>
      <c r="CM1620"/>
    </row>
    <row r="1621" ht="25.5" customHeight="1">
      <c r="A1621" t="inlineStr">
        <is>
          <t>162249</t>
        </is>
      </c>
      <c r="B1621" s="2"/>
      <c r="C1621"/>
      <c r="D1621" s="3">
        <v>46127.476493055554</v>
      </c>
      <c r="E1621" t="inlineStr">
        <is>
          <t>Q2-W02</t>
        </is>
      </c>
      <c r="F1621" t="inlineStr">
        <is>
          <t>Clover</t>
        </is>
      </c>
      <c r="G1621" t="inlineStr">
        <is>
          <t>Customer</t>
        </is>
      </c>
      <c r="H1621" s="2" t="str">
        <f>=HYPERLINK("https://upbox.ajobthing.my/customer/162249", "https://upbox.ajobthing.my/customer/162249")</f>
        <v>https://upbox.ajobthing.my/customer/162249</v>
      </c>
      <c r="I1621" t="inlineStr">
        <is>
          <t>Nulatex Sdn Bhd</t>
        </is>
      </c>
      <c r="J1621" t="inlineStr">
        <is>
          <t>Dolphin</t>
        </is>
      </c>
      <c r="K1621" t="inlineStr">
        <is>
          <t>Clover</t>
        </is>
      </c>
      <c r="L1621" s="4"/>
      <c r="M1621" s="4">
        <v>46136.71271990741</v>
      </c>
      <c r="N1621"/>
      <c r="O1621">
        <v>3888</v>
      </c>
      <c r="P1621" s="4"/>
      <c r="Q1621" s="4"/>
      <c r="R1621"/>
      <c r="S1621"/>
      <c r="T1621" s="4"/>
      <c r="U1621" s="4"/>
      <c r="V1621"/>
      <c r="W1621"/>
      <c r="X1621"/>
      <c r="Y1621" t="inlineStr">
        <is>
          <t>Pending Appointment</t>
        </is>
      </c>
      <c r="Z1621" t="inlineStr">
        <is>
          <t>Hiring Now</t>
        </is>
      </c>
      <c r="AA1621">
        <v>20</v>
      </c>
      <c r="AB1621" t="inlineStr">
        <is>
          <t>No Appointment Made</t>
        </is>
      </c>
      <c r="AC1621"/>
      <c r="AD1621" t="inlineStr">
        <is>
          <t>hire operator x20, all races, contract based, manufacturer, kluag Johor</t>
        </is>
      </c>
      <c r="AE1621"/>
      <c r="AF1621">
        <v>5000</v>
      </c>
      <c r="AG1621" s="4"/>
      <c r="AH1621" s="4"/>
      <c r="AI1621">
        <v>5000</v>
      </c>
      <c r="AJ1621">
        <v>1</v>
      </c>
      <c r="AK1621" t="inlineStr">
        <is>
          <t>No, but I want in future</t>
        </is>
      </c>
      <c r="AL1621">
        <v>1</v>
      </c>
      <c r="AM1621" t="inlineStr">
        <is>
          <t>No, but I want in future</t>
        </is>
      </c>
      <c r="AN1621"/>
      <c r="AO1621" t="inlineStr">
        <is>
          <t>No, but I want in future</t>
        </is>
      </c>
      <c r="AP1621" t="inlineStr">
        <is>
          <t>Once per quarter (75%)</t>
        </is>
      </c>
      <c r="AQ1621">
        <v>10</v>
      </c>
      <c r="AR1621" t="inlineStr">
        <is>
          <t>Did not use any job portal</t>
        </is>
      </c>
      <c r="AS1621" t="inlineStr">
        <is>
          <t>- Headcount: 20
- Hiring Job Details: hire operator x20, all races, contract based, manufacturer, kluag Johor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10
- Hiring frequency: Once per quarter (75%)
- External job portal: Did not use any job portal</t>
        </is>
      </c>
      <c r="AT1621">
        <v>110</v>
      </c>
      <c r="AU1621" t="inlineStr">
        <is>
          <t>1.10</t>
        </is>
      </c>
      <c r="AV1621" t="inlineStr">
        <is>
          <t>25</t>
        </is>
      </c>
      <c r="AW1621" t="inlineStr">
        <is>
          <t>0</t>
        </is>
      </c>
      <c r="AX1621" t="inlineStr">
        <is>
          <t>Not Qualified</t>
        </is>
      </c>
      <c r="AY1621" s="4"/>
      <c r="AZ1621"/>
      <c r="BA1621"/>
      <c r="BB1621"/>
      <c r="BC1621" t="inlineStr">
        <is>
          <t>lost</t>
        </is>
      </c>
      <c r="BD1621" s="4">
        <v>46142.595405092594</v>
      </c>
      <c r="BE1621"/>
      <c r="BF1621"/>
      <c r="BG1621" t="inlineStr">
        <is>
          <t>Reschedule</t>
        </is>
      </c>
      <c r="BH1621" t="inlineStr">
        <is>
          <t>Reagen</t>
        </is>
      </c>
      <c r="BI1621" t="inlineStr">
        <is>
          <t>Manufacturing / Production</t>
        </is>
      </c>
      <c r="BJ1621" s="4">
        <v>46144.75115740741</v>
      </c>
      <c r="BK1621" s="4">
        <v>44886.68171296296</v>
      </c>
      <c r="BL1621" t="inlineStr">
        <is>
          <t>0.0</t>
        </is>
      </c>
      <c r="BM1621" t="inlineStr">
        <is>
          <t>0.0</t>
        </is>
      </c>
      <c r="BN1621" t="inlineStr">
        <is>
          <t>View Company Page</t>
        </is>
      </c>
      <c r="BO1621" s="4">
        <v>44886.70445601852</v>
      </c>
      <c r="BP1621">
        <v>168883</v>
      </c>
      <c r="BQ1621"/>
      <c r="BR1621"/>
      <c r="BS1621"/>
      <c r="BT1621"/>
      <c r="BU1621"/>
      <c r="BV1621">
        <v>2737661</v>
      </c>
      <c r="BW1621" t="inlineStr">
        <is>
          <t>Follow Up : Lost - Free Portal</t>
        </is>
      </c>
      <c r="BX1621"/>
      <c r="BY1621"/>
      <c r="BZ1621" s="4"/>
      <c r="CA1621"/>
      <c r="CB1621"/>
      <c r="CC1621" s="4"/>
      <c r="CD1621" t="inlineStr">
        <is>
          <t>35</t>
        </is>
      </c>
      <c r="CE1621" t="inlineStr">
        <is>
          <t>0</t>
        </is>
      </c>
      <c r="CF1621" t="inlineStr">
        <is>
          <t>Q2-W04</t>
        </is>
      </c>
      <c r="CG1621"/>
      <c r="CH1621"/>
      <c r="CI1621"/>
      <c r="CJ1621" t="inlineStr">
        <is>
          <t>No Paid</t>
        </is>
      </c>
      <c r="CK1621" t="inlineStr">
        <is>
          <t>Eligible</t>
        </is>
      </c>
      <c r="CL1621"/>
      <c r="CM1621"/>
    </row>
    <row r="1622" ht="25.5" customHeight="1">
      <c r="A1622" t="inlineStr">
        <is>
          <t>203253</t>
        </is>
      </c>
      <c r="B1622" s="2"/>
      <c r="C1622"/>
      <c r="D1622" s="3">
        <v>46127.476539351854</v>
      </c>
      <c r="E1622" t="inlineStr">
        <is>
          <t>Q2-W02</t>
        </is>
      </c>
      <c r="F1622" t="inlineStr">
        <is>
          <t>Keegan</t>
        </is>
      </c>
      <c r="G1622" t="inlineStr">
        <is>
          <t>Customer</t>
        </is>
      </c>
      <c r="H1622" s="2" t="str">
        <f>=HYPERLINK("https://upbox.ajobthing.my/customer/203253", "https://upbox.ajobthing.my/customer/203253")</f>
        <v>https://upbox.ajobthing.my/customer/203253</v>
      </c>
      <c r="I1622" t="inlineStr">
        <is>
          <t>Tjs &amp; Co</t>
        </is>
      </c>
      <c r="J1622" t="inlineStr">
        <is>
          <t>Dolphin</t>
        </is>
      </c>
      <c r="K1622" t="inlineStr">
        <is>
          <t>Keegan</t>
        </is>
      </c>
      <c r="L1622" s="4"/>
      <c r="M1622" s="4">
        <v>46127.476643518516</v>
      </c>
      <c r="N1622"/>
      <c r="O1622">
        <v>6048</v>
      </c>
      <c r="P1622" s="4"/>
      <c r="Q1622" s="4">
        <v>46140.62737268519</v>
      </c>
      <c r="R1622"/>
      <c r="S1622">
        <v>0</v>
      </c>
      <c r="T1622" s="4">
        <v>46127.60423611111</v>
      </c>
      <c r="U1622" s="4"/>
      <c r="V1622"/>
      <c r="W1622">
        <v>1296</v>
      </c>
      <c r="X1622"/>
      <c r="Y1622" t="inlineStr">
        <is>
          <t>Pending Appointment</t>
        </is>
      </c>
      <c r="Z1622" t="inlineStr">
        <is>
          <t>Hiring Now</t>
        </is>
      </c>
      <c r="AA1622">
        <v>3</v>
      </c>
      <c r="AB1622" t="inlineStr">
        <is>
          <t>No Appointment Made</t>
        </is>
      </c>
      <c r="AC1622"/>
      <c r="AD1622" t="inlineStr">
        <is>
          <t xml:space="preserve">1. Admin 
2. Accountant 
3. Manager </t>
        </is>
      </c>
      <c r="AE1622"/>
      <c r="AF1622"/>
      <c r="AG1622" s="4"/>
      <c r="AH1622" s="4"/>
      <c r="AI1622"/>
      <c r="AJ1622">
        <v>1</v>
      </c>
      <c r="AK1622" t="inlineStr">
        <is>
          <t>No, I don't need at all</t>
        </is>
      </c>
      <c r="AL1622">
        <v>0</v>
      </c>
      <c r="AM1622" t="inlineStr">
        <is>
          <t>No, I don't need at all</t>
        </is>
      </c>
      <c r="AN1622"/>
      <c r="AO1622" t="inlineStr">
        <is>
          <t>No, I don't need at all</t>
        </is>
      </c>
      <c r="AP1622" t="inlineStr">
        <is>
          <t>Once per quarter (75%)</t>
        </is>
      </c>
      <c r="AQ1622"/>
      <c r="AR1622" t="inlineStr">
        <is>
          <t>Did not use any job portal</t>
        </is>
      </c>
      <c r="AS1622" t="inlineStr">
        <is>
          <t>- Headcount: 3
- Hiring Job Details: 1. Admin 2. Accountant 3.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622">
        <v>75</v>
      </c>
      <c r="AU1622" t="inlineStr">
        <is>
          <t>0.75</t>
        </is>
      </c>
      <c r="AV1622" t="inlineStr">
        <is>
          <t>5</t>
        </is>
      </c>
      <c r="AW1622" t="inlineStr">
        <is>
          <t>0</t>
        </is>
      </c>
      <c r="AX1622" t="inlineStr">
        <is>
          <t>Not Qualified</t>
        </is>
      </c>
      <c r="AY1622" s="4"/>
      <c r="AZ1622"/>
      <c r="BA1622"/>
      <c r="BB1622"/>
      <c r="BC1622" t="inlineStr">
        <is>
          <t>Job posting f/up</t>
        </is>
      </c>
      <c r="BD1622" s="4">
        <v>46141.613171296296</v>
      </c>
      <c r="BE1622" t="inlineStr">
        <is>
          <t>paid</t>
        </is>
      </c>
      <c r="BF1622" t="inlineStr">
        <is>
          <t>Q2-W02</t>
        </is>
      </c>
      <c r="BG1622" t="inlineStr">
        <is>
          <t>Reschedule</t>
        </is>
      </c>
      <c r="BH1622" t="inlineStr">
        <is>
          <t>Edward Hoo</t>
        </is>
      </c>
      <c r="BI1622" t="inlineStr">
        <is>
          <t>Accounting / Tax Services</t>
        </is>
      </c>
      <c r="BJ1622" s="4">
        <v>46144.75425925926</v>
      </c>
      <c r="BK1622" s="4">
        <v>46127.4621875</v>
      </c>
      <c r="BL1622" t="inlineStr">
        <is>
          <t>1296.0</t>
        </is>
      </c>
      <c r="BM1622" t="inlineStr">
        <is>
          <t>1200.0</t>
        </is>
      </c>
      <c r="BN1622" t="inlineStr">
        <is>
          <t>View Candidate Search Page</t>
        </is>
      </c>
      <c r="BO1622" s="4">
        <v>46144.602800925924</v>
      </c>
      <c r="BP1622">
        <v>167149</v>
      </c>
      <c r="BQ1622">
        <v>123927</v>
      </c>
      <c r="BR1622" t="inlineStr">
        <is>
          <t>Proforma</t>
        </is>
      </c>
      <c r="BS1622" t="inlineStr">
        <is>
          <t>Free Internship Job</t>
        </is>
      </c>
      <c r="BT1622">
        <v>93642</v>
      </c>
      <c r="BU1622"/>
      <c r="BV1622">
        <v>2735395</v>
      </c>
      <c r="BW1622" t="inlineStr">
        <is>
          <t>Service / Technical : Job Outcome Enquiry</t>
        </is>
      </c>
      <c r="BX1622">
        <v>2</v>
      </c>
      <c r="BY1622">
        <v>1</v>
      </c>
      <c r="BZ1622" s="4">
        <v>46127.60425925926</v>
      </c>
      <c r="CA1622">
        <v>23</v>
      </c>
      <c r="CB1622">
        <v>11</v>
      </c>
      <c r="CC1622" s="4">
        <v>46139.54712962963</v>
      </c>
      <c r="CD1622" t="inlineStr">
        <is>
          <t>5</t>
        </is>
      </c>
      <c r="CE1622" t="inlineStr">
        <is>
          <t>0</t>
        </is>
      </c>
      <c r="CF1622" t="inlineStr">
        <is>
          <t>Q2-W02</t>
        </is>
      </c>
      <c r="CG1622" t="inlineStr">
        <is>
          <t>Q2-W04</t>
        </is>
      </c>
      <c r="CH1622" t="inlineStr">
        <is>
          <t>Q2-W02</t>
        </is>
      </c>
      <c r="CI1622"/>
      <c r="CJ1622" t="inlineStr">
        <is>
          <t>Paid</t>
        </is>
      </c>
      <c r="CK1622" t="inlineStr">
        <is>
          <t>Not Eligible</t>
        </is>
      </c>
      <c r="CL1622"/>
      <c r="CM1622"/>
    </row>
    <row r="1623" ht="25.5" customHeight="1">
      <c r="A1623" t="inlineStr">
        <is>
          <t>8217</t>
        </is>
      </c>
      <c r="B1623" s="2"/>
      <c r="C1623"/>
      <c r="D1623" s="3">
        <v>46127.477534722224</v>
      </c>
      <c r="E1623" t="inlineStr">
        <is>
          <t>Q2-W02</t>
        </is>
      </c>
      <c r="F1623" t="inlineStr">
        <is>
          <t>Xin Hui</t>
        </is>
      </c>
      <c r="G1623" t="inlineStr">
        <is>
          <t>Customer</t>
        </is>
      </c>
      <c r="H1623" s="2" t="str">
        <f>=HYPERLINK("https://upbox.ajobthing.my/customer/8217", "https://upbox.ajobthing.my/customer/8217")</f>
        <v>https://upbox.ajobthing.my/customer/8217</v>
      </c>
      <c r="I1623" t="inlineStr">
        <is>
          <t>LCL &amp; Associates</t>
        </is>
      </c>
      <c r="J1623" t="inlineStr">
        <is>
          <t>Dolphin</t>
        </is>
      </c>
      <c r="K1623" t="inlineStr">
        <is>
          <t>Xin Hui</t>
        </is>
      </c>
      <c r="L1623" s="4"/>
      <c r="M1623" s="4">
        <v>46127.478159722225</v>
      </c>
      <c r="N1623"/>
      <c r="O1623">
        <v>3888</v>
      </c>
      <c r="P1623" s="4"/>
      <c r="Q1623" s="4">
        <v>42838.68033564815</v>
      </c>
      <c r="R1623"/>
      <c r="S1623">
        <v>318</v>
      </c>
      <c r="T1623" s="4">
        <v>42838.68033564815</v>
      </c>
      <c r="U1623" s="4"/>
      <c r="V1623"/>
      <c r="W1623">
        <v>318</v>
      </c>
      <c r="X1623"/>
      <c r="Y1623" t="inlineStr">
        <is>
          <t>Pending Appointment</t>
        </is>
      </c>
      <c r="Z1623" t="inlineStr">
        <is>
          <t>Hiring Now</t>
        </is>
      </c>
      <c r="AA1623">
        <v>4</v>
      </c>
      <c r="AB1623" t="inlineStr">
        <is>
          <t>No Appointment Made</t>
        </is>
      </c>
      <c r="AC1623"/>
      <c r="AD1623" t="inlineStr">
        <is>
          <t>4 sales</t>
        </is>
      </c>
      <c r="AE1623"/>
      <c r="AF1623"/>
      <c r="AG1623" s="4"/>
      <c r="AH1623" s="4"/>
      <c r="AI1623"/>
      <c r="AJ1623"/>
      <c r="AK1623" t="inlineStr">
        <is>
          <t>No, I don't need at all</t>
        </is>
      </c>
      <c r="AL1623"/>
      <c r="AM1623" t="inlineStr">
        <is>
          <t>No, I don't need at all</t>
        </is>
      </c>
      <c r="AN1623"/>
      <c r="AO1623"/>
      <c r="AP1623" t="inlineStr">
        <is>
          <t>Twice a year (50%)</t>
        </is>
      </c>
      <c r="AQ1623"/>
      <c r="AR1623"/>
      <c r="AS1623" t="inlineStr">
        <is>
          <t>- Headcount: 4
- Hiring Job Details: 4 sales
- Hiring Urgency: Hiring Now
- Number of outlets: Not provided
- Have recruiter team: No, I don't need at all
- Number of recruiter in company: Not provided
- Have ATS system: No, I don't need at all
- Have career website: Not provided
- Current hiring budget: Not provided
- Whole year budget: Not provided
- Whole year number of vacancies: Not provided
- Hiring frequency: Twice a year (50%)
- External job portal: Not provided</t>
        </is>
      </c>
      <c r="AT1623">
        <v>75</v>
      </c>
      <c r="AU1623" t="inlineStr">
        <is>
          <t>0.75</t>
        </is>
      </c>
      <c r="AV1623" t="inlineStr">
        <is>
          <t>5</t>
        </is>
      </c>
      <c r="AW1623" t="inlineStr">
        <is>
          <t>0</t>
        </is>
      </c>
      <c r="AX1623" t="inlineStr">
        <is>
          <t>Not Qualified</t>
        </is>
      </c>
      <c r="AY1623" s="4"/>
      <c r="AZ1623"/>
      <c r="BA1623"/>
      <c r="BB1623"/>
      <c r="BC1623" t="inlineStr">
        <is>
          <t>busy recently, callback after 2days</t>
        </is>
      </c>
      <c r="BD1623" s="4">
        <v>46141.60795138889</v>
      </c>
      <c r="BE1623" t="inlineStr">
        <is>
          <t>paid</t>
        </is>
      </c>
      <c r="BF1623"/>
      <c r="BG1623" t="inlineStr">
        <is>
          <t>Reschedule</t>
        </is>
      </c>
      <c r="BH1623" t="inlineStr">
        <is>
          <t>Yee Hang</t>
        </is>
      </c>
      <c r="BI1623" t="inlineStr">
        <is>
          <t>Insurance</t>
        </is>
      </c>
      <c r="BJ1623" s="4">
        <v>46144.756157407406</v>
      </c>
      <c r="BK1623" s="4">
        <v>42476.43853009259</v>
      </c>
      <c r="BL1623" t="inlineStr">
        <is>
          <t>0.0</t>
        </is>
      </c>
      <c r="BM1623" t="inlineStr">
        <is>
          <t>0.0</t>
        </is>
      </c>
      <c r="BN1623" t="inlineStr">
        <is>
          <t>User Visit(Logged In)</t>
        </is>
      </c>
      <c r="BO1623" s="4">
        <v>45804.74140046296</v>
      </c>
      <c r="BP1623">
        <v>167153</v>
      </c>
      <c r="BQ1623">
        <v>6927</v>
      </c>
      <c r="BR1623" t="inlineStr">
        <is>
          <t>Online</t>
        </is>
      </c>
      <c r="BS1623" t="inlineStr">
        <is>
          <t>Upgrade from 2 Ala carte to AI Yearly Standard Plan (Year End Promo 25 with Disc):
- JobAI by AJobThing
AI Yearly Standard Plan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
- 12.12 Standard Plan Discount RM500
- 12.12 promo discount valid until 18 Dec 2025</t>
        </is>
      </c>
      <c r="BT1623">
        <v>6927</v>
      </c>
      <c r="BU1623"/>
      <c r="BV1623">
        <v>2735349</v>
      </c>
      <c r="BW1623" t="inlineStr">
        <is>
          <t>Follow Up : Decision Pending</t>
        </is>
      </c>
      <c r="BX1623"/>
      <c r="BY1623"/>
      <c r="BZ1623" s="4"/>
      <c r="CA1623"/>
      <c r="CB1623"/>
      <c r="CC1623" s="4"/>
      <c r="CD1623" t="inlineStr">
        <is>
          <t>5</t>
        </is>
      </c>
      <c r="CE1623" t="inlineStr">
        <is>
          <t>0</t>
        </is>
      </c>
      <c r="CF1623" t="inlineStr">
        <is>
          <t>Q2-W02</t>
        </is>
      </c>
      <c r="CG1623"/>
      <c r="CH1623"/>
      <c r="CI1623"/>
      <c r="CJ1623" t="inlineStr">
        <is>
          <t>Paid</t>
        </is>
      </c>
      <c r="CK1623" t="inlineStr">
        <is>
          <t>Not Eligible</t>
        </is>
      </c>
      <c r="CL1623"/>
      <c r="CM1623"/>
    </row>
    <row r="1624" ht="25.5" customHeight="1">
      <c r="A1624" t="inlineStr">
        <is>
          <t>202891</t>
        </is>
      </c>
      <c r="B1624" s="2"/>
      <c r="C1624"/>
      <c r="D1624" s="3">
        <v>46127.479537037034</v>
      </c>
      <c r="E1624" t="inlineStr">
        <is>
          <t>Q2-W02</t>
        </is>
      </c>
      <c r="F1624" t="inlineStr">
        <is>
          <t>Carmen</t>
        </is>
      </c>
      <c r="G1624" t="inlineStr">
        <is>
          <t>Customer</t>
        </is>
      </c>
      <c r="H1624" s="2" t="str">
        <f>=HYPERLINK("https://upbox.ajobthing.my/customer/202891", "https://upbox.ajobthing.my/customer/202891")</f>
        <v>https://upbox.ajobthing.my/customer/202891</v>
      </c>
      <c r="I1624" t="inlineStr">
        <is>
          <t>FIT IN CDC</t>
        </is>
      </c>
      <c r="J1624" t="inlineStr">
        <is>
          <t>Dolphin</t>
        </is>
      </c>
      <c r="K1624" t="inlineStr">
        <is>
          <t>Carmen</t>
        </is>
      </c>
      <c r="L1624" s="4"/>
      <c r="M1624" s="4">
        <v>46127.47851851852</v>
      </c>
      <c r="N1624"/>
      <c r="O1624">
        <v>1728</v>
      </c>
      <c r="P1624" s="4"/>
      <c r="Q1624" s="4"/>
      <c r="R1624"/>
      <c r="S1624"/>
      <c r="T1624" s="4"/>
      <c r="U1624" s="4"/>
      <c r="V1624"/>
      <c r="W1624"/>
      <c r="X1624"/>
      <c r="Y1624" t="inlineStr">
        <is>
          <t>Pending Appointment</t>
        </is>
      </c>
      <c r="Z1624" t="inlineStr">
        <is>
          <t>Hiring Now</t>
        </is>
      </c>
      <c r="AA1624">
        <v>2</v>
      </c>
      <c r="AB1624" t="inlineStr">
        <is>
          <t>No Appointment Made</t>
        </is>
      </c>
      <c r="AC1624"/>
      <c r="AD1624" t="inlineStr">
        <is>
          <t>2 junior therapist</t>
        </is>
      </c>
      <c r="AE1624"/>
      <c r="AF1624">
        <v>0</v>
      </c>
      <c r="AG1624" s="4"/>
      <c r="AH1624" s="4"/>
      <c r="AI1624"/>
      <c r="AJ1624"/>
      <c r="AK1624"/>
      <c r="AL1624"/>
      <c r="AM1624"/>
      <c r="AN1624"/>
      <c r="AO1624"/>
      <c r="AP1624"/>
      <c r="AQ1624"/>
      <c r="AR1624"/>
      <c r="AS1624" t="inlineStr">
        <is>
          <t>- Headcount: 2
- Hiring Job Details: 2 junior therapist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1624">
        <v>65</v>
      </c>
      <c r="AU1624" t="inlineStr">
        <is>
          <t>0.65</t>
        </is>
      </c>
      <c r="AV1624" t="inlineStr">
        <is>
          <t>15</t>
        </is>
      </c>
      <c r="AW1624" t="inlineStr">
        <is>
          <t>0</t>
        </is>
      </c>
      <c r="AX1624" t="inlineStr">
        <is>
          <t>Not Qualified</t>
        </is>
      </c>
      <c r="AY1624" s="4"/>
      <c r="AZ1624"/>
      <c r="BA1624"/>
      <c r="BB1624"/>
      <c r="BC1624" t="inlineStr">
        <is>
          <t>follow up</t>
        </is>
      </c>
      <c r="BD1624" s="4">
        <v>46134.72806712963</v>
      </c>
      <c r="BE1624"/>
      <c r="BF1624"/>
      <c r="BG1624" t="inlineStr">
        <is>
          <t>Reschedule</t>
        </is>
      </c>
      <c r="BH1624" t="inlineStr">
        <is>
          <t>Reagen</t>
        </is>
      </c>
      <c r="BI1624"/>
      <c r="BJ1624" s="4">
        <v>46144.75414351852</v>
      </c>
      <c r="BK1624" s="4">
        <v>46118.71884259259</v>
      </c>
      <c r="BL1624" t="inlineStr">
        <is>
          <t>0.0</t>
        </is>
      </c>
      <c r="BM1624" t="inlineStr">
        <is>
          <t>0.0</t>
        </is>
      </c>
      <c r="BN1624"/>
      <c r="BO1624" s="4"/>
      <c r="BP1624">
        <v>167155</v>
      </c>
      <c r="BQ1624"/>
      <c r="BR1624"/>
      <c r="BS1624"/>
      <c r="BT1624"/>
      <c r="BU1624"/>
      <c r="BV1624">
        <v>2721798</v>
      </c>
      <c r="BW1624" t="inlineStr">
        <is>
          <t>Follow Up : Callback Request</t>
        </is>
      </c>
      <c r="BX1624"/>
      <c r="BY1624"/>
      <c r="BZ1624" s="4"/>
      <c r="CA1624"/>
      <c r="CB1624"/>
      <c r="CC1624" s="4"/>
      <c r="CD1624" t="inlineStr">
        <is>
          <t>20</t>
        </is>
      </c>
      <c r="CE1624" t="inlineStr">
        <is>
          <t>0</t>
        </is>
      </c>
      <c r="CF1624" t="inlineStr">
        <is>
          <t>Q2-W02</t>
        </is>
      </c>
      <c r="CG1624"/>
      <c r="CH1624"/>
      <c r="CI1624"/>
      <c r="CJ1624" t="inlineStr">
        <is>
          <t>No Paid</t>
        </is>
      </c>
      <c r="CK1624" t="inlineStr">
        <is>
          <t>Not Eligible</t>
        </is>
      </c>
      <c r="CL1624"/>
      <c r="CM1624"/>
    </row>
    <row r="1625" ht="25.5" customHeight="1">
      <c r="A1625" t="inlineStr">
        <is>
          <t>175682</t>
        </is>
      </c>
      <c r="B1625" s="2"/>
      <c r="C1625"/>
      <c r="D1625" s="3">
        <v>46127.5183912037</v>
      </c>
      <c r="E1625" t="inlineStr">
        <is>
          <t>Q2-W02</t>
        </is>
      </c>
      <c r="F1625" t="inlineStr">
        <is>
          <t>Luqman</t>
        </is>
      </c>
      <c r="G1625" t="inlineStr">
        <is>
          <t>Customer</t>
        </is>
      </c>
      <c r="H1625" s="2" t="str">
        <f>=HYPERLINK("https://upbox.ajobthing.my/customer/175682", "https://upbox.ajobthing.my/customer/175682")</f>
        <v>https://upbox.ajobthing.my/customer/175682</v>
      </c>
      <c r="I1625" t="inlineStr">
        <is>
          <t>Optimal Systems Engineering Sdn Bhd</t>
        </is>
      </c>
      <c r="J1625" t="inlineStr">
        <is>
          <t>Dolphin</t>
        </is>
      </c>
      <c r="K1625" t="inlineStr">
        <is>
          <t>Luqman</t>
        </is>
      </c>
      <c r="L1625" s="4"/>
      <c r="M1625" s="4">
        <v>46127.518587962964</v>
      </c>
      <c r="N1625"/>
      <c r="O1625">
        <v>3888</v>
      </c>
      <c r="P1625" s="4"/>
      <c r="Q1625" s="4">
        <v>45491</v>
      </c>
      <c r="R1625"/>
      <c r="S1625">
        <v>1846.8</v>
      </c>
      <c r="T1625" s="4">
        <v>45491</v>
      </c>
      <c r="U1625" s="4"/>
      <c r="V1625"/>
      <c r="W1625">
        <v>1846.8</v>
      </c>
      <c r="X1625"/>
      <c r="Y1625" t="inlineStr">
        <is>
          <t>Pending Appointment</t>
        </is>
      </c>
      <c r="Z1625" t="inlineStr">
        <is>
          <t>Hiring Later</t>
        </is>
      </c>
      <c r="AA1625">
        <v>2</v>
      </c>
      <c r="AB1625" t="inlineStr">
        <is>
          <t>No Appointment Made</t>
        </is>
      </c>
      <c r="AC1625"/>
      <c r="AD1625" t="inlineStr">
        <is>
          <t xml:space="preserve">1. Promoter 2. Sales Executive </t>
        </is>
      </c>
      <c r="AE1625"/>
      <c r="AF1625">
        <v>1200</v>
      </c>
      <c r="AG1625" s="4"/>
      <c r="AH1625" s="4"/>
      <c r="AI1625">
        <v>1200</v>
      </c>
      <c r="AJ1625"/>
      <c r="AK1625" t="inlineStr">
        <is>
          <t>No, I don't need at all</t>
        </is>
      </c>
      <c r="AL1625">
        <v>1</v>
      </c>
      <c r="AM1625" t="inlineStr">
        <is>
          <t>No, I don't need at all</t>
        </is>
      </c>
      <c r="AN1625"/>
      <c r="AO1625" t="inlineStr">
        <is>
          <t>No, I don't need at all</t>
        </is>
      </c>
      <c r="AP1625" t="inlineStr">
        <is>
          <t>Once a year (25%)</t>
        </is>
      </c>
      <c r="AQ1625">
        <v>2</v>
      </c>
      <c r="AR1625"/>
      <c r="AS1625" t="inlineStr">
        <is>
          <t>- Headcount: 2
- Hiring Job Details: 1. Promoter 2. Sales Executive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t>
        </is>
      </c>
      <c r="AT1625">
        <v>95</v>
      </c>
      <c r="AU1625" t="inlineStr">
        <is>
          <t>0.95</t>
        </is>
      </c>
      <c r="AV1625" t="inlineStr">
        <is>
          <t>15</t>
        </is>
      </c>
      <c r="AW1625" t="inlineStr">
        <is>
          <t>0</t>
        </is>
      </c>
      <c r="AX1625" t="inlineStr">
        <is>
          <t>Not Qualified</t>
        </is>
      </c>
      <c r="AY1625" s="4"/>
      <c r="AZ1625"/>
      <c r="BA1625"/>
      <c r="BB1625"/>
      <c r="BC1625" t="inlineStr">
        <is>
          <t>Lost - No Feedback</t>
        </is>
      </c>
      <c r="BD1625" s="4">
        <v>46141.593518518515</v>
      </c>
      <c r="BE1625" t="inlineStr">
        <is>
          <t>paid</t>
        </is>
      </c>
      <c r="BF1625"/>
      <c r="BG1625" t="inlineStr">
        <is>
          <t>Reschedule</t>
        </is>
      </c>
      <c r="BH1625" t="inlineStr">
        <is>
          <t>Edward Hoo</t>
        </is>
      </c>
      <c r="BI1625" t="inlineStr">
        <is>
          <t>Engineering / Technical Consulting</t>
        </is>
      </c>
      <c r="BJ1625" s="4">
        <v>46144.751608796294</v>
      </c>
      <c r="BK1625" s="4">
        <v>45345.399988425925</v>
      </c>
      <c r="BL1625" t="inlineStr">
        <is>
          <t>0.0</t>
        </is>
      </c>
      <c r="BM1625" t="inlineStr">
        <is>
          <t>600.0</t>
        </is>
      </c>
      <c r="BN1625" t="inlineStr">
        <is>
          <t>View Company Page</t>
        </is>
      </c>
      <c r="BO1625" s="4">
        <v>45546.69940972222</v>
      </c>
      <c r="BP1625">
        <v>167165</v>
      </c>
      <c r="BQ1625">
        <v>71206</v>
      </c>
      <c r="BR1625" t="inlineStr">
        <is>
          <t>Online</t>
        </is>
      </c>
      <c r="BS1625"/>
      <c r="BT1625">
        <v>71206</v>
      </c>
      <c r="BU1625"/>
      <c r="BV1625">
        <v>2735238</v>
      </c>
      <c r="BW1625" t="inlineStr">
        <is>
          <t>Follow Up : Lost - Free Portal</t>
        </is>
      </c>
      <c r="BX1625"/>
      <c r="BY1625"/>
      <c r="BZ1625" s="4"/>
      <c r="CA1625"/>
      <c r="CB1625"/>
      <c r="CC1625" s="4"/>
      <c r="CD1625" t="inlineStr">
        <is>
          <t>20</t>
        </is>
      </c>
      <c r="CE1625" t="inlineStr">
        <is>
          <t>0</t>
        </is>
      </c>
      <c r="CF1625" t="inlineStr">
        <is>
          <t>Q2-W02</t>
        </is>
      </c>
      <c r="CG1625"/>
      <c r="CH1625"/>
      <c r="CI1625"/>
      <c r="CJ1625" t="inlineStr">
        <is>
          <t>Paid</t>
        </is>
      </c>
      <c r="CK1625" t="inlineStr">
        <is>
          <t>Not Eligible</t>
        </is>
      </c>
      <c r="CL1625"/>
      <c r="CM1625"/>
    </row>
    <row r="1626" ht="25.5" customHeight="1">
      <c r="A1626" t="inlineStr">
        <is>
          <t>203250</t>
        </is>
      </c>
      <c r="B1626" s="2"/>
      <c r="C1626"/>
      <c r="D1626" s="3">
        <v>46127.543912037036</v>
      </c>
      <c r="E1626" t="inlineStr">
        <is>
          <t>Q2-W02</t>
        </is>
      </c>
      <c r="F1626" t="inlineStr">
        <is>
          <t>Alan KY</t>
        </is>
      </c>
      <c r="G1626" t="inlineStr">
        <is>
          <t>Customer</t>
        </is>
      </c>
      <c r="H1626" s="2" t="str">
        <f>=HYPERLINK("https://upbox.ajobthing.my/customer/203250", "https://upbox.ajobthing.my/customer/203250")</f>
        <v>https://upbox.ajobthing.my/customer/203250</v>
      </c>
      <c r="I1626" t="inlineStr">
        <is>
          <t>C&amp;c Creative Consultancy Sdn Bhd</t>
        </is>
      </c>
      <c r="J1626" t="inlineStr">
        <is>
          <t>Dolphin</t>
        </is>
      </c>
      <c r="K1626" t="inlineStr">
        <is>
          <t>Alan KY</t>
        </is>
      </c>
      <c r="L1626" s="4"/>
      <c r="M1626" s="4">
        <v>46127.48784722222</v>
      </c>
      <c r="N1626"/>
      <c r="O1626">
        <v>3672</v>
      </c>
      <c r="P1626" s="4"/>
      <c r="Q1626" s="4">
        <v>46127.43239583333</v>
      </c>
      <c r="R1626"/>
      <c r="S1626">
        <v>0</v>
      </c>
      <c r="T1626" s="4"/>
      <c r="U1626" s="4"/>
      <c r="V1626"/>
      <c r="W1626"/>
      <c r="X1626"/>
      <c r="Y1626" t="inlineStr">
        <is>
          <t>Pending Appointment</t>
        </is>
      </c>
      <c r="Z1626" t="inlineStr">
        <is>
          <t>Continuous Hiring</t>
        </is>
      </c>
      <c r="AA1626">
        <v>1</v>
      </c>
      <c r="AB1626" t="inlineStr">
        <is>
          <t>No Appointment Made</t>
        </is>
      </c>
      <c r="AC1626"/>
      <c r="AD1626" t="inlineStr">
        <is>
          <t xml:space="preserve">1 HR executive, have upcoming hire, based in Selangor </t>
        </is>
      </c>
      <c r="AE1626"/>
      <c r="AF1626"/>
      <c r="AG1626" s="4"/>
      <c r="AH1626" s="4"/>
      <c r="AI1626"/>
      <c r="AJ1626"/>
      <c r="AK1626" t="inlineStr">
        <is>
          <t>No, I don't need at all</t>
        </is>
      </c>
      <c r="AL1626"/>
      <c r="AM1626" t="inlineStr">
        <is>
          <t>No, I don't need at all</t>
        </is>
      </c>
      <c r="AN1626"/>
      <c r="AO1626" t="inlineStr">
        <is>
          <t>No, I don't need at all</t>
        </is>
      </c>
      <c r="AP1626" t="inlineStr">
        <is>
          <t>Once per quarter (75%)</t>
        </is>
      </c>
      <c r="AQ1626"/>
      <c r="AR1626" t="inlineStr">
        <is>
          <t>Jobstreet</t>
        </is>
      </c>
      <c r="AS1626" t="inlineStr">
        <is>
          <t>- Headcount: 1
- Hiring Job Details: 1 HR executive, have upcoming hire, based in Selangor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626">
        <v>85</v>
      </c>
      <c r="AU1626" t="inlineStr">
        <is>
          <t>0.85</t>
        </is>
      </c>
      <c r="AV1626" t="inlineStr">
        <is>
          <t>5</t>
        </is>
      </c>
      <c r="AW1626" t="inlineStr">
        <is>
          <t>0</t>
        </is>
      </c>
      <c r="AX1626" t="inlineStr">
        <is>
          <t>Not Qualified</t>
        </is>
      </c>
      <c r="AY1626" s="4"/>
      <c r="AZ1626"/>
      <c r="BA1626"/>
      <c r="BB1626"/>
      <c r="BC1626" t="inlineStr">
        <is>
          <t>- Headcount: 1
- Hiring Job Details: 1 HR executive, have upcoming hire, based in Selangor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BD1626" s="4">
        <v>46127.5834837963</v>
      </c>
      <c r="BE1626" t="inlineStr">
        <is>
          <t>paid</t>
        </is>
      </c>
      <c r="BF1626"/>
      <c r="BG1626" t="inlineStr">
        <is>
          <t>Reschedule</t>
        </is>
      </c>
      <c r="BH1626" t="inlineStr">
        <is>
          <t>Reagen</t>
        </is>
      </c>
      <c r="BI1626"/>
      <c r="BJ1626" s="4">
        <v>46144.75425925926</v>
      </c>
      <c r="BK1626" s="4">
        <v>46127.431967592594</v>
      </c>
      <c r="BL1626" t="inlineStr">
        <is>
          <t>0.0</t>
        </is>
      </c>
      <c r="BM1626" t="inlineStr">
        <is>
          <t>0.0</t>
        </is>
      </c>
      <c r="BN1626" t="inlineStr">
        <is>
          <t>View Create Job Page V4</t>
        </is>
      </c>
      <c r="BO1626" s="4">
        <v>46127.43918981482</v>
      </c>
      <c r="BP1626">
        <v>167158</v>
      </c>
      <c r="BQ1626">
        <v>122395</v>
      </c>
      <c r="BR1626" t="inlineStr">
        <is>
          <t>Proforma</t>
        </is>
      </c>
      <c r="BS1626" t="inlineStr">
        <is>
          <t>Free Freelance Job</t>
        </is>
      </c>
      <c r="BT1626"/>
      <c r="BU1626"/>
      <c r="BV1626">
        <v>2705860</v>
      </c>
      <c r="BW1626" t="inlineStr">
        <is>
          <t>Customer Inquiry</t>
        </is>
      </c>
      <c r="BX1626"/>
      <c r="BY1626"/>
      <c r="BZ1626" s="4"/>
      <c r="CA1626"/>
      <c r="CB1626"/>
      <c r="CC1626" s="4"/>
      <c r="CD1626" t="inlineStr">
        <is>
          <t>5</t>
        </is>
      </c>
      <c r="CE1626" t="inlineStr">
        <is>
          <t>0</t>
        </is>
      </c>
      <c r="CF1626" t="inlineStr">
        <is>
          <t>Q2-W02</t>
        </is>
      </c>
      <c r="CG1626" t="inlineStr">
        <is>
          <t>Q2-W02</t>
        </is>
      </c>
      <c r="CH1626"/>
      <c r="CI1626"/>
      <c r="CJ1626" t="inlineStr">
        <is>
          <t>No Paid</t>
        </is>
      </c>
      <c r="CK1626" t="inlineStr">
        <is>
          <t>Not Eligible</t>
        </is>
      </c>
      <c r="CL1626"/>
      <c r="CM1626"/>
    </row>
    <row r="1627" ht="25.5" customHeight="1">
      <c r="A1627" t="inlineStr">
        <is>
          <t>203259</t>
        </is>
      </c>
      <c r="B1627" s="2"/>
      <c r="C1627"/>
      <c r="D1627" s="3">
        <v>46127.559432870374</v>
      </c>
      <c r="E1627" t="inlineStr">
        <is>
          <t>Q2-W02</t>
        </is>
      </c>
      <c r="F1627" t="inlineStr">
        <is>
          <t>Evan</t>
        </is>
      </c>
      <c r="G1627" t="inlineStr">
        <is>
          <t>Customer</t>
        </is>
      </c>
      <c r="H1627" s="2" t="str">
        <f>=HYPERLINK("https://upbox.ajobthing.my/customer/203259", "https://upbox.ajobthing.my/customer/203259")</f>
        <v>https://upbox.ajobthing.my/customer/203259</v>
      </c>
      <c r="I1627" t="inlineStr">
        <is>
          <t>Kaas Engineering</t>
        </is>
      </c>
      <c r="J1627" t="inlineStr">
        <is>
          <t>Dolphin</t>
        </is>
      </c>
      <c r="K1627" t="inlineStr">
        <is>
          <t>Evan</t>
        </is>
      </c>
      <c r="L1627" s="4"/>
      <c r="M1627" s="4">
        <v>46127.558958333335</v>
      </c>
      <c r="N1627"/>
      <c r="O1627">
        <v>6048</v>
      </c>
      <c r="P1627" s="4"/>
      <c r="Q1627" s="4"/>
      <c r="R1627"/>
      <c r="S1627"/>
      <c r="T1627" s="4"/>
      <c r="U1627" s="4"/>
      <c r="V1627"/>
      <c r="W1627"/>
      <c r="X1627"/>
      <c r="Y1627" t="inlineStr">
        <is>
          <t>Pending Appointment</t>
        </is>
      </c>
      <c r="Z1627" t="inlineStr">
        <is>
          <t>Hiring Now</t>
        </is>
      </c>
      <c r="AA1627">
        <v>1</v>
      </c>
      <c r="AB1627" t="inlineStr">
        <is>
          <t>No Appointment Made</t>
        </is>
      </c>
      <c r="AC1627"/>
      <c r="AD1627" t="inlineStr">
        <is>
          <t>1 technician, all base in KL</t>
        </is>
      </c>
      <c r="AE1627"/>
      <c r="AF1627">
        <v>1</v>
      </c>
      <c r="AG1627" s="4"/>
      <c r="AH1627" s="4"/>
      <c r="AI1627">
        <v>1</v>
      </c>
      <c r="AJ1627">
        <v>1</v>
      </c>
      <c r="AK1627" t="inlineStr">
        <is>
          <t>No, I don't need at all</t>
        </is>
      </c>
      <c r="AL1627">
        <v>0</v>
      </c>
      <c r="AM1627" t="inlineStr">
        <is>
          <t>No, I don't need at all</t>
        </is>
      </c>
      <c r="AN1627"/>
      <c r="AO1627" t="inlineStr">
        <is>
          <t>No, I don't need at all</t>
        </is>
      </c>
      <c r="AP1627" t="inlineStr">
        <is>
          <t>Once a year (25%)</t>
        </is>
      </c>
      <c r="AQ1627">
        <v>1</v>
      </c>
      <c r="AR1627" t="inlineStr">
        <is>
          <t>Did not use any job portal</t>
        </is>
      </c>
      <c r="AS1627" t="inlineStr">
        <is>
          <t>- Headcount: 1
- Hiring Job Details: 1 technician,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627">
        <v>115</v>
      </c>
      <c r="AU1627" t="inlineStr">
        <is>
          <t>1.15</t>
        </is>
      </c>
      <c r="AV1627" t="inlineStr">
        <is>
          <t>15</t>
        </is>
      </c>
      <c r="AW1627" t="inlineStr">
        <is>
          <t>0</t>
        </is>
      </c>
      <c r="AX1627" t="inlineStr">
        <is>
          <t>Not Qualified</t>
        </is>
      </c>
      <c r="AY1627" s="4"/>
      <c r="AZ1627"/>
      <c r="BA1627"/>
      <c r="BB1627"/>
      <c r="BC1627" t="inlineStr">
        <is>
          <t>- Headcount: 1
- Hiring Job Details: 1 technician,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1627" s="4">
        <v>46127.5834837963</v>
      </c>
      <c r="BE1627"/>
      <c r="BF1627"/>
      <c r="BG1627" t="inlineStr">
        <is>
          <t>Reschedule</t>
        </is>
      </c>
      <c r="BH1627" t="inlineStr">
        <is>
          <t>Edward Hoo</t>
        </is>
      </c>
      <c r="BI1627"/>
      <c r="BJ1627" s="4">
        <v>46144.75425925926</v>
      </c>
      <c r="BK1627" s="4">
        <v>46127.54673611111</v>
      </c>
      <c r="BL1627" t="inlineStr">
        <is>
          <t>0.0</t>
        </is>
      </c>
      <c r="BM1627" t="inlineStr">
        <is>
          <t>0.0</t>
        </is>
      </c>
      <c r="BN1627" t="inlineStr">
        <is>
          <t>View Company Page</t>
        </is>
      </c>
      <c r="BO1627" s="4">
        <v>46127.57166666666</v>
      </c>
      <c r="BP1627">
        <v>167169</v>
      </c>
      <c r="BQ1627"/>
      <c r="BR1627"/>
      <c r="BS1627"/>
      <c r="BT1627"/>
      <c r="BU1627"/>
      <c r="BV1627">
        <v>2705863</v>
      </c>
      <c r="BW1627" t="inlineStr">
        <is>
          <t>Customer Inquiry</t>
        </is>
      </c>
      <c r="BX1627"/>
      <c r="BY1627"/>
      <c r="BZ1627" s="4"/>
      <c r="CA1627"/>
      <c r="CB1627"/>
      <c r="CC1627" s="4"/>
      <c r="CD1627" t="inlineStr">
        <is>
          <t>20</t>
        </is>
      </c>
      <c r="CE1627" t="inlineStr">
        <is>
          <t>0</t>
        </is>
      </c>
      <c r="CF1627" t="inlineStr">
        <is>
          <t>Q2-W02</t>
        </is>
      </c>
      <c r="CG1627"/>
      <c r="CH1627"/>
      <c r="CI1627"/>
      <c r="CJ1627" t="inlineStr">
        <is>
          <t>No Paid</t>
        </is>
      </c>
      <c r="CK1627" t="inlineStr">
        <is>
          <t>Not Eligible</t>
        </is>
      </c>
      <c r="CL1627"/>
      <c r="CM1627"/>
    </row>
    <row r="1628" ht="25.5" customHeight="1">
      <c r="A1628" t="inlineStr">
        <is>
          <t>182296</t>
        </is>
      </c>
      <c r="B1628" s="2"/>
      <c r="C1628"/>
      <c r="D1628" s="3">
        <v>46127.572291666664</v>
      </c>
      <c r="E1628" t="inlineStr">
        <is>
          <t>Q2-W02</t>
        </is>
      </c>
      <c r="F1628" t="inlineStr">
        <is>
          <t>Lucas</t>
        </is>
      </c>
      <c r="G1628" t="inlineStr">
        <is>
          <t>Customer</t>
        </is>
      </c>
      <c r="H1628" s="2" t="str">
        <f>=HYPERLINK("https://upbox.ajobthing.my/customer/182296", "https://upbox.ajobthing.my/customer/182296")</f>
        <v>https://upbox.ajobthing.my/customer/182296</v>
      </c>
      <c r="I1628" t="inlineStr">
        <is>
          <t>Unicare Resources Sdn. Bhd.</t>
        </is>
      </c>
      <c r="J1628" t="inlineStr">
        <is>
          <t>Dolphin</t>
        </is>
      </c>
      <c r="K1628" t="inlineStr">
        <is>
          <t>Lucas</t>
        </is>
      </c>
      <c r="L1628" s="4"/>
      <c r="M1628" s="4">
        <v>46090.50363425926</v>
      </c>
      <c r="N1628"/>
      <c r="O1628">
        <v>3672</v>
      </c>
      <c r="P1628" s="4"/>
      <c r="Q1628" s="4">
        <v>46128.39706018518</v>
      </c>
      <c r="R1628"/>
      <c r="S1628">
        <v>1296</v>
      </c>
      <c r="T1628" s="4">
        <v>46128.39706018518</v>
      </c>
      <c r="U1628" s="4"/>
      <c r="V1628"/>
      <c r="W1628">
        <v>1296</v>
      </c>
      <c r="X1628"/>
      <c r="Y1628" t="inlineStr">
        <is>
          <t>Pending Appointment</t>
        </is>
      </c>
      <c r="Z1628" t="inlineStr">
        <is>
          <t>Hiring Now</t>
        </is>
      </c>
      <c r="AA1628">
        <v>1</v>
      </c>
      <c r="AB1628" t="inlineStr">
        <is>
          <t>No Appointment Made</t>
        </is>
      </c>
      <c r="AC1628"/>
      <c r="AD1628" t="inlineStr">
        <is>
          <t xml:space="preserve">1 marketing </t>
        </is>
      </c>
      <c r="AE1628"/>
      <c r="AF1628">
        <v>0</v>
      </c>
      <c r="AG1628" s="4"/>
      <c r="AH1628" s="4"/>
      <c r="AI1628">
        <v>0</v>
      </c>
      <c r="AJ1628">
        <v>0</v>
      </c>
      <c r="AK1628" t="inlineStr">
        <is>
          <t>No, I don't need at all</t>
        </is>
      </c>
      <c r="AL1628">
        <v>0</v>
      </c>
      <c r="AM1628" t="inlineStr">
        <is>
          <t>No, I don't need at all</t>
        </is>
      </c>
      <c r="AN1628"/>
      <c r="AO1628" t="inlineStr">
        <is>
          <t>No, I don't need at all</t>
        </is>
      </c>
      <c r="AP1628" t="inlineStr">
        <is>
          <t>Once a year (25%)</t>
        </is>
      </c>
      <c r="AQ1628">
        <v>1</v>
      </c>
      <c r="AR1628" t="inlineStr">
        <is>
          <t>Did not use any job portal</t>
        </is>
      </c>
      <c r="AS1628" t="inlineStr">
        <is>
          <t>- Headcount: 1
- Hiring Job Details: 1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628">
        <v>95</v>
      </c>
      <c r="AU1628" t="inlineStr">
        <is>
          <t>0.95</t>
        </is>
      </c>
      <c r="AV1628" t="inlineStr">
        <is>
          <t>15</t>
        </is>
      </c>
      <c r="AW1628" t="inlineStr">
        <is>
          <t>0</t>
        </is>
      </c>
      <c r="AX1628" t="inlineStr">
        <is>
          <t>Not Qualified</t>
        </is>
      </c>
      <c r="AY1628" s="4"/>
      <c r="AZ1628"/>
      <c r="BA1628"/>
      <c r="BB1628"/>
      <c r="BC1628" t="inlineStr">
        <is>
          <t>service , adv can update company logo</t>
        </is>
      </c>
      <c r="BD1628" s="4">
        <v>46129.42450231482</v>
      </c>
      <c r="BE1628" t="inlineStr">
        <is>
          <t>paid</t>
        </is>
      </c>
      <c r="BF1628" t="inlineStr">
        <is>
          <t>Q2-W02</t>
        </is>
      </c>
      <c r="BG1628" t="inlineStr">
        <is>
          <t>Reschedule</t>
        </is>
      </c>
      <c r="BH1628" t="inlineStr">
        <is>
          <t>Yee Hang</t>
        </is>
      </c>
      <c r="BI1628" t="inlineStr">
        <is>
          <t>Agriculture / Poultry / Fisheries</t>
        </is>
      </c>
      <c r="BJ1628" s="4">
        <v>46144.751921296294</v>
      </c>
      <c r="BK1628" s="4">
        <v>45538.31767361111</v>
      </c>
      <c r="BL1628" t="inlineStr">
        <is>
          <t>1296.0</t>
        </is>
      </c>
      <c r="BM1628" t="inlineStr">
        <is>
          <t>0.0</t>
        </is>
      </c>
      <c r="BN1628" t="inlineStr">
        <is>
          <t>User Visit(Logged In)</t>
        </is>
      </c>
      <c r="BO1628" s="4">
        <v>46141.37462962963</v>
      </c>
      <c r="BP1628">
        <v>160905</v>
      </c>
      <c r="BQ1628">
        <v>93762</v>
      </c>
      <c r="BR1628" t="inlineStr">
        <is>
          <t>Online</t>
        </is>
      </c>
      <c r="BS1628"/>
      <c r="BT1628">
        <v>93762</v>
      </c>
      <c r="BU1628"/>
      <c r="BV1628">
        <v>2711069</v>
      </c>
      <c r="BW1628" t="inlineStr">
        <is>
          <t>Service / Technical : Job Outcome Enquiry</t>
        </is>
      </c>
      <c r="BX1628">
        <v>1</v>
      </c>
      <c r="BY1628">
        <v>0</v>
      </c>
      <c r="BZ1628" s="4">
        <v>46128.461493055554</v>
      </c>
      <c r="CA1628">
        <v>23</v>
      </c>
      <c r="CB1628">
        <v>21</v>
      </c>
      <c r="CC1628" s="4">
        <v>46136.410775462966</v>
      </c>
      <c r="CD1628" t="inlineStr">
        <is>
          <t>20</t>
        </is>
      </c>
      <c r="CE1628" t="inlineStr">
        <is>
          <t>0</t>
        </is>
      </c>
      <c r="CF1628" t="inlineStr">
        <is>
          <t>Q1-W10</t>
        </is>
      </c>
      <c r="CG1628" t="inlineStr">
        <is>
          <t>Q2-W02</t>
        </is>
      </c>
      <c r="CH1628" t="inlineStr">
        <is>
          <t>Q2-W02</t>
        </is>
      </c>
      <c r="CI1628"/>
      <c r="CJ1628" t="inlineStr">
        <is>
          <t>Paid</t>
        </is>
      </c>
      <c r="CK1628" t="inlineStr">
        <is>
          <t>Not Eligible</t>
        </is>
      </c>
      <c r="CL1628"/>
      <c r="CM1628"/>
    </row>
    <row r="1629" ht="25.5" customHeight="1">
      <c r="A1629" t="inlineStr">
        <is>
          <t>164653</t>
        </is>
      </c>
      <c r="B1629" s="2"/>
      <c r="C1629"/>
      <c r="D1629" s="3">
        <v>46127.57420138889</v>
      </c>
      <c r="E1629" t="inlineStr">
        <is>
          <t>Q2-W02</t>
        </is>
      </c>
      <c r="F1629" t="inlineStr">
        <is>
          <t>Clover</t>
        </is>
      </c>
      <c r="G1629" t="inlineStr">
        <is>
          <t>Customer</t>
        </is>
      </c>
      <c r="H1629" s="2" t="str">
        <f>=HYPERLINK("https://upbox.ajobthing.my/customer/164653", "https://upbox.ajobthing.my/customer/164653")</f>
        <v>https://upbox.ajobthing.my/customer/164653</v>
      </c>
      <c r="I1629" t="inlineStr">
        <is>
          <t>Top Traffic Marketing</t>
        </is>
      </c>
      <c r="J1629" t="inlineStr">
        <is>
          <t>Dolphin</t>
        </is>
      </c>
      <c r="K1629" t="inlineStr">
        <is>
          <t>Clover</t>
        </is>
      </c>
      <c r="L1629" s="4"/>
      <c r="M1629" s="4">
        <v>46127.578680555554</v>
      </c>
      <c r="N1629"/>
      <c r="O1629">
        <v>3672</v>
      </c>
      <c r="P1629" s="4"/>
      <c r="Q1629" s="4">
        <v>46128.423680555556</v>
      </c>
      <c r="R1629"/>
      <c r="S1629">
        <v>3672</v>
      </c>
      <c r="T1629" s="4">
        <v>46128.423680555556</v>
      </c>
      <c r="U1629" s="4"/>
      <c r="V1629"/>
      <c r="W1629">
        <v>3672</v>
      </c>
      <c r="X1629"/>
      <c r="Y1629" t="inlineStr">
        <is>
          <t>Pending Appointment</t>
        </is>
      </c>
      <c r="Z1629" t="inlineStr">
        <is>
          <t>Hiring Now</t>
        </is>
      </c>
      <c r="AA1629">
        <v>4</v>
      </c>
      <c r="AB1629" t="inlineStr">
        <is>
          <t>No Appointment Made</t>
        </is>
      </c>
      <c r="AC1629"/>
      <c r="AD1629" t="inlineStr">
        <is>
          <t>Main acc, hire Branding, Social Media advertising, SEO, marketing company, kl, expanding, Ms Chien, prefer stand 200</t>
        </is>
      </c>
      <c r="AE1629"/>
      <c r="AF1629">
        <v>3000</v>
      </c>
      <c r="AG1629" s="4"/>
      <c r="AH1629" s="4"/>
      <c r="AI1629">
        <v>3000</v>
      </c>
      <c r="AJ1629">
        <v>1</v>
      </c>
      <c r="AK1629" t="inlineStr">
        <is>
          <t>No, but I want in future</t>
        </is>
      </c>
      <c r="AL1629">
        <v>1</v>
      </c>
      <c r="AM1629" t="inlineStr">
        <is>
          <t>No, but I want in future</t>
        </is>
      </c>
      <c r="AN1629"/>
      <c r="AO1629" t="inlineStr">
        <is>
          <t>No, but I want in future</t>
        </is>
      </c>
      <c r="AP1629" t="inlineStr">
        <is>
          <t>Once per quarter (75%)</t>
        </is>
      </c>
      <c r="AQ1629">
        <v>3</v>
      </c>
      <c r="AR1629" t="inlineStr">
        <is>
          <t>Did not use any job portal</t>
        </is>
      </c>
      <c r="AS1629" t="inlineStr">
        <is>
          <t>- Headcount: 4
- Hiring Job Details: Main acc, hire Branding, Social Media advertising, SEO, marketing company, kl, expanding, Ms Chien, prefer stand 200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Once per quarter (75%)
- External job portal: Did not use any job portal</t>
        </is>
      </c>
      <c r="AT1629">
        <v>95</v>
      </c>
      <c r="AU1629" t="inlineStr">
        <is>
          <t>0.95</t>
        </is>
      </c>
      <c r="AV1629" t="inlineStr">
        <is>
          <t>15</t>
        </is>
      </c>
      <c r="AW1629" t="inlineStr">
        <is>
          <t>0</t>
        </is>
      </c>
      <c r="AX1629" t="inlineStr">
        <is>
          <t>Not Qualified</t>
        </is>
      </c>
      <c r="AY1629" s="4"/>
      <c r="AZ1629"/>
      <c r="BA1629"/>
      <c r="BB1629"/>
      <c r="BC1629" t="inlineStr">
        <is>
          <t>post job</t>
        </is>
      </c>
      <c r="BD1629" s="4">
        <v>46132.41471064815</v>
      </c>
      <c r="BE1629" t="inlineStr">
        <is>
          <t>paid</t>
        </is>
      </c>
      <c r="BF1629" t="inlineStr">
        <is>
          <t>Q2-W02</t>
        </is>
      </c>
      <c r="BG1629" t="inlineStr">
        <is>
          <t>Reschedule</t>
        </is>
      </c>
      <c r="BH1629" t="inlineStr">
        <is>
          <t>Reagen</t>
        </is>
      </c>
      <c r="BI1629" t="inlineStr">
        <is>
          <t>Advertising / Marketing</t>
        </is>
      </c>
      <c r="BJ1629" s="4">
        <v>46144.751226851855</v>
      </c>
      <c r="BK1629" s="4">
        <v>44977.58721064815</v>
      </c>
      <c r="BL1629" t="inlineStr">
        <is>
          <t>3672.0</t>
        </is>
      </c>
      <c r="BM1629" t="inlineStr">
        <is>
          <t>600.0</t>
        </is>
      </c>
      <c r="BN1629" t="inlineStr">
        <is>
          <t>PA Visit - Job Card</t>
        </is>
      </c>
      <c r="BO1629" s="4">
        <v>46142.43215277778</v>
      </c>
      <c r="BP1629">
        <v>167175</v>
      </c>
      <c r="BQ1629">
        <v>93783</v>
      </c>
      <c r="BR1629" t="inlineStr">
        <is>
          <t>Online</t>
        </is>
      </c>
      <c r="BS1629"/>
      <c r="BT1629">
        <v>93783</v>
      </c>
      <c r="BU1629"/>
      <c r="BV1629">
        <v>2714698</v>
      </c>
      <c r="BW1629" t="inlineStr">
        <is>
          <t>Service / Technical : Help To Post Job</t>
        </is>
      </c>
      <c r="BX1629">
        <v>6</v>
      </c>
      <c r="BY1629">
        <v>4</v>
      </c>
      <c r="BZ1629" s="4">
        <v>46132.41774305556</v>
      </c>
      <c r="CA1629">
        <v>60</v>
      </c>
      <c r="CB1629">
        <v>60</v>
      </c>
      <c r="CC1629" s="4"/>
      <c r="CD1629" t="inlineStr">
        <is>
          <t>20</t>
        </is>
      </c>
      <c r="CE1629" t="inlineStr">
        <is>
          <t>0</t>
        </is>
      </c>
      <c r="CF1629" t="inlineStr">
        <is>
          <t>Q2-W02</t>
        </is>
      </c>
      <c r="CG1629" t="inlineStr">
        <is>
          <t>Q2-W02</t>
        </is>
      </c>
      <c r="CH1629" t="inlineStr">
        <is>
          <t>Q2-W02</t>
        </is>
      </c>
      <c r="CI1629"/>
      <c r="CJ1629" t="inlineStr">
        <is>
          <t>Paid</t>
        </is>
      </c>
      <c r="CK1629" t="inlineStr">
        <is>
          <t>Not Eligible</t>
        </is>
      </c>
      <c r="CL1629"/>
      <c r="CM1629"/>
    </row>
    <row r="1630" ht="25.5" customHeight="1">
      <c r="A1630" t="inlineStr">
        <is>
          <t>4284935</t>
        </is>
      </c>
      <c r="B1630" s="2"/>
      <c r="C1630"/>
      <c r="D1630" s="3">
        <v>46127.57769675926</v>
      </c>
      <c r="E1630" t="inlineStr">
        <is>
          <t>Q2-W02</t>
        </is>
      </c>
      <c r="F1630" t="inlineStr">
        <is>
          <t>Angel  Low</t>
        </is>
      </c>
      <c r="G1630" t="inlineStr">
        <is>
          <t>Lead</t>
        </is>
      </c>
      <c r="H1630" s="2" t="str">
        <f>=HYPERLINK("https://upbox.ajobthing.my/leads/4284935", "https://upbox.ajobthing.my/leads/4284935")</f>
        <v>https://upbox.ajobthing.my/leads/4284935</v>
      </c>
      <c r="I1630" t="inlineStr">
        <is>
          <t>DIVA DESIGN SDN BHD</t>
        </is>
      </c>
      <c r="J1630" t="inlineStr">
        <is>
          <t>Dolphin</t>
        </is>
      </c>
      <c r="K1630" t="inlineStr">
        <is>
          <t>Angel Low</t>
        </is>
      </c>
      <c r="L1630" s="4"/>
      <c r="M1630" s="4">
        <v>46127.578252314815</v>
      </c>
      <c r="N1630"/>
      <c r="O1630">
        <v>6048</v>
      </c>
      <c r="P1630" s="4"/>
      <c r="Q1630" s="4"/>
      <c r="R1630"/>
      <c r="S1630"/>
      <c r="T1630" s="4"/>
      <c r="U1630" s="4"/>
      <c r="V1630"/>
      <c r="W1630"/>
      <c r="X1630"/>
      <c r="Y1630" t="inlineStr">
        <is>
          <t>Pending Appointment</t>
        </is>
      </c>
      <c r="Z1630"/>
      <c r="AA1630">
        <v>3</v>
      </c>
      <c r="AB1630" t="inlineStr">
        <is>
          <t>No Appointment Made</t>
        </is>
      </c>
      <c r="AC1630"/>
      <c r="AD1630" t="inlineStr">
        <is>
          <t xml:space="preserve">1 sales, 1 admin , 1 account , puchong </t>
        </is>
      </c>
      <c r="AE1630"/>
      <c r="AF1630"/>
      <c r="AG1630" s="4"/>
      <c r="AH1630" s="4"/>
      <c r="AI1630"/>
      <c r="AJ1630"/>
      <c r="AK1630"/>
      <c r="AL1630"/>
      <c r="AM1630"/>
      <c r="AN1630"/>
      <c r="AO1630"/>
      <c r="AP1630"/>
      <c r="AQ1630"/>
      <c r="AR1630"/>
      <c r="AS1630" t="inlineStr">
        <is>
          <t>- Headcount: 3
- Hiring Job Details: 1 sales, 1 admin, 1 account, Puchong
- Number of outlets: N/A
- Have recruiter team: N/A
- Number of recruiter in company: N/A
- Have ATS system: N/A
- Have career website: N/A
- Current hiring budget: N/A
- Whole year budget: N/A
- Whole year number of vacancies: N/A
- Hiring frequency: N/A
- External job portal: N/A
- Hiring urgency: N/A</t>
        </is>
      </c>
      <c r="AT1630">
        <v>25</v>
      </c>
      <c r="AU1630" t="inlineStr">
        <is>
          <t>0.25</t>
        </is>
      </c>
      <c r="AV1630" t="inlineStr">
        <is>
          <t>5</t>
        </is>
      </c>
      <c r="AW1630" t="inlineStr">
        <is>
          <t>0</t>
        </is>
      </c>
      <c r="AX1630" t="inlineStr">
        <is>
          <t>Not Qualified</t>
        </is>
      </c>
      <c r="AY1630" s="4"/>
      <c r="AZ1630"/>
      <c r="BA1630"/>
      <c r="BB1630"/>
      <c r="BC1630"/>
      <c r="BD1630" s="4"/>
      <c r="BE1630"/>
      <c r="BF1630"/>
      <c r="BG1630" t="inlineStr">
        <is>
          <t>Reschedule</t>
        </is>
      </c>
      <c r="BH1630" t="inlineStr">
        <is>
          <t>Fauziah Maharan</t>
        </is>
      </c>
      <c r="BI1630"/>
      <c r="BJ1630" s="4">
        <v>46144.755833333336</v>
      </c>
      <c r="BK1630" s="4">
        <v>46127.50067129629</v>
      </c>
      <c r="BL1630" t="inlineStr">
        <is>
          <t>0.0</t>
        </is>
      </c>
      <c r="BM1630" t="inlineStr">
        <is>
          <t>0.0</t>
        </is>
      </c>
      <c r="BN1630"/>
      <c r="BO1630" s="4"/>
      <c r="BP1630">
        <v>167174</v>
      </c>
      <c r="BQ1630"/>
      <c r="BR1630"/>
      <c r="BS1630"/>
      <c r="BT1630"/>
      <c r="BU1630"/>
      <c r="BV1630"/>
      <c r="BW1630"/>
      <c r="BX1630"/>
      <c r="BY1630"/>
      <c r="BZ1630" s="4"/>
      <c r="CA1630"/>
      <c r="CB1630"/>
      <c r="CC1630" s="4"/>
      <c r="CD1630" t="inlineStr">
        <is>
          <t>5</t>
        </is>
      </c>
      <c r="CE1630" t="inlineStr">
        <is>
          <t>0</t>
        </is>
      </c>
      <c r="CF1630" t="inlineStr">
        <is>
          <t>Q2-W02</t>
        </is>
      </c>
      <c r="CG1630"/>
      <c r="CH1630"/>
      <c r="CI1630"/>
      <c r="CJ1630" t="inlineStr">
        <is>
          <t>No Paid</t>
        </is>
      </c>
      <c r="CK1630" t="inlineStr">
        <is>
          <t>Not Eligible</t>
        </is>
      </c>
      <c r="CL1630"/>
      <c r="CM1630"/>
    </row>
    <row r="1631" ht="25.5" customHeight="1">
      <c r="A1631" t="inlineStr">
        <is>
          <t>4173716</t>
        </is>
      </c>
      <c r="B1631" s="2"/>
      <c r="C1631"/>
      <c r="D1631" s="3">
        <v>46127.58179398148</v>
      </c>
      <c r="E1631" t="inlineStr">
        <is>
          <t>Q2-W02</t>
        </is>
      </c>
      <c r="F1631" t="inlineStr">
        <is>
          <t>Evan</t>
        </is>
      </c>
      <c r="G1631" t="inlineStr">
        <is>
          <t>Lead</t>
        </is>
      </c>
      <c r="H1631" s="2" t="str">
        <f>=HYPERLINK("https://upbox.ajobthing.my/leads/4173716", "https://upbox.ajobthing.my/leads/4173716")</f>
        <v>https://upbox.ajobthing.my/leads/4173716</v>
      </c>
      <c r="I1631" t="inlineStr">
        <is>
          <t>BEST-BETECK FURNITURE SDN BHD</t>
        </is>
      </c>
      <c r="J1631" t="inlineStr">
        <is>
          <t>Dolphin</t>
        </is>
      </c>
      <c r="K1631" t="inlineStr">
        <is>
          <t>Evan</t>
        </is>
      </c>
      <c r="L1631" s="4"/>
      <c r="M1631" s="4">
        <v>46127.58018518519</v>
      </c>
      <c r="N1631"/>
      <c r="O1631">
        <v>3888</v>
      </c>
      <c r="P1631" s="4"/>
      <c r="Q1631" s="4"/>
      <c r="R1631"/>
      <c r="S1631"/>
      <c r="T1631" s="4"/>
      <c r="U1631" s="4"/>
      <c r="V1631"/>
      <c r="W1631"/>
      <c r="X1631"/>
      <c r="Y1631" t="inlineStr">
        <is>
          <t>Pending Appointment</t>
        </is>
      </c>
      <c r="Z1631" t="inlineStr">
        <is>
          <t>Hiring Now</t>
        </is>
      </c>
      <c r="AA1631">
        <v>2</v>
      </c>
      <c r="AB1631" t="inlineStr">
        <is>
          <t>No Appointment Made</t>
        </is>
      </c>
      <c r="AC1631"/>
      <c r="AD1631" t="inlineStr">
        <is>
          <t>1 purchaser, 1 rnd, all base in KL</t>
        </is>
      </c>
      <c r="AE1631"/>
      <c r="AF1631">
        <v>1</v>
      </c>
      <c r="AG1631" s="4"/>
      <c r="AH1631" s="4"/>
      <c r="AI1631">
        <v>1</v>
      </c>
      <c r="AJ1631">
        <v>1</v>
      </c>
      <c r="AK1631" t="inlineStr">
        <is>
          <t>No, I don't need at all</t>
        </is>
      </c>
      <c r="AL1631">
        <v>0</v>
      </c>
      <c r="AM1631" t="inlineStr">
        <is>
          <t>No, I don't need at all</t>
        </is>
      </c>
      <c r="AN1631"/>
      <c r="AO1631" t="inlineStr">
        <is>
          <t>No, I don't need at all</t>
        </is>
      </c>
      <c r="AP1631" t="inlineStr">
        <is>
          <t>Once a year (25%)</t>
        </is>
      </c>
      <c r="AQ1631">
        <v>2</v>
      </c>
      <c r="AR1631" t="inlineStr">
        <is>
          <t>Did not use any job portal</t>
        </is>
      </c>
      <c r="AS1631" t="inlineStr">
        <is>
          <t>- Headcount: 2
- Hiring Job Details: 1 purchaser, 1 rnd,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is>
      </c>
      <c r="AT1631">
        <v>110</v>
      </c>
      <c r="AU1631" t="inlineStr">
        <is>
          <t>1.10</t>
        </is>
      </c>
      <c r="AV1631" t="inlineStr">
        <is>
          <t>15</t>
        </is>
      </c>
      <c r="AW1631" t="inlineStr">
        <is>
          <t>0</t>
        </is>
      </c>
      <c r="AX1631" t="inlineStr">
        <is>
          <t>Not Qualified</t>
        </is>
      </c>
      <c r="AY1631" s="4"/>
      <c r="AZ1631"/>
      <c r="BA1631"/>
      <c r="BB1631"/>
      <c r="BC1631"/>
      <c r="BD1631" s="4"/>
      <c r="BE1631"/>
      <c r="BF1631"/>
      <c r="BG1631" t="inlineStr">
        <is>
          <t>Reschedule</t>
        </is>
      </c>
      <c r="BH1631" t="inlineStr">
        <is>
          <t>Edward Hoo</t>
        </is>
      </c>
      <c r="BI1631"/>
      <c r="BJ1631" s="4">
        <v>46144.755578703705</v>
      </c>
      <c r="BK1631" s="4">
        <v>46099.5687962963</v>
      </c>
      <c r="BL1631" t="inlineStr">
        <is>
          <t>0.0</t>
        </is>
      </c>
      <c r="BM1631" t="inlineStr">
        <is>
          <t>1200.0</t>
        </is>
      </c>
      <c r="BN1631"/>
      <c r="BO1631" s="4"/>
      <c r="BP1631">
        <v>167176</v>
      </c>
      <c r="BQ1631"/>
      <c r="BR1631"/>
      <c r="BS1631"/>
      <c r="BT1631"/>
      <c r="BU1631"/>
      <c r="BV1631"/>
      <c r="BW1631"/>
      <c r="BX1631"/>
      <c r="BY1631"/>
      <c r="BZ1631" s="4"/>
      <c r="CA1631"/>
      <c r="CB1631"/>
      <c r="CC1631" s="4"/>
      <c r="CD1631" t="inlineStr">
        <is>
          <t>20</t>
        </is>
      </c>
      <c r="CE1631" t="inlineStr">
        <is>
          <t>0</t>
        </is>
      </c>
      <c r="CF1631" t="inlineStr">
        <is>
          <t>Q2-W02</t>
        </is>
      </c>
      <c r="CG1631"/>
      <c r="CH1631"/>
      <c r="CI1631"/>
      <c r="CJ1631" t="inlineStr">
        <is>
          <t>No Paid</t>
        </is>
      </c>
      <c r="CK1631" t="inlineStr">
        <is>
          <t>Not Eligible</t>
        </is>
      </c>
      <c r="CL1631"/>
      <c r="CM1631"/>
    </row>
    <row r="1632" ht="25.5" customHeight="1">
      <c r="A1632" t="inlineStr">
        <is>
          <t>179695</t>
        </is>
      </c>
      <c r="B1632" s="2"/>
      <c r="C1632"/>
      <c r="D1632" s="3">
        <v>46127.591944444444</v>
      </c>
      <c r="E1632" t="inlineStr">
        <is>
          <t>Q2-W02</t>
        </is>
      </c>
      <c r="F1632" t="inlineStr">
        <is>
          <t>Jia Hui</t>
        </is>
      </c>
      <c r="G1632" t="inlineStr">
        <is>
          <t>Customer</t>
        </is>
      </c>
      <c r="H1632" s="2" t="str">
        <f>=HYPERLINK("https://upbox.ajobthing.my/customer/179695", "https://upbox.ajobthing.my/customer/179695")</f>
        <v>https://upbox.ajobthing.my/customer/179695</v>
      </c>
      <c r="I1632" t="inlineStr">
        <is>
          <t>Prestigioo Events Sdn Bhd</t>
        </is>
      </c>
      <c r="J1632" t="inlineStr">
        <is>
          <t>Dolphin</t>
        </is>
      </c>
      <c r="K1632" t="inlineStr">
        <is>
          <t>Jia Hui</t>
        </is>
      </c>
      <c r="L1632" s="4"/>
      <c r="M1632" s="4">
        <v>46127.592210648145</v>
      </c>
      <c r="N1632"/>
      <c r="O1632">
        <v>1296</v>
      </c>
      <c r="P1632" s="4"/>
      <c r="Q1632" s="4">
        <v>46127.72621527778</v>
      </c>
      <c r="R1632"/>
      <c r="S1632">
        <v>864</v>
      </c>
      <c r="T1632" s="4">
        <v>46127.72621527778</v>
      </c>
      <c r="U1632" s="4"/>
      <c r="V1632"/>
      <c r="W1632">
        <v>864</v>
      </c>
      <c r="X1632"/>
      <c r="Y1632" t="inlineStr">
        <is>
          <t>Pending Appointment</t>
        </is>
      </c>
      <c r="Z1632" t="inlineStr">
        <is>
          <t>Hiring Now</t>
        </is>
      </c>
      <c r="AA1632">
        <v>2</v>
      </c>
      <c r="AB1632" t="inlineStr">
        <is>
          <t>No Appointment Made</t>
        </is>
      </c>
      <c r="AC1632"/>
      <c r="AD1632" t="inlineStr">
        <is>
          <t xml:space="preserve">1 sales executive, 1 event team lead </t>
        </is>
      </c>
      <c r="AE1632"/>
      <c r="AF1632">
        <v>500</v>
      </c>
      <c r="AG1632" s="4"/>
      <c r="AH1632" s="4"/>
      <c r="AI1632"/>
      <c r="AJ1632"/>
      <c r="AK1632" t="inlineStr">
        <is>
          <t>No, but I want in future</t>
        </is>
      </c>
      <c r="AL1632"/>
      <c r="AM1632"/>
      <c r="AN1632"/>
      <c r="AO1632"/>
      <c r="AP1632" t="inlineStr">
        <is>
          <t>Once a year (25%)</t>
        </is>
      </c>
      <c r="AQ1632"/>
      <c r="AR1632"/>
      <c r="AS1632" t="inlineStr">
        <is>
          <t>- Headcount: 2
- Hiring Job Details: 1 sales executive, 1 event team lead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632">
        <v>90</v>
      </c>
      <c r="AU1632" t="inlineStr">
        <is>
          <t>0.90</t>
        </is>
      </c>
      <c r="AV1632" t="inlineStr">
        <is>
          <t>15</t>
        </is>
      </c>
      <c r="AW1632" t="inlineStr">
        <is>
          <t>0</t>
        </is>
      </c>
      <c r="AX1632" t="inlineStr">
        <is>
          <t>Not Qualified</t>
        </is>
      </c>
      <c r="AY1632" s="4"/>
      <c r="AZ1632"/>
      <c r="BA1632"/>
      <c r="BB1632"/>
      <c r="BC1632" t="inlineStr">
        <is>
          <t>help to post job, asking the working hours for part timer</t>
        </is>
      </c>
      <c r="BD1632" s="4">
        <v>46128.55440972222</v>
      </c>
      <c r="BE1632" t="inlineStr">
        <is>
          <t>paid</t>
        </is>
      </c>
      <c r="BF1632" t="inlineStr">
        <is>
          <t>Q2-W02</t>
        </is>
      </c>
      <c r="BG1632" t="inlineStr">
        <is>
          <t>Reschedule</t>
        </is>
      </c>
      <c r="BH1632" t="inlineStr">
        <is>
          <t>Reagen</t>
        </is>
      </c>
      <c r="BI1632" t="inlineStr">
        <is>
          <t>Exhibitions / Event Mgmt</t>
        </is>
      </c>
      <c r="BJ1632" s="4">
        <v>46144.75178240741</v>
      </c>
      <c r="BK1632" s="4">
        <v>45464.64743055555</v>
      </c>
      <c r="BL1632" t="inlineStr">
        <is>
          <t>2376.0</t>
        </is>
      </c>
      <c r="BM1632" t="inlineStr">
        <is>
          <t>0.0</t>
        </is>
      </c>
      <c r="BN1632" t="inlineStr">
        <is>
          <t>View Company Page</t>
        </is>
      </c>
      <c r="BO1632" s="4">
        <v>46140.8140625</v>
      </c>
      <c r="BP1632">
        <v>167179</v>
      </c>
      <c r="BQ1632">
        <v>93722</v>
      </c>
      <c r="BR1632" t="inlineStr">
        <is>
          <t>Online</t>
        </is>
      </c>
      <c r="BS1632"/>
      <c r="BT1632">
        <v>93722</v>
      </c>
      <c r="BU1632"/>
      <c r="BV1632">
        <v>2709072</v>
      </c>
      <c r="BW1632" t="inlineStr">
        <is>
          <t>Service / Technical : Help To Post Job</t>
        </is>
      </c>
      <c r="BX1632">
        <v>2</v>
      </c>
      <c r="BY1632">
        <v>0</v>
      </c>
      <c r="BZ1632" s="4">
        <v>46127.72621527778</v>
      </c>
      <c r="CA1632">
        <v>20</v>
      </c>
      <c r="CB1632">
        <v>20</v>
      </c>
      <c r="CC1632" s="4"/>
      <c r="CD1632" t="inlineStr">
        <is>
          <t>20</t>
        </is>
      </c>
      <c r="CE1632" t="inlineStr">
        <is>
          <t>0</t>
        </is>
      </c>
      <c r="CF1632" t="inlineStr">
        <is>
          <t>Q2-W02</t>
        </is>
      </c>
      <c r="CG1632" t="inlineStr">
        <is>
          <t>Q2-W02</t>
        </is>
      </c>
      <c r="CH1632" t="inlineStr">
        <is>
          <t>Q2-W02</t>
        </is>
      </c>
      <c r="CI1632"/>
      <c r="CJ1632" t="inlineStr">
        <is>
          <t>Paid</t>
        </is>
      </c>
      <c r="CK1632" t="inlineStr">
        <is>
          <t>Not Eligible</t>
        </is>
      </c>
      <c r="CL1632"/>
      <c r="CM1632"/>
    </row>
    <row r="1633" ht="25.5" customHeight="1">
      <c r="A1633" t="inlineStr">
        <is>
          <t>177517</t>
        </is>
      </c>
      <c r="B1633" s="2"/>
      <c r="C1633"/>
      <c r="D1633" s="3">
        <v>46127.60113425926</v>
      </c>
      <c r="E1633" t="inlineStr">
        <is>
          <t>Q2-W02</t>
        </is>
      </c>
      <c r="F1633" t="inlineStr">
        <is>
          <t>Xin Hui</t>
        </is>
      </c>
      <c r="G1633" t="inlineStr">
        <is>
          <t>Customer</t>
        </is>
      </c>
      <c r="H1633" s="2" t="str">
        <f>=HYPERLINK("https://upbox.ajobthing.my/customer/177517", "https://upbox.ajobthing.my/customer/177517")</f>
        <v>https://upbox.ajobthing.my/customer/177517</v>
      </c>
      <c r="I1633" t="inlineStr">
        <is>
          <t>Park Wah Furniture (M) Sdn Bhd</t>
        </is>
      </c>
      <c r="J1633" t="inlineStr">
        <is>
          <t>Dolphin</t>
        </is>
      </c>
      <c r="K1633" t="inlineStr">
        <is>
          <t>Xin Hui</t>
        </is>
      </c>
      <c r="L1633" s="4"/>
      <c r="M1633" s="4">
        <v>46127.593668981484</v>
      </c>
      <c r="N1633"/>
      <c r="O1633">
        <v>1296</v>
      </c>
      <c r="P1633" s="4"/>
      <c r="Q1633" s="4">
        <v>46139.60927083333</v>
      </c>
      <c r="R1633"/>
      <c r="S1633">
        <v>1296</v>
      </c>
      <c r="T1633" s="4">
        <v>46139.60927083333</v>
      </c>
      <c r="U1633" s="4"/>
      <c r="V1633"/>
      <c r="W1633">
        <v>1296</v>
      </c>
      <c r="X1633"/>
      <c r="Y1633" t="inlineStr">
        <is>
          <t>Pending Appointment</t>
        </is>
      </c>
      <c r="Z1633" t="inlineStr">
        <is>
          <t>Hiring Now</t>
        </is>
      </c>
      <c r="AA1633">
        <v>1</v>
      </c>
      <c r="AB1633" t="inlineStr">
        <is>
          <t>No Appointment Made</t>
        </is>
      </c>
      <c r="AC1633"/>
      <c r="AD1633" t="inlineStr">
        <is>
          <t>accountant</t>
        </is>
      </c>
      <c r="AE1633"/>
      <c r="AF1633">
        <v>0</v>
      </c>
      <c r="AG1633" s="4"/>
      <c r="AH1633" s="4"/>
      <c r="AI1633"/>
      <c r="AJ1633"/>
      <c r="AK1633" t="inlineStr">
        <is>
          <t>No, I don't need at all</t>
        </is>
      </c>
      <c r="AL1633"/>
      <c r="AM1633" t="inlineStr">
        <is>
          <t>No, I don't need at all</t>
        </is>
      </c>
      <c r="AN1633"/>
      <c r="AO1633" t="inlineStr">
        <is>
          <t>No, I don't need at all</t>
        </is>
      </c>
      <c r="AP1633" t="inlineStr">
        <is>
          <t>Once a year (25%)</t>
        </is>
      </c>
      <c r="AQ1633"/>
      <c r="AR1633" t="inlineStr">
        <is>
          <t>Jobstreet</t>
        </is>
      </c>
      <c r="AS1633" t="inlineStr">
        <is>
          <t>- Headcount: 1
- Hiring Job Details: accountant
- Hiring Urgency: Hiring Now
- Number of outlets: Not provided
- Have recruiter team: No, I don't need at all
- Number of recruiter in company: Not provided
- Have ATS system: No, I don't need at all
- Have career website: No, I don't need at all
- Current hiring budget: RM0.00
- Whole year budget: Not provided
- Whole year number of vacancies: Not provided
- Hiring frequency: Once a year (25%)
- External job portal: Jobstreet</t>
        </is>
      </c>
      <c r="AT1633">
        <v>85</v>
      </c>
      <c r="AU1633" t="inlineStr">
        <is>
          <t>0.85</t>
        </is>
      </c>
      <c r="AV1633" t="inlineStr">
        <is>
          <t>15</t>
        </is>
      </c>
      <c r="AW1633" t="inlineStr">
        <is>
          <t>0</t>
        </is>
      </c>
      <c r="AX1633" t="inlineStr">
        <is>
          <t>Not Qualified</t>
        </is>
      </c>
      <c r="AY1633" s="4"/>
      <c r="AZ1633"/>
      <c r="BA1633"/>
      <c r="BB1633"/>
      <c r="BC1633" t="inlineStr">
        <is>
          <t>asking how to view applicant how to see results</t>
        </is>
      </c>
      <c r="BD1633" s="4">
        <v>46140.41142361111</v>
      </c>
      <c r="BE1633" t="inlineStr">
        <is>
          <t>paid</t>
        </is>
      </c>
      <c r="BF1633" t="inlineStr">
        <is>
          <t>Q2-W04</t>
        </is>
      </c>
      <c r="BG1633" t="inlineStr">
        <is>
          <t>Reschedule</t>
        </is>
      </c>
      <c r="BH1633" t="inlineStr">
        <is>
          <t>Yee Hang</t>
        </is>
      </c>
      <c r="BI1633" t="inlineStr">
        <is>
          <t>Manufacturing / Production</t>
        </is>
      </c>
      <c r="BJ1633" s="4">
        <v>46144.75171296296</v>
      </c>
      <c r="BK1633" s="4">
        <v>45401.60864583333</v>
      </c>
      <c r="BL1633" t="inlineStr">
        <is>
          <t>1296.0</t>
        </is>
      </c>
      <c r="BM1633" t="inlineStr">
        <is>
          <t>0.0</t>
        </is>
      </c>
      <c r="BN1633" t="inlineStr">
        <is>
          <t>User Visit(Logged In)</t>
        </is>
      </c>
      <c r="BO1633" s="4">
        <v>46142.648622685185</v>
      </c>
      <c r="BP1633">
        <v>167182</v>
      </c>
      <c r="BQ1633">
        <v>94805</v>
      </c>
      <c r="BR1633" t="inlineStr">
        <is>
          <t>Online</t>
        </is>
      </c>
      <c r="BS1633"/>
      <c r="BT1633">
        <v>94805</v>
      </c>
      <c r="BU1633"/>
      <c r="BV1633">
        <v>2731732</v>
      </c>
      <c r="BW1633" t="inlineStr">
        <is>
          <t>Service / Technical : Job Outcome Enquiry</t>
        </is>
      </c>
      <c r="BX1633">
        <v>1</v>
      </c>
      <c r="BY1633">
        <v>0</v>
      </c>
      <c r="BZ1633" s="4">
        <v>46140.37399305555</v>
      </c>
      <c r="CA1633">
        <v>10</v>
      </c>
      <c r="CB1633">
        <v>9</v>
      </c>
      <c r="CC1633" s="4">
        <v>46141.64056712963</v>
      </c>
      <c r="CD1633" t="inlineStr">
        <is>
          <t>20</t>
        </is>
      </c>
      <c r="CE1633" t="inlineStr">
        <is>
          <t>0</t>
        </is>
      </c>
      <c r="CF1633" t="inlineStr">
        <is>
          <t>Q2-W02</t>
        </is>
      </c>
      <c r="CG1633" t="inlineStr">
        <is>
          <t>Q2-W04</t>
        </is>
      </c>
      <c r="CH1633" t="inlineStr">
        <is>
          <t>Q2-W04</t>
        </is>
      </c>
      <c r="CI1633"/>
      <c r="CJ1633" t="inlineStr">
        <is>
          <t>Paid</t>
        </is>
      </c>
      <c r="CK1633" t="inlineStr">
        <is>
          <t>Not Eligible</t>
        </is>
      </c>
      <c r="CL1633"/>
      <c r="CM1633"/>
    </row>
    <row r="1634" ht="25.5" customHeight="1">
      <c r="A1634" t="inlineStr">
        <is>
          <t>198120</t>
        </is>
      </c>
      <c r="B1634" s="2"/>
      <c r="C1634"/>
      <c r="D1634" s="3">
        <v>46127.61111111111</v>
      </c>
      <c r="E1634" t="inlineStr">
        <is>
          <t>Q2-W02</t>
        </is>
      </c>
      <c r="F1634" t="inlineStr">
        <is>
          <t>Luqman</t>
        </is>
      </c>
      <c r="G1634" t="inlineStr">
        <is>
          <t>Customer</t>
        </is>
      </c>
      <c r="H1634" s="2" t="str">
        <f>=HYPERLINK("https://upbox.ajobthing.my/customer/198120", "https://upbox.ajobthing.my/customer/198120")</f>
        <v>https://upbox.ajobthing.my/customer/198120</v>
      </c>
      <c r="I1634" t="inlineStr">
        <is>
          <t>Oca Distribution Sdn Bhd</t>
        </is>
      </c>
      <c r="J1634" t="inlineStr">
        <is>
          <t>Dolphin</t>
        </is>
      </c>
      <c r="K1634" t="inlineStr">
        <is>
          <t>Luqman</t>
        </is>
      </c>
      <c r="L1634" s="4"/>
      <c r="M1634" s="4">
        <v>46127.61127314815</v>
      </c>
      <c r="N1634"/>
      <c r="O1634">
        <v>864</v>
      </c>
      <c r="P1634" s="4"/>
      <c r="Q1634" s="4">
        <v>46008.77209490741</v>
      </c>
      <c r="R1634"/>
      <c r="S1634">
        <v>3348</v>
      </c>
      <c r="T1634" s="4">
        <v>46008.77209490741</v>
      </c>
      <c r="U1634" s="4"/>
      <c r="V1634"/>
      <c r="W1634">
        <v>3348</v>
      </c>
      <c r="X1634"/>
      <c r="Y1634" t="inlineStr">
        <is>
          <t>Pending Appointment</t>
        </is>
      </c>
      <c r="Z1634" t="inlineStr">
        <is>
          <t>Hiring Now</t>
        </is>
      </c>
      <c r="AA1634">
        <v>1</v>
      </c>
      <c r="AB1634" t="inlineStr">
        <is>
          <t>No Appointment Made</t>
        </is>
      </c>
      <c r="AC1634"/>
      <c r="AD1634" t="inlineStr">
        <is>
          <t xml:space="preserve">1. Sales Executive </t>
        </is>
      </c>
      <c r="AE1634"/>
      <c r="AF1634">
        <v>800</v>
      </c>
      <c r="AG1634" s="4"/>
      <c r="AH1634" s="4"/>
      <c r="AI1634">
        <v>800</v>
      </c>
      <c r="AJ1634"/>
      <c r="AK1634" t="inlineStr">
        <is>
          <t>No, I don't need at all</t>
        </is>
      </c>
      <c r="AL1634">
        <v>1</v>
      </c>
      <c r="AM1634" t="inlineStr">
        <is>
          <t>No, I don't need at all</t>
        </is>
      </c>
      <c r="AN1634"/>
      <c r="AO1634" t="inlineStr">
        <is>
          <t>No, but I want in future</t>
        </is>
      </c>
      <c r="AP1634" t="inlineStr">
        <is>
          <t>Once a year (25%)</t>
        </is>
      </c>
      <c r="AQ1634">
        <v>1</v>
      </c>
      <c r="AR1634" t="inlineStr">
        <is>
          <t>Free Job Portal</t>
        </is>
      </c>
      <c r="AS1634" t="inlineStr">
        <is>
          <t>- Headcount: 1
- Hiring Job Details: 1 Sales Executive
- Hiring Urgency: Hiring Now
- Number of outlets: Not provided
- Have recruiter team: No, I don't need at all
- Number of recruiter in company: 1
- Have ATS system: No, I don't need at all
- Have career website: No, but I want in future
- Current hiring budget: RM800
- Whole year budget: RM800.00
- Whole year number of vacancies: 1
- Hiring frequency: Once a year (25%)
- External job portal: Free Job Portal</t>
        </is>
      </c>
      <c r="AT1634">
        <v>115</v>
      </c>
      <c r="AU1634" t="inlineStr">
        <is>
          <t>1.15</t>
        </is>
      </c>
      <c r="AV1634" t="inlineStr">
        <is>
          <t>15</t>
        </is>
      </c>
      <c r="AW1634" t="inlineStr">
        <is>
          <t>0</t>
        </is>
      </c>
      <c r="AX1634" t="inlineStr">
        <is>
          <t>Not Qualified</t>
        </is>
      </c>
      <c r="AY1634" s="4"/>
      <c r="AZ1634"/>
      <c r="BA1634"/>
      <c r="BB1634"/>
      <c r="BC1634" t="inlineStr">
        <is>
          <t>Google review</t>
        </is>
      </c>
      <c r="BD1634" s="4">
        <v>46142.696921296294</v>
      </c>
      <c r="BE1634" t="inlineStr">
        <is>
          <t>paid</t>
        </is>
      </c>
      <c r="BF1634"/>
      <c r="BG1634" t="inlineStr">
        <is>
          <t>Reschedule</t>
        </is>
      </c>
      <c r="BH1634" t="inlineStr">
        <is>
          <t>Edward Hoo</t>
        </is>
      </c>
      <c r="BI1634" t="inlineStr">
        <is>
          <t>Manufacturing / Production</t>
        </is>
      </c>
      <c r="BJ1634" s="4">
        <v>46144.752974537034</v>
      </c>
      <c r="BK1634" s="4">
        <v>45972.656319444446</v>
      </c>
      <c r="BL1634" t="inlineStr">
        <is>
          <t>3348.0</t>
        </is>
      </c>
      <c r="BM1634" t="inlineStr">
        <is>
          <t>0.0</t>
        </is>
      </c>
      <c r="BN1634" t="inlineStr">
        <is>
          <t>View Company Page</t>
        </is>
      </c>
      <c r="BO1634" s="4">
        <v>46142.69436342592</v>
      </c>
      <c r="BP1634">
        <v>167188</v>
      </c>
      <c r="BQ1634">
        <v>6907</v>
      </c>
      <c r="BR1634" t="inlineStr">
        <is>
          <t>Manual (Paid)</t>
        </is>
      </c>
      <c r="BS1634" t="inlineStr">
        <is>
          <t>Job Slot Startup
- Job Slot Startup of 1 Job Slot
- 1 Job Slot will be published on Maukerja, Ricebowl, Epicareer, Facebook, Google and Linkedin
- 1 Job Slot will be published for 14 months
- 100 People Search
- Free 6 Internship OR Manager Job Ads
Remarks :
- Special  Year End Promo Discount RM500 validity until 18/12/2025
- Premium Company Page for 14 months
- EXTRA: 2-month extension for total 14-month package validity
- 1 Free Upgrade to Premium Job Slot
- Free Company Page Consultation</t>
        </is>
      </c>
      <c r="BT1634">
        <v>6907</v>
      </c>
      <c r="BU1634"/>
      <c r="BV1634">
        <v>2738230</v>
      </c>
      <c r="BW1634" t="inlineStr">
        <is>
          <t>Service / Technical : Job Outcome Enquiry</t>
        </is>
      </c>
      <c r="BX1634">
        <v>1</v>
      </c>
      <c r="BY1634">
        <v>-2</v>
      </c>
      <c r="BZ1634" s="4">
        <v>46126.6216087963</v>
      </c>
      <c r="CA1634">
        <v>145</v>
      </c>
      <c r="CB1634">
        <v>135</v>
      </c>
      <c r="CC1634" s="4">
        <v>46057.61638888889</v>
      </c>
      <c r="CD1634" t="inlineStr">
        <is>
          <t>20</t>
        </is>
      </c>
      <c r="CE1634" t="inlineStr">
        <is>
          <t>0</t>
        </is>
      </c>
      <c r="CF1634" t="inlineStr">
        <is>
          <t>Q2-W02</t>
        </is>
      </c>
      <c r="CG1634"/>
      <c r="CH1634"/>
      <c r="CI1634"/>
      <c r="CJ1634" t="inlineStr">
        <is>
          <t>Paid</t>
        </is>
      </c>
      <c r="CK1634" t="inlineStr">
        <is>
          <t>Not Eligible</t>
        </is>
      </c>
      <c r="CL1634"/>
      <c r="CM1634"/>
    </row>
    <row r="1635" ht="25.5" customHeight="1">
      <c r="A1635" t="inlineStr">
        <is>
          <t>161382</t>
        </is>
      </c>
      <c r="B1635" s="2"/>
      <c r="C1635"/>
      <c r="D1635" s="3">
        <v>46127.613171296296</v>
      </c>
      <c r="E1635" t="inlineStr">
        <is>
          <t>Q2-W02</t>
        </is>
      </c>
      <c r="F1635" t="inlineStr">
        <is>
          <t>Dickson</t>
        </is>
      </c>
      <c r="G1635" t="inlineStr">
        <is>
          <t>Customer</t>
        </is>
      </c>
      <c r="H1635" s="2" t="str">
        <f>=HYPERLINK("https://upbox.ajobthing.my/customer/161382", "https://upbox.ajobthing.my/customer/161382")</f>
        <v>https://upbox.ajobthing.my/customer/161382</v>
      </c>
      <c r="I1635" t="inlineStr">
        <is>
          <t>Cloudswood Enterprise</t>
        </is>
      </c>
      <c r="J1635" t="inlineStr">
        <is>
          <t>Dolphin</t>
        </is>
      </c>
      <c r="K1635" t="inlineStr">
        <is>
          <t>Dickson</t>
        </is>
      </c>
      <c r="L1635" s="4"/>
      <c r="M1635" s="4">
        <v>46127.61324074074</v>
      </c>
      <c r="N1635"/>
      <c r="O1635">
        <v>3888</v>
      </c>
      <c r="P1635" s="4"/>
      <c r="Q1635" s="4">
        <v>44985.75703703704</v>
      </c>
      <c r="R1635"/>
      <c r="S1635">
        <v>1696</v>
      </c>
      <c r="T1635" s="4">
        <v>44985.75703703704</v>
      </c>
      <c r="U1635" s="4"/>
      <c r="V1635"/>
      <c r="W1635">
        <v>1696</v>
      </c>
      <c r="X1635"/>
      <c r="Y1635" t="inlineStr">
        <is>
          <t>Pending Appointment</t>
        </is>
      </c>
      <c r="Z1635" t="inlineStr">
        <is>
          <t>Hiring Later</t>
        </is>
      </c>
      <c r="AA1635">
        <v>2.5</v>
      </c>
      <c r="AB1635" t="inlineStr">
        <is>
          <t>No Appointment Made</t>
        </is>
      </c>
      <c r="AC1635"/>
      <c r="AD1635" t="inlineStr">
        <is>
          <t>2-3 sales executive</t>
        </is>
      </c>
      <c r="AE1635"/>
      <c r="AF1635"/>
      <c r="AG1635" s="4"/>
      <c r="AH1635" s="4"/>
      <c r="AI1635"/>
      <c r="AJ1635">
        <v>1</v>
      </c>
      <c r="AK1635" t="inlineStr">
        <is>
          <t>No, I don't need at all</t>
        </is>
      </c>
      <c r="AL1635"/>
      <c r="AM1635" t="inlineStr">
        <is>
          <t>No, I don't need at all</t>
        </is>
      </c>
      <c r="AN1635"/>
      <c r="AO1635" t="inlineStr">
        <is>
          <t>No, I don't need at all</t>
        </is>
      </c>
      <c r="AP1635" t="inlineStr">
        <is>
          <t>Once per quarter (75%)</t>
        </is>
      </c>
      <c r="AQ1635"/>
      <c r="AR1635" t="inlineStr">
        <is>
          <t>Jobstreet</t>
        </is>
      </c>
      <c r="AS1635" t="inlineStr">
        <is>
          <t>- Headcount: 2
- Hiring Job Details: 2-3 sales executive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635">
        <v>85</v>
      </c>
      <c r="AU1635" t="inlineStr">
        <is>
          <t>0.85</t>
        </is>
      </c>
      <c r="AV1635" t="inlineStr">
        <is>
          <t>5</t>
        </is>
      </c>
      <c r="AW1635" t="inlineStr">
        <is>
          <t>0</t>
        </is>
      </c>
      <c r="AX1635" t="inlineStr">
        <is>
          <t>Not Qualified</t>
        </is>
      </c>
      <c r="AY1635" s="4"/>
      <c r="AZ1635"/>
      <c r="BA1635"/>
      <c r="BB1635"/>
      <c r="BC1635" t="inlineStr">
        <is>
          <t>hiring 2 mths later</t>
        </is>
      </c>
      <c r="BD1635" s="4">
        <v>46134.58862268519</v>
      </c>
      <c r="BE1635" t="inlineStr">
        <is>
          <t>paid</t>
        </is>
      </c>
      <c r="BF1635"/>
      <c r="BG1635" t="inlineStr">
        <is>
          <t>Reschedule</t>
        </is>
      </c>
      <c r="BH1635" t="inlineStr">
        <is>
          <t>Edward Hoo</t>
        </is>
      </c>
      <c r="BI1635" t="inlineStr">
        <is>
          <t>Telecommunication</t>
        </is>
      </c>
      <c r="BJ1635" s="4">
        <v>46144.751122685186</v>
      </c>
      <c r="BK1635" s="4">
        <v>44859.492627314816</v>
      </c>
      <c r="BL1635" t="inlineStr">
        <is>
          <t>0.0</t>
        </is>
      </c>
      <c r="BM1635" t="inlineStr">
        <is>
          <t>1200.0</t>
        </is>
      </c>
      <c r="BN1635" t="inlineStr">
        <is>
          <t>View Shop</t>
        </is>
      </c>
      <c r="BO1635" s="4">
        <v>45287.68613425926</v>
      </c>
      <c r="BP1635">
        <v>167189</v>
      </c>
      <c r="BQ1635">
        <v>56039</v>
      </c>
      <c r="BR1635" t="inlineStr">
        <is>
          <t>Online</t>
        </is>
      </c>
      <c r="BS1635"/>
      <c r="BT1635">
        <v>56039</v>
      </c>
      <c r="BU1635"/>
      <c r="BV1635">
        <v>2720711</v>
      </c>
      <c r="BW1635" t="inlineStr">
        <is>
          <t>No Answer : Voicemail - WA sent to customer</t>
        </is>
      </c>
      <c r="BX1635"/>
      <c r="BY1635"/>
      <c r="BZ1635" s="4"/>
      <c r="CA1635"/>
      <c r="CB1635"/>
      <c r="CC1635" s="4"/>
      <c r="CD1635" t="inlineStr">
        <is>
          <t>5</t>
        </is>
      </c>
      <c r="CE1635" t="inlineStr">
        <is>
          <t>0</t>
        </is>
      </c>
      <c r="CF1635" t="inlineStr">
        <is>
          <t>Q2-W02</t>
        </is>
      </c>
      <c r="CG1635"/>
      <c r="CH1635"/>
      <c r="CI1635"/>
      <c r="CJ1635" t="inlineStr">
        <is>
          <t>Paid</t>
        </is>
      </c>
      <c r="CK1635" t="inlineStr">
        <is>
          <t>Not Eligible</t>
        </is>
      </c>
      <c r="CL1635"/>
      <c r="CM1635"/>
    </row>
    <row r="1636" ht="25.5" customHeight="1">
      <c r="A1636" t="inlineStr">
        <is>
          <t>203267</t>
        </is>
      </c>
      <c r="B1636" s="2"/>
      <c r="C1636"/>
      <c r="D1636" s="3">
        <v>46127.62782407407</v>
      </c>
      <c r="E1636" t="inlineStr">
        <is>
          <t>Q2-W02</t>
        </is>
      </c>
      <c r="F1636" t="inlineStr">
        <is>
          <t>Keegan</t>
        </is>
      </c>
      <c r="G1636" t="inlineStr">
        <is>
          <t>Customer</t>
        </is>
      </c>
      <c r="H1636" s="2" t="str">
        <f>=HYPERLINK("https://upbox.ajobthing.my/customer/203267", "https://upbox.ajobthing.my/customer/203267")</f>
        <v>https://upbox.ajobthing.my/customer/203267</v>
      </c>
      <c r="I1636" t="inlineStr">
        <is>
          <t>Tm Enviro Industries Sdn Bhd</t>
        </is>
      </c>
      <c r="J1636" t="inlineStr">
        <is>
          <t>Dolphin</t>
        </is>
      </c>
      <c r="K1636" t="inlineStr">
        <is>
          <t>Keegan</t>
        </is>
      </c>
      <c r="L1636" s="4"/>
      <c r="M1636" s="4">
        <v>46127.66855324074</v>
      </c>
      <c r="N1636"/>
      <c r="O1636">
        <v>1296</v>
      </c>
      <c r="P1636" s="4"/>
      <c r="Q1636" s="4"/>
      <c r="R1636"/>
      <c r="S1636"/>
      <c r="T1636" s="4"/>
      <c r="U1636" s="4"/>
      <c r="V1636"/>
      <c r="W1636"/>
      <c r="X1636"/>
      <c r="Y1636" t="inlineStr">
        <is>
          <t>Pending Appointment</t>
        </is>
      </c>
      <c r="Z1636" t="inlineStr">
        <is>
          <t>Hiring Now</t>
        </is>
      </c>
      <c r="AA1636">
        <v>2</v>
      </c>
      <c r="AB1636" t="inlineStr">
        <is>
          <t>No Appointment Made</t>
        </is>
      </c>
      <c r="AC1636"/>
      <c r="AD1636" t="inlineStr">
        <is>
          <t xml:space="preserve">1. Lorry Driver 
2. Warehouse </t>
        </is>
      </c>
      <c r="AE1636"/>
      <c r="AF1636"/>
      <c r="AG1636" s="4"/>
      <c r="AH1636" s="4"/>
      <c r="AI1636"/>
      <c r="AJ1636">
        <v>1</v>
      </c>
      <c r="AK1636" t="inlineStr">
        <is>
          <t>No, I don't need at all</t>
        </is>
      </c>
      <c r="AL1636">
        <v>0</v>
      </c>
      <c r="AM1636" t="inlineStr">
        <is>
          <t>No, I don't need at all</t>
        </is>
      </c>
      <c r="AN1636"/>
      <c r="AO1636" t="inlineStr">
        <is>
          <t>No, I don't need at all</t>
        </is>
      </c>
      <c r="AP1636" t="inlineStr">
        <is>
          <t>Once per quarter (75%)</t>
        </is>
      </c>
      <c r="AQ1636"/>
      <c r="AR1636" t="inlineStr">
        <is>
          <t>Did not use any job portal</t>
        </is>
      </c>
      <c r="AS1636" t="inlineStr">
        <is>
          <t>- Headcount: 2
- Hiring Job Details: 1. Lorry Driver 2. Warehouse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636">
        <v>75</v>
      </c>
      <c r="AU1636" t="inlineStr">
        <is>
          <t>0.75</t>
        </is>
      </c>
      <c r="AV1636" t="inlineStr">
        <is>
          <t>5</t>
        </is>
      </c>
      <c r="AW1636" t="inlineStr">
        <is>
          <t>0</t>
        </is>
      </c>
      <c r="AX1636" t="inlineStr">
        <is>
          <t>Not Qualified</t>
        </is>
      </c>
      <c r="AY1636" s="4"/>
      <c r="AZ1636"/>
      <c r="BA1636"/>
      <c r="BB1636"/>
      <c r="BC1636" t="inlineStr">
        <is>
          <t>- Headcount: 2
- Hiring Job Details: 1. Lorry Driver 2. Warehouse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636" s="4">
        <v>46127.666817129626</v>
      </c>
      <c r="BE1636"/>
      <c r="BF1636"/>
      <c r="BG1636" t="inlineStr">
        <is>
          <t>Reschedule</t>
        </is>
      </c>
      <c r="BH1636" t="inlineStr">
        <is>
          <t>Edward Hoo</t>
        </is>
      </c>
      <c r="BI1636"/>
      <c r="BJ1636" s="4">
        <v>46144.75425925926</v>
      </c>
      <c r="BK1636" s="4">
        <v>46127.61436342593</v>
      </c>
      <c r="BL1636" t="inlineStr">
        <is>
          <t>0.0</t>
        </is>
      </c>
      <c r="BM1636" t="inlineStr">
        <is>
          <t>0.0</t>
        </is>
      </c>
      <c r="BN1636" t="inlineStr">
        <is>
          <t>View Company Page</t>
        </is>
      </c>
      <c r="BO1636" s="4">
        <v>46127.63104166667</v>
      </c>
      <c r="BP1636">
        <v>167231</v>
      </c>
      <c r="BQ1636"/>
      <c r="BR1636"/>
      <c r="BS1636"/>
      <c r="BT1636"/>
      <c r="BU1636"/>
      <c r="BV1636">
        <v>2706392</v>
      </c>
      <c r="BW1636" t="inlineStr">
        <is>
          <t>Customer Inquiry</t>
        </is>
      </c>
      <c r="BX1636"/>
      <c r="BY1636"/>
      <c r="BZ1636" s="4"/>
      <c r="CA1636"/>
      <c r="CB1636"/>
      <c r="CC1636" s="4"/>
      <c r="CD1636" t="inlineStr">
        <is>
          <t>5</t>
        </is>
      </c>
      <c r="CE1636" t="inlineStr">
        <is>
          <t>0</t>
        </is>
      </c>
      <c r="CF1636" t="inlineStr">
        <is>
          <t>Q2-W02</t>
        </is>
      </c>
      <c r="CG1636"/>
      <c r="CH1636"/>
      <c r="CI1636"/>
      <c r="CJ1636" t="inlineStr">
        <is>
          <t>No Paid</t>
        </is>
      </c>
      <c r="CK1636" t="inlineStr">
        <is>
          <t>Not Eligible</t>
        </is>
      </c>
      <c r="CL1636"/>
      <c r="CM1636"/>
    </row>
    <row r="1637" ht="25.5" customHeight="1">
      <c r="A1637" t="inlineStr">
        <is>
          <t>194673</t>
        </is>
      </c>
      <c r="B1637" s="2"/>
      <c r="C1637"/>
      <c r="D1637" s="3">
        <v>46127.62846064815</v>
      </c>
      <c r="E1637" t="inlineStr">
        <is>
          <t>Q2-W02</t>
        </is>
      </c>
      <c r="F1637" t="inlineStr">
        <is>
          <t>Josh</t>
        </is>
      </c>
      <c r="G1637" t="inlineStr">
        <is>
          <t>Customer</t>
        </is>
      </c>
      <c r="H1637" s="2" t="str">
        <f>=HYPERLINK("https://upbox.ajobthing.my/customer/194673", "https://upbox.ajobthing.my/customer/194673")</f>
        <v>https://upbox.ajobthing.my/customer/194673</v>
      </c>
      <c r="I1637" t="inlineStr">
        <is>
          <t>Green Apple Health Care</t>
        </is>
      </c>
      <c r="J1637" t="inlineStr">
        <is>
          <t>Dolphin</t>
        </is>
      </c>
      <c r="K1637" t="inlineStr">
        <is>
          <t>Josh</t>
        </is>
      </c>
      <c r="L1637" s="4"/>
      <c r="M1637" s="4">
        <v>46127.628587962965</v>
      </c>
      <c r="N1637"/>
      <c r="O1637">
        <v>6048</v>
      </c>
      <c r="P1637" s="4"/>
      <c r="Q1637" s="4"/>
      <c r="R1637"/>
      <c r="S1637"/>
      <c r="T1637" s="4"/>
      <c r="U1637" s="4"/>
      <c r="V1637"/>
      <c r="W1637"/>
      <c r="X1637"/>
      <c r="Y1637" t="inlineStr">
        <is>
          <t>Pending Appointment</t>
        </is>
      </c>
      <c r="Z1637" t="inlineStr">
        <is>
          <t>Hiring Later</t>
        </is>
      </c>
      <c r="AA1637">
        <v>1</v>
      </c>
      <c r="AB1637" t="inlineStr">
        <is>
          <t>No Appointment Made</t>
        </is>
      </c>
      <c r="AC1637"/>
      <c r="AD1637" t="inlineStr">
        <is>
          <t xml:space="preserve">1 sales </t>
        </is>
      </c>
      <c r="AE1637"/>
      <c r="AF1637">
        <v>1000</v>
      </c>
      <c r="AG1637" s="4"/>
      <c r="AH1637" s="4"/>
      <c r="AI1637"/>
      <c r="AJ1637"/>
      <c r="AK1637" t="inlineStr">
        <is>
          <t>Yes, I have</t>
        </is>
      </c>
      <c r="AL1637"/>
      <c r="AM1637"/>
      <c r="AN1637"/>
      <c r="AO1637"/>
      <c r="AP1637" t="inlineStr">
        <is>
          <t>Once a year (25%)</t>
        </is>
      </c>
      <c r="AQ1637"/>
      <c r="AR1637"/>
      <c r="AS1637" t="inlineStr">
        <is>
          <t>- Headcount: 1
- Hiring Job Details: 1 sales
- Number of outlets: N/A
- Have recruiter team: Yes
- Number of recruiter in company: N/A
- Have ATS system: N/A
- Have career website: N/A
- Current hiring budget: RM1,000.00
- Whole year budget: N/A
- Whole year number of vacancies: N/A
- Hiring frequency: Once a year (25%)
- External job portal: N/A
- Hiring Urgency: Hiring Later</t>
        </is>
      </c>
      <c r="AT1637">
        <v>75</v>
      </c>
      <c r="AU1637" t="inlineStr">
        <is>
          <t>0.75</t>
        </is>
      </c>
      <c r="AV1637" t="inlineStr">
        <is>
          <t>15</t>
        </is>
      </c>
      <c r="AW1637" t="inlineStr">
        <is>
          <t>0</t>
        </is>
      </c>
      <c r="AX1637" t="inlineStr">
        <is>
          <t>Not Qualified</t>
        </is>
      </c>
      <c r="AY1637" s="4"/>
      <c r="AZ1637"/>
      <c r="BA1637"/>
      <c r="BB1637"/>
      <c r="BC1637" t="inlineStr">
        <is>
          <t>- Headcount: 1
- Hiring Job Details: 1 sales
- Number of outlets: N/A
- Have recruiter team: Yes
- Number of recruiter in company: N/A
- Have ATS system: N/A
- Have career website: N/A
- Current hiring budget: RM1,000.00
- Whole year budget: N/A
- Whole year number of vacancies: N/A
- Hiring frequency: Once a year (25%)
- External job portal: N/A
- Hiring Urgency: Hiring Later</t>
        </is>
      </c>
      <c r="BD1637" s="4">
        <v>46127.666817129626</v>
      </c>
      <c r="BE1637"/>
      <c r="BF1637"/>
      <c r="BG1637" t="inlineStr">
        <is>
          <t>Reschedule</t>
        </is>
      </c>
      <c r="BH1637" t="inlineStr">
        <is>
          <t>Fauziah Maharan</t>
        </is>
      </c>
      <c r="BI1637"/>
      <c r="BJ1637" s="4">
        <v>46144.75271990741</v>
      </c>
      <c r="BK1637" s="4">
        <v>45875.69849537037</v>
      </c>
      <c r="BL1637" t="inlineStr">
        <is>
          <t>0.0</t>
        </is>
      </c>
      <c r="BM1637" t="inlineStr">
        <is>
          <t>0.0</t>
        </is>
      </c>
      <c r="BN1637" t="inlineStr">
        <is>
          <t>View Company Page</t>
        </is>
      </c>
      <c r="BO1637" s="4">
        <v>45875.70417824074</v>
      </c>
      <c r="BP1637">
        <v>167196</v>
      </c>
      <c r="BQ1637"/>
      <c r="BR1637"/>
      <c r="BS1637"/>
      <c r="BT1637"/>
      <c r="BU1637"/>
      <c r="BV1637">
        <v>2706393</v>
      </c>
      <c r="BW1637" t="inlineStr">
        <is>
          <t>Customer Inquiry</t>
        </is>
      </c>
      <c r="BX1637"/>
      <c r="BY1637"/>
      <c r="BZ1637" s="4"/>
      <c r="CA1637"/>
      <c r="CB1637"/>
      <c r="CC1637" s="4"/>
      <c r="CD1637" t="inlineStr">
        <is>
          <t>20</t>
        </is>
      </c>
      <c r="CE1637" t="inlineStr">
        <is>
          <t>0</t>
        </is>
      </c>
      <c r="CF1637" t="inlineStr">
        <is>
          <t>Q2-W02</t>
        </is>
      </c>
      <c r="CG1637"/>
      <c r="CH1637"/>
      <c r="CI1637"/>
      <c r="CJ1637" t="inlineStr">
        <is>
          <t>No Paid</t>
        </is>
      </c>
      <c r="CK1637" t="inlineStr">
        <is>
          <t>Not Eligible</t>
        </is>
      </c>
      <c r="CL1637"/>
      <c r="CM1637"/>
    </row>
    <row r="1638" ht="25.5" customHeight="1">
      <c r="A1638" t="inlineStr">
        <is>
          <t>203262</t>
        </is>
      </c>
      <c r="B1638" s="2"/>
      <c r="C1638"/>
      <c r="D1638" s="3">
        <v>46127.62918981481</v>
      </c>
      <c r="E1638" t="inlineStr">
        <is>
          <t>Q2-W02</t>
        </is>
      </c>
      <c r="F1638" t="inlineStr">
        <is>
          <t>Clover</t>
        </is>
      </c>
      <c r="G1638" t="inlineStr">
        <is>
          <t>Customer</t>
        </is>
      </c>
      <c r="H1638" s="2" t="str">
        <f>=HYPERLINK("https://upbox.ajobthing.my/customer/203262", "https://upbox.ajobthing.my/customer/203262")</f>
        <v>https://upbox.ajobthing.my/customer/203262</v>
      </c>
      <c r="I1638" t="inlineStr">
        <is>
          <t>The Malacca Club</t>
        </is>
      </c>
      <c r="J1638" t="inlineStr">
        <is>
          <t>Dolphin</t>
        </is>
      </c>
      <c r="K1638" t="inlineStr">
        <is>
          <t>Clover</t>
        </is>
      </c>
      <c r="L1638" s="4"/>
      <c r="M1638" s="4">
        <v>46127.62938657407</v>
      </c>
      <c r="N1638"/>
      <c r="O1638">
        <v>3888</v>
      </c>
      <c r="P1638" s="4"/>
      <c r="Q1638" s="4"/>
      <c r="R1638"/>
      <c r="S1638"/>
      <c r="T1638" s="4"/>
      <c r="U1638" s="4"/>
      <c r="V1638"/>
      <c r="W1638"/>
      <c r="X1638"/>
      <c r="Y1638" t="inlineStr">
        <is>
          <t>Pending Appointment</t>
        </is>
      </c>
      <c r="Z1638" t="inlineStr">
        <is>
          <t>Hiring Now</t>
        </is>
      </c>
      <c r="AA1638">
        <v>2</v>
      </c>
      <c r="AB1638" t="inlineStr">
        <is>
          <t>No Appointment Made</t>
        </is>
      </c>
      <c r="AC1638"/>
      <c r="AD1638" t="inlineStr">
        <is>
          <t>Hire operation executive x1-2, all races, in 3 years, hospitality, Recreation center, melaka, suggest stand</t>
        </is>
      </c>
      <c r="AE1638"/>
      <c r="AF1638">
        <v>3000</v>
      </c>
      <c r="AG1638" s="4"/>
      <c r="AH1638" s="4"/>
      <c r="AI1638">
        <v>3000</v>
      </c>
      <c r="AJ1638">
        <v>1</v>
      </c>
      <c r="AK1638" t="inlineStr">
        <is>
          <t>No, but I want in future</t>
        </is>
      </c>
      <c r="AL1638">
        <v>1</v>
      </c>
      <c r="AM1638" t="inlineStr">
        <is>
          <t>No, but I want in future</t>
        </is>
      </c>
      <c r="AN1638"/>
      <c r="AO1638" t="inlineStr">
        <is>
          <t>No, but I want in future</t>
        </is>
      </c>
      <c r="AP1638" t="inlineStr">
        <is>
          <t>Once per quarter (75%)</t>
        </is>
      </c>
      <c r="AQ1638">
        <v>2</v>
      </c>
      <c r="AR1638" t="inlineStr">
        <is>
          <t>Did not use any job portal</t>
        </is>
      </c>
      <c r="AS1638" t="inlineStr">
        <is>
          <t>- Headcount: 2
- Hiring Job Details: Hire 1-2 operation executives (all races, 3 years, hospitality, Recreation center, melaka,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Once per quarter (75%)
- External job portal: Did not use any</t>
        </is>
      </c>
      <c r="AT1638">
        <v>115</v>
      </c>
      <c r="AU1638" t="inlineStr">
        <is>
          <t>1.15</t>
        </is>
      </c>
      <c r="AV1638" t="inlineStr">
        <is>
          <t>15</t>
        </is>
      </c>
      <c r="AW1638" t="inlineStr">
        <is>
          <t>0</t>
        </is>
      </c>
      <c r="AX1638" t="inlineStr">
        <is>
          <t>Not Qualified</t>
        </is>
      </c>
      <c r="AY1638" s="4"/>
      <c r="AZ1638"/>
      <c r="BA1638"/>
      <c r="BB1638"/>
      <c r="BC1638" t="inlineStr">
        <is>
          <t>Call npu, wa fu</t>
        </is>
      </c>
      <c r="BD1638" s="4">
        <v>46133.7437037037</v>
      </c>
      <c r="BE1638"/>
      <c r="BF1638"/>
      <c r="BG1638" t="inlineStr">
        <is>
          <t>Reschedule</t>
        </is>
      </c>
      <c r="BH1638" t="inlineStr">
        <is>
          <t>Reagen</t>
        </is>
      </c>
      <c r="BI1638"/>
      <c r="BJ1638" s="4">
        <v>46144.75425925926</v>
      </c>
      <c r="BK1638" s="4">
        <v>46127.59662037037</v>
      </c>
      <c r="BL1638" t="inlineStr">
        <is>
          <t>0.0</t>
        </is>
      </c>
      <c r="BM1638" t="inlineStr">
        <is>
          <t>600.0</t>
        </is>
      </c>
      <c r="BN1638"/>
      <c r="BO1638" s="4"/>
      <c r="BP1638">
        <v>167199</v>
      </c>
      <c r="BQ1638"/>
      <c r="BR1638"/>
      <c r="BS1638"/>
      <c r="BT1638"/>
      <c r="BU1638"/>
      <c r="BV1638">
        <v>2719166</v>
      </c>
      <c r="BW1638" t="inlineStr">
        <is>
          <t>No Answer : Voicemail - WA sent to customer</t>
        </is>
      </c>
      <c r="BX1638"/>
      <c r="BY1638"/>
      <c r="BZ1638" s="4"/>
      <c r="CA1638"/>
      <c r="CB1638"/>
      <c r="CC1638" s="4"/>
      <c r="CD1638" t="inlineStr">
        <is>
          <t>20</t>
        </is>
      </c>
      <c r="CE1638" t="inlineStr">
        <is>
          <t>0</t>
        </is>
      </c>
      <c r="CF1638" t="inlineStr">
        <is>
          <t>Q2-W02</t>
        </is>
      </c>
      <c r="CG1638"/>
      <c r="CH1638"/>
      <c r="CI1638"/>
      <c r="CJ1638" t="inlineStr">
        <is>
          <t>No Paid</t>
        </is>
      </c>
      <c r="CK1638" t="inlineStr">
        <is>
          <t>Not Eligible</t>
        </is>
      </c>
      <c r="CL1638"/>
      <c r="CM1638"/>
    </row>
    <row r="1639" ht="25.5" customHeight="1">
      <c r="A1639" t="inlineStr">
        <is>
          <t>180594</t>
        </is>
      </c>
      <c r="B1639" s="2"/>
      <c r="C1639"/>
      <c r="D1639" s="3">
        <v>46127.63450231482</v>
      </c>
      <c r="E1639" t="inlineStr">
        <is>
          <t>Q2-W02</t>
        </is>
      </c>
      <c r="F1639" t="inlineStr">
        <is>
          <t>Alan KY</t>
        </is>
      </c>
      <c r="G1639" t="inlineStr">
        <is>
          <t>Customer</t>
        </is>
      </c>
      <c r="H1639" s="2" t="str">
        <f>=HYPERLINK("https://upbox.ajobthing.my/customer/180594", "https://upbox.ajobthing.my/customer/180594")</f>
        <v>https://upbox.ajobthing.my/customer/180594</v>
      </c>
      <c r="I1639" t="inlineStr">
        <is>
          <t>Modern Material Enterprises (Malaysia) Sdn. Bhd.</t>
        </is>
      </c>
      <c r="J1639" t="inlineStr">
        <is>
          <t>Dolphin</t>
        </is>
      </c>
      <c r="K1639" t="inlineStr">
        <is>
          <t>Alan KY</t>
        </is>
      </c>
      <c r="L1639" s="4"/>
      <c r="M1639" s="4">
        <v>46127.628912037035</v>
      </c>
      <c r="N1639"/>
      <c r="O1639">
        <v>3672</v>
      </c>
      <c r="P1639" s="4"/>
      <c r="Q1639" s="4">
        <v>46127.628287037034</v>
      </c>
      <c r="R1639"/>
      <c r="S1639">
        <v>5508</v>
      </c>
      <c r="T1639" s="4">
        <v>45925.39881944445</v>
      </c>
      <c r="U1639" s="4"/>
      <c r="V1639"/>
      <c r="W1639">
        <v>3672</v>
      </c>
      <c r="X1639"/>
      <c r="Y1639" t="inlineStr">
        <is>
          <t>Pending Appointment</t>
        </is>
      </c>
      <c r="Z1639" t="inlineStr">
        <is>
          <t>Continuous Hiring</t>
        </is>
      </c>
      <c r="AA1639">
        <v>1</v>
      </c>
      <c r="AB1639" t="inlineStr">
        <is>
          <t>No Appointment Made</t>
        </is>
      </c>
      <c r="AC1639"/>
      <c r="AD1639" t="inlineStr">
        <is>
          <t xml:space="preserve">Renewal - hiring for sales (KL, Penang) </t>
        </is>
      </c>
      <c r="AE1639"/>
      <c r="AF1639"/>
      <c r="AG1639" s="4"/>
      <c r="AH1639" s="4"/>
      <c r="AI1639"/>
      <c r="AJ1639"/>
      <c r="AK1639" t="inlineStr">
        <is>
          <t>No, I don't need at all</t>
        </is>
      </c>
      <c r="AL1639"/>
      <c r="AM1639" t="inlineStr">
        <is>
          <t>No, I don't need at all</t>
        </is>
      </c>
      <c r="AN1639"/>
      <c r="AO1639" t="inlineStr">
        <is>
          <t>No, I don't need at all</t>
        </is>
      </c>
      <c r="AP1639" t="inlineStr">
        <is>
          <t>Once per quarter (75%)</t>
        </is>
      </c>
      <c r="AQ1639"/>
      <c r="AR1639" t="inlineStr">
        <is>
          <t>Jobstreet, Hiredly</t>
        </is>
      </c>
      <c r="AS1639" t="inlineStr">
        <is>
          <t>- Headcount: 1
- Hiring Job Details: Renewal - hiring for sales (KL, Penang)
- Hiring Urgency: Continuous Hiring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Hiredly</t>
        </is>
      </c>
      <c r="AT1639">
        <v>75</v>
      </c>
      <c r="AU1639" t="inlineStr">
        <is>
          <t>0.75</t>
        </is>
      </c>
      <c r="AV1639" t="inlineStr">
        <is>
          <t>5</t>
        </is>
      </c>
      <c r="AW1639" t="inlineStr">
        <is>
          <t>0</t>
        </is>
      </c>
      <c r="AX1639" t="inlineStr">
        <is>
          <t>Not Qualified</t>
        </is>
      </c>
      <c r="AY1639" s="4"/>
      <c r="AZ1639"/>
      <c r="BA1639"/>
      <c r="BB1639"/>
      <c r="BC1639" t="inlineStr">
        <is>
          <t>Payment made - assist to assign package</t>
        </is>
      </c>
      <c r="BD1639" s="4">
        <v>46141.61048611111</v>
      </c>
      <c r="BE1639" t="inlineStr">
        <is>
          <t>pending</t>
        </is>
      </c>
      <c r="BF1639"/>
      <c r="BG1639" t="inlineStr">
        <is>
          <t>Reschedule</t>
        </is>
      </c>
      <c r="BH1639" t="inlineStr">
        <is>
          <t>Reagen</t>
        </is>
      </c>
      <c r="BI1639" t="inlineStr">
        <is>
          <t>Manufacturing / Production</t>
        </is>
      </c>
      <c r="BJ1639" s="4">
        <v>46144.75184027778</v>
      </c>
      <c r="BK1639" s="4">
        <v>45489.76188657407</v>
      </c>
      <c r="BL1639" t="inlineStr">
        <is>
          <t>3672.0</t>
        </is>
      </c>
      <c r="BM1639" t="inlineStr">
        <is>
          <t>0.0</t>
        </is>
      </c>
      <c r="BN1639" t="inlineStr">
        <is>
          <t>View Jobmanager Page</t>
        </is>
      </c>
      <c r="BO1639" s="4">
        <v>46121.4646875</v>
      </c>
      <c r="BP1639">
        <v>167198</v>
      </c>
      <c r="BQ1639">
        <v>122525</v>
      </c>
      <c r="BR1639" t="inlineStr">
        <is>
          <t>Proforma</t>
        </is>
      </c>
      <c r="BS1639" t="inlineStr">
        <is>
          <t>AI Yearly Professional Plan (Jan 26)</t>
        </is>
      </c>
      <c r="BT1639">
        <v>82711</v>
      </c>
      <c r="BU1639"/>
      <c r="BV1639">
        <v>2735367</v>
      </c>
      <c r="BW1639" t="inlineStr">
        <is>
          <t>Follow Up : Win - Customer Paid</t>
        </is>
      </c>
      <c r="BX1639">
        <v>6</v>
      </c>
      <c r="BY1639">
        <v>0</v>
      </c>
      <c r="BZ1639" s="4">
        <v>46009.68201388889</v>
      </c>
      <c r="CA1639">
        <v>60</v>
      </c>
      <c r="CB1639">
        <v>60</v>
      </c>
      <c r="CC1639" s="4"/>
      <c r="CD1639" t="inlineStr">
        <is>
          <t>5</t>
        </is>
      </c>
      <c r="CE1639" t="inlineStr">
        <is>
          <t>0</t>
        </is>
      </c>
      <c r="CF1639" t="inlineStr">
        <is>
          <t>Q2-W02</t>
        </is>
      </c>
      <c r="CG1639" t="inlineStr">
        <is>
          <t>Q2-W02</t>
        </is>
      </c>
      <c r="CH1639"/>
      <c r="CI1639"/>
      <c r="CJ1639" t="inlineStr">
        <is>
          <t>Paid</t>
        </is>
      </c>
      <c r="CK1639" t="inlineStr">
        <is>
          <t>Not Eligible</t>
        </is>
      </c>
      <c r="CL1639"/>
      <c r="CM1639"/>
    </row>
    <row r="1640" ht="25.5" customHeight="1">
      <c r="A1640" t="inlineStr">
        <is>
          <t>45582</t>
        </is>
      </c>
      <c r="B1640" s="2"/>
      <c r="C1640"/>
      <c r="D1640" s="3">
        <v>46127.642175925925</v>
      </c>
      <c r="E1640" t="inlineStr">
        <is>
          <t>Q2-W02</t>
        </is>
      </c>
      <c r="F1640" t="inlineStr">
        <is>
          <t>Janice Yap</t>
        </is>
      </c>
      <c r="G1640" t="inlineStr">
        <is>
          <t>Customer</t>
        </is>
      </c>
      <c r="H1640" s="2" t="str">
        <f>=HYPERLINK("https://upbox.ajobthing.my/customer/45582", "https://upbox.ajobthing.my/customer/45582")</f>
        <v>https://upbox.ajobthing.my/customer/45582</v>
      </c>
      <c r="I1640" t="inlineStr">
        <is>
          <t>Techsap ASP Sdn Bhd</t>
        </is>
      </c>
      <c r="J1640" t="inlineStr">
        <is>
          <t>Dolphin</t>
        </is>
      </c>
      <c r="K1640" t="inlineStr">
        <is>
          <t>Janice</t>
        </is>
      </c>
      <c r="L1640" s="4"/>
      <c r="M1640" s="4">
        <v>46127.638553240744</v>
      </c>
      <c r="N1640"/>
      <c r="O1640">
        <v>3888</v>
      </c>
      <c r="P1640" s="4"/>
      <c r="Q1640" s="4"/>
      <c r="R1640"/>
      <c r="S1640"/>
      <c r="T1640" s="4"/>
      <c r="U1640" s="4"/>
      <c r="V1640"/>
      <c r="W1640"/>
      <c r="X1640"/>
      <c r="Y1640" t="inlineStr">
        <is>
          <t>Pending Appointment</t>
        </is>
      </c>
      <c r="Z1640" t="inlineStr">
        <is>
          <t>Hiring Now</t>
        </is>
      </c>
      <c r="AA1640">
        <v>2</v>
      </c>
      <c r="AB1640" t="inlineStr">
        <is>
          <t>No Appointment Made</t>
        </is>
      </c>
      <c r="AC1640"/>
      <c r="AD1640" t="inlineStr">
        <is>
          <t>1 admin // 1 operation</t>
        </is>
      </c>
      <c r="AE1640"/>
      <c r="AF1640">
        <v>0</v>
      </c>
      <c r="AG1640" s="4"/>
      <c r="AH1640" s="4"/>
      <c r="AI1640">
        <v>0</v>
      </c>
      <c r="AJ1640"/>
      <c r="AK1640" t="inlineStr">
        <is>
          <t>No, I don't need at all</t>
        </is>
      </c>
      <c r="AL1640">
        <v>0</v>
      </c>
      <c r="AM1640" t="inlineStr">
        <is>
          <t>No, I don't need at all</t>
        </is>
      </c>
      <c r="AN1640"/>
      <c r="AO1640" t="inlineStr">
        <is>
          <t>No, I don't need at all</t>
        </is>
      </c>
      <c r="AP1640" t="inlineStr">
        <is>
          <t>Once a year (25%)</t>
        </is>
      </c>
      <c r="AQ1640">
        <v>2</v>
      </c>
      <c r="AR1640" t="inlineStr">
        <is>
          <t>Free Job Portal</t>
        </is>
      </c>
      <c r="AS1640" t="inlineStr">
        <is>
          <t>- Headcount: 2
- Hiring Job Details: 1 admin // 1 operation
- Number of outlets: N/A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Free Job Portal
- Hiring Urgency: Hiring Now</t>
        </is>
      </c>
      <c r="AT1640">
        <v>115</v>
      </c>
      <c r="AU1640" t="inlineStr">
        <is>
          <t>1.15</t>
        </is>
      </c>
      <c r="AV1640" t="inlineStr">
        <is>
          <t>15</t>
        </is>
      </c>
      <c r="AW1640" t="inlineStr">
        <is>
          <t>0</t>
        </is>
      </c>
      <c r="AX1640" t="inlineStr">
        <is>
          <t>Not Qualified</t>
        </is>
      </c>
      <c r="AY1640" s="4"/>
      <c r="AZ1640"/>
      <c r="BA1640"/>
      <c r="BB1640"/>
      <c r="BC1640" t="inlineStr">
        <is>
          <t>Prefer Indeed // their portal very good // no need to use AJT</t>
        </is>
      </c>
      <c r="BD1640" s="4">
        <v>46129.48489583333</v>
      </c>
      <c r="BE1640"/>
      <c r="BF1640"/>
      <c r="BG1640" t="inlineStr">
        <is>
          <t>Reschedule</t>
        </is>
      </c>
      <c r="BH1640" t="inlineStr">
        <is>
          <t>Yee Hang</t>
        </is>
      </c>
      <c r="BI1640"/>
      <c r="BJ1640" s="4">
        <v>46144.7559837963</v>
      </c>
      <c r="BK1640" s="4">
        <v>43124.45804398148</v>
      </c>
      <c r="BL1640" t="inlineStr">
        <is>
          <t>0.0</t>
        </is>
      </c>
      <c r="BM1640" t="inlineStr">
        <is>
          <t>0.0</t>
        </is>
      </c>
      <c r="BN1640"/>
      <c r="BO1640" s="4"/>
      <c r="BP1640">
        <v>167207</v>
      </c>
      <c r="BQ1640"/>
      <c r="BR1640"/>
      <c r="BS1640"/>
      <c r="BT1640"/>
      <c r="BU1640"/>
      <c r="BV1640">
        <v>2711586</v>
      </c>
      <c r="BW1640" t="inlineStr">
        <is>
          <t>Follow Up : Lost - Paid Portal</t>
        </is>
      </c>
      <c r="BX1640"/>
      <c r="BY1640"/>
      <c r="BZ1640" s="4"/>
      <c r="CA1640"/>
      <c r="CB1640"/>
      <c r="CC1640" s="4"/>
      <c r="CD1640" t="inlineStr">
        <is>
          <t>20</t>
        </is>
      </c>
      <c r="CE1640" t="inlineStr">
        <is>
          <t>0</t>
        </is>
      </c>
      <c r="CF1640" t="inlineStr">
        <is>
          <t>Q2-W02</t>
        </is>
      </c>
      <c r="CG1640"/>
      <c r="CH1640"/>
      <c r="CI1640"/>
      <c r="CJ1640" t="inlineStr">
        <is>
          <t>No Paid</t>
        </is>
      </c>
      <c r="CK1640" t="inlineStr">
        <is>
          <t>Not Eligible</t>
        </is>
      </c>
      <c r="CL1640"/>
      <c r="CM1640"/>
    </row>
    <row r="1641" ht="25.5" customHeight="1">
      <c r="A1641" t="inlineStr">
        <is>
          <t>181938</t>
        </is>
      </c>
      <c r="B1641" s="2"/>
      <c r="C1641"/>
      <c r="D1641" s="3">
        <v>46127.6437037037</v>
      </c>
      <c r="E1641" t="inlineStr">
        <is>
          <t>Q2-W02</t>
        </is>
      </c>
      <c r="F1641" t="inlineStr">
        <is>
          <t>Xin Quan</t>
        </is>
      </c>
      <c r="G1641" t="inlineStr">
        <is>
          <t>Customer</t>
        </is>
      </c>
      <c r="H1641" s="2" t="str">
        <f>=HYPERLINK("https://upbox.ajobthing.my/customer/181938", "https://upbox.ajobthing.my/customer/181938")</f>
        <v>https://upbox.ajobthing.my/customer/181938</v>
      </c>
      <c r="I1641" t="inlineStr">
        <is>
          <t>TI Computer (M) Sdn Bhd</t>
        </is>
      </c>
      <c r="J1641" t="inlineStr">
        <is>
          <t>Dolphin</t>
        </is>
      </c>
      <c r="K1641" t="inlineStr">
        <is>
          <t>Xin Quan</t>
        </is>
      </c>
      <c r="L1641" s="4"/>
      <c r="M1641" s="4">
        <v>46127.64392361111</v>
      </c>
      <c r="N1641"/>
      <c r="O1641">
        <v>3888</v>
      </c>
      <c r="P1641" s="4"/>
      <c r="Q1641" s="4">
        <v>45785.54084490741</v>
      </c>
      <c r="R1641"/>
      <c r="S1641">
        <v>648</v>
      </c>
      <c r="T1641" s="4">
        <v>45785.54084490741</v>
      </c>
      <c r="U1641" s="4"/>
      <c r="V1641"/>
      <c r="W1641">
        <v>648</v>
      </c>
      <c r="X1641"/>
      <c r="Y1641" t="inlineStr">
        <is>
          <t>Pending Appointment</t>
        </is>
      </c>
      <c r="Z1641" t="inlineStr">
        <is>
          <t>Hiring Now</t>
        </is>
      </c>
      <c r="AA1641">
        <v>2</v>
      </c>
      <c r="AB1641" t="inlineStr">
        <is>
          <t>No Appointment Made</t>
        </is>
      </c>
      <c r="AC1641"/>
      <c r="AD1641" t="inlineStr">
        <is>
          <t>2 Sales , Base in KL</t>
        </is>
      </c>
      <c r="AE1641"/>
      <c r="AF1641">
        <v>4000</v>
      </c>
      <c r="AG1641" s="4"/>
      <c r="AH1641" s="4"/>
      <c r="AI1641">
        <v>48000</v>
      </c>
      <c r="AJ1641">
        <v>1</v>
      </c>
      <c r="AK1641" t="inlineStr">
        <is>
          <t>No, I don't need at all</t>
        </is>
      </c>
      <c r="AL1641">
        <v>1</v>
      </c>
      <c r="AM1641" t="inlineStr">
        <is>
          <t>No, I don't need at all</t>
        </is>
      </c>
      <c r="AN1641"/>
      <c r="AO1641" t="inlineStr">
        <is>
          <t>No, I don't need at all</t>
        </is>
      </c>
      <c r="AP1641" t="inlineStr">
        <is>
          <t>Once a year (25%)</t>
        </is>
      </c>
      <c r="AQ1641">
        <v>2</v>
      </c>
      <c r="AR1641"/>
      <c r="AS1641" t="inlineStr">
        <is>
          <t>- Headcount: 2
- Hiring Job Details: 2 Sales,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is>
      </c>
      <c r="AT1641">
        <v>115</v>
      </c>
      <c r="AU1641" t="inlineStr">
        <is>
          <t>1.15</t>
        </is>
      </c>
      <c r="AV1641" t="inlineStr">
        <is>
          <t>15</t>
        </is>
      </c>
      <c r="AW1641" t="inlineStr">
        <is>
          <t>0</t>
        </is>
      </c>
      <c r="AX1641" t="inlineStr">
        <is>
          <t>Not Qualified</t>
        </is>
      </c>
      <c r="AY1641" s="4"/>
      <c r="AZ1641"/>
      <c r="BA1641"/>
      <c r="BB1641"/>
      <c r="BC1641" t="inlineStr">
        <is>
          <t>NH</t>
        </is>
      </c>
      <c r="BD1641" s="4">
        <v>46135.424155092594</v>
      </c>
      <c r="BE1641" t="inlineStr">
        <is>
          <t>paid</t>
        </is>
      </c>
      <c r="BF1641"/>
      <c r="BG1641" t="inlineStr">
        <is>
          <t>Reschedule</t>
        </is>
      </c>
      <c r="BH1641" t="inlineStr">
        <is>
          <t>Edward Hoo</t>
        </is>
      </c>
      <c r="BI1641" t="inlineStr">
        <is>
          <t>IT / Hardware</t>
        </is>
      </c>
      <c r="BJ1641" s="4">
        <v>46144.75188657407</v>
      </c>
      <c r="BK1641" s="4">
        <v>45526.60070601852</v>
      </c>
      <c r="BL1641" t="inlineStr">
        <is>
          <t>648.0</t>
        </is>
      </c>
      <c r="BM1641" t="inlineStr">
        <is>
          <t>600.0</t>
        </is>
      </c>
      <c r="BN1641" t="inlineStr">
        <is>
          <t>View Company Page</t>
        </is>
      </c>
      <c r="BO1641" s="4">
        <v>46028.47216435185</v>
      </c>
      <c r="BP1641">
        <v>167214</v>
      </c>
      <c r="BQ1641">
        <v>79115</v>
      </c>
      <c r="BR1641" t="inlineStr">
        <is>
          <t>Online</t>
        </is>
      </c>
      <c r="BS1641"/>
      <c r="BT1641">
        <v>79115</v>
      </c>
      <c r="BU1641"/>
      <c r="BV1641">
        <v>2722399</v>
      </c>
      <c r="BW1641" t="inlineStr">
        <is>
          <t>Inquire for Hiring Needs : No Hiring</t>
        </is>
      </c>
      <c r="BX1641"/>
      <c r="BY1641"/>
      <c r="BZ1641" s="4"/>
      <c r="CA1641"/>
      <c r="CB1641"/>
      <c r="CC1641" s="4"/>
      <c r="CD1641" t="inlineStr">
        <is>
          <t>20</t>
        </is>
      </c>
      <c r="CE1641" t="inlineStr">
        <is>
          <t>0</t>
        </is>
      </c>
      <c r="CF1641" t="inlineStr">
        <is>
          <t>Q2-W02</t>
        </is>
      </c>
      <c r="CG1641"/>
      <c r="CH1641"/>
      <c r="CI1641"/>
      <c r="CJ1641" t="inlineStr">
        <is>
          <t>Paid</t>
        </is>
      </c>
      <c r="CK1641" t="inlineStr">
        <is>
          <t>Not Eligible</t>
        </is>
      </c>
      <c r="CL1641"/>
      <c r="CM1641"/>
    </row>
    <row r="1642" ht="25.5" customHeight="1">
      <c r="A1642" t="inlineStr">
        <is>
          <t>181330</t>
        </is>
      </c>
      <c r="B1642" s="2"/>
      <c r="C1642"/>
      <c r="D1642" s="3">
        <v>46127.654710648145</v>
      </c>
      <c r="E1642" t="inlineStr">
        <is>
          <t>Q2-W02</t>
        </is>
      </c>
      <c r="F1642" t="inlineStr">
        <is>
          <t>Angel  Low</t>
        </is>
      </c>
      <c r="G1642" t="inlineStr">
        <is>
          <t>Customer</t>
        </is>
      </c>
      <c r="H1642" s="2" t="str">
        <f>=HYPERLINK("https://upbox.ajobthing.my/customer/181330", "https://upbox.ajobthing.my/customer/181330")</f>
        <v>https://upbox.ajobthing.my/customer/181330</v>
      </c>
      <c r="I1642" t="inlineStr">
        <is>
          <t>Pojis Sdn Bhd</t>
        </is>
      </c>
      <c r="J1642" t="inlineStr">
        <is>
          <t>Dolphin</t>
        </is>
      </c>
      <c r="K1642" t="inlineStr">
        <is>
          <t>Angel Low</t>
        </is>
      </c>
      <c r="L1642" s="4"/>
      <c r="M1642" s="4">
        <v>46127.65553240741</v>
      </c>
      <c r="N1642"/>
      <c r="O1642">
        <v>5508</v>
      </c>
      <c r="P1642" s="4"/>
      <c r="Q1642" s="4">
        <v>46137.43918981482</v>
      </c>
      <c r="R1642"/>
      <c r="S1642">
        <v>0</v>
      </c>
      <c r="T1642" s="4">
        <v>46133.43612268518</v>
      </c>
      <c r="U1642" s="4"/>
      <c r="V1642"/>
      <c r="W1642">
        <v>3672</v>
      </c>
      <c r="X1642"/>
      <c r="Y1642" t="inlineStr">
        <is>
          <t>Pending Appointment</t>
        </is>
      </c>
      <c r="Z1642"/>
      <c r="AA1642">
        <v>2</v>
      </c>
      <c r="AB1642" t="inlineStr">
        <is>
          <t>No Appointment Made</t>
        </is>
      </c>
      <c r="AC1642"/>
      <c r="AD1642" t="inlineStr">
        <is>
          <t xml:space="preserve">1 seniors supervisor 1 admin </t>
        </is>
      </c>
      <c r="AE1642"/>
      <c r="AF1642"/>
      <c r="AG1642" s="4"/>
      <c r="AH1642" s="4"/>
      <c r="AI1642"/>
      <c r="AJ1642"/>
      <c r="AK1642"/>
      <c r="AL1642"/>
      <c r="AM1642"/>
      <c r="AN1642"/>
      <c r="AO1642"/>
      <c r="AP1642"/>
      <c r="AQ1642"/>
      <c r="AR1642"/>
      <c r="AS1642" t="inlineStr">
        <is>
          <t>- Headcount: 2
- Hiring Job Details: 1 seniors supervisor, 1 admin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642">
        <v>60</v>
      </c>
      <c r="AU1642" t="inlineStr">
        <is>
          <t>0.60</t>
        </is>
      </c>
      <c r="AV1642" t="inlineStr">
        <is>
          <t>5</t>
        </is>
      </c>
      <c r="AW1642" t="inlineStr">
        <is>
          <t>0</t>
        </is>
      </c>
      <c r="AX1642" t="inlineStr">
        <is>
          <t>Not Qualified</t>
        </is>
      </c>
      <c r="AY1642" s="4"/>
      <c r="AZ1642"/>
      <c r="BA1642"/>
      <c r="BB1642"/>
      <c r="BC1642" t="inlineStr">
        <is>
          <t>ASSIST - WON CMAPAIGN</t>
        </is>
      </c>
      <c r="BD1642" s="4">
        <v>46139.49009259259</v>
      </c>
      <c r="BE1642" t="inlineStr">
        <is>
          <t>paid</t>
        </is>
      </c>
      <c r="BF1642" t="inlineStr">
        <is>
          <t>Q2-W03</t>
        </is>
      </c>
      <c r="BG1642" t="inlineStr">
        <is>
          <t>Reschedule</t>
        </is>
      </c>
      <c r="BH1642" t="inlineStr">
        <is>
          <t>Fauziah Maharan</t>
        </is>
      </c>
      <c r="BI1642" t="inlineStr">
        <is>
          <t>Food / Beverage</t>
        </is>
      </c>
      <c r="BJ1642" s="4">
        <v>46144.751863425925</v>
      </c>
      <c r="BK1642" s="4">
        <v>45511.42444444444</v>
      </c>
      <c r="BL1642" t="inlineStr">
        <is>
          <t>3672.0</t>
        </is>
      </c>
      <c r="BM1642" t="inlineStr">
        <is>
          <t>0.0</t>
        </is>
      </c>
      <c r="BN1642" t="inlineStr">
        <is>
          <t>View Company Page</t>
        </is>
      </c>
      <c r="BO1642" s="4">
        <v>46141.71488425926</v>
      </c>
      <c r="BP1642">
        <v>167222</v>
      </c>
      <c r="BQ1642">
        <v>123708</v>
      </c>
      <c r="BR1642" t="inlineStr">
        <is>
          <t>Proforma</t>
        </is>
      </c>
      <c r="BS1642" t="inlineStr">
        <is>
          <t>Free Part-Time Job</t>
        </is>
      </c>
      <c r="BT1642">
        <v>94510</v>
      </c>
      <c r="BU1642"/>
      <c r="BV1642">
        <v>2728708</v>
      </c>
      <c r="BW1642" t="inlineStr">
        <is>
          <t>Service / Technical : Job Outcome Enquiry</t>
        </is>
      </c>
      <c r="BX1642">
        <v>6</v>
      </c>
      <c r="BY1642">
        <v>3</v>
      </c>
      <c r="BZ1642" s="4">
        <v>46137.46888888889</v>
      </c>
      <c r="CA1642">
        <v>73</v>
      </c>
      <c r="CB1642">
        <v>73</v>
      </c>
      <c r="CC1642" s="4"/>
      <c r="CD1642" t="inlineStr">
        <is>
          <t>5</t>
        </is>
      </c>
      <c r="CE1642" t="inlineStr">
        <is>
          <t>0</t>
        </is>
      </c>
      <c r="CF1642" t="inlineStr">
        <is>
          <t>Q2-W02</t>
        </is>
      </c>
      <c r="CG1642" t="inlineStr">
        <is>
          <t>Q2-W04</t>
        </is>
      </c>
      <c r="CH1642" t="inlineStr">
        <is>
          <t>Q2-W03</t>
        </is>
      </c>
      <c r="CI1642"/>
      <c r="CJ1642" t="inlineStr">
        <is>
          <t>Paid</t>
        </is>
      </c>
      <c r="CK1642" t="inlineStr">
        <is>
          <t>Not Eligible</t>
        </is>
      </c>
      <c r="CL1642"/>
      <c r="CM1642"/>
    </row>
    <row r="1643" ht="25.5" customHeight="1">
      <c r="A1643" t="inlineStr">
        <is>
          <t>118025</t>
        </is>
      </c>
      <c r="B1643" s="2"/>
      <c r="C1643"/>
      <c r="D1643" s="3">
        <v>46127.65494212963</v>
      </c>
      <c r="E1643" t="inlineStr">
        <is>
          <t>Q2-W02</t>
        </is>
      </c>
      <c r="F1643" t="inlineStr">
        <is>
          <t>Carmen</t>
        </is>
      </c>
      <c r="G1643" t="inlineStr">
        <is>
          <t>Customer</t>
        </is>
      </c>
      <c r="H1643" s="2" t="str">
        <f>=HYPERLINK("https://upbox.ajobthing.my/customer/118025", "https://upbox.ajobthing.my/customer/118025")</f>
        <v>https://upbox.ajobthing.my/customer/118025</v>
      </c>
      <c r="I1643" t="inlineStr">
        <is>
          <t>Golden Fresh Chain Store Sdn Bhd</t>
        </is>
      </c>
      <c r="J1643" t="inlineStr">
        <is>
          <t>Dolphin</t>
        </is>
      </c>
      <c r="K1643" t="inlineStr">
        <is>
          <t>Carmen</t>
        </is>
      </c>
      <c r="L1643" s="4"/>
      <c r="M1643" s="4">
        <v>46127.65541666667</v>
      </c>
      <c r="N1643"/>
      <c r="O1643">
        <v>3888</v>
      </c>
      <c r="P1643" s="4"/>
      <c r="Q1643" s="4">
        <v>46125.934583333335</v>
      </c>
      <c r="R1643"/>
      <c r="S1643">
        <v>0</v>
      </c>
      <c r="T1643" s="4">
        <v>45225.554027777776</v>
      </c>
      <c r="U1643" s="4"/>
      <c r="V1643"/>
      <c r="W1643">
        <v>31.8</v>
      </c>
      <c r="X1643"/>
      <c r="Y1643" t="inlineStr">
        <is>
          <t>Pending Appointment</t>
        </is>
      </c>
      <c r="Z1643" t="inlineStr">
        <is>
          <t>Hiring Now</t>
        </is>
      </c>
      <c r="AA1643">
        <v>2</v>
      </c>
      <c r="AB1643" t="inlineStr">
        <is>
          <t>No Appointment Made</t>
        </is>
      </c>
      <c r="AC1643"/>
      <c r="AD1643" t="inlineStr">
        <is>
          <t>1 cashier ; 1 admin</t>
        </is>
      </c>
      <c r="AE1643"/>
      <c r="AF1643">
        <v>0</v>
      </c>
      <c r="AG1643" s="4"/>
      <c r="AH1643" s="4"/>
      <c r="AI1643"/>
      <c r="AJ1643"/>
      <c r="AK1643"/>
      <c r="AL1643"/>
      <c r="AM1643"/>
      <c r="AN1643"/>
      <c r="AO1643"/>
      <c r="AP1643"/>
      <c r="AQ1643"/>
      <c r="AR1643"/>
      <c r="AS1643" t="inlineStr">
        <is>
          <t>- Headcount: 2
- Hiring Job Details: 1 cashier ; 1 admin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Not provided
- External job portal: Not provided</t>
        </is>
      </c>
      <c r="AT1643">
        <v>75</v>
      </c>
      <c r="AU1643" t="inlineStr">
        <is>
          <t>0.75</t>
        </is>
      </c>
      <c r="AV1643" t="inlineStr">
        <is>
          <t>15</t>
        </is>
      </c>
      <c r="AW1643" t="inlineStr">
        <is>
          <t>0</t>
        </is>
      </c>
      <c r="AX1643" t="inlineStr">
        <is>
          <t>Not Qualified</t>
        </is>
      </c>
      <c r="AY1643" s="4"/>
      <c r="AZ1643"/>
      <c r="BA1643"/>
      <c r="BB1643"/>
      <c r="BC1643" t="inlineStr">
        <is>
          <t>no need dy</t>
        </is>
      </c>
      <c r="BD1643" s="4">
        <v>46135.698587962965</v>
      </c>
      <c r="BE1643" t="inlineStr">
        <is>
          <t>paid</t>
        </is>
      </c>
      <c r="BF1643"/>
      <c r="BG1643" t="inlineStr">
        <is>
          <t>Reschedule</t>
        </is>
      </c>
      <c r="BH1643" t="inlineStr">
        <is>
          <t>Reagen</t>
        </is>
      </c>
      <c r="BI1643" t="inlineStr">
        <is>
          <t>Retail / Merchandise</t>
        </is>
      </c>
      <c r="BJ1643" s="4">
        <v>46144.75019675926</v>
      </c>
      <c r="BK1643" s="4">
        <v>43580.710810185185</v>
      </c>
      <c r="BL1643" t="inlineStr">
        <is>
          <t>0.0</t>
        </is>
      </c>
      <c r="BM1643" t="inlineStr">
        <is>
          <t>600.0</t>
        </is>
      </c>
      <c r="BN1643" t="inlineStr">
        <is>
          <t>View Company Page</t>
        </is>
      </c>
      <c r="BO1643" s="4">
        <v>46125.93702546296</v>
      </c>
      <c r="BP1643">
        <v>167220</v>
      </c>
      <c r="BQ1643">
        <v>122108</v>
      </c>
      <c r="BR1643" t="inlineStr">
        <is>
          <t>Proforma</t>
        </is>
      </c>
      <c r="BS1643" t="inlineStr">
        <is>
          <t>Free Internship Job</t>
        </is>
      </c>
      <c r="BT1643">
        <v>63258</v>
      </c>
      <c r="BU1643"/>
      <c r="BV1643">
        <v>2724857</v>
      </c>
      <c r="BW1643" t="inlineStr">
        <is>
          <t>Inquire for Hiring Needs : No Hiring</t>
        </is>
      </c>
      <c r="BX1643"/>
      <c r="BY1643"/>
      <c r="BZ1643" s="4"/>
      <c r="CA1643"/>
      <c r="CB1643"/>
      <c r="CC1643" s="4"/>
      <c r="CD1643" t="inlineStr">
        <is>
          <t>20</t>
        </is>
      </c>
      <c r="CE1643" t="inlineStr">
        <is>
          <t>0</t>
        </is>
      </c>
      <c r="CF1643" t="inlineStr">
        <is>
          <t>Q2-W02</t>
        </is>
      </c>
      <c r="CG1643" t="inlineStr">
        <is>
          <t>Q2-W02</t>
        </is>
      </c>
      <c r="CH1643"/>
      <c r="CI1643"/>
      <c r="CJ1643" t="inlineStr">
        <is>
          <t>Paid</t>
        </is>
      </c>
      <c r="CK1643" t="inlineStr">
        <is>
          <t>Not Eligible</t>
        </is>
      </c>
      <c r="CL1643"/>
      <c r="CM1643"/>
    </row>
    <row r="1644" ht="25.5" customHeight="1">
      <c r="A1644" t="inlineStr">
        <is>
          <t>203268</t>
        </is>
      </c>
      <c r="B1644" s="2"/>
      <c r="C1644"/>
      <c r="D1644" s="3">
        <v>46127.657638888886</v>
      </c>
      <c r="E1644" t="inlineStr">
        <is>
          <t>Q2-W02</t>
        </is>
      </c>
      <c r="F1644" t="inlineStr">
        <is>
          <t>Jess</t>
        </is>
      </c>
      <c r="G1644" t="inlineStr">
        <is>
          <t>Customer</t>
        </is>
      </c>
      <c r="H1644" s="2" t="str">
        <f>=HYPERLINK("https://upbox.ajobthing.my/customer/203268", "https://upbox.ajobthing.my/customer/203268")</f>
        <v>https://upbox.ajobthing.my/customer/203268</v>
      </c>
      <c r="I1644" t="inlineStr">
        <is>
          <t>P&amp;n Industrial Trading Sdn Bhd</t>
        </is>
      </c>
      <c r="J1644" t="inlineStr">
        <is>
          <t>Dolphin</t>
        </is>
      </c>
      <c r="K1644" t="inlineStr">
        <is>
          <t>Jess Lim</t>
        </is>
      </c>
      <c r="L1644" s="4"/>
      <c r="M1644" s="4">
        <v>46127.65824074074</v>
      </c>
      <c r="N1644"/>
      <c r="O1644">
        <v>6048</v>
      </c>
      <c r="P1644" s="4"/>
      <c r="Q1644" s="4"/>
      <c r="R1644"/>
      <c r="S1644"/>
      <c r="T1644" s="4"/>
      <c r="U1644" s="4"/>
      <c r="V1644"/>
      <c r="W1644"/>
      <c r="X1644"/>
      <c r="Y1644" t="inlineStr">
        <is>
          <t>Pending Appointment</t>
        </is>
      </c>
      <c r="Z1644" t="inlineStr">
        <is>
          <t>Hiring Now</t>
        </is>
      </c>
      <c r="AA1644">
        <v>2</v>
      </c>
      <c r="AB1644" t="inlineStr">
        <is>
          <t>No Appointment Made</t>
        </is>
      </c>
      <c r="AC1644"/>
      <c r="AD1644" t="inlineStr">
        <is>
          <t>sales manager sales executive
1, 1
jobstreet
chinese</t>
        </is>
      </c>
      <c r="AE1644"/>
      <c r="AF1644">
        <v>3600</v>
      </c>
      <c r="AG1644" s="4"/>
      <c r="AH1644" s="4"/>
      <c r="AI1644"/>
      <c r="AJ1644">
        <v>1</v>
      </c>
      <c r="AK1644" t="inlineStr">
        <is>
          <t>No, I don't need at all</t>
        </is>
      </c>
      <c r="AL1644">
        <v>1</v>
      </c>
      <c r="AM1644" t="inlineStr">
        <is>
          <t>No, I don't need at all</t>
        </is>
      </c>
      <c r="AN1644"/>
      <c r="AO1644" t="inlineStr">
        <is>
          <t>No, I don't need at all</t>
        </is>
      </c>
      <c r="AP1644" t="inlineStr">
        <is>
          <t>Once a year (25%)</t>
        </is>
      </c>
      <c r="AQ1644"/>
      <c r="AR1644" t="inlineStr">
        <is>
          <t>Jobstreet</t>
        </is>
      </c>
      <c r="AS1644" t="inlineStr">
        <is>
          <t>- Headcount: 2
- Hiring Job Details: 1 sales manager, 1 sales executive; posted on Jobstreet; requires Chinese
- Hiring Urgency: Hiring Now
- Number of outlets: 1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is>
      </c>
      <c r="AT1644">
        <v>105</v>
      </c>
      <c r="AU1644" t="inlineStr">
        <is>
          <t>1.05</t>
        </is>
      </c>
      <c r="AV1644" t="inlineStr">
        <is>
          <t>15</t>
        </is>
      </c>
      <c r="AW1644" t="inlineStr">
        <is>
          <t>0</t>
        </is>
      </c>
      <c r="AX1644" t="inlineStr">
        <is>
          <t>Not Qualified</t>
        </is>
      </c>
      <c r="AY1644" s="4"/>
      <c r="AZ1644"/>
      <c r="BA1644"/>
      <c r="BB1644"/>
      <c r="BC1644" t="inlineStr">
        <is>
          <t>- Headcount: 2
- Hiring Job Details: 1 sales manager, 1 sales executive; posted on Jobstreet; requires Chinese
- Hiring Urgency: Hiring Now
- Number of outlets: 1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is>
      </c>
      <c r="BD1644" s="4">
        <v>46127.6668287037</v>
      </c>
      <c r="BE1644"/>
      <c r="BF1644"/>
      <c r="BG1644" t="inlineStr">
        <is>
          <t>Reschedule</t>
        </is>
      </c>
      <c r="BH1644" t="inlineStr">
        <is>
          <t>Fauziah Maharan</t>
        </is>
      </c>
      <c r="BI1644"/>
      <c r="BJ1644" s="4">
        <v>46144.75425925926</v>
      </c>
      <c r="BK1644" s="4">
        <v>46127.63854166667</v>
      </c>
      <c r="BL1644" t="inlineStr">
        <is>
          <t>0.0</t>
        </is>
      </c>
      <c r="BM1644" t="inlineStr">
        <is>
          <t>0.0</t>
        </is>
      </c>
      <c r="BN1644" t="inlineStr">
        <is>
          <t>View Company Page</t>
        </is>
      </c>
      <c r="BO1644" s="4">
        <v>46127.63984953704</v>
      </c>
      <c r="BP1644">
        <v>167226</v>
      </c>
      <c r="BQ1644"/>
      <c r="BR1644"/>
      <c r="BS1644"/>
      <c r="BT1644"/>
      <c r="BU1644"/>
      <c r="BV1644">
        <v>2706411</v>
      </c>
      <c r="BW1644" t="inlineStr">
        <is>
          <t>Customer Inquiry</t>
        </is>
      </c>
      <c r="BX1644"/>
      <c r="BY1644"/>
      <c r="BZ1644" s="4"/>
      <c r="CA1644"/>
      <c r="CB1644"/>
      <c r="CC1644" s="4"/>
      <c r="CD1644" t="inlineStr">
        <is>
          <t>20</t>
        </is>
      </c>
      <c r="CE1644" t="inlineStr">
        <is>
          <t>0</t>
        </is>
      </c>
      <c r="CF1644" t="inlineStr">
        <is>
          <t>Q2-W02</t>
        </is>
      </c>
      <c r="CG1644"/>
      <c r="CH1644"/>
      <c r="CI1644"/>
      <c r="CJ1644" t="inlineStr">
        <is>
          <t>No Paid</t>
        </is>
      </c>
      <c r="CK1644" t="inlineStr">
        <is>
          <t>Not Eligible</t>
        </is>
      </c>
      <c r="CL1644"/>
      <c r="CM1644"/>
    </row>
    <row r="1645" ht="25.5" customHeight="1">
      <c r="A1645" t="inlineStr">
        <is>
          <t>180183</t>
        </is>
      </c>
      <c r="B1645" s="2"/>
      <c r="C1645"/>
      <c r="D1645" s="3">
        <v>46127.65766203704</v>
      </c>
      <c r="E1645" t="inlineStr">
        <is>
          <t>Q2-W02</t>
        </is>
      </c>
      <c r="F1645" t="inlineStr">
        <is>
          <t>Dickson</t>
        </is>
      </c>
      <c r="G1645" t="inlineStr">
        <is>
          <t>Customer</t>
        </is>
      </c>
      <c r="H1645" s="2" t="str">
        <f>=HYPERLINK("https://upbox.ajobthing.my/customer/180183", "https://upbox.ajobthing.my/customer/180183")</f>
        <v>https://upbox.ajobthing.my/customer/180183</v>
      </c>
      <c r="I1645" t="inlineStr">
        <is>
          <t>BLH Ecoenergy Sdn. Bhd.</t>
        </is>
      </c>
      <c r="J1645" t="inlineStr">
        <is>
          <t>Dolphin</t>
        </is>
      </c>
      <c r="K1645" t="inlineStr">
        <is>
          <t>Dickson</t>
        </is>
      </c>
      <c r="L1645" s="4"/>
      <c r="M1645" s="4">
        <v>46127.658055555556</v>
      </c>
      <c r="N1645"/>
      <c r="O1645">
        <v>3888</v>
      </c>
      <c r="P1645" s="4"/>
      <c r="Q1645" s="4">
        <v>45751.72630787037</v>
      </c>
      <c r="R1645"/>
      <c r="S1645">
        <v>1080</v>
      </c>
      <c r="T1645" s="4">
        <v>45751.72630787037</v>
      </c>
      <c r="U1645" s="4"/>
      <c r="V1645"/>
      <c r="W1645">
        <v>1080</v>
      </c>
      <c r="X1645"/>
      <c r="Y1645" t="inlineStr">
        <is>
          <t>Pending Appointment</t>
        </is>
      </c>
      <c r="Z1645" t="inlineStr">
        <is>
          <t>Hiring Now</t>
        </is>
      </c>
      <c r="AA1645">
        <v>4</v>
      </c>
      <c r="AB1645" t="inlineStr">
        <is>
          <t>No Appointment Made</t>
        </is>
      </c>
      <c r="AC1645"/>
      <c r="AD1645" t="inlineStr">
        <is>
          <t>1 project supervisor, 2 sales executive, 1 technical admin</t>
        </is>
      </c>
      <c r="AE1645"/>
      <c r="AF1645"/>
      <c r="AG1645" s="4"/>
      <c r="AH1645" s="4"/>
      <c r="AI1645"/>
      <c r="AJ1645">
        <v>1</v>
      </c>
      <c r="AK1645" t="inlineStr">
        <is>
          <t>No, I don't need at all</t>
        </is>
      </c>
      <c r="AL1645"/>
      <c r="AM1645" t="inlineStr">
        <is>
          <t>No, I don't need at all</t>
        </is>
      </c>
      <c r="AN1645"/>
      <c r="AO1645" t="inlineStr">
        <is>
          <t>No, I don't need at all</t>
        </is>
      </c>
      <c r="AP1645" t="inlineStr">
        <is>
          <t>Once per quarter (75%)</t>
        </is>
      </c>
      <c r="AQ1645"/>
      <c r="AR1645"/>
      <c r="AS1645" t="inlineStr">
        <is>
          <t>- Headcount: 4
- Hiring Job Details: 1 project supervisor, 2 sales executive, 1 technical admin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1645">
        <v>95</v>
      </c>
      <c r="AU1645" t="inlineStr">
        <is>
          <t>0.95</t>
        </is>
      </c>
      <c r="AV1645" t="inlineStr">
        <is>
          <t>5</t>
        </is>
      </c>
      <c r="AW1645" t="inlineStr">
        <is>
          <t>0</t>
        </is>
      </c>
      <c r="AX1645" t="inlineStr">
        <is>
          <t>Not Qualified</t>
        </is>
      </c>
      <c r="AY1645" s="4"/>
      <c r="AZ1645"/>
      <c r="BA1645"/>
      <c r="BB1645"/>
      <c r="BC1645" t="inlineStr">
        <is>
          <t>reluctant based on past exp
will consider again</t>
        </is>
      </c>
      <c r="BD1645" s="4">
        <v>46129.44131944444</v>
      </c>
      <c r="BE1645" t="inlineStr">
        <is>
          <t>paid</t>
        </is>
      </c>
      <c r="BF1645"/>
      <c r="BG1645" t="inlineStr">
        <is>
          <t>Reschedule</t>
        </is>
      </c>
      <c r="BH1645" t="inlineStr">
        <is>
          <t>Edward Hoo</t>
        </is>
      </c>
      <c r="BI1645"/>
      <c r="BJ1645" s="4">
        <v>46144.75181712963</v>
      </c>
      <c r="BK1645" s="4">
        <v>45477.60104166667</v>
      </c>
      <c r="BL1645" t="inlineStr">
        <is>
          <t>0.0</t>
        </is>
      </c>
      <c r="BM1645" t="inlineStr">
        <is>
          <t>300.0</t>
        </is>
      </c>
      <c r="BN1645" t="inlineStr">
        <is>
          <t>View Create Job Page V4</t>
        </is>
      </c>
      <c r="BO1645" s="4">
        <v>46140.68133101852</v>
      </c>
      <c r="BP1645">
        <v>167225</v>
      </c>
      <c r="BQ1645">
        <v>78173</v>
      </c>
      <c r="BR1645" t="inlineStr">
        <is>
          <t>Online</t>
        </is>
      </c>
      <c r="BS1645"/>
      <c r="BT1645">
        <v>78173</v>
      </c>
      <c r="BU1645"/>
      <c r="BV1645">
        <v>2711225</v>
      </c>
      <c r="BW1645" t="inlineStr">
        <is>
          <t>Follow Up : Budget Concern</t>
        </is>
      </c>
      <c r="BX1645"/>
      <c r="BY1645"/>
      <c r="BZ1645" s="4"/>
      <c r="CA1645"/>
      <c r="CB1645"/>
      <c r="CC1645" s="4"/>
      <c r="CD1645" t="inlineStr">
        <is>
          <t>5</t>
        </is>
      </c>
      <c r="CE1645" t="inlineStr">
        <is>
          <t>0</t>
        </is>
      </c>
      <c r="CF1645" t="inlineStr">
        <is>
          <t>Q2-W02</t>
        </is>
      </c>
      <c r="CG1645"/>
      <c r="CH1645"/>
      <c r="CI1645"/>
      <c r="CJ1645" t="inlineStr">
        <is>
          <t>Paid</t>
        </is>
      </c>
      <c r="CK1645" t="inlineStr">
        <is>
          <t>Not Eligible</t>
        </is>
      </c>
      <c r="CL1645"/>
      <c r="CM1645"/>
    </row>
    <row r="1646" ht="25.5" customHeight="1">
      <c r="A1646" t="inlineStr">
        <is>
          <t>119451</t>
        </is>
      </c>
      <c r="B1646" s="2"/>
      <c r="C1646"/>
      <c r="D1646" s="3">
        <v>46127.65803240741</v>
      </c>
      <c r="E1646" t="inlineStr">
        <is>
          <t>Q2-W02</t>
        </is>
      </c>
      <c r="F1646" t="inlineStr">
        <is>
          <t>Janice Yap</t>
        </is>
      </c>
      <c r="G1646" t="inlineStr">
        <is>
          <t>Customer</t>
        </is>
      </c>
      <c r="H1646" s="2" t="str">
        <f>=HYPERLINK("https://upbox.ajobthing.my/customer/119451", "https://upbox.ajobthing.my/customer/119451")</f>
        <v>https://upbox.ajobthing.my/customer/119451</v>
      </c>
      <c r="I1646" t="inlineStr">
        <is>
          <t>M3EC Millennium Sdn Bhd</t>
        </is>
      </c>
      <c r="J1646" t="inlineStr">
        <is>
          <t>Dolphin</t>
        </is>
      </c>
      <c r="K1646" t="inlineStr">
        <is>
          <t>Janice</t>
        </is>
      </c>
      <c r="L1646" s="4"/>
      <c r="M1646" s="4">
        <v>46127.65744212963</v>
      </c>
      <c r="N1646"/>
      <c r="O1646">
        <v>3888</v>
      </c>
      <c r="P1646" s="4"/>
      <c r="Q1646" s="4">
        <v>46140.65550925926</v>
      </c>
      <c r="R1646"/>
      <c r="S1646">
        <v>0</v>
      </c>
      <c r="T1646" s="4">
        <v>45712.450370370374</v>
      </c>
      <c r="U1646" s="4"/>
      <c r="V1646"/>
      <c r="W1646">
        <v>2916</v>
      </c>
      <c r="X1646"/>
      <c r="Y1646" t="inlineStr">
        <is>
          <t>Pending Appointment</t>
        </is>
      </c>
      <c r="Z1646" t="inlineStr">
        <is>
          <t>Hiring Now</t>
        </is>
      </c>
      <c r="AA1646">
        <v>1</v>
      </c>
      <c r="AB1646" t="inlineStr">
        <is>
          <t>No Appointment Made</t>
        </is>
      </c>
      <c r="AC1646"/>
      <c r="AD1646" t="inlineStr">
        <is>
          <t>1 digital marketing</t>
        </is>
      </c>
      <c r="AE1646"/>
      <c r="AF1646">
        <v>0</v>
      </c>
      <c r="AG1646" s="4"/>
      <c r="AH1646" s="4"/>
      <c r="AI1646">
        <v>0</v>
      </c>
      <c r="AJ1646"/>
      <c r="AK1646" t="inlineStr">
        <is>
          <t>No, I don't need at all</t>
        </is>
      </c>
      <c r="AL1646">
        <v>0</v>
      </c>
      <c r="AM1646" t="inlineStr">
        <is>
          <t>No, I don't need at all</t>
        </is>
      </c>
      <c r="AN1646"/>
      <c r="AO1646" t="inlineStr">
        <is>
          <t>No, I don't need at all</t>
        </is>
      </c>
      <c r="AP1646" t="inlineStr">
        <is>
          <t>Once a year (25%)</t>
        </is>
      </c>
      <c r="AQ1646">
        <v>1</v>
      </c>
      <c r="AR1646"/>
      <c r="AS1646" t="inlineStr">
        <is>
          <t>- Headcount: 1
- Hiring Job Details: 1 digital marketing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N/A</t>
        </is>
      </c>
      <c r="AT1646">
        <v>105</v>
      </c>
      <c r="AU1646" t="inlineStr">
        <is>
          <t>1.05</t>
        </is>
      </c>
      <c r="AV1646" t="inlineStr">
        <is>
          <t>15</t>
        </is>
      </c>
      <c r="AW1646" t="inlineStr">
        <is>
          <t>0</t>
        </is>
      </c>
      <c r="AX1646" t="inlineStr">
        <is>
          <t>Not Qualified</t>
        </is>
      </c>
      <c r="AY1646" s="4"/>
      <c r="AZ1646"/>
      <c r="BA1646"/>
      <c r="BB1646"/>
      <c r="BC1646" t="inlineStr">
        <is>
          <t>No answer // voicemail</t>
        </is>
      </c>
      <c r="BD1646" s="4">
        <v>46140.67502314815</v>
      </c>
      <c r="BE1646" t="inlineStr">
        <is>
          <t>paid</t>
        </is>
      </c>
      <c r="BF1646"/>
      <c r="BG1646" t="inlineStr">
        <is>
          <t>Reschedule</t>
        </is>
      </c>
      <c r="BH1646" t="inlineStr">
        <is>
          <t>Yee Hang</t>
        </is>
      </c>
      <c r="BI1646" t="inlineStr">
        <is>
          <t>Retail / Merchandise</t>
        </is>
      </c>
      <c r="BJ1646" s="4">
        <v>46144.750231481485</v>
      </c>
      <c r="BK1646" s="4">
        <v>43637.55111111111</v>
      </c>
      <c r="BL1646" t="inlineStr">
        <is>
          <t>0.0</t>
        </is>
      </c>
      <c r="BM1646" t="inlineStr">
        <is>
          <t>0.0</t>
        </is>
      </c>
      <c r="BN1646" t="inlineStr">
        <is>
          <t>View Company Page</t>
        </is>
      </c>
      <c r="BO1646" s="4">
        <v>46143.67899305555</v>
      </c>
      <c r="BP1646">
        <v>167224</v>
      </c>
      <c r="BQ1646">
        <v>123938</v>
      </c>
      <c r="BR1646" t="inlineStr">
        <is>
          <t>Proforma</t>
        </is>
      </c>
      <c r="BS1646" t="inlineStr">
        <is>
          <t>Free Freelance Job</t>
        </is>
      </c>
      <c r="BT1646">
        <v>77043</v>
      </c>
      <c r="BU1646"/>
      <c r="BV1646">
        <v>2733369</v>
      </c>
      <c r="BW1646" t="inlineStr">
        <is>
          <t>No Answer : Voicemail - WA sent to customer</t>
        </is>
      </c>
      <c r="BX1646">
        <v>2</v>
      </c>
      <c r="BY1646">
        <v>2</v>
      </c>
      <c r="BZ1646" s="4"/>
      <c r="CA1646">
        <v>10</v>
      </c>
      <c r="CB1646">
        <v>10</v>
      </c>
      <c r="CC1646" s="4"/>
      <c r="CD1646" t="inlineStr">
        <is>
          <t>20</t>
        </is>
      </c>
      <c r="CE1646" t="inlineStr">
        <is>
          <t>0</t>
        </is>
      </c>
      <c r="CF1646" t="inlineStr">
        <is>
          <t>Q2-W02</t>
        </is>
      </c>
      <c r="CG1646" t="inlineStr">
        <is>
          <t>Q2-W04</t>
        </is>
      </c>
      <c r="CH1646"/>
      <c r="CI1646"/>
      <c r="CJ1646" t="inlineStr">
        <is>
          <t>Paid</t>
        </is>
      </c>
      <c r="CK1646" t="inlineStr">
        <is>
          <t>Not Eligible</t>
        </is>
      </c>
      <c r="CL1646"/>
      <c r="CM1646"/>
    </row>
    <row r="1647" ht="25.5" customHeight="1">
      <c r="A1647" t="inlineStr">
        <is>
          <t>170029</t>
        </is>
      </c>
      <c r="B1647" s="2"/>
      <c r="C1647"/>
      <c r="D1647" s="3">
        <v>46127.66646990741</v>
      </c>
      <c r="E1647" t="inlineStr">
        <is>
          <t>Q2-W02</t>
        </is>
      </c>
      <c r="F1647" t="inlineStr">
        <is>
          <t>Yuli</t>
        </is>
      </c>
      <c r="G1647" t="inlineStr">
        <is>
          <t>Customer</t>
        </is>
      </c>
      <c r="H1647" s="2" t="str">
        <f>=HYPERLINK("https://upbox.ajobthing.my/customer/170029", "https://upbox.ajobthing.my/customer/170029")</f>
        <v>https://upbox.ajobthing.my/customer/170029</v>
      </c>
      <c r="I1647" t="inlineStr">
        <is>
          <t>Shekra Sdn Bhd</t>
        </is>
      </c>
      <c r="J1647" t="inlineStr">
        <is>
          <t>Dolphin</t>
        </is>
      </c>
      <c r="K1647" t="inlineStr">
        <is>
          <t>YuLi</t>
        </is>
      </c>
      <c r="L1647" s="4"/>
      <c r="M1647" s="4">
        <v>46141.42476851852</v>
      </c>
      <c r="N1647"/>
      <c r="O1647">
        <v>5412.96</v>
      </c>
      <c r="P1647" s="4"/>
      <c r="Q1647" s="4">
        <v>45937.382418981484</v>
      </c>
      <c r="R1647"/>
      <c r="S1647">
        <v>0</v>
      </c>
      <c r="T1647" s="4">
        <v>45883.999189814815</v>
      </c>
      <c r="U1647" s="4"/>
      <c r="V1647"/>
      <c r="W1647">
        <v>3888</v>
      </c>
      <c r="X1647"/>
      <c r="Y1647" t="inlineStr">
        <is>
          <t>Pending Appointment</t>
        </is>
      </c>
      <c r="Z1647" t="inlineStr">
        <is>
          <t>Hiring Now</t>
        </is>
      </c>
      <c r="AA1647">
        <v>1</v>
      </c>
      <c r="AB1647" t="inlineStr">
        <is>
          <t>No Appointment Made</t>
        </is>
      </c>
      <c r="AC1647"/>
      <c r="AD1647" t="inlineStr">
        <is>
          <t>Clinic Assistant</t>
        </is>
      </c>
      <c r="AE1647"/>
      <c r="AF1647"/>
      <c r="AG1647" s="4"/>
      <c r="AH1647" s="4"/>
      <c r="AI1647"/>
      <c r="AJ1647"/>
      <c r="AK1647"/>
      <c r="AL1647"/>
      <c r="AM1647"/>
      <c r="AN1647"/>
      <c r="AO1647"/>
      <c r="AP1647" t="inlineStr">
        <is>
          <t>Every month (100%)</t>
        </is>
      </c>
      <c r="AQ1647"/>
      <c r="AR1647" t="inlineStr">
        <is>
          <t>Free Job Portal</t>
        </is>
      </c>
      <c r="AS1647" t="inlineStr">
        <is>
          <t>- Headcount: 1
- Hiring Job Details: Clinic Assistant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Free Job Portal</t>
        </is>
      </c>
      <c r="AT1647">
        <v>75</v>
      </c>
      <c r="AU1647" t="inlineStr">
        <is>
          <t>0.75</t>
        </is>
      </c>
      <c r="AV1647" t="inlineStr">
        <is>
          <t>5</t>
        </is>
      </c>
      <c r="AW1647" t="inlineStr">
        <is>
          <t>0</t>
        </is>
      </c>
      <c r="AX1647" t="inlineStr">
        <is>
          <t>Not Qualified</t>
        </is>
      </c>
      <c r="AY1647" s="4"/>
      <c r="AZ1647"/>
      <c r="BA1647"/>
      <c r="BB1647"/>
      <c r="BC1647" t="inlineStr">
        <is>
          <t>as per Reza, still pending decision from his boss side, share the location now only can put 1, and he acknowledge and also share the average per cost so can get his boss to consider</t>
        </is>
      </c>
      <c r="BD1647" s="4">
        <v>46141.62342592593</v>
      </c>
      <c r="BE1647" t="inlineStr">
        <is>
          <t>paid</t>
        </is>
      </c>
      <c r="BF1647"/>
      <c r="BG1647" t="inlineStr">
        <is>
          <t>Reschedule</t>
        </is>
      </c>
      <c r="BH1647" t="inlineStr">
        <is>
          <t>Fauziah Maharan</t>
        </is>
      </c>
      <c r="BI1647" t="inlineStr">
        <is>
          <t>Healthcare / Medical</t>
        </is>
      </c>
      <c r="BJ1647" s="4">
        <v>46144.75140046296</v>
      </c>
      <c r="BK1647" s="4">
        <v>45148.537777777776</v>
      </c>
      <c r="BL1647" t="inlineStr">
        <is>
          <t>3888.0</t>
        </is>
      </c>
      <c r="BM1647" t="inlineStr">
        <is>
          <t>0.0</t>
        </is>
      </c>
      <c r="BN1647" t="inlineStr">
        <is>
          <t>View Company Page</t>
        </is>
      </c>
      <c r="BO1647" s="4">
        <v>46133.49015046296</v>
      </c>
      <c r="BP1647">
        <v>169409</v>
      </c>
      <c r="BQ1647">
        <v>110327</v>
      </c>
      <c r="BR1647" t="inlineStr">
        <is>
          <t>Proforma</t>
        </is>
      </c>
      <c r="BS1647" t="inlineStr">
        <is>
          <t>A La Carte AI Job Ad Free</t>
        </is>
      </c>
      <c r="BT1647">
        <v>81583</v>
      </c>
      <c r="BU1647"/>
      <c r="BV1647">
        <v>2735448</v>
      </c>
      <c r="BW1647" t="inlineStr">
        <is>
          <t>Follow Up : Decision Pending</t>
        </is>
      </c>
      <c r="BX1647">
        <v>6</v>
      </c>
      <c r="BY1647">
        <v>0</v>
      </c>
      <c r="BZ1647" s="4">
        <v>46114.68135416666</v>
      </c>
      <c r="CA1647">
        <v>60</v>
      </c>
      <c r="CB1647">
        <v>58</v>
      </c>
      <c r="CC1647" s="4">
        <v>46073.62420138889</v>
      </c>
      <c r="CD1647" t="inlineStr">
        <is>
          <t>5</t>
        </is>
      </c>
      <c r="CE1647" t="inlineStr">
        <is>
          <t>0</t>
        </is>
      </c>
      <c r="CF1647" t="inlineStr">
        <is>
          <t>Q2-W04</t>
        </is>
      </c>
      <c r="CG1647"/>
      <c r="CH1647"/>
      <c r="CI1647"/>
      <c r="CJ1647" t="inlineStr">
        <is>
          <t>Paid</t>
        </is>
      </c>
      <c r="CK1647" t="inlineStr">
        <is>
          <t>Not Eligible</t>
        </is>
      </c>
      <c r="CL1647"/>
      <c r="CM1647"/>
    </row>
    <row r="1648" ht="25.5" customHeight="1">
      <c r="A1648" t="inlineStr">
        <is>
          <t>174775</t>
        </is>
      </c>
      <c r="B1648" s="2"/>
      <c r="C1648"/>
      <c r="D1648" s="3">
        <v>46127.67016203704</v>
      </c>
      <c r="E1648" t="inlineStr">
        <is>
          <t>Q2-W02</t>
        </is>
      </c>
      <c r="F1648" t="inlineStr">
        <is>
          <t>Keegan</t>
        </is>
      </c>
      <c r="G1648" t="inlineStr">
        <is>
          <t>Customer</t>
        </is>
      </c>
      <c r="H1648" s="2" t="str">
        <f>=HYPERLINK("https://upbox.ajobthing.my/customer/174775", "https://upbox.ajobthing.my/customer/174775")</f>
        <v>https://upbox.ajobthing.my/customer/174775</v>
      </c>
      <c r="I1648" t="inlineStr">
        <is>
          <t>Brican Success Plt</t>
        </is>
      </c>
      <c r="J1648" t="inlineStr">
        <is>
          <t>Dolphin</t>
        </is>
      </c>
      <c r="K1648" t="inlineStr">
        <is>
          <t>Keegan</t>
        </is>
      </c>
      <c r="L1648" s="4"/>
      <c r="M1648" s="4">
        <v>46127.67023148148</v>
      </c>
      <c r="N1648"/>
      <c r="O1648">
        <v>3888</v>
      </c>
      <c r="P1648" s="4"/>
      <c r="Q1648" s="4">
        <v>46127.500972222224</v>
      </c>
      <c r="R1648"/>
      <c r="S1648">
        <v>0</v>
      </c>
      <c r="T1648" s="4">
        <v>45450.86528935185</v>
      </c>
      <c r="U1648" s="4"/>
      <c r="V1648"/>
      <c r="W1648">
        <v>324</v>
      </c>
      <c r="X1648"/>
      <c r="Y1648" t="inlineStr">
        <is>
          <t>Pending Appointment</t>
        </is>
      </c>
      <c r="Z1648" t="inlineStr">
        <is>
          <t>Hiring Now</t>
        </is>
      </c>
      <c r="AA1648">
        <v>2</v>
      </c>
      <c r="AB1648" t="inlineStr">
        <is>
          <t>No Appointment Made</t>
        </is>
      </c>
      <c r="AC1648"/>
      <c r="AD1648" t="inlineStr">
        <is>
          <t xml:space="preserve">1. Admin 
2. Teacher </t>
        </is>
      </c>
      <c r="AE1648"/>
      <c r="AF1648"/>
      <c r="AG1648" s="4"/>
      <c r="AH1648" s="4"/>
      <c r="AI1648"/>
      <c r="AJ1648">
        <v>1</v>
      </c>
      <c r="AK1648" t="inlineStr">
        <is>
          <t>No, I don't need at all</t>
        </is>
      </c>
      <c r="AL1648">
        <v>0</v>
      </c>
      <c r="AM1648" t="inlineStr">
        <is>
          <t>No, I don't need at all</t>
        </is>
      </c>
      <c r="AN1648"/>
      <c r="AO1648" t="inlineStr">
        <is>
          <t>No, I don't need at all</t>
        </is>
      </c>
      <c r="AP1648" t="inlineStr">
        <is>
          <t>Once per quarter (75%)</t>
        </is>
      </c>
      <c r="AQ1648"/>
      <c r="AR1648" t="inlineStr">
        <is>
          <t>Did not use any job portal</t>
        </is>
      </c>
      <c r="AS1648" t="inlineStr">
        <is>
          <t>- Headcount: 2
- Hiring Job Details: 1. Admin 2. Teacher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648">
        <v>95</v>
      </c>
      <c r="AU1648" t="inlineStr">
        <is>
          <t>0.95</t>
        </is>
      </c>
      <c r="AV1648" t="inlineStr">
        <is>
          <t>5</t>
        </is>
      </c>
      <c r="AW1648" t="inlineStr">
        <is>
          <t>0</t>
        </is>
      </c>
      <c r="AX1648" t="inlineStr">
        <is>
          <t>Not Qualified</t>
        </is>
      </c>
      <c r="AY1648" s="4"/>
      <c r="AZ1648"/>
      <c r="BA1648"/>
      <c r="BB1648"/>
      <c r="BC1648" t="inlineStr">
        <is>
          <t>Pending decision still</t>
        </is>
      </c>
      <c r="BD1648" s="4">
        <v>46135.63248842592</v>
      </c>
      <c r="BE1648" t="inlineStr">
        <is>
          <t>paid</t>
        </is>
      </c>
      <c r="BF1648"/>
      <c r="BG1648" t="inlineStr">
        <is>
          <t>Reschedule</t>
        </is>
      </c>
      <c r="BH1648" t="inlineStr">
        <is>
          <t>Edward Hoo</t>
        </is>
      </c>
      <c r="BI1648" t="inlineStr">
        <is>
          <t>Education / Training</t>
        </is>
      </c>
      <c r="BJ1648" s="4">
        <v>46144.75158564815</v>
      </c>
      <c r="BK1648" s="4">
        <v>45310.6921875</v>
      </c>
      <c r="BL1648" t="inlineStr">
        <is>
          <t>0.0</t>
        </is>
      </c>
      <c r="BM1648" t="inlineStr">
        <is>
          <t>0.0</t>
        </is>
      </c>
      <c r="BN1648" t="inlineStr">
        <is>
          <t>View Company Page</t>
        </is>
      </c>
      <c r="BO1648" s="4">
        <v>46127.518599537034</v>
      </c>
      <c r="BP1648">
        <v>167234</v>
      </c>
      <c r="BQ1648">
        <v>122479</v>
      </c>
      <c r="BR1648" t="inlineStr">
        <is>
          <t>Proforma</t>
        </is>
      </c>
      <c r="BS1648" t="inlineStr">
        <is>
          <t>Free High Pay Job</t>
        </is>
      </c>
      <c r="BT1648">
        <v>69906</v>
      </c>
      <c r="BU1648"/>
      <c r="BV1648">
        <v>2723854</v>
      </c>
      <c r="BW1648" t="inlineStr">
        <is>
          <t>Follow Up : Decision Pending</t>
        </is>
      </c>
      <c r="BX1648"/>
      <c r="BY1648"/>
      <c r="BZ1648" s="4"/>
      <c r="CA1648">
        <v>13</v>
      </c>
      <c r="CB1648">
        <v>13</v>
      </c>
      <c r="CC1648" s="4"/>
      <c r="CD1648" t="inlineStr">
        <is>
          <t>5</t>
        </is>
      </c>
      <c r="CE1648" t="inlineStr">
        <is>
          <t>0</t>
        </is>
      </c>
      <c r="CF1648" t="inlineStr">
        <is>
          <t>Q2-W02</t>
        </is>
      </c>
      <c r="CG1648" t="inlineStr">
        <is>
          <t>Q2-W02</t>
        </is>
      </c>
      <c r="CH1648"/>
      <c r="CI1648"/>
      <c r="CJ1648" t="inlineStr">
        <is>
          <t>Paid</t>
        </is>
      </c>
      <c r="CK1648" t="inlineStr">
        <is>
          <t>Not Eligible</t>
        </is>
      </c>
      <c r="CL1648"/>
      <c r="CM1648"/>
    </row>
    <row r="1649" ht="25.5" customHeight="1">
      <c r="A1649" t="inlineStr">
        <is>
          <t>192372</t>
        </is>
      </c>
      <c r="B1649" s="2"/>
      <c r="C1649"/>
      <c r="D1649" s="3">
        <v>46127.6725</v>
      </c>
      <c r="E1649" t="inlineStr">
        <is>
          <t>Q2-W02</t>
        </is>
      </c>
      <c r="F1649" t="inlineStr">
        <is>
          <t>Josh</t>
        </is>
      </c>
      <c r="G1649" t="inlineStr">
        <is>
          <t>Customer</t>
        </is>
      </c>
      <c r="H1649" s="2" t="str">
        <f>=HYPERLINK("https://upbox.ajobthing.my/customer/192372", "https://upbox.ajobthing.my/customer/192372")</f>
        <v>https://upbox.ajobthing.my/customer/192372</v>
      </c>
      <c r="I1649" t="inlineStr">
        <is>
          <t xml:space="preserve">Lipco Electrical Engineering Sdn Bhd </t>
        </is>
      </c>
      <c r="J1649" t="inlineStr">
        <is>
          <t>Dolphin</t>
        </is>
      </c>
      <c r="K1649" t="inlineStr">
        <is>
          <t>Josh</t>
        </is>
      </c>
      <c r="L1649" s="4"/>
      <c r="M1649" s="4">
        <v>46127.6721875</v>
      </c>
      <c r="N1649"/>
      <c r="O1649">
        <v>5832</v>
      </c>
      <c r="P1649" s="4"/>
      <c r="Q1649" s="4"/>
      <c r="R1649"/>
      <c r="S1649"/>
      <c r="T1649" s="4"/>
      <c r="U1649" s="4"/>
      <c r="V1649"/>
      <c r="W1649"/>
      <c r="X1649"/>
      <c r="Y1649" t="inlineStr">
        <is>
          <t>Pending Appointment</t>
        </is>
      </c>
      <c r="Z1649" t="inlineStr">
        <is>
          <t>Hiring Later</t>
        </is>
      </c>
      <c r="AA1649">
        <v>1</v>
      </c>
      <c r="AB1649" t="inlineStr">
        <is>
          <t>No Appointment Made</t>
        </is>
      </c>
      <c r="AC1649"/>
      <c r="AD1649" t="inlineStr">
        <is>
          <t>1 engineer</t>
        </is>
      </c>
      <c r="AE1649"/>
      <c r="AF1649">
        <v>3000</v>
      </c>
      <c r="AG1649" s="4"/>
      <c r="AH1649" s="4"/>
      <c r="AI1649"/>
      <c r="AJ1649"/>
      <c r="AK1649"/>
      <c r="AL1649"/>
      <c r="AM1649"/>
      <c r="AN1649"/>
      <c r="AO1649"/>
      <c r="AP1649" t="inlineStr">
        <is>
          <t>Once a year (25%)</t>
        </is>
      </c>
      <c r="AQ1649"/>
      <c r="AR1649"/>
      <c r="AS1649" t="inlineStr">
        <is>
          <t>- Headcount: 1
- Hiring Job Details: 1 engineer
- Hiring Urgency: Hiring Later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649">
        <v>75</v>
      </c>
      <c r="AU1649" t="inlineStr">
        <is>
          <t>0.75</t>
        </is>
      </c>
      <c r="AV1649" t="inlineStr">
        <is>
          <t>15</t>
        </is>
      </c>
      <c r="AW1649" t="inlineStr">
        <is>
          <t>0</t>
        </is>
      </c>
      <c r="AX1649" t="inlineStr">
        <is>
          <t>Not Qualified</t>
        </is>
      </c>
      <c r="AY1649" s="4"/>
      <c r="AZ1649"/>
      <c r="BA1649"/>
      <c r="BB1649"/>
      <c r="BC1649" t="inlineStr">
        <is>
          <t>no need now</t>
        </is>
      </c>
      <c r="BD1649" s="4">
        <v>46134.489120370374</v>
      </c>
      <c r="BE1649"/>
      <c r="BF1649"/>
      <c r="BG1649" t="inlineStr">
        <is>
          <t>Reschedule</t>
        </is>
      </c>
      <c r="BH1649" t="inlineStr">
        <is>
          <t>Fauziah Maharan</t>
        </is>
      </c>
      <c r="BI1649"/>
      <c r="BJ1649" s="4">
        <v>46144.75256944444</v>
      </c>
      <c r="BK1649" s="4">
        <v>45818.50797453704</v>
      </c>
      <c r="BL1649" t="inlineStr">
        <is>
          <t>0.0</t>
        </is>
      </c>
      <c r="BM1649" t="inlineStr">
        <is>
          <t>0.0</t>
        </is>
      </c>
      <c r="BN1649" t="inlineStr">
        <is>
          <t>View Company Page</t>
        </is>
      </c>
      <c r="BO1649" s="4">
        <v>45818.50954861111</v>
      </c>
      <c r="BP1649">
        <v>167235</v>
      </c>
      <c r="BQ1649"/>
      <c r="BR1649"/>
      <c r="BS1649"/>
      <c r="BT1649"/>
      <c r="BU1649"/>
      <c r="BV1649">
        <v>2720121</v>
      </c>
      <c r="BW1649" t="inlineStr">
        <is>
          <t>Inquire for Hiring Needs : No Hiring</t>
        </is>
      </c>
      <c r="BX1649"/>
      <c r="BY1649"/>
      <c r="BZ1649" s="4"/>
      <c r="CA1649"/>
      <c r="CB1649"/>
      <c r="CC1649" s="4"/>
      <c r="CD1649" t="inlineStr">
        <is>
          <t>20</t>
        </is>
      </c>
      <c r="CE1649" t="inlineStr">
        <is>
          <t>0</t>
        </is>
      </c>
      <c r="CF1649" t="inlineStr">
        <is>
          <t>Q2-W02</t>
        </is>
      </c>
      <c r="CG1649"/>
      <c r="CH1649"/>
      <c r="CI1649"/>
      <c r="CJ1649" t="inlineStr">
        <is>
          <t>No Paid</t>
        </is>
      </c>
      <c r="CK1649" t="inlineStr">
        <is>
          <t>Not Eligible</t>
        </is>
      </c>
      <c r="CL1649"/>
      <c r="CM1649"/>
    </row>
    <row r="1650" ht="25.5" customHeight="1">
      <c r="A1650" t="inlineStr">
        <is>
          <t>157370</t>
        </is>
      </c>
      <c r="B1650" s="2"/>
      <c r="C1650"/>
      <c r="D1650" s="3">
        <v>46127.684641203705</v>
      </c>
      <c r="E1650" t="inlineStr">
        <is>
          <t>Q2-W02</t>
        </is>
      </c>
      <c r="F1650" t="inlineStr">
        <is>
          <t>Dickson</t>
        </is>
      </c>
      <c r="G1650" t="inlineStr">
        <is>
          <t>Customer</t>
        </is>
      </c>
      <c r="H1650" s="2" t="str">
        <f>=HYPERLINK("https://upbox.ajobthing.my/customer/157370", "https://upbox.ajobthing.my/customer/157370")</f>
        <v>https://upbox.ajobthing.my/customer/157370</v>
      </c>
      <c r="I1650" t="inlineStr">
        <is>
          <t>Hai Fong Frozen Food Sdn Bhd</t>
        </is>
      </c>
      <c r="J1650" t="inlineStr">
        <is>
          <t>Dolphin</t>
        </is>
      </c>
      <c r="K1650" t="inlineStr">
        <is>
          <t>Dickson</t>
        </is>
      </c>
      <c r="L1650" s="4"/>
      <c r="M1650" s="4">
        <v>46127.68480324074</v>
      </c>
      <c r="N1650"/>
      <c r="O1650">
        <v>1296</v>
      </c>
      <c r="P1650" s="4"/>
      <c r="Q1650" s="4">
        <v>45226.00001157408</v>
      </c>
      <c r="R1650"/>
      <c r="S1650">
        <v>2374.4</v>
      </c>
      <c r="T1650" s="4">
        <v>45226.00001157408</v>
      </c>
      <c r="U1650" s="4"/>
      <c r="V1650"/>
      <c r="W1650">
        <v>2374.4</v>
      </c>
      <c r="X1650"/>
      <c r="Y1650" t="inlineStr">
        <is>
          <t>Pending Appointment</t>
        </is>
      </c>
      <c r="Z1650" t="inlineStr">
        <is>
          <t>Hiring Now</t>
        </is>
      </c>
      <c r="AA1650">
        <v>3</v>
      </c>
      <c r="AB1650" t="inlineStr">
        <is>
          <t>No Appointment Made</t>
        </is>
      </c>
      <c r="AC1650"/>
      <c r="AD1650" t="inlineStr">
        <is>
          <t>3 sales executive</t>
        </is>
      </c>
      <c r="AE1650"/>
      <c r="AF1650"/>
      <c r="AG1650" s="4"/>
      <c r="AH1650" s="4"/>
      <c r="AI1650"/>
      <c r="AJ1650">
        <v>1</v>
      </c>
      <c r="AK1650" t="inlineStr">
        <is>
          <t>No, I don't need at all</t>
        </is>
      </c>
      <c r="AL1650"/>
      <c r="AM1650" t="inlineStr">
        <is>
          <t>No, I don't need at all</t>
        </is>
      </c>
      <c r="AN1650"/>
      <c r="AO1650" t="inlineStr">
        <is>
          <t>No, I don't need at all</t>
        </is>
      </c>
      <c r="AP1650" t="inlineStr">
        <is>
          <t>Once per quarter (75%)</t>
        </is>
      </c>
      <c r="AQ1650"/>
      <c r="AR1650" t="inlineStr">
        <is>
          <t>Jobstreet</t>
        </is>
      </c>
      <c r="AS1650" t="inlineStr">
        <is>
          <t>- Headcount: 3
- Hiring Job Details: 3 sales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650">
        <v>95</v>
      </c>
      <c r="AU1650" t="inlineStr">
        <is>
          <t>0.95</t>
        </is>
      </c>
      <c r="AV1650" t="inlineStr">
        <is>
          <t>5</t>
        </is>
      </c>
      <c r="AW1650" t="inlineStr">
        <is>
          <t>0</t>
        </is>
      </c>
      <c r="AX1650" t="inlineStr">
        <is>
          <t>Not Qualified</t>
        </is>
      </c>
      <c r="AY1650" s="4"/>
      <c r="AZ1650"/>
      <c r="BA1650"/>
      <c r="BB1650"/>
      <c r="BC1650" t="inlineStr">
        <is>
          <t>no response</t>
        </is>
      </c>
      <c r="BD1650" s="4">
        <v>46141.62601851852</v>
      </c>
      <c r="BE1650" t="inlineStr">
        <is>
          <t>paid</t>
        </is>
      </c>
      <c r="BF1650"/>
      <c r="BG1650" t="inlineStr">
        <is>
          <t>Reschedule</t>
        </is>
      </c>
      <c r="BH1650" t="inlineStr">
        <is>
          <t>Edward Hoo</t>
        </is>
      </c>
      <c r="BI1650" t="inlineStr">
        <is>
          <t>Food / Beverage</t>
        </is>
      </c>
      <c r="BJ1650" s="4">
        <v>46144.75101851852</v>
      </c>
      <c r="BK1650" s="4">
        <v>44762.41006944444</v>
      </c>
      <c r="BL1650" t="inlineStr">
        <is>
          <t>0.0</t>
        </is>
      </c>
      <c r="BM1650" t="inlineStr">
        <is>
          <t>600.0</t>
        </is>
      </c>
      <c r="BN1650" t="inlineStr">
        <is>
          <t>View Jobmanager Page</t>
        </is>
      </c>
      <c r="BO1650" s="4">
        <v>45468.70196759259</v>
      </c>
      <c r="BP1650">
        <v>167238</v>
      </c>
      <c r="BQ1650">
        <v>63329</v>
      </c>
      <c r="BR1650" t="inlineStr">
        <is>
          <t>Online</t>
        </is>
      </c>
      <c r="BS1650"/>
      <c r="BT1650">
        <v>63329</v>
      </c>
      <c r="BU1650"/>
      <c r="BV1650">
        <v>2735514</v>
      </c>
      <c r="BW1650" t="inlineStr">
        <is>
          <t>No Answer : Voicemail - WA sent to customer</t>
        </is>
      </c>
      <c r="BX1650"/>
      <c r="BY1650"/>
      <c r="BZ1650" s="4"/>
      <c r="CA1650"/>
      <c r="CB1650"/>
      <c r="CC1650" s="4"/>
      <c r="CD1650" t="inlineStr">
        <is>
          <t>5</t>
        </is>
      </c>
      <c r="CE1650" t="inlineStr">
        <is>
          <t>0</t>
        </is>
      </c>
      <c r="CF1650" t="inlineStr">
        <is>
          <t>Q2-W02</t>
        </is>
      </c>
      <c r="CG1650"/>
      <c r="CH1650"/>
      <c r="CI1650"/>
      <c r="CJ1650" t="inlineStr">
        <is>
          <t>Paid</t>
        </is>
      </c>
      <c r="CK1650" t="inlineStr">
        <is>
          <t>Not Eligible</t>
        </is>
      </c>
      <c r="CL1650"/>
      <c r="CM1650"/>
    </row>
    <row r="1651" ht="25.5" customHeight="1">
      <c r="A1651" t="inlineStr">
        <is>
          <t>18443</t>
        </is>
      </c>
      <c r="B1651" s="2"/>
      <c r="C1651"/>
      <c r="D1651" s="3">
        <v>46127.68759259259</v>
      </c>
      <c r="E1651" t="inlineStr">
        <is>
          <t>Q2-W02</t>
        </is>
      </c>
      <c r="F1651" t="inlineStr">
        <is>
          <t>Xin Hui</t>
        </is>
      </c>
      <c r="G1651" t="inlineStr">
        <is>
          <t>Customer</t>
        </is>
      </c>
      <c r="H1651" s="2" t="str">
        <f>=HYPERLINK("https://upbox.ajobthing.my/customer/18443", "https://upbox.ajobthing.my/customer/18443")</f>
        <v>https://upbox.ajobthing.my/customer/18443</v>
      </c>
      <c r="I1651" t="inlineStr">
        <is>
          <t>Southern University College</t>
        </is>
      </c>
      <c r="J1651" t="inlineStr">
        <is>
          <t>Dolphin</t>
        </is>
      </c>
      <c r="K1651" t="inlineStr">
        <is>
          <t>Xin Hui</t>
        </is>
      </c>
      <c r="L1651" s="4"/>
      <c r="M1651" s="4">
        <v>46126.71680555555</v>
      </c>
      <c r="N1651"/>
      <c r="O1651">
        <v>3888</v>
      </c>
      <c r="P1651" s="4"/>
      <c r="Q1651" s="4"/>
      <c r="R1651"/>
      <c r="S1651"/>
      <c r="T1651" s="4"/>
      <c r="U1651" s="4"/>
      <c r="V1651"/>
      <c r="W1651"/>
      <c r="X1651"/>
      <c r="Y1651" t="inlineStr">
        <is>
          <t>Pending Appointment</t>
        </is>
      </c>
      <c r="Z1651" t="inlineStr">
        <is>
          <t>Hiring Now</t>
        </is>
      </c>
      <c r="AA1651">
        <v>2</v>
      </c>
      <c r="AB1651" t="inlineStr">
        <is>
          <t>No Appointment Made</t>
        </is>
      </c>
      <c r="AC1651"/>
      <c r="AD1651" t="inlineStr">
        <is>
          <t xml:space="preserve">1 lecturer / 1 admin </t>
        </is>
      </c>
      <c r="AE1651"/>
      <c r="AF1651"/>
      <c r="AG1651" s="4"/>
      <c r="AH1651" s="4"/>
      <c r="AI1651"/>
      <c r="AJ1651"/>
      <c r="AK1651" t="inlineStr">
        <is>
          <t>No, I don't need at all</t>
        </is>
      </c>
      <c r="AL1651"/>
      <c r="AM1651" t="inlineStr">
        <is>
          <t>No, I don't need at all</t>
        </is>
      </c>
      <c r="AN1651"/>
      <c r="AO1651" t="inlineStr">
        <is>
          <t>No, I don't need at all</t>
        </is>
      </c>
      <c r="AP1651"/>
      <c r="AQ1651"/>
      <c r="AR1651" t="inlineStr">
        <is>
          <t>Jobstreet</t>
        </is>
      </c>
      <c r="AS1651" t="inlineStr">
        <is>
          <t>- Headcount: 2
- Hiring Job Details: 1 lecturer / 1 admin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Not specified
- External job portal: Jobstreet</t>
        </is>
      </c>
      <c r="AT1651">
        <v>95</v>
      </c>
      <c r="AU1651" t="inlineStr">
        <is>
          <t>0.95</t>
        </is>
      </c>
      <c r="AV1651" t="inlineStr">
        <is>
          <t>5</t>
        </is>
      </c>
      <c r="AW1651" t="inlineStr">
        <is>
          <t>0</t>
        </is>
      </c>
      <c r="AX1651" t="inlineStr">
        <is>
          <t>Not Qualified</t>
        </is>
      </c>
      <c r="AY1651" s="4"/>
      <c r="AZ1651"/>
      <c r="BA1651"/>
      <c r="BB1651"/>
      <c r="BC1651" t="inlineStr">
        <is>
          <t>prefer jobstreet / linkedln , maybe future can try , but not now</t>
        </is>
      </c>
      <c r="BD1651" s="4">
        <v>46133.65641203704</v>
      </c>
      <c r="BE1651"/>
      <c r="BF1651"/>
      <c r="BG1651" t="inlineStr">
        <is>
          <t>Reschedule</t>
        </is>
      </c>
      <c r="BH1651" t="inlineStr">
        <is>
          <t>Yee Hang</t>
        </is>
      </c>
      <c r="BI1651" t="inlineStr">
        <is>
          <t>Education / Training</t>
        </is>
      </c>
      <c r="BJ1651" s="4">
        <v>46144.75199074074</v>
      </c>
      <c r="BK1651" s="4">
        <v>42478.856620370374</v>
      </c>
      <c r="BL1651" t="inlineStr">
        <is>
          <t>0.0</t>
        </is>
      </c>
      <c r="BM1651" t="inlineStr">
        <is>
          <t>1800.0</t>
        </is>
      </c>
      <c r="BN1651" t="inlineStr">
        <is>
          <t>View Company Page</t>
        </is>
      </c>
      <c r="BO1651" s="4">
        <v>45848.680231481485</v>
      </c>
      <c r="BP1651">
        <v>167044</v>
      </c>
      <c r="BQ1651"/>
      <c r="BR1651"/>
      <c r="BS1651"/>
      <c r="BT1651"/>
      <c r="BU1651"/>
      <c r="BV1651">
        <v>2718618</v>
      </c>
      <c r="BW1651" t="inlineStr">
        <is>
          <t>Follow Up : Lost - Paid Portal</t>
        </is>
      </c>
      <c r="BX1651"/>
      <c r="BY1651"/>
      <c r="BZ1651" s="4"/>
      <c r="CA1651"/>
      <c r="CB1651"/>
      <c r="CC1651" s="4"/>
      <c r="CD1651" t="inlineStr">
        <is>
          <t>5</t>
        </is>
      </c>
      <c r="CE1651" t="inlineStr">
        <is>
          <t>0</t>
        </is>
      </c>
      <c r="CF1651" t="inlineStr">
        <is>
          <t>Q2-W02</t>
        </is>
      </c>
      <c r="CG1651"/>
      <c r="CH1651"/>
      <c r="CI1651"/>
      <c r="CJ1651" t="inlineStr">
        <is>
          <t>No Paid</t>
        </is>
      </c>
      <c r="CK1651" t="inlineStr">
        <is>
          <t>Not Eligible</t>
        </is>
      </c>
      <c r="CL1651"/>
      <c r="CM1651"/>
    </row>
    <row r="1652" ht="25.5" customHeight="1">
      <c r="A1652" t="inlineStr">
        <is>
          <t>157405</t>
        </is>
      </c>
      <c r="B1652" s="2"/>
      <c r="C1652"/>
      <c r="D1652" s="3">
        <v>46127.69347222222</v>
      </c>
      <c r="E1652" t="inlineStr">
        <is>
          <t>Q2-W02</t>
        </is>
      </c>
      <c r="F1652" t="inlineStr">
        <is>
          <t>Dickson</t>
        </is>
      </c>
      <c r="G1652" t="inlineStr">
        <is>
          <t>Customer</t>
        </is>
      </c>
      <c r="H1652" s="2" t="str">
        <f>=HYPERLINK("https://upbox.ajobthing.my/customer/157405", "https://upbox.ajobthing.my/customer/157405")</f>
        <v>https://upbox.ajobthing.my/customer/157405</v>
      </c>
      <c r="I1652" t="inlineStr">
        <is>
          <t>OSB International Marketing Sdn Bhd</t>
        </is>
      </c>
      <c r="J1652" t="inlineStr">
        <is>
          <t>Dolphin</t>
        </is>
      </c>
      <c r="K1652" t="inlineStr">
        <is>
          <t>Dickson</t>
        </is>
      </c>
      <c r="L1652" s="4"/>
      <c r="M1652" s="4">
        <v>46127.693564814814</v>
      </c>
      <c r="N1652"/>
      <c r="O1652">
        <v>1296</v>
      </c>
      <c r="P1652" s="4"/>
      <c r="Q1652" s="4">
        <v>44767.5771875</v>
      </c>
      <c r="R1652"/>
      <c r="S1652">
        <v>0</v>
      </c>
      <c r="T1652" s="4">
        <v>44767.00001157408</v>
      </c>
      <c r="U1652" s="4"/>
      <c r="V1652"/>
      <c r="W1652">
        <v>1590</v>
      </c>
      <c r="X1652"/>
      <c r="Y1652" t="inlineStr">
        <is>
          <t>Pending Appointment</t>
        </is>
      </c>
      <c r="Z1652" t="inlineStr">
        <is>
          <t>Hiring Now</t>
        </is>
      </c>
      <c r="AA1652">
        <v>2</v>
      </c>
      <c r="AB1652" t="inlineStr">
        <is>
          <t>No Appointment Made</t>
        </is>
      </c>
      <c r="AC1652"/>
      <c r="AD1652" t="inlineStr">
        <is>
          <t>2 graphic designers</t>
        </is>
      </c>
      <c r="AE1652"/>
      <c r="AF1652"/>
      <c r="AG1652" s="4"/>
      <c r="AH1652" s="4"/>
      <c r="AI1652"/>
      <c r="AJ1652">
        <v>1</v>
      </c>
      <c r="AK1652" t="inlineStr">
        <is>
          <t>No, I don't need at all</t>
        </is>
      </c>
      <c r="AL1652"/>
      <c r="AM1652" t="inlineStr">
        <is>
          <t>No, I don't need at all</t>
        </is>
      </c>
      <c r="AN1652"/>
      <c r="AO1652" t="inlineStr">
        <is>
          <t>No, I don't need at all</t>
        </is>
      </c>
      <c r="AP1652" t="inlineStr">
        <is>
          <t>Once per quarter (75%)</t>
        </is>
      </c>
      <c r="AQ1652"/>
      <c r="AR1652"/>
      <c r="AS1652" t="inlineStr">
        <is>
          <t>- Headcount: 2
- Hiring Job Details: 2 graphic designers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1652">
        <v>95</v>
      </c>
      <c r="AU1652" t="inlineStr">
        <is>
          <t>0.95</t>
        </is>
      </c>
      <c r="AV1652" t="inlineStr">
        <is>
          <t>5</t>
        </is>
      </c>
      <c r="AW1652" t="inlineStr">
        <is>
          <t>0</t>
        </is>
      </c>
      <c r="AX1652" t="inlineStr">
        <is>
          <t>Not Qualified</t>
        </is>
      </c>
      <c r="AY1652" s="4"/>
      <c r="AZ1652"/>
      <c r="BA1652"/>
      <c r="BB1652"/>
      <c r="BC1652" t="inlineStr">
        <is>
          <t>- Headcount: 2
- Hiring Job Details: 2 graphic designers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BD1652" s="4">
        <v>46127.7084837963</v>
      </c>
      <c r="BE1652" t="inlineStr">
        <is>
          <t>paid</t>
        </is>
      </c>
      <c r="BF1652"/>
      <c r="BG1652" t="inlineStr">
        <is>
          <t>Reschedule</t>
        </is>
      </c>
      <c r="BH1652" t="inlineStr">
        <is>
          <t>Edward Hoo</t>
        </is>
      </c>
      <c r="BI1652" t="inlineStr">
        <is>
          <t>Printing / Publishing</t>
        </is>
      </c>
      <c r="BJ1652" s="4">
        <v>46144.75101851852</v>
      </c>
      <c r="BK1652" s="4">
        <v>44762.730625</v>
      </c>
      <c r="BL1652" t="inlineStr">
        <is>
          <t>0.0</t>
        </is>
      </c>
      <c r="BM1652" t="inlineStr">
        <is>
          <t>600.0</t>
        </is>
      </c>
      <c r="BN1652" t="inlineStr">
        <is>
          <t>View Jobmanager Page</t>
        </is>
      </c>
      <c r="BO1652" s="4">
        <v>45027.37368055555</v>
      </c>
      <c r="BP1652">
        <v>167242</v>
      </c>
      <c r="BQ1652">
        <v>63821</v>
      </c>
      <c r="BR1652" t="inlineStr">
        <is>
          <t>Proforma</t>
        </is>
      </c>
      <c r="BS1652" t="inlineStr">
        <is>
          <t>People Search - Package 50 Ruby</t>
        </is>
      </c>
      <c r="BT1652">
        <v>48209</v>
      </c>
      <c r="BU1652"/>
      <c r="BV1652">
        <v>2706732</v>
      </c>
      <c r="BW1652" t="inlineStr">
        <is>
          <t>Customer Inquiry</t>
        </is>
      </c>
      <c r="BX1652"/>
      <c r="BY1652"/>
      <c r="BZ1652" s="4"/>
      <c r="CA1652"/>
      <c r="CB1652"/>
      <c r="CC1652" s="4"/>
      <c r="CD1652" t="inlineStr">
        <is>
          <t>5</t>
        </is>
      </c>
      <c r="CE1652" t="inlineStr">
        <is>
          <t>0</t>
        </is>
      </c>
      <c r="CF1652" t="inlineStr">
        <is>
          <t>Q2-W02</t>
        </is>
      </c>
      <c r="CG1652"/>
      <c r="CH1652"/>
      <c r="CI1652"/>
      <c r="CJ1652" t="inlineStr">
        <is>
          <t>Paid</t>
        </is>
      </c>
      <c r="CK1652" t="inlineStr">
        <is>
          <t>Not Eligible</t>
        </is>
      </c>
      <c r="CL1652"/>
      <c r="CM1652"/>
    </row>
    <row r="1653" ht="25.5" customHeight="1">
      <c r="A1653" t="inlineStr">
        <is>
          <t>129919</t>
        </is>
      </c>
      <c r="B1653" s="2"/>
      <c r="C1653"/>
      <c r="D1653" s="3">
        <v>46127.727118055554</v>
      </c>
      <c r="E1653" t="inlineStr">
        <is>
          <t>Q2-W02</t>
        </is>
      </c>
      <c r="F1653" t="inlineStr">
        <is>
          <t>Josh</t>
        </is>
      </c>
      <c r="G1653" t="inlineStr">
        <is>
          <t>Customer</t>
        </is>
      </c>
      <c r="H1653" s="2" t="str">
        <f>=HYPERLINK("https://upbox.ajobthing.my/customer/129919", "https://upbox.ajobthing.my/customer/129919")</f>
        <v>https://upbox.ajobthing.my/customer/129919</v>
      </c>
      <c r="I1653" t="inlineStr">
        <is>
          <t>Amerseal Industrial Sdn Bhd</t>
        </is>
      </c>
      <c r="J1653" t="inlineStr">
        <is>
          <t>Dolphin</t>
        </is>
      </c>
      <c r="K1653" t="inlineStr">
        <is>
          <t>Josh</t>
        </is>
      </c>
      <c r="L1653" s="4"/>
      <c r="M1653" s="4">
        <v>46127.727268518516</v>
      </c>
      <c r="N1653"/>
      <c r="O1653">
        <v>6048</v>
      </c>
      <c r="P1653" s="4"/>
      <c r="Q1653" s="4"/>
      <c r="R1653"/>
      <c r="S1653"/>
      <c r="T1653" s="4"/>
      <c r="U1653" s="4"/>
      <c r="V1653"/>
      <c r="W1653"/>
      <c r="X1653"/>
      <c r="Y1653" t="inlineStr">
        <is>
          <t>Pending Appointment</t>
        </is>
      </c>
      <c r="Z1653" t="inlineStr">
        <is>
          <t>Hiring Later</t>
        </is>
      </c>
      <c r="AA1653">
        <v>1</v>
      </c>
      <c r="AB1653" t="inlineStr">
        <is>
          <t>No Appointment Made</t>
        </is>
      </c>
      <c r="AC1653"/>
      <c r="AD1653" t="inlineStr">
        <is>
          <t xml:space="preserve">1 engineering </t>
        </is>
      </c>
      <c r="AE1653"/>
      <c r="AF1653">
        <v>3000</v>
      </c>
      <c r="AG1653" s="4"/>
      <c r="AH1653" s="4"/>
      <c r="AI1653"/>
      <c r="AJ1653"/>
      <c r="AK1653" t="inlineStr">
        <is>
          <t>Yes, I have</t>
        </is>
      </c>
      <c r="AL1653"/>
      <c r="AM1653"/>
      <c r="AN1653"/>
      <c r="AO1653"/>
      <c r="AP1653" t="inlineStr">
        <is>
          <t>Once a year (25%)</t>
        </is>
      </c>
      <c r="AQ1653"/>
      <c r="AR1653"/>
      <c r="AS1653" t="inlineStr">
        <is>
          <t>- Headcount: 1
- Hiring Job Details: 1 engineering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1653">
        <v>75</v>
      </c>
      <c r="AU1653" t="inlineStr">
        <is>
          <t>0.75</t>
        </is>
      </c>
      <c r="AV1653" t="inlineStr">
        <is>
          <t>15</t>
        </is>
      </c>
      <c r="AW1653" t="inlineStr">
        <is>
          <t>0</t>
        </is>
      </c>
      <c r="AX1653" t="inlineStr">
        <is>
          <t>Not Qualified</t>
        </is>
      </c>
      <c r="AY1653" s="4"/>
      <c r="AZ1653"/>
      <c r="BA1653"/>
      <c r="BB1653"/>
      <c r="BC1653" t="inlineStr">
        <is>
          <t>npu</t>
        </is>
      </c>
      <c r="BD1653" s="4">
        <v>46139.68806712963</v>
      </c>
      <c r="BE1653"/>
      <c r="BF1653"/>
      <c r="BG1653" t="inlineStr">
        <is>
          <t>Reschedule</t>
        </is>
      </c>
      <c r="BH1653" t="inlineStr">
        <is>
          <t>Fauziah Maharan</t>
        </is>
      </c>
      <c r="BI1653" t="inlineStr">
        <is>
          <t>Manufacturing / Production</t>
        </is>
      </c>
      <c r="BJ1653" s="4">
        <v>46144.750451388885</v>
      </c>
      <c r="BK1653" s="4">
        <v>44089.68545138889</v>
      </c>
      <c r="BL1653" t="inlineStr">
        <is>
          <t>0.0</t>
        </is>
      </c>
      <c r="BM1653" t="inlineStr">
        <is>
          <t>3600.0</t>
        </is>
      </c>
      <c r="BN1653" t="inlineStr">
        <is>
          <t>View Jobmanager Page</t>
        </is>
      </c>
      <c r="BO1653" s="4">
        <v>46121.62684027778</v>
      </c>
      <c r="BP1653">
        <v>167256</v>
      </c>
      <c r="BQ1653"/>
      <c r="BR1653"/>
      <c r="BS1653"/>
      <c r="BT1653"/>
      <c r="BU1653"/>
      <c r="BV1653">
        <v>2731046</v>
      </c>
      <c r="BW1653" t="inlineStr">
        <is>
          <t>No Answer : Voicemail - WA sent to customer</t>
        </is>
      </c>
      <c r="BX1653"/>
      <c r="BY1653"/>
      <c r="BZ1653" s="4"/>
      <c r="CA1653"/>
      <c r="CB1653"/>
      <c r="CC1653" s="4"/>
      <c r="CD1653" t="inlineStr">
        <is>
          <t>20</t>
        </is>
      </c>
      <c r="CE1653" t="inlineStr">
        <is>
          <t>0</t>
        </is>
      </c>
      <c r="CF1653" t="inlineStr">
        <is>
          <t>Q2-W02</t>
        </is>
      </c>
      <c r="CG1653"/>
      <c r="CH1653"/>
      <c r="CI1653"/>
      <c r="CJ1653" t="inlineStr">
        <is>
          <t>No Paid</t>
        </is>
      </c>
      <c r="CK1653" t="inlineStr">
        <is>
          <t>Not Eligible</t>
        </is>
      </c>
      <c r="CL1653"/>
      <c r="CM1653"/>
    </row>
    <row r="1654" ht="25.5" customHeight="1">
      <c r="A1654" t="inlineStr">
        <is>
          <t>200561</t>
        </is>
      </c>
      <c r="B1654" s="2"/>
      <c r="C1654"/>
      <c r="D1654" s="3">
        <v>46127.75315972222</v>
      </c>
      <c r="E1654" t="inlineStr">
        <is>
          <t>Q2-W02</t>
        </is>
      </c>
      <c r="F1654" t="inlineStr">
        <is>
          <t>Janice Yap</t>
        </is>
      </c>
      <c r="G1654" t="inlineStr">
        <is>
          <t>Customer</t>
        </is>
      </c>
      <c r="H1654" s="2" t="str">
        <f>=HYPERLINK("https://upbox.ajobthing.my/customer/200561", "https://upbox.ajobthing.my/customer/200561")</f>
        <v>https://upbox.ajobthing.my/customer/200561</v>
      </c>
      <c r="I1654" t="inlineStr">
        <is>
          <t>Tik Tok Trading Sdn Bhd</t>
        </is>
      </c>
      <c r="J1654" t="inlineStr">
        <is>
          <t>Dolphin</t>
        </is>
      </c>
      <c r="K1654" t="inlineStr">
        <is>
          <t>Janice</t>
        </is>
      </c>
      <c r="L1654" s="4"/>
      <c r="M1654" s="4">
        <v>46127.7515162037</v>
      </c>
      <c r="N1654"/>
      <c r="O1654">
        <v>6048</v>
      </c>
      <c r="P1654" s="4"/>
      <c r="Q1654" s="4">
        <v>46044.476539351854</v>
      </c>
      <c r="R1654"/>
      <c r="S1654">
        <v>0</v>
      </c>
      <c r="T1654" s="4"/>
      <c r="U1654" s="4"/>
      <c r="V1654"/>
      <c r="W1654"/>
      <c r="X1654"/>
      <c r="Y1654" t="inlineStr">
        <is>
          <t>Pending Appointment</t>
        </is>
      </c>
      <c r="Z1654" t="inlineStr">
        <is>
          <t>Hiring Now</t>
        </is>
      </c>
      <c r="AA1654">
        <v>3</v>
      </c>
      <c r="AB1654" t="inlineStr">
        <is>
          <t>No Appointment Made</t>
        </is>
      </c>
      <c r="AC1654"/>
      <c r="AD1654" t="inlineStr">
        <is>
          <t>2 admin // 1 retail assist</t>
        </is>
      </c>
      <c r="AE1654"/>
      <c r="AF1654">
        <v>0</v>
      </c>
      <c r="AG1654" s="4"/>
      <c r="AH1654" s="4"/>
      <c r="AI1654">
        <v>0</v>
      </c>
      <c r="AJ1654"/>
      <c r="AK1654" t="inlineStr">
        <is>
          <t>No, I don't need at all</t>
        </is>
      </c>
      <c r="AL1654">
        <v>0</v>
      </c>
      <c r="AM1654" t="inlineStr">
        <is>
          <t>No, I don't need at all</t>
        </is>
      </c>
      <c r="AN1654"/>
      <c r="AO1654" t="inlineStr">
        <is>
          <t>No, I don't need at all</t>
        </is>
      </c>
      <c r="AP1654" t="inlineStr">
        <is>
          <t>Once a year (25%)</t>
        </is>
      </c>
      <c r="AQ1654">
        <v>3</v>
      </c>
      <c r="AR1654" t="inlineStr">
        <is>
          <t>Jobstreet</t>
        </is>
      </c>
      <c r="AS1654" t="inlineStr">
        <is>
          <t>- Headcount: 3
- Hiring Job Details: 2 admin // 1 retail assist
- Number of outlets: N/A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Jobstreet
- Hiring Urgency: Hiring Now</t>
        </is>
      </c>
      <c r="AT1654">
        <v>100</v>
      </c>
      <c r="AU1654" t="inlineStr">
        <is>
          <t>1.00</t>
        </is>
      </c>
      <c r="AV1654" t="inlineStr">
        <is>
          <t>15</t>
        </is>
      </c>
      <c r="AW1654" t="inlineStr">
        <is>
          <t>0</t>
        </is>
      </c>
      <c r="AX1654" t="inlineStr">
        <is>
          <t>Not Qualified</t>
        </is>
      </c>
      <c r="AY1654" s="4"/>
      <c r="AZ1654"/>
      <c r="BA1654"/>
      <c r="BB1654"/>
      <c r="BC1654" t="inlineStr">
        <is>
          <t>No need post job atm // on hold position // lost</t>
        </is>
      </c>
      <c r="BD1654" s="4">
        <v>46129.49506944444</v>
      </c>
      <c r="BE1654" t="inlineStr">
        <is>
          <t>paid</t>
        </is>
      </c>
      <c r="BF1654"/>
      <c r="BG1654" t="inlineStr">
        <is>
          <t>Reschedule</t>
        </is>
      </c>
      <c r="BH1654" t="inlineStr">
        <is>
          <t>Yee Hang</t>
        </is>
      </c>
      <c r="BI1654"/>
      <c r="BJ1654" s="4">
        <v>46144.753599537034</v>
      </c>
      <c r="BK1654" s="4">
        <v>46044.476319444446</v>
      </c>
      <c r="BL1654" t="inlineStr">
        <is>
          <t>0.0</t>
        </is>
      </c>
      <c r="BM1654" t="inlineStr">
        <is>
          <t>1200.0</t>
        </is>
      </c>
      <c r="BN1654" t="inlineStr">
        <is>
          <t>View Company Page</t>
        </is>
      </c>
      <c r="BO1654" s="4">
        <v>46098.6637962963</v>
      </c>
      <c r="BP1654">
        <v>167266</v>
      </c>
      <c r="BQ1654">
        <v>114241</v>
      </c>
      <c r="BR1654" t="inlineStr">
        <is>
          <t>Proforma</t>
        </is>
      </c>
      <c r="BS1654" t="inlineStr">
        <is>
          <t>Free Internship Job</t>
        </is>
      </c>
      <c r="BT1654"/>
      <c r="BU1654"/>
      <c r="BV1654">
        <v>2711681</v>
      </c>
      <c r="BW1654" t="inlineStr">
        <is>
          <t>Follow Up : Budget Concern</t>
        </is>
      </c>
      <c r="BX1654"/>
      <c r="BY1654"/>
      <c r="BZ1654" s="4"/>
      <c r="CA1654"/>
      <c r="CB1654"/>
      <c r="CC1654" s="4"/>
      <c r="CD1654" t="inlineStr">
        <is>
          <t>20</t>
        </is>
      </c>
      <c r="CE1654" t="inlineStr">
        <is>
          <t>0</t>
        </is>
      </c>
      <c r="CF1654" t="inlineStr">
        <is>
          <t>Q2-W02</t>
        </is>
      </c>
      <c r="CG1654" t="inlineStr">
        <is>
          <t>Q1-W03</t>
        </is>
      </c>
      <c r="CH1654"/>
      <c r="CI1654"/>
      <c r="CJ1654" t="inlineStr">
        <is>
          <t>No Paid</t>
        </is>
      </c>
      <c r="CK1654" t="inlineStr">
        <is>
          <t>Not Eligible</t>
        </is>
      </c>
      <c r="CL1654"/>
      <c r="CM1654"/>
    </row>
    <row r="1655" ht="25.5" customHeight="1">
      <c r="A1655" t="inlineStr">
        <is>
          <t>196477</t>
        </is>
      </c>
      <c r="B1655" s="2"/>
      <c r="C1655"/>
      <c r="D1655" s="3">
        <v>46127.76524305555</v>
      </c>
      <c r="E1655" t="inlineStr">
        <is>
          <t>Q2-W02</t>
        </is>
      </c>
      <c r="F1655" t="inlineStr">
        <is>
          <t>Alan KY</t>
        </is>
      </c>
      <c r="G1655" t="inlineStr">
        <is>
          <t>Customer</t>
        </is>
      </c>
      <c r="H1655" s="2" t="str">
        <f>=HYPERLINK("https://upbox.ajobthing.my/customer/196477", "https://upbox.ajobthing.my/customer/196477")</f>
        <v>https://upbox.ajobthing.my/customer/196477</v>
      </c>
      <c r="I1655" t="inlineStr">
        <is>
          <t>Bumi Fasiliti Sdn.Bhd</t>
        </is>
      </c>
      <c r="J1655" t="inlineStr">
        <is>
          <t>Dolphin</t>
        </is>
      </c>
      <c r="K1655" t="inlineStr">
        <is>
          <t>Alan KY</t>
        </is>
      </c>
      <c r="L1655" s="4"/>
      <c r="M1655" s="4">
        <v>46128.398460648146</v>
      </c>
      <c r="N1655"/>
      <c r="O1655">
        <v>5508</v>
      </c>
      <c r="P1655" s="4"/>
      <c r="Q1655" s="4"/>
      <c r="R1655"/>
      <c r="S1655"/>
      <c r="T1655" s="4"/>
      <c r="U1655" s="4"/>
      <c r="V1655"/>
      <c r="W1655"/>
      <c r="X1655"/>
      <c r="Y1655" t="inlineStr">
        <is>
          <t>Pending Appointment</t>
        </is>
      </c>
      <c r="Z1655" t="inlineStr">
        <is>
          <t>Hiring Now</t>
        </is>
      </c>
      <c r="AA1655">
        <v>4</v>
      </c>
      <c r="AB1655" t="inlineStr">
        <is>
          <t>No Appointment Made</t>
        </is>
      </c>
      <c r="AC1655"/>
      <c r="AD1655" t="inlineStr">
        <is>
          <t xml:space="preserve">1 admin 3 technician , in Selangor </t>
        </is>
      </c>
      <c r="AE1655"/>
      <c r="AF1655"/>
      <c r="AG1655" s="4"/>
      <c r="AH1655" s="4"/>
      <c r="AI1655"/>
      <c r="AJ1655"/>
      <c r="AK1655" t="inlineStr">
        <is>
          <t>No, I don't need at all</t>
        </is>
      </c>
      <c r="AL1655"/>
      <c r="AM1655" t="inlineStr">
        <is>
          <t>No, I don't need at all</t>
        </is>
      </c>
      <c r="AN1655"/>
      <c r="AO1655" t="inlineStr">
        <is>
          <t>No, I don't need at all</t>
        </is>
      </c>
      <c r="AP1655" t="inlineStr">
        <is>
          <t>Once per quarter (75%)</t>
        </is>
      </c>
      <c r="AQ1655"/>
      <c r="AR1655" t="inlineStr">
        <is>
          <t>Jobstreet</t>
        </is>
      </c>
      <c r="AS1655" t="inlineStr">
        <is>
          <t>- Headcount: 4
- Hiring Job Details: 1 admin, 3 technicians, in Selangor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655">
        <v>95</v>
      </c>
      <c r="AU1655" t="inlineStr">
        <is>
          <t>0.95</t>
        </is>
      </c>
      <c r="AV1655" t="inlineStr">
        <is>
          <t>5</t>
        </is>
      </c>
      <c r="AW1655" t="inlineStr">
        <is>
          <t>0</t>
        </is>
      </c>
      <c r="AX1655" t="inlineStr">
        <is>
          <t>Not Qualified</t>
        </is>
      </c>
      <c r="AY1655" s="4"/>
      <c r="AZ1655"/>
      <c r="BA1655"/>
      <c r="BB1655"/>
      <c r="BC1655" t="inlineStr">
        <is>
          <t>Still in review, havent finalized</t>
        </is>
      </c>
      <c r="BD1655" s="4">
        <v>46136.742939814816</v>
      </c>
      <c r="BE1655"/>
      <c r="BF1655"/>
      <c r="BG1655" t="inlineStr">
        <is>
          <t>Reschedule</t>
        </is>
      </c>
      <c r="BH1655" t="inlineStr">
        <is>
          <t>Reagen</t>
        </is>
      </c>
      <c r="BI1655" t="inlineStr">
        <is>
          <t>Repair / Maintenance</t>
        </is>
      </c>
      <c r="BJ1655" s="4">
        <v>46144.75283564815</v>
      </c>
      <c r="BK1655" s="4">
        <v>45924.45018518518</v>
      </c>
      <c r="BL1655" t="inlineStr">
        <is>
          <t>0.0</t>
        </is>
      </c>
      <c r="BM1655" t="inlineStr">
        <is>
          <t>300.0</t>
        </is>
      </c>
      <c r="BN1655" t="inlineStr">
        <is>
          <t>View Jobmanager Page</t>
        </is>
      </c>
      <c r="BO1655" s="4">
        <v>45925.39026620371</v>
      </c>
      <c r="BP1655">
        <v>167280</v>
      </c>
      <c r="BQ1655"/>
      <c r="BR1655"/>
      <c r="BS1655"/>
      <c r="BT1655"/>
      <c r="BU1655"/>
      <c r="BV1655">
        <v>2727454</v>
      </c>
      <c r="BW1655" t="inlineStr">
        <is>
          <t>Follow Up : Decision Pending</t>
        </is>
      </c>
      <c r="BX1655"/>
      <c r="BY1655"/>
      <c r="BZ1655" s="4"/>
      <c r="CA1655"/>
      <c r="CB1655"/>
      <c r="CC1655" s="4"/>
      <c r="CD1655" t="inlineStr">
        <is>
          <t>5</t>
        </is>
      </c>
      <c r="CE1655" t="inlineStr">
        <is>
          <t>0</t>
        </is>
      </c>
      <c r="CF1655" t="inlineStr">
        <is>
          <t>Q2-W02</t>
        </is>
      </c>
      <c r="CG1655"/>
      <c r="CH1655"/>
      <c r="CI1655"/>
      <c r="CJ1655" t="inlineStr">
        <is>
          <t>No Paid</t>
        </is>
      </c>
      <c r="CK1655" t="inlineStr">
        <is>
          <t>Not Eligible</t>
        </is>
      </c>
      <c r="CL1655"/>
      <c r="CM1655"/>
    </row>
    <row r="1656" ht="25.5" customHeight="1">
      <c r="A1656" t="inlineStr">
        <is>
          <t>130282</t>
        </is>
      </c>
      <c r="B1656" s="2"/>
      <c r="C1656"/>
      <c r="D1656" s="3">
        <v>46128.393483796295</v>
      </c>
      <c r="E1656" t="inlineStr">
        <is>
          <t>Q2-W02</t>
        </is>
      </c>
      <c r="F1656" t="inlineStr">
        <is>
          <t>Clover</t>
        </is>
      </c>
      <c r="G1656" t="inlineStr">
        <is>
          <t>Customer</t>
        </is>
      </c>
      <c r="H1656" s="2" t="str">
        <f>=HYPERLINK("https://upbox.ajobthing.my/customer/130282", "https://upbox.ajobthing.my/customer/130282")</f>
        <v>https://upbox.ajobthing.my/customer/130282</v>
      </c>
      <c r="I1656" t="inlineStr">
        <is>
          <t>Ideal Beauty Alliance Sdn Bhd</t>
        </is>
      </c>
      <c r="J1656" t="inlineStr">
        <is>
          <t>Dolphin</t>
        </is>
      </c>
      <c r="K1656" t="inlineStr">
        <is>
          <t>Clover</t>
        </is>
      </c>
      <c r="L1656" s="4"/>
      <c r="M1656" s="4">
        <v>46128.39402777778</v>
      </c>
      <c r="N1656"/>
      <c r="O1656">
        <v>3888</v>
      </c>
      <c r="P1656" s="4"/>
      <c r="Q1656" s="4">
        <v>45722.38638888889</v>
      </c>
      <c r="R1656"/>
      <c r="S1656">
        <v>3132</v>
      </c>
      <c r="T1656" s="4">
        <v>45722.38638888889</v>
      </c>
      <c r="U1656" s="4"/>
      <c r="V1656"/>
      <c r="W1656">
        <v>3132</v>
      </c>
      <c r="X1656"/>
      <c r="Y1656" t="inlineStr">
        <is>
          <t>Pending Appointment</t>
        </is>
      </c>
      <c r="Z1656" t="inlineStr">
        <is>
          <t>Hiring Now</t>
        </is>
      </c>
      <c r="AA1656">
        <v>2</v>
      </c>
      <c r="AB1656" t="inlineStr">
        <is>
          <t>No Appointment Made</t>
        </is>
      </c>
      <c r="AC1656"/>
      <c r="AD1656" t="inlineStr">
        <is>
          <t>Want to hire  social media marketing x1-2 chi. fresh grads,  PJ, Trading of cosmetics, suggest stand</t>
        </is>
      </c>
      <c r="AE1656"/>
      <c r="AF1656">
        <v>3000</v>
      </c>
      <c r="AG1656" s="4"/>
      <c r="AH1656" s="4"/>
      <c r="AI1656">
        <v>3000</v>
      </c>
      <c r="AJ1656">
        <v>1</v>
      </c>
      <c r="AK1656" t="inlineStr">
        <is>
          <t>No, but I want in future</t>
        </is>
      </c>
      <c r="AL1656">
        <v>1</v>
      </c>
      <c r="AM1656" t="inlineStr">
        <is>
          <t>No, but I want in future</t>
        </is>
      </c>
      <c r="AN1656"/>
      <c r="AO1656" t="inlineStr">
        <is>
          <t>No, but I want in future</t>
        </is>
      </c>
      <c r="AP1656" t="inlineStr">
        <is>
          <t>Once per quarter (75%)</t>
        </is>
      </c>
      <c r="AQ1656">
        <v>1</v>
      </c>
      <c r="AR1656" t="inlineStr">
        <is>
          <t>Did not use any job portal</t>
        </is>
      </c>
      <c r="AS1656" t="inlineStr">
        <is>
          <t>- Headcount: 2
- Hiring Job Details: 1-2 fresh grads for social media marketing (chi.), PJ location, cosmetics trading,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Once per quarter (75%)
- External job portal: Did not use any</t>
        </is>
      </c>
      <c r="AT1656">
        <v>110</v>
      </c>
      <c r="AU1656" t="inlineStr">
        <is>
          <t>1.10</t>
        </is>
      </c>
      <c r="AV1656" t="inlineStr">
        <is>
          <t>15</t>
        </is>
      </c>
      <c r="AW1656" t="inlineStr">
        <is>
          <t>0</t>
        </is>
      </c>
      <c r="AX1656" t="inlineStr">
        <is>
          <t>Not Qualified</t>
        </is>
      </c>
      <c r="AY1656" s="4"/>
      <c r="AZ1656"/>
      <c r="BA1656"/>
      <c r="BB1656"/>
      <c r="BC1656" t="inlineStr">
        <is>
          <t>- Headcount: 2
- Hiring Job Details: 1-2 fresh grads for social media marketing (chi.), PJ location, cosmetics trading,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Once per quarter (75%)
- External job portal: Did not use any</t>
        </is>
      </c>
      <c r="BD1656" s="4">
        <v>46128.41680555556</v>
      </c>
      <c r="BE1656" t="inlineStr">
        <is>
          <t>paid</t>
        </is>
      </c>
      <c r="BF1656"/>
      <c r="BG1656" t="inlineStr">
        <is>
          <t>Reschedule</t>
        </is>
      </c>
      <c r="BH1656" t="inlineStr">
        <is>
          <t>Reagen</t>
        </is>
      </c>
      <c r="BI1656" t="inlineStr">
        <is>
          <t>Consumer Products / FMCG</t>
        </is>
      </c>
      <c r="BJ1656" s="4">
        <v>46144.750451388885</v>
      </c>
      <c r="BK1656" s="4">
        <v>44098.64265046296</v>
      </c>
      <c r="BL1656" t="inlineStr">
        <is>
          <t>0.0</t>
        </is>
      </c>
      <c r="BM1656" t="inlineStr">
        <is>
          <t>0.0</t>
        </is>
      </c>
      <c r="BN1656" t="inlineStr">
        <is>
          <t>User Visit(Logged In)</t>
        </is>
      </c>
      <c r="BO1656" s="4">
        <v>46037.63814814815</v>
      </c>
      <c r="BP1656">
        <v>167275</v>
      </c>
      <c r="BQ1656">
        <v>77387</v>
      </c>
      <c r="BR1656" t="inlineStr">
        <is>
          <t>Online</t>
        </is>
      </c>
      <c r="BS1656"/>
      <c r="BT1656">
        <v>77387</v>
      </c>
      <c r="BU1656"/>
      <c r="BV1656">
        <v>2707844</v>
      </c>
      <c r="BW1656" t="inlineStr">
        <is>
          <t>Customer Inquiry</t>
        </is>
      </c>
      <c r="BX1656"/>
      <c r="BY1656"/>
      <c r="BZ1656" s="4"/>
      <c r="CA1656"/>
      <c r="CB1656"/>
      <c r="CC1656" s="4"/>
      <c r="CD1656" t="inlineStr">
        <is>
          <t>20</t>
        </is>
      </c>
      <c r="CE1656" t="inlineStr">
        <is>
          <t>0</t>
        </is>
      </c>
      <c r="CF1656" t="inlineStr">
        <is>
          <t>Q2-W02</t>
        </is>
      </c>
      <c r="CG1656"/>
      <c r="CH1656"/>
      <c r="CI1656"/>
      <c r="CJ1656" t="inlineStr">
        <is>
          <t>Paid</t>
        </is>
      </c>
      <c r="CK1656" t="inlineStr">
        <is>
          <t>Not Eligible</t>
        </is>
      </c>
      <c r="CL1656"/>
      <c r="CM1656"/>
    </row>
    <row r="1657" ht="25.5" customHeight="1">
      <c r="A1657" t="inlineStr">
        <is>
          <t>173742</t>
        </is>
      </c>
      <c r="B1657" s="2"/>
      <c r="C1657"/>
      <c r="D1657" s="3">
        <v>46128.39383101852</v>
      </c>
      <c r="E1657" t="inlineStr">
        <is>
          <t>Q2-W02</t>
        </is>
      </c>
      <c r="F1657" t="inlineStr">
        <is>
          <t>Chia Yee</t>
        </is>
      </c>
      <c r="G1657" t="inlineStr">
        <is>
          <t>Customer</t>
        </is>
      </c>
      <c r="H1657" s="2" t="str">
        <f>=HYPERLINK("https://upbox.ajobthing.my/customer/173742", "https://upbox.ajobthing.my/customer/173742")</f>
        <v>https://upbox.ajobthing.my/customer/173742</v>
      </c>
      <c r="I1657" t="inlineStr">
        <is>
          <t>ORC Risk Consulting Group Sdn Bhd</t>
        </is>
      </c>
      <c r="J1657" t="inlineStr">
        <is>
          <t>Dolphin</t>
        </is>
      </c>
      <c r="K1657" t="inlineStr">
        <is>
          <t>Chia Yee</t>
        </is>
      </c>
      <c r="L1657" s="4"/>
      <c r="M1657" s="4">
        <v>46134.61381944444</v>
      </c>
      <c r="N1657"/>
      <c r="O1657">
        <v>3672</v>
      </c>
      <c r="P1657" s="4"/>
      <c r="Q1657" s="4">
        <v>46141.628229166665</v>
      </c>
      <c r="R1657"/>
      <c r="S1657">
        <v>0</v>
      </c>
      <c r="T1657" s="4">
        <v>46140.58909722222</v>
      </c>
      <c r="U1657" s="4"/>
      <c r="V1657"/>
      <c r="W1657">
        <v>4968</v>
      </c>
      <c r="X1657"/>
      <c r="Y1657" t="inlineStr">
        <is>
          <t>Pending Appointment</t>
        </is>
      </c>
      <c r="Z1657" t="inlineStr">
        <is>
          <t>Hiring Now</t>
        </is>
      </c>
      <c r="AA1657">
        <v>2.5</v>
      </c>
      <c r="AB1657" t="inlineStr">
        <is>
          <t>No Appointment Made</t>
        </is>
      </c>
      <c r="AC1657"/>
      <c r="AD1657" t="inlineStr">
        <is>
          <t>2-3 Marketing executive</t>
        </is>
      </c>
      <c r="AE1657"/>
      <c r="AF1657">
        <v>1000</v>
      </c>
      <c r="AG1657" s="4"/>
      <c r="AH1657" s="4"/>
      <c r="AI1657">
        <v>2000</v>
      </c>
      <c r="AJ1657">
        <v>1</v>
      </c>
      <c r="AK1657" t="inlineStr">
        <is>
          <t>Yes, I have</t>
        </is>
      </c>
      <c r="AL1657">
        <v>1</v>
      </c>
      <c r="AM1657" t="inlineStr">
        <is>
          <t>No, I don't need at all</t>
        </is>
      </c>
      <c r="AN1657"/>
      <c r="AO1657" t="inlineStr">
        <is>
          <t>No, I don't need at all</t>
        </is>
      </c>
      <c r="AP1657" t="inlineStr">
        <is>
          <t>Once a year (25%)</t>
        </is>
      </c>
      <c r="AQ1657">
        <v>3</v>
      </c>
      <c r="AR1657" t="inlineStr">
        <is>
          <t>Did not use any job portal</t>
        </is>
      </c>
      <c r="AS1657" t="inlineStr">
        <is>
          <t>- Headcount: 2
- Hiring Job Details: 2-3 Marketing executive
- Hiring Urgency: Hiring Now
- Number of outlets: 1
- Have recruiter team: Yes
- Number of recruiter in company: 1
- Have ATS system: No, I don't need at all
- Have career website: No, I don't need at all
- Current hiring budget: RM1,000
- Whole year budget: RM2,000.00
- Whole year number of vacancies: 3
- Hiring frequency: Once a year (25%)
- External job portal: Did not use any job portal</t>
        </is>
      </c>
      <c r="AT1657">
        <v>110</v>
      </c>
      <c r="AU1657" t="inlineStr">
        <is>
          <t>1.10</t>
        </is>
      </c>
      <c r="AV1657" t="inlineStr">
        <is>
          <t>15</t>
        </is>
      </c>
      <c r="AW1657" t="inlineStr">
        <is>
          <t>0</t>
        </is>
      </c>
      <c r="AX1657" t="inlineStr">
        <is>
          <t>Not Qualified</t>
        </is>
      </c>
      <c r="AY1657" s="4"/>
      <c r="AZ1657"/>
      <c r="BA1657"/>
      <c r="BB1657"/>
      <c r="BC1657" t="inlineStr">
        <is>
          <t>WA payment slip</t>
        </is>
      </c>
      <c r="BD1657" s="4">
        <v>46140.48533564815</v>
      </c>
      <c r="BE1657" t="inlineStr">
        <is>
          <t>paid</t>
        </is>
      </c>
      <c r="BF1657" t="inlineStr">
        <is>
          <t>Q2-W04</t>
        </is>
      </c>
      <c r="BG1657" t="inlineStr">
        <is>
          <t>Reschedule</t>
        </is>
      </c>
      <c r="BH1657" t="inlineStr">
        <is>
          <t>Reagen</t>
        </is>
      </c>
      <c r="BI1657" t="inlineStr">
        <is>
          <t>Banking / Finance</t>
        </is>
      </c>
      <c r="BJ1657" s="4">
        <v>46144.75152777778</v>
      </c>
      <c r="BK1657" s="4">
        <v>45273.476111111115</v>
      </c>
      <c r="BL1657" t="inlineStr">
        <is>
          <t>4968.0</t>
        </is>
      </c>
      <c r="BM1657" t="inlineStr">
        <is>
          <t>0.0</t>
        </is>
      </c>
      <c r="BN1657" t="inlineStr">
        <is>
          <t>View Company Page</t>
        </is>
      </c>
      <c r="BO1657" s="4">
        <v>46141.6590625</v>
      </c>
      <c r="BP1657">
        <v>168319</v>
      </c>
      <c r="BQ1657">
        <v>124077</v>
      </c>
      <c r="BR1657" t="inlineStr">
        <is>
          <t>Proforma</t>
        </is>
      </c>
      <c r="BS1657" t="inlineStr">
        <is>
          <t>Free Internship Job</t>
        </is>
      </c>
      <c r="BT1657">
        <v>94958</v>
      </c>
      <c r="BU1657"/>
      <c r="BV1657">
        <v>2732198</v>
      </c>
      <c r="BW1657" t="inlineStr">
        <is>
          <t>Follow Up : Win - Customer Paid</t>
        </is>
      </c>
      <c r="BX1657">
        <v>2</v>
      </c>
      <c r="BY1657">
        <v>1</v>
      </c>
      <c r="BZ1657" s="4">
        <v>46141.65746527778</v>
      </c>
      <c r="CA1657"/>
      <c r="CB1657"/>
      <c r="CC1657" s="4"/>
      <c r="CD1657" t="inlineStr">
        <is>
          <t>20</t>
        </is>
      </c>
      <c r="CE1657" t="inlineStr">
        <is>
          <t>0</t>
        </is>
      </c>
      <c r="CF1657" t="inlineStr">
        <is>
          <t>Q2-W03</t>
        </is>
      </c>
      <c r="CG1657" t="inlineStr">
        <is>
          <t>Q2-W04</t>
        </is>
      </c>
      <c r="CH1657" t="inlineStr">
        <is>
          <t>Q2-W04</t>
        </is>
      </c>
      <c r="CI1657"/>
      <c r="CJ1657" t="inlineStr">
        <is>
          <t>Paid</t>
        </is>
      </c>
      <c r="CK1657" t="inlineStr">
        <is>
          <t>Not Eligible</t>
        </is>
      </c>
      <c r="CL1657"/>
      <c r="CM1657"/>
    </row>
    <row r="1658" ht="25.5" customHeight="1">
      <c r="A1658" t="inlineStr">
        <is>
          <t>165466</t>
        </is>
      </c>
      <c r="B1658" s="2"/>
      <c r="C1658"/>
      <c r="D1658" s="3">
        <v>46128.39753472222</v>
      </c>
      <c r="E1658" t="inlineStr">
        <is>
          <t>Q2-W02</t>
        </is>
      </c>
      <c r="F1658" t="inlineStr">
        <is>
          <t>Chia Yee</t>
        </is>
      </c>
      <c r="G1658" t="inlineStr">
        <is>
          <t>Customer</t>
        </is>
      </c>
      <c r="H1658" s="2" t="str">
        <f>=HYPERLINK("https://upbox.ajobthing.my/customer/165466", "https://upbox.ajobthing.my/customer/165466")</f>
        <v>https://upbox.ajobthing.my/customer/165466</v>
      </c>
      <c r="I1658" t="inlineStr">
        <is>
          <t>Jem Studios</t>
        </is>
      </c>
      <c r="J1658" t="inlineStr">
        <is>
          <t>Dolphin</t>
        </is>
      </c>
      <c r="K1658" t="inlineStr">
        <is>
          <t>Chia Yee</t>
        </is>
      </c>
      <c r="L1658" s="4"/>
      <c r="M1658" s="4">
        <v>46128.397685185184</v>
      </c>
      <c r="N1658"/>
      <c r="O1658">
        <v>3888</v>
      </c>
      <c r="P1658" s="4"/>
      <c r="Q1658" s="4">
        <v>46134.40692129629</v>
      </c>
      <c r="R1658"/>
      <c r="S1658">
        <v>3672</v>
      </c>
      <c r="T1658" s="4">
        <v>46134.40692129629</v>
      </c>
      <c r="U1658" s="4"/>
      <c r="V1658"/>
      <c r="W1658">
        <v>3672</v>
      </c>
      <c r="X1658"/>
      <c r="Y1658" t="inlineStr">
        <is>
          <t>Pending Appointment</t>
        </is>
      </c>
      <c r="Z1658" t="inlineStr">
        <is>
          <t>Hiring Now</t>
        </is>
      </c>
      <c r="AA1658">
        <v>1</v>
      </c>
      <c r="AB1658" t="inlineStr">
        <is>
          <t>No Appointment Made</t>
        </is>
      </c>
      <c r="AC1658"/>
      <c r="AD1658" t="inlineStr">
        <is>
          <t>1 photo/content editor</t>
        </is>
      </c>
      <c r="AE1658"/>
      <c r="AF1658">
        <v>3000</v>
      </c>
      <c r="AG1658" s="4"/>
      <c r="AH1658" s="4"/>
      <c r="AI1658">
        <v>3000</v>
      </c>
      <c r="AJ1658">
        <v>1</v>
      </c>
      <c r="AK1658" t="inlineStr">
        <is>
          <t>Yes, I have</t>
        </is>
      </c>
      <c r="AL1658">
        <v>1</v>
      </c>
      <c r="AM1658" t="inlineStr">
        <is>
          <t>No, I don't need at all</t>
        </is>
      </c>
      <c r="AN1658"/>
      <c r="AO1658" t="inlineStr">
        <is>
          <t>No, I don't need at all</t>
        </is>
      </c>
      <c r="AP1658" t="inlineStr">
        <is>
          <t>Once a year (25%)</t>
        </is>
      </c>
      <c r="AQ1658">
        <v>1</v>
      </c>
      <c r="AR1658" t="inlineStr">
        <is>
          <t>Did not use any job portal</t>
        </is>
      </c>
      <c r="AS1658" t="inlineStr">
        <is>
          <t>- Headcount: 1
- Hiring Job Details: 1 photo/content editor
- Hiring Urgency: Hiring Now
- Number of outlets: 1
- Have recruiter team: Yes
- Number of recruiter in company: 1
- Have ATS system: No, I don't need at all
- Have career website: No, I don't need at all
- Current hiring budget: RM3,000
- Whole year budget: RM3,000.00
- Whole year number of vacancies: 1
- Hiring frequency: Once a year (25%)
- External job portal: Did not use any job portal</t>
        </is>
      </c>
      <c r="AT1658">
        <v>115</v>
      </c>
      <c r="AU1658" t="inlineStr">
        <is>
          <t>1.15</t>
        </is>
      </c>
      <c r="AV1658" t="inlineStr">
        <is>
          <t>15</t>
        </is>
      </c>
      <c r="AW1658" t="inlineStr">
        <is>
          <t>0</t>
        </is>
      </c>
      <c r="AX1658" t="inlineStr">
        <is>
          <t>Not Qualified</t>
        </is>
      </c>
      <c r="AY1658" s="4"/>
      <c r="AZ1658"/>
      <c r="BA1658"/>
      <c r="BB1658"/>
      <c r="BC1658" t="inlineStr">
        <is>
          <t>WApayment slip</t>
        </is>
      </c>
      <c r="BD1658" s="4">
        <v>46134.379953703705</v>
      </c>
      <c r="BE1658" t="inlineStr">
        <is>
          <t>paid</t>
        </is>
      </c>
      <c r="BF1658" t="inlineStr">
        <is>
          <t>Q2-W03</t>
        </is>
      </c>
      <c r="BG1658" t="inlineStr">
        <is>
          <t>Reschedule</t>
        </is>
      </c>
      <c r="BH1658" t="inlineStr">
        <is>
          <t>Reagen</t>
        </is>
      </c>
      <c r="BI1658" t="inlineStr">
        <is>
          <t>Entertainment / Media</t>
        </is>
      </c>
      <c r="BJ1658" s="4">
        <v>46144.75127314815</v>
      </c>
      <c r="BK1658" s="4">
        <v>45001.67633101852</v>
      </c>
      <c r="BL1658" t="inlineStr">
        <is>
          <t>3672.0</t>
        </is>
      </c>
      <c r="BM1658" t="inlineStr">
        <is>
          <t>0.0</t>
        </is>
      </c>
      <c r="BN1658" t="inlineStr">
        <is>
          <t>View Company Page</t>
        </is>
      </c>
      <c r="BO1658" s="4">
        <v>46144.68771990741</v>
      </c>
      <c r="BP1658">
        <v>167279</v>
      </c>
      <c r="BQ1658">
        <v>94580</v>
      </c>
      <c r="BR1658" t="inlineStr">
        <is>
          <t>Online</t>
        </is>
      </c>
      <c r="BS1658"/>
      <c r="BT1658">
        <v>94580</v>
      </c>
      <c r="BU1658"/>
      <c r="BV1658">
        <v>2719300</v>
      </c>
      <c r="BW1658" t="inlineStr">
        <is>
          <t>Follow Up : Win - Customer Paid</t>
        </is>
      </c>
      <c r="BX1658">
        <v>6</v>
      </c>
      <c r="BY1658">
        <v>5</v>
      </c>
      <c r="BZ1658" s="4">
        <v>46134.939305555556</v>
      </c>
      <c r="CA1658">
        <v>60</v>
      </c>
      <c r="CB1658">
        <v>60</v>
      </c>
      <c r="CC1658" s="4"/>
      <c r="CD1658" t="inlineStr">
        <is>
          <t>20</t>
        </is>
      </c>
      <c r="CE1658" t="inlineStr">
        <is>
          <t>0</t>
        </is>
      </c>
      <c r="CF1658" t="inlineStr">
        <is>
          <t>Q2-W02</t>
        </is>
      </c>
      <c r="CG1658" t="inlineStr">
        <is>
          <t>Q2-W03</t>
        </is>
      </c>
      <c r="CH1658" t="inlineStr">
        <is>
          <t>Q2-W03</t>
        </is>
      </c>
      <c r="CI1658"/>
      <c r="CJ1658" t="inlineStr">
        <is>
          <t>Paid</t>
        </is>
      </c>
      <c r="CK1658" t="inlineStr">
        <is>
          <t>Not Eligible</t>
        </is>
      </c>
      <c r="CL1658"/>
      <c r="CM1658"/>
    </row>
    <row r="1659" ht="25.5" customHeight="1">
      <c r="A1659" t="inlineStr">
        <is>
          <t>178444</t>
        </is>
      </c>
      <c r="B1659" s="2"/>
      <c r="C1659"/>
      <c r="D1659" s="3">
        <v>46128.40887731482</v>
      </c>
      <c r="E1659" t="inlineStr">
        <is>
          <t>Q2-W02</t>
        </is>
      </c>
      <c r="F1659" t="inlineStr">
        <is>
          <t>Xin Quan</t>
        </is>
      </c>
      <c r="G1659" t="inlineStr">
        <is>
          <t>Customer</t>
        </is>
      </c>
      <c r="H1659" s="2" t="str">
        <f>=HYPERLINK("https://upbox.ajobthing.my/customer/178444", "https://upbox.ajobthing.my/customer/178444")</f>
        <v>https://upbox.ajobthing.my/customer/178444</v>
      </c>
      <c r="I1659" t="inlineStr">
        <is>
          <t>Safetylink Engineering Sdn Bhd</t>
        </is>
      </c>
      <c r="J1659" t="inlineStr">
        <is>
          <t>Dolphin</t>
        </is>
      </c>
      <c r="K1659" t="inlineStr">
        <is>
          <t>Xin Quan</t>
        </is>
      </c>
      <c r="L1659" s="4"/>
      <c r="M1659" s="4">
        <v>46128.40903935185</v>
      </c>
      <c r="N1659"/>
      <c r="O1659">
        <v>3888</v>
      </c>
      <c r="P1659" s="4"/>
      <c r="Q1659" s="4">
        <v>45428.00001157408</v>
      </c>
      <c r="R1659"/>
      <c r="S1659">
        <v>2916</v>
      </c>
      <c r="T1659" s="4">
        <v>45428.00001157408</v>
      </c>
      <c r="U1659" s="4"/>
      <c r="V1659"/>
      <c r="W1659">
        <v>2916</v>
      </c>
      <c r="X1659"/>
      <c r="Y1659" t="inlineStr">
        <is>
          <t>Pending Appointment</t>
        </is>
      </c>
      <c r="Z1659" t="inlineStr">
        <is>
          <t>Hiring Now</t>
        </is>
      </c>
      <c r="AA1659">
        <v>1</v>
      </c>
      <c r="AB1659" t="inlineStr">
        <is>
          <t>No Appointment Made</t>
        </is>
      </c>
      <c r="AC1659"/>
      <c r="AD1659" t="inlineStr">
        <is>
          <t>1 QC , Base in KL</t>
        </is>
      </c>
      <c r="AE1659"/>
      <c r="AF1659">
        <v>2000</v>
      </c>
      <c r="AG1659" s="4"/>
      <c r="AH1659" s="4"/>
      <c r="AI1659">
        <v>24000</v>
      </c>
      <c r="AJ1659">
        <v>1</v>
      </c>
      <c r="AK1659" t="inlineStr">
        <is>
          <t>No, I don't need at all</t>
        </is>
      </c>
      <c r="AL1659">
        <v>1</v>
      </c>
      <c r="AM1659" t="inlineStr">
        <is>
          <t>No, I don't need at all</t>
        </is>
      </c>
      <c r="AN1659"/>
      <c r="AO1659" t="inlineStr">
        <is>
          <t>No, I don't need at all</t>
        </is>
      </c>
      <c r="AP1659" t="inlineStr">
        <is>
          <t>Once a year (25%)</t>
        </is>
      </c>
      <c r="AQ1659">
        <v>1</v>
      </c>
      <c r="AR1659"/>
      <c r="AS1659" t="inlineStr">
        <is>
          <t>- Headcount: 1
- Hiring Job Details: 1 QC,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1659">
        <v>115</v>
      </c>
      <c r="AU1659" t="inlineStr">
        <is>
          <t>1.15</t>
        </is>
      </c>
      <c r="AV1659" t="inlineStr">
        <is>
          <t>15</t>
        </is>
      </c>
      <c r="AW1659" t="inlineStr">
        <is>
          <t>0</t>
        </is>
      </c>
      <c r="AX1659" t="inlineStr">
        <is>
          <t>Not Qualified</t>
        </is>
      </c>
      <c r="AY1659" s="4"/>
      <c r="AZ1659"/>
      <c r="BA1659"/>
      <c r="BB1659"/>
      <c r="BC1659" t="inlineStr">
        <is>
          <t>Call 0379846757 , HR long holidays until MAY</t>
        </is>
      </c>
      <c r="BD1659" s="4">
        <v>46135.414560185185</v>
      </c>
      <c r="BE1659" t="inlineStr">
        <is>
          <t>paid</t>
        </is>
      </c>
      <c r="BF1659"/>
      <c r="BG1659" t="inlineStr">
        <is>
          <t>Reschedule</t>
        </is>
      </c>
      <c r="BH1659" t="inlineStr">
        <is>
          <t>Edward Hoo</t>
        </is>
      </c>
      <c r="BI1659" t="inlineStr">
        <is>
          <t>Construction / Building</t>
        </is>
      </c>
      <c r="BJ1659" s="4">
        <v>46144.75173611111</v>
      </c>
      <c r="BK1659" s="4">
        <v>45427.724756944444</v>
      </c>
      <c r="BL1659" t="inlineStr">
        <is>
          <t>0.0</t>
        </is>
      </c>
      <c r="BM1659" t="inlineStr">
        <is>
          <t>750.0</t>
        </is>
      </c>
      <c r="BN1659" t="inlineStr">
        <is>
          <t>PA Email CTA Click</t>
        </is>
      </c>
      <c r="BO1659" s="4">
        <v>45678.997766203705</v>
      </c>
      <c r="BP1659">
        <v>167286</v>
      </c>
      <c r="BQ1659">
        <v>69252</v>
      </c>
      <c r="BR1659" t="inlineStr">
        <is>
          <t>Online</t>
        </is>
      </c>
      <c r="BS1659"/>
      <c r="BT1659">
        <v>69252</v>
      </c>
      <c r="BU1659"/>
      <c r="BV1659">
        <v>2722316</v>
      </c>
      <c r="BW1659" t="inlineStr">
        <is>
          <t>Inquire for Hiring Needs : No Hiring</t>
        </is>
      </c>
      <c r="BX1659"/>
      <c r="BY1659"/>
      <c r="BZ1659" s="4"/>
      <c r="CA1659"/>
      <c r="CB1659"/>
      <c r="CC1659" s="4"/>
      <c r="CD1659" t="inlineStr">
        <is>
          <t>20</t>
        </is>
      </c>
      <c r="CE1659" t="inlineStr">
        <is>
          <t>0</t>
        </is>
      </c>
      <c r="CF1659" t="inlineStr">
        <is>
          <t>Q2-W02</t>
        </is>
      </c>
      <c r="CG1659"/>
      <c r="CH1659"/>
      <c r="CI1659"/>
      <c r="CJ1659" t="inlineStr">
        <is>
          <t>Paid</t>
        </is>
      </c>
      <c r="CK1659" t="inlineStr">
        <is>
          <t>Not Eligible</t>
        </is>
      </c>
      <c r="CL1659"/>
      <c r="CM1659"/>
    </row>
    <row r="1660" ht="25.5" customHeight="1">
      <c r="A1660" t="inlineStr">
        <is>
          <t>203293</t>
        </is>
      </c>
      <c r="B1660" s="2"/>
      <c r="C1660"/>
      <c r="D1660" s="3">
        <v>46128.41003472222</v>
      </c>
      <c r="E1660" t="inlineStr">
        <is>
          <t>Q2-W02</t>
        </is>
      </c>
      <c r="F1660" t="inlineStr">
        <is>
          <t>Keegan</t>
        </is>
      </c>
      <c r="G1660" t="inlineStr">
        <is>
          <t>Customer</t>
        </is>
      </c>
      <c r="H1660" s="2" t="str">
        <f>=HYPERLINK("https://upbox.ajobthing.my/customer/203293", "https://upbox.ajobthing.my/customer/203293")</f>
        <v>https://upbox.ajobthing.my/customer/203293</v>
      </c>
      <c r="I1660" t="inlineStr">
        <is>
          <t>Vision Greetings Sdn Bhd</t>
        </is>
      </c>
      <c r="J1660" t="inlineStr">
        <is>
          <t>Dolphin</t>
        </is>
      </c>
      <c r="K1660" t="inlineStr">
        <is>
          <t>Keegan</t>
        </is>
      </c>
      <c r="L1660" s="4"/>
      <c r="M1660" s="4">
        <v>46128.41019675926</v>
      </c>
      <c r="N1660"/>
      <c r="O1660">
        <v>3888</v>
      </c>
      <c r="P1660" s="4"/>
      <c r="Q1660" s="4"/>
      <c r="R1660"/>
      <c r="S1660"/>
      <c r="T1660" s="4"/>
      <c r="U1660" s="4"/>
      <c r="V1660"/>
      <c r="W1660"/>
      <c r="X1660"/>
      <c r="Y1660" t="inlineStr">
        <is>
          <t>Pending Appointment</t>
        </is>
      </c>
      <c r="Z1660" t="inlineStr">
        <is>
          <t>Hiring Now</t>
        </is>
      </c>
      <c r="AA1660">
        <v>1</v>
      </c>
      <c r="AB1660" t="inlineStr">
        <is>
          <t>No Appointment Made</t>
        </is>
      </c>
      <c r="AC1660"/>
      <c r="AD1660" t="inlineStr">
        <is>
          <t xml:space="preserve">1. Account Executive </t>
        </is>
      </c>
      <c r="AE1660"/>
      <c r="AF1660"/>
      <c r="AG1660" s="4"/>
      <c r="AH1660" s="4"/>
      <c r="AI1660"/>
      <c r="AJ1660">
        <v>1</v>
      </c>
      <c r="AK1660" t="inlineStr">
        <is>
          <t>No, I don't need at all</t>
        </is>
      </c>
      <c r="AL1660">
        <v>0</v>
      </c>
      <c r="AM1660" t="inlineStr">
        <is>
          <t>No, I don't need at all</t>
        </is>
      </c>
      <c r="AN1660"/>
      <c r="AO1660" t="inlineStr">
        <is>
          <t>No, I don't need at all</t>
        </is>
      </c>
      <c r="AP1660" t="inlineStr">
        <is>
          <t>Once per quarter (75%)</t>
        </is>
      </c>
      <c r="AQ1660"/>
      <c r="AR1660" t="inlineStr">
        <is>
          <t>Did not use any job portal</t>
        </is>
      </c>
      <c r="AS1660" t="inlineStr">
        <is>
          <t>- Headcount: 1
- Hiring Job Details: 1 Account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660">
        <v>100</v>
      </c>
      <c r="AU1660" t="inlineStr">
        <is>
          <t>1.00</t>
        </is>
      </c>
      <c r="AV1660" t="inlineStr">
        <is>
          <t>5</t>
        </is>
      </c>
      <c r="AW1660" t="inlineStr">
        <is>
          <t>0</t>
        </is>
      </c>
      <c r="AX1660" t="inlineStr">
        <is>
          <t>Not Qualified</t>
        </is>
      </c>
      <c r="AY1660" s="4"/>
      <c r="AZ1660"/>
      <c r="BA1660"/>
      <c r="BB1660"/>
      <c r="BC1660" t="inlineStr">
        <is>
          <t>- Headcount: 1
- Hiring Job Details: 1 Account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660" s="4">
        <v>46128.4171875</v>
      </c>
      <c r="BE1660"/>
      <c r="BF1660"/>
      <c r="BG1660" t="inlineStr">
        <is>
          <t>Reschedule</t>
        </is>
      </c>
      <c r="BH1660" t="inlineStr">
        <is>
          <t>Edward Hoo</t>
        </is>
      </c>
      <c r="BI1660"/>
      <c r="BJ1660" s="4">
        <v>46144.754282407404</v>
      </c>
      <c r="BK1660" s="4">
        <v>46128.35869212963</v>
      </c>
      <c r="BL1660" t="inlineStr">
        <is>
          <t>0.0</t>
        </is>
      </c>
      <c r="BM1660" t="inlineStr">
        <is>
          <t>0.0</t>
        </is>
      </c>
      <c r="BN1660" t="inlineStr">
        <is>
          <t>View Company Page</t>
        </is>
      </c>
      <c r="BO1660" s="4">
        <v>46128.36380787037</v>
      </c>
      <c r="BP1660">
        <v>167287</v>
      </c>
      <c r="BQ1660"/>
      <c r="BR1660"/>
      <c r="BS1660"/>
      <c r="BT1660"/>
      <c r="BU1660"/>
      <c r="BV1660">
        <v>2707863</v>
      </c>
      <c r="BW1660" t="inlineStr">
        <is>
          <t>Customer Inquiry</t>
        </is>
      </c>
      <c r="BX1660"/>
      <c r="BY1660"/>
      <c r="BZ1660" s="4"/>
      <c r="CA1660"/>
      <c r="CB1660"/>
      <c r="CC1660" s="4"/>
      <c r="CD1660" t="inlineStr">
        <is>
          <t>5</t>
        </is>
      </c>
      <c r="CE1660" t="inlineStr">
        <is>
          <t>0</t>
        </is>
      </c>
      <c r="CF1660" t="inlineStr">
        <is>
          <t>Q2-W02</t>
        </is>
      </c>
      <c r="CG1660"/>
      <c r="CH1660"/>
      <c r="CI1660"/>
      <c r="CJ1660" t="inlineStr">
        <is>
          <t>No Paid</t>
        </is>
      </c>
      <c r="CK1660" t="inlineStr">
        <is>
          <t>Not Eligible</t>
        </is>
      </c>
      <c r="CL1660"/>
      <c r="CM1660"/>
    </row>
    <row r="1661" ht="25.5" customHeight="1">
      <c r="A1661" t="inlineStr">
        <is>
          <t>168527</t>
        </is>
      </c>
      <c r="B1661" s="2"/>
      <c r="C1661"/>
      <c r="D1661" s="3">
        <v>46128.41106481481</v>
      </c>
      <c r="E1661" t="inlineStr">
        <is>
          <t>Q2-W02</t>
        </is>
      </c>
      <c r="F1661" t="inlineStr">
        <is>
          <t>Jia Hui</t>
        </is>
      </c>
      <c r="G1661" t="inlineStr">
        <is>
          <t>Customer</t>
        </is>
      </c>
      <c r="H1661" s="2" t="str">
        <f>=HYPERLINK("https://upbox.ajobthing.my/customer/168527", "https://upbox.ajobthing.my/customer/168527")</f>
        <v>https://upbox.ajobthing.my/customer/168527</v>
      </c>
      <c r="I1661" t="inlineStr">
        <is>
          <t>NST Fastener Sdn Bhd</t>
        </is>
      </c>
      <c r="J1661" t="inlineStr">
        <is>
          <t>Dolphin</t>
        </is>
      </c>
      <c r="K1661" t="inlineStr">
        <is>
          <t>Jia Hui</t>
        </is>
      </c>
      <c r="L1661" s="4"/>
      <c r="M1661" s="4">
        <v>46128.411307870374</v>
      </c>
      <c r="N1661"/>
      <c r="O1661">
        <v>3888</v>
      </c>
      <c r="P1661" s="4"/>
      <c r="Q1661" s="4">
        <v>46013.50717592592</v>
      </c>
      <c r="R1661"/>
      <c r="S1661">
        <v>810</v>
      </c>
      <c r="T1661" s="4">
        <v>46013.50717592592</v>
      </c>
      <c r="U1661" s="4"/>
      <c r="V1661"/>
      <c r="W1661">
        <v>810</v>
      </c>
      <c r="X1661"/>
      <c r="Y1661" t="inlineStr">
        <is>
          <t>Pending Appointment</t>
        </is>
      </c>
      <c r="Z1661" t="inlineStr">
        <is>
          <t>Hiring Now</t>
        </is>
      </c>
      <c r="AA1661">
        <v>1</v>
      </c>
      <c r="AB1661" t="inlineStr">
        <is>
          <t>No Appointment Made</t>
        </is>
      </c>
      <c r="AC1661"/>
      <c r="AD1661" t="inlineStr">
        <is>
          <t>1 sales coordinator</t>
        </is>
      </c>
      <c r="AE1661"/>
      <c r="AF1661">
        <v>500</v>
      </c>
      <c r="AG1661" s="4"/>
      <c r="AH1661" s="4"/>
      <c r="AI1661"/>
      <c r="AJ1661"/>
      <c r="AK1661"/>
      <c r="AL1661"/>
      <c r="AM1661"/>
      <c r="AN1661"/>
      <c r="AO1661"/>
      <c r="AP1661"/>
      <c r="AQ1661"/>
      <c r="AR1661"/>
      <c r="AS1661" t="inlineStr">
        <is>
          <t>- Headcount: 1
- Hiring Job Details: 1 sales coordinator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Not available
- External job portal: Not available</t>
        </is>
      </c>
      <c r="AT1661">
        <v>65</v>
      </c>
      <c r="AU1661" t="inlineStr">
        <is>
          <t>0.65</t>
        </is>
      </c>
      <c r="AV1661" t="inlineStr">
        <is>
          <t>15</t>
        </is>
      </c>
      <c r="AW1661" t="inlineStr">
        <is>
          <t>0</t>
        </is>
      </c>
      <c r="AX1661" t="inlineStr">
        <is>
          <t>Not Qualified</t>
        </is>
      </c>
      <c r="AY1661" s="4"/>
      <c r="AZ1661"/>
      <c r="BA1661"/>
      <c r="BB1661"/>
      <c r="BC1661" t="inlineStr">
        <is>
          <t>submitted to boss, pending decision</t>
        </is>
      </c>
      <c r="BD1661" s="4">
        <v>46132.46140046296</v>
      </c>
      <c r="BE1661" t="inlineStr">
        <is>
          <t>paid</t>
        </is>
      </c>
      <c r="BF1661"/>
      <c r="BG1661" t="inlineStr">
        <is>
          <t>Reschedule</t>
        </is>
      </c>
      <c r="BH1661" t="inlineStr">
        <is>
          <t>Reagen</t>
        </is>
      </c>
      <c r="BI1661" t="inlineStr">
        <is>
          <t>Other industries</t>
        </is>
      </c>
      <c r="BJ1661" s="4">
        <v>46144.75134259259</v>
      </c>
      <c r="BK1661" s="4">
        <v>45103.5030787037</v>
      </c>
      <c r="BL1661" t="inlineStr">
        <is>
          <t>3780.0</t>
        </is>
      </c>
      <c r="BM1661" t="inlineStr">
        <is>
          <t>0.0</t>
        </is>
      </c>
      <c r="BN1661" t="inlineStr">
        <is>
          <t>View Candidate Search Page</t>
        </is>
      </c>
      <c r="BO1661" s="4">
        <v>46120.44092592593</v>
      </c>
      <c r="BP1661">
        <v>167290</v>
      </c>
      <c r="BQ1661">
        <v>85141</v>
      </c>
      <c r="BR1661" t="inlineStr">
        <is>
          <t>Online</t>
        </is>
      </c>
      <c r="BS1661"/>
      <c r="BT1661">
        <v>85141</v>
      </c>
      <c r="BU1661"/>
      <c r="BV1661">
        <v>2715063</v>
      </c>
      <c r="BW1661" t="inlineStr">
        <is>
          <t>Follow Up : Decision Pending</t>
        </is>
      </c>
      <c r="BX1661"/>
      <c r="BY1661"/>
      <c r="BZ1661" s="4"/>
      <c r="CA1661"/>
      <c r="CB1661"/>
      <c r="CC1661" s="4"/>
      <c r="CD1661" t="inlineStr">
        <is>
          <t>20</t>
        </is>
      </c>
      <c r="CE1661" t="inlineStr">
        <is>
          <t>0</t>
        </is>
      </c>
      <c r="CF1661" t="inlineStr">
        <is>
          <t>Q2-W02</t>
        </is>
      </c>
      <c r="CG1661"/>
      <c r="CH1661"/>
      <c r="CI1661"/>
      <c r="CJ1661" t="inlineStr">
        <is>
          <t>Paid</t>
        </is>
      </c>
      <c r="CK1661" t="inlineStr">
        <is>
          <t>Not Eligible</t>
        </is>
      </c>
      <c r="CL1661"/>
      <c r="CM1661"/>
    </row>
    <row r="1662" ht="25.5" customHeight="1">
      <c r="A1662" t="inlineStr">
        <is>
          <t>148134</t>
        </is>
      </c>
      <c r="B1662" s="2"/>
      <c r="C1662"/>
      <c r="D1662" s="3">
        <v>46128.412766203706</v>
      </c>
      <c r="E1662" t="inlineStr">
        <is>
          <t>Q2-W02</t>
        </is>
      </c>
      <c r="F1662" t="inlineStr">
        <is>
          <t>Evan</t>
        </is>
      </c>
      <c r="G1662" t="inlineStr">
        <is>
          <t>Customer</t>
        </is>
      </c>
      <c r="H1662" s="2" t="str">
        <f>=HYPERLINK("https://upbox.ajobthing.my/customer/148134", "https://upbox.ajobthing.my/customer/148134")</f>
        <v>https://upbox.ajobthing.my/customer/148134</v>
      </c>
      <c r="I1662" t="inlineStr">
        <is>
          <t>CNC Metal Machining Sdn Bhd</t>
        </is>
      </c>
      <c r="J1662" t="inlineStr">
        <is>
          <t>Dolphin</t>
        </is>
      </c>
      <c r="K1662" t="inlineStr">
        <is>
          <t>Evan</t>
        </is>
      </c>
      <c r="L1662" s="4"/>
      <c r="M1662" s="4">
        <v>46128.41087962963</v>
      </c>
      <c r="N1662"/>
      <c r="O1662">
        <v>5832</v>
      </c>
      <c r="P1662" s="4"/>
      <c r="Q1662" s="4">
        <v>45723.67763888889</v>
      </c>
      <c r="R1662"/>
      <c r="S1662">
        <v>1080</v>
      </c>
      <c r="T1662" s="4">
        <v>45723.67763888889</v>
      </c>
      <c r="U1662" s="4"/>
      <c r="V1662"/>
      <c r="W1662">
        <v>1080</v>
      </c>
      <c r="X1662"/>
      <c r="Y1662" t="inlineStr">
        <is>
          <t>Pending Appointment</t>
        </is>
      </c>
      <c r="Z1662" t="inlineStr">
        <is>
          <t>Hiring Now</t>
        </is>
      </c>
      <c r="AA1662">
        <v>1</v>
      </c>
      <c r="AB1662" t="inlineStr">
        <is>
          <t>No Appointment Made</t>
        </is>
      </c>
      <c r="AC1662"/>
      <c r="AD1662" t="inlineStr">
        <is>
          <t>1 procurement, all base in KL</t>
        </is>
      </c>
      <c r="AE1662"/>
      <c r="AF1662">
        <v>1</v>
      </c>
      <c r="AG1662" s="4"/>
      <c r="AH1662" s="4"/>
      <c r="AI1662">
        <v>1</v>
      </c>
      <c r="AJ1662">
        <v>1</v>
      </c>
      <c r="AK1662" t="inlineStr">
        <is>
          <t>No, I don't need at all</t>
        </is>
      </c>
      <c r="AL1662">
        <v>0</v>
      </c>
      <c r="AM1662" t="inlineStr">
        <is>
          <t>No, I don't need at all</t>
        </is>
      </c>
      <c r="AN1662"/>
      <c r="AO1662" t="inlineStr">
        <is>
          <t>No, I don't need at all</t>
        </is>
      </c>
      <c r="AP1662" t="inlineStr">
        <is>
          <t>Once a year (25%)</t>
        </is>
      </c>
      <c r="AQ1662">
        <v>1</v>
      </c>
      <c r="AR1662" t="inlineStr">
        <is>
          <t>Jobstreet</t>
        </is>
      </c>
      <c r="AS1662" t="inlineStr">
        <is>
          <t>- Headcount: 1
- Hiring Job Details: 1 procurement,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AT1662">
        <v>115</v>
      </c>
      <c r="AU1662" t="inlineStr">
        <is>
          <t>1.15</t>
        </is>
      </c>
      <c r="AV1662" t="inlineStr">
        <is>
          <t>15</t>
        </is>
      </c>
      <c r="AW1662" t="inlineStr">
        <is>
          <t>0</t>
        </is>
      </c>
      <c r="AX1662" t="inlineStr">
        <is>
          <t>Not Qualified</t>
        </is>
      </c>
      <c r="AY1662" s="4"/>
      <c r="AZ1662"/>
      <c r="BA1662"/>
      <c r="BB1662"/>
      <c r="BC1662" t="inlineStr">
        <is>
          <t>pending cost wise</t>
        </is>
      </c>
      <c r="BD1662" s="4">
        <v>46133.67334490741</v>
      </c>
      <c r="BE1662" t="inlineStr">
        <is>
          <t>paid</t>
        </is>
      </c>
      <c r="BF1662"/>
      <c r="BG1662" t="inlineStr">
        <is>
          <t>Reschedule</t>
        </is>
      </c>
      <c r="BH1662" t="inlineStr">
        <is>
          <t>Edward Hoo</t>
        </is>
      </c>
      <c r="BI1662" t="inlineStr">
        <is>
          <t>Engineering / Technical Consulting</t>
        </is>
      </c>
      <c r="BJ1662" s="4">
        <v>46144.75079861111</v>
      </c>
      <c r="BK1662" s="4">
        <v>44601.38829861111</v>
      </c>
      <c r="BL1662" t="inlineStr">
        <is>
          <t>0.0</t>
        </is>
      </c>
      <c r="BM1662" t="inlineStr">
        <is>
          <t>1800.0</t>
        </is>
      </c>
      <c r="BN1662" t="inlineStr">
        <is>
          <t>View Jobmanager Page</t>
        </is>
      </c>
      <c r="BO1662" s="4">
        <v>45873.63329861111</v>
      </c>
      <c r="BP1662">
        <v>167289</v>
      </c>
      <c r="BQ1662">
        <v>77466</v>
      </c>
      <c r="BR1662" t="inlineStr">
        <is>
          <t>Online</t>
        </is>
      </c>
      <c r="BS1662"/>
      <c r="BT1662">
        <v>77466</v>
      </c>
      <c r="BU1662"/>
      <c r="BV1662">
        <v>2718743</v>
      </c>
      <c r="BW1662" t="inlineStr">
        <is>
          <t>Follow Up : Decision Pending</t>
        </is>
      </c>
      <c r="BX1662"/>
      <c r="BY1662"/>
      <c r="BZ1662" s="4"/>
      <c r="CA1662"/>
      <c r="CB1662"/>
      <c r="CC1662" s="4"/>
      <c r="CD1662" t="inlineStr">
        <is>
          <t>20</t>
        </is>
      </c>
      <c r="CE1662" t="inlineStr">
        <is>
          <t>0</t>
        </is>
      </c>
      <c r="CF1662" t="inlineStr">
        <is>
          <t>Q2-W02</t>
        </is>
      </c>
      <c r="CG1662"/>
      <c r="CH1662"/>
      <c r="CI1662"/>
      <c r="CJ1662" t="inlineStr">
        <is>
          <t>Paid</t>
        </is>
      </c>
      <c r="CK1662" t="inlineStr">
        <is>
          <t>Not Eligible</t>
        </is>
      </c>
      <c r="CL1662"/>
      <c r="CM1662"/>
    </row>
    <row r="1663" ht="25.5" customHeight="1">
      <c r="A1663" t="inlineStr">
        <is>
          <t>178117</t>
        </is>
      </c>
      <c r="B1663" s="2"/>
      <c r="C1663"/>
      <c r="D1663" s="3">
        <v>46128.41302083333</v>
      </c>
      <c r="E1663" t="inlineStr">
        <is>
          <t>Q2-W02</t>
        </is>
      </c>
      <c r="F1663" t="inlineStr">
        <is>
          <t>Xin Quan</t>
        </is>
      </c>
      <c r="G1663" t="inlineStr">
        <is>
          <t>Customer</t>
        </is>
      </c>
      <c r="H1663" s="2" t="str">
        <f>=HYPERLINK("https://upbox.ajobthing.my/customer/178117", "https://upbox.ajobthing.my/customer/178117")</f>
        <v>https://upbox.ajobthing.my/customer/178117</v>
      </c>
      <c r="I1663" t="inlineStr">
        <is>
          <t>Sian Soon Manufacturing Sdn Bhd</t>
        </is>
      </c>
      <c r="J1663" t="inlineStr">
        <is>
          <t>Dolphin</t>
        </is>
      </c>
      <c r="K1663" t="inlineStr">
        <is>
          <t>Xin Quan</t>
        </is>
      </c>
      <c r="L1663" s="4"/>
      <c r="M1663" s="4">
        <v>46128.413136574076</v>
      </c>
      <c r="N1663"/>
      <c r="O1663">
        <v>3888</v>
      </c>
      <c r="P1663" s="4"/>
      <c r="Q1663" s="4">
        <v>45770.700532407405</v>
      </c>
      <c r="R1663"/>
      <c r="S1663">
        <v>1620</v>
      </c>
      <c r="T1663" s="4">
        <v>45770.700532407405</v>
      </c>
      <c r="U1663" s="4"/>
      <c r="V1663"/>
      <c r="W1663">
        <v>1620</v>
      </c>
      <c r="X1663"/>
      <c r="Y1663" t="inlineStr">
        <is>
          <t>Pending Appointment</t>
        </is>
      </c>
      <c r="Z1663" t="inlineStr">
        <is>
          <t>Hiring Now</t>
        </is>
      </c>
      <c r="AA1663">
        <v>2</v>
      </c>
      <c r="AB1663" t="inlineStr">
        <is>
          <t>No Appointment Made</t>
        </is>
      </c>
      <c r="AC1663"/>
      <c r="AD1663" t="inlineStr">
        <is>
          <t>1 Storekeeper 1 Fitter , Base in KL</t>
        </is>
      </c>
      <c r="AE1663"/>
      <c r="AF1663">
        <v>4000</v>
      </c>
      <c r="AG1663" s="4"/>
      <c r="AH1663" s="4"/>
      <c r="AI1663">
        <v>48000</v>
      </c>
      <c r="AJ1663">
        <v>1</v>
      </c>
      <c r="AK1663" t="inlineStr">
        <is>
          <t>No, I don't need at all</t>
        </is>
      </c>
      <c r="AL1663">
        <v>1</v>
      </c>
      <c r="AM1663" t="inlineStr">
        <is>
          <t>No, I don't need at all</t>
        </is>
      </c>
      <c r="AN1663"/>
      <c r="AO1663" t="inlineStr">
        <is>
          <t>No, I don't need at all</t>
        </is>
      </c>
      <c r="AP1663" t="inlineStr">
        <is>
          <t>Once a year (25%)</t>
        </is>
      </c>
      <c r="AQ1663">
        <v>2</v>
      </c>
      <c r="AR1663"/>
      <c r="AS1663" t="inlineStr">
        <is>
          <t>- Headcount: 2
- Hiring Job Details: 1 Storekeeper 1 Fitter,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is>
      </c>
      <c r="AT1663">
        <v>115</v>
      </c>
      <c r="AU1663" t="inlineStr">
        <is>
          <t>1.15</t>
        </is>
      </c>
      <c r="AV1663" t="inlineStr">
        <is>
          <t>15</t>
        </is>
      </c>
      <c r="AW1663" t="inlineStr">
        <is>
          <t>0</t>
        </is>
      </c>
      <c r="AX1663" t="inlineStr">
        <is>
          <t>Not Qualified</t>
        </is>
      </c>
      <c r="AY1663" s="4"/>
      <c r="AZ1663"/>
      <c r="BA1663"/>
      <c r="BB1663"/>
      <c r="BC1663" t="inlineStr">
        <is>
          <t>- Headcount: 2
- Hiring Job Details: 1 Storekeeper 1 Fitter,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is>
      </c>
      <c r="BD1663" s="4">
        <v>46128.4171875</v>
      </c>
      <c r="BE1663" t="inlineStr">
        <is>
          <t>paid</t>
        </is>
      </c>
      <c r="BF1663"/>
      <c r="BG1663" t="inlineStr">
        <is>
          <t>Reschedule</t>
        </is>
      </c>
      <c r="BH1663" t="inlineStr">
        <is>
          <t>Edward Hoo</t>
        </is>
      </c>
      <c r="BI1663" t="inlineStr">
        <is>
          <t>Manufacturing / Production</t>
        </is>
      </c>
      <c r="BJ1663" s="4">
        <v>46142.689409722225</v>
      </c>
      <c r="BK1663" s="4">
        <v>45420.36708333333</v>
      </c>
      <c r="BL1663" t="inlineStr">
        <is>
          <t>1620.0</t>
        </is>
      </c>
      <c r="BM1663" t="inlineStr">
        <is>
          <t>900.0</t>
        </is>
      </c>
      <c r="BN1663" t="inlineStr">
        <is>
          <t>PA Visit - Email</t>
        </is>
      </c>
      <c r="BO1663" s="4">
        <v>45870.8702662037</v>
      </c>
      <c r="BP1663">
        <v>167291</v>
      </c>
      <c r="BQ1663">
        <v>78736</v>
      </c>
      <c r="BR1663" t="inlineStr">
        <is>
          <t>Online</t>
        </is>
      </c>
      <c r="BS1663"/>
      <c r="BT1663">
        <v>78736</v>
      </c>
      <c r="BU1663"/>
      <c r="BV1663">
        <v>2707868</v>
      </c>
      <c r="BW1663" t="inlineStr">
        <is>
          <t>Customer Inquiry</t>
        </is>
      </c>
      <c r="BX1663"/>
      <c r="BY1663"/>
      <c r="BZ1663" s="4"/>
      <c r="CA1663"/>
      <c r="CB1663"/>
      <c r="CC1663" s="4"/>
      <c r="CD1663" t="inlineStr">
        <is>
          <t>20</t>
        </is>
      </c>
      <c r="CE1663" t="inlineStr">
        <is>
          <t>0</t>
        </is>
      </c>
      <c r="CF1663" t="inlineStr">
        <is>
          <t>Q2-W02</t>
        </is>
      </c>
      <c r="CG1663"/>
      <c r="CH1663"/>
      <c r="CI1663"/>
      <c r="CJ1663" t="inlineStr">
        <is>
          <t>Paid</t>
        </is>
      </c>
      <c r="CK1663" t="inlineStr">
        <is>
          <t>Not Eligible</t>
        </is>
      </c>
      <c r="CL1663"/>
      <c r="CM1663"/>
    </row>
    <row r="1664" ht="25.5" customHeight="1">
      <c r="A1664" t="inlineStr">
        <is>
          <t>180048</t>
        </is>
      </c>
      <c r="B1664" s="2"/>
      <c r="C1664"/>
      <c r="D1664" s="3">
        <v>46128.416608796295</v>
      </c>
      <c r="E1664" t="inlineStr">
        <is>
          <t>Q2-W02</t>
        </is>
      </c>
      <c r="F1664" t="inlineStr">
        <is>
          <t>Evan</t>
        </is>
      </c>
      <c r="G1664" t="inlineStr">
        <is>
          <t>Customer</t>
        </is>
      </c>
      <c r="H1664" s="2" t="str">
        <f>=HYPERLINK("https://upbox.ajobthing.my/customer/180048", "https://upbox.ajobthing.my/customer/180048")</f>
        <v>https://upbox.ajobthing.my/customer/180048</v>
      </c>
      <c r="I1664" t="inlineStr">
        <is>
          <t>Blinder Wise Sdn Bhd</t>
        </is>
      </c>
      <c r="J1664" t="inlineStr">
        <is>
          <t>Dolphin</t>
        </is>
      </c>
      <c r="K1664" t="inlineStr">
        <is>
          <t>Evan</t>
        </is>
      </c>
      <c r="L1664" s="4"/>
      <c r="M1664" s="4">
        <v>46128.41615740741</v>
      </c>
      <c r="N1664"/>
      <c r="O1664">
        <v>3672</v>
      </c>
      <c r="P1664" s="4"/>
      <c r="Q1664" s="4">
        <v>45477</v>
      </c>
      <c r="R1664"/>
      <c r="S1664">
        <v>2628.72</v>
      </c>
      <c r="T1664" s="4">
        <v>45477</v>
      </c>
      <c r="U1664" s="4"/>
      <c r="V1664"/>
      <c r="W1664">
        <v>2628.72</v>
      </c>
      <c r="X1664"/>
      <c r="Y1664" t="inlineStr">
        <is>
          <t>Pending Appointment</t>
        </is>
      </c>
      <c r="Z1664" t="inlineStr">
        <is>
          <t>Hiring Now</t>
        </is>
      </c>
      <c r="AA1664">
        <v>1</v>
      </c>
      <c r="AB1664" t="inlineStr">
        <is>
          <t>No Appointment Made</t>
        </is>
      </c>
      <c r="AC1664"/>
      <c r="AD1664" t="inlineStr">
        <is>
          <t>1 admin, all base in KL</t>
        </is>
      </c>
      <c r="AE1664"/>
      <c r="AF1664">
        <v>1</v>
      </c>
      <c r="AG1664" s="4"/>
      <c r="AH1664" s="4"/>
      <c r="AI1664">
        <v>1</v>
      </c>
      <c r="AJ1664">
        <v>1</v>
      </c>
      <c r="AK1664" t="inlineStr">
        <is>
          <t>No, I don't need at all</t>
        </is>
      </c>
      <c r="AL1664">
        <v>0</v>
      </c>
      <c r="AM1664" t="inlineStr">
        <is>
          <t>No, I don't need at all</t>
        </is>
      </c>
      <c r="AN1664"/>
      <c r="AO1664" t="inlineStr">
        <is>
          <t>No, I don't need at all</t>
        </is>
      </c>
      <c r="AP1664" t="inlineStr">
        <is>
          <t>Once a year (25%)</t>
        </is>
      </c>
      <c r="AQ1664">
        <v>1</v>
      </c>
      <c r="AR1664" t="inlineStr">
        <is>
          <t>Did not use any job portal</t>
        </is>
      </c>
      <c r="AS1664"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664">
        <v>115</v>
      </c>
      <c r="AU1664" t="inlineStr">
        <is>
          <t>1.15</t>
        </is>
      </c>
      <c r="AV1664" t="inlineStr">
        <is>
          <t>15</t>
        </is>
      </c>
      <c r="AW1664" t="inlineStr">
        <is>
          <t>0</t>
        </is>
      </c>
      <c r="AX1664" t="inlineStr">
        <is>
          <t>Not Qualified</t>
        </is>
      </c>
      <c r="AY1664" s="4"/>
      <c r="AZ1664"/>
      <c r="BA1664"/>
      <c r="BB1664"/>
      <c r="BC1664" t="inlineStr">
        <is>
          <t>help explain</t>
        </is>
      </c>
      <c r="BD1664" s="4">
        <v>46128.442719907405</v>
      </c>
      <c r="BE1664" t="inlineStr">
        <is>
          <t>paid</t>
        </is>
      </c>
      <c r="BF1664"/>
      <c r="BG1664" t="inlineStr">
        <is>
          <t>Reschedule</t>
        </is>
      </c>
      <c r="BH1664" t="inlineStr">
        <is>
          <t>Edward Hoo</t>
        </is>
      </c>
      <c r="BI1664" t="inlineStr">
        <is>
          <t>Retail / Merchandise</t>
        </is>
      </c>
      <c r="BJ1664" s="4">
        <v>46144.75181712963</v>
      </c>
      <c r="BK1664" s="4">
        <v>45474.65146990741</v>
      </c>
      <c r="BL1664" t="inlineStr">
        <is>
          <t>0.0</t>
        </is>
      </c>
      <c r="BM1664" t="inlineStr">
        <is>
          <t>0.0</t>
        </is>
      </c>
      <c r="BN1664" t="inlineStr">
        <is>
          <t>View Create Job Page V4</t>
        </is>
      </c>
      <c r="BO1664" s="4">
        <v>45999.75659722222</v>
      </c>
      <c r="BP1664">
        <v>167292</v>
      </c>
      <c r="BQ1664">
        <v>70747</v>
      </c>
      <c r="BR1664" t="inlineStr">
        <is>
          <t>Online</t>
        </is>
      </c>
      <c r="BS1664"/>
      <c r="BT1664">
        <v>70747</v>
      </c>
      <c r="BU1664"/>
      <c r="BV1664">
        <v>2708182</v>
      </c>
      <c r="BW1664" t="inlineStr">
        <is>
          <t>Follow Up : Decision Pending</t>
        </is>
      </c>
      <c r="BX1664"/>
      <c r="BY1664"/>
      <c r="BZ1664" s="4"/>
      <c r="CA1664"/>
      <c r="CB1664"/>
      <c r="CC1664" s="4"/>
      <c r="CD1664" t="inlineStr">
        <is>
          <t>20</t>
        </is>
      </c>
      <c r="CE1664" t="inlineStr">
        <is>
          <t>0</t>
        </is>
      </c>
      <c r="CF1664" t="inlineStr">
        <is>
          <t>Q2-W02</t>
        </is>
      </c>
      <c r="CG1664"/>
      <c r="CH1664"/>
      <c r="CI1664"/>
      <c r="CJ1664" t="inlineStr">
        <is>
          <t>Paid</t>
        </is>
      </c>
      <c r="CK1664" t="inlineStr">
        <is>
          <t>Not Eligible</t>
        </is>
      </c>
      <c r="CL1664"/>
      <c r="CM1664"/>
    </row>
    <row r="1665" ht="25.5" customHeight="1">
      <c r="A1665" t="inlineStr">
        <is>
          <t>4127373</t>
        </is>
      </c>
      <c r="B1665" s="2"/>
      <c r="C1665"/>
      <c r="D1665" s="3">
        <v>46128.42061342593</v>
      </c>
      <c r="E1665" t="inlineStr">
        <is>
          <t>Q2-W02</t>
        </is>
      </c>
      <c r="F1665" t="inlineStr">
        <is>
          <t>Janice Yap</t>
        </is>
      </c>
      <c r="G1665" t="inlineStr">
        <is>
          <t>Lead</t>
        </is>
      </c>
      <c r="H1665" s="2" t="str">
        <f>=HYPERLINK("https://upbox.ajobthing.my/leads/4127373", "https://upbox.ajobthing.my/leads/4127373")</f>
        <v>https://upbox.ajobthing.my/leads/4127373</v>
      </c>
      <c r="I1665" t="inlineStr">
        <is>
          <t>FLEXWATCH SOLUTIONS SDN BHD</t>
        </is>
      </c>
      <c r="J1665" t="inlineStr">
        <is>
          <t>Dolphin</t>
        </is>
      </c>
      <c r="K1665" t="inlineStr">
        <is>
          <t>Janice</t>
        </is>
      </c>
      <c r="L1665" s="4"/>
      <c r="M1665" s="4">
        <v>46128.41748842593</v>
      </c>
      <c r="N1665"/>
      <c r="O1665">
        <v>3888</v>
      </c>
      <c r="P1665" s="4"/>
      <c r="Q1665" s="4"/>
      <c r="R1665"/>
      <c r="S1665"/>
      <c r="T1665" s="4"/>
      <c r="U1665" s="4"/>
      <c r="V1665"/>
      <c r="W1665"/>
      <c r="X1665"/>
      <c r="Y1665" t="inlineStr">
        <is>
          <t>Pending Appointment</t>
        </is>
      </c>
      <c r="Z1665" t="inlineStr">
        <is>
          <t>Hiring Now</t>
        </is>
      </c>
      <c r="AA1665">
        <v>1</v>
      </c>
      <c r="AB1665" t="inlineStr">
        <is>
          <t>No Appointment Made</t>
        </is>
      </c>
      <c r="AC1665"/>
      <c r="AD1665" t="inlineStr">
        <is>
          <t>1 project engineer</t>
        </is>
      </c>
      <c r="AE1665"/>
      <c r="AF1665">
        <v>0</v>
      </c>
      <c r="AG1665" s="4"/>
      <c r="AH1665" s="4"/>
      <c r="AI1665">
        <v>0</v>
      </c>
      <c r="AJ1665"/>
      <c r="AK1665" t="inlineStr">
        <is>
          <t>No, I don't need at all</t>
        </is>
      </c>
      <c r="AL1665">
        <v>0</v>
      </c>
      <c r="AM1665" t="inlineStr">
        <is>
          <t>No, I don't need at all</t>
        </is>
      </c>
      <c r="AN1665"/>
      <c r="AO1665" t="inlineStr">
        <is>
          <t>No, I don't need at all</t>
        </is>
      </c>
      <c r="AP1665" t="inlineStr">
        <is>
          <t>Once a year (25%)</t>
        </is>
      </c>
      <c r="AQ1665">
        <v>1</v>
      </c>
      <c r="AR1665" t="inlineStr">
        <is>
          <t>Jobstreet</t>
        </is>
      </c>
      <c r="AS1665" t="inlineStr">
        <is>
          <t>- Headcount: 1
- Hiring Job Details: 1 project engineer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1665">
        <v>110</v>
      </c>
      <c r="AU1665" t="inlineStr">
        <is>
          <t>1.10</t>
        </is>
      </c>
      <c r="AV1665" t="inlineStr">
        <is>
          <t>15</t>
        </is>
      </c>
      <c r="AW1665" t="inlineStr">
        <is>
          <t>0</t>
        </is>
      </c>
      <c r="AX1665" t="inlineStr">
        <is>
          <t>Not Qualified</t>
        </is>
      </c>
      <c r="AY1665" s="4"/>
      <c r="AZ1665"/>
      <c r="BA1665"/>
      <c r="BB1665"/>
      <c r="BC1665"/>
      <c r="BD1665" s="4"/>
      <c r="BE1665"/>
      <c r="BF1665"/>
      <c r="BG1665" t="inlineStr">
        <is>
          <t>Reschedule</t>
        </is>
      </c>
      <c r="BH1665" t="inlineStr">
        <is>
          <t>Yee Hang</t>
        </is>
      </c>
      <c r="BI1665"/>
      <c r="BJ1665" s="4">
        <v>46144.75541666667</v>
      </c>
      <c r="BK1665" s="4">
        <v>46085.45479166666</v>
      </c>
      <c r="BL1665" t="inlineStr">
        <is>
          <t>0.0</t>
        </is>
      </c>
      <c r="BM1665" t="inlineStr">
        <is>
          <t>1200.0</t>
        </is>
      </c>
      <c r="BN1665"/>
      <c r="BO1665" s="4"/>
      <c r="BP1665">
        <v>167294</v>
      </c>
      <c r="BQ1665"/>
      <c r="BR1665"/>
      <c r="BS1665"/>
      <c r="BT1665"/>
      <c r="BU1665"/>
      <c r="BV1665"/>
      <c r="BW1665"/>
      <c r="BX1665"/>
      <c r="BY1665"/>
      <c r="BZ1665" s="4"/>
      <c r="CA1665"/>
      <c r="CB1665"/>
      <c r="CC1665" s="4"/>
      <c r="CD1665" t="inlineStr">
        <is>
          <t>20</t>
        </is>
      </c>
      <c r="CE1665" t="inlineStr">
        <is>
          <t>0</t>
        </is>
      </c>
      <c r="CF1665" t="inlineStr">
        <is>
          <t>Q2-W02</t>
        </is>
      </c>
      <c r="CG1665"/>
      <c r="CH1665"/>
      <c r="CI1665"/>
      <c r="CJ1665" t="inlineStr">
        <is>
          <t>No Paid</t>
        </is>
      </c>
      <c r="CK1665" t="inlineStr">
        <is>
          <t>Not Eligible</t>
        </is>
      </c>
      <c r="CL1665"/>
      <c r="CM1665"/>
    </row>
    <row r="1666" ht="25.5" customHeight="1">
      <c r="A1666" t="inlineStr">
        <is>
          <t>4287153</t>
        </is>
      </c>
      <c r="B1666" s="2"/>
      <c r="C1666"/>
      <c r="D1666" s="3">
        <v>46128.42208333333</v>
      </c>
      <c r="E1666" t="inlineStr">
        <is>
          <t>Q2-W02</t>
        </is>
      </c>
      <c r="F1666" t="inlineStr">
        <is>
          <t>Derek Lim</t>
        </is>
      </c>
      <c r="G1666" t="inlineStr">
        <is>
          <t>Lead</t>
        </is>
      </c>
      <c r="H1666" s="2" t="str">
        <f>=HYPERLINK("https://upbox.ajobthing.my/leads/4287153", "https://upbox.ajobthing.my/leads/4287153")</f>
        <v>https://upbox.ajobthing.my/leads/4287153</v>
      </c>
      <c r="I1666" t="inlineStr">
        <is>
          <t>TT UKoffer Ltd</t>
        </is>
      </c>
      <c r="J1666" t="inlineStr">
        <is>
          <t>Dolphin</t>
        </is>
      </c>
      <c r="K1666" t="inlineStr">
        <is>
          <t>Derek Lim</t>
        </is>
      </c>
      <c r="L1666" s="4"/>
      <c r="M1666" s="4">
        <v>46128.42251157408</v>
      </c>
      <c r="N1666"/>
      <c r="O1666">
        <v>6048</v>
      </c>
      <c r="P1666" s="4"/>
      <c r="Q1666" s="4"/>
      <c r="R1666"/>
      <c r="S1666"/>
      <c r="T1666" s="4"/>
      <c r="U1666" s="4"/>
      <c r="V1666"/>
      <c r="W1666"/>
      <c r="X1666"/>
      <c r="Y1666" t="inlineStr">
        <is>
          <t>Pending Appointment</t>
        </is>
      </c>
      <c r="Z1666" t="inlineStr">
        <is>
          <t>Hiring Now</t>
        </is>
      </c>
      <c r="AA1666">
        <v>2</v>
      </c>
      <c r="AB1666" t="inlineStr">
        <is>
          <t>No Appointment Made</t>
        </is>
      </c>
      <c r="AC1666"/>
      <c r="AD1666" t="inlineStr">
        <is>
          <t>accountant - 1, manager - 1</t>
        </is>
      </c>
      <c r="AE1666"/>
      <c r="AF1666">
        <v>0</v>
      </c>
      <c r="AG1666" s="4"/>
      <c r="AH1666" s="4"/>
      <c r="AI1666">
        <v>0</v>
      </c>
      <c r="AJ1666">
        <v>1</v>
      </c>
      <c r="AK1666" t="inlineStr">
        <is>
          <t>No, but I want in future</t>
        </is>
      </c>
      <c r="AL1666">
        <v>0</v>
      </c>
      <c r="AM1666" t="inlineStr">
        <is>
          <t>No, I don't need at all</t>
        </is>
      </c>
      <c r="AN1666"/>
      <c r="AO1666" t="inlineStr">
        <is>
          <t>No, but I want in future</t>
        </is>
      </c>
      <c r="AP1666" t="inlineStr">
        <is>
          <t>Once a year (25%)</t>
        </is>
      </c>
      <c r="AQ1666">
        <v>3</v>
      </c>
      <c r="AR1666" t="inlineStr">
        <is>
          <t>Free Job Portal</t>
        </is>
      </c>
      <c r="AS1666" t="inlineStr">
        <is>
          <t>- Headcount: 2
- Hiring Job Details: 1 accountant, 1 manager
- Hiring Urgency: Hiring Now
- Number of outlets: 1
- Have recruiter team: No, but want in future
- Number of recruiter in company: 0
- Have ATS system: No, don't need at all
- Have career website: No, but want in future
- Current hiring budget: RM0
- Whole year budget: RM0.00
- Whole year number of vacancies: 3
- Hiring frequency: Once a year (25%)
- External job portal: Free Job Portal</t>
        </is>
      </c>
      <c r="AT1666">
        <v>100</v>
      </c>
      <c r="AU1666" t="inlineStr">
        <is>
          <t>1.00</t>
        </is>
      </c>
      <c r="AV1666" t="inlineStr">
        <is>
          <t>15</t>
        </is>
      </c>
      <c r="AW1666" t="inlineStr">
        <is>
          <t>0</t>
        </is>
      </c>
      <c r="AX1666" t="inlineStr">
        <is>
          <t>Not Qualified</t>
        </is>
      </c>
      <c r="AY1666" s="4"/>
      <c r="AZ1666"/>
      <c r="BA1666"/>
      <c r="BB1666"/>
      <c r="BC1666"/>
      <c r="BD1666" s="4"/>
      <c r="BE1666"/>
      <c r="BF1666"/>
      <c r="BG1666" t="inlineStr">
        <is>
          <t>Reschedule</t>
        </is>
      </c>
      <c r="BH1666" t="inlineStr">
        <is>
          <t>Edward Hoo</t>
        </is>
      </c>
      <c r="BI1666"/>
      <c r="BJ1666" s="4">
        <v>46144.755833333336</v>
      </c>
      <c r="BK1666" s="4">
        <v>46127.95655092593</v>
      </c>
      <c r="BL1666" t="inlineStr">
        <is>
          <t>0.0</t>
        </is>
      </c>
      <c r="BM1666" t="inlineStr">
        <is>
          <t>0.0</t>
        </is>
      </c>
      <c r="BN1666"/>
      <c r="BO1666" s="4"/>
      <c r="BP1666">
        <v>167298</v>
      </c>
      <c r="BQ1666"/>
      <c r="BR1666"/>
      <c r="BS1666"/>
      <c r="BT1666"/>
      <c r="BU1666"/>
      <c r="BV1666"/>
      <c r="BW1666"/>
      <c r="BX1666"/>
      <c r="BY1666"/>
      <c r="BZ1666" s="4"/>
      <c r="CA1666"/>
      <c r="CB1666"/>
      <c r="CC1666" s="4"/>
      <c r="CD1666" t="inlineStr">
        <is>
          <t>20</t>
        </is>
      </c>
      <c r="CE1666" t="inlineStr">
        <is>
          <t>0</t>
        </is>
      </c>
      <c r="CF1666" t="inlineStr">
        <is>
          <t>Q2-W02</t>
        </is>
      </c>
      <c r="CG1666"/>
      <c r="CH1666"/>
      <c r="CI1666"/>
      <c r="CJ1666" t="inlineStr">
        <is>
          <t>No Paid</t>
        </is>
      </c>
      <c r="CK1666" t="inlineStr">
        <is>
          <t>Not Eligible</t>
        </is>
      </c>
      <c r="CL1666"/>
      <c r="CM1666"/>
    </row>
    <row r="1667" ht="25.5" customHeight="1">
      <c r="A1667" t="inlineStr">
        <is>
          <t>200074</t>
        </is>
      </c>
      <c r="B1667" s="2"/>
      <c r="C1667"/>
      <c r="D1667" s="3">
        <v>46128.42283564815</v>
      </c>
      <c r="E1667" t="inlineStr">
        <is>
          <t>Q2-W02</t>
        </is>
      </c>
      <c r="F1667" t="inlineStr">
        <is>
          <t>Eugene</t>
        </is>
      </c>
      <c r="G1667" t="inlineStr">
        <is>
          <t>Customer</t>
        </is>
      </c>
      <c r="H1667" s="2" t="str">
        <f>=HYPERLINK("https://upbox.ajobthing.my/customer/200074", "https://upbox.ajobthing.my/customer/200074")</f>
        <v>https://upbox.ajobthing.my/customer/200074</v>
      </c>
      <c r="I1667" t="inlineStr">
        <is>
          <t>Guangyao Automotor Lighting</t>
        </is>
      </c>
      <c r="J1667" t="inlineStr">
        <is>
          <t>Dolphin</t>
        </is>
      </c>
      <c r="K1667" t="inlineStr">
        <is>
          <t>Eugene</t>
        </is>
      </c>
      <c r="L1667" s="4"/>
      <c r="M1667" s="4">
        <v>46128.42291666667</v>
      </c>
      <c r="N1667"/>
      <c r="O1667">
        <v>3888</v>
      </c>
      <c r="P1667" s="4"/>
      <c r="Q1667" s="4">
        <v>46129.637870370374</v>
      </c>
      <c r="R1667"/>
      <c r="S1667">
        <v>864</v>
      </c>
      <c r="T1667" s="4">
        <v>46129.637870370374</v>
      </c>
      <c r="U1667" s="4"/>
      <c r="V1667"/>
      <c r="W1667">
        <v>864</v>
      </c>
      <c r="X1667"/>
      <c r="Y1667" t="inlineStr">
        <is>
          <t>Pending Appointment</t>
        </is>
      </c>
      <c r="Z1667" t="inlineStr">
        <is>
          <t>Hiring Now</t>
        </is>
      </c>
      <c r="AA1667">
        <v>1</v>
      </c>
      <c r="AB1667" t="inlineStr">
        <is>
          <t>No Appointment Made</t>
        </is>
      </c>
      <c r="AC1667"/>
      <c r="AD1667" t="inlineStr">
        <is>
          <t>1 position, based in Cyberjaya</t>
        </is>
      </c>
      <c r="AE1667"/>
      <c r="AF1667">
        <v>3000</v>
      </c>
      <c r="AG1667" s="4"/>
      <c r="AH1667" s="4"/>
      <c r="AI1667">
        <v>3000</v>
      </c>
      <c r="AJ1667">
        <v>1</v>
      </c>
      <c r="AK1667" t="inlineStr">
        <is>
          <t>No, I don't need at all</t>
        </is>
      </c>
      <c r="AL1667">
        <v>1</v>
      </c>
      <c r="AM1667" t="inlineStr">
        <is>
          <t>No, I don't need at all</t>
        </is>
      </c>
      <c r="AN1667"/>
      <c r="AO1667" t="inlineStr">
        <is>
          <t>No, I don't need at all</t>
        </is>
      </c>
      <c r="AP1667" t="inlineStr">
        <is>
          <t>Once a year (25%)</t>
        </is>
      </c>
      <c r="AQ1667">
        <v>3</v>
      </c>
      <c r="AR1667" t="inlineStr">
        <is>
          <t>Free Job Portal</t>
        </is>
      </c>
      <c r="AS1667" t="inlineStr">
        <is>
          <t>- Headcount: 1
- Hiring Job Details: 1 position, based in Cyberjaya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is>
      </c>
      <c r="AT1667">
        <v>85</v>
      </c>
      <c r="AU1667" t="inlineStr">
        <is>
          <t>0.85</t>
        </is>
      </c>
      <c r="AV1667" t="inlineStr">
        <is>
          <t>15</t>
        </is>
      </c>
      <c r="AW1667" t="inlineStr">
        <is>
          <t>0</t>
        </is>
      </c>
      <c r="AX1667" t="inlineStr">
        <is>
          <t>Not Qualified</t>
        </is>
      </c>
      <c r="AY1667" s="4"/>
      <c r="AZ1667"/>
      <c r="BA1667"/>
      <c r="BB1667"/>
      <c r="BC1667" t="inlineStr">
        <is>
          <t>used up credits</t>
        </is>
      </c>
      <c r="BD1667" s="4">
        <v>46139.3884375</v>
      </c>
      <c r="BE1667" t="inlineStr">
        <is>
          <t>paid</t>
        </is>
      </c>
      <c r="BF1667" t="inlineStr">
        <is>
          <t>Q2-W03</t>
        </is>
      </c>
      <c r="BG1667" t="inlineStr">
        <is>
          <t>Reschedule</t>
        </is>
      </c>
      <c r="BH1667" t="inlineStr">
        <is>
          <t>Edward Hoo</t>
        </is>
      </c>
      <c r="BI1667"/>
      <c r="BJ1667" s="4">
        <v>46144.75344907407</v>
      </c>
      <c r="BK1667" s="4">
        <v>46030.4906712963</v>
      </c>
      <c r="BL1667" t="inlineStr">
        <is>
          <t>864.0</t>
        </is>
      </c>
      <c r="BM1667" t="inlineStr">
        <is>
          <t>600.0</t>
        </is>
      </c>
      <c r="BN1667" t="inlineStr">
        <is>
          <t>PA Visit - Job Card</t>
        </is>
      </c>
      <c r="BO1667" s="4">
        <v>46142.386145833334</v>
      </c>
      <c r="BP1667">
        <v>167299</v>
      </c>
      <c r="BQ1667">
        <v>94091</v>
      </c>
      <c r="BR1667" t="inlineStr">
        <is>
          <t>Online</t>
        </is>
      </c>
      <c r="BS1667"/>
      <c r="BT1667">
        <v>94091</v>
      </c>
      <c r="BU1667"/>
      <c r="BV1667">
        <v>2728097</v>
      </c>
      <c r="BW1667" t="inlineStr">
        <is>
          <t>Service / Technical : Job Outcome Enquiry</t>
        </is>
      </c>
      <c r="BX1667">
        <v>1</v>
      </c>
      <c r="BY1667">
        <v>0</v>
      </c>
      <c r="BZ1667" s="4">
        <v>46133.429398148146</v>
      </c>
      <c r="CA1667">
        <v>23</v>
      </c>
      <c r="CB1667">
        <v>13</v>
      </c>
      <c r="CC1667" s="4">
        <v>46136.40431712963</v>
      </c>
      <c r="CD1667" t="inlineStr">
        <is>
          <t>20</t>
        </is>
      </c>
      <c r="CE1667" t="inlineStr">
        <is>
          <t>0</t>
        </is>
      </c>
      <c r="CF1667" t="inlineStr">
        <is>
          <t>Q2-W02</t>
        </is>
      </c>
      <c r="CG1667" t="inlineStr">
        <is>
          <t>Q2-W03</t>
        </is>
      </c>
      <c r="CH1667" t="inlineStr">
        <is>
          <t>Q2-W03</t>
        </is>
      </c>
      <c r="CI1667"/>
      <c r="CJ1667" t="inlineStr">
        <is>
          <t>Paid</t>
        </is>
      </c>
      <c r="CK1667" t="inlineStr">
        <is>
          <t>Not Eligible</t>
        </is>
      </c>
      <c r="CL1667"/>
      <c r="CM1667"/>
    </row>
    <row r="1668" ht="25.5" customHeight="1">
      <c r="A1668" t="inlineStr">
        <is>
          <t>197303</t>
        </is>
      </c>
      <c r="B1668" s="2"/>
      <c r="C1668"/>
      <c r="D1668" s="3">
        <v>46128.42392361111</v>
      </c>
      <c r="E1668" t="inlineStr">
        <is>
          <t>Q2-W02</t>
        </is>
      </c>
      <c r="F1668" t="inlineStr">
        <is>
          <t>Lucas</t>
        </is>
      </c>
      <c r="G1668" t="inlineStr">
        <is>
          <t>Customer</t>
        </is>
      </c>
      <c r="H1668" s="2" t="str">
        <f>=HYPERLINK("https://upbox.ajobthing.my/customer/197303", "https://upbox.ajobthing.my/customer/197303")</f>
        <v>https://upbox.ajobthing.my/customer/197303</v>
      </c>
      <c r="I1668" t="inlineStr">
        <is>
          <t>Drums Interior Sdn Bhd</t>
        </is>
      </c>
      <c r="J1668" t="inlineStr">
        <is>
          <t>Dolphin</t>
        </is>
      </c>
      <c r="K1668" t="inlineStr">
        <is>
          <t>Lucas</t>
        </is>
      </c>
      <c r="L1668" s="4"/>
      <c r="M1668" s="4">
        <v>46128.422372685185</v>
      </c>
      <c r="N1668"/>
      <c r="O1668">
        <v>6048</v>
      </c>
      <c r="P1668" s="4"/>
      <c r="Q1668" s="4">
        <v>46127.59116898148</v>
      </c>
      <c r="R1668"/>
      <c r="S1668">
        <v>0</v>
      </c>
      <c r="T1668" s="4">
        <v>45951.60837962963</v>
      </c>
      <c r="U1668" s="4"/>
      <c r="V1668"/>
      <c r="W1668">
        <v>1296</v>
      </c>
      <c r="X1668"/>
      <c r="Y1668" t="inlineStr">
        <is>
          <t>Pending Appointment</t>
        </is>
      </c>
      <c r="Z1668" t="inlineStr">
        <is>
          <t>Hiring Now</t>
        </is>
      </c>
      <c r="AA1668">
        <v>1</v>
      </c>
      <c r="AB1668" t="inlineStr">
        <is>
          <t>No Appointment Made</t>
        </is>
      </c>
      <c r="AC1668"/>
      <c r="AD1668" t="inlineStr">
        <is>
          <t xml:space="preserve">1 senior designer </t>
        </is>
      </c>
      <c r="AE1668"/>
      <c r="AF1668">
        <v>0</v>
      </c>
      <c r="AG1668" s="4"/>
      <c r="AH1668" s="4"/>
      <c r="AI1668">
        <v>0</v>
      </c>
      <c r="AJ1668">
        <v>0</v>
      </c>
      <c r="AK1668" t="inlineStr">
        <is>
          <t>No, I don't need at all</t>
        </is>
      </c>
      <c r="AL1668">
        <v>0</v>
      </c>
      <c r="AM1668" t="inlineStr">
        <is>
          <t>No, I don't need at all</t>
        </is>
      </c>
      <c r="AN1668"/>
      <c r="AO1668" t="inlineStr">
        <is>
          <t>No, I don't need at all</t>
        </is>
      </c>
      <c r="AP1668" t="inlineStr">
        <is>
          <t>Once a year (25%)</t>
        </is>
      </c>
      <c r="AQ1668">
        <v>1</v>
      </c>
      <c r="AR1668" t="inlineStr">
        <is>
          <t>Did not use any job portal</t>
        </is>
      </c>
      <c r="AS1668" t="inlineStr">
        <is>
          <t>- Headcount: 1
- Hiring Job Details: 1 senior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668">
        <v>100</v>
      </c>
      <c r="AU1668" t="inlineStr">
        <is>
          <t>1.00</t>
        </is>
      </c>
      <c r="AV1668" t="inlineStr">
        <is>
          <t>15</t>
        </is>
      </c>
      <c r="AW1668" t="inlineStr">
        <is>
          <t>0</t>
        </is>
      </c>
      <c r="AX1668" t="inlineStr">
        <is>
          <t>Not Qualified</t>
        </is>
      </c>
      <c r="AY1668" s="4"/>
      <c r="AZ1668"/>
      <c r="BA1668"/>
      <c r="BB1668"/>
      <c r="BC1668" t="inlineStr">
        <is>
          <t>job street more cheaper</t>
        </is>
      </c>
      <c r="BD1668" s="4">
        <v>46134.409155092595</v>
      </c>
      <c r="BE1668" t="inlineStr">
        <is>
          <t>paid</t>
        </is>
      </c>
      <c r="BF1668"/>
      <c r="BG1668" t="inlineStr">
        <is>
          <t>Reschedule</t>
        </is>
      </c>
      <c r="BH1668" t="inlineStr">
        <is>
          <t>Yee Hang</t>
        </is>
      </c>
      <c r="BI1668" t="inlineStr">
        <is>
          <t>Architecture / Interior Design</t>
        </is>
      </c>
      <c r="BJ1668" s="4">
        <v>46144.75288194444</v>
      </c>
      <c r="BK1668" s="4">
        <v>45946.71078703704</v>
      </c>
      <c r="BL1668" t="inlineStr">
        <is>
          <t>1296.0</t>
        </is>
      </c>
      <c r="BM1668" t="inlineStr">
        <is>
          <t>1200.0</t>
        </is>
      </c>
      <c r="BN1668" t="inlineStr">
        <is>
          <t>View Company Page</t>
        </is>
      </c>
      <c r="BO1668" s="4">
        <v>46129.7244212963</v>
      </c>
      <c r="BP1668">
        <v>167297</v>
      </c>
      <c r="BQ1668">
        <v>122510</v>
      </c>
      <c r="BR1668" t="inlineStr">
        <is>
          <t>Proforma</t>
        </is>
      </c>
      <c r="BS1668" t="inlineStr">
        <is>
          <t>Free Part-Time Job</t>
        </is>
      </c>
      <c r="BT1668">
        <v>83463</v>
      </c>
      <c r="BU1668"/>
      <c r="BV1668">
        <v>2719477</v>
      </c>
      <c r="BW1668" t="inlineStr">
        <is>
          <t>Follow Up : Lost - Paid Portal</t>
        </is>
      </c>
      <c r="BX1668"/>
      <c r="BY1668"/>
      <c r="BZ1668" s="4"/>
      <c r="CA1668"/>
      <c r="CB1668"/>
      <c r="CC1668" s="4"/>
      <c r="CD1668" t="inlineStr">
        <is>
          <t>20</t>
        </is>
      </c>
      <c r="CE1668" t="inlineStr">
        <is>
          <t>0</t>
        </is>
      </c>
      <c r="CF1668" t="inlineStr">
        <is>
          <t>Q2-W02</t>
        </is>
      </c>
      <c r="CG1668" t="inlineStr">
        <is>
          <t>Q2-W02</t>
        </is>
      </c>
      <c r="CH1668"/>
      <c r="CI1668"/>
      <c r="CJ1668" t="inlineStr">
        <is>
          <t>Paid</t>
        </is>
      </c>
      <c r="CK1668" t="inlineStr">
        <is>
          <t>Not Eligible</t>
        </is>
      </c>
      <c r="CL1668"/>
      <c r="CM1668"/>
    </row>
    <row r="1669" ht="25.5" customHeight="1">
      <c r="A1669" t="inlineStr">
        <is>
          <t>174754</t>
        </is>
      </c>
      <c r="B1669" s="2"/>
      <c r="C1669"/>
      <c r="D1669" s="3">
        <v>46128.42827546296</v>
      </c>
      <c r="E1669" t="inlineStr">
        <is>
          <t>Q2-W02</t>
        </is>
      </c>
      <c r="F1669" t="inlineStr">
        <is>
          <t>Luqman</t>
        </is>
      </c>
      <c r="G1669" t="inlineStr">
        <is>
          <t>Customer</t>
        </is>
      </c>
      <c r="H1669" s="2" t="str">
        <f>=HYPERLINK("https://upbox.ajobthing.my/customer/174754", "https://upbox.ajobthing.my/customer/174754")</f>
        <v>https://upbox.ajobthing.my/customer/174754</v>
      </c>
      <c r="I1669" t="inlineStr">
        <is>
          <t>J-Lin Cipta Sdn Bhd</t>
        </is>
      </c>
      <c r="J1669" t="inlineStr">
        <is>
          <t>Dolphin</t>
        </is>
      </c>
      <c r="K1669" t="inlineStr">
        <is>
          <t>Luqman</t>
        </is>
      </c>
      <c r="L1669" s="4"/>
      <c r="M1669" s="4">
        <v>46128.42888888889</v>
      </c>
      <c r="N1669"/>
      <c r="O1669">
        <v>3888</v>
      </c>
      <c r="P1669" s="4"/>
      <c r="Q1669" s="4">
        <v>45471</v>
      </c>
      <c r="R1669"/>
      <c r="S1669">
        <v>1728</v>
      </c>
      <c r="T1669" s="4">
        <v>45471</v>
      </c>
      <c r="U1669" s="4"/>
      <c r="V1669"/>
      <c r="W1669">
        <v>1728</v>
      </c>
      <c r="X1669"/>
      <c r="Y1669" t="inlineStr">
        <is>
          <t>Pending Appointment</t>
        </is>
      </c>
      <c r="Z1669" t="inlineStr">
        <is>
          <t>Hiring Later</t>
        </is>
      </c>
      <c r="AA1669">
        <v>2</v>
      </c>
      <c r="AB1669" t="inlineStr">
        <is>
          <t>No Appointment Made</t>
        </is>
      </c>
      <c r="AC1669"/>
      <c r="AD1669" t="inlineStr">
        <is>
          <t xml:space="preserve">1. Sales Executive 2. Sales Supervisor </t>
        </is>
      </c>
      <c r="AE1669"/>
      <c r="AF1669">
        <v>1200</v>
      </c>
      <c r="AG1669" s="4"/>
      <c r="AH1669" s="4"/>
      <c r="AI1669">
        <v>1200</v>
      </c>
      <c r="AJ1669"/>
      <c r="AK1669" t="inlineStr">
        <is>
          <t>No, I don't need at all</t>
        </is>
      </c>
      <c r="AL1669">
        <v>1</v>
      </c>
      <c r="AM1669" t="inlineStr">
        <is>
          <t>No, I don't need at all</t>
        </is>
      </c>
      <c r="AN1669"/>
      <c r="AO1669" t="inlineStr">
        <is>
          <t>No, I don't need at all</t>
        </is>
      </c>
      <c r="AP1669" t="inlineStr">
        <is>
          <t>Twice a year (50%)</t>
        </is>
      </c>
      <c r="AQ1669">
        <v>3</v>
      </c>
      <c r="AR1669" t="inlineStr">
        <is>
          <t>Free Job Portal</t>
        </is>
      </c>
      <c r="AS1669" t="inlineStr">
        <is>
          <t>- Headcount: 2
- Hiring Job Details: 1. Sales Executive 2. Sales Supervisor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3
- Hiring frequency: Twice a year (50%)
- External job portal: Free Job Portal</t>
        </is>
      </c>
      <c r="AT1669">
        <v>75</v>
      </c>
      <c r="AU1669" t="inlineStr">
        <is>
          <t>0.75</t>
        </is>
      </c>
      <c r="AV1669" t="inlineStr">
        <is>
          <t>15</t>
        </is>
      </c>
      <c r="AW1669" t="inlineStr">
        <is>
          <t>0</t>
        </is>
      </c>
      <c r="AX1669" t="inlineStr">
        <is>
          <t>Not Qualified</t>
        </is>
      </c>
      <c r="AY1669" s="4"/>
      <c r="AZ1669"/>
      <c r="BA1669"/>
      <c r="BB1669"/>
      <c r="BC1669" t="inlineStr">
        <is>
          <t>NA Dropped a text via Whatsapp</t>
        </is>
      </c>
      <c r="BD1669" s="4">
        <v>46133.467361111114</v>
      </c>
      <c r="BE1669" t="inlineStr">
        <is>
          <t>paid</t>
        </is>
      </c>
      <c r="BF1669"/>
      <c r="BG1669" t="inlineStr">
        <is>
          <t>Reschedule</t>
        </is>
      </c>
      <c r="BH1669" t="inlineStr">
        <is>
          <t>Edward Hoo</t>
        </is>
      </c>
      <c r="BI1669" t="inlineStr">
        <is>
          <t>Retail / Merchandise</t>
        </is>
      </c>
      <c r="BJ1669" s="4">
        <v>46144.75158564815</v>
      </c>
      <c r="BK1669" s="4">
        <v>45310.41517361111</v>
      </c>
      <c r="BL1669" t="inlineStr">
        <is>
          <t>0.0</t>
        </is>
      </c>
      <c r="BM1669" t="inlineStr">
        <is>
          <t>600.0</t>
        </is>
      </c>
      <c r="BN1669" t="inlineStr">
        <is>
          <t>View Jobmanager Page</t>
        </is>
      </c>
      <c r="BO1669" s="4">
        <v>45770.66984953704</v>
      </c>
      <c r="BP1669">
        <v>167304</v>
      </c>
      <c r="BQ1669">
        <v>70583</v>
      </c>
      <c r="BR1669" t="inlineStr">
        <is>
          <t>Online</t>
        </is>
      </c>
      <c r="BS1669"/>
      <c r="BT1669">
        <v>70583</v>
      </c>
      <c r="BU1669"/>
      <c r="BV1669">
        <v>2717370</v>
      </c>
      <c r="BW1669" t="inlineStr">
        <is>
          <t>No Answer : Voicemail - WA sent to customer</t>
        </is>
      </c>
      <c r="BX1669"/>
      <c r="BY1669"/>
      <c r="BZ1669" s="4"/>
      <c r="CA1669"/>
      <c r="CB1669"/>
      <c r="CC1669" s="4"/>
      <c r="CD1669" t="inlineStr">
        <is>
          <t>20</t>
        </is>
      </c>
      <c r="CE1669" t="inlineStr">
        <is>
          <t>0</t>
        </is>
      </c>
      <c r="CF1669" t="inlineStr">
        <is>
          <t>Q2-W02</t>
        </is>
      </c>
      <c r="CG1669"/>
      <c r="CH1669"/>
      <c r="CI1669"/>
      <c r="CJ1669" t="inlineStr">
        <is>
          <t>Paid</t>
        </is>
      </c>
      <c r="CK1669" t="inlineStr">
        <is>
          <t>Not Eligible</t>
        </is>
      </c>
      <c r="CL1669"/>
      <c r="CM1669"/>
    </row>
    <row r="1670" ht="25.5" customHeight="1">
      <c r="A1670" t="inlineStr">
        <is>
          <t>172967</t>
        </is>
      </c>
      <c r="B1670" s="2"/>
      <c r="C1670"/>
      <c r="D1670" s="3">
        <v>46128.43766203704</v>
      </c>
      <c r="E1670" t="inlineStr">
        <is>
          <t>Q2-W02</t>
        </is>
      </c>
      <c r="F1670" t="inlineStr">
        <is>
          <t>Luqman</t>
        </is>
      </c>
      <c r="G1670" t="inlineStr">
        <is>
          <t>Customer</t>
        </is>
      </c>
      <c r="H1670" s="2" t="str">
        <f>=HYPERLINK("https://upbox.ajobthing.my/customer/172967", "https://upbox.ajobthing.my/customer/172967")</f>
        <v>https://upbox.ajobthing.my/customer/172967</v>
      </c>
      <c r="I1670" t="inlineStr">
        <is>
          <t>Lianbee Jeco (M) Sdn Bhd</t>
        </is>
      </c>
      <c r="J1670" t="inlineStr">
        <is>
          <t>Dolphin</t>
        </is>
      </c>
      <c r="K1670" t="inlineStr">
        <is>
          <t>Luqman</t>
        </is>
      </c>
      <c r="L1670" s="4"/>
      <c r="M1670" s="4">
        <v>46128.437893518516</v>
      </c>
      <c r="N1670"/>
      <c r="O1670">
        <v>3888</v>
      </c>
      <c r="P1670" s="4"/>
      <c r="Q1670" s="4">
        <v>45254.00001157408</v>
      </c>
      <c r="R1670"/>
      <c r="S1670">
        <v>954</v>
      </c>
      <c r="T1670" s="4">
        <v>45254.00001157408</v>
      </c>
      <c r="U1670" s="4"/>
      <c r="V1670"/>
      <c r="W1670">
        <v>954</v>
      </c>
      <c r="X1670"/>
      <c r="Y1670" t="inlineStr">
        <is>
          <t>Pending Appointment</t>
        </is>
      </c>
      <c r="Z1670" t="inlineStr">
        <is>
          <t>Hiring Later</t>
        </is>
      </c>
      <c r="AA1670">
        <v>2</v>
      </c>
      <c r="AB1670" t="inlineStr">
        <is>
          <t>No Appointment Made</t>
        </is>
      </c>
      <c r="AC1670"/>
      <c r="AD1670" t="inlineStr">
        <is>
          <t>1. Promoter 2. Sales Executive</t>
        </is>
      </c>
      <c r="AE1670"/>
      <c r="AF1670">
        <v>1200</v>
      </c>
      <c r="AG1670" s="4"/>
      <c r="AH1670" s="4"/>
      <c r="AI1670">
        <v>1200</v>
      </c>
      <c r="AJ1670"/>
      <c r="AK1670" t="inlineStr">
        <is>
          <t>No, but I want in future</t>
        </is>
      </c>
      <c r="AL1670">
        <v>2</v>
      </c>
      <c r="AM1670" t="inlineStr">
        <is>
          <t>No, I don't need at all</t>
        </is>
      </c>
      <c r="AN1670"/>
      <c r="AO1670" t="inlineStr">
        <is>
          <t>No, I don't need at all</t>
        </is>
      </c>
      <c r="AP1670" t="inlineStr">
        <is>
          <t>Once a year (25%)</t>
        </is>
      </c>
      <c r="AQ1670">
        <v>2</v>
      </c>
      <c r="AR1670" t="inlineStr">
        <is>
          <t>Free Job Portal</t>
        </is>
      </c>
      <c r="AS1670" t="inlineStr">
        <is>
          <t>- Headcount: 2
- Hiring Job Details: 1. Promoter 2. Sales Executive
- Hiring Urgency: Hiring Later
- Number of outlets: Not provided
- Have recruiter team: No, but want in future
- Number of recruiter in company: 2
- Have ATS system: No, don't need at all
- Have career website: No, don't need at all
- Current hiring budget: RM1,200
- Whole year budget: RM1,200.00
- Whole year number of vacancies: 2
- Hiring frequency: Once a year (25%)
- External job portal: Free Job Portal</t>
        </is>
      </c>
      <c r="AT1670">
        <v>100</v>
      </c>
      <c r="AU1670" t="inlineStr">
        <is>
          <t>1.00</t>
        </is>
      </c>
      <c r="AV1670" t="inlineStr">
        <is>
          <t>15</t>
        </is>
      </c>
      <c r="AW1670" t="inlineStr">
        <is>
          <t>0</t>
        </is>
      </c>
      <c r="AX1670" t="inlineStr">
        <is>
          <t>Not Qualified</t>
        </is>
      </c>
      <c r="AY1670" s="4"/>
      <c r="AZ1670"/>
      <c r="BA1670"/>
      <c r="BB1670"/>
      <c r="BC1670" t="inlineStr">
        <is>
          <t>Business hiring on hold</t>
        </is>
      </c>
      <c r="BD1670" s="4">
        <v>46141.591875</v>
      </c>
      <c r="BE1670" t="inlineStr">
        <is>
          <t>paid</t>
        </is>
      </c>
      <c r="BF1670"/>
      <c r="BG1670" t="inlineStr">
        <is>
          <t>Reschedule</t>
        </is>
      </c>
      <c r="BH1670" t="inlineStr">
        <is>
          <t>Edward Hoo</t>
        </is>
      </c>
      <c r="BI1670" t="inlineStr">
        <is>
          <t>Retail / Merchandise</t>
        </is>
      </c>
      <c r="BJ1670" s="4">
        <v>46144.75150462963</v>
      </c>
      <c r="BK1670" s="4">
        <v>45246.57774305555</v>
      </c>
      <c r="BL1670" t="inlineStr">
        <is>
          <t>0.0</t>
        </is>
      </c>
      <c r="BM1670" t="inlineStr">
        <is>
          <t>150.0</t>
        </is>
      </c>
      <c r="BN1670" t="inlineStr">
        <is>
          <t>View Jobmanager Page</t>
        </is>
      </c>
      <c r="BO1670" s="4">
        <v>45425.42917824074</v>
      </c>
      <c r="BP1670">
        <v>167310</v>
      </c>
      <c r="BQ1670">
        <v>64104</v>
      </c>
      <c r="BR1670" t="inlineStr">
        <is>
          <t>Online</t>
        </is>
      </c>
      <c r="BS1670"/>
      <c r="BT1670">
        <v>64104</v>
      </c>
      <c r="BU1670"/>
      <c r="BV1670">
        <v>2735232</v>
      </c>
      <c r="BW1670" t="inlineStr">
        <is>
          <t>Follow Up : Lost - Free Portal</t>
        </is>
      </c>
      <c r="BX1670"/>
      <c r="BY1670"/>
      <c r="BZ1670" s="4"/>
      <c r="CA1670"/>
      <c r="CB1670"/>
      <c r="CC1670" s="4"/>
      <c r="CD1670" t="inlineStr">
        <is>
          <t>20</t>
        </is>
      </c>
      <c r="CE1670" t="inlineStr">
        <is>
          <t>0</t>
        </is>
      </c>
      <c r="CF1670" t="inlineStr">
        <is>
          <t>Q2-W02</t>
        </is>
      </c>
      <c r="CG1670"/>
      <c r="CH1670"/>
      <c r="CI1670"/>
      <c r="CJ1670" t="inlineStr">
        <is>
          <t>Paid</t>
        </is>
      </c>
      <c r="CK1670" t="inlineStr">
        <is>
          <t>Not Eligible</t>
        </is>
      </c>
      <c r="CL1670"/>
      <c r="CM1670"/>
    </row>
    <row r="1671" ht="25.5" customHeight="1">
      <c r="A1671" t="inlineStr">
        <is>
          <t>135638</t>
        </is>
      </c>
      <c r="B1671" s="2"/>
      <c r="C1671"/>
      <c r="D1671" s="3">
        <v>46128.43898148148</v>
      </c>
      <c r="E1671" t="inlineStr">
        <is>
          <t>Q2-W02</t>
        </is>
      </c>
      <c r="F1671" t="inlineStr">
        <is>
          <t>Chia Yee</t>
        </is>
      </c>
      <c r="G1671" t="inlineStr">
        <is>
          <t>Customer</t>
        </is>
      </c>
      <c r="H1671" s="2" t="str">
        <f>=HYPERLINK("https://upbox.ajobthing.my/customer/135638", "https://upbox.ajobthing.my/customer/135638")</f>
        <v>https://upbox.ajobthing.my/customer/135638</v>
      </c>
      <c r="I1671" t="inlineStr">
        <is>
          <t>Koseido Engineering Sdn Bhd</t>
        </is>
      </c>
      <c r="J1671" t="inlineStr">
        <is>
          <t>Dolphin</t>
        </is>
      </c>
      <c r="K1671" t="inlineStr">
        <is>
          <t>Chia Yee</t>
        </is>
      </c>
      <c r="L1671" s="4"/>
      <c r="M1671" s="4">
        <v>46128.43916666666</v>
      </c>
      <c r="N1671"/>
      <c r="O1671">
        <v>3888</v>
      </c>
      <c r="P1671" s="4"/>
      <c r="Q1671" s="4">
        <v>46127.47020833333</v>
      </c>
      <c r="R1671"/>
      <c r="S1671">
        <v>0</v>
      </c>
      <c r="T1671" s="4">
        <v>45595</v>
      </c>
      <c r="U1671" s="4"/>
      <c r="V1671"/>
      <c r="W1671">
        <v>2916</v>
      </c>
      <c r="X1671"/>
      <c r="Y1671" t="inlineStr">
        <is>
          <t>Pending Appointment</t>
        </is>
      </c>
      <c r="Z1671" t="inlineStr">
        <is>
          <t>Hiring Now</t>
        </is>
      </c>
      <c r="AA1671">
        <v>1</v>
      </c>
      <c r="AB1671" t="inlineStr">
        <is>
          <t>No Appointment Made</t>
        </is>
      </c>
      <c r="AC1671"/>
      <c r="AD1671" t="inlineStr">
        <is>
          <t>1 Service Engineer</t>
        </is>
      </c>
      <c r="AE1671"/>
      <c r="AF1671">
        <v>0</v>
      </c>
      <c r="AG1671" s="4"/>
      <c r="AH1671" s="4"/>
      <c r="AI1671">
        <v>0</v>
      </c>
      <c r="AJ1671">
        <v>1</v>
      </c>
      <c r="AK1671" t="inlineStr">
        <is>
          <t>Yes, I have</t>
        </is>
      </c>
      <c r="AL1671">
        <v>1</v>
      </c>
      <c r="AM1671" t="inlineStr">
        <is>
          <t>No, I don't need at all</t>
        </is>
      </c>
      <c r="AN1671"/>
      <c r="AO1671" t="inlineStr">
        <is>
          <t>Yes, I have</t>
        </is>
      </c>
      <c r="AP1671" t="inlineStr">
        <is>
          <t>Once a year (25%)</t>
        </is>
      </c>
      <c r="AQ1671">
        <v>1</v>
      </c>
      <c r="AR1671" t="inlineStr">
        <is>
          <t>Did not use any job portal</t>
        </is>
      </c>
      <c r="AS1671" t="inlineStr">
        <is>
          <t>- Headcount: 1
- Hiring Job Details: 1 Service Engineer
- Hiring Urgency: Hiring Now
- Number of outlets: 1
- Have recruiter team: Yes
- Number of recruiter in company: 1
- Have ATS system: No, I don't need at all
- Have career website: Yes
- Current hiring budget: RM0.00
- Whole year budget: RM0.00
- Whole year number of vacancies: 1
- Hiring frequency: Once a year (25%)
- External job portal: Did not use any job portal</t>
        </is>
      </c>
      <c r="AT1671">
        <v>115</v>
      </c>
      <c r="AU1671" t="inlineStr">
        <is>
          <t>1.15</t>
        </is>
      </c>
      <c r="AV1671" t="inlineStr">
        <is>
          <t>15</t>
        </is>
      </c>
      <c r="AW1671" t="inlineStr">
        <is>
          <t>0</t>
        </is>
      </c>
      <c r="AX1671" t="inlineStr">
        <is>
          <t>Not Qualified</t>
        </is>
      </c>
      <c r="AY1671" s="4"/>
      <c r="AZ1671"/>
      <c r="BA1671"/>
      <c r="BB1671"/>
      <c r="BC1671" t="inlineStr">
        <is>
          <t>Called Ms. Yap, still no feedback yet. Boss very bust recently, not so fast</t>
        </is>
      </c>
      <c r="BD1671" s="4">
        <v>46135.4696875</v>
      </c>
      <c r="BE1671" t="inlineStr">
        <is>
          <t>paid</t>
        </is>
      </c>
      <c r="BF1671"/>
      <c r="BG1671" t="inlineStr">
        <is>
          <t>Reschedule</t>
        </is>
      </c>
      <c r="BH1671" t="inlineStr">
        <is>
          <t>Reagen</t>
        </is>
      </c>
      <c r="BI1671" t="inlineStr">
        <is>
          <t>Manufacturing / Production</t>
        </is>
      </c>
      <c r="BJ1671" s="4">
        <v>46144.750555555554</v>
      </c>
      <c r="BK1671" s="4">
        <v>44270.67965277778</v>
      </c>
      <c r="BL1671" t="inlineStr">
        <is>
          <t>0.0</t>
        </is>
      </c>
      <c r="BM1671" t="inlineStr">
        <is>
          <t>1800.0</t>
        </is>
      </c>
      <c r="BN1671" t="inlineStr">
        <is>
          <t>View Company Page</t>
        </is>
      </c>
      <c r="BO1671" s="4">
        <v>46127.471238425926</v>
      </c>
      <c r="BP1671">
        <v>167312</v>
      </c>
      <c r="BQ1671">
        <v>122458</v>
      </c>
      <c r="BR1671" t="inlineStr">
        <is>
          <t>Proforma</t>
        </is>
      </c>
      <c r="BS1671" t="inlineStr">
        <is>
          <t>Free Part-Time Job</t>
        </is>
      </c>
      <c r="BT1671">
        <v>74289</v>
      </c>
      <c r="BU1671"/>
      <c r="BV1671">
        <v>2722773</v>
      </c>
      <c r="BW1671" t="inlineStr">
        <is>
          <t>Follow Up : Budget Concern</t>
        </is>
      </c>
      <c r="BX1671"/>
      <c r="BY1671"/>
      <c r="BZ1671" s="4"/>
      <c r="CA1671"/>
      <c r="CB1671"/>
      <c r="CC1671" s="4"/>
      <c r="CD1671" t="inlineStr">
        <is>
          <t>20</t>
        </is>
      </c>
      <c r="CE1671" t="inlineStr">
        <is>
          <t>0</t>
        </is>
      </c>
      <c r="CF1671" t="inlineStr">
        <is>
          <t>Q2-W02</t>
        </is>
      </c>
      <c r="CG1671" t="inlineStr">
        <is>
          <t>Q2-W02</t>
        </is>
      </c>
      <c r="CH1671"/>
      <c r="CI1671"/>
      <c r="CJ1671" t="inlineStr">
        <is>
          <t>Paid</t>
        </is>
      </c>
      <c r="CK1671" t="inlineStr">
        <is>
          <t>Not Eligible</t>
        </is>
      </c>
      <c r="CL1671"/>
      <c r="CM1671"/>
    </row>
    <row r="1672" ht="25.5" customHeight="1">
      <c r="A1672" t="inlineStr">
        <is>
          <t>4287067</t>
        </is>
      </c>
      <c r="B1672" s="2"/>
      <c r="C1672"/>
      <c r="D1672" s="3">
        <v>46128.439247685186</v>
      </c>
      <c r="E1672" t="inlineStr">
        <is>
          <t>Q2-W02</t>
        </is>
      </c>
      <c r="F1672" t="inlineStr">
        <is>
          <t>Evan</t>
        </is>
      </c>
      <c r="G1672" t="inlineStr">
        <is>
          <t>Lead</t>
        </is>
      </c>
      <c r="H1672" s="2" t="str">
        <f>=HYPERLINK("https://upbox.ajobthing.my/leads/4287067", "https://upbox.ajobthing.my/leads/4287067")</f>
        <v>https://upbox.ajobthing.my/leads/4287067</v>
      </c>
      <c r="I1672" t="inlineStr">
        <is>
          <t>EZT GROUP</t>
        </is>
      </c>
      <c r="J1672" t="inlineStr">
        <is>
          <t>Dolphin</t>
        </is>
      </c>
      <c r="K1672" t="inlineStr">
        <is>
          <t>Evan</t>
        </is>
      </c>
      <c r="L1672" s="4"/>
      <c r="M1672" s="4">
        <v>46128.4371875</v>
      </c>
      <c r="N1672"/>
      <c r="O1672">
        <v>3888</v>
      </c>
      <c r="P1672" s="4"/>
      <c r="Q1672" s="4"/>
      <c r="R1672"/>
      <c r="S1672"/>
      <c r="T1672" s="4"/>
      <c r="U1672" s="4"/>
      <c r="V1672"/>
      <c r="W1672"/>
      <c r="X1672"/>
      <c r="Y1672" t="inlineStr">
        <is>
          <t>Pending Appointment</t>
        </is>
      </c>
      <c r="Z1672" t="inlineStr">
        <is>
          <t>Hiring Now</t>
        </is>
      </c>
      <c r="AA1672">
        <v>2</v>
      </c>
      <c r="AB1672" t="inlineStr">
        <is>
          <t>No Appointment Made</t>
        </is>
      </c>
      <c r="AC1672"/>
      <c r="AD1672" t="inlineStr">
        <is>
          <t>2 sales, all base in KL</t>
        </is>
      </c>
      <c r="AE1672"/>
      <c r="AF1672">
        <v>1</v>
      </c>
      <c r="AG1672" s="4"/>
      <c r="AH1672" s="4"/>
      <c r="AI1672">
        <v>1</v>
      </c>
      <c r="AJ1672">
        <v>1</v>
      </c>
      <c r="AK1672" t="inlineStr">
        <is>
          <t>No, I don't need at all</t>
        </is>
      </c>
      <c r="AL1672">
        <v>0</v>
      </c>
      <c r="AM1672" t="inlineStr">
        <is>
          <t>No, I don't need at all</t>
        </is>
      </c>
      <c r="AN1672"/>
      <c r="AO1672" t="inlineStr">
        <is>
          <t>No, I don't need at all</t>
        </is>
      </c>
      <c r="AP1672" t="inlineStr">
        <is>
          <t>Once a year (25%)</t>
        </is>
      </c>
      <c r="AQ1672">
        <v>2</v>
      </c>
      <c r="AR1672" t="inlineStr">
        <is>
          <t>Jobstreet</t>
        </is>
      </c>
      <c r="AS1672" t="inlineStr">
        <is>
          <t>- Headcount: 2
- Hiring Job Details: 2 sales,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Jobstreet</t>
        </is>
      </c>
      <c r="AT1672">
        <v>105</v>
      </c>
      <c r="AU1672" t="inlineStr">
        <is>
          <t>1.05</t>
        </is>
      </c>
      <c r="AV1672" t="inlineStr">
        <is>
          <t>15</t>
        </is>
      </c>
      <c r="AW1672" t="inlineStr">
        <is>
          <t>0</t>
        </is>
      </c>
      <c r="AX1672" t="inlineStr">
        <is>
          <t>Not Qualified</t>
        </is>
      </c>
      <c r="AY1672" s="4"/>
      <c r="AZ1672"/>
      <c r="BA1672"/>
      <c r="BB1672"/>
      <c r="BC1672"/>
      <c r="BD1672" s="4"/>
      <c r="BE1672"/>
      <c r="BF1672"/>
      <c r="BG1672" t="inlineStr">
        <is>
          <t>Reschedule</t>
        </is>
      </c>
      <c r="BH1672" t="inlineStr">
        <is>
          <t>Edward Hoo</t>
        </is>
      </c>
      <c r="BI1672"/>
      <c r="BJ1672" s="4">
        <v>46144.755833333336</v>
      </c>
      <c r="BK1672" s="4">
        <v>46127.929085648146</v>
      </c>
      <c r="BL1672" t="inlineStr">
        <is>
          <t>0.0</t>
        </is>
      </c>
      <c r="BM1672" t="inlineStr">
        <is>
          <t>1200.0</t>
        </is>
      </c>
      <c r="BN1672"/>
      <c r="BO1672" s="4"/>
      <c r="BP1672">
        <v>167309</v>
      </c>
      <c r="BQ1672"/>
      <c r="BR1672"/>
      <c r="BS1672"/>
      <c r="BT1672"/>
      <c r="BU1672"/>
      <c r="BV1672"/>
      <c r="BW1672"/>
      <c r="BX1672"/>
      <c r="BY1672"/>
      <c r="BZ1672" s="4"/>
      <c r="CA1672"/>
      <c r="CB1672"/>
      <c r="CC1672" s="4"/>
      <c r="CD1672" t="inlineStr">
        <is>
          <t>20</t>
        </is>
      </c>
      <c r="CE1672" t="inlineStr">
        <is>
          <t>0</t>
        </is>
      </c>
      <c r="CF1672" t="inlineStr">
        <is>
          <t>Q2-W02</t>
        </is>
      </c>
      <c r="CG1672"/>
      <c r="CH1672"/>
      <c r="CI1672"/>
      <c r="CJ1672" t="inlineStr">
        <is>
          <t>No Paid</t>
        </is>
      </c>
      <c r="CK1672" t="inlineStr">
        <is>
          <t>Not Eligible</t>
        </is>
      </c>
      <c r="CL1672"/>
      <c r="CM1672"/>
    </row>
    <row r="1673" ht="25.5" customHeight="1">
      <c r="A1673" t="inlineStr">
        <is>
          <t>162566</t>
        </is>
      </c>
      <c r="B1673" s="2"/>
      <c r="C1673"/>
      <c r="D1673" s="3">
        <v>46128.44142361111</v>
      </c>
      <c r="E1673" t="inlineStr">
        <is>
          <t>Q2-W02</t>
        </is>
      </c>
      <c r="F1673" t="inlineStr">
        <is>
          <t>Keegan</t>
        </is>
      </c>
      <c r="G1673" t="inlineStr">
        <is>
          <t>Customer</t>
        </is>
      </c>
      <c r="H1673" s="2" t="str">
        <f>=HYPERLINK("https://upbox.ajobthing.my/customer/162566", "https://upbox.ajobthing.my/customer/162566")</f>
        <v>https://upbox.ajobthing.my/customer/162566</v>
      </c>
      <c r="I1673" t="inlineStr">
        <is>
          <t>OGA Tech (M) Sdn Bhd</t>
        </is>
      </c>
      <c r="J1673" t="inlineStr">
        <is>
          <t>Dolphin</t>
        </is>
      </c>
      <c r="K1673" t="inlineStr">
        <is>
          <t>Keegan</t>
        </is>
      </c>
      <c r="L1673" s="4"/>
      <c r="M1673" s="4">
        <v>46128.441516203704</v>
      </c>
      <c r="N1673"/>
      <c r="O1673">
        <v>3888</v>
      </c>
      <c r="P1673" s="4"/>
      <c r="Q1673" s="4">
        <v>46125.43429398148</v>
      </c>
      <c r="R1673"/>
      <c r="S1673">
        <v>0</v>
      </c>
      <c r="T1673" s="4">
        <v>44923.00001157408</v>
      </c>
      <c r="U1673" s="4"/>
      <c r="V1673"/>
      <c r="W1673">
        <v>3392</v>
      </c>
      <c r="X1673"/>
      <c r="Y1673" t="inlineStr">
        <is>
          <t>Pending Appointment</t>
        </is>
      </c>
      <c r="Z1673" t="inlineStr">
        <is>
          <t>Hiring Now</t>
        </is>
      </c>
      <c r="AA1673">
        <v>1</v>
      </c>
      <c r="AB1673" t="inlineStr">
        <is>
          <t>No Appointment Made</t>
        </is>
      </c>
      <c r="AC1673"/>
      <c r="AD1673" t="inlineStr">
        <is>
          <t xml:space="preserve">1. Internship </t>
        </is>
      </c>
      <c r="AE1673"/>
      <c r="AF1673"/>
      <c r="AG1673" s="4"/>
      <c r="AH1673" s="4"/>
      <c r="AI1673"/>
      <c r="AJ1673">
        <v>1</v>
      </c>
      <c r="AK1673" t="inlineStr">
        <is>
          <t>No, I don't need at all</t>
        </is>
      </c>
      <c r="AL1673">
        <v>0</v>
      </c>
      <c r="AM1673" t="inlineStr">
        <is>
          <t>No, I don't need at all</t>
        </is>
      </c>
      <c r="AN1673"/>
      <c r="AO1673" t="inlineStr">
        <is>
          <t>No, I don't need at all</t>
        </is>
      </c>
      <c r="AP1673" t="inlineStr">
        <is>
          <t>Once per quarter (75%)</t>
        </is>
      </c>
      <c r="AQ1673"/>
      <c r="AR1673" t="inlineStr">
        <is>
          <t>Did not use any job portal</t>
        </is>
      </c>
      <c r="AS1673" t="inlineStr">
        <is>
          <t>- Headcount: 1
- Hiring Job Details: 1 Internship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673">
        <v>85</v>
      </c>
      <c r="AU1673" t="inlineStr">
        <is>
          <t>0.85</t>
        </is>
      </c>
      <c r="AV1673" t="inlineStr">
        <is>
          <t>5</t>
        </is>
      </c>
      <c r="AW1673" t="inlineStr">
        <is>
          <t>0</t>
        </is>
      </c>
      <c r="AX1673" t="inlineStr">
        <is>
          <t>Not Qualified</t>
        </is>
      </c>
      <c r="AY1673" s="4"/>
      <c r="AZ1673"/>
      <c r="BA1673"/>
      <c r="BB1673"/>
      <c r="BC1673" t="inlineStr">
        <is>
          <t>Will post on free platform first for now</t>
        </is>
      </c>
      <c r="BD1673" s="4">
        <v>46135.421805555554</v>
      </c>
      <c r="BE1673" t="inlineStr">
        <is>
          <t>paid</t>
        </is>
      </c>
      <c r="BF1673"/>
      <c r="BG1673" t="inlineStr">
        <is>
          <t>Reschedule</t>
        </is>
      </c>
      <c r="BH1673" t="inlineStr">
        <is>
          <t>Edward Hoo</t>
        </is>
      </c>
      <c r="BI1673" t="inlineStr">
        <is>
          <t>Engineering / Technical Consulting</t>
        </is>
      </c>
      <c r="BJ1673" s="4">
        <v>46144.75115740741</v>
      </c>
      <c r="BK1673" s="4">
        <v>44897.42190972222</v>
      </c>
      <c r="BL1673" t="inlineStr">
        <is>
          <t>0.0</t>
        </is>
      </c>
      <c r="BM1673" t="inlineStr">
        <is>
          <t>0.0</t>
        </is>
      </c>
      <c r="BN1673" t="inlineStr">
        <is>
          <t>User Visit(Logged In)</t>
        </is>
      </c>
      <c r="BO1673" s="4">
        <v>46135.61238425926</v>
      </c>
      <c r="BP1673">
        <v>167315</v>
      </c>
      <c r="BQ1673">
        <v>121940</v>
      </c>
      <c r="BR1673" t="inlineStr">
        <is>
          <t>Proforma</t>
        </is>
      </c>
      <c r="BS1673" t="inlineStr">
        <is>
          <t>Free Part-Time Job</t>
        </is>
      </c>
      <c r="BT1673">
        <v>53952</v>
      </c>
      <c r="BU1673"/>
      <c r="BV1673">
        <v>2722372</v>
      </c>
      <c r="BW1673" t="inlineStr">
        <is>
          <t>Follow Up : Lost - Free Portal</t>
        </is>
      </c>
      <c r="BX1673"/>
      <c r="BY1673"/>
      <c r="BZ1673" s="4"/>
      <c r="CA1673"/>
      <c r="CB1673"/>
      <c r="CC1673" s="4"/>
      <c r="CD1673" t="inlineStr">
        <is>
          <t>5</t>
        </is>
      </c>
      <c r="CE1673" t="inlineStr">
        <is>
          <t>0</t>
        </is>
      </c>
      <c r="CF1673" t="inlineStr">
        <is>
          <t>Q2-W02</t>
        </is>
      </c>
      <c r="CG1673" t="inlineStr">
        <is>
          <t>Q2-W02</t>
        </is>
      </c>
      <c r="CH1673"/>
      <c r="CI1673"/>
      <c r="CJ1673" t="inlineStr">
        <is>
          <t>Paid</t>
        </is>
      </c>
      <c r="CK1673" t="inlineStr">
        <is>
          <t>Not Eligible</t>
        </is>
      </c>
      <c r="CL1673"/>
      <c r="CM1673"/>
    </row>
    <row r="1674" ht="25.5" customHeight="1">
      <c r="A1674" t="inlineStr">
        <is>
          <t>172696</t>
        </is>
      </c>
      <c r="B1674" s="2"/>
      <c r="C1674"/>
      <c r="D1674" s="3">
        <v>46128.4487037037</v>
      </c>
      <c r="E1674" t="inlineStr">
        <is>
          <t>Q2-W02</t>
        </is>
      </c>
      <c r="F1674" t="inlineStr">
        <is>
          <t>Derek Lim</t>
        </is>
      </c>
      <c r="G1674" t="inlineStr">
        <is>
          <t>Customer</t>
        </is>
      </c>
      <c r="H1674" s="2" t="str">
        <f>=HYPERLINK("https://upbox.ajobthing.my/customer/172696", "https://upbox.ajobthing.my/customer/172696")</f>
        <v>https://upbox.ajobthing.my/customer/172696</v>
      </c>
      <c r="I1674" t="inlineStr">
        <is>
          <t>A-Point Promotion</t>
        </is>
      </c>
      <c r="J1674" t="inlineStr">
        <is>
          <t>Dolphin</t>
        </is>
      </c>
      <c r="K1674" t="inlineStr">
        <is>
          <t>Derek Lim</t>
        </is>
      </c>
      <c r="L1674" s="4"/>
      <c r="M1674" s="4">
        <v>46128.44902777778</v>
      </c>
      <c r="N1674"/>
      <c r="O1674">
        <v>1296</v>
      </c>
      <c r="P1674" s="4"/>
      <c r="Q1674" s="4">
        <v>46128.6631712963</v>
      </c>
      <c r="R1674"/>
      <c r="S1674">
        <v>1296</v>
      </c>
      <c r="T1674" s="4">
        <v>46014.629849537036</v>
      </c>
      <c r="U1674" s="4"/>
      <c r="V1674"/>
      <c r="W1674">
        <v>324</v>
      </c>
      <c r="X1674"/>
      <c r="Y1674" t="inlineStr">
        <is>
          <t>Pending Appointment</t>
        </is>
      </c>
      <c r="Z1674" t="inlineStr">
        <is>
          <t>Hiring Now</t>
        </is>
      </c>
      <c r="AA1674">
        <v>1</v>
      </c>
      <c r="AB1674" t="inlineStr">
        <is>
          <t>No Appointment Made</t>
        </is>
      </c>
      <c r="AC1674"/>
      <c r="AD1674" t="inlineStr">
        <is>
          <t>Sales executive - 1</t>
        </is>
      </c>
      <c r="AE1674"/>
      <c r="AF1674">
        <v>800</v>
      </c>
      <c r="AG1674" s="4"/>
      <c r="AH1674" s="4"/>
      <c r="AI1674">
        <v>0</v>
      </c>
      <c r="AJ1674">
        <v>1</v>
      </c>
      <c r="AK1674" t="inlineStr">
        <is>
          <t>No, I don't need at all</t>
        </is>
      </c>
      <c r="AL1674">
        <v>0</v>
      </c>
      <c r="AM1674" t="inlineStr">
        <is>
          <t>No, I don't need at all</t>
        </is>
      </c>
      <c r="AN1674"/>
      <c r="AO1674" t="inlineStr">
        <is>
          <t>No, I don't need at all</t>
        </is>
      </c>
      <c r="AP1674" t="inlineStr">
        <is>
          <t>Once a year (25%)</t>
        </is>
      </c>
      <c r="AQ1674">
        <v>1</v>
      </c>
      <c r="AR1674" t="inlineStr">
        <is>
          <t>Free Job Portal</t>
        </is>
      </c>
      <c r="AS1674" t="inlineStr">
        <is>
          <t>- Headcount: 1
- Hiring Job Details: 1 sales executive
- Hiring Urgency: Hiring Now
- Number of outlets: 1
- Have recruiter team: No, I don't need at all
- Number of recruiter in company: 0
- Have ATS system: No, I don't need at all
- Have career website: No, I don't need at all
- Current hiring budget: RM800
- Whole year budget: RM0.00
- Whole year number of vacancies: 1
- Hiring frequency: Once a year (25%)
- External job portal: Free Job Portal</t>
        </is>
      </c>
      <c r="AT1674">
        <v>115</v>
      </c>
      <c r="AU1674" t="inlineStr">
        <is>
          <t>1.15</t>
        </is>
      </c>
      <c r="AV1674" t="inlineStr">
        <is>
          <t>15</t>
        </is>
      </c>
      <c r="AW1674" t="inlineStr">
        <is>
          <t>0</t>
        </is>
      </c>
      <c r="AX1674" t="inlineStr">
        <is>
          <t>Not Qualified</t>
        </is>
      </c>
      <c r="AY1674" s="4"/>
      <c r="AZ1674"/>
      <c r="BA1674"/>
      <c r="BB1674"/>
      <c r="BC1674" t="inlineStr">
        <is>
          <t>CUSTOMER MENTION NO ORDER</t>
        </is>
      </c>
      <c r="BD1674" s="4">
        <v>46140.508055555554</v>
      </c>
      <c r="BE1674" t="inlineStr">
        <is>
          <t>pending</t>
        </is>
      </c>
      <c r="BF1674"/>
      <c r="BG1674" t="inlineStr">
        <is>
          <t>Reschedule</t>
        </is>
      </c>
      <c r="BH1674" t="inlineStr">
        <is>
          <t>Edward Hoo</t>
        </is>
      </c>
      <c r="BI1674" t="inlineStr">
        <is>
          <t>Exhibitions / Event Mgmt</t>
        </is>
      </c>
      <c r="BJ1674" s="4">
        <v>46144.75148148148</v>
      </c>
      <c r="BK1674" s="4">
        <v>45237.44664351852</v>
      </c>
      <c r="BL1674" t="inlineStr">
        <is>
          <t>1944.0</t>
        </is>
      </c>
      <c r="BM1674" t="inlineStr">
        <is>
          <t>0.0</t>
        </is>
      </c>
      <c r="BN1674" t="inlineStr">
        <is>
          <t>View Company Page</t>
        </is>
      </c>
      <c r="BO1674" s="4">
        <v>46092.50912037037</v>
      </c>
      <c r="BP1674">
        <v>167327</v>
      </c>
      <c r="BQ1674">
        <v>122755</v>
      </c>
      <c r="BR1674" t="inlineStr">
        <is>
          <t>Proforma</t>
        </is>
      </c>
      <c r="BS1674" t="inlineStr">
        <is>
          <t>AI Ala Carte (Jan 26) Plus</t>
        </is>
      </c>
      <c r="BT1674">
        <v>85161</v>
      </c>
      <c r="BU1674"/>
      <c r="BV1674">
        <v>2732385</v>
      </c>
      <c r="BW1674" t="inlineStr">
        <is>
          <t>Follow Up : Budget Concern</t>
        </is>
      </c>
      <c r="BX1674"/>
      <c r="BY1674"/>
      <c r="BZ1674" s="4"/>
      <c r="CA1674"/>
      <c r="CB1674"/>
      <c r="CC1674" s="4"/>
      <c r="CD1674" t="inlineStr">
        <is>
          <t>20</t>
        </is>
      </c>
      <c r="CE1674" t="inlineStr">
        <is>
          <t>0</t>
        </is>
      </c>
      <c r="CF1674" t="inlineStr">
        <is>
          <t>Q2-W02</t>
        </is>
      </c>
      <c r="CG1674" t="inlineStr">
        <is>
          <t>Q2-W02</t>
        </is>
      </c>
      <c r="CH1674"/>
      <c r="CI1674"/>
      <c r="CJ1674" t="inlineStr">
        <is>
          <t>Paid</t>
        </is>
      </c>
      <c r="CK1674" t="inlineStr">
        <is>
          <t>Not Eligible</t>
        </is>
      </c>
      <c r="CL1674"/>
      <c r="CM1674"/>
    </row>
    <row r="1675" ht="25.5" customHeight="1">
      <c r="A1675" t="inlineStr">
        <is>
          <t>172845</t>
        </is>
      </c>
      <c r="B1675" s="2"/>
      <c r="C1675"/>
      <c r="D1675" s="3">
        <v>46128.45265046296</v>
      </c>
      <c r="E1675" t="inlineStr">
        <is>
          <t>Q2-W02</t>
        </is>
      </c>
      <c r="F1675" t="inlineStr">
        <is>
          <t>Luqman</t>
        </is>
      </c>
      <c r="G1675" t="inlineStr">
        <is>
          <t>Customer</t>
        </is>
      </c>
      <c r="H1675" s="2" t="str">
        <f>=HYPERLINK("https://upbox.ajobthing.my/customer/172845", "https://upbox.ajobthing.my/customer/172845")</f>
        <v>https://upbox.ajobthing.my/customer/172845</v>
      </c>
      <c r="I1675" t="inlineStr">
        <is>
          <t xml:space="preserve">Aapico Motors Sdn Bhd </t>
        </is>
      </c>
      <c r="J1675" t="inlineStr">
        <is>
          <t>Dolphin</t>
        </is>
      </c>
      <c r="K1675" t="inlineStr">
        <is>
          <t>Luqman</t>
        </is>
      </c>
      <c r="L1675" s="4"/>
      <c r="M1675" s="4">
        <v>46128.452731481484</v>
      </c>
      <c r="N1675"/>
      <c r="O1675">
        <v>3888</v>
      </c>
      <c r="P1675" s="4"/>
      <c r="Q1675" s="4">
        <v>45472.61690972222</v>
      </c>
      <c r="R1675"/>
      <c r="S1675">
        <v>324</v>
      </c>
      <c r="T1675" s="4">
        <v>45472.61690972222</v>
      </c>
      <c r="U1675" s="4"/>
      <c r="V1675"/>
      <c r="W1675">
        <v>324</v>
      </c>
      <c r="X1675"/>
      <c r="Y1675" t="inlineStr">
        <is>
          <t>Pending Appointment</t>
        </is>
      </c>
      <c r="Z1675" t="inlineStr">
        <is>
          <t>Hiring Later</t>
        </is>
      </c>
      <c r="AA1675">
        <v>3</v>
      </c>
      <c r="AB1675" t="inlineStr">
        <is>
          <t>No Appointment Made</t>
        </is>
      </c>
      <c r="AC1675"/>
      <c r="AD1675" t="inlineStr">
        <is>
          <t xml:space="preserve">1. Sales Promoter 2. Salesman 3. Sales Supervisor </t>
        </is>
      </c>
      <c r="AE1675"/>
      <c r="AF1675">
        <v>1200</v>
      </c>
      <c r="AG1675" s="4"/>
      <c r="AH1675" s="4"/>
      <c r="AI1675">
        <v>1200</v>
      </c>
      <c r="AJ1675"/>
      <c r="AK1675" t="inlineStr">
        <is>
          <t>No, I don't need at all</t>
        </is>
      </c>
      <c r="AL1675">
        <v>1</v>
      </c>
      <c r="AM1675" t="inlineStr">
        <is>
          <t>No, I don't need at all</t>
        </is>
      </c>
      <c r="AN1675"/>
      <c r="AO1675" t="inlineStr">
        <is>
          <t>No, I don't need at all</t>
        </is>
      </c>
      <c r="AP1675" t="inlineStr">
        <is>
          <t>Once a year (25%)</t>
        </is>
      </c>
      <c r="AQ1675">
        <v>3</v>
      </c>
      <c r="AR1675" t="inlineStr">
        <is>
          <t>Free Job Portal</t>
        </is>
      </c>
      <c r="AS1675" t="inlineStr">
        <is>
          <t>- Headcount: 3
- Hiring Job Details: 1. Sales Promoter 2. Salesman 3. Sales Supervisor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3
- Hiring frequency: Once a year (25%)
- External job portal: Free Job Portal</t>
        </is>
      </c>
      <c r="AT1675">
        <v>85</v>
      </c>
      <c r="AU1675" t="inlineStr">
        <is>
          <t>0.85</t>
        </is>
      </c>
      <c r="AV1675" t="inlineStr">
        <is>
          <t>15</t>
        </is>
      </c>
      <c r="AW1675" t="inlineStr">
        <is>
          <t>0</t>
        </is>
      </c>
      <c r="AX1675" t="inlineStr">
        <is>
          <t>Not Qualified</t>
        </is>
      </c>
      <c r="AY1675" s="4"/>
      <c r="AZ1675"/>
      <c r="BA1675"/>
      <c r="BB1675"/>
      <c r="BC1675" t="inlineStr">
        <is>
          <t>- Headcount: 3
- Hiring Job Details: 1. Sales Promoter 2. Salesman 3. Sales Supervisor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3
- Hiring frequency: Once a year (25%)
- External job portal: Free Job Portal</t>
        </is>
      </c>
      <c r="BD1675" s="4">
        <v>46128.45851851852</v>
      </c>
      <c r="BE1675" t="inlineStr">
        <is>
          <t>paid</t>
        </is>
      </c>
      <c r="BF1675"/>
      <c r="BG1675" t="inlineStr">
        <is>
          <t>Reschedule</t>
        </is>
      </c>
      <c r="BH1675" t="inlineStr">
        <is>
          <t>Edward Hoo</t>
        </is>
      </c>
      <c r="BI1675" t="inlineStr">
        <is>
          <t>Automobile / Automotive</t>
        </is>
      </c>
      <c r="BJ1675" s="4">
        <v>46144.75150462963</v>
      </c>
      <c r="BK1675" s="4">
        <v>45243.52340277778</v>
      </c>
      <c r="BL1675" t="inlineStr">
        <is>
          <t>0.0</t>
        </is>
      </c>
      <c r="BM1675" t="inlineStr">
        <is>
          <t>600.0</t>
        </is>
      </c>
      <c r="BN1675" t="inlineStr">
        <is>
          <t>View Company Page</t>
        </is>
      </c>
      <c r="BO1675" s="4">
        <v>45560.46135416667</v>
      </c>
      <c r="BP1675">
        <v>167330</v>
      </c>
      <c r="BQ1675">
        <v>70567</v>
      </c>
      <c r="BR1675" t="inlineStr">
        <is>
          <t>Online</t>
        </is>
      </c>
      <c r="BS1675"/>
      <c r="BT1675">
        <v>70567</v>
      </c>
      <c r="BU1675"/>
      <c r="BV1675">
        <v>2708334</v>
      </c>
      <c r="BW1675" t="inlineStr">
        <is>
          <t>Customer Inquiry</t>
        </is>
      </c>
      <c r="BX1675"/>
      <c r="BY1675"/>
      <c r="BZ1675" s="4"/>
      <c r="CA1675"/>
      <c r="CB1675"/>
      <c r="CC1675" s="4"/>
      <c r="CD1675" t="inlineStr">
        <is>
          <t>20</t>
        </is>
      </c>
      <c r="CE1675" t="inlineStr">
        <is>
          <t>0</t>
        </is>
      </c>
      <c r="CF1675" t="inlineStr">
        <is>
          <t>Q2-W02</t>
        </is>
      </c>
      <c r="CG1675"/>
      <c r="CH1675"/>
      <c r="CI1675"/>
      <c r="CJ1675" t="inlineStr">
        <is>
          <t>Paid</t>
        </is>
      </c>
      <c r="CK1675" t="inlineStr">
        <is>
          <t>Not Eligible</t>
        </is>
      </c>
      <c r="CL1675"/>
      <c r="CM1675"/>
    </row>
    <row r="1676" ht="25.5" customHeight="1">
      <c r="A1676" t="inlineStr">
        <is>
          <t>180332</t>
        </is>
      </c>
      <c r="B1676" s="2"/>
      <c r="C1676"/>
      <c r="D1676" s="3">
        <v>46128.45494212963</v>
      </c>
      <c r="E1676" t="inlineStr">
        <is>
          <t>Q2-W02</t>
        </is>
      </c>
      <c r="F1676" t="inlineStr">
        <is>
          <t>Xin Quan</t>
        </is>
      </c>
      <c r="G1676" t="inlineStr">
        <is>
          <t>Customer</t>
        </is>
      </c>
      <c r="H1676" s="2" t="str">
        <f>=HYPERLINK("https://upbox.ajobthing.my/customer/180332", "https://upbox.ajobthing.my/customer/180332")</f>
        <v>https://upbox.ajobthing.my/customer/180332</v>
      </c>
      <c r="I1676" t="inlineStr">
        <is>
          <t>Muqmeen Group (Liana Ventures And Associates)</t>
        </is>
      </c>
      <c r="J1676" t="inlineStr">
        <is>
          <t>Dolphin</t>
        </is>
      </c>
      <c r="K1676" t="inlineStr">
        <is>
          <t>Xin Quan</t>
        </is>
      </c>
      <c r="L1676" s="4"/>
      <c r="M1676" s="4">
        <v>46128.454421296294</v>
      </c>
      <c r="N1676"/>
      <c r="O1676">
        <v>6048</v>
      </c>
      <c r="P1676" s="4"/>
      <c r="Q1676" s="4">
        <v>45805.806909722225</v>
      </c>
      <c r="R1676"/>
      <c r="S1676">
        <v>540</v>
      </c>
      <c r="T1676" s="4">
        <v>45805.806909722225</v>
      </c>
      <c r="U1676" s="4"/>
      <c r="V1676"/>
      <c r="W1676">
        <v>540</v>
      </c>
      <c r="X1676"/>
      <c r="Y1676" t="inlineStr">
        <is>
          <t>Pending Appointment</t>
        </is>
      </c>
      <c r="Z1676" t="inlineStr">
        <is>
          <t>Hiring Now</t>
        </is>
      </c>
      <c r="AA1676">
        <v>1</v>
      </c>
      <c r="AB1676" t="inlineStr">
        <is>
          <t>No Appointment Made</t>
        </is>
      </c>
      <c r="AC1676"/>
      <c r="AD1676" t="inlineStr">
        <is>
          <t>1 Admin , Base in KL</t>
        </is>
      </c>
      <c r="AE1676"/>
      <c r="AF1676">
        <v>2000</v>
      </c>
      <c r="AG1676" s="4"/>
      <c r="AH1676" s="4"/>
      <c r="AI1676">
        <v>2000</v>
      </c>
      <c r="AJ1676">
        <v>1</v>
      </c>
      <c r="AK1676" t="inlineStr">
        <is>
          <t>No, I don't need at all</t>
        </is>
      </c>
      <c r="AL1676">
        <v>1</v>
      </c>
      <c r="AM1676" t="inlineStr">
        <is>
          <t>No, I don't need at all</t>
        </is>
      </c>
      <c r="AN1676"/>
      <c r="AO1676" t="inlineStr">
        <is>
          <t>No, I don't need at all</t>
        </is>
      </c>
      <c r="AP1676" t="inlineStr">
        <is>
          <t>Once a year (25%)</t>
        </is>
      </c>
      <c r="AQ1676">
        <v>1</v>
      </c>
      <c r="AR1676"/>
      <c r="AS1676" t="inlineStr">
        <is>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1
- Hiring frequency: Once a year (25%)
- External job portal: None</t>
        </is>
      </c>
      <c r="AT1676">
        <v>110</v>
      </c>
      <c r="AU1676" t="inlineStr">
        <is>
          <t>1.10</t>
        </is>
      </c>
      <c r="AV1676" t="inlineStr">
        <is>
          <t>15</t>
        </is>
      </c>
      <c r="AW1676" t="inlineStr">
        <is>
          <t>0</t>
        </is>
      </c>
      <c r="AX1676" t="inlineStr">
        <is>
          <t>Not Qualified</t>
        </is>
      </c>
      <c r="AY1676" s="4"/>
      <c r="AZ1676"/>
      <c r="BA1676"/>
      <c r="BB1676"/>
      <c r="BC1676" t="inlineStr">
        <is>
          <t>Call no ans , Send WA ask</t>
        </is>
      </c>
      <c r="BD1676" s="4">
        <v>46132.573587962965</v>
      </c>
      <c r="BE1676" t="inlineStr">
        <is>
          <t>paid</t>
        </is>
      </c>
      <c r="BF1676"/>
      <c r="BG1676" t="inlineStr">
        <is>
          <t>Reschedule</t>
        </is>
      </c>
      <c r="BH1676" t="inlineStr">
        <is>
          <t>Edward Hoo</t>
        </is>
      </c>
      <c r="BI1676" t="inlineStr">
        <is>
          <t>Insurance</t>
        </is>
      </c>
      <c r="BJ1676" s="4">
        <v>46144.75181712963</v>
      </c>
      <c r="BK1676" s="4">
        <v>45482.75986111111</v>
      </c>
      <c r="BL1676" t="inlineStr">
        <is>
          <t>540.0</t>
        </is>
      </c>
      <c r="BM1676" t="inlineStr">
        <is>
          <t>0.0</t>
        </is>
      </c>
      <c r="BN1676" t="inlineStr">
        <is>
          <t>View Candidate Search Page</t>
        </is>
      </c>
      <c r="BO1676" s="4">
        <v>45888.46423611111</v>
      </c>
      <c r="BP1676">
        <v>167333</v>
      </c>
      <c r="BQ1676">
        <v>79665</v>
      </c>
      <c r="BR1676" t="inlineStr">
        <is>
          <t>Online</t>
        </is>
      </c>
      <c r="BS1676"/>
      <c r="BT1676">
        <v>79665</v>
      </c>
      <c r="BU1676"/>
      <c r="BV1676">
        <v>2715540</v>
      </c>
      <c r="BW1676" t="inlineStr">
        <is>
          <t>Follow Up : Decision Pending</t>
        </is>
      </c>
      <c r="BX1676"/>
      <c r="BY1676"/>
      <c r="BZ1676" s="4"/>
      <c r="CA1676"/>
      <c r="CB1676"/>
      <c r="CC1676" s="4"/>
      <c r="CD1676" t="inlineStr">
        <is>
          <t>20</t>
        </is>
      </c>
      <c r="CE1676" t="inlineStr">
        <is>
          <t>0</t>
        </is>
      </c>
      <c r="CF1676" t="inlineStr">
        <is>
          <t>Q2-W02</t>
        </is>
      </c>
      <c r="CG1676"/>
      <c r="CH1676"/>
      <c r="CI1676"/>
      <c r="CJ1676" t="inlineStr">
        <is>
          <t>Paid</t>
        </is>
      </c>
      <c r="CK1676" t="inlineStr">
        <is>
          <t>Not Eligible</t>
        </is>
      </c>
      <c r="CL1676"/>
      <c r="CM1676"/>
    </row>
    <row r="1677" ht="25.5" customHeight="1">
      <c r="A1677" t="inlineStr">
        <is>
          <t>203289</t>
        </is>
      </c>
      <c r="B1677" s="2"/>
      <c r="C1677"/>
      <c r="D1677" s="3">
        <v>46128.45685185185</v>
      </c>
      <c r="E1677" t="inlineStr">
        <is>
          <t>Q2-W02</t>
        </is>
      </c>
      <c r="F1677" t="inlineStr">
        <is>
          <t>Jess</t>
        </is>
      </c>
      <c r="G1677" t="inlineStr">
        <is>
          <t>Customer</t>
        </is>
      </c>
      <c r="H1677" s="2" t="str">
        <f>=HYPERLINK("https://upbox.ajobthing.my/customer/203289", "https://upbox.ajobthing.my/customer/203289")</f>
        <v>https://upbox.ajobthing.my/customer/203289</v>
      </c>
      <c r="I1677" t="inlineStr">
        <is>
          <t>Invictus Mart Sdn Bhd</t>
        </is>
      </c>
      <c r="J1677" t="inlineStr">
        <is>
          <t>Dolphin</t>
        </is>
      </c>
      <c r="K1677" t="inlineStr">
        <is>
          <t>Jess Lim</t>
        </is>
      </c>
      <c r="L1677" s="4"/>
      <c r="M1677" s="4">
        <v>46128.45762731481</v>
      </c>
      <c r="N1677"/>
      <c r="O1677">
        <v>3888</v>
      </c>
      <c r="P1677" s="4"/>
      <c r="Q1677" s="4"/>
      <c r="R1677"/>
      <c r="S1677"/>
      <c r="T1677" s="4"/>
      <c r="U1677" s="4"/>
      <c r="V1677"/>
      <c r="W1677"/>
      <c r="X1677"/>
      <c r="Y1677" t="inlineStr">
        <is>
          <t>Pending Appointment</t>
        </is>
      </c>
      <c r="Z1677" t="inlineStr">
        <is>
          <t>Hiring Now</t>
        </is>
      </c>
      <c r="AA1677">
        <v>1</v>
      </c>
      <c r="AB1677" t="inlineStr">
        <is>
          <t>No Appointment Made</t>
        </is>
      </c>
      <c r="AC1677"/>
      <c r="AD1677" t="inlineStr">
        <is>
          <t>service crew</t>
        </is>
      </c>
      <c r="AE1677"/>
      <c r="AF1677">
        <v>3600</v>
      </c>
      <c r="AG1677" s="4"/>
      <c r="AH1677" s="4"/>
      <c r="AI1677"/>
      <c r="AJ1677">
        <v>10</v>
      </c>
      <c r="AK1677" t="inlineStr">
        <is>
          <t>No, I don't need at all</t>
        </is>
      </c>
      <c r="AL1677">
        <v>1</v>
      </c>
      <c r="AM1677" t="inlineStr">
        <is>
          <t>No, I don't need at all</t>
        </is>
      </c>
      <c r="AN1677"/>
      <c r="AO1677" t="inlineStr">
        <is>
          <t>No, I don't need at all</t>
        </is>
      </c>
      <c r="AP1677" t="inlineStr">
        <is>
          <t>Once a year (25%)</t>
        </is>
      </c>
      <c r="AQ1677"/>
      <c r="AR1677" t="inlineStr">
        <is>
          <t>Jobstreet</t>
        </is>
      </c>
      <c r="AS1677" t="inlineStr">
        <is>
          <t>- Headcount: 1
- Hiring Job Details: service crew
- Hiring Urgency: Hiring Now
- Number of outlets: 10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is>
      </c>
      <c r="AT1677">
        <v>75</v>
      </c>
      <c r="AU1677" t="inlineStr">
        <is>
          <t>0.75</t>
        </is>
      </c>
      <c r="AV1677" t="inlineStr">
        <is>
          <t>15</t>
        </is>
      </c>
      <c r="AW1677" t="inlineStr">
        <is>
          <t>0</t>
        </is>
      </c>
      <c r="AX1677" t="inlineStr">
        <is>
          <t>Not Qualified</t>
        </is>
      </c>
      <c r="AY1677" s="4"/>
      <c r="AZ1677"/>
      <c r="BA1677"/>
      <c r="BB1677"/>
      <c r="BC1677" t="inlineStr">
        <is>
          <t>- Headcount: 1
- Hiring Job Details: service crew
- Hiring Urgency: Hiring Now
- Number of outlets: 10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is>
      </c>
      <c r="BD1677" s="4">
        <v>46128.45851851852</v>
      </c>
      <c r="BE1677"/>
      <c r="BF1677"/>
      <c r="BG1677" t="inlineStr">
        <is>
          <t>Reschedule</t>
        </is>
      </c>
      <c r="BH1677" t="inlineStr">
        <is>
          <t>Fauziah Maharan</t>
        </is>
      </c>
      <c r="BI1677" t="inlineStr">
        <is>
          <t>Food / Beverage</t>
        </is>
      </c>
      <c r="BJ1677" s="4">
        <v>46144.754282407404</v>
      </c>
      <c r="BK1677" s="4">
        <v>46128.03530092593</v>
      </c>
      <c r="BL1677" t="inlineStr">
        <is>
          <t>0.0</t>
        </is>
      </c>
      <c r="BM1677" t="inlineStr">
        <is>
          <t>0.0</t>
        </is>
      </c>
      <c r="BN1677" t="inlineStr">
        <is>
          <t>View Create Job Page V4</t>
        </is>
      </c>
      <c r="BO1677" s="4">
        <v>46128.0459837963</v>
      </c>
      <c r="BP1677">
        <v>167336</v>
      </c>
      <c r="BQ1677"/>
      <c r="BR1677"/>
      <c r="BS1677"/>
      <c r="BT1677"/>
      <c r="BU1677"/>
      <c r="BV1677">
        <v>2708339</v>
      </c>
      <c r="BW1677" t="inlineStr">
        <is>
          <t>Customer Inquiry</t>
        </is>
      </c>
      <c r="BX1677"/>
      <c r="BY1677"/>
      <c r="BZ1677" s="4"/>
      <c r="CA1677"/>
      <c r="CB1677"/>
      <c r="CC1677" s="4"/>
      <c r="CD1677" t="inlineStr">
        <is>
          <t>20</t>
        </is>
      </c>
      <c r="CE1677" t="inlineStr">
        <is>
          <t>0</t>
        </is>
      </c>
      <c r="CF1677" t="inlineStr">
        <is>
          <t>Q2-W02</t>
        </is>
      </c>
      <c r="CG1677"/>
      <c r="CH1677"/>
      <c r="CI1677"/>
      <c r="CJ1677" t="inlineStr">
        <is>
          <t>No Paid</t>
        </is>
      </c>
      <c r="CK1677" t="inlineStr">
        <is>
          <t>Not Eligible</t>
        </is>
      </c>
      <c r="CL1677"/>
      <c r="CM1677"/>
    </row>
    <row r="1678" ht="25.5" customHeight="1">
      <c r="A1678" t="inlineStr">
        <is>
          <t>171410</t>
        </is>
      </c>
      <c r="B1678" s="2"/>
      <c r="C1678"/>
      <c r="D1678" s="3">
        <v>46128.458449074074</v>
      </c>
      <c r="E1678" t="inlineStr">
        <is>
          <t>Q2-W02</t>
        </is>
      </c>
      <c r="F1678" t="inlineStr">
        <is>
          <t>Chia Yee</t>
        </is>
      </c>
      <c r="G1678" t="inlineStr">
        <is>
          <t>Customer</t>
        </is>
      </c>
      <c r="H1678" s="2" t="str">
        <f>=HYPERLINK("https://upbox.ajobthing.my/customer/171410", "https://upbox.ajobthing.my/customer/171410")</f>
        <v>https://upbox.ajobthing.my/customer/171410</v>
      </c>
      <c r="I1678" t="inlineStr">
        <is>
          <t>Bliss Aesthetic Clinic Sdn Bhd</t>
        </is>
      </c>
      <c r="J1678" t="inlineStr">
        <is>
          <t>Dolphin</t>
        </is>
      </c>
      <c r="K1678" t="inlineStr">
        <is>
          <t>Chia Yee</t>
        </is>
      </c>
      <c r="L1678" s="4"/>
      <c r="M1678" s="4">
        <v>46128.45861111111</v>
      </c>
      <c r="N1678"/>
      <c r="O1678">
        <v>4968</v>
      </c>
      <c r="P1678" s="4"/>
      <c r="Q1678" s="4">
        <v>45910.460069444445</v>
      </c>
      <c r="R1678"/>
      <c r="S1678">
        <v>0</v>
      </c>
      <c r="T1678" s="4">
        <v>45524.551770833335</v>
      </c>
      <c r="U1678" s="4"/>
      <c r="V1678"/>
      <c r="W1678">
        <v>2604.96</v>
      </c>
      <c r="X1678"/>
      <c r="Y1678" t="inlineStr">
        <is>
          <t>Pending Appointment</t>
        </is>
      </c>
      <c r="Z1678" t="inlineStr">
        <is>
          <t>Hiring Now</t>
        </is>
      </c>
      <c r="AA1678">
        <v>1</v>
      </c>
      <c r="AB1678" t="inlineStr">
        <is>
          <t>No Appointment Made</t>
        </is>
      </c>
      <c r="AC1678"/>
      <c r="AD1678" t="inlineStr">
        <is>
          <t xml:space="preserve"> beauty therapist</t>
        </is>
      </c>
      <c r="AE1678"/>
      <c r="AF1678">
        <v>2000</v>
      </c>
      <c r="AG1678" s="4"/>
      <c r="AH1678" s="4"/>
      <c r="AI1678">
        <v>2000</v>
      </c>
      <c r="AJ1678">
        <v>1</v>
      </c>
      <c r="AK1678" t="inlineStr">
        <is>
          <t>Yes, I have</t>
        </is>
      </c>
      <c r="AL1678">
        <v>1</v>
      </c>
      <c r="AM1678" t="inlineStr">
        <is>
          <t>No, I don't need at all</t>
        </is>
      </c>
      <c r="AN1678"/>
      <c r="AO1678" t="inlineStr">
        <is>
          <t>Yes, I have</t>
        </is>
      </c>
      <c r="AP1678" t="inlineStr">
        <is>
          <t>Once a year (25%)</t>
        </is>
      </c>
      <c r="AQ1678">
        <v>1</v>
      </c>
      <c r="AR1678" t="inlineStr">
        <is>
          <t>Did not use any job portal</t>
        </is>
      </c>
      <c r="AS1678" t="inlineStr">
        <is>
          <t>- Headcount: 1
- Hiring Job Details: 1 beauty therapist
- Hiring Urgency: Hiring Now
- Number of outlets: 1
- Have recruiter team: Yes
- Number of recruiter in company: 1
- Have ATS system: No, I don't need at all
- Have career website: Yes
- Current hiring budget: RM2,000.00
- Whole year budget: RM2,000.00
- Whole year number of vacancies: 1
- Hiring frequency: Once a year (25%)
- External job portal: Did not use any job portal</t>
        </is>
      </c>
      <c r="AT1678">
        <v>115</v>
      </c>
      <c r="AU1678" t="inlineStr">
        <is>
          <t>1.15</t>
        </is>
      </c>
      <c r="AV1678" t="inlineStr">
        <is>
          <t>15</t>
        </is>
      </c>
      <c r="AW1678" t="inlineStr">
        <is>
          <t>0</t>
        </is>
      </c>
      <c r="AX1678" t="inlineStr">
        <is>
          <t>Not Qualified</t>
        </is>
      </c>
      <c r="AY1678" s="4"/>
      <c r="AZ1678"/>
      <c r="BA1678"/>
      <c r="BB1678"/>
      <c r="BC1678" t="inlineStr">
        <is>
          <t>WA</t>
        </is>
      </c>
      <c r="BD1678" s="4">
        <v>46136.596550925926</v>
      </c>
      <c r="BE1678" t="inlineStr">
        <is>
          <t>paid</t>
        </is>
      </c>
      <c r="BF1678"/>
      <c r="BG1678" t="inlineStr">
        <is>
          <t>Reschedule</t>
        </is>
      </c>
      <c r="BH1678" t="inlineStr">
        <is>
          <t>Reagen</t>
        </is>
      </c>
      <c r="BI1678" t="inlineStr">
        <is>
          <t>Healthcare / Medical</t>
        </is>
      </c>
      <c r="BJ1678" s="4">
        <v>46144.75144675926</v>
      </c>
      <c r="BK1678" s="4">
        <v>45195.635358796295</v>
      </c>
      <c r="BL1678" t="inlineStr">
        <is>
          <t>0.0</t>
        </is>
      </c>
      <c r="BM1678" t="inlineStr">
        <is>
          <t>0.0</t>
        </is>
      </c>
      <c r="BN1678" t="inlineStr">
        <is>
          <t>View Company Page</t>
        </is>
      </c>
      <c r="BO1678" s="4">
        <v>46130.575532407405</v>
      </c>
      <c r="BP1678">
        <v>167337</v>
      </c>
      <c r="BQ1678">
        <v>109220</v>
      </c>
      <c r="BR1678" t="inlineStr">
        <is>
          <t>Proforma</t>
        </is>
      </c>
      <c r="BS1678" t="inlineStr">
        <is>
          <t>A La Carte AI Job Ad Free</t>
        </is>
      </c>
      <c r="BT1678">
        <v>72254</v>
      </c>
      <c r="BU1678"/>
      <c r="BV1678">
        <v>2726418</v>
      </c>
      <c r="BW1678" t="inlineStr">
        <is>
          <t>No Answer : Voicemail - WA sent to customer</t>
        </is>
      </c>
      <c r="BX1678"/>
      <c r="BY1678"/>
      <c r="BZ1678" s="4"/>
      <c r="CA1678"/>
      <c r="CB1678"/>
      <c r="CC1678" s="4"/>
      <c r="CD1678" t="inlineStr">
        <is>
          <t>20</t>
        </is>
      </c>
      <c r="CE1678" t="inlineStr">
        <is>
          <t>0</t>
        </is>
      </c>
      <c r="CF1678" t="inlineStr">
        <is>
          <t>Q2-W02</t>
        </is>
      </c>
      <c r="CG1678"/>
      <c r="CH1678"/>
      <c r="CI1678"/>
      <c r="CJ1678" t="inlineStr">
        <is>
          <t>Paid</t>
        </is>
      </c>
      <c r="CK1678" t="inlineStr">
        <is>
          <t>Not Eligible</t>
        </is>
      </c>
      <c r="CL1678"/>
      <c r="CM1678"/>
    </row>
    <row r="1679" ht="25.5" customHeight="1">
      <c r="A1679" t="inlineStr">
        <is>
          <t>181331</t>
        </is>
      </c>
      <c r="B1679" s="2"/>
      <c r="C1679"/>
      <c r="D1679" s="3">
        <v>46128.470555555556</v>
      </c>
      <c r="E1679" t="inlineStr">
        <is>
          <t>Q2-W02</t>
        </is>
      </c>
      <c r="F1679" t="inlineStr">
        <is>
          <t>Xin Quan</t>
        </is>
      </c>
      <c r="G1679" t="inlineStr">
        <is>
          <t>Customer</t>
        </is>
      </c>
      <c r="H1679" s="2" t="str">
        <f>=HYPERLINK("https://upbox.ajobthing.my/customer/181331", "https://upbox.ajobthing.my/customer/181331")</f>
        <v>https://upbox.ajobthing.my/customer/181331</v>
      </c>
      <c r="I1679" t="inlineStr">
        <is>
          <t>Nuh Travel &amp; Tours Sdn Bhd</t>
        </is>
      </c>
      <c r="J1679" t="inlineStr">
        <is>
          <t>Dolphin</t>
        </is>
      </c>
      <c r="K1679" t="inlineStr">
        <is>
          <t>Xin Quan</t>
        </is>
      </c>
      <c r="L1679" s="4"/>
      <c r="M1679" s="4">
        <v>46128.470659722225</v>
      </c>
      <c r="N1679"/>
      <c r="O1679">
        <v>6048</v>
      </c>
      <c r="P1679" s="4"/>
      <c r="Q1679" s="4">
        <v>45709.695706018516</v>
      </c>
      <c r="R1679"/>
      <c r="S1679">
        <v>3499.2</v>
      </c>
      <c r="T1679" s="4">
        <v>45512.65893518519</v>
      </c>
      <c r="U1679" s="4"/>
      <c r="V1679"/>
      <c r="W1679">
        <v>1944</v>
      </c>
      <c r="X1679"/>
      <c r="Y1679" t="inlineStr">
        <is>
          <t>Pending Appointment</t>
        </is>
      </c>
      <c r="Z1679" t="inlineStr">
        <is>
          <t>Hiring Later</t>
        </is>
      </c>
      <c r="AA1679">
        <v>8</v>
      </c>
      <c r="AB1679" t="inlineStr">
        <is>
          <t>No Appointment Made</t>
        </is>
      </c>
      <c r="AC1679"/>
      <c r="AD1679" t="inlineStr">
        <is>
          <t>4 Sales 4 CS , Base in Sabah</t>
        </is>
      </c>
      <c r="AE1679"/>
      <c r="AF1679">
        <v>16000</v>
      </c>
      <c r="AG1679" s="4"/>
      <c r="AH1679" s="4"/>
      <c r="AI1679">
        <v>192000</v>
      </c>
      <c r="AJ1679">
        <v>1</v>
      </c>
      <c r="AK1679" t="inlineStr">
        <is>
          <t>No, I don't need at all</t>
        </is>
      </c>
      <c r="AL1679">
        <v>1</v>
      </c>
      <c r="AM1679" t="inlineStr">
        <is>
          <t>No, I don't need at all</t>
        </is>
      </c>
      <c r="AN1679"/>
      <c r="AO1679" t="inlineStr">
        <is>
          <t>No, I don't need at all</t>
        </is>
      </c>
      <c r="AP1679" t="inlineStr">
        <is>
          <t>Once a year (25%)</t>
        </is>
      </c>
      <c r="AQ1679">
        <v>16</v>
      </c>
      <c r="AR1679"/>
      <c r="AS1679" t="inlineStr">
        <is>
          <t>- Headcount: 8
- Hiring Job Details: 4 Sales 4 CS, Base in Sabah
- Hiring Urgency: Hiring Later
- Number of outlets: 1
- Have recruiter team: No, I don't need at all
- Number of recruiter in company: 1
- Have ATS system: No, I don't need at all
- Have career website: No, I don't need at all
- Current hiring budget: RM16,000
- Whole year budget: RM192,000.00
- Whole year number of vacancies: 16
- Hiring frequency: Once a year (25%)
- External job portal:</t>
        </is>
      </c>
      <c r="AT1679">
        <v>105</v>
      </c>
      <c r="AU1679" t="inlineStr">
        <is>
          <t>1.05</t>
        </is>
      </c>
      <c r="AV1679" t="inlineStr">
        <is>
          <t>25</t>
        </is>
      </c>
      <c r="AW1679" t="inlineStr">
        <is>
          <t>0</t>
        </is>
      </c>
      <c r="AX1679" t="inlineStr">
        <is>
          <t>Not Qualified</t>
        </is>
      </c>
      <c r="AY1679" s="4"/>
      <c r="AZ1679"/>
      <c r="BA1679"/>
      <c r="BB1679"/>
      <c r="BC1679" t="inlineStr">
        <is>
          <t>Clear status , NH</t>
        </is>
      </c>
      <c r="BD1679" s="4">
        <v>46129.41484953704</v>
      </c>
      <c r="BE1679" t="inlineStr">
        <is>
          <t>pending</t>
        </is>
      </c>
      <c r="BF1679"/>
      <c r="BG1679" t="inlineStr">
        <is>
          <t>Reschedule</t>
        </is>
      </c>
      <c r="BH1679" t="inlineStr">
        <is>
          <t>Edward Hoo</t>
        </is>
      </c>
      <c r="BI1679" t="inlineStr">
        <is>
          <t>Travel / Tourism</t>
        </is>
      </c>
      <c r="BJ1679" s="4">
        <v>46144.751863425925</v>
      </c>
      <c r="BK1679" s="4">
        <v>45511.429247685184</v>
      </c>
      <c r="BL1679" t="inlineStr">
        <is>
          <t>0.0</t>
        </is>
      </c>
      <c r="BM1679" t="inlineStr">
        <is>
          <t>0.0</t>
        </is>
      </c>
      <c r="BN1679" t="inlineStr">
        <is>
          <t>View Candidate Search Page</t>
        </is>
      </c>
      <c r="BO1679" s="4">
        <v>45919.536990740744</v>
      </c>
      <c r="BP1679">
        <v>167348</v>
      </c>
      <c r="BQ1679">
        <v>101238</v>
      </c>
      <c r="BR1679" t="inlineStr">
        <is>
          <t>Proforma</t>
        </is>
      </c>
      <c r="BS1679" t="inlineStr">
        <is>
          <t>Job Slot Startup</t>
        </is>
      </c>
      <c r="BT1679">
        <v>71876</v>
      </c>
      <c r="BU1679"/>
      <c r="BV1679">
        <v>2711000</v>
      </c>
      <c r="BW1679" t="inlineStr">
        <is>
          <t>No Answer : Voicemail - WA sent to customer</t>
        </is>
      </c>
      <c r="BX1679"/>
      <c r="BY1679"/>
      <c r="BZ1679" s="4"/>
      <c r="CA1679"/>
      <c r="CB1679"/>
      <c r="CC1679" s="4"/>
      <c r="CD1679" t="inlineStr">
        <is>
          <t>35</t>
        </is>
      </c>
      <c r="CE1679" t="inlineStr">
        <is>
          <t>0</t>
        </is>
      </c>
      <c r="CF1679" t="inlineStr">
        <is>
          <t>Q2-W02</t>
        </is>
      </c>
      <c r="CG1679"/>
      <c r="CH1679"/>
      <c r="CI1679"/>
      <c r="CJ1679" t="inlineStr">
        <is>
          <t>Paid</t>
        </is>
      </c>
      <c r="CK1679" t="inlineStr">
        <is>
          <t>Eligible</t>
        </is>
      </c>
      <c r="CL1679"/>
      <c r="CM1679"/>
    </row>
    <row r="1680" ht="25.5" customHeight="1">
      <c r="A1680" t="inlineStr">
        <is>
          <t>4135371</t>
        </is>
      </c>
      <c r="B1680" s="2"/>
      <c r="C1680"/>
      <c r="D1680" s="3">
        <v>46128.479791666665</v>
      </c>
      <c r="E1680" t="inlineStr">
        <is>
          <t>Q2-W02</t>
        </is>
      </c>
      <c r="F1680" t="inlineStr">
        <is>
          <t>Alex Chan</t>
        </is>
      </c>
      <c r="G1680" t="inlineStr">
        <is>
          <t>Lead</t>
        </is>
      </c>
      <c r="H1680" s="2" t="str">
        <f>=HYPERLINK("https://upbox.ajobthing.my/leads/4135371", "https://upbox.ajobthing.my/leads/4135371")</f>
        <v>https://upbox.ajobthing.my/leads/4135371</v>
      </c>
      <c r="I1680" t="inlineStr">
        <is>
          <t>Jupiter Auto Parts Sdn Bhd</t>
        </is>
      </c>
      <c r="J1680" t="inlineStr">
        <is>
          <t>Dolphin</t>
        </is>
      </c>
      <c r="K1680" t="inlineStr">
        <is>
          <t>Alex Chan</t>
        </is>
      </c>
      <c r="L1680" s="4"/>
      <c r="M1680" s="4">
        <v>46128.48013888889</v>
      </c>
      <c r="N1680"/>
      <c r="O1680">
        <v>1296</v>
      </c>
      <c r="P1680" s="4"/>
      <c r="Q1680" s="4"/>
      <c r="R1680"/>
      <c r="S1680"/>
      <c r="T1680" s="4"/>
      <c r="U1680" s="4"/>
      <c r="V1680"/>
      <c r="W1680"/>
      <c r="X1680"/>
      <c r="Y1680" t="inlineStr">
        <is>
          <t>Pending Appointment</t>
        </is>
      </c>
      <c r="Z1680" t="inlineStr">
        <is>
          <t>Hiring Now</t>
        </is>
      </c>
      <c r="AA1680">
        <v>1</v>
      </c>
      <c r="AB1680" t="inlineStr">
        <is>
          <t>No Appointment Made</t>
        </is>
      </c>
      <c r="AC1680"/>
      <c r="AD1680" t="inlineStr">
        <is>
          <t>1x Payroll cum Acc</t>
        </is>
      </c>
      <c r="AE1680"/>
      <c r="AF1680">
        <v>1000</v>
      </c>
      <c r="AG1680" s="4"/>
      <c r="AH1680" s="4"/>
      <c r="AI1680">
        <v>1000</v>
      </c>
      <c r="AJ1680">
        <v>1</v>
      </c>
      <c r="AK1680" t="inlineStr">
        <is>
          <t>No, I don't need at all</t>
        </is>
      </c>
      <c r="AL1680">
        <v>1</v>
      </c>
      <c r="AM1680" t="inlineStr">
        <is>
          <t>No, I don't need at all</t>
        </is>
      </c>
      <c r="AN1680"/>
      <c r="AO1680" t="inlineStr">
        <is>
          <t>No, I don't need at all</t>
        </is>
      </c>
      <c r="AP1680" t="inlineStr">
        <is>
          <t>Twice a year (50%)</t>
        </is>
      </c>
      <c r="AQ1680">
        <v>1</v>
      </c>
      <c r="AR1680" t="inlineStr">
        <is>
          <t>Free Job Portal</t>
        </is>
      </c>
      <c r="AS1680" t="inlineStr">
        <is>
          <t>- Headcount: 1
- Hiring Job Details: 1x Payroll cum Acc
- Hiring Urgency: Hiring Now
- Number of outlets: 1
- Have recruiter team: No, I don't need at all
- Number of recruiter in company: 1
- Have ATS system: No, I don't need at all
- Have career website: No, I don't need at all
- Current hiring budget: RM1,000
- Whole year budget: RM1,000.00
- Whole year number of vacancies: 1
- Hiring frequency: Twice a year (50%)
- External job portal: Free Job Portal</t>
        </is>
      </c>
      <c r="AT1680">
        <v>115</v>
      </c>
      <c r="AU1680" t="inlineStr">
        <is>
          <t>1.15</t>
        </is>
      </c>
      <c r="AV1680" t="inlineStr">
        <is>
          <t>15</t>
        </is>
      </c>
      <c r="AW1680" t="inlineStr">
        <is>
          <t>0</t>
        </is>
      </c>
      <c r="AX1680" t="inlineStr">
        <is>
          <t>Not Qualified</t>
        </is>
      </c>
      <c r="AY1680" s="4"/>
      <c r="AZ1680"/>
      <c r="BA1680"/>
      <c r="BB1680"/>
      <c r="BC1680"/>
      <c r="BD1680" s="4"/>
      <c r="BE1680"/>
      <c r="BF1680"/>
      <c r="BG1680" t="inlineStr">
        <is>
          <t>Reschedule</t>
        </is>
      </c>
      <c r="BH1680" t="inlineStr">
        <is>
          <t>Reagen</t>
        </is>
      </c>
      <c r="BI1680"/>
      <c r="BJ1680" s="4">
        <v>46142.88082175926</v>
      </c>
      <c r="BK1680" s="4">
        <v>46087.58011574074</v>
      </c>
      <c r="BL1680" t="inlineStr">
        <is>
          <t>1296.0</t>
        </is>
      </c>
      <c r="BM1680" t="inlineStr">
        <is>
          <t>0.0</t>
        </is>
      </c>
      <c r="BN1680"/>
      <c r="BO1680" s="4"/>
      <c r="BP1680">
        <v>167356</v>
      </c>
      <c r="BQ1680"/>
      <c r="BR1680"/>
      <c r="BS1680"/>
      <c r="BT1680"/>
      <c r="BU1680"/>
      <c r="BV1680"/>
      <c r="BW1680"/>
      <c r="BX1680"/>
      <c r="BY1680"/>
      <c r="BZ1680" s="4"/>
      <c r="CA1680"/>
      <c r="CB1680"/>
      <c r="CC1680" s="4"/>
      <c r="CD1680" t="inlineStr">
        <is>
          <t>20</t>
        </is>
      </c>
      <c r="CE1680" t="inlineStr">
        <is>
          <t>0</t>
        </is>
      </c>
      <c r="CF1680" t="inlineStr">
        <is>
          <t>Q2-W02</t>
        </is>
      </c>
      <c r="CG1680"/>
      <c r="CH1680"/>
      <c r="CI1680"/>
      <c r="CJ1680" t="inlineStr">
        <is>
          <t>No Paid</t>
        </is>
      </c>
      <c r="CK1680" t="inlineStr">
        <is>
          <t>Not Eligible</t>
        </is>
      </c>
      <c r="CL1680"/>
      <c r="CM1680"/>
    </row>
    <row r="1681" ht="25.5" customHeight="1">
      <c r="A1681" t="inlineStr">
        <is>
          <t>126704</t>
        </is>
      </c>
      <c r="B1681" s="2"/>
      <c r="C1681"/>
      <c r="D1681" s="3">
        <v>46128.48228009259</v>
      </c>
      <c r="E1681" t="inlineStr">
        <is>
          <t>Q2-W02</t>
        </is>
      </c>
      <c r="F1681" t="inlineStr">
        <is>
          <t>Angel  Low</t>
        </is>
      </c>
      <c r="G1681" t="inlineStr">
        <is>
          <t>Customer</t>
        </is>
      </c>
      <c r="H1681" s="2" t="str">
        <f>=HYPERLINK("https://upbox.ajobthing.my/customer/126704", "https://upbox.ajobthing.my/customer/126704")</f>
        <v>https://upbox.ajobthing.my/customer/126704</v>
      </c>
      <c r="I1681" t="inlineStr">
        <is>
          <t>Meteorsoft Sdn. Bhd.</t>
        </is>
      </c>
      <c r="J1681" t="inlineStr">
        <is>
          <t>Dolphin</t>
        </is>
      </c>
      <c r="K1681" t="inlineStr">
        <is>
          <t>Angel Low</t>
        </is>
      </c>
      <c r="L1681" s="4"/>
      <c r="M1681" s="4">
        <v>46128.482881944445</v>
      </c>
      <c r="N1681"/>
      <c r="O1681">
        <v>5508</v>
      </c>
      <c r="P1681" s="4"/>
      <c r="Q1681" s="4">
        <v>45786.410891203705</v>
      </c>
      <c r="R1681"/>
      <c r="S1681">
        <v>2916</v>
      </c>
      <c r="T1681" s="4">
        <v>45786.410891203705</v>
      </c>
      <c r="U1681" s="4"/>
      <c r="V1681"/>
      <c r="W1681">
        <v>2916</v>
      </c>
      <c r="X1681"/>
      <c r="Y1681" t="inlineStr">
        <is>
          <t>Pending Appointment</t>
        </is>
      </c>
      <c r="Z1681"/>
      <c r="AA1681">
        <v>3</v>
      </c>
      <c r="AB1681" t="inlineStr">
        <is>
          <t>No Appointment Made</t>
        </is>
      </c>
      <c r="AC1681"/>
      <c r="AD1681" t="inlineStr">
        <is>
          <t>programmer, hr admin , IT support</t>
        </is>
      </c>
      <c r="AE1681"/>
      <c r="AF1681"/>
      <c r="AG1681" s="4"/>
      <c r="AH1681" s="4"/>
      <c r="AI1681"/>
      <c r="AJ1681"/>
      <c r="AK1681"/>
      <c r="AL1681"/>
      <c r="AM1681"/>
      <c r="AN1681"/>
      <c r="AO1681"/>
      <c r="AP1681"/>
      <c r="AQ1681"/>
      <c r="AR1681"/>
      <c r="AS1681" t="inlineStr">
        <is>
          <t>- Headcount: 3
- Hiring Job Details: programmer, hr admin, IT support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681">
        <v>20</v>
      </c>
      <c r="AU1681" t="inlineStr">
        <is>
          <t>0.20</t>
        </is>
      </c>
      <c r="AV1681" t="inlineStr">
        <is>
          <t>5</t>
        </is>
      </c>
      <c r="AW1681" t="inlineStr">
        <is>
          <t>0</t>
        </is>
      </c>
      <c r="AX1681" t="inlineStr">
        <is>
          <t>Not Qualified</t>
        </is>
      </c>
      <c r="AY1681" s="4"/>
      <c r="AZ1681"/>
      <c r="BA1681"/>
      <c r="BB1681"/>
      <c r="BC1681" t="inlineStr">
        <is>
          <t>consider back next month</t>
        </is>
      </c>
      <c r="BD1681" s="4">
        <v>46134.413831018515</v>
      </c>
      <c r="BE1681" t="inlineStr">
        <is>
          <t>paid</t>
        </is>
      </c>
      <c r="BF1681"/>
      <c r="BG1681" t="inlineStr">
        <is>
          <t>Reschedule</t>
        </is>
      </c>
      <c r="BH1681" t="inlineStr">
        <is>
          <t>Fauziah Maharan</t>
        </is>
      </c>
      <c r="BI1681" t="inlineStr">
        <is>
          <t>IT / Software</t>
        </is>
      </c>
      <c r="BJ1681" s="4">
        <v>46144.75037037037</v>
      </c>
      <c r="BK1681" s="4">
        <v>43983.54083333333</v>
      </c>
      <c r="BL1681" t="inlineStr">
        <is>
          <t>2916.0</t>
        </is>
      </c>
      <c r="BM1681" t="inlineStr">
        <is>
          <t>0.0</t>
        </is>
      </c>
      <c r="BN1681" t="inlineStr">
        <is>
          <t>People Search Page : Unlock Candidate</t>
        </is>
      </c>
      <c r="BO1681" s="4">
        <v>46134.770474537036</v>
      </c>
      <c r="BP1681">
        <v>167359</v>
      </c>
      <c r="BQ1681">
        <v>79144</v>
      </c>
      <c r="BR1681" t="inlineStr">
        <is>
          <t>Online</t>
        </is>
      </c>
      <c r="BS1681"/>
      <c r="BT1681">
        <v>79144</v>
      </c>
      <c r="BU1681"/>
      <c r="BV1681">
        <v>2719507</v>
      </c>
      <c r="BW1681" t="inlineStr">
        <is>
          <t>Follow Up : Decision Pending</t>
        </is>
      </c>
      <c r="BX1681">
        <v>6</v>
      </c>
      <c r="BY1681">
        <v>0</v>
      </c>
      <c r="BZ1681" s="4">
        <v>45922.55662037037</v>
      </c>
      <c r="CA1681">
        <v>120</v>
      </c>
      <c r="CB1681">
        <v>109</v>
      </c>
      <c r="CC1681" s="4">
        <v>46134.770462962966</v>
      </c>
      <c r="CD1681" t="inlineStr">
        <is>
          <t>5</t>
        </is>
      </c>
      <c r="CE1681" t="inlineStr">
        <is>
          <t>0</t>
        </is>
      </c>
      <c r="CF1681" t="inlineStr">
        <is>
          <t>Q2-W02</t>
        </is>
      </c>
      <c r="CG1681"/>
      <c r="CH1681"/>
      <c r="CI1681"/>
      <c r="CJ1681" t="inlineStr">
        <is>
          <t>Paid</t>
        </is>
      </c>
      <c r="CK1681" t="inlineStr">
        <is>
          <t>Not Eligible</t>
        </is>
      </c>
      <c r="CL1681"/>
      <c r="CM1681"/>
    </row>
    <row r="1682" ht="25.5" customHeight="1">
      <c r="A1682" t="inlineStr">
        <is>
          <t>4261873</t>
        </is>
      </c>
      <c r="B1682" s="2"/>
      <c r="C1682"/>
      <c r="D1682" s="3">
        <v>46128.48715277778</v>
      </c>
      <c r="E1682" t="inlineStr">
        <is>
          <t>Q2-W02</t>
        </is>
      </c>
      <c r="F1682" t="inlineStr">
        <is>
          <t>Yuli</t>
        </is>
      </c>
      <c r="G1682" t="inlineStr">
        <is>
          <t>Lead</t>
        </is>
      </c>
      <c r="H1682" s="2" t="str">
        <f>=HYPERLINK("https://upbox.ajobthing.my/leads/4261873", "https://upbox.ajobthing.my/leads/4261873")</f>
        <v>https://upbox.ajobthing.my/leads/4261873</v>
      </c>
      <c r="I1682" t="inlineStr">
        <is>
          <t>Parit Yusof Oil Mill Sdn Bhd</t>
        </is>
      </c>
      <c r="J1682" t="inlineStr">
        <is>
          <t>Dolphin</t>
        </is>
      </c>
      <c r="K1682" t="inlineStr">
        <is>
          <t>YuLi</t>
        </is>
      </c>
      <c r="L1682" s="4"/>
      <c r="M1682" s="4">
        <v>46128.49534722222</v>
      </c>
      <c r="N1682"/>
      <c r="O1682">
        <v>3888</v>
      </c>
      <c r="P1682" s="4"/>
      <c r="Q1682" s="4"/>
      <c r="R1682"/>
      <c r="S1682"/>
      <c r="T1682" s="4"/>
      <c r="U1682" s="4"/>
      <c r="V1682"/>
      <c r="W1682"/>
      <c r="X1682"/>
      <c r="Y1682" t="inlineStr">
        <is>
          <t>Pending Appointment</t>
        </is>
      </c>
      <c r="Z1682" t="inlineStr">
        <is>
          <t>Hiring Now</t>
        </is>
      </c>
      <c r="AA1682">
        <v>1</v>
      </c>
      <c r="AB1682" t="inlineStr">
        <is>
          <t>No Appointment Made</t>
        </is>
      </c>
      <c r="AC1682"/>
      <c r="AD1682" t="inlineStr">
        <is>
          <t>1 Accouns Executive</t>
        </is>
      </c>
      <c r="AE1682"/>
      <c r="AF1682"/>
      <c r="AG1682" s="4"/>
      <c r="AH1682" s="4"/>
      <c r="AI1682"/>
      <c r="AJ1682"/>
      <c r="AK1682"/>
      <c r="AL1682"/>
      <c r="AM1682"/>
      <c r="AN1682"/>
      <c r="AO1682"/>
      <c r="AP1682"/>
      <c r="AQ1682"/>
      <c r="AR1682" t="inlineStr">
        <is>
          <t>Jobstreet</t>
        </is>
      </c>
      <c r="AS1682" t="inlineStr">
        <is>
          <t>- Headcount: 1
- Hiring Job Details: 1 Accounts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1682">
        <v>65</v>
      </c>
      <c r="AU1682" t="inlineStr">
        <is>
          <t>0.65</t>
        </is>
      </c>
      <c r="AV1682" t="inlineStr">
        <is>
          <t>5</t>
        </is>
      </c>
      <c r="AW1682" t="inlineStr">
        <is>
          <t>0</t>
        </is>
      </c>
      <c r="AX1682" t="inlineStr">
        <is>
          <t>Not Qualified</t>
        </is>
      </c>
      <c r="AY1682" s="4"/>
      <c r="AZ1682"/>
      <c r="BA1682"/>
      <c r="BB1682"/>
      <c r="BC1682"/>
      <c r="BD1682" s="4"/>
      <c r="BE1682"/>
      <c r="BF1682"/>
      <c r="BG1682" t="inlineStr">
        <is>
          <t>Reschedule</t>
        </is>
      </c>
      <c r="BH1682" t="inlineStr">
        <is>
          <t>Fauziah Maharan</t>
        </is>
      </c>
      <c r="BI1682"/>
      <c r="BJ1682" s="4">
        <v>46144.75576388889</v>
      </c>
      <c r="BK1682" s="4">
        <v>46120.85255787037</v>
      </c>
      <c r="BL1682" t="inlineStr">
        <is>
          <t>0.0</t>
        </is>
      </c>
      <c r="BM1682" t="inlineStr">
        <is>
          <t>2400.0</t>
        </is>
      </c>
      <c r="BN1682"/>
      <c r="BO1682" s="4"/>
      <c r="BP1682">
        <v>167367</v>
      </c>
      <c r="BQ1682"/>
      <c r="BR1682"/>
      <c r="BS1682"/>
      <c r="BT1682"/>
      <c r="BU1682"/>
      <c r="BV1682"/>
      <c r="BW1682"/>
      <c r="BX1682"/>
      <c r="BY1682"/>
      <c r="BZ1682" s="4"/>
      <c r="CA1682"/>
      <c r="CB1682"/>
      <c r="CC1682" s="4"/>
      <c r="CD1682" t="inlineStr">
        <is>
          <t>5</t>
        </is>
      </c>
      <c r="CE1682" t="inlineStr">
        <is>
          <t>0</t>
        </is>
      </c>
      <c r="CF1682" t="inlineStr">
        <is>
          <t>Q2-W02</t>
        </is>
      </c>
      <c r="CG1682"/>
      <c r="CH1682"/>
      <c r="CI1682"/>
      <c r="CJ1682" t="inlineStr">
        <is>
          <t>No Paid</t>
        </is>
      </c>
      <c r="CK1682" t="inlineStr">
        <is>
          <t>Not Eligible</t>
        </is>
      </c>
      <c r="CL1682"/>
      <c r="CM1682"/>
    </row>
    <row r="1683" ht="25.5" customHeight="1">
      <c r="A1683" t="inlineStr">
        <is>
          <t>172367</t>
        </is>
      </c>
      <c r="B1683" s="2"/>
      <c r="C1683"/>
      <c r="D1683" s="3">
        <v>46128.501226851855</v>
      </c>
      <c r="E1683" t="inlineStr">
        <is>
          <t>Q2-W02</t>
        </is>
      </c>
      <c r="F1683" t="inlineStr">
        <is>
          <t>Luqman</t>
        </is>
      </c>
      <c r="G1683" t="inlineStr">
        <is>
          <t>Customer</t>
        </is>
      </c>
      <c r="H1683" s="2" t="str">
        <f>=HYPERLINK("https://upbox.ajobthing.my/customer/172367", "https://upbox.ajobthing.my/customer/172367")</f>
        <v>https://upbox.ajobthing.my/customer/172367</v>
      </c>
      <c r="I1683" t="inlineStr">
        <is>
          <t>Sommer Marketing Sdn Bhd</t>
        </is>
      </c>
      <c r="J1683" t="inlineStr">
        <is>
          <t>Dolphin</t>
        </is>
      </c>
      <c r="K1683" t="inlineStr">
        <is>
          <t>Luqman</t>
        </is>
      </c>
      <c r="L1683" s="4"/>
      <c r="M1683" s="4">
        <v>46128.50131944445</v>
      </c>
      <c r="N1683"/>
      <c r="O1683">
        <v>1296</v>
      </c>
      <c r="P1683" s="4"/>
      <c r="Q1683" s="4">
        <v>45229.74805555555</v>
      </c>
      <c r="R1683"/>
      <c r="S1683">
        <v>1696</v>
      </c>
      <c r="T1683" s="4">
        <v>45229.74805555555</v>
      </c>
      <c r="U1683" s="4"/>
      <c r="V1683"/>
      <c r="W1683">
        <v>1696</v>
      </c>
      <c r="X1683"/>
      <c r="Y1683" t="inlineStr">
        <is>
          <t>Pending Appointment</t>
        </is>
      </c>
      <c r="Z1683" t="inlineStr">
        <is>
          <t>Hiring Later</t>
        </is>
      </c>
      <c r="AA1683">
        <v>1</v>
      </c>
      <c r="AB1683" t="inlineStr">
        <is>
          <t>No Appointment Made</t>
        </is>
      </c>
      <c r="AC1683"/>
      <c r="AD1683" t="inlineStr">
        <is>
          <t xml:space="preserve">1. Admin </t>
        </is>
      </c>
      <c r="AE1683"/>
      <c r="AF1683">
        <v>1200</v>
      </c>
      <c r="AG1683" s="4"/>
      <c r="AH1683" s="4"/>
      <c r="AI1683">
        <v>1200</v>
      </c>
      <c r="AJ1683"/>
      <c r="AK1683" t="inlineStr">
        <is>
          <t>No, but I want in future</t>
        </is>
      </c>
      <c r="AL1683">
        <v>2</v>
      </c>
      <c r="AM1683" t="inlineStr">
        <is>
          <t>No, I don't need at all</t>
        </is>
      </c>
      <c r="AN1683"/>
      <c r="AO1683" t="inlineStr">
        <is>
          <t>No, I don't need at all</t>
        </is>
      </c>
      <c r="AP1683" t="inlineStr">
        <is>
          <t>Once a year (25%)</t>
        </is>
      </c>
      <c r="AQ1683">
        <v>1</v>
      </c>
      <c r="AR1683" t="inlineStr">
        <is>
          <t>Jobstreet</t>
        </is>
      </c>
      <c r="AS1683" t="inlineStr">
        <is>
          <t>- Headcount: 1
- Hiring Job Details: 1 Admin
- Hiring Urgency: Hiring Later
- Number of outlets: Not provided
- Have recruiter team: No, but I want in future
- Number of recruiter in company: 2
- Have ATS system: No, I don't need at all
- Have career website: No, I don't need at all
- Current hiring budget: RM1,200
- Whole year budget: RM1,200.00
- Whole year number of vacancies: 1
- Hiring frequency: Once a year (25%)
- External job portal: Jobstreet</t>
        </is>
      </c>
      <c r="AT1683">
        <v>115</v>
      </c>
      <c r="AU1683" t="inlineStr">
        <is>
          <t>1.15</t>
        </is>
      </c>
      <c r="AV1683" t="inlineStr">
        <is>
          <t>15</t>
        </is>
      </c>
      <c r="AW1683" t="inlineStr">
        <is>
          <t>0</t>
        </is>
      </c>
      <c r="AX1683" t="inlineStr">
        <is>
          <t>Not Qualified</t>
        </is>
      </c>
      <c r="AY1683" s="4"/>
      <c r="AZ1683"/>
      <c r="BA1683"/>
      <c r="BB1683"/>
      <c r="BC1683" t="inlineStr">
        <is>
          <t>Lost</t>
        </is>
      </c>
      <c r="BD1683" s="4">
        <v>46134.4015162037</v>
      </c>
      <c r="BE1683" t="inlineStr">
        <is>
          <t>paid</t>
        </is>
      </c>
      <c r="BF1683"/>
      <c r="BG1683" t="inlineStr">
        <is>
          <t>Reschedule</t>
        </is>
      </c>
      <c r="BH1683" t="inlineStr">
        <is>
          <t>Edward Hoo</t>
        </is>
      </c>
      <c r="BI1683" t="inlineStr">
        <is>
          <t>Other industries</t>
        </is>
      </c>
      <c r="BJ1683" s="4">
        <v>46144.75148148148</v>
      </c>
      <c r="BK1683" s="4">
        <v>45225.67626157407</v>
      </c>
      <c r="BL1683" t="inlineStr">
        <is>
          <t>0.0</t>
        </is>
      </c>
      <c r="BM1683" t="inlineStr">
        <is>
          <t>600.0</t>
        </is>
      </c>
      <c r="BN1683" t="inlineStr">
        <is>
          <t>Applicant Page : Change Status</t>
        </is>
      </c>
      <c r="BO1683" s="4">
        <v>45411.477430555555</v>
      </c>
      <c r="BP1683">
        <v>167370</v>
      </c>
      <c r="BQ1683">
        <v>63351</v>
      </c>
      <c r="BR1683" t="inlineStr">
        <is>
          <t>Online</t>
        </is>
      </c>
      <c r="BS1683"/>
      <c r="BT1683">
        <v>63351</v>
      </c>
      <c r="BU1683"/>
      <c r="BV1683">
        <v>2719429</v>
      </c>
      <c r="BW1683" t="inlineStr">
        <is>
          <t>Follow Up : Lost - Free Portal</t>
        </is>
      </c>
      <c r="BX1683"/>
      <c r="BY1683"/>
      <c r="BZ1683" s="4"/>
      <c r="CA1683"/>
      <c r="CB1683"/>
      <c r="CC1683" s="4"/>
      <c r="CD1683" t="inlineStr">
        <is>
          <t>20</t>
        </is>
      </c>
      <c r="CE1683" t="inlineStr">
        <is>
          <t>0</t>
        </is>
      </c>
      <c r="CF1683" t="inlineStr">
        <is>
          <t>Q2-W02</t>
        </is>
      </c>
      <c r="CG1683"/>
      <c r="CH1683"/>
      <c r="CI1683"/>
      <c r="CJ1683" t="inlineStr">
        <is>
          <t>Paid</t>
        </is>
      </c>
      <c r="CK1683" t="inlineStr">
        <is>
          <t>Not Eligible</t>
        </is>
      </c>
      <c r="CL1683"/>
      <c r="CM1683"/>
    </row>
    <row r="1684" ht="25.5" customHeight="1">
      <c r="A1684" t="inlineStr">
        <is>
          <t>195202</t>
        </is>
      </c>
      <c r="B1684" s="2"/>
      <c r="C1684"/>
      <c r="D1684" s="3">
        <v>46128.50403935185</v>
      </c>
      <c r="E1684" t="inlineStr">
        <is>
          <t>Q2-W02</t>
        </is>
      </c>
      <c r="F1684" t="inlineStr">
        <is>
          <t>Lucas</t>
        </is>
      </c>
      <c r="G1684" t="inlineStr">
        <is>
          <t>Customer</t>
        </is>
      </c>
      <c r="H1684" s="2" t="str">
        <f>=HYPERLINK("https://upbox.ajobthing.my/customer/195202", "https://upbox.ajobthing.my/customer/195202")</f>
        <v>https://upbox.ajobthing.my/customer/195202</v>
      </c>
      <c r="I1684" t="inlineStr">
        <is>
          <t>Jaya Khidmat Group Sdn Bhd</t>
        </is>
      </c>
      <c r="J1684" t="inlineStr">
        <is>
          <t>Dolphin</t>
        </is>
      </c>
      <c r="K1684" t="inlineStr">
        <is>
          <t>Lucas</t>
        </is>
      </c>
      <c r="L1684" s="4"/>
      <c r="M1684" s="4">
        <v>46128.50237268519</v>
      </c>
      <c r="N1684"/>
      <c r="O1684">
        <v>6048</v>
      </c>
      <c r="P1684" s="4"/>
      <c r="Q1684" s="4">
        <v>46128.58976851852</v>
      </c>
      <c r="R1684"/>
      <c r="S1684">
        <v>1296</v>
      </c>
      <c r="T1684" s="4">
        <v>46128.58976851852</v>
      </c>
      <c r="U1684" s="4"/>
      <c r="V1684"/>
      <c r="W1684">
        <v>1296</v>
      </c>
      <c r="X1684"/>
      <c r="Y1684" t="inlineStr">
        <is>
          <t>Pending Appointment</t>
        </is>
      </c>
      <c r="Z1684" t="inlineStr">
        <is>
          <t>Hiring Now</t>
        </is>
      </c>
      <c r="AA1684">
        <v>1</v>
      </c>
      <c r="AB1684" t="inlineStr">
        <is>
          <t>No Appointment Made</t>
        </is>
      </c>
      <c r="AC1684"/>
      <c r="AD1684" t="inlineStr">
        <is>
          <t xml:space="preserve">1 accountant </t>
        </is>
      </c>
      <c r="AE1684"/>
      <c r="AF1684">
        <v>0</v>
      </c>
      <c r="AG1684" s="4"/>
      <c r="AH1684" s="4"/>
      <c r="AI1684">
        <v>0</v>
      </c>
      <c r="AJ1684">
        <v>0</v>
      </c>
      <c r="AK1684" t="inlineStr">
        <is>
          <t>No, I don't need at all</t>
        </is>
      </c>
      <c r="AL1684">
        <v>0</v>
      </c>
      <c r="AM1684" t="inlineStr">
        <is>
          <t>No, I don't need at all</t>
        </is>
      </c>
      <c r="AN1684"/>
      <c r="AO1684" t="inlineStr">
        <is>
          <t>No, I don't need at all</t>
        </is>
      </c>
      <c r="AP1684" t="inlineStr">
        <is>
          <t>Once a year (25%)</t>
        </is>
      </c>
      <c r="AQ1684">
        <v>1</v>
      </c>
      <c r="AR1684" t="inlineStr">
        <is>
          <t>Did not use any job portal</t>
        </is>
      </c>
      <c r="AS1684" t="inlineStr">
        <is>
          <t>- Headcount: 1
- Hiring Job Details: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684">
        <v>110</v>
      </c>
      <c r="AU1684" t="inlineStr">
        <is>
          <t>1.10</t>
        </is>
      </c>
      <c r="AV1684" t="inlineStr">
        <is>
          <t>15</t>
        </is>
      </c>
      <c r="AW1684" t="inlineStr">
        <is>
          <t>0</t>
        </is>
      </c>
      <c r="AX1684" t="inlineStr">
        <is>
          <t>Not Qualified</t>
        </is>
      </c>
      <c r="AY1684" s="4"/>
      <c r="AZ1684"/>
      <c r="BA1684"/>
      <c r="BB1684"/>
      <c r="BC1684" t="inlineStr">
        <is>
          <t>na</t>
        </is>
      </c>
      <c r="BD1684" s="4">
        <v>46139.60487268519</v>
      </c>
      <c r="BE1684" t="inlineStr">
        <is>
          <t>paid</t>
        </is>
      </c>
      <c r="BF1684" t="inlineStr">
        <is>
          <t>Q2-W02</t>
        </is>
      </c>
      <c r="BG1684" t="inlineStr">
        <is>
          <t>Reschedule</t>
        </is>
      </c>
      <c r="BH1684" t="inlineStr">
        <is>
          <t>Yee Hang</t>
        </is>
      </c>
      <c r="BI1684" t="inlineStr">
        <is>
          <t>Food / Beverage</t>
        </is>
      </c>
      <c r="BJ1684" s="4">
        <v>46144.75274305556</v>
      </c>
      <c r="BK1684" s="4">
        <v>45889.87601851852</v>
      </c>
      <c r="BL1684" t="inlineStr">
        <is>
          <t>1296.0</t>
        </is>
      </c>
      <c r="BM1684" t="inlineStr">
        <is>
          <t>600.0</t>
        </is>
      </c>
      <c r="BN1684" t="inlineStr">
        <is>
          <t>PA Visit - Job Card</t>
        </is>
      </c>
      <c r="BO1684" s="4">
        <v>46144.690520833334</v>
      </c>
      <c r="BP1684">
        <v>167371</v>
      </c>
      <c r="BQ1684">
        <v>93846</v>
      </c>
      <c r="BR1684" t="inlineStr">
        <is>
          <t>Online</t>
        </is>
      </c>
      <c r="BS1684"/>
      <c r="BT1684">
        <v>93846</v>
      </c>
      <c r="BU1684"/>
      <c r="BV1684">
        <v>2729860</v>
      </c>
      <c r="BW1684" t="inlineStr">
        <is>
          <t>No Answer : Voicemail - WA sent to customer</t>
        </is>
      </c>
      <c r="BX1684">
        <v>1</v>
      </c>
      <c r="BY1684">
        <v>0</v>
      </c>
      <c r="BZ1684" s="4">
        <v>46128.589780092596</v>
      </c>
      <c r="CA1684">
        <v>10</v>
      </c>
      <c r="CB1684">
        <v>5</v>
      </c>
      <c r="CC1684" s="4">
        <v>46144.689618055556</v>
      </c>
      <c r="CD1684" t="inlineStr">
        <is>
          <t>20</t>
        </is>
      </c>
      <c r="CE1684" t="inlineStr">
        <is>
          <t>0</t>
        </is>
      </c>
      <c r="CF1684" t="inlineStr">
        <is>
          <t>Q2-W02</t>
        </is>
      </c>
      <c r="CG1684" t="inlineStr">
        <is>
          <t>Q2-W02</t>
        </is>
      </c>
      <c r="CH1684" t="inlineStr">
        <is>
          <t>Q2-W02</t>
        </is>
      </c>
      <c r="CI1684"/>
      <c r="CJ1684" t="inlineStr">
        <is>
          <t>Paid</t>
        </is>
      </c>
      <c r="CK1684" t="inlineStr">
        <is>
          <t>Not Eligible</t>
        </is>
      </c>
      <c r="CL1684"/>
      <c r="CM1684"/>
    </row>
    <row r="1685" ht="25.5" customHeight="1">
      <c r="A1685" t="inlineStr">
        <is>
          <t>186503</t>
        </is>
      </c>
      <c r="B1685" s="2"/>
      <c r="C1685"/>
      <c r="D1685" s="3">
        <v>46128.516076388885</v>
      </c>
      <c r="E1685" t="inlineStr">
        <is>
          <t>Q2-W02</t>
        </is>
      </c>
      <c r="F1685" t="inlineStr">
        <is>
          <t>Ken Yi</t>
        </is>
      </c>
      <c r="G1685" t="inlineStr">
        <is>
          <t>Customer</t>
        </is>
      </c>
      <c r="H1685" s="2" t="str">
        <f>=HYPERLINK("https://upbox.ajobthing.my/customer/186503", "https://upbox.ajobthing.my/customer/186503")</f>
        <v>https://upbox.ajobthing.my/customer/186503</v>
      </c>
      <c r="I1685" t="inlineStr">
        <is>
          <t>Ben Jawi Ventures Sdn Bhd</t>
        </is>
      </c>
      <c r="J1685" t="inlineStr">
        <is>
          <t>Dolphin</t>
        </is>
      </c>
      <c r="K1685" t="inlineStr">
        <is>
          <t>Kenyi</t>
        </is>
      </c>
      <c r="L1685" s="4"/>
      <c r="M1685" s="4">
        <v>46128.51494212963</v>
      </c>
      <c r="N1685"/>
      <c r="O1685">
        <v>3672</v>
      </c>
      <c r="P1685" s="4"/>
      <c r="Q1685" s="4">
        <v>45848.6568287037</v>
      </c>
      <c r="R1685"/>
      <c r="S1685">
        <v>1620</v>
      </c>
      <c r="T1685" s="4">
        <v>45848.6568287037</v>
      </c>
      <c r="U1685" s="4"/>
      <c r="V1685"/>
      <c r="W1685">
        <v>1620</v>
      </c>
      <c r="X1685"/>
      <c r="Y1685" t="inlineStr">
        <is>
          <t>Pending Appointment</t>
        </is>
      </c>
      <c r="Z1685" t="inlineStr">
        <is>
          <t>Hiring Now</t>
        </is>
      </c>
      <c r="AA1685">
        <v>1</v>
      </c>
      <c r="AB1685" t="inlineStr">
        <is>
          <t>No Appointment Made</t>
        </is>
      </c>
      <c r="AC1685"/>
      <c r="AD1685" t="inlineStr">
        <is>
          <t>Sales Executive 1</t>
        </is>
      </c>
      <c r="AE1685"/>
      <c r="AF1685">
        <v>0</v>
      </c>
      <c r="AG1685" s="4"/>
      <c r="AH1685" s="4"/>
      <c r="AI1685">
        <v>0</v>
      </c>
      <c r="AJ1685">
        <v>1</v>
      </c>
      <c r="AK1685" t="inlineStr">
        <is>
          <t>No, I don't need at all</t>
        </is>
      </c>
      <c r="AL1685">
        <v>1</v>
      </c>
      <c r="AM1685" t="inlineStr">
        <is>
          <t>No, I don't need at all</t>
        </is>
      </c>
      <c r="AN1685"/>
      <c r="AO1685" t="inlineStr">
        <is>
          <t>No, I don't need at all</t>
        </is>
      </c>
      <c r="AP1685" t="inlineStr">
        <is>
          <t>Every month (100%)</t>
        </is>
      </c>
      <c r="AQ1685">
        <v>3</v>
      </c>
      <c r="AR1685" t="inlineStr">
        <is>
          <t>Free Job Portal</t>
        </is>
      </c>
      <c r="AS1685" t="inlineStr">
        <is>
          <t>- Headcount: 1
- Hiring Job Details: 1 Sales Executive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Every month (100%)
- External job portal: Free Job Portal</t>
        </is>
      </c>
      <c r="AT1685">
        <v>110</v>
      </c>
      <c r="AU1685" t="inlineStr">
        <is>
          <t>1.10</t>
        </is>
      </c>
      <c r="AV1685" t="inlineStr">
        <is>
          <t>15</t>
        </is>
      </c>
      <c r="AW1685" t="inlineStr">
        <is>
          <t>0</t>
        </is>
      </c>
      <c r="AX1685" t="inlineStr">
        <is>
          <t>Not Qualified</t>
        </is>
      </c>
      <c r="AY1685" s="4"/>
      <c r="AZ1685"/>
      <c r="BA1685"/>
      <c r="BB1685"/>
      <c r="BC1685" t="inlineStr">
        <is>
          <t>- Headcount: 1
- Hiring Job Details: 1 Sales Executive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Every month (100%)
- External job portal: Free Job Portal</t>
        </is>
      </c>
      <c r="BD1685" s="4">
        <v>46128.54168981482</v>
      </c>
      <c r="BE1685" t="inlineStr">
        <is>
          <t>paid</t>
        </is>
      </c>
      <c r="BF1685"/>
      <c r="BG1685" t="inlineStr">
        <is>
          <t>Reschedule</t>
        </is>
      </c>
      <c r="BH1685" t="inlineStr">
        <is>
          <t>Fauziah Maharan</t>
        </is>
      </c>
      <c r="BI1685" t="inlineStr">
        <is>
          <t>Entertainment / Media</t>
        </is>
      </c>
      <c r="BJ1685" s="4">
        <v>46144.752118055556</v>
      </c>
      <c r="BK1685" s="4">
        <v>45664.51070601852</v>
      </c>
      <c r="BL1685" t="inlineStr">
        <is>
          <t>2268.0</t>
        </is>
      </c>
      <c r="BM1685" t="inlineStr">
        <is>
          <t>0.0</t>
        </is>
      </c>
      <c r="BN1685" t="inlineStr">
        <is>
          <t>View Company Page</t>
        </is>
      </c>
      <c r="BO1685" s="4">
        <v>46135.498819444445</v>
      </c>
      <c r="BP1685">
        <v>167375</v>
      </c>
      <c r="BQ1685">
        <v>80674</v>
      </c>
      <c r="BR1685" t="inlineStr">
        <is>
          <t>Online</t>
        </is>
      </c>
      <c r="BS1685"/>
      <c r="BT1685">
        <v>80674</v>
      </c>
      <c r="BU1685"/>
      <c r="BV1685">
        <v>2708895</v>
      </c>
      <c r="BW1685" t="inlineStr">
        <is>
          <t>Customer Inquiry</t>
        </is>
      </c>
      <c r="BX1685"/>
      <c r="BY1685"/>
      <c r="BZ1685" s="4"/>
      <c r="CA1685"/>
      <c r="CB1685"/>
      <c r="CC1685" s="4"/>
      <c r="CD1685" t="inlineStr">
        <is>
          <t>20</t>
        </is>
      </c>
      <c r="CE1685" t="inlineStr">
        <is>
          <t>0</t>
        </is>
      </c>
      <c r="CF1685" t="inlineStr">
        <is>
          <t>Q2-W02</t>
        </is>
      </c>
      <c r="CG1685"/>
      <c r="CH1685"/>
      <c r="CI1685"/>
      <c r="CJ1685" t="inlineStr">
        <is>
          <t>Paid</t>
        </is>
      </c>
      <c r="CK1685" t="inlineStr">
        <is>
          <t>Not Eligible</t>
        </is>
      </c>
      <c r="CL1685"/>
      <c r="CM1685"/>
    </row>
    <row r="1686" ht="25.5" customHeight="1">
      <c r="A1686" t="inlineStr">
        <is>
          <t>4286848</t>
        </is>
      </c>
      <c r="B1686" s="2"/>
      <c r="C1686"/>
      <c r="D1686" s="3">
        <v>46128.52143518518</v>
      </c>
      <c r="E1686" t="inlineStr">
        <is>
          <t>Q2-W02</t>
        </is>
      </c>
      <c r="F1686" t="inlineStr">
        <is>
          <t>Jess</t>
        </is>
      </c>
      <c r="G1686" t="inlineStr">
        <is>
          <t>Lead</t>
        </is>
      </c>
      <c r="H1686" s="2" t="str">
        <f>=HYPERLINK("https://upbox.ajobthing.my/leads/4286848", "https://upbox.ajobthing.my/leads/4286848")</f>
        <v>https://upbox.ajobthing.my/leads/4286848</v>
      </c>
      <c r="I1686" t="inlineStr">
        <is>
          <t>VC TECH (M) SDN BHD</t>
        </is>
      </c>
      <c r="J1686" t="inlineStr">
        <is>
          <t>Dolphin</t>
        </is>
      </c>
      <c r="K1686" t="inlineStr">
        <is>
          <t>Jess Lim</t>
        </is>
      </c>
      <c r="L1686" s="4"/>
      <c r="M1686" s="4">
        <v>46128.67600694444</v>
      </c>
      <c r="N1686"/>
      <c r="O1686">
        <v>6048</v>
      </c>
      <c r="P1686" s="4"/>
      <c r="Q1686" s="4"/>
      <c r="R1686"/>
      <c r="S1686"/>
      <c r="T1686" s="4"/>
      <c r="U1686" s="4"/>
      <c r="V1686"/>
      <c r="W1686"/>
      <c r="X1686"/>
      <c r="Y1686" t="inlineStr">
        <is>
          <t>Pending Appointment</t>
        </is>
      </c>
      <c r="Z1686" t="inlineStr">
        <is>
          <t>Hiring Now</t>
        </is>
      </c>
      <c r="AA1686">
        <v>3</v>
      </c>
      <c r="AB1686" t="inlineStr">
        <is>
          <t>No Appointment Made</t>
        </is>
      </c>
      <c r="AC1686"/>
      <c r="AD1686" t="inlineStr">
        <is>
          <t>leader purchaser prodcution technician</t>
        </is>
      </c>
      <c r="AE1686"/>
      <c r="AF1686">
        <v>1000</v>
      </c>
      <c r="AG1686" s="4"/>
      <c r="AH1686" s="4"/>
      <c r="AI1686"/>
      <c r="AJ1686"/>
      <c r="AK1686" t="inlineStr">
        <is>
          <t>No, I don't need at all</t>
        </is>
      </c>
      <c r="AL1686"/>
      <c r="AM1686" t="inlineStr">
        <is>
          <t>No, I don't need at all</t>
        </is>
      </c>
      <c r="AN1686"/>
      <c r="AO1686" t="inlineStr">
        <is>
          <t>No, I don't need at all</t>
        </is>
      </c>
      <c r="AP1686" t="inlineStr">
        <is>
          <t>Once a year (25%)</t>
        </is>
      </c>
      <c r="AQ1686"/>
      <c r="AR1686" t="inlineStr">
        <is>
          <t>Jobstreet</t>
        </is>
      </c>
      <c r="AS1686" t="inlineStr">
        <is>
          <t>- Headcount: 3
- Hiring Job Details: leader, purchaser, production technician
- Hiring Urgency: Hiring Now
- Number of outlets: N/A
- Have recruiter team: No, I don't need at all
- Number of recruiter in company: N/A
- Have ATS system: No, I don't need at all
- Have career website: No, I don't need at all
- Current hiring budget: RM1,000.00
- Whole year budget: N/A
- Whole year number of vacancies: N/A
- Hiring frequency: Once a year (25%)
- External job portal: Jobstreet</t>
        </is>
      </c>
      <c r="AT1686">
        <v>75</v>
      </c>
      <c r="AU1686" t="inlineStr">
        <is>
          <t>0.75</t>
        </is>
      </c>
      <c r="AV1686" t="inlineStr">
        <is>
          <t>15</t>
        </is>
      </c>
      <c r="AW1686" t="inlineStr">
        <is>
          <t>0</t>
        </is>
      </c>
      <c r="AX1686" t="inlineStr">
        <is>
          <t>Not Qualified</t>
        </is>
      </c>
      <c r="AY1686" s="4"/>
      <c r="AZ1686"/>
      <c r="BA1686"/>
      <c r="BB1686"/>
      <c r="BC1686"/>
      <c r="BD1686" s="4"/>
      <c r="BE1686"/>
      <c r="BF1686"/>
      <c r="BG1686" t="inlineStr">
        <is>
          <t>Reschedule</t>
        </is>
      </c>
      <c r="BH1686" t="inlineStr">
        <is>
          <t>Fauziah Maharan</t>
        </is>
      </c>
      <c r="BI1686"/>
      <c r="BJ1686" s="4">
        <v>46144.755833333336</v>
      </c>
      <c r="BK1686" s="4">
        <v>46127.854849537034</v>
      </c>
      <c r="BL1686" t="inlineStr">
        <is>
          <t>0.0</t>
        </is>
      </c>
      <c r="BM1686" t="inlineStr">
        <is>
          <t>0.0</t>
        </is>
      </c>
      <c r="BN1686"/>
      <c r="BO1686" s="4"/>
      <c r="BP1686">
        <v>167456</v>
      </c>
      <c r="BQ1686"/>
      <c r="BR1686"/>
      <c r="BS1686"/>
      <c r="BT1686"/>
      <c r="BU1686"/>
      <c r="BV1686"/>
      <c r="BW1686"/>
      <c r="BX1686"/>
      <c r="BY1686"/>
      <c r="BZ1686" s="4"/>
      <c r="CA1686"/>
      <c r="CB1686"/>
      <c r="CC1686" s="4"/>
      <c r="CD1686" t="inlineStr">
        <is>
          <t>20</t>
        </is>
      </c>
      <c r="CE1686" t="inlineStr">
        <is>
          <t>0</t>
        </is>
      </c>
      <c r="CF1686" t="inlineStr">
        <is>
          <t>Q2-W02</t>
        </is>
      </c>
      <c r="CG1686"/>
      <c r="CH1686"/>
      <c r="CI1686"/>
      <c r="CJ1686" t="inlineStr">
        <is>
          <t>No Paid</t>
        </is>
      </c>
      <c r="CK1686" t="inlineStr">
        <is>
          <t>Not Eligible</t>
        </is>
      </c>
      <c r="CL1686"/>
      <c r="CM1686"/>
    </row>
    <row r="1687" ht="25.5" customHeight="1">
      <c r="A1687" t="inlineStr">
        <is>
          <t>181792</t>
        </is>
      </c>
      <c r="B1687" s="2"/>
      <c r="C1687"/>
      <c r="D1687" s="3">
        <v>46128.556076388886</v>
      </c>
      <c r="E1687" t="inlineStr">
        <is>
          <t>Q2-W02</t>
        </is>
      </c>
      <c r="F1687" t="inlineStr">
        <is>
          <t>Chia Yee</t>
        </is>
      </c>
      <c r="G1687" t="inlineStr">
        <is>
          <t>Customer</t>
        </is>
      </c>
      <c r="H1687" s="2" t="str">
        <f>=HYPERLINK("https://upbox.ajobthing.my/customer/181792", "https://upbox.ajobthing.my/customer/181792")</f>
        <v>https://upbox.ajobthing.my/customer/181792</v>
      </c>
      <c r="I1687" t="inlineStr">
        <is>
          <t>Plentisoft Sdn Bhd</t>
        </is>
      </c>
      <c r="J1687" t="inlineStr">
        <is>
          <t>Dolphin</t>
        </is>
      </c>
      <c r="K1687" t="inlineStr">
        <is>
          <t>Chia Yee</t>
        </is>
      </c>
      <c r="L1687" s="4"/>
      <c r="M1687" s="4">
        <v>46128.55667824074</v>
      </c>
      <c r="N1687"/>
      <c r="O1687">
        <v>8208</v>
      </c>
      <c r="P1687" s="4"/>
      <c r="Q1687" s="4">
        <v>46128.54387731481</v>
      </c>
      <c r="R1687"/>
      <c r="S1687">
        <v>0</v>
      </c>
      <c r="T1687" s="4"/>
      <c r="U1687" s="4"/>
      <c r="V1687"/>
      <c r="W1687"/>
      <c r="X1687"/>
      <c r="Y1687" t="inlineStr">
        <is>
          <t>Pending Appointment</t>
        </is>
      </c>
      <c r="Z1687" t="inlineStr">
        <is>
          <t>Continuous Hiring</t>
        </is>
      </c>
      <c r="AA1687">
        <v>3</v>
      </c>
      <c r="AB1687" t="inlineStr">
        <is>
          <t>No Appointment Made</t>
        </is>
      </c>
      <c r="AC1687"/>
      <c r="AD1687" t="inlineStr">
        <is>
          <t>3 Sales person</t>
        </is>
      </c>
      <c r="AE1687"/>
      <c r="AF1687">
        <v>0</v>
      </c>
      <c r="AG1687" s="4"/>
      <c r="AH1687" s="4"/>
      <c r="AI1687">
        <v>0</v>
      </c>
      <c r="AJ1687">
        <v>1</v>
      </c>
      <c r="AK1687" t="inlineStr">
        <is>
          <t>No, I don't need at all</t>
        </is>
      </c>
      <c r="AL1687">
        <v>1</v>
      </c>
      <c r="AM1687" t="inlineStr">
        <is>
          <t>No, I don't need at all</t>
        </is>
      </c>
      <c r="AN1687"/>
      <c r="AO1687" t="inlineStr">
        <is>
          <t>No, I don't need at all</t>
        </is>
      </c>
      <c r="AP1687" t="inlineStr">
        <is>
          <t>Twice a year (50%)</t>
        </is>
      </c>
      <c r="AQ1687">
        <v>3</v>
      </c>
      <c r="AR1687" t="inlineStr">
        <is>
          <t>Did not use any job portal</t>
        </is>
      </c>
      <c r="AS1687" t="inlineStr">
        <is>
          <t>- Headcount: 3
- Hiring Job Details: 3 Sales person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Twice a year (50%)
- External job portal: Did not use any job portal</t>
        </is>
      </c>
      <c r="AT1687">
        <v>105</v>
      </c>
      <c r="AU1687" t="inlineStr">
        <is>
          <t>1.05</t>
        </is>
      </c>
      <c r="AV1687" t="inlineStr">
        <is>
          <t>15</t>
        </is>
      </c>
      <c r="AW1687" t="inlineStr">
        <is>
          <t>0</t>
        </is>
      </c>
      <c r="AX1687" t="inlineStr">
        <is>
          <t>Not Qualified</t>
        </is>
      </c>
      <c r="AY1687" s="4"/>
      <c r="AZ1687"/>
      <c r="BA1687"/>
      <c r="BB1687"/>
      <c r="BC1687" t="inlineStr">
        <is>
          <t>Called Rinnie, not proceed as try free no results. Post other platform for free, still have results</t>
        </is>
      </c>
      <c r="BD1687" s="4">
        <v>46134.39670138889</v>
      </c>
      <c r="BE1687" t="inlineStr">
        <is>
          <t>paid</t>
        </is>
      </c>
      <c r="BF1687"/>
      <c r="BG1687" t="inlineStr">
        <is>
          <t>Reschedule</t>
        </is>
      </c>
      <c r="BH1687" t="inlineStr">
        <is>
          <t>Reagen</t>
        </is>
      </c>
      <c r="BI1687" t="inlineStr">
        <is>
          <t>IT / Software</t>
        </is>
      </c>
      <c r="BJ1687" s="4">
        <v>46144.75188657407</v>
      </c>
      <c r="BK1687" s="4">
        <v>45523.679444444446</v>
      </c>
      <c r="BL1687" t="inlineStr">
        <is>
          <t>0.0</t>
        </is>
      </c>
      <c r="BM1687" t="inlineStr">
        <is>
          <t>3750.0</t>
        </is>
      </c>
      <c r="BN1687" t="inlineStr">
        <is>
          <t>View Company Page</t>
        </is>
      </c>
      <c r="BO1687" s="4">
        <v>46136.52407407408</v>
      </c>
      <c r="BP1687">
        <v>167383</v>
      </c>
      <c r="BQ1687">
        <v>122693</v>
      </c>
      <c r="BR1687" t="inlineStr">
        <is>
          <t>Proforma</t>
        </is>
      </c>
      <c r="BS1687" t="inlineStr">
        <is>
          <t>Free High Pay Job</t>
        </is>
      </c>
      <c r="BT1687"/>
      <c r="BU1687"/>
      <c r="BV1687">
        <v>2719352</v>
      </c>
      <c r="BW1687" t="inlineStr">
        <is>
          <t>Follow Up : Budget Concern</t>
        </is>
      </c>
      <c r="BX1687"/>
      <c r="BY1687"/>
      <c r="BZ1687" s="4"/>
      <c r="CA1687">
        <v>13</v>
      </c>
      <c r="CB1687">
        <v>13</v>
      </c>
      <c r="CC1687" s="4"/>
      <c r="CD1687" t="inlineStr">
        <is>
          <t>20</t>
        </is>
      </c>
      <c r="CE1687" t="inlineStr">
        <is>
          <t>0</t>
        </is>
      </c>
      <c r="CF1687" t="inlineStr">
        <is>
          <t>Q2-W02</t>
        </is>
      </c>
      <c r="CG1687" t="inlineStr">
        <is>
          <t>Q2-W02</t>
        </is>
      </c>
      <c r="CH1687"/>
      <c r="CI1687"/>
      <c r="CJ1687" t="inlineStr">
        <is>
          <t>No Paid</t>
        </is>
      </c>
      <c r="CK1687" t="inlineStr">
        <is>
          <t>Not Eligible</t>
        </is>
      </c>
      <c r="CL1687"/>
      <c r="CM1687"/>
    </row>
    <row r="1688" ht="25.5" customHeight="1">
      <c r="A1688" t="inlineStr">
        <is>
          <t>202906</t>
        </is>
      </c>
      <c r="B1688" s="2"/>
      <c r="C1688"/>
      <c r="D1688" s="3">
        <v>46128.564351851855</v>
      </c>
      <c r="E1688" t="inlineStr">
        <is>
          <t>Q2-W02</t>
        </is>
      </c>
      <c r="F1688" t="inlineStr">
        <is>
          <t>Evan</t>
        </is>
      </c>
      <c r="G1688" t="inlineStr">
        <is>
          <t>Customer</t>
        </is>
      </c>
      <c r="H1688" s="2" t="str">
        <f>=HYPERLINK("https://upbox.ajobthing.my/customer/202906", "https://upbox.ajobthing.my/customer/202906")</f>
        <v>https://upbox.ajobthing.my/customer/202906</v>
      </c>
      <c r="I1688" t="inlineStr">
        <is>
          <t>Remotrad</t>
        </is>
      </c>
      <c r="J1688" t="inlineStr">
        <is>
          <t>Dolphin</t>
        </is>
      </c>
      <c r="K1688" t="inlineStr">
        <is>
          <t>Evan</t>
        </is>
      </c>
      <c r="L1688" s="4"/>
      <c r="M1688" s="4">
        <v>46119.4452662037</v>
      </c>
      <c r="N1688"/>
      <c r="O1688">
        <v>3672</v>
      </c>
      <c r="P1688" s="4"/>
      <c r="Q1688" s="4"/>
      <c r="R1688"/>
      <c r="S1688"/>
      <c r="T1688" s="4"/>
      <c r="U1688" s="4"/>
      <c r="V1688"/>
      <c r="W1688"/>
      <c r="X1688" t="inlineStr">
        <is>
          <t>Evan</t>
        </is>
      </c>
      <c r="Y1688" t="inlineStr">
        <is>
          <t>Done Appointment</t>
        </is>
      </c>
      <c r="Z1688" t="inlineStr">
        <is>
          <t>Hiring Now</t>
        </is>
      </c>
      <c r="AA1688">
        <v>2</v>
      </c>
      <c r="AB1688" t="inlineStr">
        <is>
          <t>Appointment Made</t>
        </is>
      </c>
      <c r="AC1688" t="inlineStr">
        <is>
          <t>SME (&lt;50 employees)</t>
        </is>
      </c>
      <c r="AD1688" t="inlineStr">
        <is>
          <t>1 admin, 1 digital marketing, all base in KL</t>
        </is>
      </c>
      <c r="AE1688" t="inlineStr">
        <is>
          <t>HR Manager / Talent Manager</t>
        </is>
      </c>
      <c r="AF1688">
        <v>2000</v>
      </c>
      <c r="AG1688" s="4">
        <v>46128.479166666664</v>
      </c>
      <c r="AH1688" s="4">
        <v>46128.5</v>
      </c>
      <c r="AI1688">
        <v>1</v>
      </c>
      <c r="AJ1688">
        <v>1</v>
      </c>
      <c r="AK1688" t="inlineStr">
        <is>
          <t>No, I don't need at all</t>
        </is>
      </c>
      <c r="AL1688">
        <v>0</v>
      </c>
      <c r="AM1688" t="inlineStr">
        <is>
          <t>No, I don't need at all</t>
        </is>
      </c>
      <c r="AN1688"/>
      <c r="AO1688" t="inlineStr">
        <is>
          <t>No, I don't need at all</t>
        </is>
      </c>
      <c r="AP1688" t="inlineStr">
        <is>
          <t>Once a year (25%)</t>
        </is>
      </c>
      <c r="AQ1688">
        <v>2</v>
      </c>
      <c r="AR1688" t="inlineStr">
        <is>
          <t>Free Job Portal</t>
        </is>
      </c>
      <c r="AS1688" t="inlineStr">
        <is>
          <t>- Headcount: 2
- Hiring Job Details: 1 admin, 1 digital marketing (all base in KL)
- Hiring Urgency: Hiring Now
- Number of outlets: 1
- Have recruiter team: No, I don't need at all
- Number of recruiter in company: 0
- Have ATS system: No, I don't need at all
- Have career website: No, I don't need at all
- Current hiring budget: RM2,000.00
- Whole year budget: RM1.00
- Whole year number of vacancies: 2
- Hiring frequency: Once a year (25%)
- External job portal: Free Job Portal</t>
        </is>
      </c>
      <c r="AT1688">
        <v>115</v>
      </c>
      <c r="AU1688" t="inlineStr">
        <is>
          <t>1.15</t>
        </is>
      </c>
      <c r="AV1688" t="inlineStr">
        <is>
          <t>30</t>
        </is>
      </c>
      <c r="AW1688" t="inlineStr">
        <is>
          <t>0</t>
        </is>
      </c>
      <c r="AX1688" t="inlineStr">
        <is>
          <t>Not Qualified</t>
        </is>
      </c>
      <c r="AY1688" s="4">
        <v>46133.74931712963</v>
      </c>
      <c r="AZ1688" t="inlineStr">
        <is>
          <t>Edward Hoo</t>
        </is>
      </c>
      <c r="BA1688"/>
      <c r="BB1688"/>
      <c r="BC1688" t="inlineStr">
        <is>
          <t>let me know soon</t>
        </is>
      </c>
      <c r="BD1688" s="4">
        <v>46135.648206018515</v>
      </c>
      <c r="BE1688"/>
      <c r="BF1688"/>
      <c r="BG1688" t="inlineStr">
        <is>
          <t>Reschedule</t>
        </is>
      </c>
      <c r="BH1688" t="inlineStr">
        <is>
          <t>Edward Hoo</t>
        </is>
      </c>
      <c r="BI1688"/>
      <c r="BJ1688" s="4">
        <v>46144.754166666666</v>
      </c>
      <c r="BK1688" s="4">
        <v>46119.36708333333</v>
      </c>
      <c r="BL1688" t="inlineStr">
        <is>
          <t>0.0</t>
        </is>
      </c>
      <c r="BM1688" t="inlineStr">
        <is>
          <t>0.0</t>
        </is>
      </c>
      <c r="BN1688" t="inlineStr">
        <is>
          <t>View Company Page</t>
        </is>
      </c>
      <c r="BO1688" s="4">
        <v>46119.37515046296</v>
      </c>
      <c r="BP1688">
        <v>165578</v>
      </c>
      <c r="BQ1688"/>
      <c r="BR1688"/>
      <c r="BS1688"/>
      <c r="BT1688"/>
      <c r="BU1688"/>
      <c r="BV1688">
        <v>2724438</v>
      </c>
      <c r="BW1688" t="inlineStr">
        <is>
          <t>Follow Up : Decision Pending</t>
        </is>
      </c>
      <c r="BX1688"/>
      <c r="BY1688"/>
      <c r="BZ1688" s="4"/>
      <c r="CA1688"/>
      <c r="CB1688"/>
      <c r="CC1688" s="4"/>
      <c r="CD1688" t="inlineStr">
        <is>
          <t>40</t>
        </is>
      </c>
      <c r="CE1688" t="inlineStr">
        <is>
          <t>0.5</t>
        </is>
      </c>
      <c r="CF1688" t="inlineStr">
        <is>
          <t>Q2-W01</t>
        </is>
      </c>
      <c r="CG1688"/>
      <c r="CH1688"/>
      <c r="CI1688" t="inlineStr">
        <is>
          <t>Q2-W03</t>
        </is>
      </c>
      <c r="CJ1688" t="inlineStr">
        <is>
          <t>No Paid</t>
        </is>
      </c>
      <c r="CK1688" t="inlineStr">
        <is>
          <t>Not Eligible</t>
        </is>
      </c>
      <c r="CL1688"/>
      <c r="CM1688" t="inlineStr">
        <is>
          <t>Q2-W03</t>
        </is>
      </c>
    </row>
    <row r="1689" ht="25.5" customHeight="1">
      <c r="A1689" t="inlineStr">
        <is>
          <t>4281990</t>
        </is>
      </c>
      <c r="B1689" s="2"/>
      <c r="C1689"/>
      <c r="D1689" s="3">
        <v>46128.57179398148</v>
      </c>
      <c r="E1689" t="inlineStr">
        <is>
          <t>Q2-W02</t>
        </is>
      </c>
      <c r="F1689" t="inlineStr">
        <is>
          <t>Evan</t>
        </is>
      </c>
      <c r="G1689" t="inlineStr">
        <is>
          <t>Lead</t>
        </is>
      </c>
      <c r="H1689" s="2" t="str">
        <f>=HYPERLINK("https://upbox.ajobthing.my/leads/4281990", "https://upbox.ajobthing.my/leads/4281990")</f>
        <v>https://upbox.ajobthing.my/leads/4281990</v>
      </c>
      <c r="I1689" t="inlineStr">
        <is>
          <t>Hunwin Enterprises (M) Sdn Bhd</t>
        </is>
      </c>
      <c r="J1689" t="inlineStr">
        <is>
          <t>Dolphin</t>
        </is>
      </c>
      <c r="K1689" t="inlineStr">
        <is>
          <t>Evan</t>
        </is>
      </c>
      <c r="L1689" s="4"/>
      <c r="M1689" s="4">
        <v>46128.56582175926</v>
      </c>
      <c r="N1689"/>
      <c r="O1689">
        <v>3888</v>
      </c>
      <c r="P1689" s="4"/>
      <c r="Q1689" s="4"/>
      <c r="R1689"/>
      <c r="S1689"/>
      <c r="T1689" s="4"/>
      <c r="U1689" s="4"/>
      <c r="V1689"/>
      <c r="W1689"/>
      <c r="X1689"/>
      <c r="Y1689" t="inlineStr">
        <is>
          <t>Pending Appointment</t>
        </is>
      </c>
      <c r="Z1689" t="inlineStr">
        <is>
          <t>Hiring Now</t>
        </is>
      </c>
      <c r="AA1689">
        <v>2</v>
      </c>
      <c r="AB1689" t="inlineStr">
        <is>
          <t>No Appointment Made</t>
        </is>
      </c>
      <c r="AC1689"/>
      <c r="AD1689" t="inlineStr">
        <is>
          <t>1 admin, 1 sales, all base in PJ</t>
        </is>
      </c>
      <c r="AE1689"/>
      <c r="AF1689">
        <v>1</v>
      </c>
      <c r="AG1689" s="4"/>
      <c r="AH1689" s="4"/>
      <c r="AI1689">
        <v>1</v>
      </c>
      <c r="AJ1689">
        <v>1</v>
      </c>
      <c r="AK1689" t="inlineStr">
        <is>
          <t>No, I don't need at all</t>
        </is>
      </c>
      <c r="AL1689">
        <v>0</v>
      </c>
      <c r="AM1689" t="inlineStr">
        <is>
          <t>No, I don't need at all</t>
        </is>
      </c>
      <c r="AN1689"/>
      <c r="AO1689" t="inlineStr">
        <is>
          <t>No, I don't need at all</t>
        </is>
      </c>
      <c r="AP1689" t="inlineStr">
        <is>
          <t>Once a year (25%)</t>
        </is>
      </c>
      <c r="AQ1689">
        <v>2</v>
      </c>
      <c r="AR1689" t="inlineStr">
        <is>
          <t>Jobstreet</t>
        </is>
      </c>
      <c r="AS1689" t="inlineStr">
        <is>
          <t>- Headcount: 2
- Hiring Job Details: 1 admin, 1 sales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Jobstreet</t>
        </is>
      </c>
      <c r="AT1689">
        <v>115</v>
      </c>
      <c r="AU1689" t="inlineStr">
        <is>
          <t>1.15</t>
        </is>
      </c>
      <c r="AV1689" t="inlineStr">
        <is>
          <t>15</t>
        </is>
      </c>
      <c r="AW1689" t="inlineStr">
        <is>
          <t>0</t>
        </is>
      </c>
      <c r="AX1689" t="inlineStr">
        <is>
          <t>Not Qualified</t>
        </is>
      </c>
      <c r="AY1689" s="4"/>
      <c r="AZ1689"/>
      <c r="BA1689"/>
      <c r="BB1689"/>
      <c r="BC1689"/>
      <c r="BD1689" s="4"/>
      <c r="BE1689"/>
      <c r="BF1689"/>
      <c r="BG1689" t="inlineStr">
        <is>
          <t>Reschedule</t>
        </is>
      </c>
      <c r="BH1689" t="inlineStr">
        <is>
          <t>Edward Hoo</t>
        </is>
      </c>
      <c r="BI1689"/>
      <c r="BJ1689" s="4">
        <v>46144.755833333336</v>
      </c>
      <c r="BK1689" s="4">
        <v>46126.74133101852</v>
      </c>
      <c r="BL1689" t="inlineStr">
        <is>
          <t>0.0</t>
        </is>
      </c>
      <c r="BM1689" t="inlineStr">
        <is>
          <t>1800.0</t>
        </is>
      </c>
      <c r="BN1689"/>
      <c r="BO1689" s="4"/>
      <c r="BP1689">
        <v>167386</v>
      </c>
      <c r="BQ1689"/>
      <c r="BR1689"/>
      <c r="BS1689"/>
      <c r="BT1689"/>
      <c r="BU1689"/>
      <c r="BV1689"/>
      <c r="BW1689"/>
      <c r="BX1689"/>
      <c r="BY1689"/>
      <c r="BZ1689" s="4"/>
      <c r="CA1689"/>
      <c r="CB1689"/>
      <c r="CC1689" s="4"/>
      <c r="CD1689" t="inlineStr">
        <is>
          <t>20</t>
        </is>
      </c>
      <c r="CE1689" t="inlineStr">
        <is>
          <t>0</t>
        </is>
      </c>
      <c r="CF1689" t="inlineStr">
        <is>
          <t>Q2-W02</t>
        </is>
      </c>
      <c r="CG1689"/>
      <c r="CH1689"/>
      <c r="CI1689"/>
      <c r="CJ1689" t="inlineStr">
        <is>
          <t>No Paid</t>
        </is>
      </c>
      <c r="CK1689" t="inlineStr">
        <is>
          <t>Not Eligible</t>
        </is>
      </c>
      <c r="CL1689"/>
      <c r="CM1689"/>
    </row>
    <row r="1690" ht="25.5" customHeight="1">
      <c r="A1690" t="inlineStr">
        <is>
          <t>203279</t>
        </is>
      </c>
      <c r="B1690" s="2"/>
      <c r="C1690"/>
      <c r="D1690" s="3">
        <v>46128.574108796296</v>
      </c>
      <c r="E1690" t="inlineStr">
        <is>
          <t>Q2-W02</t>
        </is>
      </c>
      <c r="F1690" t="inlineStr">
        <is>
          <t>Jia Hui</t>
        </is>
      </c>
      <c r="G1690" t="inlineStr">
        <is>
          <t>Customer</t>
        </is>
      </c>
      <c r="H1690" s="2" t="str">
        <f>=HYPERLINK("https://upbox.ajobthing.my/customer/203279", "https://upbox.ajobthing.my/customer/203279")</f>
        <v>https://upbox.ajobthing.my/customer/203279</v>
      </c>
      <c r="I1690" t="inlineStr">
        <is>
          <t>Agensi Pekerjaan Smart Recruit Sdn. Bhd.</t>
        </is>
      </c>
      <c r="J1690" t="inlineStr">
        <is>
          <t>Dolphin</t>
        </is>
      </c>
      <c r="K1690" t="inlineStr">
        <is>
          <t>Jia Hui</t>
        </is>
      </c>
      <c r="L1690" s="4"/>
      <c r="M1690" s="4">
        <v>46132.72237268519</v>
      </c>
      <c r="N1690"/>
      <c r="O1690">
        <v>1296</v>
      </c>
      <c r="P1690" s="4"/>
      <c r="Q1690" s="4">
        <v>46133.67291666667</v>
      </c>
      <c r="R1690"/>
      <c r="S1690">
        <v>1296</v>
      </c>
      <c r="T1690" s="4">
        <v>46133.67291666667</v>
      </c>
      <c r="U1690" s="4"/>
      <c r="V1690"/>
      <c r="W1690">
        <v>1296</v>
      </c>
      <c r="X1690"/>
      <c r="Y1690" t="inlineStr">
        <is>
          <t>Pending Appointment</t>
        </is>
      </c>
      <c r="Z1690" t="inlineStr">
        <is>
          <t>Hiring Now</t>
        </is>
      </c>
      <c r="AA1690">
        <v>1</v>
      </c>
      <c r="AB1690" t="inlineStr">
        <is>
          <t>No Appointment Made</t>
        </is>
      </c>
      <c r="AC1690"/>
      <c r="AD1690" t="inlineStr">
        <is>
          <t xml:space="preserve">1 admin </t>
        </is>
      </c>
      <c r="AE1690"/>
      <c r="AF1690">
        <v>500</v>
      </c>
      <c r="AG1690" s="4"/>
      <c r="AH1690" s="4"/>
      <c r="AI1690"/>
      <c r="AJ1690"/>
      <c r="AK1690"/>
      <c r="AL1690"/>
      <c r="AM1690"/>
      <c r="AN1690"/>
      <c r="AO1690"/>
      <c r="AP1690" t="inlineStr">
        <is>
          <t>Twice a year (50%)</t>
        </is>
      </c>
      <c r="AQ1690"/>
      <c r="AR1690"/>
      <c r="AS1690" t="inlineStr">
        <is>
          <t>- Headcount: 1
- Hiring Job Details: 1 admin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is>
      </c>
      <c r="AT1690">
        <v>75</v>
      </c>
      <c r="AU1690" t="inlineStr">
        <is>
          <t>0.75</t>
        </is>
      </c>
      <c r="AV1690" t="inlineStr">
        <is>
          <t>15</t>
        </is>
      </c>
      <c r="AW1690" t="inlineStr">
        <is>
          <t>0</t>
        </is>
      </c>
      <c r="AX1690" t="inlineStr">
        <is>
          <t>Not Qualified</t>
        </is>
      </c>
      <c r="AY1690" s="4"/>
      <c r="AZ1690"/>
      <c r="BA1690"/>
      <c r="BB1690"/>
      <c r="BC1690" t="inlineStr">
        <is>
          <t>posted the job ads, let me know if need any assistance</t>
        </is>
      </c>
      <c r="BD1690" s="4">
        <v>46134.50234953704</v>
      </c>
      <c r="BE1690" t="inlineStr">
        <is>
          <t>paid</t>
        </is>
      </c>
      <c r="BF1690" t="inlineStr">
        <is>
          <t>Q2-W03</t>
        </is>
      </c>
      <c r="BG1690" t="inlineStr">
        <is>
          <t>Reschedule</t>
        </is>
      </c>
      <c r="BH1690" t="inlineStr">
        <is>
          <t>Reagen</t>
        </is>
      </c>
      <c r="BI1690" t="inlineStr">
        <is>
          <t>HR Mgmt / Consulting</t>
        </is>
      </c>
      <c r="BJ1690" s="4">
        <v>46144.75425925926</v>
      </c>
      <c r="BK1690" s="4">
        <v>46127.699537037035</v>
      </c>
      <c r="BL1690" t="inlineStr">
        <is>
          <t>1296.0</t>
        </is>
      </c>
      <c r="BM1690" t="inlineStr">
        <is>
          <t>0.0</t>
        </is>
      </c>
      <c r="BN1690" t="inlineStr">
        <is>
          <t>View Company Page</t>
        </is>
      </c>
      <c r="BO1690" s="4">
        <v>46142.511458333334</v>
      </c>
      <c r="BP1690">
        <v>167905</v>
      </c>
      <c r="BQ1690">
        <v>94543</v>
      </c>
      <c r="BR1690" t="inlineStr">
        <is>
          <t>Online</t>
        </is>
      </c>
      <c r="BS1690"/>
      <c r="BT1690">
        <v>94543</v>
      </c>
      <c r="BU1690"/>
      <c r="BV1690">
        <v>2720254</v>
      </c>
      <c r="BW1690" t="inlineStr">
        <is>
          <t>Service / Technical : Job Outcome Enquiry</t>
        </is>
      </c>
      <c r="BX1690">
        <v>1</v>
      </c>
      <c r="BY1690">
        <v>0</v>
      </c>
      <c r="BZ1690" s="4">
        <v>46133.71640046296</v>
      </c>
      <c r="CA1690">
        <v>10</v>
      </c>
      <c r="CB1690">
        <v>10</v>
      </c>
      <c r="CC1690" s="4"/>
      <c r="CD1690" t="inlineStr">
        <is>
          <t>20</t>
        </is>
      </c>
      <c r="CE1690" t="inlineStr">
        <is>
          <t>0</t>
        </is>
      </c>
      <c r="CF1690" t="inlineStr">
        <is>
          <t>Q2-W03</t>
        </is>
      </c>
      <c r="CG1690" t="inlineStr">
        <is>
          <t>Q2-W03</t>
        </is>
      </c>
      <c r="CH1690" t="inlineStr">
        <is>
          <t>Q2-W03</t>
        </is>
      </c>
      <c r="CI1690"/>
      <c r="CJ1690" t="inlineStr">
        <is>
          <t>Paid</t>
        </is>
      </c>
      <c r="CK1690" t="inlineStr">
        <is>
          <t>Not Eligible</t>
        </is>
      </c>
      <c r="CL1690"/>
      <c r="CM1690"/>
    </row>
    <row r="1691" ht="25.5" customHeight="1">
      <c r="A1691" t="inlineStr">
        <is>
          <t>194758</t>
        </is>
      </c>
      <c r="B1691" s="2"/>
      <c r="C1691"/>
      <c r="D1691" s="3">
        <v>46128.58967592593</v>
      </c>
      <c r="E1691" t="inlineStr">
        <is>
          <t>Q2-W02</t>
        </is>
      </c>
      <c r="F1691" t="inlineStr">
        <is>
          <t>Fariz</t>
        </is>
      </c>
      <c r="G1691" t="inlineStr">
        <is>
          <t>Customer</t>
        </is>
      </c>
      <c r="H1691" s="2" t="str">
        <f>=HYPERLINK("https://upbox.ajobthing.my/customer/194758", "https://upbox.ajobthing.my/customer/194758")</f>
        <v>https://upbox.ajobthing.my/customer/194758</v>
      </c>
      <c r="I1691" t="inlineStr">
        <is>
          <t>Usima Forest Resort</t>
        </is>
      </c>
      <c r="J1691" t="inlineStr">
        <is>
          <t>Dolphin</t>
        </is>
      </c>
      <c r="K1691" t="inlineStr">
        <is>
          <t>Fariz</t>
        </is>
      </c>
      <c r="L1691" s="4"/>
      <c r="M1691" s="4">
        <v>46128.5906712963</v>
      </c>
      <c r="N1691"/>
      <c r="O1691">
        <v>1296</v>
      </c>
      <c r="P1691" s="4"/>
      <c r="Q1691" s="4"/>
      <c r="R1691"/>
      <c r="S1691"/>
      <c r="T1691" s="4"/>
      <c r="U1691" s="4"/>
      <c r="V1691"/>
      <c r="W1691"/>
      <c r="X1691"/>
      <c r="Y1691" t="inlineStr">
        <is>
          <t>Pending Appointment</t>
        </is>
      </c>
      <c r="Z1691" t="inlineStr">
        <is>
          <t>Hiring Now</t>
        </is>
      </c>
      <c r="AA1691">
        <v>1</v>
      </c>
      <c r="AB1691" t="inlineStr">
        <is>
          <t>No Appointment Made</t>
        </is>
      </c>
      <c r="AC1691"/>
      <c r="AD1691" t="inlineStr">
        <is>
          <t>1. admin</t>
        </is>
      </c>
      <c r="AE1691"/>
      <c r="AF1691">
        <v>1000</v>
      </c>
      <c r="AG1691" s="4"/>
      <c r="AH1691" s="4"/>
      <c r="AI1691">
        <v>1000</v>
      </c>
      <c r="AJ1691"/>
      <c r="AK1691" t="inlineStr">
        <is>
          <t>No, but I want in future</t>
        </is>
      </c>
      <c r="AL1691">
        <v>1</v>
      </c>
      <c r="AM1691" t="inlineStr">
        <is>
          <t>No, I don't need at all</t>
        </is>
      </c>
      <c r="AN1691"/>
      <c r="AO1691" t="inlineStr">
        <is>
          <t>No, I don't need at all</t>
        </is>
      </c>
      <c r="AP1691" t="inlineStr">
        <is>
          <t>Once a year (25%)</t>
        </is>
      </c>
      <c r="AQ1691">
        <v>1</v>
      </c>
      <c r="AR1691" t="inlineStr">
        <is>
          <t>Jobstreet, Free Job Portal</t>
        </is>
      </c>
      <c r="AS1691" t="inlineStr">
        <is>
          <t>- Headcount: 1
- Hiring Job Details: 1 admin
- Hiring Urgency: Hiring Now
- Number of outlets: N/A
- Have recruiter team: No, but I want in future
- Number of recruiter in company: 1
- Have ATS system: No, I don't need at all
- Have career website: No, I don't need at all
- Current hiring budget: RM1,000
- Whole year budget: RM1,000.00
- Whole year number of vacancies: 1
- Hiring frequency: Once a year (25%)
- External job portal: Jobstreet, Free Job Portal</t>
        </is>
      </c>
      <c r="AT1691">
        <v>115</v>
      </c>
      <c r="AU1691" t="inlineStr">
        <is>
          <t>1.15</t>
        </is>
      </c>
      <c r="AV1691" t="inlineStr">
        <is>
          <t>15</t>
        </is>
      </c>
      <c r="AW1691" t="inlineStr">
        <is>
          <t>0</t>
        </is>
      </c>
      <c r="AX1691" t="inlineStr">
        <is>
          <t>Not Qualified</t>
        </is>
      </c>
      <c r="AY1691" s="4"/>
      <c r="AZ1691"/>
      <c r="BA1691"/>
      <c r="BB1691"/>
      <c r="BC1691" t="inlineStr">
        <is>
          <t>budget concern, use free portal</t>
        </is>
      </c>
      <c r="BD1691" s="4">
        <v>46135.438680555555</v>
      </c>
      <c r="BE1691"/>
      <c r="BF1691"/>
      <c r="BG1691" t="inlineStr">
        <is>
          <t>Reschedule</t>
        </is>
      </c>
      <c r="BH1691" t="inlineStr">
        <is>
          <t>Edward Hoo</t>
        </is>
      </c>
      <c r="BI1691"/>
      <c r="BJ1691" s="4">
        <v>46144.75271990741</v>
      </c>
      <c r="BK1691" s="4">
        <v>45877.65865740741</v>
      </c>
      <c r="BL1691" t="inlineStr">
        <is>
          <t>0.0</t>
        </is>
      </c>
      <c r="BM1691" t="inlineStr">
        <is>
          <t>3000.0</t>
        </is>
      </c>
      <c r="BN1691" t="inlineStr">
        <is>
          <t>User Visit(Logged In)</t>
        </is>
      </c>
      <c r="BO1691" s="4">
        <v>45877.65869212963</v>
      </c>
      <c r="BP1691">
        <v>167396</v>
      </c>
      <c r="BQ1691"/>
      <c r="BR1691"/>
      <c r="BS1691"/>
      <c r="BT1691"/>
      <c r="BU1691"/>
      <c r="BV1691">
        <v>2722502</v>
      </c>
      <c r="BW1691" t="inlineStr">
        <is>
          <t>Follow Up : Lost - Free Portal</t>
        </is>
      </c>
      <c r="BX1691"/>
      <c r="BY1691"/>
      <c r="BZ1691" s="4"/>
      <c r="CA1691"/>
      <c r="CB1691"/>
      <c r="CC1691" s="4"/>
      <c r="CD1691" t="inlineStr">
        <is>
          <t>20</t>
        </is>
      </c>
      <c r="CE1691" t="inlineStr">
        <is>
          <t>0</t>
        </is>
      </c>
      <c r="CF1691" t="inlineStr">
        <is>
          <t>Q2-W02</t>
        </is>
      </c>
      <c r="CG1691"/>
      <c r="CH1691"/>
      <c r="CI1691"/>
      <c r="CJ1691" t="inlineStr">
        <is>
          <t>No Paid</t>
        </is>
      </c>
      <c r="CK1691" t="inlineStr">
        <is>
          <t>Not Eligible</t>
        </is>
      </c>
      <c r="CL1691"/>
      <c r="CM1691"/>
    </row>
    <row r="1692" ht="25.5" customHeight="1">
      <c r="A1692" t="inlineStr">
        <is>
          <t>203310</t>
        </is>
      </c>
      <c r="B1692" s="2"/>
      <c r="C1692"/>
      <c r="D1692" s="3">
        <v>46128.59128472222</v>
      </c>
      <c r="E1692" t="inlineStr">
        <is>
          <t>Q2-W02</t>
        </is>
      </c>
      <c r="F1692" t="inlineStr">
        <is>
          <t>Eugene</t>
        </is>
      </c>
      <c r="G1692" t="inlineStr">
        <is>
          <t>Customer</t>
        </is>
      </c>
      <c r="H1692" s="2" t="str">
        <f>=HYPERLINK("https://upbox.ajobthing.my/customer/203310", "https://upbox.ajobthing.my/customer/203310")</f>
        <v>https://upbox.ajobthing.my/customer/203310</v>
      </c>
      <c r="I1692" t="inlineStr">
        <is>
          <t>Elysium Capital Group Sdn Bhd</t>
        </is>
      </c>
      <c r="J1692" t="inlineStr">
        <is>
          <t>Dolphin</t>
        </is>
      </c>
      <c r="K1692" t="inlineStr">
        <is>
          <t>Eugene</t>
        </is>
      </c>
      <c r="L1692" s="4"/>
      <c r="M1692" s="4">
        <v>46128.59140046296</v>
      </c>
      <c r="N1692"/>
      <c r="O1692">
        <v>3888</v>
      </c>
      <c r="P1692" s="4"/>
      <c r="Q1692" s="4">
        <v>46128.57025462963</v>
      </c>
      <c r="R1692"/>
      <c r="S1692">
        <v>0</v>
      </c>
      <c r="T1692" s="4"/>
      <c r="U1692" s="4"/>
      <c r="V1692"/>
      <c r="W1692"/>
      <c r="X1692"/>
      <c r="Y1692" t="inlineStr">
        <is>
          <t>Pending Appointment</t>
        </is>
      </c>
      <c r="Z1692" t="inlineStr">
        <is>
          <t>Hiring Now</t>
        </is>
      </c>
      <c r="AA1692">
        <v>10</v>
      </c>
      <c r="AB1692" t="inlineStr">
        <is>
          <t>No Appointment Made</t>
        </is>
      </c>
      <c r="AC1692"/>
      <c r="AD1692" t="inlineStr">
        <is>
          <t>10 telemarketing, based in Puchong</t>
        </is>
      </c>
      <c r="AE1692"/>
      <c r="AF1692">
        <v>3000</v>
      </c>
      <c r="AG1692" s="4"/>
      <c r="AH1692" s="4"/>
      <c r="AI1692">
        <v>3000</v>
      </c>
      <c r="AJ1692">
        <v>2</v>
      </c>
      <c r="AK1692" t="inlineStr">
        <is>
          <t>No, I don't need at all</t>
        </is>
      </c>
      <c r="AL1692">
        <v>1</v>
      </c>
      <c r="AM1692" t="inlineStr">
        <is>
          <t>No, I don't need at all</t>
        </is>
      </c>
      <c r="AN1692"/>
      <c r="AO1692" t="inlineStr">
        <is>
          <t>No, I don't need at all</t>
        </is>
      </c>
      <c r="AP1692" t="inlineStr">
        <is>
          <t>Every month (100%)</t>
        </is>
      </c>
      <c r="AQ1692">
        <v>12</v>
      </c>
      <c r="AR1692" t="inlineStr">
        <is>
          <t>Free Job Portal</t>
        </is>
      </c>
      <c r="AS1692" t="inlineStr">
        <is>
          <t>- Headcount: 10
- Hiring Job Details: 10 telemarketing, based in Puchong
- Hiring Urgency: Hiring Now
- Number of outlets: 2
- Have recruiter team: No, I don't need at all
- Number of recruiter in company: 1
- Have ATS system: No, I don't need at all
- Have career website: No, I don't need at all
- Current hiring budget: RM3,000
- Whole year budget: RM3,000.00
- Whole year number of vacancies: 12
- Hiring frequency: Every month (100%)
- External job portal: Free Job Portal</t>
        </is>
      </c>
      <c r="AT1692">
        <v>110</v>
      </c>
      <c r="AU1692" t="inlineStr">
        <is>
          <t>1.10</t>
        </is>
      </c>
      <c r="AV1692" t="inlineStr">
        <is>
          <t>20</t>
        </is>
      </c>
      <c r="AW1692" t="inlineStr">
        <is>
          <t>0</t>
        </is>
      </c>
      <c r="AX1692" t="inlineStr">
        <is>
          <t>Not Qualified</t>
        </is>
      </c>
      <c r="AY1692" s="4"/>
      <c r="AZ1692"/>
      <c r="BA1692"/>
      <c r="BB1692"/>
      <c r="BC1692" t="inlineStr">
        <is>
          <t>on hold</t>
        </is>
      </c>
      <c r="BD1692" s="4">
        <v>46132.64334490741</v>
      </c>
      <c r="BE1692" t="inlineStr">
        <is>
          <t>paid</t>
        </is>
      </c>
      <c r="BF1692"/>
      <c r="BG1692" t="inlineStr">
        <is>
          <t>Reschedule</t>
        </is>
      </c>
      <c r="BH1692" t="inlineStr">
        <is>
          <t>Edward Hoo</t>
        </is>
      </c>
      <c r="BI1692" t="inlineStr">
        <is>
          <t>Banking / Finance</t>
        </is>
      </c>
      <c r="BJ1692" s="4">
        <v>46144.754282407404</v>
      </c>
      <c r="BK1692" s="4">
        <v>46128.56894675926</v>
      </c>
      <c r="BL1692" t="inlineStr">
        <is>
          <t>0.0</t>
        </is>
      </c>
      <c r="BM1692" t="inlineStr">
        <is>
          <t>0.0</t>
        </is>
      </c>
      <c r="BN1692" t="inlineStr">
        <is>
          <t>View Company Page</t>
        </is>
      </c>
      <c r="BO1692" s="4">
        <v>46128.5959375</v>
      </c>
      <c r="BP1692">
        <v>167398</v>
      </c>
      <c r="BQ1692">
        <v>122707</v>
      </c>
      <c r="BR1692" t="inlineStr">
        <is>
          <t>Proforma</t>
        </is>
      </c>
      <c r="BS1692" t="inlineStr">
        <is>
          <t>Free Part-Time Job</t>
        </is>
      </c>
      <c r="BT1692"/>
      <c r="BU1692"/>
      <c r="BV1692">
        <v>2716012</v>
      </c>
      <c r="BW1692" t="inlineStr">
        <is>
          <t>Follow Up : Lost - Free Portal</t>
        </is>
      </c>
      <c r="BX1692"/>
      <c r="BY1692"/>
      <c r="BZ1692" s="4"/>
      <c r="CA1692"/>
      <c r="CB1692"/>
      <c r="CC1692" s="4"/>
      <c r="CD1692" t="inlineStr">
        <is>
          <t>30</t>
        </is>
      </c>
      <c r="CE1692" t="inlineStr">
        <is>
          <t>0</t>
        </is>
      </c>
      <c r="CF1692" t="inlineStr">
        <is>
          <t>Q2-W02</t>
        </is>
      </c>
      <c r="CG1692" t="inlineStr">
        <is>
          <t>Q2-W02</t>
        </is>
      </c>
      <c r="CH1692"/>
      <c r="CI1692"/>
      <c r="CJ1692" t="inlineStr">
        <is>
          <t>No Paid</t>
        </is>
      </c>
      <c r="CK1692" t="inlineStr">
        <is>
          <t>Eligible</t>
        </is>
      </c>
      <c r="CL1692"/>
      <c r="CM1692"/>
    </row>
    <row r="1693" ht="25.5" customHeight="1">
      <c r="A1693" t="inlineStr">
        <is>
          <t>203296</t>
        </is>
      </c>
      <c r="B1693" s="2"/>
      <c r="C1693"/>
      <c r="D1693" s="3">
        <v>46128.597604166665</v>
      </c>
      <c r="E1693" t="inlineStr">
        <is>
          <t>Q2-W02</t>
        </is>
      </c>
      <c r="F1693" t="inlineStr">
        <is>
          <t>Janice Yap</t>
        </is>
      </c>
      <c r="G1693" t="inlineStr">
        <is>
          <t>Customer</t>
        </is>
      </c>
      <c r="H1693" s="2" t="str">
        <f>=HYPERLINK("https://upbox.ajobthing.my/customer/203296", "https://upbox.ajobthing.my/customer/203296")</f>
        <v>https://upbox.ajobthing.my/customer/203296</v>
      </c>
      <c r="I1693" t="inlineStr">
        <is>
          <t>Mip Engineering Solutions Sb</t>
        </is>
      </c>
      <c r="J1693" t="inlineStr">
        <is>
          <t>Dolphin</t>
        </is>
      </c>
      <c r="K1693" t="inlineStr">
        <is>
          <t>Janice</t>
        </is>
      </c>
      <c r="L1693" s="4"/>
      <c r="M1693" s="4">
        <v>46128.59289351852</v>
      </c>
      <c r="N1693"/>
      <c r="O1693">
        <v>3888</v>
      </c>
      <c r="P1693" s="4"/>
      <c r="Q1693" s="4">
        <v>46132.74726851852</v>
      </c>
      <c r="R1693"/>
      <c r="S1693">
        <v>3672</v>
      </c>
      <c r="T1693" s="4">
        <v>46132.74726851852</v>
      </c>
      <c r="U1693" s="4"/>
      <c r="V1693"/>
      <c r="W1693">
        <v>3672</v>
      </c>
      <c r="X1693"/>
      <c r="Y1693" t="inlineStr">
        <is>
          <t>Pending Appointment</t>
        </is>
      </c>
      <c r="Z1693" t="inlineStr">
        <is>
          <t>Hiring Now</t>
        </is>
      </c>
      <c r="AA1693">
        <v>2</v>
      </c>
      <c r="AB1693" t="inlineStr">
        <is>
          <t>No Appointment Made</t>
        </is>
      </c>
      <c r="AC1693"/>
      <c r="AD1693" t="inlineStr">
        <is>
          <t xml:space="preserve"> 1 project engineer // 1 site supervisor</t>
        </is>
      </c>
      <c r="AE1693"/>
      <c r="AF1693">
        <v>0</v>
      </c>
      <c r="AG1693" s="4"/>
      <c r="AH1693" s="4"/>
      <c r="AI1693">
        <v>0</v>
      </c>
      <c r="AJ1693"/>
      <c r="AK1693" t="inlineStr">
        <is>
          <t>No, I don't need at all</t>
        </is>
      </c>
      <c r="AL1693">
        <v>0</v>
      </c>
      <c r="AM1693" t="inlineStr">
        <is>
          <t>No, I don't need at all</t>
        </is>
      </c>
      <c r="AN1693"/>
      <c r="AO1693" t="inlineStr">
        <is>
          <t>No, I don't need at all</t>
        </is>
      </c>
      <c r="AP1693" t="inlineStr">
        <is>
          <t>Once a year (25%)</t>
        </is>
      </c>
      <c r="AQ1693">
        <v>2</v>
      </c>
      <c r="AR1693"/>
      <c r="AS1693" t="inlineStr">
        <is>
          <t>- Headcount: 2
- Hiring Job Details: 1 project engineer, 1 site supervisor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N/A</t>
        </is>
      </c>
      <c r="AT1693">
        <v>105</v>
      </c>
      <c r="AU1693" t="inlineStr">
        <is>
          <t>1.05</t>
        </is>
      </c>
      <c r="AV1693" t="inlineStr">
        <is>
          <t>15</t>
        </is>
      </c>
      <c r="AW1693" t="inlineStr">
        <is>
          <t>0</t>
        </is>
      </c>
      <c r="AX1693" t="inlineStr">
        <is>
          <t>Not Qualified</t>
        </is>
      </c>
      <c r="AY1693" s="4"/>
      <c r="AZ1693"/>
      <c r="BA1693"/>
      <c r="BB1693"/>
      <c r="BC1693" t="inlineStr">
        <is>
          <t>Called 03 8999 6566 // Crystal just went back // call back tmr</t>
        </is>
      </c>
      <c r="BD1693" s="4">
        <v>46141.72928240741</v>
      </c>
      <c r="BE1693" t="inlineStr">
        <is>
          <t>paid</t>
        </is>
      </c>
      <c r="BF1693" t="inlineStr">
        <is>
          <t>Q2-W03</t>
        </is>
      </c>
      <c r="BG1693" t="inlineStr">
        <is>
          <t>Reschedule</t>
        </is>
      </c>
      <c r="BH1693" t="inlineStr">
        <is>
          <t>Yee Hang</t>
        </is>
      </c>
      <c r="BI1693" t="inlineStr">
        <is>
          <t>Construction / Building</t>
        </is>
      </c>
      <c r="BJ1693" s="4">
        <v>46144.754282407404</v>
      </c>
      <c r="BK1693" s="4">
        <v>46128.41328703704</v>
      </c>
      <c r="BL1693" t="inlineStr">
        <is>
          <t>3672.0</t>
        </is>
      </c>
      <c r="BM1693" t="inlineStr">
        <is>
          <t>0.0</t>
        </is>
      </c>
      <c r="BN1693" t="inlineStr">
        <is>
          <t>Send Chat to Applicant</t>
        </is>
      </c>
      <c r="BO1693" s="4">
        <v>46143.87770833333</v>
      </c>
      <c r="BP1693">
        <v>167400</v>
      </c>
      <c r="BQ1693">
        <v>94441</v>
      </c>
      <c r="BR1693" t="inlineStr">
        <is>
          <t>Online</t>
        </is>
      </c>
      <c r="BS1693"/>
      <c r="BT1693">
        <v>94441</v>
      </c>
      <c r="BU1693"/>
      <c r="BV1693">
        <v>2736215</v>
      </c>
      <c r="BW1693" t="inlineStr">
        <is>
          <t>Service / Technical : Job Outcome Enquiry</t>
        </is>
      </c>
      <c r="BX1693">
        <v>6</v>
      </c>
      <c r="BY1693">
        <v>4</v>
      </c>
      <c r="BZ1693" s="4">
        <v>46138.739120370374</v>
      </c>
      <c r="CA1693">
        <v>60</v>
      </c>
      <c r="CB1693">
        <v>60</v>
      </c>
      <c r="CC1693" s="4"/>
      <c r="CD1693" t="inlineStr">
        <is>
          <t>20</t>
        </is>
      </c>
      <c r="CE1693" t="inlineStr">
        <is>
          <t>0</t>
        </is>
      </c>
      <c r="CF1693" t="inlineStr">
        <is>
          <t>Q2-W02</t>
        </is>
      </c>
      <c r="CG1693" t="inlineStr">
        <is>
          <t>Q2-W03</t>
        </is>
      </c>
      <c r="CH1693" t="inlineStr">
        <is>
          <t>Q2-W03</t>
        </is>
      </c>
      <c r="CI1693"/>
      <c r="CJ1693" t="inlineStr">
        <is>
          <t>Paid</t>
        </is>
      </c>
      <c r="CK1693" t="inlineStr">
        <is>
          <t>Not Eligible</t>
        </is>
      </c>
      <c r="CL1693"/>
      <c r="CM1693"/>
    </row>
    <row r="1694" ht="25.5" customHeight="1">
      <c r="A1694" t="inlineStr">
        <is>
          <t>203173</t>
        </is>
      </c>
      <c r="B1694" s="2"/>
      <c r="C1694"/>
      <c r="D1694" s="3">
        <v>46128.6028125</v>
      </c>
      <c r="E1694" t="inlineStr">
        <is>
          <t>Q2-W02</t>
        </is>
      </c>
      <c r="F1694" t="inlineStr">
        <is>
          <t>Jess</t>
        </is>
      </c>
      <c r="G1694" t="inlineStr">
        <is>
          <t>Customer</t>
        </is>
      </c>
      <c r="H1694" s="2" t="str">
        <f>=HYPERLINK("https://upbox.ajobthing.my/customer/203173", "https://upbox.ajobthing.my/customer/203173")</f>
        <v>https://upbox.ajobthing.my/customer/203173</v>
      </c>
      <c r="I1694" t="inlineStr">
        <is>
          <t>Starview Tech Sdn.bhd</t>
        </is>
      </c>
      <c r="J1694" t="inlineStr">
        <is>
          <t>Dolphin</t>
        </is>
      </c>
      <c r="K1694" t="inlineStr">
        <is>
          <t>Jess Lim</t>
        </is>
      </c>
      <c r="L1694" s="4"/>
      <c r="M1694" s="4">
        <v>46128.60300925926</v>
      </c>
      <c r="N1694"/>
      <c r="O1694">
        <v>3888</v>
      </c>
      <c r="P1694" s="4"/>
      <c r="Q1694" s="4">
        <v>46125.667129629626</v>
      </c>
      <c r="R1694"/>
      <c r="S1694">
        <v>0</v>
      </c>
      <c r="T1694" s="4"/>
      <c r="U1694" s="4"/>
      <c r="V1694"/>
      <c r="W1694"/>
      <c r="X1694"/>
      <c r="Y1694" t="inlineStr">
        <is>
          <t>Pending Appointment</t>
        </is>
      </c>
      <c r="Z1694" t="inlineStr">
        <is>
          <t>Hiring Now</t>
        </is>
      </c>
      <c r="AA1694">
        <v>5</v>
      </c>
      <c r="AB1694" t="inlineStr">
        <is>
          <t>No Appointment Made</t>
        </is>
      </c>
      <c r="AC1694"/>
      <c r="AD1694" t="inlineStr">
        <is>
          <t>seo specliast, seo leader  5</t>
        </is>
      </c>
      <c r="AE1694"/>
      <c r="AF1694">
        <v>3600</v>
      </c>
      <c r="AG1694" s="4"/>
      <c r="AH1694" s="4"/>
      <c r="AI1694"/>
      <c r="AJ1694"/>
      <c r="AK1694" t="inlineStr">
        <is>
          <t>No, I don't need at all</t>
        </is>
      </c>
      <c r="AL1694">
        <v>1</v>
      </c>
      <c r="AM1694" t="inlineStr">
        <is>
          <t>No, I don't need at all</t>
        </is>
      </c>
      <c r="AN1694"/>
      <c r="AO1694" t="inlineStr">
        <is>
          <t>No, I don't need at all</t>
        </is>
      </c>
      <c r="AP1694" t="inlineStr">
        <is>
          <t>Once a year (25%)</t>
        </is>
      </c>
      <c r="AQ1694"/>
      <c r="AR1694" t="inlineStr">
        <is>
          <t>Jobstreet</t>
        </is>
      </c>
      <c r="AS1694" t="inlineStr">
        <is>
          <t>- Headcount: 5
- Hiring Job Details: seo specialist, seo leader 5
- Hiring Urgency: Hiring Now
- Number of outlets: N/A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is>
      </c>
      <c r="AT1694">
        <v>95</v>
      </c>
      <c r="AU1694" t="inlineStr">
        <is>
          <t>0.95</t>
        </is>
      </c>
      <c r="AV1694" t="inlineStr">
        <is>
          <t>20</t>
        </is>
      </c>
      <c r="AW1694" t="inlineStr">
        <is>
          <t>0</t>
        </is>
      </c>
      <c r="AX1694" t="inlineStr">
        <is>
          <t>Not Qualified</t>
        </is>
      </c>
      <c r="AY1694" s="4"/>
      <c r="AZ1694"/>
      <c r="BA1694"/>
      <c r="BB1694"/>
      <c r="BC1694" t="inlineStr">
        <is>
          <t>- Headcount: 5
- Hiring Job Details: seo specialist, seo leader 5
- Hiring Urgency: Hiring Now
- Number of outlets: N/A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is>
      </c>
      <c r="BD1694" s="4">
        <v>46128.62503472222</v>
      </c>
      <c r="BE1694" t="inlineStr">
        <is>
          <t>paid</t>
        </is>
      </c>
      <c r="BF1694"/>
      <c r="BG1694" t="inlineStr">
        <is>
          <t>Reschedule</t>
        </is>
      </c>
      <c r="BH1694" t="inlineStr">
        <is>
          <t>Fauziah Maharan</t>
        </is>
      </c>
      <c r="BI1694"/>
      <c r="BJ1694" s="4">
        <v>46144.75423611111</v>
      </c>
      <c r="BK1694" s="4">
        <v>46125.66238425926</v>
      </c>
      <c r="BL1694" t="inlineStr">
        <is>
          <t>0.0</t>
        </is>
      </c>
      <c r="BM1694" t="inlineStr">
        <is>
          <t>0.0</t>
        </is>
      </c>
      <c r="BN1694" t="inlineStr">
        <is>
          <t>View Company Page</t>
        </is>
      </c>
      <c r="BO1694" s="4">
        <v>46132.46056712963</v>
      </c>
      <c r="BP1694">
        <v>167406</v>
      </c>
      <c r="BQ1694">
        <v>122053</v>
      </c>
      <c r="BR1694" t="inlineStr">
        <is>
          <t>Proforma</t>
        </is>
      </c>
      <c r="BS1694" t="inlineStr">
        <is>
          <t>Free Part-Time Job</t>
        </is>
      </c>
      <c r="BT1694"/>
      <c r="BU1694"/>
      <c r="BV1694">
        <v>2709617</v>
      </c>
      <c r="BW1694" t="inlineStr">
        <is>
          <t>Customer Inquiry</t>
        </is>
      </c>
      <c r="BX1694"/>
      <c r="BY1694"/>
      <c r="BZ1694" s="4"/>
      <c r="CA1694"/>
      <c r="CB1694"/>
      <c r="CC1694" s="4"/>
      <c r="CD1694" t="inlineStr">
        <is>
          <t>30</t>
        </is>
      </c>
      <c r="CE1694" t="inlineStr">
        <is>
          <t>0</t>
        </is>
      </c>
      <c r="CF1694" t="inlineStr">
        <is>
          <t>Q2-W02</t>
        </is>
      </c>
      <c r="CG1694" t="inlineStr">
        <is>
          <t>Q2-W02</t>
        </is>
      </c>
      <c r="CH1694"/>
      <c r="CI1694"/>
      <c r="CJ1694" t="inlineStr">
        <is>
          <t>No Paid</t>
        </is>
      </c>
      <c r="CK1694" t="inlineStr">
        <is>
          <t>Not Eligible</t>
        </is>
      </c>
      <c r="CL1694"/>
      <c r="CM1694"/>
    </row>
    <row r="1695" ht="25.5" customHeight="1">
      <c r="A1695" t="inlineStr">
        <is>
          <t>169620</t>
        </is>
      </c>
      <c r="B1695" s="2"/>
      <c r="C1695"/>
      <c r="D1695" s="3">
        <v>46128.60444444444</v>
      </c>
      <c r="E1695" t="inlineStr">
        <is>
          <t>Q2-W02</t>
        </is>
      </c>
      <c r="F1695" t="inlineStr">
        <is>
          <t>Xin Quan</t>
        </is>
      </c>
      <c r="G1695" t="inlineStr">
        <is>
          <t>Customer</t>
        </is>
      </c>
      <c r="H1695" s="2" t="str">
        <f>=HYPERLINK("https://upbox.ajobthing.my/customer/169620", "https://upbox.ajobthing.my/customer/169620")</f>
        <v>https://upbox.ajobthing.my/customer/169620</v>
      </c>
      <c r="I1695" t="inlineStr">
        <is>
          <t>Teamstar Solutions Sdn Bhd</t>
        </is>
      </c>
      <c r="J1695" t="inlineStr">
        <is>
          <t>Dolphin</t>
        </is>
      </c>
      <c r="K1695" t="inlineStr">
        <is>
          <t>Xin Quan</t>
        </is>
      </c>
      <c r="L1695" s="4"/>
      <c r="M1695" s="4">
        <v>46132.46273148148</v>
      </c>
      <c r="N1695"/>
      <c r="O1695">
        <v>3888</v>
      </c>
      <c r="P1695" s="4"/>
      <c r="Q1695" s="4">
        <v>45184.629224537035</v>
      </c>
      <c r="R1695"/>
      <c r="S1695">
        <v>2374.4</v>
      </c>
      <c r="T1695" s="4">
        <v>45183.00001157408</v>
      </c>
      <c r="U1695" s="4"/>
      <c r="V1695"/>
      <c r="W1695">
        <v>2374.4</v>
      </c>
      <c r="X1695"/>
      <c r="Y1695" t="inlineStr">
        <is>
          <t>Pending Appointment</t>
        </is>
      </c>
      <c r="Z1695" t="inlineStr">
        <is>
          <t>Hiring Now</t>
        </is>
      </c>
      <c r="AA1695">
        <v>6</v>
      </c>
      <c r="AB1695" t="inlineStr">
        <is>
          <t>No Appointment Made</t>
        </is>
      </c>
      <c r="AC1695"/>
      <c r="AD1695" t="inlineStr">
        <is>
          <t>6 Sales</t>
        </is>
      </c>
      <c r="AE1695"/>
      <c r="AF1695">
        <v>12000</v>
      </c>
      <c r="AG1695" s="4"/>
      <c r="AH1695" s="4"/>
      <c r="AI1695">
        <v>144000</v>
      </c>
      <c r="AJ1695">
        <v>1</v>
      </c>
      <c r="AK1695" t="inlineStr">
        <is>
          <t>No, I don't need at all</t>
        </is>
      </c>
      <c r="AL1695">
        <v>1</v>
      </c>
      <c r="AM1695" t="inlineStr">
        <is>
          <t>No, I don't need at all</t>
        </is>
      </c>
      <c r="AN1695"/>
      <c r="AO1695" t="inlineStr">
        <is>
          <t>No, I don't need at all</t>
        </is>
      </c>
      <c r="AP1695" t="inlineStr">
        <is>
          <t>Once a year (25%)</t>
        </is>
      </c>
      <c r="AQ1695">
        <v>12</v>
      </c>
      <c r="AR1695"/>
      <c r="AS1695" t="inlineStr">
        <is>
          <t xml:space="preserve">- Headcount: 6
- Hiring Job Details: 6 Sales
- Hiring Urgency: Hiring Now
- Number of outlets: 1
- Have recruiter team: No, I don't need at all
- Number of recruiter in company: 1
- Have ATS system: No, I don't need at all
- Have career website: No, I don't need at all
- Current hiring budget: RM12,000
- Whole year budget: RM144,000.00
- Whole year number of vacancies: 12
- Hiring frequency: Once a year (25%)
- External job portal: </t>
        </is>
      </c>
      <c r="AT1695">
        <v>115</v>
      </c>
      <c r="AU1695" t="inlineStr">
        <is>
          <t>1.15</t>
        </is>
      </c>
      <c r="AV1695" t="inlineStr">
        <is>
          <t>25</t>
        </is>
      </c>
      <c r="AW1695" t="inlineStr">
        <is>
          <t>0</t>
        </is>
      </c>
      <c r="AX1695" t="inlineStr">
        <is>
          <t>Not Qualified</t>
        </is>
      </c>
      <c r="AY1695" s="4"/>
      <c r="AZ1695"/>
      <c r="BA1695"/>
      <c r="BB1695"/>
      <c r="BC1695" t="inlineStr">
        <is>
          <t>NH</t>
        </is>
      </c>
      <c r="BD1695" s="4">
        <v>46135.661631944444</v>
      </c>
      <c r="BE1695" t="inlineStr">
        <is>
          <t>paid</t>
        </is>
      </c>
      <c r="BF1695"/>
      <c r="BG1695" t="inlineStr">
        <is>
          <t>Reschedule</t>
        </is>
      </c>
      <c r="BH1695" t="inlineStr">
        <is>
          <t>Edward Hoo</t>
        </is>
      </c>
      <c r="BI1695" t="inlineStr">
        <is>
          <t>Retail / Merchandise</t>
        </is>
      </c>
      <c r="BJ1695" s="4">
        <v>46144.75136574074</v>
      </c>
      <c r="BK1695" s="4">
        <v>45135.495208333334</v>
      </c>
      <c r="BL1695" t="inlineStr">
        <is>
          <t>0.0</t>
        </is>
      </c>
      <c r="BM1695" t="inlineStr">
        <is>
          <t>600.0</t>
        </is>
      </c>
      <c r="BN1695" t="inlineStr">
        <is>
          <t>View Applicant Page</t>
        </is>
      </c>
      <c r="BO1695" s="4">
        <v>45313.52171296296</v>
      </c>
      <c r="BP1695">
        <v>167786</v>
      </c>
      <c r="BQ1695">
        <v>80462</v>
      </c>
      <c r="BR1695" t="inlineStr">
        <is>
          <t>Proforma</t>
        </is>
      </c>
      <c r="BS1695" t="inlineStr">
        <is>
          <t>Startup Package - Instant Job Slot (20%)</t>
        </is>
      </c>
      <c r="BT1695">
        <v>62171</v>
      </c>
      <c r="BU1695"/>
      <c r="BV1695">
        <v>2724532</v>
      </c>
      <c r="BW1695" t="inlineStr">
        <is>
          <t>Inquire for Hiring Needs : No Hiring</t>
        </is>
      </c>
      <c r="BX1695"/>
      <c r="BY1695"/>
      <c r="BZ1695" s="4"/>
      <c r="CA1695"/>
      <c r="CB1695"/>
      <c r="CC1695" s="4"/>
      <c r="CD1695" t="inlineStr">
        <is>
          <t>35</t>
        </is>
      </c>
      <c r="CE1695" t="inlineStr">
        <is>
          <t>0</t>
        </is>
      </c>
      <c r="CF1695" t="inlineStr">
        <is>
          <t>Q2-W03</t>
        </is>
      </c>
      <c r="CG1695"/>
      <c r="CH1695"/>
      <c r="CI1695"/>
      <c r="CJ1695" t="inlineStr">
        <is>
          <t>Paid</t>
        </is>
      </c>
      <c r="CK1695" t="inlineStr">
        <is>
          <t>Not Eligible</t>
        </is>
      </c>
      <c r="CL1695"/>
      <c r="CM1695"/>
    </row>
    <row r="1696" ht="25.5" customHeight="1">
      <c r="A1696" t="inlineStr">
        <is>
          <t>39856</t>
        </is>
      </c>
      <c r="B1696" s="2"/>
      <c r="C1696"/>
      <c r="D1696" s="3">
        <v>46128.60706018518</v>
      </c>
      <c r="E1696" t="inlineStr">
        <is>
          <t>Q2-W02</t>
        </is>
      </c>
      <c r="F1696" t="inlineStr">
        <is>
          <t>Eugene</t>
        </is>
      </c>
      <c r="G1696" t="inlineStr">
        <is>
          <t>Customer</t>
        </is>
      </c>
      <c r="H1696" s="2" t="str">
        <f>=HYPERLINK("https://upbox.ajobthing.my/customer/39856", "https://upbox.ajobthing.my/customer/39856")</f>
        <v>https://upbox.ajobthing.my/customer/39856</v>
      </c>
      <c r="I1696" t="inlineStr">
        <is>
          <t>QEL Shipping Services Sdn Bhd</t>
        </is>
      </c>
      <c r="J1696" t="inlineStr">
        <is>
          <t>Dolphin</t>
        </is>
      </c>
      <c r="K1696" t="inlineStr">
        <is>
          <t>Eugene</t>
        </is>
      </c>
      <c r="L1696" s="4"/>
      <c r="M1696" s="4">
        <v>46139.431539351855</v>
      </c>
      <c r="N1696"/>
      <c r="O1696">
        <v>3672</v>
      </c>
      <c r="P1696" s="4"/>
      <c r="Q1696" s="4">
        <v>45271.48030092593</v>
      </c>
      <c r="R1696"/>
      <c r="S1696">
        <v>2968</v>
      </c>
      <c r="T1696" s="4">
        <v>45271.00001157408</v>
      </c>
      <c r="U1696" s="4"/>
      <c r="V1696"/>
      <c r="W1696">
        <v>2968</v>
      </c>
      <c r="X1696"/>
      <c r="Y1696" t="inlineStr">
        <is>
          <t>Pending Appointment</t>
        </is>
      </c>
      <c r="Z1696" t="inlineStr">
        <is>
          <t>Hiring Now</t>
        </is>
      </c>
      <c r="AA1696">
        <v>1</v>
      </c>
      <c r="AB1696" t="inlineStr">
        <is>
          <t>No Appointment Made</t>
        </is>
      </c>
      <c r="AC1696"/>
      <c r="AD1696" t="inlineStr">
        <is>
          <t>1 customer service, based in Shah Alam</t>
        </is>
      </c>
      <c r="AE1696"/>
      <c r="AF1696">
        <v>3000</v>
      </c>
      <c r="AG1696" s="4"/>
      <c r="AH1696" s="4"/>
      <c r="AI1696">
        <v>3000</v>
      </c>
      <c r="AJ1696">
        <v>1</v>
      </c>
      <c r="AK1696" t="inlineStr">
        <is>
          <t>No, I don't need at all</t>
        </is>
      </c>
      <c r="AL1696">
        <v>1</v>
      </c>
      <c r="AM1696" t="inlineStr">
        <is>
          <t>No, I don't need at all</t>
        </is>
      </c>
      <c r="AN1696"/>
      <c r="AO1696" t="inlineStr">
        <is>
          <t>No, I don't need at all</t>
        </is>
      </c>
      <c r="AP1696" t="inlineStr">
        <is>
          <t>Twice a year (50%)</t>
        </is>
      </c>
      <c r="AQ1696">
        <v>4</v>
      </c>
      <c r="AR1696" t="inlineStr">
        <is>
          <t>Free Job Portal</t>
        </is>
      </c>
      <c r="AS1696" t="inlineStr">
        <is>
          <t>- Headcount: 1
- Hiring Job Details: 1 customer service, based in Shah Alam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is>
      </c>
      <c r="AT1696">
        <v>115</v>
      </c>
      <c r="AU1696" t="inlineStr">
        <is>
          <t>1.15</t>
        </is>
      </c>
      <c r="AV1696" t="inlineStr">
        <is>
          <t>15</t>
        </is>
      </c>
      <c r="AW1696" t="inlineStr">
        <is>
          <t>0</t>
        </is>
      </c>
      <c r="AX1696" t="inlineStr">
        <is>
          <t>Not Qualified</t>
        </is>
      </c>
      <c r="AY1696" s="4"/>
      <c r="AZ1696"/>
      <c r="BA1696"/>
      <c r="BB1696"/>
      <c r="BC1696" t="inlineStr">
        <is>
          <t>pending</t>
        </is>
      </c>
      <c r="BD1696" s="4">
        <v>46132.73421296296</v>
      </c>
      <c r="BE1696" t="inlineStr">
        <is>
          <t>paid</t>
        </is>
      </c>
      <c r="BF1696"/>
      <c r="BG1696" t="inlineStr">
        <is>
          <t>Reschedule</t>
        </is>
      </c>
      <c r="BH1696" t="inlineStr">
        <is>
          <t>Edward Hoo</t>
        </is>
      </c>
      <c r="BI1696" t="inlineStr">
        <is>
          <t>Other industries</t>
        </is>
      </c>
      <c r="BJ1696" s="4">
        <v>46144.75513888889</v>
      </c>
      <c r="BK1696" s="4">
        <v>42936.75318287037</v>
      </c>
      <c r="BL1696" t="inlineStr">
        <is>
          <t>0.0</t>
        </is>
      </c>
      <c r="BM1696" t="inlineStr">
        <is>
          <t>0.0</t>
        </is>
      </c>
      <c r="BN1696" t="inlineStr">
        <is>
          <t>User Visit(Logged In)</t>
        </is>
      </c>
      <c r="BO1696" s="4">
        <v>45996.71289351852</v>
      </c>
      <c r="BP1696">
        <v>168938</v>
      </c>
      <c r="BQ1696">
        <v>83682</v>
      </c>
      <c r="BR1696" t="inlineStr">
        <is>
          <t>Proforma</t>
        </is>
      </c>
      <c r="BS1696" t="inlineStr">
        <is>
          <t>Startup Package - Instant Job Slot Christmas Promo</t>
        </is>
      </c>
      <c r="BT1696">
        <v>64472</v>
      </c>
      <c r="BU1696"/>
      <c r="BV1696">
        <v>2716620</v>
      </c>
      <c r="BW1696" t="inlineStr">
        <is>
          <t>Follow Up : Decision Pending</t>
        </is>
      </c>
      <c r="BX1696"/>
      <c r="BY1696"/>
      <c r="BZ1696" s="4"/>
      <c r="CA1696"/>
      <c r="CB1696"/>
      <c r="CC1696" s="4"/>
      <c r="CD1696" t="inlineStr">
        <is>
          <t>20</t>
        </is>
      </c>
      <c r="CE1696" t="inlineStr">
        <is>
          <t>0</t>
        </is>
      </c>
      <c r="CF1696" t="inlineStr">
        <is>
          <t>Q2-W04</t>
        </is>
      </c>
      <c r="CG1696"/>
      <c r="CH1696"/>
      <c r="CI1696"/>
      <c r="CJ1696" t="inlineStr">
        <is>
          <t>Paid</t>
        </is>
      </c>
      <c r="CK1696" t="inlineStr">
        <is>
          <t>Not Eligible</t>
        </is>
      </c>
      <c r="CL1696"/>
      <c r="CM1696"/>
    </row>
    <row r="1697" ht="25.5" customHeight="1">
      <c r="A1697" t="inlineStr">
        <is>
          <t>4289915</t>
        </is>
      </c>
      <c r="B1697" s="2"/>
      <c r="C1697"/>
      <c r="D1697" s="3">
        <v>46128.60951388889</v>
      </c>
      <c r="E1697" t="inlineStr">
        <is>
          <t>Q2-W02</t>
        </is>
      </c>
      <c r="F1697" t="inlineStr">
        <is>
          <t>Lucas</t>
        </is>
      </c>
      <c r="G1697" t="inlineStr">
        <is>
          <t>Lead</t>
        </is>
      </c>
      <c r="H1697" s="2" t="str">
        <f>=HYPERLINK("https://upbox.ajobthing.my/leads/4289915", "https://upbox.ajobthing.my/leads/4289915")</f>
        <v>https://upbox.ajobthing.my/leads/4289915</v>
      </c>
      <c r="I1697" t="inlineStr">
        <is>
          <t>MCLEAN PLASTIC ENGINEERING SDN BHD</t>
        </is>
      </c>
      <c r="J1697" t="inlineStr">
        <is>
          <t>Dolphin</t>
        </is>
      </c>
      <c r="K1697" t="inlineStr">
        <is>
          <t>Lucas</t>
        </is>
      </c>
      <c r="L1697" s="4"/>
      <c r="M1697" s="4">
        <v>46128.60818287037</v>
      </c>
      <c r="N1697"/>
      <c r="O1697">
        <v>6048</v>
      </c>
      <c r="P1697" s="4"/>
      <c r="Q1697" s="4"/>
      <c r="R1697"/>
      <c r="S1697"/>
      <c r="T1697" s="4"/>
      <c r="U1697" s="4"/>
      <c r="V1697"/>
      <c r="W1697"/>
      <c r="X1697"/>
      <c r="Y1697" t="inlineStr">
        <is>
          <t>Pending Appointment</t>
        </is>
      </c>
      <c r="Z1697" t="inlineStr">
        <is>
          <t>Hiring Now</t>
        </is>
      </c>
      <c r="AA1697">
        <v>1</v>
      </c>
      <c r="AB1697" t="inlineStr">
        <is>
          <t>No Appointment Made</t>
        </is>
      </c>
      <c r="AC1697"/>
      <c r="AD1697" t="inlineStr">
        <is>
          <t xml:space="preserve">1 purchases, 2 lorry driver </t>
        </is>
      </c>
      <c r="AE1697"/>
      <c r="AF1697">
        <v>0</v>
      </c>
      <c r="AG1697" s="4"/>
      <c r="AH1697" s="4"/>
      <c r="AI1697">
        <v>0</v>
      </c>
      <c r="AJ1697">
        <v>0</v>
      </c>
      <c r="AK1697" t="inlineStr">
        <is>
          <t>No, I don't need at all</t>
        </is>
      </c>
      <c r="AL1697">
        <v>0</v>
      </c>
      <c r="AM1697" t="inlineStr">
        <is>
          <t>No, I don't need at all</t>
        </is>
      </c>
      <c r="AN1697"/>
      <c r="AO1697" t="inlineStr">
        <is>
          <t>No, I don't need at all</t>
        </is>
      </c>
      <c r="AP1697" t="inlineStr">
        <is>
          <t>Once a year (25%)</t>
        </is>
      </c>
      <c r="AQ1697">
        <v>3</v>
      </c>
      <c r="AR1697" t="inlineStr">
        <is>
          <t>Did not use any job portal</t>
        </is>
      </c>
      <c r="AS1697" t="inlineStr">
        <is>
          <t>- Headcount: 1
- Hiring Job Details: 1 purchases, 2 lorry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is>
      </c>
      <c r="AT1697">
        <v>75</v>
      </c>
      <c r="AU1697" t="inlineStr">
        <is>
          <t>0.75</t>
        </is>
      </c>
      <c r="AV1697" t="inlineStr">
        <is>
          <t>15</t>
        </is>
      </c>
      <c r="AW1697" t="inlineStr">
        <is>
          <t>0</t>
        </is>
      </c>
      <c r="AX1697" t="inlineStr">
        <is>
          <t>Not Qualified</t>
        </is>
      </c>
      <c r="AY1697" s="4"/>
      <c r="AZ1697"/>
      <c r="BA1697"/>
      <c r="BB1697"/>
      <c r="BC1697"/>
      <c r="BD1697" s="4"/>
      <c r="BE1697"/>
      <c r="BF1697"/>
      <c r="BG1697" t="inlineStr">
        <is>
          <t>Reschedule</t>
        </is>
      </c>
      <c r="BH1697" t="inlineStr">
        <is>
          <t>Yee Hang</t>
        </is>
      </c>
      <c r="BI1697"/>
      <c r="BJ1697" s="4">
        <v>46144.755833333336</v>
      </c>
      <c r="BK1697" s="4">
        <v>46128.58326388889</v>
      </c>
      <c r="BL1697" t="inlineStr">
        <is>
          <t>0.0</t>
        </is>
      </c>
      <c r="BM1697" t="inlineStr">
        <is>
          <t>0.0</t>
        </is>
      </c>
      <c r="BN1697"/>
      <c r="BO1697" s="4"/>
      <c r="BP1697">
        <v>167410</v>
      </c>
      <c r="BQ1697"/>
      <c r="BR1697"/>
      <c r="BS1697"/>
      <c r="BT1697"/>
      <c r="BU1697"/>
      <c r="BV1697"/>
      <c r="BW1697"/>
      <c r="BX1697"/>
      <c r="BY1697"/>
      <c r="BZ1697" s="4"/>
      <c r="CA1697"/>
      <c r="CB1697"/>
      <c r="CC1697" s="4"/>
      <c r="CD1697" t="inlineStr">
        <is>
          <t>20</t>
        </is>
      </c>
      <c r="CE1697" t="inlineStr">
        <is>
          <t>0</t>
        </is>
      </c>
      <c r="CF1697" t="inlineStr">
        <is>
          <t>Q2-W02</t>
        </is>
      </c>
      <c r="CG1697"/>
      <c r="CH1697"/>
      <c r="CI1697"/>
      <c r="CJ1697" t="inlineStr">
        <is>
          <t>No Paid</t>
        </is>
      </c>
      <c r="CK1697" t="inlineStr">
        <is>
          <t>Not Eligible</t>
        </is>
      </c>
      <c r="CL1697"/>
      <c r="CM1697"/>
    </row>
    <row r="1698" ht="25.5" customHeight="1">
      <c r="A1698" t="inlineStr">
        <is>
          <t>197336</t>
        </is>
      </c>
      <c r="B1698" s="2"/>
      <c r="C1698"/>
      <c r="D1698" s="3">
        <v>46128.61009259259</v>
      </c>
      <c r="E1698" t="inlineStr">
        <is>
          <t>Q2-W02</t>
        </is>
      </c>
      <c r="F1698" t="inlineStr">
        <is>
          <t>Dickson</t>
        </is>
      </c>
      <c r="G1698" t="inlineStr">
        <is>
          <t>Customer</t>
        </is>
      </c>
      <c r="H1698" s="2" t="str">
        <f>=HYPERLINK("https://upbox.ajobthing.my/customer/197336", "https://upbox.ajobthing.my/customer/197336")</f>
        <v>https://upbox.ajobthing.my/customer/197336</v>
      </c>
      <c r="I1698" t="inlineStr">
        <is>
          <t>Befree Sdn Bhd</t>
        </is>
      </c>
      <c r="J1698" t="inlineStr">
        <is>
          <t>Dolphin</t>
        </is>
      </c>
      <c r="K1698" t="inlineStr">
        <is>
          <t>Dickson</t>
        </is>
      </c>
      <c r="L1698" s="4"/>
      <c r="M1698" s="4">
        <v>46128.610185185185</v>
      </c>
      <c r="N1698"/>
      <c r="O1698">
        <v>1296</v>
      </c>
      <c r="P1698" s="4"/>
      <c r="Q1698" s="4">
        <v>45951.44318287037</v>
      </c>
      <c r="R1698"/>
      <c r="S1698">
        <v>1296</v>
      </c>
      <c r="T1698" s="4">
        <v>45951.44318287037</v>
      </c>
      <c r="U1698" s="4"/>
      <c r="V1698"/>
      <c r="W1698">
        <v>1296</v>
      </c>
      <c r="X1698"/>
      <c r="Y1698" t="inlineStr">
        <is>
          <t>Pending Appointment</t>
        </is>
      </c>
      <c r="Z1698" t="inlineStr">
        <is>
          <t>Hiring Now</t>
        </is>
      </c>
      <c r="AA1698">
        <v>1</v>
      </c>
      <c r="AB1698" t="inlineStr">
        <is>
          <t>No Appointment Made</t>
        </is>
      </c>
      <c r="AC1698"/>
      <c r="AD1698" t="inlineStr">
        <is>
          <t>1 admin</t>
        </is>
      </c>
      <c r="AE1698"/>
      <c r="AF1698"/>
      <c r="AG1698" s="4"/>
      <c r="AH1698" s="4"/>
      <c r="AI1698"/>
      <c r="AJ1698">
        <v>1</v>
      </c>
      <c r="AK1698" t="inlineStr">
        <is>
          <t>No, I don't need at all</t>
        </is>
      </c>
      <c r="AL1698"/>
      <c r="AM1698" t="inlineStr">
        <is>
          <t>No, I don't need at all</t>
        </is>
      </c>
      <c r="AN1698"/>
      <c r="AO1698" t="inlineStr">
        <is>
          <t>No, I don't need at all</t>
        </is>
      </c>
      <c r="AP1698" t="inlineStr">
        <is>
          <t>Once per quarter (75%)</t>
        </is>
      </c>
      <c r="AQ1698"/>
      <c r="AR1698"/>
      <c r="AS1698" t="inlineStr">
        <is>
          <t>- Headcount: 1
- Hiring Job Details: 1 admin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AT1698">
        <v>95</v>
      </c>
      <c r="AU1698" t="inlineStr">
        <is>
          <t>0.95</t>
        </is>
      </c>
      <c r="AV1698" t="inlineStr">
        <is>
          <t>5</t>
        </is>
      </c>
      <c r="AW1698" t="inlineStr">
        <is>
          <t>0</t>
        </is>
      </c>
      <c r="AX1698" t="inlineStr">
        <is>
          <t>Not Qualified</t>
        </is>
      </c>
      <c r="AY1698" s="4"/>
      <c r="AZ1698"/>
      <c r="BA1698"/>
      <c r="BB1698"/>
      <c r="BC1698" t="inlineStr">
        <is>
          <t>hired from banner
will contact me again if got hiring</t>
        </is>
      </c>
      <c r="BD1698" s="4">
        <v>46134.60298611111</v>
      </c>
      <c r="BE1698" t="inlineStr">
        <is>
          <t>paid</t>
        </is>
      </c>
      <c r="BF1698"/>
      <c r="BG1698" t="inlineStr">
        <is>
          <t>Reschedule</t>
        </is>
      </c>
      <c r="BH1698" t="inlineStr">
        <is>
          <t>Edward Hoo</t>
        </is>
      </c>
      <c r="BI1698"/>
      <c r="BJ1698" s="4">
        <v>46144.75288194444</v>
      </c>
      <c r="BK1698" s="4">
        <v>45947.655127314814</v>
      </c>
      <c r="BL1698" t="inlineStr">
        <is>
          <t>1296.0</t>
        </is>
      </c>
      <c r="BM1698" t="inlineStr">
        <is>
          <t>0.0</t>
        </is>
      </c>
      <c r="BN1698" t="inlineStr">
        <is>
          <t>View Jobmanager Page</t>
        </is>
      </c>
      <c r="BO1698" s="4">
        <v>46003.494675925926</v>
      </c>
      <c r="BP1698">
        <v>167411</v>
      </c>
      <c r="BQ1698">
        <v>6564</v>
      </c>
      <c r="BR1698" t="inlineStr">
        <is>
          <t>Manual (Paid)</t>
        </is>
      </c>
      <c r="BS1698" t="inlineStr">
        <is>
          <t>A La Carte AI Job Ad Plus
- JobAI by AJobThing
- A la carte for 1 AI Job Ad
- 1 AI Job Ad will be published on Maukerja, Ricebowl and our partner platforms
- 1 AI Job Ad will be published for 45 days
- 1 Booster Plus (8 times bump up)
- 5 Free Candidate Profiles
- 5 Free Unlock Profiles
- Package valid for 1 month
- AI Capability
- AI Instant Match for 30 profiles
- AI Daily Talent Recommendation for 2 profiles daily
- AI "Open to Work" Detector for 2 profiles
- AI Smart Filter
- AI Post Job Assistant
- AI Pre-Call Notifier
- Ajobthing CARE</t>
        </is>
      </c>
      <c r="BT1698">
        <v>6564</v>
      </c>
      <c r="BU1698"/>
      <c r="BV1698">
        <v>2720783</v>
      </c>
      <c r="BW1698" t="inlineStr">
        <is>
          <t>Follow Up : Lost - Free Portal</t>
        </is>
      </c>
      <c r="BX1698"/>
      <c r="BY1698"/>
      <c r="BZ1698" s="4"/>
      <c r="CA1698"/>
      <c r="CB1698"/>
      <c r="CC1698" s="4"/>
      <c r="CD1698" t="inlineStr">
        <is>
          <t>5</t>
        </is>
      </c>
      <c r="CE1698" t="inlineStr">
        <is>
          <t>0</t>
        </is>
      </c>
      <c r="CF1698" t="inlineStr">
        <is>
          <t>Q2-W02</t>
        </is>
      </c>
      <c r="CG1698"/>
      <c r="CH1698"/>
      <c r="CI1698"/>
      <c r="CJ1698" t="inlineStr">
        <is>
          <t>Paid</t>
        </is>
      </c>
      <c r="CK1698" t="inlineStr">
        <is>
          <t>Not Eligible</t>
        </is>
      </c>
      <c r="CL1698"/>
      <c r="CM1698"/>
    </row>
    <row r="1699" ht="25.5" customHeight="1">
      <c r="A1699" t="inlineStr">
        <is>
          <t>147446</t>
        </is>
      </c>
      <c r="B1699" s="2"/>
      <c r="C1699"/>
      <c r="D1699" s="3">
        <v>46128.61298611111</v>
      </c>
      <c r="E1699" t="inlineStr">
        <is>
          <t>Q2-W02</t>
        </is>
      </c>
      <c r="F1699" t="inlineStr">
        <is>
          <t>Keegan</t>
        </is>
      </c>
      <c r="G1699" t="inlineStr">
        <is>
          <t>Customer</t>
        </is>
      </c>
      <c r="H1699" s="2" t="str">
        <f>=HYPERLINK("https://upbox.ajobthing.my/customer/147446", "https://upbox.ajobthing.my/customer/147446")</f>
        <v>https://upbox.ajobthing.my/customer/147446</v>
      </c>
      <c r="I1699" t="inlineStr">
        <is>
          <t xml:space="preserve"> Be Quinn Global Sdn Bhd</t>
        </is>
      </c>
      <c r="J1699" t="inlineStr">
        <is>
          <t>Dolphin</t>
        </is>
      </c>
      <c r="K1699" t="inlineStr">
        <is>
          <t>Keegan</t>
        </is>
      </c>
      <c r="L1699" s="4"/>
      <c r="M1699" s="4">
        <v>46128.61306712963</v>
      </c>
      <c r="N1699"/>
      <c r="O1699">
        <v>6048</v>
      </c>
      <c r="P1699" s="4"/>
      <c r="Q1699" s="4">
        <v>44711.74119212963</v>
      </c>
      <c r="R1699"/>
      <c r="S1699">
        <v>1749</v>
      </c>
      <c r="T1699" s="4">
        <v>44711.74119212963</v>
      </c>
      <c r="U1699" s="4"/>
      <c r="V1699"/>
      <c r="W1699">
        <v>1749</v>
      </c>
      <c r="X1699"/>
      <c r="Y1699" t="inlineStr">
        <is>
          <t>Pending Appointment</t>
        </is>
      </c>
      <c r="Z1699" t="inlineStr">
        <is>
          <t>Hiring Now</t>
        </is>
      </c>
      <c r="AA1699">
        <v>2</v>
      </c>
      <c r="AB1699" t="inlineStr">
        <is>
          <t>No Appointment Made</t>
        </is>
      </c>
      <c r="AC1699"/>
      <c r="AD1699" t="inlineStr">
        <is>
          <t xml:space="preserve">1. Admin 
2. Marketing </t>
        </is>
      </c>
      <c r="AE1699"/>
      <c r="AF1699"/>
      <c r="AG1699" s="4"/>
      <c r="AH1699" s="4"/>
      <c r="AI1699"/>
      <c r="AJ1699">
        <v>1</v>
      </c>
      <c r="AK1699" t="inlineStr">
        <is>
          <t>No, I don't need at all</t>
        </is>
      </c>
      <c r="AL1699">
        <v>0</v>
      </c>
      <c r="AM1699" t="inlineStr">
        <is>
          <t>No, I don't need at all</t>
        </is>
      </c>
      <c r="AN1699"/>
      <c r="AO1699" t="inlineStr">
        <is>
          <t>No, I don't need at all</t>
        </is>
      </c>
      <c r="AP1699" t="inlineStr">
        <is>
          <t>Once per quarter (75%)</t>
        </is>
      </c>
      <c r="AQ1699"/>
      <c r="AR1699" t="inlineStr">
        <is>
          <t>Did not use any job portal</t>
        </is>
      </c>
      <c r="AS1699" t="inlineStr">
        <is>
          <t>- Headcount: 2
- Hiring Job Details: 1. Admin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699">
        <v>95</v>
      </c>
      <c r="AU1699" t="inlineStr">
        <is>
          <t>0.95</t>
        </is>
      </c>
      <c r="AV1699" t="inlineStr">
        <is>
          <t>5</t>
        </is>
      </c>
      <c r="AW1699" t="inlineStr">
        <is>
          <t>0</t>
        </is>
      </c>
      <c r="AX1699" t="inlineStr">
        <is>
          <t>Not Qualified</t>
        </is>
      </c>
      <c r="AY1699" s="4"/>
      <c r="AZ1699"/>
      <c r="BA1699"/>
      <c r="BB1699"/>
      <c r="BC1699" t="inlineStr">
        <is>
          <t>- Headcount: 2
- Hiring Job Details: 1. Admin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699" s="4">
        <v>46128.6250462963</v>
      </c>
      <c r="BE1699" t="inlineStr">
        <is>
          <t>paid</t>
        </is>
      </c>
      <c r="BF1699"/>
      <c r="BG1699" t="inlineStr">
        <is>
          <t>Reschedule</t>
        </is>
      </c>
      <c r="BH1699" t="inlineStr">
        <is>
          <t>Edward Hoo</t>
        </is>
      </c>
      <c r="BI1699" t="inlineStr">
        <is>
          <t>Consumer Products / FMCG</t>
        </is>
      </c>
      <c r="BJ1699" s="4">
        <v>46144.75077546296</v>
      </c>
      <c r="BK1699" s="4">
        <v>44581.73310185185</v>
      </c>
      <c r="BL1699" t="inlineStr">
        <is>
          <t>0.0</t>
        </is>
      </c>
      <c r="BM1699" t="inlineStr">
        <is>
          <t>0.0</t>
        </is>
      </c>
      <c r="BN1699" t="inlineStr">
        <is>
          <t>View Jobmanager Page</t>
        </is>
      </c>
      <c r="BO1699" s="4">
        <v>44774.53989583333</v>
      </c>
      <c r="BP1699">
        <v>167414</v>
      </c>
      <c r="BQ1699">
        <v>45656</v>
      </c>
      <c r="BR1699" t="inlineStr">
        <is>
          <t>Online</t>
        </is>
      </c>
      <c r="BS1699"/>
      <c r="BT1699">
        <v>45656</v>
      </c>
      <c r="BU1699"/>
      <c r="BV1699">
        <v>2709625</v>
      </c>
      <c r="BW1699" t="inlineStr">
        <is>
          <t>Customer Inquiry</t>
        </is>
      </c>
      <c r="BX1699"/>
      <c r="BY1699"/>
      <c r="BZ1699" s="4"/>
      <c r="CA1699"/>
      <c r="CB1699"/>
      <c r="CC1699" s="4"/>
      <c r="CD1699" t="inlineStr">
        <is>
          <t>5</t>
        </is>
      </c>
      <c r="CE1699" t="inlineStr">
        <is>
          <t>0</t>
        </is>
      </c>
      <c r="CF1699" t="inlineStr">
        <is>
          <t>Q2-W02</t>
        </is>
      </c>
      <c r="CG1699"/>
      <c r="CH1699"/>
      <c r="CI1699"/>
      <c r="CJ1699" t="inlineStr">
        <is>
          <t>Paid</t>
        </is>
      </c>
      <c r="CK1699" t="inlineStr">
        <is>
          <t>Not Eligible</t>
        </is>
      </c>
      <c r="CL1699"/>
      <c r="CM1699"/>
    </row>
    <row r="1700" ht="25.5" customHeight="1">
      <c r="A1700" t="inlineStr">
        <is>
          <t>172300</t>
        </is>
      </c>
      <c r="B1700" s="2"/>
      <c r="C1700"/>
      <c r="D1700" s="3">
        <v>46128.622395833336</v>
      </c>
      <c r="E1700" t="inlineStr">
        <is>
          <t>Q2-W02</t>
        </is>
      </c>
      <c r="F1700" t="inlineStr">
        <is>
          <t>Luqman</t>
        </is>
      </c>
      <c r="G1700" t="inlineStr">
        <is>
          <t>Customer</t>
        </is>
      </c>
      <c r="H1700" s="2" t="str">
        <f>=HYPERLINK("https://upbox.ajobthing.my/customer/172300", "https://upbox.ajobthing.my/customer/172300")</f>
        <v>https://upbox.ajobthing.my/customer/172300</v>
      </c>
      <c r="I1700" t="inlineStr">
        <is>
          <t>Pool Sport Sdn Bhd</t>
        </is>
      </c>
      <c r="J1700" t="inlineStr">
        <is>
          <t>Dolphin</t>
        </is>
      </c>
      <c r="K1700" t="inlineStr">
        <is>
          <t>Luqman</t>
        </is>
      </c>
      <c r="L1700" s="4"/>
      <c r="M1700" s="4">
        <v>46128.62252314815</v>
      </c>
      <c r="N1700"/>
      <c r="O1700">
        <v>3888</v>
      </c>
      <c r="P1700" s="4"/>
      <c r="Q1700" s="4">
        <v>45233.00001157408</v>
      </c>
      <c r="R1700"/>
      <c r="S1700">
        <v>954</v>
      </c>
      <c r="T1700" s="4">
        <v>45233.00001157408</v>
      </c>
      <c r="U1700" s="4"/>
      <c r="V1700"/>
      <c r="W1700">
        <v>954</v>
      </c>
      <c r="X1700"/>
      <c r="Y1700" t="inlineStr">
        <is>
          <t>Pending Appointment</t>
        </is>
      </c>
      <c r="Z1700" t="inlineStr">
        <is>
          <t>Hiring Later</t>
        </is>
      </c>
      <c r="AA1700">
        <v>1</v>
      </c>
      <c r="AB1700" t="inlineStr">
        <is>
          <t>No Appointment Made</t>
        </is>
      </c>
      <c r="AC1700"/>
      <c r="AD1700" t="inlineStr">
        <is>
          <t xml:space="preserve">1. Cleaner </t>
        </is>
      </c>
      <c r="AE1700"/>
      <c r="AF1700">
        <v>800</v>
      </c>
      <c r="AG1700" s="4"/>
      <c r="AH1700" s="4"/>
      <c r="AI1700">
        <v>1200</v>
      </c>
      <c r="AJ1700"/>
      <c r="AK1700" t="inlineStr">
        <is>
          <t>No, I don't need at all</t>
        </is>
      </c>
      <c r="AL1700">
        <v>1</v>
      </c>
      <c r="AM1700" t="inlineStr">
        <is>
          <t>No, I don't need at all</t>
        </is>
      </c>
      <c r="AN1700"/>
      <c r="AO1700" t="inlineStr">
        <is>
          <t>Yes, I have</t>
        </is>
      </c>
      <c r="AP1700" t="inlineStr">
        <is>
          <t>Twice a year (50%)</t>
        </is>
      </c>
      <c r="AQ1700">
        <v>3</v>
      </c>
      <c r="AR1700" t="inlineStr">
        <is>
          <t>Free Job Portal</t>
        </is>
      </c>
      <c r="AS1700" t="inlineStr">
        <is>
          <t>- Headcount: 1
- Hiring Job Details: 1 Cleaner
- Hiring Urgency: Hiring Later
- Number of outlets: Not provided
- Have recruiter team: No, I don't need at all
- Number of recruiter in company: 1
- Have ATS system: No, I don't need at all
- Have career website: Yes, I have
- Current hiring budget: RM800
- Whole year budget: RM1,200.00
- Whole year number of vacancies: 3
- Hiring frequency: Twice a year (50%)
- External job portal: Free Job Portal</t>
        </is>
      </c>
      <c r="AT1700">
        <v>100</v>
      </c>
      <c r="AU1700" t="inlineStr">
        <is>
          <t>1.00</t>
        </is>
      </c>
      <c r="AV1700" t="inlineStr">
        <is>
          <t>15</t>
        </is>
      </c>
      <c r="AW1700" t="inlineStr">
        <is>
          <t>0</t>
        </is>
      </c>
      <c r="AX1700" t="inlineStr">
        <is>
          <t>Not Qualified</t>
        </is>
      </c>
      <c r="AY1700" s="4"/>
      <c r="AZ1700"/>
      <c r="BA1700"/>
      <c r="BB1700"/>
      <c r="BC1700" t="inlineStr">
        <is>
          <t>NA Dropped a text via Whatsapp</t>
        </is>
      </c>
      <c r="BD1700" s="4">
        <v>46133.68962962963</v>
      </c>
      <c r="BE1700" t="inlineStr">
        <is>
          <t>paid</t>
        </is>
      </c>
      <c r="BF1700"/>
      <c r="BG1700" t="inlineStr">
        <is>
          <t>Reschedule</t>
        </is>
      </c>
      <c r="BH1700" t="inlineStr">
        <is>
          <t>Edward Hoo</t>
        </is>
      </c>
      <c r="BI1700" t="inlineStr">
        <is>
          <t>Repair / Maintenance</t>
        </is>
      </c>
      <c r="BJ1700" s="4">
        <v>46144.75148148148</v>
      </c>
      <c r="BK1700" s="4">
        <v>45224.445914351854</v>
      </c>
      <c r="BL1700" t="inlineStr">
        <is>
          <t>0.0</t>
        </is>
      </c>
      <c r="BM1700" t="inlineStr">
        <is>
          <t>1200.0</t>
        </is>
      </c>
      <c r="BN1700" t="inlineStr">
        <is>
          <t>View Jobmanager Page</t>
        </is>
      </c>
      <c r="BO1700" s="4">
        <v>45236.912256944444</v>
      </c>
      <c r="BP1700">
        <v>167424</v>
      </c>
      <c r="BQ1700">
        <v>63576</v>
      </c>
      <c r="BR1700" t="inlineStr">
        <is>
          <t>Online</t>
        </is>
      </c>
      <c r="BS1700"/>
      <c r="BT1700">
        <v>63576</v>
      </c>
      <c r="BU1700"/>
      <c r="BV1700">
        <v>2718844</v>
      </c>
      <c r="BW1700" t="inlineStr">
        <is>
          <t>No Answer : Voicemail - WA sent to customer</t>
        </is>
      </c>
      <c r="BX1700"/>
      <c r="BY1700"/>
      <c r="BZ1700" s="4"/>
      <c r="CA1700"/>
      <c r="CB1700"/>
      <c r="CC1700" s="4"/>
      <c r="CD1700" t="inlineStr">
        <is>
          <t>20</t>
        </is>
      </c>
      <c r="CE1700" t="inlineStr">
        <is>
          <t>0</t>
        </is>
      </c>
      <c r="CF1700" t="inlineStr">
        <is>
          <t>Q2-W02</t>
        </is>
      </c>
      <c r="CG1700"/>
      <c r="CH1700"/>
      <c r="CI1700"/>
      <c r="CJ1700" t="inlineStr">
        <is>
          <t>Paid</t>
        </is>
      </c>
      <c r="CK1700" t="inlineStr">
        <is>
          <t>Not Eligible</t>
        </is>
      </c>
      <c r="CL1700"/>
      <c r="CM1700"/>
    </row>
    <row r="1701" ht="25.5" customHeight="1">
      <c r="A1701" t="inlineStr">
        <is>
          <t>191711</t>
        </is>
      </c>
      <c r="B1701" s="2"/>
      <c r="C1701"/>
      <c r="D1701" s="3">
        <v>46128.62466435185</v>
      </c>
      <c r="E1701" t="inlineStr">
        <is>
          <t>Q2-W02</t>
        </is>
      </c>
      <c r="F1701" t="inlineStr">
        <is>
          <t>Fariz</t>
        </is>
      </c>
      <c r="G1701" t="inlineStr">
        <is>
          <t>Customer</t>
        </is>
      </c>
      <c r="H1701" s="2" t="str">
        <f>=HYPERLINK("https://upbox.ajobthing.my/customer/191711", "https://upbox.ajobthing.my/customer/191711")</f>
        <v>https://upbox.ajobthing.my/customer/191711</v>
      </c>
      <c r="I1701" t="inlineStr">
        <is>
          <t>Zubeck Machinery &amp; Services</t>
        </is>
      </c>
      <c r="J1701" t="inlineStr">
        <is>
          <t>Dolphin</t>
        </is>
      </c>
      <c r="K1701" t="inlineStr">
        <is>
          <t>Fariz</t>
        </is>
      </c>
      <c r="L1701" s="4"/>
      <c r="M1701" s="4">
        <v>46128.62634259259</v>
      </c>
      <c r="N1701"/>
      <c r="O1701">
        <v>1296</v>
      </c>
      <c r="P1701" s="4"/>
      <c r="Q1701" s="4">
        <v>46133.71861111111</v>
      </c>
      <c r="R1701"/>
      <c r="S1701">
        <v>1296</v>
      </c>
      <c r="T1701" s="4">
        <v>46133.71861111111</v>
      </c>
      <c r="U1701" s="4"/>
      <c r="V1701"/>
      <c r="W1701">
        <v>1296</v>
      </c>
      <c r="X1701"/>
      <c r="Y1701" t="inlineStr">
        <is>
          <t>Pending Appointment</t>
        </is>
      </c>
      <c r="Z1701" t="inlineStr">
        <is>
          <t>Hiring Now</t>
        </is>
      </c>
      <c r="AA1701">
        <v>1</v>
      </c>
      <c r="AB1701" t="inlineStr">
        <is>
          <t>No Appointment Made</t>
        </is>
      </c>
      <c r="AC1701"/>
      <c r="AD1701" t="inlineStr">
        <is>
          <t>1 technician</t>
        </is>
      </c>
      <c r="AE1701"/>
      <c r="AF1701">
        <v>1000</v>
      </c>
      <c r="AG1701" s="4"/>
      <c r="AH1701" s="4"/>
      <c r="AI1701">
        <v>1000</v>
      </c>
      <c r="AJ1701"/>
      <c r="AK1701" t="inlineStr">
        <is>
          <t>No, I don't need at all</t>
        </is>
      </c>
      <c r="AL1701">
        <v>1</v>
      </c>
      <c r="AM1701" t="inlineStr">
        <is>
          <t>No, I don't need at all</t>
        </is>
      </c>
      <c r="AN1701"/>
      <c r="AO1701" t="inlineStr">
        <is>
          <t>No, but I want in future</t>
        </is>
      </c>
      <c r="AP1701" t="inlineStr">
        <is>
          <t>Once a year (25%)</t>
        </is>
      </c>
      <c r="AQ1701">
        <v>1</v>
      </c>
      <c r="AR1701" t="inlineStr">
        <is>
          <t>Free Job Portal</t>
        </is>
      </c>
      <c r="AS1701" t="inlineStr">
        <is>
          <t>- Headcount: 1
- Hiring Job Details: 1 technician
- Hiring Urgency: Hiring Now
- Number of outlets: 
- Have recruiter team: No, I don't need at all
- Number of recruiter in company: 1
- Have ATS system: No, I don't need at all
- Have career website: No, but I want in future
- Current hiring budget: RM1,000
- Whole year budget: RM1,000.00
- Whole year number of vacancies: 1
- Hiring frequency: Once a year (25%)
- External job portal: Free Job Portal</t>
        </is>
      </c>
      <c r="AT1701">
        <v>110</v>
      </c>
      <c r="AU1701" t="inlineStr">
        <is>
          <t>1.10</t>
        </is>
      </c>
      <c r="AV1701" t="inlineStr">
        <is>
          <t>15</t>
        </is>
      </c>
      <c r="AW1701" t="inlineStr">
        <is>
          <t>0</t>
        </is>
      </c>
      <c r="AX1701" t="inlineStr">
        <is>
          <t>Not Qualified</t>
        </is>
      </c>
      <c r="AY1701" s="4"/>
      <c r="AZ1701"/>
      <c r="BA1701"/>
      <c r="BB1701"/>
      <c r="BC1701" t="inlineStr">
        <is>
          <t>sharing boolean search update</t>
        </is>
      </c>
      <c r="BD1701" s="4">
        <v>46142.73608796296</v>
      </c>
      <c r="BE1701" t="inlineStr">
        <is>
          <t>paid</t>
        </is>
      </c>
      <c r="BF1701" t="inlineStr">
        <is>
          <t>Q2-W03</t>
        </is>
      </c>
      <c r="BG1701" t="inlineStr">
        <is>
          <t>Reschedule</t>
        </is>
      </c>
      <c r="BH1701" t="inlineStr">
        <is>
          <t>Edward Hoo</t>
        </is>
      </c>
      <c r="BI1701" t="inlineStr">
        <is>
          <t>Repair / Maintenance</t>
        </is>
      </c>
      <c r="BJ1701" s="4">
        <v>46144.752430555556</v>
      </c>
      <c r="BK1701" s="4">
        <v>45800.652037037034</v>
      </c>
      <c r="BL1701" t="inlineStr">
        <is>
          <t>1296.0</t>
        </is>
      </c>
      <c r="BM1701" t="inlineStr">
        <is>
          <t>0.0</t>
        </is>
      </c>
      <c r="BN1701" t="inlineStr">
        <is>
          <t>Applicant Page : Internal Comment</t>
        </is>
      </c>
      <c r="BO1701" s="4">
        <v>46141.67113425926</v>
      </c>
      <c r="BP1701">
        <v>167429</v>
      </c>
      <c r="BQ1701">
        <v>94551</v>
      </c>
      <c r="BR1701" t="inlineStr">
        <is>
          <t>Online</t>
        </is>
      </c>
      <c r="BS1701"/>
      <c r="BT1701">
        <v>94551</v>
      </c>
      <c r="BU1701"/>
      <c r="BV1701">
        <v>2738438</v>
      </c>
      <c r="BW1701" t="inlineStr">
        <is>
          <t>Service / Technical : Job Outcome Enquiry</t>
        </is>
      </c>
      <c r="BX1701">
        <v>1</v>
      </c>
      <c r="BY1701">
        <v>0</v>
      </c>
      <c r="BZ1701" s="4">
        <v>46137.643854166665</v>
      </c>
      <c r="CA1701">
        <v>10</v>
      </c>
      <c r="CB1701">
        <v>10</v>
      </c>
      <c r="CC1701" s="4"/>
      <c r="CD1701" t="inlineStr">
        <is>
          <t>20</t>
        </is>
      </c>
      <c r="CE1701" t="inlineStr">
        <is>
          <t>0</t>
        </is>
      </c>
      <c r="CF1701" t="inlineStr">
        <is>
          <t>Q2-W02</t>
        </is>
      </c>
      <c r="CG1701" t="inlineStr">
        <is>
          <t>Q2-W03</t>
        </is>
      </c>
      <c r="CH1701" t="inlineStr">
        <is>
          <t>Q2-W03</t>
        </is>
      </c>
      <c r="CI1701"/>
      <c r="CJ1701" t="inlineStr">
        <is>
          <t>Paid</t>
        </is>
      </c>
      <c r="CK1701" t="inlineStr">
        <is>
          <t>Not Eligible</t>
        </is>
      </c>
      <c r="CL1701"/>
      <c r="CM1701"/>
    </row>
    <row r="1702" ht="25.5" customHeight="1">
      <c r="A1702" t="inlineStr">
        <is>
          <t>4264959</t>
        </is>
      </c>
      <c r="B1702" s="2"/>
      <c r="C1702"/>
      <c r="D1702" s="3">
        <v>46128.653275462966</v>
      </c>
      <c r="E1702" t="inlineStr">
        <is>
          <t>Q2-W02</t>
        </is>
      </c>
      <c r="F1702" t="inlineStr">
        <is>
          <t>Josh</t>
        </is>
      </c>
      <c r="G1702" t="inlineStr">
        <is>
          <t>Lead</t>
        </is>
      </c>
      <c r="H1702" s="2" t="str">
        <f>=HYPERLINK("https://upbox.ajobthing.my/leads/4264959", "https://upbox.ajobthing.my/leads/4264959")</f>
        <v>https://upbox.ajobthing.my/leads/4264959</v>
      </c>
      <c r="I1702" t="inlineStr">
        <is>
          <t>CSW</t>
        </is>
      </c>
      <c r="J1702" t="inlineStr">
        <is>
          <t>Dolphin</t>
        </is>
      </c>
      <c r="K1702" t="inlineStr">
        <is>
          <t>Josh</t>
        </is>
      </c>
      <c r="L1702" s="4"/>
      <c r="M1702" s="4">
        <v>46128.65277777778</v>
      </c>
      <c r="N1702"/>
      <c r="O1702">
        <v>6048</v>
      </c>
      <c r="P1702" s="4"/>
      <c r="Q1702" s="4"/>
      <c r="R1702"/>
      <c r="S1702"/>
      <c r="T1702" s="4"/>
      <c r="U1702" s="4"/>
      <c r="V1702"/>
      <c r="W1702"/>
      <c r="X1702"/>
      <c r="Y1702" t="inlineStr">
        <is>
          <t>Pending Appointment</t>
        </is>
      </c>
      <c r="Z1702" t="inlineStr">
        <is>
          <t>Hiring Now</t>
        </is>
      </c>
      <c r="AA1702">
        <v>1</v>
      </c>
      <c r="AB1702" t="inlineStr">
        <is>
          <t>No Appointment Made</t>
        </is>
      </c>
      <c r="AC1702"/>
      <c r="AD1702" t="inlineStr">
        <is>
          <t xml:space="preserve">1 account </t>
        </is>
      </c>
      <c r="AE1702"/>
      <c r="AF1702">
        <v>3000</v>
      </c>
      <c r="AG1702" s="4"/>
      <c r="AH1702" s="4"/>
      <c r="AI1702"/>
      <c r="AJ1702"/>
      <c r="AK1702" t="inlineStr">
        <is>
          <t>Yes, I have</t>
        </is>
      </c>
      <c r="AL1702"/>
      <c r="AM1702"/>
      <c r="AN1702"/>
      <c r="AO1702"/>
      <c r="AP1702" t="inlineStr">
        <is>
          <t>Once a year (25%)</t>
        </is>
      </c>
      <c r="AQ1702"/>
      <c r="AR1702"/>
      <c r="AS1702" t="inlineStr">
        <is>
          <t>- Headcount: 1
- Hiring Job Details: 1 account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
- Hiring Urgency: Hiring Now</t>
        </is>
      </c>
      <c r="AT1702">
        <v>35</v>
      </c>
      <c r="AU1702" t="inlineStr">
        <is>
          <t>0.35</t>
        </is>
      </c>
      <c r="AV1702" t="inlineStr">
        <is>
          <t>15</t>
        </is>
      </c>
      <c r="AW1702" t="inlineStr">
        <is>
          <t>0</t>
        </is>
      </c>
      <c r="AX1702" t="inlineStr">
        <is>
          <t>Not Qualified</t>
        </is>
      </c>
      <c r="AY1702" s="4"/>
      <c r="AZ1702"/>
      <c r="BA1702"/>
      <c r="BB1702"/>
      <c r="BC1702"/>
      <c r="BD1702" s="4"/>
      <c r="BE1702"/>
      <c r="BF1702"/>
      <c r="BG1702" t="inlineStr">
        <is>
          <t>Reschedule</t>
        </is>
      </c>
      <c r="BH1702" t="inlineStr">
        <is>
          <t>Fauziah Maharan</t>
        </is>
      </c>
      <c r="BI1702"/>
      <c r="BJ1702" s="4">
        <v>46144.75578703704</v>
      </c>
      <c r="BK1702" s="4">
        <v>46121.60738425926</v>
      </c>
      <c r="BL1702" t="inlineStr">
        <is>
          <t>0.0</t>
        </is>
      </c>
      <c r="BM1702" t="inlineStr">
        <is>
          <t>0.0</t>
        </is>
      </c>
      <c r="BN1702"/>
      <c r="BO1702" s="4"/>
      <c r="BP1702">
        <v>167442</v>
      </c>
      <c r="BQ1702"/>
      <c r="BR1702"/>
      <c r="BS1702"/>
      <c r="BT1702"/>
      <c r="BU1702"/>
      <c r="BV1702"/>
      <c r="BW1702"/>
      <c r="BX1702"/>
      <c r="BY1702"/>
      <c r="BZ1702" s="4"/>
      <c r="CA1702"/>
      <c r="CB1702"/>
      <c r="CC1702" s="4"/>
      <c r="CD1702" t="inlineStr">
        <is>
          <t>20</t>
        </is>
      </c>
      <c r="CE1702" t="inlineStr">
        <is>
          <t>0</t>
        </is>
      </c>
      <c r="CF1702" t="inlineStr">
        <is>
          <t>Q2-W02</t>
        </is>
      </c>
      <c r="CG1702"/>
      <c r="CH1702"/>
      <c r="CI1702"/>
      <c r="CJ1702" t="inlineStr">
        <is>
          <t>No Paid</t>
        </is>
      </c>
      <c r="CK1702" t="inlineStr">
        <is>
          <t>Not Eligible</t>
        </is>
      </c>
      <c r="CL1702"/>
      <c r="CM1702"/>
    </row>
    <row r="1703" ht="25.5" customHeight="1">
      <c r="A1703" t="inlineStr">
        <is>
          <t>58511</t>
        </is>
      </c>
      <c r="B1703" s="2"/>
      <c r="C1703"/>
      <c r="D1703" s="3">
        <v>46128.65483796296</v>
      </c>
      <c r="E1703" t="inlineStr">
        <is>
          <t>Q2-W02</t>
        </is>
      </c>
      <c r="F1703" t="inlineStr">
        <is>
          <t>Evan</t>
        </is>
      </c>
      <c r="G1703" t="inlineStr">
        <is>
          <t>Customer</t>
        </is>
      </c>
      <c r="H1703" s="2" t="str">
        <f>=HYPERLINK("https://upbox.ajobthing.my/customer/58511", "https://upbox.ajobthing.my/customer/58511")</f>
        <v>https://upbox.ajobthing.my/customer/58511</v>
      </c>
      <c r="I1703" t="inlineStr">
        <is>
          <t>JW Power Agency</t>
        </is>
      </c>
      <c r="J1703" t="inlineStr">
        <is>
          <t>Dolphin</t>
        </is>
      </c>
      <c r="K1703" t="inlineStr">
        <is>
          <t>Evan</t>
        </is>
      </c>
      <c r="L1703" s="4"/>
      <c r="M1703" s="4">
        <v>46128.654444444444</v>
      </c>
      <c r="N1703"/>
      <c r="O1703">
        <v>3672</v>
      </c>
      <c r="P1703" s="4"/>
      <c r="Q1703" s="4">
        <v>45610</v>
      </c>
      <c r="R1703"/>
      <c r="S1703">
        <v>2592</v>
      </c>
      <c r="T1703" s="4">
        <v>45610</v>
      </c>
      <c r="U1703" s="4"/>
      <c r="V1703"/>
      <c r="W1703">
        <v>2592</v>
      </c>
      <c r="X1703"/>
      <c r="Y1703" t="inlineStr">
        <is>
          <t>Pending Appointment</t>
        </is>
      </c>
      <c r="Z1703" t="inlineStr">
        <is>
          <t>Hiring Now</t>
        </is>
      </c>
      <c r="AA1703">
        <v>1</v>
      </c>
      <c r="AB1703" t="inlineStr">
        <is>
          <t>No Appointment Made</t>
        </is>
      </c>
      <c r="AC1703"/>
      <c r="AD1703" t="inlineStr">
        <is>
          <t>1 admin, all base in KL</t>
        </is>
      </c>
      <c r="AE1703"/>
      <c r="AF1703">
        <v>1</v>
      </c>
      <c r="AG1703" s="4"/>
      <c r="AH1703" s="4"/>
      <c r="AI1703">
        <v>1</v>
      </c>
      <c r="AJ1703">
        <v>1</v>
      </c>
      <c r="AK1703" t="inlineStr">
        <is>
          <t>No, I don't need at all</t>
        </is>
      </c>
      <c r="AL1703">
        <v>0</v>
      </c>
      <c r="AM1703" t="inlineStr">
        <is>
          <t>No, I don't need at all</t>
        </is>
      </c>
      <c r="AN1703"/>
      <c r="AO1703" t="inlineStr">
        <is>
          <t>No, I don't need at all</t>
        </is>
      </c>
      <c r="AP1703" t="inlineStr">
        <is>
          <t>Once a year (25%)</t>
        </is>
      </c>
      <c r="AQ1703">
        <v>1</v>
      </c>
      <c r="AR1703" t="inlineStr">
        <is>
          <t>Did not use any job portal</t>
        </is>
      </c>
      <c r="AS1703"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703">
        <v>110</v>
      </c>
      <c r="AU1703" t="inlineStr">
        <is>
          <t>1.10</t>
        </is>
      </c>
      <c r="AV1703" t="inlineStr">
        <is>
          <t>15</t>
        </is>
      </c>
      <c r="AW1703" t="inlineStr">
        <is>
          <t>0</t>
        </is>
      </c>
      <c r="AX1703" t="inlineStr">
        <is>
          <t>Not Qualified</t>
        </is>
      </c>
      <c r="AY1703" s="4"/>
      <c r="AZ1703"/>
      <c r="BA1703"/>
      <c r="BB1703"/>
      <c r="BC1703" t="inlineStr">
        <is>
          <t>pending</t>
        </is>
      </c>
      <c r="BD1703" s="4">
        <v>46140.50565972222</v>
      </c>
      <c r="BE1703" t="inlineStr">
        <is>
          <t>paid</t>
        </is>
      </c>
      <c r="BF1703"/>
      <c r="BG1703" t="inlineStr">
        <is>
          <t>Reschedule</t>
        </is>
      </c>
      <c r="BH1703" t="inlineStr">
        <is>
          <t>Edward Hoo</t>
        </is>
      </c>
      <c r="BI1703" t="inlineStr">
        <is>
          <t>Banking / Finance</t>
        </is>
      </c>
      <c r="BJ1703" s="4">
        <v>46144.75609953704</v>
      </c>
      <c r="BK1703" s="4">
        <v>43378.65398148148</v>
      </c>
      <c r="BL1703" t="inlineStr">
        <is>
          <t>0.0</t>
        </is>
      </c>
      <c r="BM1703" t="inlineStr">
        <is>
          <t>0.0</t>
        </is>
      </c>
      <c r="BN1703" t="inlineStr">
        <is>
          <t>View Jobmanager Page</t>
        </is>
      </c>
      <c r="BO1703" s="4">
        <v>45979.455729166664</v>
      </c>
      <c r="BP1703">
        <v>167443</v>
      </c>
      <c r="BQ1703">
        <v>74674</v>
      </c>
      <c r="BR1703" t="inlineStr">
        <is>
          <t>Online</t>
        </is>
      </c>
      <c r="BS1703"/>
      <c r="BT1703">
        <v>74674</v>
      </c>
      <c r="BU1703"/>
      <c r="BV1703">
        <v>2732365</v>
      </c>
      <c r="BW1703" t="inlineStr">
        <is>
          <t>Follow Up : Decision Pending</t>
        </is>
      </c>
      <c r="BX1703"/>
      <c r="BY1703"/>
      <c r="BZ1703" s="4"/>
      <c r="CA1703"/>
      <c r="CB1703"/>
      <c r="CC1703" s="4"/>
      <c r="CD1703" t="inlineStr">
        <is>
          <t>20</t>
        </is>
      </c>
      <c r="CE1703" t="inlineStr">
        <is>
          <t>0</t>
        </is>
      </c>
      <c r="CF1703" t="inlineStr">
        <is>
          <t>Q2-W02</t>
        </is>
      </c>
      <c r="CG1703"/>
      <c r="CH1703"/>
      <c r="CI1703"/>
      <c r="CJ1703" t="inlineStr">
        <is>
          <t>Paid</t>
        </is>
      </c>
      <c r="CK1703" t="inlineStr">
        <is>
          <t>Not Eligible</t>
        </is>
      </c>
      <c r="CL1703"/>
      <c r="CM1703"/>
    </row>
    <row r="1704" ht="25.5" customHeight="1">
      <c r="A1704" t="inlineStr">
        <is>
          <t>4123735</t>
        </is>
      </c>
      <c r="B1704" s="2"/>
      <c r="C1704"/>
      <c r="D1704" s="3">
        <v>46128.6691087963</v>
      </c>
      <c r="E1704" t="inlineStr">
        <is>
          <t>Q2-W02</t>
        </is>
      </c>
      <c r="F1704" t="inlineStr">
        <is>
          <t>Janice Yap</t>
        </is>
      </c>
      <c r="G1704" t="inlineStr">
        <is>
          <t>Lead</t>
        </is>
      </c>
      <c r="H1704" s="2" t="str">
        <f>=HYPERLINK("https://upbox.ajobthing.my/leads/4123735", "https://upbox.ajobthing.my/leads/4123735")</f>
        <v>https://upbox.ajobthing.my/leads/4123735</v>
      </c>
      <c r="I1704" t="inlineStr">
        <is>
          <t>FINE Engineering Technology Sdn Bhd</t>
        </is>
      </c>
      <c r="J1704" t="inlineStr">
        <is>
          <t>Dolphin</t>
        </is>
      </c>
      <c r="K1704" t="inlineStr">
        <is>
          <t>Janice</t>
        </is>
      </c>
      <c r="L1704" s="4"/>
      <c r="M1704" s="4">
        <v>46128.66563657407</v>
      </c>
      <c r="N1704"/>
      <c r="O1704">
        <v>3888</v>
      </c>
      <c r="P1704" s="4"/>
      <c r="Q1704" s="4"/>
      <c r="R1704"/>
      <c r="S1704"/>
      <c r="T1704" s="4"/>
      <c r="U1704" s="4"/>
      <c r="V1704"/>
      <c r="W1704"/>
      <c r="X1704"/>
      <c r="Y1704" t="inlineStr">
        <is>
          <t>Pending Appointment</t>
        </is>
      </c>
      <c r="Z1704" t="inlineStr">
        <is>
          <t>Hiring Now</t>
        </is>
      </c>
      <c r="AA1704">
        <v>2</v>
      </c>
      <c r="AB1704" t="inlineStr">
        <is>
          <t>No Appointment Made</t>
        </is>
      </c>
      <c r="AC1704"/>
      <c r="AD1704" t="inlineStr">
        <is>
          <t>engineer // technician</t>
        </is>
      </c>
      <c r="AE1704"/>
      <c r="AF1704">
        <v>0</v>
      </c>
      <c r="AG1704" s="4"/>
      <c r="AH1704" s="4"/>
      <c r="AI1704">
        <v>0</v>
      </c>
      <c r="AJ1704"/>
      <c r="AK1704" t="inlineStr">
        <is>
          <t>No, I don't need at all</t>
        </is>
      </c>
      <c r="AL1704">
        <v>0</v>
      </c>
      <c r="AM1704" t="inlineStr">
        <is>
          <t>No, I don't need at all</t>
        </is>
      </c>
      <c r="AN1704"/>
      <c r="AO1704" t="inlineStr">
        <is>
          <t>No, I don't need at all</t>
        </is>
      </c>
      <c r="AP1704" t="inlineStr">
        <is>
          <t>Once a year (25%)</t>
        </is>
      </c>
      <c r="AQ1704">
        <v>2</v>
      </c>
      <c r="AR1704" t="inlineStr">
        <is>
          <t>Jobstreet</t>
        </is>
      </c>
      <c r="AS1704" t="inlineStr">
        <is>
          <t>- Headcount: 2
- Hiring Job Details: engineer // technician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
- Hiring Urgency: Hiring Now</t>
        </is>
      </c>
      <c r="AT1704">
        <v>110</v>
      </c>
      <c r="AU1704" t="inlineStr">
        <is>
          <t>1.10</t>
        </is>
      </c>
      <c r="AV1704" t="inlineStr">
        <is>
          <t>15</t>
        </is>
      </c>
      <c r="AW1704" t="inlineStr">
        <is>
          <t>0</t>
        </is>
      </c>
      <c r="AX1704" t="inlineStr">
        <is>
          <t>Not Qualified</t>
        </is>
      </c>
      <c r="AY1704" s="4"/>
      <c r="AZ1704"/>
      <c r="BA1704"/>
      <c r="BB1704"/>
      <c r="BC1704"/>
      <c r="BD1704" s="4"/>
      <c r="BE1704"/>
      <c r="BF1704"/>
      <c r="BG1704" t="inlineStr">
        <is>
          <t>Reschedule</t>
        </is>
      </c>
      <c r="BH1704" t="inlineStr">
        <is>
          <t>Yee Hang</t>
        </is>
      </c>
      <c r="BI1704"/>
      <c r="BJ1704" s="4">
        <v>46144.75541666667</v>
      </c>
      <c r="BK1704" s="4">
        <v>46084.45695601852</v>
      </c>
      <c r="BL1704" t="inlineStr">
        <is>
          <t>0.0</t>
        </is>
      </c>
      <c r="BM1704" t="inlineStr">
        <is>
          <t>3150.0</t>
        </is>
      </c>
      <c r="BN1704"/>
      <c r="BO1704" s="4"/>
      <c r="BP1704">
        <v>167448</v>
      </c>
      <c r="BQ1704"/>
      <c r="BR1704"/>
      <c r="BS1704"/>
      <c r="BT1704"/>
      <c r="BU1704"/>
      <c r="BV1704"/>
      <c r="BW1704"/>
      <c r="BX1704"/>
      <c r="BY1704"/>
      <c r="BZ1704" s="4"/>
      <c r="CA1704"/>
      <c r="CB1704"/>
      <c r="CC1704" s="4"/>
      <c r="CD1704" t="inlineStr">
        <is>
          <t>20</t>
        </is>
      </c>
      <c r="CE1704" t="inlineStr">
        <is>
          <t>0</t>
        </is>
      </c>
      <c r="CF1704" t="inlineStr">
        <is>
          <t>Q2-W02</t>
        </is>
      </c>
      <c r="CG1704"/>
      <c r="CH1704"/>
      <c r="CI1704"/>
      <c r="CJ1704" t="inlineStr">
        <is>
          <t>No Paid</t>
        </is>
      </c>
      <c r="CK1704" t="inlineStr">
        <is>
          <t>Not Eligible</t>
        </is>
      </c>
      <c r="CL1704"/>
      <c r="CM1704"/>
    </row>
    <row r="1705" ht="25.5" customHeight="1">
      <c r="A1705" t="inlineStr">
        <is>
          <t>119449</t>
        </is>
      </c>
      <c r="B1705" s="2"/>
      <c r="C1705"/>
      <c r="D1705" s="3">
        <v>46128.68121527778</v>
      </c>
      <c r="E1705" t="inlineStr">
        <is>
          <t>Q2-W02</t>
        </is>
      </c>
      <c r="F1705" t="inlineStr">
        <is>
          <t>Xin Hui</t>
        </is>
      </c>
      <c r="G1705" t="inlineStr">
        <is>
          <t>Customer</t>
        </is>
      </c>
      <c r="H1705" s="2" t="str">
        <f>=HYPERLINK("https://upbox.ajobthing.my/customer/119449", "https://upbox.ajobthing.my/customer/119449")</f>
        <v>https://upbox.ajobthing.my/customer/119449</v>
      </c>
      <c r="I1705" t="inlineStr">
        <is>
          <t>Nano Food (M) Sdn Bhd</t>
        </is>
      </c>
      <c r="J1705" t="inlineStr">
        <is>
          <t>Dolphin</t>
        </is>
      </c>
      <c r="K1705" t="inlineStr">
        <is>
          <t>Xin Hui</t>
        </is>
      </c>
      <c r="L1705" s="4"/>
      <c r="M1705" s="4">
        <v>46128.68357638889</v>
      </c>
      <c r="N1705"/>
      <c r="O1705">
        <v>3888</v>
      </c>
      <c r="P1705" s="4"/>
      <c r="Q1705" s="4">
        <v>46140.628657407404</v>
      </c>
      <c r="R1705"/>
      <c r="S1705">
        <v>0</v>
      </c>
      <c r="T1705" s="4">
        <v>46134.754479166666</v>
      </c>
      <c r="U1705" s="4"/>
      <c r="V1705"/>
      <c r="W1705">
        <v>3888</v>
      </c>
      <c r="X1705"/>
      <c r="Y1705" t="inlineStr">
        <is>
          <t>Pending Appointment</t>
        </is>
      </c>
      <c r="Z1705" t="inlineStr">
        <is>
          <t>Hiring Now</t>
        </is>
      </c>
      <c r="AA1705">
        <v>2</v>
      </c>
      <c r="AB1705" t="inlineStr">
        <is>
          <t>No Appointment Made</t>
        </is>
      </c>
      <c r="AC1705"/>
      <c r="AD1705" t="inlineStr">
        <is>
          <t xml:space="preserve">marketing (mandarin speaker) // factory worker (all language) </t>
        </is>
      </c>
      <c r="AE1705"/>
      <c r="AF1705"/>
      <c r="AG1705" s="4"/>
      <c r="AH1705" s="4"/>
      <c r="AI1705"/>
      <c r="AJ1705"/>
      <c r="AK1705" t="inlineStr">
        <is>
          <t>No, I don't need at all</t>
        </is>
      </c>
      <c r="AL1705"/>
      <c r="AM1705" t="inlineStr">
        <is>
          <t>No, I don't need at all</t>
        </is>
      </c>
      <c r="AN1705"/>
      <c r="AO1705" t="inlineStr">
        <is>
          <t>No, I don't need at all</t>
        </is>
      </c>
      <c r="AP1705" t="inlineStr">
        <is>
          <t>Once a year (25%)</t>
        </is>
      </c>
      <c r="AQ1705"/>
      <c r="AR1705" t="inlineStr">
        <is>
          <t>Jobstreet</t>
        </is>
      </c>
      <c r="AS1705" t="inlineStr">
        <is>
          <t>- Headcount: 2
- Hiring Job Details: marketing (mandarin speaker) // factory worker (all language)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Jobstreet</t>
        </is>
      </c>
      <c r="AT1705">
        <v>75</v>
      </c>
      <c r="AU1705" t="inlineStr">
        <is>
          <t>0.75</t>
        </is>
      </c>
      <c r="AV1705" t="inlineStr">
        <is>
          <t>5</t>
        </is>
      </c>
      <c r="AW1705" t="inlineStr">
        <is>
          <t>0</t>
        </is>
      </c>
      <c r="AX1705" t="inlineStr">
        <is>
          <t>Not Qualified</t>
        </is>
      </c>
      <c r="AY1705" s="4"/>
      <c r="AZ1705"/>
      <c r="BA1705"/>
      <c r="BB1705"/>
      <c r="BC1705" t="inlineStr">
        <is>
          <t>asking why applicant so less // why candidate search not functions // how to unlock candidate profile</t>
        </is>
      </c>
      <c r="BD1705" s="4">
        <v>46142.49865740741</v>
      </c>
      <c r="BE1705" t="inlineStr">
        <is>
          <t>paid</t>
        </is>
      </c>
      <c r="BF1705" t="inlineStr">
        <is>
          <t>Q2-W03</t>
        </is>
      </c>
      <c r="BG1705" t="inlineStr">
        <is>
          <t>Reschedule</t>
        </is>
      </c>
      <c r="BH1705" t="inlineStr">
        <is>
          <t>Yee Hang</t>
        </is>
      </c>
      <c r="BI1705" t="inlineStr">
        <is>
          <t>Manufacturing / Production</t>
        </is>
      </c>
      <c r="BJ1705" s="4">
        <v>46144.750231481485</v>
      </c>
      <c r="BK1705" s="4">
        <v>43637.52730324074</v>
      </c>
      <c r="BL1705" t="inlineStr">
        <is>
          <t>3888.0</t>
        </is>
      </c>
      <c r="BM1705" t="inlineStr">
        <is>
          <t>0.0</t>
        </is>
      </c>
      <c r="BN1705" t="inlineStr">
        <is>
          <t>View Company Page</t>
        </is>
      </c>
      <c r="BO1705" s="4">
        <v>46142.52868055556</v>
      </c>
      <c r="BP1705">
        <v>167464</v>
      </c>
      <c r="BQ1705">
        <v>123928</v>
      </c>
      <c r="BR1705" t="inlineStr">
        <is>
          <t>Proforma</t>
        </is>
      </c>
      <c r="BS1705" t="inlineStr">
        <is>
          <t>Free Internship Job</t>
        </is>
      </c>
      <c r="BT1705">
        <v>94640</v>
      </c>
      <c r="BU1705"/>
      <c r="BV1705">
        <v>2737281</v>
      </c>
      <c r="BW1705" t="inlineStr">
        <is>
          <t>Service / Technical : Job Outcome Enquiry</t>
        </is>
      </c>
      <c r="BX1705">
        <v>7</v>
      </c>
      <c r="BY1705">
        <v>6</v>
      </c>
      <c r="BZ1705" s="4">
        <v>46136.51123842593</v>
      </c>
      <c r="CA1705">
        <v>73</v>
      </c>
      <c r="CB1705">
        <v>71</v>
      </c>
      <c r="CC1705" s="4">
        <v>46142.530810185184</v>
      </c>
      <c r="CD1705" t="inlineStr">
        <is>
          <t>5</t>
        </is>
      </c>
      <c r="CE1705" t="inlineStr">
        <is>
          <t>0</t>
        </is>
      </c>
      <c r="CF1705" t="inlineStr">
        <is>
          <t>Q2-W02</t>
        </is>
      </c>
      <c r="CG1705" t="inlineStr">
        <is>
          <t>Q2-W04</t>
        </is>
      </c>
      <c r="CH1705" t="inlineStr">
        <is>
          <t>Q2-W03</t>
        </is>
      </c>
      <c r="CI1705"/>
      <c r="CJ1705" t="inlineStr">
        <is>
          <t>Paid</t>
        </is>
      </c>
      <c r="CK1705" t="inlineStr">
        <is>
          <t>Not Eligible</t>
        </is>
      </c>
      <c r="CL1705"/>
      <c r="CM1705"/>
    </row>
    <row r="1706" ht="25.5" customHeight="1">
      <c r="A1706" t="inlineStr">
        <is>
          <t>138286</t>
        </is>
      </c>
      <c r="B1706" s="2"/>
      <c r="C1706"/>
      <c r="D1706" s="3">
        <v>46128.68618055555</v>
      </c>
      <c r="E1706" t="inlineStr">
        <is>
          <t>Q2-W02</t>
        </is>
      </c>
      <c r="F1706" t="inlineStr">
        <is>
          <t>Derek Lim</t>
        </is>
      </c>
      <c r="G1706" t="inlineStr">
        <is>
          <t>Customer</t>
        </is>
      </c>
      <c r="H1706" s="2" t="str">
        <f>=HYPERLINK("https://upbox.ajobthing.my/customer/138286", "https://upbox.ajobthing.my/customer/138286")</f>
        <v>https://upbox.ajobthing.my/customer/138286</v>
      </c>
      <c r="I1706" t="inlineStr">
        <is>
          <t>Technitec Engineering Sdn Bhd</t>
        </is>
      </c>
      <c r="J1706" t="inlineStr">
        <is>
          <t>Dolphin</t>
        </is>
      </c>
      <c r="K1706" t="inlineStr">
        <is>
          <t>Derek Lim</t>
        </is>
      </c>
      <c r="L1706" s="4"/>
      <c r="M1706" s="4">
        <v>46128.68635416667</v>
      </c>
      <c r="N1706"/>
      <c r="O1706">
        <v>3888</v>
      </c>
      <c r="P1706" s="4"/>
      <c r="Q1706" s="4">
        <v>46132.438425925924</v>
      </c>
      <c r="R1706"/>
      <c r="S1706">
        <v>0</v>
      </c>
      <c r="T1706" s="4">
        <v>46129.63704861111</v>
      </c>
      <c r="U1706" s="4"/>
      <c r="V1706"/>
      <c r="W1706">
        <v>3888</v>
      </c>
      <c r="X1706"/>
      <c r="Y1706" t="inlineStr">
        <is>
          <t>Pending Appointment</t>
        </is>
      </c>
      <c r="Z1706" t="inlineStr">
        <is>
          <t>Hiring Now</t>
        </is>
      </c>
      <c r="AA1706">
        <v>4</v>
      </c>
      <c r="AB1706" t="inlineStr">
        <is>
          <t>No Appointment Made</t>
        </is>
      </c>
      <c r="AC1706"/>
      <c r="AD1706" t="inlineStr">
        <is>
          <t>Engineer - 3, Business Development - 1</t>
        </is>
      </c>
      <c r="AE1706"/>
      <c r="AF1706">
        <v>1000</v>
      </c>
      <c r="AG1706" s="4"/>
      <c r="AH1706" s="4"/>
      <c r="AI1706">
        <v>1000</v>
      </c>
      <c r="AJ1706">
        <v>3</v>
      </c>
      <c r="AK1706" t="inlineStr">
        <is>
          <t>No, I don't need at all</t>
        </is>
      </c>
      <c r="AL1706">
        <v>0</v>
      </c>
      <c r="AM1706" t="inlineStr">
        <is>
          <t>No, I don't need at all</t>
        </is>
      </c>
      <c r="AN1706"/>
      <c r="AO1706" t="inlineStr">
        <is>
          <t>No, I don't need at all</t>
        </is>
      </c>
      <c r="AP1706" t="inlineStr">
        <is>
          <t>Once a year (25%)</t>
        </is>
      </c>
      <c r="AQ1706">
        <v>3</v>
      </c>
      <c r="AR1706" t="inlineStr">
        <is>
          <t>Jobstreet</t>
        </is>
      </c>
      <c r="AS1706" t="inlineStr">
        <is>
          <t>- Headcount: 4
- Hiring Job Details: Engineer - 3, Business Development - 1
- Hiring Urgency: Hiring Now
- Number of outlets: 3
- Have recruiter team: No, I don't need at all
- Number of recruiter in company: 0
- Have ATS system: No, I don't need at all
- Have career website: No, I don't need at all
- Current hiring budget: RM1,000
- Whole year budget: RM1,000.00
- Whole year number of vacancies: 3
- Hiring frequency: Once a year (25%)
- External job portal: Jobstreet</t>
        </is>
      </c>
      <c r="AT1706">
        <v>110</v>
      </c>
      <c r="AU1706" t="inlineStr">
        <is>
          <t>1.10</t>
        </is>
      </c>
      <c r="AV1706" t="inlineStr">
        <is>
          <t>15</t>
        </is>
      </c>
      <c r="AW1706" t="inlineStr">
        <is>
          <t>0</t>
        </is>
      </c>
      <c r="AX1706" t="inlineStr">
        <is>
          <t>Not Qualified</t>
        </is>
      </c>
      <c r="AY1706" s="4"/>
      <c r="AZ1706"/>
      <c r="BA1706"/>
      <c r="BB1706"/>
      <c r="BC1706" t="inlineStr">
        <is>
          <t>ASSIST CLIENT ON HOW TO DO JOB POSTING.</t>
        </is>
      </c>
      <c r="BD1706" s="4">
        <v>46132.460011574076</v>
      </c>
      <c r="BE1706" t="inlineStr">
        <is>
          <t>paid</t>
        </is>
      </c>
      <c r="BF1706" t="inlineStr">
        <is>
          <t>Q2-W03</t>
        </is>
      </c>
      <c r="BG1706" t="inlineStr">
        <is>
          <t>Reschedule</t>
        </is>
      </c>
      <c r="BH1706" t="inlineStr">
        <is>
          <t>Edward Hoo</t>
        </is>
      </c>
      <c r="BI1706" t="inlineStr">
        <is>
          <t>Engineering / Technical Consulting</t>
        </is>
      </c>
      <c r="BJ1706" s="4">
        <v>46144.750613425924</v>
      </c>
      <c r="BK1706" s="4">
        <v>44335.68239583333</v>
      </c>
      <c r="BL1706" t="inlineStr">
        <is>
          <t>3888.0</t>
        </is>
      </c>
      <c r="BM1706" t="inlineStr">
        <is>
          <t>0.0</t>
        </is>
      </c>
      <c r="BN1706" t="inlineStr">
        <is>
          <t>PA Visit - Job Card</t>
        </is>
      </c>
      <c r="BO1706" s="4">
        <v>46140.47618055555</v>
      </c>
      <c r="BP1706">
        <v>167468</v>
      </c>
      <c r="BQ1706">
        <v>123213</v>
      </c>
      <c r="BR1706" t="inlineStr">
        <is>
          <t>Proforma</t>
        </is>
      </c>
      <c r="BS1706" t="inlineStr">
        <is>
          <t>Free Part-Time Job</t>
        </is>
      </c>
      <c r="BT1706">
        <v>94090</v>
      </c>
      <c r="BU1706"/>
      <c r="BV1706">
        <v>2715057</v>
      </c>
      <c r="BW1706" t="inlineStr">
        <is>
          <t>Service / Technical : Help To Post Job</t>
        </is>
      </c>
      <c r="BX1706">
        <v>6</v>
      </c>
      <c r="BY1706">
        <v>4</v>
      </c>
      <c r="BZ1706" s="4">
        <v>46132.57846064815</v>
      </c>
      <c r="CA1706">
        <v>73</v>
      </c>
      <c r="CB1706">
        <v>72</v>
      </c>
      <c r="CC1706" s="4">
        <v>46140.47385416667</v>
      </c>
      <c r="CD1706" t="inlineStr">
        <is>
          <t>20</t>
        </is>
      </c>
      <c r="CE1706" t="inlineStr">
        <is>
          <t>0</t>
        </is>
      </c>
      <c r="CF1706" t="inlineStr">
        <is>
          <t>Q2-W02</t>
        </is>
      </c>
      <c r="CG1706" t="inlineStr">
        <is>
          <t>Q2-W03</t>
        </is>
      </c>
      <c r="CH1706" t="inlineStr">
        <is>
          <t>Q2-W03</t>
        </is>
      </c>
      <c r="CI1706"/>
      <c r="CJ1706" t="inlineStr">
        <is>
          <t>Paid</t>
        </is>
      </c>
      <c r="CK1706" t="inlineStr">
        <is>
          <t>Not Eligible</t>
        </is>
      </c>
      <c r="CL1706"/>
      <c r="CM1706"/>
    </row>
    <row r="1707" ht="25.5" customHeight="1">
      <c r="A1707" t="inlineStr">
        <is>
          <t>4290192</t>
        </is>
      </c>
      <c r="B1707" s="2"/>
      <c r="C1707"/>
      <c r="D1707" s="3">
        <v>46128.688738425924</v>
      </c>
      <c r="E1707" t="inlineStr">
        <is>
          <t>Q2-W02</t>
        </is>
      </c>
      <c r="F1707" t="inlineStr">
        <is>
          <t>Jia Hui</t>
        </is>
      </c>
      <c r="G1707" t="inlineStr">
        <is>
          <t>Lead</t>
        </is>
      </c>
      <c r="H1707" s="2" t="str">
        <f>=HYPERLINK("https://upbox.ajobthing.my/leads/4290192", "https://upbox.ajobthing.my/leads/4290192")</f>
        <v>https://upbox.ajobthing.my/leads/4290192</v>
      </c>
      <c r="I1707" t="inlineStr">
        <is>
          <t>FITSON SDN BHD</t>
        </is>
      </c>
      <c r="J1707" t="inlineStr">
        <is>
          <t>Dolphin</t>
        </is>
      </c>
      <c r="K1707" t="inlineStr">
        <is>
          <t>Jia Hui</t>
        </is>
      </c>
      <c r="L1707" s="4"/>
      <c r="M1707" s="4">
        <v>46128.68943287037</v>
      </c>
      <c r="N1707"/>
      <c r="O1707">
        <v>6048</v>
      </c>
      <c r="P1707" s="4"/>
      <c r="Q1707" s="4"/>
      <c r="R1707"/>
      <c r="S1707"/>
      <c r="T1707" s="4"/>
      <c r="U1707" s="4"/>
      <c r="V1707"/>
      <c r="W1707"/>
      <c r="X1707"/>
      <c r="Y1707" t="inlineStr">
        <is>
          <t>Pending Appointment</t>
        </is>
      </c>
      <c r="Z1707" t="inlineStr">
        <is>
          <t>Hiring Now</t>
        </is>
      </c>
      <c r="AA1707">
        <v>1</v>
      </c>
      <c r="AB1707" t="inlineStr">
        <is>
          <t>No Appointment Made</t>
        </is>
      </c>
      <c r="AC1707"/>
      <c r="AD1707" t="inlineStr">
        <is>
          <t>1 delivery driver</t>
        </is>
      </c>
      <c r="AE1707"/>
      <c r="AF1707">
        <v>500</v>
      </c>
      <c r="AG1707" s="4"/>
      <c r="AH1707" s="4"/>
      <c r="AI1707"/>
      <c r="AJ1707"/>
      <c r="AK1707" t="inlineStr">
        <is>
          <t>No, but I want in future</t>
        </is>
      </c>
      <c r="AL1707"/>
      <c r="AM1707"/>
      <c r="AN1707"/>
      <c r="AO1707"/>
      <c r="AP1707" t="inlineStr">
        <is>
          <t>Once a year (25%)</t>
        </is>
      </c>
      <c r="AQ1707"/>
      <c r="AR1707"/>
      <c r="AS1707" t="inlineStr">
        <is>
          <t>- Headcount: 1
- Hiring Job Details: 1 delivery driver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707">
        <v>75</v>
      </c>
      <c r="AU1707" t="inlineStr">
        <is>
          <t>0.75</t>
        </is>
      </c>
      <c r="AV1707" t="inlineStr">
        <is>
          <t>15</t>
        </is>
      </c>
      <c r="AW1707" t="inlineStr">
        <is>
          <t>0</t>
        </is>
      </c>
      <c r="AX1707" t="inlineStr">
        <is>
          <t>Not Qualified</t>
        </is>
      </c>
      <c r="AY1707" s="4"/>
      <c r="AZ1707"/>
      <c r="BA1707"/>
      <c r="BB1707"/>
      <c r="BC1707"/>
      <c r="BD1707" s="4"/>
      <c r="BE1707"/>
      <c r="BF1707"/>
      <c r="BG1707" t="inlineStr">
        <is>
          <t>Reschedule</t>
        </is>
      </c>
      <c r="BH1707" t="inlineStr">
        <is>
          <t>Reagen</t>
        </is>
      </c>
      <c r="BI1707"/>
      <c r="BJ1707" s="4">
        <v>46144.75585648148</v>
      </c>
      <c r="BK1707" s="4">
        <v>46128.647569444445</v>
      </c>
      <c r="BL1707" t="inlineStr">
        <is>
          <t>0.0</t>
        </is>
      </c>
      <c r="BM1707" t="inlineStr">
        <is>
          <t>1800.0</t>
        </is>
      </c>
      <c r="BN1707"/>
      <c r="BO1707" s="4"/>
      <c r="BP1707">
        <v>167473</v>
      </c>
      <c r="BQ1707"/>
      <c r="BR1707"/>
      <c r="BS1707"/>
      <c r="BT1707"/>
      <c r="BU1707"/>
      <c r="BV1707"/>
      <c r="BW1707"/>
      <c r="BX1707"/>
      <c r="BY1707"/>
      <c r="BZ1707" s="4"/>
      <c r="CA1707"/>
      <c r="CB1707"/>
      <c r="CC1707" s="4"/>
      <c r="CD1707" t="inlineStr">
        <is>
          <t>20</t>
        </is>
      </c>
      <c r="CE1707" t="inlineStr">
        <is>
          <t>0</t>
        </is>
      </c>
      <c r="CF1707" t="inlineStr">
        <is>
          <t>Q2-W02</t>
        </is>
      </c>
      <c r="CG1707"/>
      <c r="CH1707"/>
      <c r="CI1707"/>
      <c r="CJ1707" t="inlineStr">
        <is>
          <t>No Paid</t>
        </is>
      </c>
      <c r="CK1707" t="inlineStr">
        <is>
          <t>Not Eligible</t>
        </is>
      </c>
      <c r="CL1707"/>
      <c r="CM1707"/>
    </row>
    <row r="1708" ht="25.5" customHeight="1">
      <c r="A1708" t="inlineStr">
        <is>
          <t>189613</t>
        </is>
      </c>
      <c r="B1708" s="2"/>
      <c r="C1708"/>
      <c r="D1708" s="3">
        <v>46128.69293981481</v>
      </c>
      <c r="E1708" t="inlineStr">
        <is>
          <t>Q2-W02</t>
        </is>
      </c>
      <c r="F1708" t="inlineStr">
        <is>
          <t>Chia Yee</t>
        </is>
      </c>
      <c r="G1708" t="inlineStr">
        <is>
          <t>Customer</t>
        </is>
      </c>
      <c r="H1708" s="2" t="str">
        <f>=HYPERLINK("https://upbox.ajobthing.my/customer/189613", "https://upbox.ajobthing.my/customer/189613")</f>
        <v>https://upbox.ajobthing.my/customer/189613</v>
      </c>
      <c r="I1708" t="inlineStr">
        <is>
          <t>Signature Home Living Sdn Bhd</t>
        </is>
      </c>
      <c r="J1708" t="inlineStr">
        <is>
          <t>Dolphin</t>
        </is>
      </c>
      <c r="K1708" t="inlineStr">
        <is>
          <t>Chia Yee</t>
        </is>
      </c>
      <c r="L1708" s="4"/>
      <c r="M1708" s="4">
        <v>46128.69347222222</v>
      </c>
      <c r="N1708"/>
      <c r="O1708">
        <v>3888</v>
      </c>
      <c r="P1708" s="4"/>
      <c r="Q1708" s="4">
        <v>45758.43975694444</v>
      </c>
      <c r="R1708"/>
      <c r="S1708">
        <v>648</v>
      </c>
      <c r="T1708" s="4">
        <v>45758.43975694444</v>
      </c>
      <c r="U1708" s="4"/>
      <c r="V1708"/>
      <c r="W1708">
        <v>648</v>
      </c>
      <c r="X1708"/>
      <c r="Y1708" t="inlineStr">
        <is>
          <t>Pending Appointment</t>
        </is>
      </c>
      <c r="Z1708" t="inlineStr">
        <is>
          <t>Hiring Now</t>
        </is>
      </c>
      <c r="AA1708">
        <v>1</v>
      </c>
      <c r="AB1708" t="inlineStr">
        <is>
          <t>No Appointment Made</t>
        </is>
      </c>
      <c r="AC1708"/>
      <c r="AD1708" t="inlineStr">
        <is>
          <t xml:space="preserve">1 purchasing assistant </t>
        </is>
      </c>
      <c r="AE1708"/>
      <c r="AF1708">
        <v>0</v>
      </c>
      <c r="AG1708" s="4"/>
      <c r="AH1708" s="4"/>
      <c r="AI1708">
        <v>0</v>
      </c>
      <c r="AJ1708">
        <v>1</v>
      </c>
      <c r="AK1708" t="inlineStr">
        <is>
          <t>No, I don't need at all</t>
        </is>
      </c>
      <c r="AL1708">
        <v>1</v>
      </c>
      <c r="AM1708" t="inlineStr">
        <is>
          <t>No, I don't need at all</t>
        </is>
      </c>
      <c r="AN1708"/>
      <c r="AO1708" t="inlineStr">
        <is>
          <t>Yes, I have</t>
        </is>
      </c>
      <c r="AP1708" t="inlineStr">
        <is>
          <t>Once a year (25%)</t>
        </is>
      </c>
      <c r="AQ1708">
        <v>1</v>
      </c>
      <c r="AR1708" t="inlineStr">
        <is>
          <t>Did not use any job portal</t>
        </is>
      </c>
      <c r="AS1708" t="inlineStr">
        <is>
          <t>- Headcount: 1
- Hiring Job Details: 1 purchasing assistant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1708">
        <v>115</v>
      </c>
      <c r="AU1708" t="inlineStr">
        <is>
          <t>1.15</t>
        </is>
      </c>
      <c r="AV1708" t="inlineStr">
        <is>
          <t>15</t>
        </is>
      </c>
      <c r="AW1708" t="inlineStr">
        <is>
          <t>0</t>
        </is>
      </c>
      <c r="AX1708" t="inlineStr">
        <is>
          <t>Not Qualified</t>
        </is>
      </c>
      <c r="AY1708" s="4"/>
      <c r="AZ1708"/>
      <c r="BA1708"/>
      <c r="BB1708"/>
      <c r="BC1708" t="inlineStr">
        <is>
          <t>Replied: i not posting already, already get the candidate</t>
        </is>
      </c>
      <c r="BD1708" s="4">
        <v>46136.42711805556</v>
      </c>
      <c r="BE1708" t="inlineStr">
        <is>
          <t>paid</t>
        </is>
      </c>
      <c r="BF1708"/>
      <c r="BG1708" t="inlineStr">
        <is>
          <t>Reschedule</t>
        </is>
      </c>
      <c r="BH1708" t="inlineStr">
        <is>
          <t>Reagen</t>
        </is>
      </c>
      <c r="BI1708" t="inlineStr">
        <is>
          <t>Retail / Merchandise</t>
        </is>
      </c>
      <c r="BJ1708" s="4">
        <v>46144.75232638889</v>
      </c>
      <c r="BK1708" s="4">
        <v>45754.61740740741</v>
      </c>
      <c r="BL1708" t="inlineStr">
        <is>
          <t>0.0</t>
        </is>
      </c>
      <c r="BM1708" t="inlineStr">
        <is>
          <t>3000.0</t>
        </is>
      </c>
      <c r="BN1708" t="inlineStr">
        <is>
          <t>View Company Page</t>
        </is>
      </c>
      <c r="BO1708" s="4">
        <v>46128.68943287037</v>
      </c>
      <c r="BP1708">
        <v>167476</v>
      </c>
      <c r="BQ1708">
        <v>78375</v>
      </c>
      <c r="BR1708" t="inlineStr">
        <is>
          <t>Online</t>
        </is>
      </c>
      <c r="BS1708"/>
      <c r="BT1708">
        <v>78375</v>
      </c>
      <c r="BU1708"/>
      <c r="BV1708">
        <v>2725545</v>
      </c>
      <c r="BW1708" t="inlineStr">
        <is>
          <t>Inquire for Hiring Needs : No Hiring</t>
        </is>
      </c>
      <c r="BX1708"/>
      <c r="BY1708"/>
      <c r="BZ1708" s="4"/>
      <c r="CA1708"/>
      <c r="CB1708"/>
      <c r="CC1708" s="4"/>
      <c r="CD1708" t="inlineStr">
        <is>
          <t>20</t>
        </is>
      </c>
      <c r="CE1708" t="inlineStr">
        <is>
          <t>0</t>
        </is>
      </c>
      <c r="CF1708" t="inlineStr">
        <is>
          <t>Q2-W02</t>
        </is>
      </c>
      <c r="CG1708"/>
      <c r="CH1708"/>
      <c r="CI1708"/>
      <c r="CJ1708" t="inlineStr">
        <is>
          <t>Paid</t>
        </is>
      </c>
      <c r="CK1708" t="inlineStr">
        <is>
          <t>Not Eligible</t>
        </is>
      </c>
      <c r="CL1708"/>
      <c r="CM1708"/>
    </row>
    <row r="1709" ht="25.5" customHeight="1">
      <c r="A1709" t="inlineStr">
        <is>
          <t>170121</t>
        </is>
      </c>
      <c r="B1709" s="2"/>
      <c r="C1709"/>
      <c r="D1709" s="3">
        <v>46128.7090625</v>
      </c>
      <c r="E1709" t="inlineStr">
        <is>
          <t>Q2-W02</t>
        </is>
      </c>
      <c r="F1709" t="inlineStr">
        <is>
          <t>Luqman</t>
        </is>
      </c>
      <c r="G1709" t="inlineStr">
        <is>
          <t>Customer</t>
        </is>
      </c>
      <c r="H1709" s="2" t="str">
        <f>=HYPERLINK("https://upbox.ajobthing.my/customer/170121", "https://upbox.ajobthing.my/customer/170121")</f>
        <v>https://upbox.ajobthing.my/customer/170121</v>
      </c>
      <c r="I1709" t="inlineStr">
        <is>
          <t>Arterior Design Studio</t>
        </is>
      </c>
      <c r="J1709" t="inlineStr">
        <is>
          <t>Dolphin</t>
        </is>
      </c>
      <c r="K1709" t="inlineStr">
        <is>
          <t>Luqman</t>
        </is>
      </c>
      <c r="L1709" s="4"/>
      <c r="M1709" s="4">
        <v>46128.70953703704</v>
      </c>
      <c r="N1709"/>
      <c r="O1709">
        <v>1296</v>
      </c>
      <c r="P1709" s="4"/>
      <c r="Q1709" s="4">
        <v>45176.57502314815</v>
      </c>
      <c r="R1709"/>
      <c r="S1709">
        <v>424</v>
      </c>
      <c r="T1709" s="4">
        <v>45176.57502314815</v>
      </c>
      <c r="U1709" s="4"/>
      <c r="V1709"/>
      <c r="W1709">
        <v>424</v>
      </c>
      <c r="X1709"/>
      <c r="Y1709" t="inlineStr">
        <is>
          <t>Pending Appointment</t>
        </is>
      </c>
      <c r="Z1709" t="inlineStr">
        <is>
          <t>Hiring Later</t>
        </is>
      </c>
      <c r="AA1709">
        <v>1</v>
      </c>
      <c r="AB1709" t="inlineStr">
        <is>
          <t>No Appointment Made</t>
        </is>
      </c>
      <c r="AC1709"/>
      <c r="AD1709" t="inlineStr">
        <is>
          <t xml:space="preserve">1. Interior Design </t>
        </is>
      </c>
      <c r="AE1709"/>
      <c r="AF1709">
        <v>800</v>
      </c>
      <c r="AG1709" s="4"/>
      <c r="AH1709" s="4"/>
      <c r="AI1709">
        <v>800</v>
      </c>
      <c r="AJ1709"/>
      <c r="AK1709" t="inlineStr">
        <is>
          <t>No, I don't need at all</t>
        </is>
      </c>
      <c r="AL1709">
        <v>1</v>
      </c>
      <c r="AM1709" t="inlineStr">
        <is>
          <t>No, I don't need at all</t>
        </is>
      </c>
      <c r="AN1709"/>
      <c r="AO1709" t="inlineStr">
        <is>
          <t>No, I don't need at all</t>
        </is>
      </c>
      <c r="AP1709" t="inlineStr">
        <is>
          <t>Once a year (25%)</t>
        </is>
      </c>
      <c r="AQ1709">
        <v>1</v>
      </c>
      <c r="AR1709" t="inlineStr">
        <is>
          <t>Free Job Portal</t>
        </is>
      </c>
      <c r="AS1709" t="inlineStr">
        <is>
          <t>- Headcount: 1
- Hiring Job Details: 1 Interior Design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is>
      </c>
      <c r="AT1709">
        <v>110</v>
      </c>
      <c r="AU1709" t="inlineStr">
        <is>
          <t>1.10</t>
        </is>
      </c>
      <c r="AV1709" t="inlineStr">
        <is>
          <t>15</t>
        </is>
      </c>
      <c r="AW1709" t="inlineStr">
        <is>
          <t>0</t>
        </is>
      </c>
      <c r="AX1709" t="inlineStr">
        <is>
          <t>Not Qualified</t>
        </is>
      </c>
      <c r="AY1709" s="4"/>
      <c r="AZ1709"/>
      <c r="BA1709"/>
      <c r="BB1709"/>
      <c r="BC1709" t="inlineStr">
        <is>
          <t>Utilize Myfuturejob</t>
        </is>
      </c>
      <c r="BD1709" s="4">
        <v>46133.69111111111</v>
      </c>
      <c r="BE1709" t="inlineStr">
        <is>
          <t>paid</t>
        </is>
      </c>
      <c r="BF1709"/>
      <c r="BG1709" t="inlineStr">
        <is>
          <t>Reschedule</t>
        </is>
      </c>
      <c r="BH1709" t="inlineStr">
        <is>
          <t>Edward Hoo</t>
        </is>
      </c>
      <c r="BI1709" t="inlineStr">
        <is>
          <t>Architecture / Interior Design</t>
        </is>
      </c>
      <c r="BJ1709" s="4">
        <v>46144.75140046296</v>
      </c>
      <c r="BK1709" s="4">
        <v>45152.49377314815</v>
      </c>
      <c r="BL1709" t="inlineStr">
        <is>
          <t>0.0</t>
        </is>
      </c>
      <c r="BM1709" t="inlineStr">
        <is>
          <t>600.0</t>
        </is>
      </c>
      <c r="BN1709" t="inlineStr">
        <is>
          <t>View Candidate Search Page</t>
        </is>
      </c>
      <c r="BO1709" s="4">
        <v>46062.47331018518</v>
      </c>
      <c r="BP1709">
        <v>167485</v>
      </c>
      <c r="BQ1709">
        <v>61975</v>
      </c>
      <c r="BR1709" t="inlineStr">
        <is>
          <t>Online</t>
        </is>
      </c>
      <c r="BS1709"/>
      <c r="BT1709">
        <v>61975</v>
      </c>
      <c r="BU1709"/>
      <c r="BV1709">
        <v>2718857</v>
      </c>
      <c r="BW1709" t="inlineStr">
        <is>
          <t>Follow Up : Lost - Free Portal</t>
        </is>
      </c>
      <c r="BX1709"/>
      <c r="BY1709"/>
      <c r="BZ1709" s="4"/>
      <c r="CA1709"/>
      <c r="CB1709"/>
      <c r="CC1709" s="4"/>
      <c r="CD1709" t="inlineStr">
        <is>
          <t>20</t>
        </is>
      </c>
      <c r="CE1709" t="inlineStr">
        <is>
          <t>0</t>
        </is>
      </c>
      <c r="CF1709" t="inlineStr">
        <is>
          <t>Q2-W02</t>
        </is>
      </c>
      <c r="CG1709"/>
      <c r="CH1709"/>
      <c r="CI1709"/>
      <c r="CJ1709" t="inlineStr">
        <is>
          <t>Paid</t>
        </is>
      </c>
      <c r="CK1709" t="inlineStr">
        <is>
          <t>Not Eligible</t>
        </is>
      </c>
      <c r="CL1709"/>
      <c r="CM1709"/>
    </row>
    <row r="1710" ht="25.5" customHeight="1">
      <c r="A1710" t="inlineStr">
        <is>
          <t>203323</t>
        </is>
      </c>
      <c r="B1710" s="2"/>
      <c r="C1710"/>
      <c r="D1710" s="3">
        <v>46128.71685185185</v>
      </c>
      <c r="E1710" t="inlineStr">
        <is>
          <t>Q2-W02</t>
        </is>
      </c>
      <c r="F1710" t="inlineStr">
        <is>
          <t>Alan KY</t>
        </is>
      </c>
      <c r="G1710" t="inlineStr">
        <is>
          <t>Customer</t>
        </is>
      </c>
      <c r="H1710" s="2" t="str">
        <f>=HYPERLINK("https://upbox.ajobthing.my/customer/203323", "https://upbox.ajobthing.my/customer/203323")</f>
        <v>https://upbox.ajobthing.my/customer/203323</v>
      </c>
      <c r="I1710" t="inlineStr">
        <is>
          <t>Vertedge Resources Sdn. Bhd.</t>
        </is>
      </c>
      <c r="J1710" t="inlineStr">
        <is>
          <t>Dolphin</t>
        </is>
      </c>
      <c r="K1710" t="inlineStr">
        <is>
          <t>Alan KY</t>
        </is>
      </c>
      <c r="L1710" s="4"/>
      <c r="M1710" s="4">
        <v>46128.71702546296</v>
      </c>
      <c r="N1710"/>
      <c r="O1710">
        <v>3888</v>
      </c>
      <c r="P1710" s="4"/>
      <c r="Q1710" s="4"/>
      <c r="R1710"/>
      <c r="S1710"/>
      <c r="T1710" s="4"/>
      <c r="U1710" s="4"/>
      <c r="V1710"/>
      <c r="W1710"/>
      <c r="X1710"/>
      <c r="Y1710" t="inlineStr">
        <is>
          <t>Pending Appointment</t>
        </is>
      </c>
      <c r="Z1710" t="inlineStr">
        <is>
          <t>Hiring Now</t>
        </is>
      </c>
      <c r="AA1710">
        <v>2</v>
      </c>
      <c r="AB1710" t="inlineStr">
        <is>
          <t>No Appointment Made</t>
        </is>
      </c>
      <c r="AC1710"/>
      <c r="AD1710" t="inlineStr">
        <is>
          <t xml:space="preserve">1 ops exe, 1 declaration admin in Selangor </t>
        </is>
      </c>
      <c r="AE1710"/>
      <c r="AF1710"/>
      <c r="AG1710" s="4"/>
      <c r="AH1710" s="4"/>
      <c r="AI1710"/>
      <c r="AJ1710"/>
      <c r="AK1710" t="inlineStr">
        <is>
          <t>No, I don't need at all</t>
        </is>
      </c>
      <c r="AL1710"/>
      <c r="AM1710" t="inlineStr">
        <is>
          <t>No, I don't need at all</t>
        </is>
      </c>
      <c r="AN1710"/>
      <c r="AO1710" t="inlineStr">
        <is>
          <t>No, I don't need at all</t>
        </is>
      </c>
      <c r="AP1710" t="inlineStr">
        <is>
          <t>Once per quarter (75%)</t>
        </is>
      </c>
      <c r="AQ1710"/>
      <c r="AR1710" t="inlineStr">
        <is>
          <t>Jobstreet</t>
        </is>
      </c>
      <c r="AS1710" t="inlineStr">
        <is>
          <t>- Headcount: 2
- Hiring Job Details: 1 ops exe, 1 declaration admin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is>
      </c>
      <c r="AT1710">
        <v>95</v>
      </c>
      <c r="AU1710" t="inlineStr">
        <is>
          <t>0.95</t>
        </is>
      </c>
      <c r="AV1710" t="inlineStr">
        <is>
          <t>5</t>
        </is>
      </c>
      <c r="AW1710" t="inlineStr">
        <is>
          <t>0</t>
        </is>
      </c>
      <c r="AX1710" t="inlineStr">
        <is>
          <t>Not Qualified</t>
        </is>
      </c>
      <c r="AY1710" s="4"/>
      <c r="AZ1710"/>
      <c r="BA1710"/>
      <c r="BB1710"/>
      <c r="BC1710" t="inlineStr">
        <is>
          <t>No answer</t>
        </is>
      </c>
      <c r="BD1710" s="4">
        <v>46135.5853587963</v>
      </c>
      <c r="BE1710"/>
      <c r="BF1710"/>
      <c r="BG1710" t="inlineStr">
        <is>
          <t>Reschedule</t>
        </is>
      </c>
      <c r="BH1710" t="inlineStr">
        <is>
          <t>Reagen</t>
        </is>
      </c>
      <c r="BI1710"/>
      <c r="BJ1710" s="4">
        <v>46144.754282407404</v>
      </c>
      <c r="BK1710" s="4">
        <v>46128.6921875</v>
      </c>
      <c r="BL1710" t="inlineStr">
        <is>
          <t>0.0</t>
        </is>
      </c>
      <c r="BM1710" t="inlineStr">
        <is>
          <t>1800.0</t>
        </is>
      </c>
      <c r="BN1710" t="inlineStr">
        <is>
          <t>View Create Job Page V4</t>
        </is>
      </c>
      <c r="BO1710" s="4">
        <v>46128.70043981481</v>
      </c>
      <c r="BP1710">
        <v>167488</v>
      </c>
      <c r="BQ1710"/>
      <c r="BR1710"/>
      <c r="BS1710"/>
      <c r="BT1710"/>
      <c r="BU1710"/>
      <c r="BV1710">
        <v>2723340</v>
      </c>
      <c r="BW1710" t="inlineStr">
        <is>
          <t>No Answer : Voicemail - WA sent to customer</t>
        </is>
      </c>
      <c r="BX1710"/>
      <c r="BY1710"/>
      <c r="BZ1710" s="4"/>
      <c r="CA1710"/>
      <c r="CB1710"/>
      <c r="CC1710" s="4"/>
      <c r="CD1710" t="inlineStr">
        <is>
          <t>5</t>
        </is>
      </c>
      <c r="CE1710" t="inlineStr">
        <is>
          <t>0</t>
        </is>
      </c>
      <c r="CF1710" t="inlineStr">
        <is>
          <t>Q2-W02</t>
        </is>
      </c>
      <c r="CG1710"/>
      <c r="CH1710"/>
      <c r="CI1710"/>
      <c r="CJ1710" t="inlineStr">
        <is>
          <t>No Paid</t>
        </is>
      </c>
      <c r="CK1710" t="inlineStr">
        <is>
          <t>Not Eligible</t>
        </is>
      </c>
      <c r="CL1710"/>
      <c r="CM1710"/>
    </row>
    <row r="1711" ht="25.5" customHeight="1">
      <c r="A1711" t="inlineStr">
        <is>
          <t>4290291</t>
        </is>
      </c>
      <c r="B1711" s="2"/>
      <c r="C1711"/>
      <c r="D1711" s="3">
        <v>46128.71944444445</v>
      </c>
      <c r="E1711" t="inlineStr">
        <is>
          <t>Q2-W02</t>
        </is>
      </c>
      <c r="F1711" t="inlineStr">
        <is>
          <t>Eugene</t>
        </is>
      </c>
      <c r="G1711" t="inlineStr">
        <is>
          <t>Lead</t>
        </is>
      </c>
      <c r="H1711" s="2" t="str">
        <f>=HYPERLINK("https://upbox.ajobthing.my/leads/4290291", "https://upbox.ajobthing.my/leads/4290291")</f>
        <v>https://upbox.ajobthing.my/leads/4290291</v>
      </c>
      <c r="I1711" t="inlineStr">
        <is>
          <t>Golden Air Conditioner Engineering Sdn. Bhd.</t>
        </is>
      </c>
      <c r="J1711" t="inlineStr">
        <is>
          <t>Dolphin</t>
        </is>
      </c>
      <c r="K1711" t="inlineStr">
        <is>
          <t>Eugene</t>
        </is>
      </c>
      <c r="L1711" s="4"/>
      <c r="M1711" s="4">
        <v>46128.717094907406</v>
      </c>
      <c r="N1711"/>
      <c r="O1711">
        <v>3888</v>
      </c>
      <c r="P1711" s="4"/>
      <c r="Q1711" s="4"/>
      <c r="R1711"/>
      <c r="S1711"/>
      <c r="T1711" s="4"/>
      <c r="U1711" s="4"/>
      <c r="V1711"/>
      <c r="W1711"/>
      <c r="X1711"/>
      <c r="Y1711" t="inlineStr">
        <is>
          <t>Pending Appointment</t>
        </is>
      </c>
      <c r="Z1711" t="inlineStr">
        <is>
          <t>Hiring Now</t>
        </is>
      </c>
      <c r="AA1711">
        <v>3</v>
      </c>
      <c r="AB1711" t="inlineStr">
        <is>
          <t>No Appointment Made</t>
        </is>
      </c>
      <c r="AC1711"/>
      <c r="AD1711" t="inlineStr">
        <is>
          <t>2 technician, 1 engineer, based in Sarawak</t>
        </is>
      </c>
      <c r="AE1711"/>
      <c r="AF1711">
        <v>3000</v>
      </c>
      <c r="AG1711" s="4"/>
      <c r="AH1711" s="4"/>
      <c r="AI1711">
        <v>3000</v>
      </c>
      <c r="AJ1711">
        <v>1</v>
      </c>
      <c r="AK1711" t="inlineStr">
        <is>
          <t>No, I don't need at all</t>
        </is>
      </c>
      <c r="AL1711">
        <v>1</v>
      </c>
      <c r="AM1711" t="inlineStr">
        <is>
          <t>No, I don't need at all</t>
        </is>
      </c>
      <c r="AN1711"/>
      <c r="AO1711" t="inlineStr">
        <is>
          <t>No, I don't need at all</t>
        </is>
      </c>
      <c r="AP1711" t="inlineStr">
        <is>
          <t>Once a year (25%)</t>
        </is>
      </c>
      <c r="AQ1711">
        <v>5</v>
      </c>
      <c r="AR1711" t="inlineStr">
        <is>
          <t>Free Job Portal, Jobstreet</t>
        </is>
      </c>
      <c r="AS1711" t="inlineStr">
        <is>
          <t>- Headcount: 3
- Hiring Job Details: 2 technician, 1 engineer, based in Sarawak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5
- Hiring frequency: Once a year (25%)
- External job portal: Free Job Portal,Jobstreet</t>
        </is>
      </c>
      <c r="AT1711">
        <v>110</v>
      </c>
      <c r="AU1711" t="inlineStr">
        <is>
          <t>1.10</t>
        </is>
      </c>
      <c r="AV1711" t="inlineStr">
        <is>
          <t>15</t>
        </is>
      </c>
      <c r="AW1711" t="inlineStr">
        <is>
          <t>0</t>
        </is>
      </c>
      <c r="AX1711" t="inlineStr">
        <is>
          <t>Not Qualified</t>
        </is>
      </c>
      <c r="AY1711" s="4"/>
      <c r="AZ1711"/>
      <c r="BA1711"/>
      <c r="BB1711"/>
      <c r="BC1711"/>
      <c r="BD1711" s="4"/>
      <c r="BE1711"/>
      <c r="BF1711"/>
      <c r="BG1711" t="inlineStr">
        <is>
          <t>Reschedule</t>
        </is>
      </c>
      <c r="BH1711" t="inlineStr">
        <is>
          <t>Edward Hoo</t>
        </is>
      </c>
      <c r="BI1711"/>
      <c r="BJ1711" s="4">
        <v>46144.75585648148</v>
      </c>
      <c r="BK1711" s="4">
        <v>46128.66731481482</v>
      </c>
      <c r="BL1711" t="inlineStr">
        <is>
          <t>0.0</t>
        </is>
      </c>
      <c r="BM1711" t="inlineStr">
        <is>
          <t>2400.0</t>
        </is>
      </c>
      <c r="BN1711"/>
      <c r="BO1711" s="4"/>
      <c r="BP1711">
        <v>167490</v>
      </c>
      <c r="BQ1711"/>
      <c r="BR1711"/>
      <c r="BS1711"/>
      <c r="BT1711"/>
      <c r="BU1711"/>
      <c r="BV1711"/>
      <c r="BW1711"/>
      <c r="BX1711"/>
      <c r="BY1711"/>
      <c r="BZ1711" s="4"/>
      <c r="CA1711"/>
      <c r="CB1711"/>
      <c r="CC1711" s="4"/>
      <c r="CD1711" t="inlineStr">
        <is>
          <t>20</t>
        </is>
      </c>
      <c r="CE1711" t="inlineStr">
        <is>
          <t>0</t>
        </is>
      </c>
      <c r="CF1711" t="inlineStr">
        <is>
          <t>Q2-W02</t>
        </is>
      </c>
      <c r="CG1711"/>
      <c r="CH1711"/>
      <c r="CI1711"/>
      <c r="CJ1711" t="inlineStr">
        <is>
          <t>No Paid</t>
        </is>
      </c>
      <c r="CK1711" t="inlineStr">
        <is>
          <t>Not Eligible</t>
        </is>
      </c>
      <c r="CL1711"/>
      <c r="CM1711"/>
    </row>
    <row r="1712" ht="25.5" customHeight="1">
      <c r="A1712" t="inlineStr">
        <is>
          <t>168934</t>
        </is>
      </c>
      <c r="B1712" s="2"/>
      <c r="C1712"/>
      <c r="D1712" s="3">
        <v>46128.73074074074</v>
      </c>
      <c r="E1712" t="inlineStr">
        <is>
          <t>Q2-W02</t>
        </is>
      </c>
      <c r="F1712" t="inlineStr">
        <is>
          <t>Xin Quan</t>
        </is>
      </c>
      <c r="G1712" t="inlineStr">
        <is>
          <t>Customer</t>
        </is>
      </c>
      <c r="H1712" s="2" t="str">
        <f>=HYPERLINK("https://upbox.ajobthing.my/customer/168934", "https://upbox.ajobthing.my/customer/168934")</f>
        <v>https://upbox.ajobthing.my/customer/168934</v>
      </c>
      <c r="I1712" t="inlineStr">
        <is>
          <t>Interior Hunters Sdn Bhd</t>
        </is>
      </c>
      <c r="J1712" t="inlineStr">
        <is>
          <t>Dolphin</t>
        </is>
      </c>
      <c r="K1712" t="inlineStr">
        <is>
          <t>Xin Quan</t>
        </is>
      </c>
      <c r="L1712" s="4"/>
      <c r="M1712" s="4">
        <v>46128.73123842593</v>
      </c>
      <c r="N1712"/>
      <c r="O1712">
        <v>3888</v>
      </c>
      <c r="P1712" s="4"/>
      <c r="Q1712" s="4">
        <v>45117.6709837963</v>
      </c>
      <c r="R1712"/>
      <c r="S1712">
        <v>2332</v>
      </c>
      <c r="T1712" s="4">
        <v>45117.6709837963</v>
      </c>
      <c r="U1712" s="4"/>
      <c r="V1712"/>
      <c r="W1712">
        <v>2332</v>
      </c>
      <c r="X1712"/>
      <c r="Y1712" t="inlineStr">
        <is>
          <t>Pending Appointment</t>
        </is>
      </c>
      <c r="Z1712" t="inlineStr">
        <is>
          <t>Hiring Now</t>
        </is>
      </c>
      <c r="AA1712">
        <v>2.5</v>
      </c>
      <c r="AB1712" t="inlineStr">
        <is>
          <t>No Appointment Made</t>
        </is>
      </c>
      <c r="AC1712"/>
      <c r="AD1712" t="inlineStr">
        <is>
          <t>2-3 N/A , Base in PJ</t>
        </is>
      </c>
      <c r="AE1712"/>
      <c r="AF1712">
        <v>6000</v>
      </c>
      <c r="AG1712" s="4"/>
      <c r="AH1712" s="4"/>
      <c r="AI1712">
        <v>72000</v>
      </c>
      <c r="AJ1712">
        <v>1</v>
      </c>
      <c r="AK1712" t="inlineStr">
        <is>
          <t>No, I don't need at all</t>
        </is>
      </c>
      <c r="AL1712">
        <v>1</v>
      </c>
      <c r="AM1712" t="inlineStr">
        <is>
          <t>No, I don't need at all</t>
        </is>
      </c>
      <c r="AN1712"/>
      <c r="AO1712" t="inlineStr">
        <is>
          <t>No, I don't need at all</t>
        </is>
      </c>
      <c r="AP1712" t="inlineStr">
        <is>
          <t>Once a year (25%)</t>
        </is>
      </c>
      <c r="AQ1712">
        <v>3</v>
      </c>
      <c r="AR1712"/>
      <c r="AS1712" t="inlineStr">
        <is>
          <t>- Headcount: 2
- Hiring Job Details: 2-3 N/A, Base in PJ
- Hiring Urgency: Hiring Now
- Number of outlets: 1
- Have recruiter team: No, I don't need at all
- Number of recruiter in company: 1
- Have ATS system: No, I don't need at all
- Have career website: No, I don't need at all
- Current hiring budget: RM6,000
- Whole year budget: RM72,000.00
- Whole year number of vacancies: 3
- Hiring frequency: Once a year (25%)
- External job portal: None</t>
        </is>
      </c>
      <c r="AT1712">
        <v>75</v>
      </c>
      <c r="AU1712" t="inlineStr">
        <is>
          <t>0.75</t>
        </is>
      </c>
      <c r="AV1712" t="inlineStr">
        <is>
          <t>15</t>
        </is>
      </c>
      <c r="AW1712" t="inlineStr">
        <is>
          <t>0</t>
        </is>
      </c>
      <c r="AX1712" t="inlineStr">
        <is>
          <t>Not Qualified</t>
        </is>
      </c>
      <c r="AY1712" s="4"/>
      <c r="AZ1712"/>
      <c r="BA1712"/>
      <c r="BB1712"/>
      <c r="BC1712" t="inlineStr">
        <is>
          <t>- Headcount: 2
- Hiring Job Details: 2-3 N/A, Base in PJ
- Hiring Urgency: Hiring Now
- Number of outlets: 1
- Have recruiter team: No, I don't need at all
- Number of recruiter in company: 1
- Have ATS system: No, I don't need at all
- Have career website: No, I don't need at all
- Current hiring budget: RM6,000
- Whole year budget: RM72,000.00
- Whole year number of vacancies: 3
- Hiring frequency: Once a year (25%)
- External job portal: None</t>
        </is>
      </c>
      <c r="BD1712" s="4">
        <v>46128.75005787037</v>
      </c>
      <c r="BE1712" t="inlineStr">
        <is>
          <t>paid</t>
        </is>
      </c>
      <c r="BF1712"/>
      <c r="BG1712" t="inlineStr">
        <is>
          <t>Reschedule</t>
        </is>
      </c>
      <c r="BH1712" t="inlineStr">
        <is>
          <t>Edward Hoo</t>
        </is>
      </c>
      <c r="BI1712" t="inlineStr">
        <is>
          <t>Architecture / Interior Design</t>
        </is>
      </c>
      <c r="BJ1712" s="4">
        <v>46144.75136574074</v>
      </c>
      <c r="BK1712" s="4">
        <v>45113.70866898148</v>
      </c>
      <c r="BL1712" t="inlineStr">
        <is>
          <t>0.0</t>
        </is>
      </c>
      <c r="BM1712" t="inlineStr">
        <is>
          <t>600.0</t>
        </is>
      </c>
      <c r="BN1712" t="inlineStr">
        <is>
          <t>View Company Page</t>
        </is>
      </c>
      <c r="BO1712" s="4">
        <v>45523.510567129626</v>
      </c>
      <c r="BP1712">
        <v>167502</v>
      </c>
      <c r="BQ1712">
        <v>60345</v>
      </c>
      <c r="BR1712" t="inlineStr">
        <is>
          <t>Online</t>
        </is>
      </c>
      <c r="BS1712"/>
      <c r="BT1712">
        <v>60345</v>
      </c>
      <c r="BU1712"/>
      <c r="BV1712">
        <v>2710659</v>
      </c>
      <c r="BW1712" t="inlineStr">
        <is>
          <t>Customer Inquiry</t>
        </is>
      </c>
      <c r="BX1712"/>
      <c r="BY1712"/>
      <c r="BZ1712" s="4"/>
      <c r="CA1712"/>
      <c r="CB1712"/>
      <c r="CC1712" s="4"/>
      <c r="CD1712" t="inlineStr">
        <is>
          <t>20</t>
        </is>
      </c>
      <c r="CE1712" t="inlineStr">
        <is>
          <t>0</t>
        </is>
      </c>
      <c r="CF1712" t="inlineStr">
        <is>
          <t>Q2-W02</t>
        </is>
      </c>
      <c r="CG1712"/>
      <c r="CH1712"/>
      <c r="CI1712"/>
      <c r="CJ1712" t="inlineStr">
        <is>
          <t>Paid</t>
        </is>
      </c>
      <c r="CK1712" t="inlineStr">
        <is>
          <t>Not Eligible</t>
        </is>
      </c>
      <c r="CL1712"/>
      <c r="CM1712"/>
    </row>
    <row r="1713" ht="25.5" customHeight="1">
      <c r="A1713" t="inlineStr">
        <is>
          <t>192641</t>
        </is>
      </c>
      <c r="B1713" s="2"/>
      <c r="C1713"/>
      <c r="D1713" s="3">
        <v>46128.73091435185</v>
      </c>
      <c r="E1713" t="inlineStr">
        <is>
          <t>Q2-W02</t>
        </is>
      </c>
      <c r="F1713" t="inlineStr">
        <is>
          <t>Lucas</t>
        </is>
      </c>
      <c r="G1713" t="inlineStr">
        <is>
          <t>Customer</t>
        </is>
      </c>
      <c r="H1713" s="2" t="str">
        <f>=HYPERLINK("https://upbox.ajobthing.my/customer/192641", "https://upbox.ajobthing.my/customer/192641")</f>
        <v>https://upbox.ajobthing.my/customer/192641</v>
      </c>
      <c r="I1713" t="inlineStr">
        <is>
          <t>IOT Contact Centre Sdn Bhd</t>
        </is>
      </c>
      <c r="J1713" t="inlineStr">
        <is>
          <t>Dolphin</t>
        </is>
      </c>
      <c r="K1713" t="inlineStr">
        <is>
          <t>Lucas</t>
        </is>
      </c>
      <c r="L1713" s="4"/>
      <c r="M1713" s="4">
        <v>46128.72993055556</v>
      </c>
      <c r="N1713"/>
      <c r="O1713">
        <v>3888</v>
      </c>
      <c r="P1713" s="4"/>
      <c r="Q1713" s="4"/>
      <c r="R1713"/>
      <c r="S1713"/>
      <c r="T1713" s="4"/>
      <c r="U1713" s="4"/>
      <c r="V1713"/>
      <c r="W1713"/>
      <c r="X1713"/>
      <c r="Y1713" t="inlineStr">
        <is>
          <t>Pending Appointment</t>
        </is>
      </c>
      <c r="Z1713" t="inlineStr">
        <is>
          <t>Hiring Now</t>
        </is>
      </c>
      <c r="AA1713">
        <v>4</v>
      </c>
      <c r="AB1713" t="inlineStr">
        <is>
          <t>No Appointment Made</t>
        </is>
      </c>
      <c r="AC1713"/>
      <c r="AD1713" t="inlineStr">
        <is>
          <t xml:space="preserve">4 telemarketing </t>
        </is>
      </c>
      <c r="AE1713"/>
      <c r="AF1713">
        <v>0</v>
      </c>
      <c r="AG1713" s="4"/>
      <c r="AH1713" s="4"/>
      <c r="AI1713">
        <v>0</v>
      </c>
      <c r="AJ1713"/>
      <c r="AK1713" t="inlineStr">
        <is>
          <t>No, I don't need at all</t>
        </is>
      </c>
      <c r="AL1713">
        <v>0</v>
      </c>
      <c r="AM1713" t="inlineStr">
        <is>
          <t>No, I don't need at all</t>
        </is>
      </c>
      <c r="AN1713"/>
      <c r="AO1713" t="inlineStr">
        <is>
          <t>No, I don't need at all</t>
        </is>
      </c>
      <c r="AP1713" t="inlineStr">
        <is>
          <t>Once a year (25%)</t>
        </is>
      </c>
      <c r="AQ1713">
        <v>4</v>
      </c>
      <c r="AR1713" t="inlineStr">
        <is>
          <t>Did not use any job portal</t>
        </is>
      </c>
      <c r="AS1713" t="inlineStr">
        <is>
          <t>- Headcount: 4
- Hiring Job Details: 4 telemarketing
- Number of outlets: Not provided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Did not use any job portal
- Hiring Urgency: Hiring Now</t>
        </is>
      </c>
      <c r="AT1713">
        <v>120</v>
      </c>
      <c r="AU1713" t="inlineStr">
        <is>
          <t>1.20</t>
        </is>
      </c>
      <c r="AV1713" t="inlineStr">
        <is>
          <t>15</t>
        </is>
      </c>
      <c r="AW1713" t="inlineStr">
        <is>
          <t>0</t>
        </is>
      </c>
      <c r="AX1713" t="inlineStr">
        <is>
          <t>Not Qualified</t>
        </is>
      </c>
      <c r="AY1713" s="4"/>
      <c r="AZ1713"/>
      <c r="BA1713"/>
      <c r="BB1713"/>
      <c r="BC1713" t="inlineStr">
        <is>
          <t>nr</t>
        </is>
      </c>
      <c r="BD1713" s="4">
        <v>46139.629479166666</v>
      </c>
      <c r="BE1713"/>
      <c r="BF1713"/>
      <c r="BG1713" t="inlineStr">
        <is>
          <t>Reschedule</t>
        </is>
      </c>
      <c r="BH1713" t="inlineStr">
        <is>
          <t>Yee Hang</t>
        </is>
      </c>
      <c r="BI1713"/>
      <c r="BJ1713" s="4">
        <v>46144.75256944444</v>
      </c>
      <c r="BK1713" s="4">
        <v>45824.68571759259</v>
      </c>
      <c r="BL1713" t="inlineStr">
        <is>
          <t>0.0</t>
        </is>
      </c>
      <c r="BM1713" t="inlineStr">
        <is>
          <t>0.0</t>
        </is>
      </c>
      <c r="BN1713" t="inlineStr">
        <is>
          <t>User Visit(Logged In)</t>
        </is>
      </c>
      <c r="BO1713" s="4">
        <v>45824.69636574074</v>
      </c>
      <c r="BP1713">
        <v>167499</v>
      </c>
      <c r="BQ1713"/>
      <c r="BR1713"/>
      <c r="BS1713"/>
      <c r="BT1713"/>
      <c r="BU1713"/>
      <c r="BV1713">
        <v>2730159</v>
      </c>
      <c r="BW1713" t="inlineStr">
        <is>
          <t>No Answer : Voicemail - WA sent to customer</t>
        </is>
      </c>
      <c r="BX1713"/>
      <c r="BY1713"/>
      <c r="BZ1713" s="4"/>
      <c r="CA1713"/>
      <c r="CB1713"/>
      <c r="CC1713" s="4"/>
      <c r="CD1713" t="inlineStr">
        <is>
          <t>20</t>
        </is>
      </c>
      <c r="CE1713" t="inlineStr">
        <is>
          <t>0</t>
        </is>
      </c>
      <c r="CF1713" t="inlineStr">
        <is>
          <t>Q2-W02</t>
        </is>
      </c>
      <c r="CG1713"/>
      <c r="CH1713"/>
      <c r="CI1713"/>
      <c r="CJ1713" t="inlineStr">
        <is>
          <t>No Paid</t>
        </is>
      </c>
      <c r="CK1713" t="inlineStr">
        <is>
          <t>Not Eligible</t>
        </is>
      </c>
      <c r="CL1713"/>
      <c r="CM1713"/>
    </row>
    <row r="1714" ht="25.5" customHeight="1">
      <c r="A1714" t="inlineStr">
        <is>
          <t>203329</t>
        </is>
      </c>
      <c r="B1714" s="2"/>
      <c r="C1714"/>
      <c r="D1714" s="3">
        <v>46128.73600694445</v>
      </c>
      <c r="E1714" t="inlineStr">
        <is>
          <t>Q2-W02</t>
        </is>
      </c>
      <c r="F1714" t="inlineStr">
        <is>
          <t>Clover</t>
        </is>
      </c>
      <c r="G1714" t="inlineStr">
        <is>
          <t>Customer</t>
        </is>
      </c>
      <c r="H1714" s="2" t="str">
        <f>=HYPERLINK("https://upbox.ajobthing.my/customer/203329", "https://upbox.ajobthing.my/customer/203329")</f>
        <v>https://upbox.ajobthing.my/customer/203329</v>
      </c>
      <c r="I1714" t="inlineStr">
        <is>
          <t>AMIRUL YUSOFF RESOURCES</t>
        </is>
      </c>
      <c r="J1714" t="inlineStr">
        <is>
          <t>Dolphin</t>
        </is>
      </c>
      <c r="K1714" t="inlineStr">
        <is>
          <t>Clover</t>
        </is>
      </c>
      <c r="L1714" s="4"/>
      <c r="M1714" s="4">
        <v>46128.73278935185</v>
      </c>
      <c r="N1714"/>
      <c r="O1714">
        <v>6048</v>
      </c>
      <c r="P1714" s="4"/>
      <c r="Q1714" s="4"/>
      <c r="R1714"/>
      <c r="S1714"/>
      <c r="T1714" s="4"/>
      <c r="U1714" s="4"/>
      <c r="V1714"/>
      <c r="W1714"/>
      <c r="X1714"/>
      <c r="Y1714" t="inlineStr">
        <is>
          <t>Pending Appointment</t>
        </is>
      </c>
      <c r="Z1714" t="inlineStr">
        <is>
          <t>Hiring Now</t>
        </is>
      </c>
      <c r="AA1714">
        <v>3</v>
      </c>
      <c r="AB1714" t="inlineStr">
        <is>
          <t>No Appointment Made</t>
        </is>
      </c>
      <c r="AC1714"/>
      <c r="AD1714" t="inlineStr">
        <is>
          <t>Hire interior designer x1, content creator x1, hr assista nt x1, malay speaker, expanding, manufaturer, kota bahru kelantan, previous try JS foreigner, try FB ads,  PIC MS Ely</t>
        </is>
      </c>
      <c r="AE1714"/>
      <c r="AF1714">
        <v>5000</v>
      </c>
      <c r="AG1714" s="4"/>
      <c r="AH1714" s="4"/>
      <c r="AI1714">
        <v>5000</v>
      </c>
      <c r="AJ1714">
        <v>1</v>
      </c>
      <c r="AK1714" t="inlineStr">
        <is>
          <t>No, but I want in future</t>
        </is>
      </c>
      <c r="AL1714">
        <v>1</v>
      </c>
      <c r="AM1714" t="inlineStr">
        <is>
          <t>No, but I want in future</t>
        </is>
      </c>
      <c r="AN1714"/>
      <c r="AO1714" t="inlineStr">
        <is>
          <t>No, but I want in future</t>
        </is>
      </c>
      <c r="AP1714" t="inlineStr">
        <is>
          <t>Once per quarter (75%)</t>
        </is>
      </c>
      <c r="AQ1714">
        <v>3</v>
      </c>
      <c r="AR1714" t="inlineStr">
        <is>
          <t>Did not use any job portal</t>
        </is>
      </c>
      <c r="AS1714" t="inlineStr">
        <is>
          <t>- Headcount: 3
- Hiring Job Details: 1 interior designer, 1 content creator, 1 HR assistant; malay speaker, expanding, manufacturer, kota bahru kelantan, previous try JS foreigner, try FB ads, PIC MS Ely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3
- Hiring frequency: Once per quarter (75%)
- External job portal: Did not use any</t>
        </is>
      </c>
      <c r="AT1714">
        <v>115</v>
      </c>
      <c r="AU1714" t="inlineStr">
        <is>
          <t>1.15</t>
        </is>
      </c>
      <c r="AV1714" t="inlineStr">
        <is>
          <t>15</t>
        </is>
      </c>
      <c r="AW1714" t="inlineStr">
        <is>
          <t>0</t>
        </is>
      </c>
      <c r="AX1714" t="inlineStr">
        <is>
          <t>Not Qualified</t>
        </is>
      </c>
      <c r="AY1714" s="4"/>
      <c r="AZ1714"/>
      <c r="BA1714"/>
      <c r="BB1714"/>
      <c r="BC1714" t="inlineStr">
        <is>
          <t>Discuss with management first</t>
        </is>
      </c>
      <c r="BD1714" s="4">
        <v>46134.65320601852</v>
      </c>
      <c r="BE1714"/>
      <c r="BF1714"/>
      <c r="BG1714" t="inlineStr">
        <is>
          <t>Reschedule</t>
        </is>
      </c>
      <c r="BH1714" t="inlineStr">
        <is>
          <t>Reagen</t>
        </is>
      </c>
      <c r="BI1714"/>
      <c r="BJ1714" s="4">
        <v>46144.754282407404</v>
      </c>
      <c r="BK1714" s="4">
        <v>46128.72971064815</v>
      </c>
      <c r="BL1714" t="inlineStr">
        <is>
          <t>0.0</t>
        </is>
      </c>
      <c r="BM1714" t="inlineStr">
        <is>
          <t>1800.0</t>
        </is>
      </c>
      <c r="BN1714"/>
      <c r="BO1714" s="4"/>
      <c r="BP1714">
        <v>167504</v>
      </c>
      <c r="BQ1714"/>
      <c r="BR1714"/>
      <c r="BS1714"/>
      <c r="BT1714"/>
      <c r="BU1714"/>
      <c r="BV1714">
        <v>2721204</v>
      </c>
      <c r="BW1714" t="inlineStr">
        <is>
          <t>Follow Up : Decision Pending</t>
        </is>
      </c>
      <c r="BX1714"/>
      <c r="BY1714"/>
      <c r="BZ1714" s="4"/>
      <c r="CA1714"/>
      <c r="CB1714"/>
      <c r="CC1714" s="4"/>
      <c r="CD1714" t="inlineStr">
        <is>
          <t>20</t>
        </is>
      </c>
      <c r="CE1714" t="inlineStr">
        <is>
          <t>0</t>
        </is>
      </c>
      <c r="CF1714" t="inlineStr">
        <is>
          <t>Q2-W02</t>
        </is>
      </c>
      <c r="CG1714"/>
      <c r="CH1714"/>
      <c r="CI1714"/>
      <c r="CJ1714" t="inlineStr">
        <is>
          <t>No Paid</t>
        </is>
      </c>
      <c r="CK1714" t="inlineStr">
        <is>
          <t>Not Eligible</t>
        </is>
      </c>
      <c r="CL1714"/>
      <c r="CM1714"/>
    </row>
    <row r="1715" ht="25.5" customHeight="1">
      <c r="A1715" t="inlineStr">
        <is>
          <t>146200</t>
        </is>
      </c>
      <c r="B1715" s="2"/>
      <c r="C1715"/>
      <c r="D1715" s="3">
        <v>46128.74039351852</v>
      </c>
      <c r="E1715" t="inlineStr">
        <is>
          <t>Q2-W02</t>
        </is>
      </c>
      <c r="F1715" t="inlineStr">
        <is>
          <t>Xin Hui</t>
        </is>
      </c>
      <c r="G1715" t="inlineStr">
        <is>
          <t>Customer</t>
        </is>
      </c>
      <c r="H1715" s="2" t="str">
        <f>=HYPERLINK("https://upbox.ajobthing.my/customer/146200", "https://upbox.ajobthing.my/customer/146200")</f>
        <v>https://upbox.ajobthing.my/customer/146200</v>
      </c>
      <c r="I1715" t="inlineStr">
        <is>
          <t>Richard Ho &amp; Associates</t>
        </is>
      </c>
      <c r="J1715" t="inlineStr">
        <is>
          <t>Dolphin</t>
        </is>
      </c>
      <c r="K1715" t="inlineStr">
        <is>
          <t>Xin Hui</t>
        </is>
      </c>
      <c r="L1715" s="4"/>
      <c r="M1715" s="4">
        <v>46128.7341087963</v>
      </c>
      <c r="N1715"/>
      <c r="O1715">
        <v>1296</v>
      </c>
      <c r="P1715" s="4"/>
      <c r="Q1715" s="4">
        <v>46140.57292824074</v>
      </c>
      <c r="R1715"/>
      <c r="S1715">
        <v>0</v>
      </c>
      <c r="T1715" s="4">
        <v>46139.42549768519</v>
      </c>
      <c r="U1715" s="4"/>
      <c r="V1715"/>
      <c r="W1715">
        <v>1296</v>
      </c>
      <c r="X1715"/>
      <c r="Y1715" t="inlineStr">
        <is>
          <t>Pending Appointment</t>
        </is>
      </c>
      <c r="Z1715" t="inlineStr">
        <is>
          <t>Hiring Now</t>
        </is>
      </c>
      <c r="AA1715">
        <v>2</v>
      </c>
      <c r="AB1715" t="inlineStr">
        <is>
          <t>No Appointment Made</t>
        </is>
      </c>
      <c r="AC1715"/>
      <c r="AD1715" t="inlineStr">
        <is>
          <t>audit and tax associates</t>
        </is>
      </c>
      <c r="AE1715"/>
      <c r="AF1715"/>
      <c r="AG1715" s="4"/>
      <c r="AH1715" s="4"/>
      <c r="AI1715"/>
      <c r="AJ1715"/>
      <c r="AK1715" t="inlineStr">
        <is>
          <t>No, I don't need at all</t>
        </is>
      </c>
      <c r="AL1715"/>
      <c r="AM1715" t="inlineStr">
        <is>
          <t>No, I don't need at all</t>
        </is>
      </c>
      <c r="AN1715"/>
      <c r="AO1715" t="inlineStr">
        <is>
          <t>No, I don't need at all</t>
        </is>
      </c>
      <c r="AP1715" t="inlineStr">
        <is>
          <t>Every month (100%)</t>
        </is>
      </c>
      <c r="AQ1715"/>
      <c r="AR1715" t="inlineStr">
        <is>
          <t>Jobstreet</t>
        </is>
      </c>
      <c r="AS1715" t="inlineStr">
        <is>
          <t>- Headcount: 2
- Hiring Job Details: audit and tax associates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Every month (100%)
- External job portal: Jobstreet</t>
        </is>
      </c>
      <c r="AT1715">
        <v>85</v>
      </c>
      <c r="AU1715" t="inlineStr">
        <is>
          <t>0.85</t>
        </is>
      </c>
      <c r="AV1715" t="inlineStr">
        <is>
          <t>5</t>
        </is>
      </c>
      <c r="AW1715" t="inlineStr">
        <is>
          <t>0</t>
        </is>
      </c>
      <c r="AX1715" t="inlineStr">
        <is>
          <t>Not Qualified</t>
        </is>
      </c>
      <c r="AY1715" s="4"/>
      <c r="AZ1715"/>
      <c r="BA1715"/>
      <c r="BB1715"/>
      <c r="BC1715" t="inlineStr">
        <is>
          <t>asking how to login / how to view applicant</t>
        </is>
      </c>
      <c r="BD1715" s="4">
        <v>46140.5771875</v>
      </c>
      <c r="BE1715" t="inlineStr">
        <is>
          <t>paid</t>
        </is>
      </c>
      <c r="BF1715" t="inlineStr">
        <is>
          <t>Q2-W04</t>
        </is>
      </c>
      <c r="BG1715" t="inlineStr">
        <is>
          <t>Reschedule</t>
        </is>
      </c>
      <c r="BH1715" t="inlineStr">
        <is>
          <t>Yee Hang</t>
        </is>
      </c>
      <c r="BI1715" t="inlineStr">
        <is>
          <t>Accounting / Tax Services</t>
        </is>
      </c>
      <c r="BJ1715" s="4">
        <v>46144.75077546296</v>
      </c>
      <c r="BK1715" s="4">
        <v>44559.50502314815</v>
      </c>
      <c r="BL1715" t="inlineStr">
        <is>
          <t>1296.0</t>
        </is>
      </c>
      <c r="BM1715" t="inlineStr">
        <is>
          <t>0.0</t>
        </is>
      </c>
      <c r="BN1715" t="inlineStr">
        <is>
          <t>View Company Page</t>
        </is>
      </c>
      <c r="BO1715" s="4">
        <v>46140.76565972222</v>
      </c>
      <c r="BP1715">
        <v>167505</v>
      </c>
      <c r="BQ1715">
        <v>123904</v>
      </c>
      <c r="BR1715" t="inlineStr">
        <is>
          <t>Proforma</t>
        </is>
      </c>
      <c r="BS1715" t="inlineStr">
        <is>
          <t>Free Part-Time Job</t>
        </is>
      </c>
      <c r="BT1715">
        <v>94780</v>
      </c>
      <c r="BU1715"/>
      <c r="BV1715">
        <v>2732631</v>
      </c>
      <c r="BW1715" t="inlineStr">
        <is>
          <t>Service / Technical : Job Outcome Enquiry</t>
        </is>
      </c>
      <c r="BX1715">
        <v>3</v>
      </c>
      <c r="BY1715">
        <v>2</v>
      </c>
      <c r="BZ1715" s="4">
        <v>46140.50846064815</v>
      </c>
      <c r="CA1715">
        <v>10</v>
      </c>
      <c r="CB1715">
        <v>10</v>
      </c>
      <c r="CC1715" s="4"/>
      <c r="CD1715" t="inlineStr">
        <is>
          <t>5</t>
        </is>
      </c>
      <c r="CE1715" t="inlineStr">
        <is>
          <t>0</t>
        </is>
      </c>
      <c r="CF1715" t="inlineStr">
        <is>
          <t>Q2-W02</t>
        </is>
      </c>
      <c r="CG1715" t="inlineStr">
        <is>
          <t>Q2-W04</t>
        </is>
      </c>
      <c r="CH1715" t="inlineStr">
        <is>
          <t>Q2-W04</t>
        </is>
      </c>
      <c r="CI1715"/>
      <c r="CJ1715" t="inlineStr">
        <is>
          <t>Paid</t>
        </is>
      </c>
      <c r="CK1715" t="inlineStr">
        <is>
          <t>Not Eligible</t>
        </is>
      </c>
      <c r="CL1715"/>
      <c r="CM1715"/>
    </row>
    <row r="1716" ht="25.5" customHeight="1">
      <c r="A1716" t="inlineStr">
        <is>
          <t>203324</t>
        </is>
      </c>
      <c r="B1716" s="2"/>
      <c r="C1716"/>
      <c r="D1716" s="3">
        <v>46128.744050925925</v>
      </c>
      <c r="E1716" t="inlineStr">
        <is>
          <t>Q2-W02</t>
        </is>
      </c>
      <c r="F1716" t="inlineStr">
        <is>
          <t>Alan KY</t>
        </is>
      </c>
      <c r="G1716" t="inlineStr">
        <is>
          <t>Customer</t>
        </is>
      </c>
      <c r="H1716" s="2" t="str">
        <f>=HYPERLINK("https://upbox.ajobthing.my/customer/203324", "https://upbox.ajobthing.my/customer/203324")</f>
        <v>https://upbox.ajobthing.my/customer/203324</v>
      </c>
      <c r="I1716" t="inlineStr">
        <is>
          <t>SJRMS Solution Sdn Bhd</t>
        </is>
      </c>
      <c r="J1716" t="inlineStr">
        <is>
          <t>Dolphin</t>
        </is>
      </c>
      <c r="K1716" t="inlineStr">
        <is>
          <t>Alan KY</t>
        </is>
      </c>
      <c r="L1716" s="4"/>
      <c r="M1716" s="4">
        <v>46128.35952546296</v>
      </c>
      <c r="N1716"/>
      <c r="O1716"/>
      <c r="P1716" s="4"/>
      <c r="Q1716" s="4">
        <v>46128.87474537037</v>
      </c>
      <c r="R1716"/>
      <c r="S1716">
        <v>2592</v>
      </c>
      <c r="T1716" s="4">
        <v>46128.87474537037</v>
      </c>
      <c r="U1716" s="4"/>
      <c r="V1716"/>
      <c r="W1716">
        <v>2592</v>
      </c>
      <c r="X1716"/>
      <c r="Y1716" t="inlineStr">
        <is>
          <t>Pending Appointment</t>
        </is>
      </c>
      <c r="Z1716" t="inlineStr">
        <is>
          <t>Hiring Now</t>
        </is>
      </c>
      <c r="AA1716">
        <v>2</v>
      </c>
      <c r="AB1716" t="inlineStr">
        <is>
          <t>No Appointment Made</t>
        </is>
      </c>
      <c r="AC1716"/>
      <c r="AD1716" t="inlineStr">
        <is>
          <t xml:space="preserve">operation assistant 1 
account executive 1 
based in Klang  </t>
        </is>
      </c>
      <c r="AE1716"/>
      <c r="AF1716"/>
      <c r="AG1716" s="4"/>
      <c r="AH1716" s="4"/>
      <c r="AI1716"/>
      <c r="AJ1716"/>
      <c r="AK1716" t="inlineStr">
        <is>
          <t>No, I don't need at all</t>
        </is>
      </c>
      <c r="AL1716"/>
      <c r="AM1716" t="inlineStr">
        <is>
          <t>No, I don't need at all</t>
        </is>
      </c>
      <c r="AN1716"/>
      <c r="AO1716" t="inlineStr">
        <is>
          <t>No, I don't need at all</t>
        </is>
      </c>
      <c r="AP1716" t="inlineStr">
        <is>
          <t>Once per quarter (75%)</t>
        </is>
      </c>
      <c r="AQ1716"/>
      <c r="AR1716" t="inlineStr">
        <is>
          <t>Jobstreet</t>
        </is>
      </c>
      <c r="AS1716" t="inlineStr">
        <is>
          <t>- Headcount: 2
- Hiring Job Details: 1 operation assistant, 1 account executive, based in Klang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716">
        <v>95</v>
      </c>
      <c r="AU1716" t="inlineStr">
        <is>
          <t>0.95</t>
        </is>
      </c>
      <c r="AV1716" t="inlineStr">
        <is>
          <t>5</t>
        </is>
      </c>
      <c r="AW1716" t="inlineStr">
        <is>
          <t>0</t>
        </is>
      </c>
      <c r="AX1716" t="inlineStr">
        <is>
          <t>Not Qualified</t>
        </is>
      </c>
      <c r="AY1716" s="4"/>
      <c r="AZ1716"/>
      <c r="BA1716"/>
      <c r="BB1716"/>
      <c r="BC1716" t="inlineStr">
        <is>
          <t>Customer paid, assist on account verify</t>
        </is>
      </c>
      <c r="BD1716" s="4">
        <v>46129.413460648146</v>
      </c>
      <c r="BE1716" t="inlineStr">
        <is>
          <t>paid</t>
        </is>
      </c>
      <c r="BF1716" t="inlineStr">
        <is>
          <t>Q2-W02</t>
        </is>
      </c>
      <c r="BG1716" t="inlineStr">
        <is>
          <t>Reschedule</t>
        </is>
      </c>
      <c r="BH1716" t="inlineStr">
        <is>
          <t>Reagen</t>
        </is>
      </c>
      <c r="BI1716"/>
      <c r="BJ1716" s="4">
        <v>46144.754282407404</v>
      </c>
      <c r="BK1716" s="4">
        <v>46128.69284722222</v>
      </c>
      <c r="BL1716" t="inlineStr">
        <is>
          <t>2592.0</t>
        </is>
      </c>
      <c r="BM1716" t="inlineStr">
        <is>
          <t>0.0</t>
        </is>
      </c>
      <c r="BN1716" t="inlineStr">
        <is>
          <t>View Company Page</t>
        </is>
      </c>
      <c r="BO1716" s="4">
        <v>46144.388194444444</v>
      </c>
      <c r="BP1716">
        <v>167474</v>
      </c>
      <c r="BQ1716">
        <v>7645</v>
      </c>
      <c r="BR1716" t="inlineStr">
        <is>
          <t>Manual (Paid)</t>
        </is>
      </c>
      <c r="BS1716" t="inlineStr">
        <is>
          <t>AI Ala Carte x 2 
- A la carte for 2 AI Job Ad
- 2 AI Job Ad will be published on Maukerja, Ricebowl and our partner platforms
- 2 AI Job Ad will be published for 45 days
- 2 Booster Plus (10 times bump up)
- 1 Premium Job Ad
- 20 Free Candidates Profiles Unlock
- 3 Free Job Ad for any type of Intern / High Pay / Part-time / Volunteer / Freelance / Singapore Job
- Package valid for 3 months
- AI Capability
- AI Instant Match for 30 profiles
- AI Daily Talent Recommendation for 2 profiles daily for 45 days
- AI "Open to Work" Detector for 2 profiles for 10 days
- AI Smart Filter
- AI Post Job Assistant
- Ajobthing CARE</t>
        </is>
      </c>
      <c r="BT1716">
        <v>7645</v>
      </c>
      <c r="BU1716"/>
      <c r="BV1716">
        <v>2710992</v>
      </c>
      <c r="BW1716" t="inlineStr">
        <is>
          <t>Follow Up : Win - Customer Paid</t>
        </is>
      </c>
      <c r="BX1716">
        <v>2</v>
      </c>
      <c r="BY1716">
        <v>0</v>
      </c>
      <c r="BZ1716" s="4">
        <v>46132.97619212963</v>
      </c>
      <c r="CA1716">
        <v>33</v>
      </c>
      <c r="CB1716">
        <v>18</v>
      </c>
      <c r="CC1716" s="4">
        <v>46142.76296296297</v>
      </c>
      <c r="CD1716" t="inlineStr">
        <is>
          <t>5</t>
        </is>
      </c>
      <c r="CE1716" t="inlineStr">
        <is>
          <t>0</t>
        </is>
      </c>
      <c r="CF1716" t="inlineStr">
        <is>
          <t>Q2-W02</t>
        </is>
      </c>
      <c r="CG1716" t="inlineStr">
        <is>
          <t>Q2-W02</t>
        </is>
      </c>
      <c r="CH1716" t="inlineStr">
        <is>
          <t>Q2-W02</t>
        </is>
      </c>
      <c r="CI1716"/>
      <c r="CJ1716" t="inlineStr">
        <is>
          <t>Paid</t>
        </is>
      </c>
      <c r="CK1716" t="inlineStr">
        <is>
          <t>Not Eligible</t>
        </is>
      </c>
      <c r="CL1716"/>
      <c r="CM1716"/>
    </row>
    <row r="1717" ht="25.5" customHeight="1">
      <c r="A1717" t="inlineStr">
        <is>
          <t>30370</t>
        </is>
      </c>
      <c r="B1717" s="2"/>
      <c r="C1717"/>
      <c r="D1717" s="3">
        <v>46128.747569444444</v>
      </c>
      <c r="E1717" t="inlineStr">
        <is>
          <t>Q2-W02</t>
        </is>
      </c>
      <c r="F1717" t="inlineStr">
        <is>
          <t>Guest User 68049</t>
        </is>
      </c>
      <c r="G1717" t="inlineStr">
        <is>
          <t>Customer</t>
        </is>
      </c>
      <c r="H1717" s="2" t="str">
        <f>=HYPERLINK("https://upbox.ajobthing.my/customer/30370", "https://upbox.ajobthing.my/customer/30370")</f>
        <v>https://upbox.ajobthing.my/customer/30370</v>
      </c>
      <c r="I1717" t="inlineStr">
        <is>
          <t>Uni-Vessel Engineering (Bworth) Sdn. Bhd.</t>
        </is>
      </c>
      <c r="J1717" t="inlineStr">
        <is>
          <t>Dolphin</t>
        </is>
      </c>
      <c r="K1717" t="inlineStr">
        <is>
          <t>Dandy</t>
        </is>
      </c>
      <c r="L1717" s="4"/>
      <c r="M1717" s="4">
        <v>46128.748194444444</v>
      </c>
      <c r="N1717"/>
      <c r="O1717">
        <v>3888</v>
      </c>
      <c r="P1717" s="4"/>
      <c r="Q1717" s="4">
        <v>46129.48886574074</v>
      </c>
      <c r="R1717"/>
      <c r="S1717">
        <v>864</v>
      </c>
      <c r="T1717" s="4">
        <v>46129.48886574074</v>
      </c>
      <c r="U1717" s="4"/>
      <c r="V1717"/>
      <c r="W1717">
        <v>864</v>
      </c>
      <c r="X1717"/>
      <c r="Y1717" t="inlineStr">
        <is>
          <t>Pending Appointment</t>
        </is>
      </c>
      <c r="Z1717" t="inlineStr">
        <is>
          <t>Hiring Now</t>
        </is>
      </c>
      <c r="AA1717">
        <v>1</v>
      </c>
      <c r="AB1717" t="inlineStr">
        <is>
          <t>No Appointment Made</t>
        </is>
      </c>
      <c r="AC1717"/>
      <c r="AD1717" t="inlineStr">
        <is>
          <t>1 accounting</t>
        </is>
      </c>
      <c r="AE1717"/>
      <c r="AF1717">
        <v>5000</v>
      </c>
      <c r="AG1717" s="4"/>
      <c r="AH1717" s="4"/>
      <c r="AI1717">
        <v>500</v>
      </c>
      <c r="AJ1717"/>
      <c r="AK1717" t="inlineStr">
        <is>
          <t>No, I don't need at all</t>
        </is>
      </c>
      <c r="AL1717">
        <v>0</v>
      </c>
      <c r="AM1717" t="inlineStr">
        <is>
          <t>No, I don't need at all</t>
        </is>
      </c>
      <c r="AN1717"/>
      <c r="AO1717" t="inlineStr">
        <is>
          <t>No, I don't need at all</t>
        </is>
      </c>
      <c r="AP1717" t="inlineStr">
        <is>
          <t>Twice a year (50%)</t>
        </is>
      </c>
      <c r="AQ1717">
        <v>3</v>
      </c>
      <c r="AR1717" t="inlineStr">
        <is>
          <t>Jobstreet, Linkedin (Paid)</t>
        </is>
      </c>
      <c r="AS1717" t="inlineStr">
        <is>
          <t>- Headcount: 1
- Hiring Job Details: 1 accounting
- Hiring Urgency: Hiring Now
- Number of outlets: 
- Have recruiter team: No, I don't need at all
- Number of recruiter in company: 0
- Have ATS system: No, I don't need at all
- Have career website: No, I don't need at all
- Current hiring budget: RM5,000
- Whole year budget: RM500.00
- Whole year number of vacancies: 3
- Hiring frequency: Twice a year (50%)
- External job portal: Jobstreet,Linkedin (Paid)</t>
        </is>
      </c>
      <c r="AT1717">
        <v>105</v>
      </c>
      <c r="AU1717" t="inlineStr">
        <is>
          <t>1.05</t>
        </is>
      </c>
      <c r="AV1717" t="inlineStr">
        <is>
          <t>15</t>
        </is>
      </c>
      <c r="AW1717" t="inlineStr">
        <is>
          <t>0</t>
        </is>
      </c>
      <c r="AX1717" t="inlineStr">
        <is>
          <t>Not Qualified</t>
        </is>
      </c>
      <c r="AY1717" s="4"/>
      <c r="AZ1717"/>
      <c r="BA1717"/>
      <c r="BB1717"/>
      <c r="BC1717" t="inlineStr">
        <is>
          <t>follow up on quotation and they are hiring for cashier also. working location in Penang</t>
        </is>
      </c>
      <c r="BD1717" s="4">
        <v>46129.38125</v>
      </c>
      <c r="BE1717" t="inlineStr">
        <is>
          <t>paid</t>
        </is>
      </c>
      <c r="BF1717" t="inlineStr">
        <is>
          <t>Q2-W03</t>
        </is>
      </c>
      <c r="BG1717" t="inlineStr">
        <is>
          <t>Reschedule</t>
        </is>
      </c>
      <c r="BH1717"/>
      <c r="BI1717" t="inlineStr">
        <is>
          <t>Manufacturing / Production</t>
        </is>
      </c>
      <c r="BJ1717" s="4">
        <v>46144.75454861111</v>
      </c>
      <c r="BK1717" s="4">
        <v>42668.42244212963</v>
      </c>
      <c r="BL1717" t="inlineStr">
        <is>
          <t>864.0</t>
        </is>
      </c>
      <c r="BM1717" t="inlineStr">
        <is>
          <t>2400.0</t>
        </is>
      </c>
      <c r="BN1717" t="inlineStr">
        <is>
          <t>User Visit(Logged In)</t>
        </is>
      </c>
      <c r="BO1717" s="4">
        <v>46140.43497685185</v>
      </c>
      <c r="BP1717">
        <v>167510</v>
      </c>
      <c r="BQ1717">
        <v>94035</v>
      </c>
      <c r="BR1717" t="inlineStr">
        <is>
          <t>Online</t>
        </is>
      </c>
      <c r="BS1717"/>
      <c r="BT1717">
        <v>94035</v>
      </c>
      <c r="BU1717"/>
      <c r="BV1717">
        <v>2710822</v>
      </c>
      <c r="BW1717" t="inlineStr">
        <is>
          <t>Follow Up : Decision Pending</t>
        </is>
      </c>
      <c r="BX1717">
        <v>1</v>
      </c>
      <c r="BY1717">
        <v>0</v>
      </c>
      <c r="BZ1717" s="4">
        <v>46129.48887731481</v>
      </c>
      <c r="CA1717">
        <v>23</v>
      </c>
      <c r="CB1717">
        <v>17</v>
      </c>
      <c r="CC1717" s="4">
        <v>46139.33629629629</v>
      </c>
      <c r="CD1717" t="inlineStr">
        <is>
          <t>20</t>
        </is>
      </c>
      <c r="CE1717" t="inlineStr">
        <is>
          <t>0</t>
        </is>
      </c>
      <c r="CF1717" t="inlineStr">
        <is>
          <t>Q2-W02</t>
        </is>
      </c>
      <c r="CG1717" t="inlineStr">
        <is>
          <t>Q2-W03</t>
        </is>
      </c>
      <c r="CH1717" t="inlineStr">
        <is>
          <t>Q2-W03</t>
        </is>
      </c>
      <c r="CI1717"/>
      <c r="CJ1717" t="inlineStr">
        <is>
          <t>Paid</t>
        </is>
      </c>
      <c r="CK1717" t="inlineStr">
        <is>
          <t>Not Eligible</t>
        </is>
      </c>
      <c r="CL1717"/>
      <c r="CM1717"/>
    </row>
    <row r="1718" ht="25.5" customHeight="1">
      <c r="A1718" t="inlineStr">
        <is>
          <t>123279</t>
        </is>
      </c>
      <c r="B1718" s="2"/>
      <c r="C1718"/>
      <c r="D1718" s="3">
        <v>46122.40770833333</v>
      </c>
      <c r="E1718" t="inlineStr">
        <is>
          <t>Q2-W02</t>
        </is>
      </c>
      <c r="F1718" t="inlineStr">
        <is>
          <t>Luqman</t>
        </is>
      </c>
      <c r="G1718" t="inlineStr">
        <is>
          <t>Customer</t>
        </is>
      </c>
      <c r="H1718" s="2" t="str">
        <f>=HYPERLINK("https://upbox.ajobthing.my/customer/123279", "https://upbox.ajobthing.my/customer/123279")</f>
        <v>https://upbox.ajobthing.my/customer/123279</v>
      </c>
      <c r="I1718" t="inlineStr">
        <is>
          <t xml:space="preserve">Iconz Design Consultancy </t>
        </is>
      </c>
      <c r="J1718" t="inlineStr">
        <is>
          <t>Small Fish</t>
        </is>
      </c>
      <c r="K1718" t="inlineStr">
        <is>
          <t>Luqman</t>
        </is>
      </c>
      <c r="L1718" s="4"/>
      <c r="M1718" s="4">
        <v>46122.41400462963</v>
      </c>
      <c r="N1718"/>
      <c r="O1718">
        <v>3576.96</v>
      </c>
      <c r="P1718" s="4"/>
      <c r="Q1718" s="4">
        <v>46066.90938657407</v>
      </c>
      <c r="R1718"/>
      <c r="S1718">
        <v>0</v>
      </c>
      <c r="T1718" s="4"/>
      <c r="U1718" s="4"/>
      <c r="V1718"/>
      <c r="W1718"/>
      <c r="X1718"/>
      <c r="Y1718" t="inlineStr">
        <is>
          <t>Pending Appointment</t>
        </is>
      </c>
      <c r="Z1718" t="inlineStr">
        <is>
          <t>Hiring Later</t>
        </is>
      </c>
      <c r="AA1718">
        <v>1</v>
      </c>
      <c r="AB1718" t="inlineStr">
        <is>
          <t>No Appointment Made</t>
        </is>
      </c>
      <c r="AC1718"/>
      <c r="AD1718" t="inlineStr">
        <is>
          <t xml:space="preserve">1. interior design </t>
        </is>
      </c>
      <c r="AE1718"/>
      <c r="AF1718">
        <v>1200</v>
      </c>
      <c r="AG1718" s="4"/>
      <c r="AH1718" s="4"/>
      <c r="AI1718">
        <v>1200</v>
      </c>
      <c r="AJ1718"/>
      <c r="AK1718" t="inlineStr">
        <is>
          <t>No, I don't need at all</t>
        </is>
      </c>
      <c r="AL1718">
        <v>1</v>
      </c>
      <c r="AM1718" t="inlineStr">
        <is>
          <t>No, I don't need at all</t>
        </is>
      </c>
      <c r="AN1718"/>
      <c r="AO1718" t="inlineStr">
        <is>
          <t>No, I don't need at all</t>
        </is>
      </c>
      <c r="AP1718" t="inlineStr">
        <is>
          <t>Once a year (25%)</t>
        </is>
      </c>
      <c r="AQ1718">
        <v>1</v>
      </c>
      <c r="AR1718" t="inlineStr">
        <is>
          <t>Jobstreet</t>
        </is>
      </c>
      <c r="AS1718" t="inlineStr">
        <is>
          <t>- Headcount: 1
- Hiring Job Details: 1 interior design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is>
      </c>
      <c r="AT1718">
        <v>115</v>
      </c>
      <c r="AU1718" t="inlineStr">
        <is>
          <t>1.15</t>
        </is>
      </c>
      <c r="AV1718" t="inlineStr">
        <is>
          <t>15</t>
        </is>
      </c>
      <c r="AW1718" t="inlineStr">
        <is>
          <t>0</t>
        </is>
      </c>
      <c r="AX1718" t="inlineStr">
        <is>
          <t>Not Qualified</t>
        </is>
      </c>
      <c r="AY1718" s="4"/>
      <c r="AZ1718"/>
      <c r="BA1718"/>
      <c r="BB1718"/>
      <c r="BC1718" t="inlineStr">
        <is>
          <t>0321829689 
Company landline, leave a message to Ms Mabel.</t>
        </is>
      </c>
      <c r="BD1718" s="4">
        <v>46135.63034722222</v>
      </c>
      <c r="BE1718" t="inlineStr">
        <is>
          <t>paid</t>
        </is>
      </c>
      <c r="BF1718"/>
      <c r="BG1718" t="inlineStr">
        <is>
          <t>Reschedule</t>
        </is>
      </c>
      <c r="BH1718" t="inlineStr">
        <is>
          <t>Edward Hoo</t>
        </is>
      </c>
      <c r="BI1718" t="inlineStr">
        <is>
          <t>Architecture / Interior Design</t>
        </is>
      </c>
      <c r="BJ1718" s="4">
        <v>46144.750289351854</v>
      </c>
      <c r="BK1718" s="4">
        <v>43784.58121527778</v>
      </c>
      <c r="BL1718" t="inlineStr">
        <is>
          <t>0.0</t>
        </is>
      </c>
      <c r="BM1718" t="inlineStr">
        <is>
          <t>600.0</t>
        </is>
      </c>
      <c r="BN1718" t="inlineStr">
        <is>
          <t>View Shop</t>
        </is>
      </c>
      <c r="BO1718" s="4">
        <v>43784.58541666667</v>
      </c>
      <c r="BP1718">
        <v>166330</v>
      </c>
      <c r="BQ1718">
        <v>115382</v>
      </c>
      <c r="BR1718" t="inlineStr">
        <is>
          <t>Proforma</t>
        </is>
      </c>
      <c r="BS1718" t="inlineStr">
        <is>
          <t>Free Internship Job</t>
        </is>
      </c>
      <c r="BT1718"/>
      <c r="BU1718"/>
      <c r="BV1718">
        <v>2723848</v>
      </c>
      <c r="BW1718" t="inlineStr">
        <is>
          <t>Follow Up : Lost - Free Portal</t>
        </is>
      </c>
      <c r="BX1718"/>
      <c r="BY1718"/>
      <c r="BZ1718" s="4"/>
      <c r="CA1718"/>
      <c r="CB1718"/>
      <c r="CC1718" s="4"/>
      <c r="CD1718" t="inlineStr">
        <is>
          <t>20</t>
        </is>
      </c>
      <c r="CE1718" t="inlineStr">
        <is>
          <t>0</t>
        </is>
      </c>
      <c r="CF1718" t="inlineStr">
        <is>
          <t>Q2-W02</t>
        </is>
      </c>
      <c r="CG1718" t="inlineStr">
        <is>
          <t>Q1-W07</t>
        </is>
      </c>
      <c r="CH1718"/>
      <c r="CI1718"/>
      <c r="CJ1718" t="inlineStr">
        <is>
          <t>No Paid</t>
        </is>
      </c>
      <c r="CK1718" t="inlineStr">
        <is>
          <t>Not Eligible</t>
        </is>
      </c>
      <c r="CL1718"/>
      <c r="CM1718"/>
    </row>
    <row r="1719" ht="25.5" customHeight="1">
      <c r="A1719" t="inlineStr">
        <is>
          <t>203040</t>
        </is>
      </c>
      <c r="B1719" s="2"/>
      <c r="C1719"/>
      <c r="D1719" s="3">
        <v>46122.42054398148</v>
      </c>
      <c r="E1719" t="inlineStr">
        <is>
          <t>Q2-W02</t>
        </is>
      </c>
      <c r="F1719" t="inlineStr">
        <is>
          <t>Dickson</t>
        </is>
      </c>
      <c r="G1719" t="inlineStr">
        <is>
          <t>Customer</t>
        </is>
      </c>
      <c r="H1719" s="2" t="str">
        <f>=HYPERLINK("https://upbox.ajobthing.my/customer/203040", "https://upbox.ajobthing.my/customer/203040")</f>
        <v>https://upbox.ajobthing.my/customer/203040</v>
      </c>
      <c r="I1719" t="inlineStr">
        <is>
          <t>Klinik Pergigian Dental Valley Sdn Bhd</t>
        </is>
      </c>
      <c r="J1719" t="inlineStr">
        <is>
          <t>Small Fish</t>
        </is>
      </c>
      <c r="K1719" t="inlineStr">
        <is>
          <t>Dickson</t>
        </is>
      </c>
      <c r="L1719" s="4"/>
      <c r="M1719" s="4">
        <v>46122.42072916667</v>
      </c>
      <c r="N1719"/>
      <c r="O1719">
        <v>1296</v>
      </c>
      <c r="P1719" s="4"/>
      <c r="Q1719" s="4">
        <v>46121.4946875</v>
      </c>
      <c r="R1719"/>
      <c r="S1719">
        <v>0</v>
      </c>
      <c r="T1719" s="4"/>
      <c r="U1719" s="4"/>
      <c r="V1719"/>
      <c r="W1719"/>
      <c r="X1719"/>
      <c r="Y1719" t="inlineStr">
        <is>
          <t>Pending Appointment</t>
        </is>
      </c>
      <c r="Z1719" t="inlineStr">
        <is>
          <t>Hiring Now</t>
        </is>
      </c>
      <c r="AA1719">
        <v>2</v>
      </c>
      <c r="AB1719" t="inlineStr">
        <is>
          <t>No Appointment Made</t>
        </is>
      </c>
      <c r="AC1719"/>
      <c r="AD1719" t="inlineStr">
        <is>
          <t>2 dental surgery assistant</t>
        </is>
      </c>
      <c r="AE1719"/>
      <c r="AF1719"/>
      <c r="AG1719" s="4"/>
      <c r="AH1719" s="4"/>
      <c r="AI1719"/>
      <c r="AJ1719">
        <v>1</v>
      </c>
      <c r="AK1719" t="inlineStr">
        <is>
          <t>No, I don't need at all</t>
        </is>
      </c>
      <c r="AL1719"/>
      <c r="AM1719" t="inlineStr">
        <is>
          <t>No, I don't need at all</t>
        </is>
      </c>
      <c r="AN1719"/>
      <c r="AO1719" t="inlineStr">
        <is>
          <t>No, I don't need at all</t>
        </is>
      </c>
      <c r="AP1719"/>
      <c r="AQ1719"/>
      <c r="AR1719" t="inlineStr">
        <is>
          <t>Jobstreet, Free Job Portal</t>
        </is>
      </c>
      <c r="AS1719" t="inlineStr">
        <is>
          <t>- Headcount: 2
- Hiring Job Details: 2 dental surgery assistant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Not provided
- External job portal: Jobstreet, Free Job Portal</t>
        </is>
      </c>
      <c r="AT1719">
        <v>95</v>
      </c>
      <c r="AU1719" t="inlineStr">
        <is>
          <t>0.95</t>
        </is>
      </c>
      <c r="AV1719" t="inlineStr">
        <is>
          <t>5</t>
        </is>
      </c>
      <c r="AW1719" t="inlineStr">
        <is>
          <t>0</t>
        </is>
      </c>
      <c r="AX1719" t="inlineStr">
        <is>
          <t>Not Qualified</t>
        </is>
      </c>
      <c r="AY1719" s="4"/>
      <c r="AZ1719"/>
      <c r="BA1719"/>
      <c r="BB1719"/>
      <c r="BC1719" t="inlineStr">
        <is>
          <t>no response</t>
        </is>
      </c>
      <c r="BD1719" s="4">
        <v>46139.74898148148</v>
      </c>
      <c r="BE1719" t="inlineStr">
        <is>
          <t>paid</t>
        </is>
      </c>
      <c r="BF1719"/>
      <c r="BG1719" t="inlineStr">
        <is>
          <t>Reschedule</t>
        </is>
      </c>
      <c r="BH1719" t="inlineStr">
        <is>
          <t>Edward Hoo</t>
        </is>
      </c>
      <c r="BI1719" t="inlineStr">
        <is>
          <t>Healthcare / Medical</t>
        </is>
      </c>
      <c r="BJ1719" s="4">
        <v>46144.75418981481</v>
      </c>
      <c r="BK1719" s="4">
        <v>46121.49354166666</v>
      </c>
      <c r="BL1719" t="inlineStr">
        <is>
          <t>0.0</t>
        </is>
      </c>
      <c r="BM1719" t="inlineStr">
        <is>
          <t>0.0</t>
        </is>
      </c>
      <c r="BN1719" t="inlineStr">
        <is>
          <t>View Company Page</t>
        </is>
      </c>
      <c r="BO1719" s="4">
        <v>46135.43913194445</v>
      </c>
      <c r="BP1719">
        <v>166334</v>
      </c>
      <c r="BQ1719">
        <v>121284</v>
      </c>
      <c r="BR1719" t="inlineStr">
        <is>
          <t>Proforma</t>
        </is>
      </c>
      <c r="BS1719" t="inlineStr">
        <is>
          <t>Free Part-Time Job</t>
        </is>
      </c>
      <c r="BT1719"/>
      <c r="BU1719"/>
      <c r="BV1719">
        <v>2731553</v>
      </c>
      <c r="BW1719" t="inlineStr">
        <is>
          <t>No Answer : Voicemail - WA sent to customer</t>
        </is>
      </c>
      <c r="BX1719"/>
      <c r="BY1719"/>
      <c r="BZ1719" s="4"/>
      <c r="CA1719"/>
      <c r="CB1719"/>
      <c r="CC1719" s="4"/>
      <c r="CD1719" t="inlineStr">
        <is>
          <t>5</t>
        </is>
      </c>
      <c r="CE1719" t="inlineStr">
        <is>
          <t>0</t>
        </is>
      </c>
      <c r="CF1719" t="inlineStr">
        <is>
          <t>Q2-W02</t>
        </is>
      </c>
      <c r="CG1719" t="inlineStr">
        <is>
          <t>Q2-W01</t>
        </is>
      </c>
      <c r="CH1719"/>
      <c r="CI1719"/>
      <c r="CJ1719" t="inlineStr">
        <is>
          <t>No Paid</t>
        </is>
      </c>
      <c r="CK1719" t="inlineStr">
        <is>
          <t>Not Eligible</t>
        </is>
      </c>
      <c r="CL1719"/>
      <c r="CM1719"/>
    </row>
    <row r="1720" ht="25.5" customHeight="1">
      <c r="A1720" t="inlineStr">
        <is>
          <t>4266059</t>
        </is>
      </c>
      <c r="B1720" s="2"/>
      <c r="C1720"/>
      <c r="D1720" s="3">
        <v>46122.44210648148</v>
      </c>
      <c r="E1720" t="inlineStr">
        <is>
          <t>Q2-W02</t>
        </is>
      </c>
      <c r="F1720" t="inlineStr">
        <is>
          <t>Alan KY</t>
        </is>
      </c>
      <c r="G1720" t="inlineStr">
        <is>
          <t>Lead</t>
        </is>
      </c>
      <c r="H1720" s="2" t="str">
        <f>=HYPERLINK("https://upbox.ajobthing.my/leads/4266059", "https://upbox.ajobthing.my/leads/4266059")</f>
        <v>https://upbox.ajobthing.my/leads/4266059</v>
      </c>
      <c r="I1720" t="inlineStr">
        <is>
          <t>D safe force sdn.bhd</t>
        </is>
      </c>
      <c r="J1720" t="inlineStr">
        <is>
          <t>Small Fish</t>
        </is>
      </c>
      <c r="K1720" t="inlineStr">
        <is>
          <t>Alan KY</t>
        </is>
      </c>
      <c r="L1720" s="4"/>
      <c r="M1720" s="4">
        <v>46122.43828703704</v>
      </c>
      <c r="N1720"/>
      <c r="O1720">
        <v>8208</v>
      </c>
      <c r="P1720" s="4"/>
      <c r="Q1720" s="4"/>
      <c r="R1720"/>
      <c r="S1720"/>
      <c r="T1720" s="4"/>
      <c r="U1720" s="4"/>
      <c r="V1720"/>
      <c r="W1720"/>
      <c r="X1720"/>
      <c r="Y1720" t="inlineStr">
        <is>
          <t>Pending Appointment</t>
        </is>
      </c>
      <c r="Z1720" t="inlineStr">
        <is>
          <t>Continuous Hiring</t>
        </is>
      </c>
      <c r="AA1720">
        <v>2</v>
      </c>
      <c r="AB1720" t="inlineStr">
        <is>
          <t>No Appointment Made</t>
        </is>
      </c>
      <c r="AC1720"/>
      <c r="AD1720" t="inlineStr">
        <is>
          <t xml:space="preserve">security guard (long term), supervisor </t>
        </is>
      </c>
      <c r="AE1720"/>
      <c r="AF1720"/>
      <c r="AG1720" s="4"/>
      <c r="AH1720" s="4"/>
      <c r="AI1720"/>
      <c r="AJ1720"/>
      <c r="AK1720" t="inlineStr">
        <is>
          <t>No, I don't need at all</t>
        </is>
      </c>
      <c r="AL1720"/>
      <c r="AM1720" t="inlineStr">
        <is>
          <t>No, I don't need at all</t>
        </is>
      </c>
      <c r="AN1720"/>
      <c r="AO1720" t="inlineStr">
        <is>
          <t>No, I don't need at all</t>
        </is>
      </c>
      <c r="AP1720" t="inlineStr">
        <is>
          <t>Every month (100%)</t>
        </is>
      </c>
      <c r="AQ1720"/>
      <c r="AR1720" t="inlineStr">
        <is>
          <t>Indeed (Paid)</t>
        </is>
      </c>
      <c r="AS1720" t="inlineStr">
        <is>
          <t>- Headcount: 2
- Hiring Job Details: security guard (long term), supervisor
- Hiring Urgency: Continuous Hiring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Every month (100%)
- External job portal: Indeed (Paid)</t>
        </is>
      </c>
      <c r="AT1720">
        <v>85</v>
      </c>
      <c r="AU1720" t="inlineStr">
        <is>
          <t>0.85</t>
        </is>
      </c>
      <c r="AV1720" t="inlineStr">
        <is>
          <t>5</t>
        </is>
      </c>
      <c r="AW1720" t="inlineStr">
        <is>
          <t>0</t>
        </is>
      </c>
      <c r="AX1720" t="inlineStr">
        <is>
          <t>Not Qualified</t>
        </is>
      </c>
      <c r="AY1720" s="4"/>
      <c r="AZ1720"/>
      <c r="BA1720"/>
      <c r="BB1720"/>
      <c r="BC1720"/>
      <c r="BD1720" s="4"/>
      <c r="BE1720"/>
      <c r="BF1720"/>
      <c r="BG1720" t="inlineStr">
        <is>
          <t>Reschedule</t>
        </is>
      </c>
      <c r="BH1720" t="inlineStr">
        <is>
          <t>Reagen</t>
        </is>
      </c>
      <c r="BI1720"/>
      <c r="BJ1720" s="4">
        <v>46144.75578703704</v>
      </c>
      <c r="BK1720" s="4">
        <v>46121.79418981481</v>
      </c>
      <c r="BL1720" t="inlineStr">
        <is>
          <t>0.0</t>
        </is>
      </c>
      <c r="BM1720" t="inlineStr">
        <is>
          <t>0.0</t>
        </is>
      </c>
      <c r="BN1720"/>
      <c r="BO1720" s="4"/>
      <c r="BP1720">
        <v>166351</v>
      </c>
      <c r="BQ1720"/>
      <c r="BR1720"/>
      <c r="BS1720"/>
      <c r="BT1720"/>
      <c r="BU1720"/>
      <c r="BV1720"/>
      <c r="BW1720"/>
      <c r="BX1720"/>
      <c r="BY1720"/>
      <c r="BZ1720" s="4"/>
      <c r="CA1720"/>
      <c r="CB1720"/>
      <c r="CC1720" s="4"/>
      <c r="CD1720" t="inlineStr">
        <is>
          <t>5</t>
        </is>
      </c>
      <c r="CE1720" t="inlineStr">
        <is>
          <t>0</t>
        </is>
      </c>
      <c r="CF1720" t="inlineStr">
        <is>
          <t>Q2-W02</t>
        </is>
      </c>
      <c r="CG1720"/>
      <c r="CH1720"/>
      <c r="CI1720"/>
      <c r="CJ1720" t="inlineStr">
        <is>
          <t>No Paid</t>
        </is>
      </c>
      <c r="CK1720" t="inlineStr">
        <is>
          <t>Not Eligible</t>
        </is>
      </c>
      <c r="CL1720"/>
      <c r="CM1720"/>
    </row>
    <row r="1721" ht="25.5" customHeight="1">
      <c r="A1721" t="inlineStr">
        <is>
          <t>178137</t>
        </is>
      </c>
      <c r="B1721" s="2"/>
      <c r="C1721"/>
      <c r="D1721" s="3">
        <v>46122.45103009259</v>
      </c>
      <c r="E1721" t="inlineStr">
        <is>
          <t>Q2-W02</t>
        </is>
      </c>
      <c r="F1721" t="inlineStr">
        <is>
          <t>Janice Yap</t>
        </is>
      </c>
      <c r="G1721" t="inlineStr">
        <is>
          <t>Customer</t>
        </is>
      </c>
      <c r="H1721" s="2" t="str">
        <f>=HYPERLINK("https://upbox.ajobthing.my/customer/178137", "https://upbox.ajobthing.my/customer/178137")</f>
        <v>https://upbox.ajobthing.my/customer/178137</v>
      </c>
      <c r="I1721" t="inlineStr">
        <is>
          <t>Jiali Poultry Farm Sdn Bhd</t>
        </is>
      </c>
      <c r="J1721" t="inlineStr">
        <is>
          <t>Small Fish</t>
        </is>
      </c>
      <c r="K1721" t="inlineStr">
        <is>
          <t>Janice</t>
        </is>
      </c>
      <c r="L1721" s="4"/>
      <c r="M1721" s="4">
        <v>46122.44945601852</v>
      </c>
      <c r="N1721"/>
      <c r="O1721">
        <v>3888</v>
      </c>
      <c r="P1721" s="4"/>
      <c r="Q1721" s="4">
        <v>45426.412986111114</v>
      </c>
      <c r="R1721"/>
      <c r="S1721">
        <v>648</v>
      </c>
      <c r="T1721" s="4">
        <v>45426.412986111114</v>
      </c>
      <c r="U1721" s="4"/>
      <c r="V1721"/>
      <c r="W1721">
        <v>648</v>
      </c>
      <c r="X1721"/>
      <c r="Y1721" t="inlineStr">
        <is>
          <t>Pending Appointment</t>
        </is>
      </c>
      <c r="Z1721" t="inlineStr">
        <is>
          <t>Hiring Now</t>
        </is>
      </c>
      <c r="AA1721">
        <v>1</v>
      </c>
      <c r="AB1721" t="inlineStr">
        <is>
          <t>No Appointment Made</t>
        </is>
      </c>
      <c r="AC1721"/>
      <c r="AD1721" t="inlineStr">
        <is>
          <t>1 admin</t>
        </is>
      </c>
      <c r="AE1721"/>
      <c r="AF1721">
        <v>0</v>
      </c>
      <c r="AG1721" s="4"/>
      <c r="AH1721" s="4"/>
      <c r="AI1721">
        <v>0</v>
      </c>
      <c r="AJ1721"/>
      <c r="AK1721" t="inlineStr">
        <is>
          <t>No, I don't need at all</t>
        </is>
      </c>
      <c r="AL1721">
        <v>0</v>
      </c>
      <c r="AM1721" t="inlineStr">
        <is>
          <t>No, I don't need at all</t>
        </is>
      </c>
      <c r="AN1721"/>
      <c r="AO1721" t="inlineStr">
        <is>
          <t>No, I don't need at all</t>
        </is>
      </c>
      <c r="AP1721" t="inlineStr">
        <is>
          <t>Once a year (25%)</t>
        </is>
      </c>
      <c r="AQ1721">
        <v>1</v>
      </c>
      <c r="AR1721"/>
      <c r="AS1721"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1721">
        <v>105</v>
      </c>
      <c r="AU1721" t="inlineStr">
        <is>
          <t>1.05</t>
        </is>
      </c>
      <c r="AV1721" t="inlineStr">
        <is>
          <t>15</t>
        </is>
      </c>
      <c r="AW1721" t="inlineStr">
        <is>
          <t>0</t>
        </is>
      </c>
      <c r="AX1721" t="inlineStr">
        <is>
          <t>Not Qualified</t>
        </is>
      </c>
      <c r="AY1721" s="4"/>
      <c r="AZ1721"/>
      <c r="BA1721"/>
      <c r="BB1721"/>
      <c r="BC1721" t="inlineStr">
        <is>
          <t>Called 04 588 9288 // ask me contact 0124279689 ms goh // no need post job atm // lost</t>
        </is>
      </c>
      <c r="BD1721" s="4">
        <v>46126.446875</v>
      </c>
      <c r="BE1721" t="inlineStr">
        <is>
          <t>paid</t>
        </is>
      </c>
      <c r="BF1721"/>
      <c r="BG1721" t="inlineStr">
        <is>
          <t>Reschedule</t>
        </is>
      </c>
      <c r="BH1721" t="inlineStr">
        <is>
          <t>Yee Hang</t>
        </is>
      </c>
      <c r="BI1721"/>
      <c r="BJ1721" s="4">
        <v>46144.75173611111</v>
      </c>
      <c r="BK1721" s="4">
        <v>45420.5034375</v>
      </c>
      <c r="BL1721" t="inlineStr">
        <is>
          <t>0.0</t>
        </is>
      </c>
      <c r="BM1721" t="inlineStr">
        <is>
          <t>0.0</t>
        </is>
      </c>
      <c r="BN1721" t="inlineStr">
        <is>
          <t>View Jobmanager Page</t>
        </is>
      </c>
      <c r="BO1721" s="4">
        <v>45461.55585648148</v>
      </c>
      <c r="BP1721">
        <v>166355</v>
      </c>
      <c r="BQ1721">
        <v>69083</v>
      </c>
      <c r="BR1721" t="inlineStr">
        <is>
          <t>Online</t>
        </is>
      </c>
      <c r="BS1721"/>
      <c r="BT1721">
        <v>69083</v>
      </c>
      <c r="BU1721"/>
      <c r="BV1721">
        <v>2702731</v>
      </c>
      <c r="BW1721" t="inlineStr">
        <is>
          <t>Follow Up : Budget Concern</t>
        </is>
      </c>
      <c r="BX1721"/>
      <c r="BY1721"/>
      <c r="BZ1721" s="4"/>
      <c r="CA1721"/>
      <c r="CB1721"/>
      <c r="CC1721" s="4"/>
      <c r="CD1721" t="inlineStr">
        <is>
          <t>20</t>
        </is>
      </c>
      <c r="CE1721" t="inlineStr">
        <is>
          <t>0</t>
        </is>
      </c>
      <c r="CF1721" t="inlineStr">
        <is>
          <t>Q2-W02</t>
        </is>
      </c>
      <c r="CG1721"/>
      <c r="CH1721"/>
      <c r="CI1721"/>
      <c r="CJ1721" t="inlineStr">
        <is>
          <t>Paid</t>
        </is>
      </c>
      <c r="CK1721" t="inlineStr">
        <is>
          <t>Not Eligible</t>
        </is>
      </c>
      <c r="CL1721"/>
      <c r="CM1721"/>
    </row>
    <row r="1722" ht="25.5" customHeight="1">
      <c r="A1722" t="inlineStr">
        <is>
          <t>4026366</t>
        </is>
      </c>
      <c r="B1722" s="2"/>
      <c r="C1722"/>
      <c r="D1722" s="3">
        <v>46122.45164351852</v>
      </c>
      <c r="E1722" t="inlineStr">
        <is>
          <t>Q2-W02</t>
        </is>
      </c>
      <c r="F1722" t="inlineStr">
        <is>
          <t>Janice Yap</t>
        </is>
      </c>
      <c r="G1722" t="inlineStr">
        <is>
          <t>Lead</t>
        </is>
      </c>
      <c r="H1722" s="2" t="str">
        <f>=HYPERLINK("https://upbox.ajobthing.my/leads/4026366", "https://upbox.ajobthing.my/leads/4026366")</f>
        <v>https://upbox.ajobthing.my/leads/4026366</v>
      </c>
      <c r="I1722" t="inlineStr">
        <is>
          <t>Artqon Sdn Bhd</t>
        </is>
      </c>
      <c r="J1722" t="inlineStr">
        <is>
          <t>Small Fish</t>
        </is>
      </c>
      <c r="K1722" t="inlineStr">
        <is>
          <t>Janice</t>
        </is>
      </c>
      <c r="L1722" s="4"/>
      <c r="M1722" s="4">
        <v>46122.4522337963</v>
      </c>
      <c r="N1722"/>
      <c r="O1722">
        <v>3888</v>
      </c>
      <c r="P1722" s="4"/>
      <c r="Q1722" s="4"/>
      <c r="R1722"/>
      <c r="S1722"/>
      <c r="T1722" s="4"/>
      <c r="U1722" s="4"/>
      <c r="V1722"/>
      <c r="W1722"/>
      <c r="X1722"/>
      <c r="Y1722" t="inlineStr">
        <is>
          <t>Pending Appointment</t>
        </is>
      </c>
      <c r="Z1722" t="inlineStr">
        <is>
          <t>Hiring Now</t>
        </is>
      </c>
      <c r="AA1722">
        <v>3</v>
      </c>
      <c r="AB1722" t="inlineStr">
        <is>
          <t>No Appointment Made</t>
        </is>
      </c>
      <c r="AC1722"/>
      <c r="AD1722" t="inlineStr">
        <is>
          <t>3 graphic designer</t>
        </is>
      </c>
      <c r="AE1722"/>
      <c r="AF1722">
        <v>0</v>
      </c>
      <c r="AG1722" s="4"/>
      <c r="AH1722" s="4"/>
      <c r="AI1722">
        <v>0</v>
      </c>
      <c r="AJ1722"/>
      <c r="AK1722" t="inlineStr">
        <is>
          <t>No, I don't need at all</t>
        </is>
      </c>
      <c r="AL1722">
        <v>0</v>
      </c>
      <c r="AM1722" t="inlineStr">
        <is>
          <t>No, I don't need at all</t>
        </is>
      </c>
      <c r="AN1722"/>
      <c r="AO1722" t="inlineStr">
        <is>
          <t>No, I don't need at all</t>
        </is>
      </c>
      <c r="AP1722" t="inlineStr">
        <is>
          <t>Once a year (25%)</t>
        </is>
      </c>
      <c r="AQ1722">
        <v>3</v>
      </c>
      <c r="AR1722"/>
      <c r="AS1722" t="inlineStr">
        <is>
          <t>- Headcount: 3
- Hiring Job Details: 3 graphic designer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Not provided</t>
        </is>
      </c>
      <c r="AT1722">
        <v>110</v>
      </c>
      <c r="AU1722" t="inlineStr">
        <is>
          <t>1.10</t>
        </is>
      </c>
      <c r="AV1722" t="inlineStr">
        <is>
          <t>15</t>
        </is>
      </c>
      <c r="AW1722" t="inlineStr">
        <is>
          <t>0</t>
        </is>
      </c>
      <c r="AX1722" t="inlineStr">
        <is>
          <t>Not Qualified</t>
        </is>
      </c>
      <c r="AY1722" s="4"/>
      <c r="AZ1722"/>
      <c r="BA1722"/>
      <c r="BB1722"/>
      <c r="BC1722"/>
      <c r="BD1722" s="4"/>
      <c r="BE1722"/>
      <c r="BF1722"/>
      <c r="BG1722" t="inlineStr">
        <is>
          <t>Reschedule</t>
        </is>
      </c>
      <c r="BH1722" t="inlineStr">
        <is>
          <t>Yee Hang</t>
        </is>
      </c>
      <c r="BI1722"/>
      <c r="BJ1722" s="4">
        <v>46144.75523148148</v>
      </c>
      <c r="BK1722" s="4">
        <v>46054.864699074074</v>
      </c>
      <c r="BL1722" t="inlineStr">
        <is>
          <t>0.0</t>
        </is>
      </c>
      <c r="BM1722" t="inlineStr">
        <is>
          <t>0.0</t>
        </is>
      </c>
      <c r="BN1722"/>
      <c r="BO1722" s="4"/>
      <c r="BP1722">
        <v>166362</v>
      </c>
      <c r="BQ1722"/>
      <c r="BR1722"/>
      <c r="BS1722"/>
      <c r="BT1722"/>
      <c r="BU1722"/>
      <c r="BV1722"/>
      <c r="BW1722"/>
      <c r="BX1722"/>
      <c r="BY1722"/>
      <c r="BZ1722" s="4"/>
      <c r="CA1722"/>
      <c r="CB1722"/>
      <c r="CC1722" s="4"/>
      <c r="CD1722" t="inlineStr">
        <is>
          <t>20</t>
        </is>
      </c>
      <c r="CE1722" t="inlineStr">
        <is>
          <t>0</t>
        </is>
      </c>
      <c r="CF1722" t="inlineStr">
        <is>
          <t>Q2-W02</t>
        </is>
      </c>
      <c r="CG1722"/>
      <c r="CH1722"/>
      <c r="CI1722"/>
      <c r="CJ1722" t="inlineStr">
        <is>
          <t>No Paid</t>
        </is>
      </c>
      <c r="CK1722" t="inlineStr">
        <is>
          <t>Not Eligible</t>
        </is>
      </c>
      <c r="CL1722"/>
      <c r="CM1722"/>
    </row>
    <row r="1723" ht="25.5" customHeight="1">
      <c r="A1723" t="inlineStr">
        <is>
          <t>199751</t>
        </is>
      </c>
      <c r="B1723" s="2"/>
      <c r="C1723"/>
      <c r="D1723" s="3">
        <v>46122.45332175926</v>
      </c>
      <c r="E1723" t="inlineStr">
        <is>
          <t>Q2-W02</t>
        </is>
      </c>
      <c r="F1723" t="inlineStr">
        <is>
          <t>Luqman</t>
        </is>
      </c>
      <c r="G1723" t="inlineStr">
        <is>
          <t>Customer</t>
        </is>
      </c>
      <c r="H1723" s="2" t="str">
        <f>=HYPERLINK("https://upbox.ajobthing.my/customer/199751", "https://upbox.ajobthing.my/customer/199751")</f>
        <v>https://upbox.ajobthing.my/customer/199751</v>
      </c>
      <c r="I1723" t="inlineStr">
        <is>
          <t>Taska Pipi Merah</t>
        </is>
      </c>
      <c r="J1723" t="inlineStr">
        <is>
          <t>Small Fish</t>
        </is>
      </c>
      <c r="K1723" t="inlineStr">
        <is>
          <t>Luqman</t>
        </is>
      </c>
      <c r="L1723" s="4"/>
      <c r="M1723" s="4">
        <v>46122.45347222222</v>
      </c>
      <c r="N1723"/>
      <c r="O1723">
        <v>1296</v>
      </c>
      <c r="P1723" s="4"/>
      <c r="Q1723" s="4">
        <v>46020.63875</v>
      </c>
      <c r="R1723"/>
      <c r="S1723">
        <v>864</v>
      </c>
      <c r="T1723" s="4">
        <v>46020.63875</v>
      </c>
      <c r="U1723" s="4"/>
      <c r="V1723"/>
      <c r="W1723">
        <v>864</v>
      </c>
      <c r="X1723"/>
      <c r="Y1723" t="inlineStr">
        <is>
          <t>Pending Appointment</t>
        </is>
      </c>
      <c r="Z1723" t="inlineStr">
        <is>
          <t>Continuous Hiring</t>
        </is>
      </c>
      <c r="AA1723">
        <v>1</v>
      </c>
      <c r="AB1723" t="inlineStr">
        <is>
          <t>No Appointment Made</t>
        </is>
      </c>
      <c r="AC1723"/>
      <c r="AD1723" t="inlineStr">
        <is>
          <t xml:space="preserve">1. Teacher </t>
        </is>
      </c>
      <c r="AE1723"/>
      <c r="AF1723">
        <v>800</v>
      </c>
      <c r="AG1723" s="4"/>
      <c r="AH1723" s="4"/>
      <c r="AI1723">
        <v>800</v>
      </c>
      <c r="AJ1723"/>
      <c r="AK1723" t="inlineStr">
        <is>
          <t>No, I don't need at all</t>
        </is>
      </c>
      <c r="AL1723">
        <v>1</v>
      </c>
      <c r="AM1723" t="inlineStr">
        <is>
          <t>No, I don't need at all</t>
        </is>
      </c>
      <c r="AN1723"/>
      <c r="AO1723" t="inlineStr">
        <is>
          <t>No, I don't need at all</t>
        </is>
      </c>
      <c r="AP1723" t="inlineStr">
        <is>
          <t>Once a year (25%)</t>
        </is>
      </c>
      <c r="AQ1723">
        <v>2</v>
      </c>
      <c r="AR1723" t="inlineStr">
        <is>
          <t>Free Job Portal</t>
        </is>
      </c>
      <c r="AS1723" t="inlineStr">
        <is>
          <t>- Headcount: 1
- Hiring Job Details: 1 Teacher
- Hiring Urgency: Continuous Hiring
- Number of outlets: 
- Have recruiter team: No, I don't need at all
- Number of recruiter in company: 1
- Have ATS system: No, I don't need at all
- Have career website: No, I don't need at all
- Current hiring budget: RM800
- Whole year budget: RM800.00
- Whole year number of vacancies: 2
- Hiring frequency: Once a year (25%)
- External job portal: Free Job Portal</t>
        </is>
      </c>
      <c r="AT1723">
        <v>105</v>
      </c>
      <c r="AU1723" t="inlineStr">
        <is>
          <t>1.05</t>
        </is>
      </c>
      <c r="AV1723" t="inlineStr">
        <is>
          <t>15</t>
        </is>
      </c>
      <c r="AW1723" t="inlineStr">
        <is>
          <t>0</t>
        </is>
      </c>
      <c r="AX1723" t="inlineStr">
        <is>
          <t>Not Qualified</t>
        </is>
      </c>
      <c r="AY1723" s="4"/>
      <c r="AZ1723"/>
      <c r="BA1723"/>
      <c r="BB1723"/>
      <c r="BC1723" t="inlineStr">
        <is>
          <t>Business start hiring in mid May.</t>
        </is>
      </c>
      <c r="BD1723" s="4">
        <v>46127.66987268518</v>
      </c>
      <c r="BE1723" t="inlineStr">
        <is>
          <t>paid</t>
        </is>
      </c>
      <c r="BF1723"/>
      <c r="BG1723" t="inlineStr">
        <is>
          <t>Reschedule</t>
        </is>
      </c>
      <c r="BH1723" t="inlineStr">
        <is>
          <t>Edward Hoo</t>
        </is>
      </c>
      <c r="BI1723" t="inlineStr">
        <is>
          <t>Education / Training</t>
        </is>
      </c>
      <c r="BJ1723" s="4">
        <v>46144.7533912037</v>
      </c>
      <c r="BK1723" s="4">
        <v>46017.42901620371</v>
      </c>
      <c r="BL1723" t="inlineStr">
        <is>
          <t>864.0</t>
        </is>
      </c>
      <c r="BM1723" t="inlineStr">
        <is>
          <t>0.0</t>
        </is>
      </c>
      <c r="BN1723" t="inlineStr">
        <is>
          <t>View Jobmanager Page</t>
        </is>
      </c>
      <c r="BO1723" s="4">
        <v>46076.5366087963</v>
      </c>
      <c r="BP1723">
        <v>166366</v>
      </c>
      <c r="BQ1723">
        <v>85216</v>
      </c>
      <c r="BR1723" t="inlineStr">
        <is>
          <t>Online</t>
        </is>
      </c>
      <c r="BS1723"/>
      <c r="BT1723">
        <v>85216</v>
      </c>
      <c r="BU1723"/>
      <c r="BV1723">
        <v>2706437</v>
      </c>
      <c r="BW1723" t="inlineStr">
        <is>
          <t>Follow Up : Budget Concern</t>
        </is>
      </c>
      <c r="BX1723"/>
      <c r="BY1723"/>
      <c r="BZ1723" s="4"/>
      <c r="CA1723"/>
      <c r="CB1723"/>
      <c r="CC1723" s="4"/>
      <c r="CD1723" t="inlineStr">
        <is>
          <t>20</t>
        </is>
      </c>
      <c r="CE1723" t="inlineStr">
        <is>
          <t>0</t>
        </is>
      </c>
      <c r="CF1723" t="inlineStr">
        <is>
          <t>Q2-W02</t>
        </is>
      </c>
      <c r="CG1723"/>
      <c r="CH1723"/>
      <c r="CI1723"/>
      <c r="CJ1723" t="inlineStr">
        <is>
          <t>Paid</t>
        </is>
      </c>
      <c r="CK1723" t="inlineStr">
        <is>
          <t>Not Eligible</t>
        </is>
      </c>
      <c r="CL1723"/>
      <c r="CM1723"/>
    </row>
    <row r="1724" ht="25.5" customHeight="1">
      <c r="A1724" t="inlineStr">
        <is>
          <t>203072</t>
        </is>
      </c>
      <c r="B1724" s="2"/>
      <c r="C1724"/>
      <c r="D1724" s="3">
        <v>46122.45583333333</v>
      </c>
      <c r="E1724" t="inlineStr">
        <is>
          <t>Q2-W02</t>
        </is>
      </c>
      <c r="F1724" t="inlineStr">
        <is>
          <t>Jia Hui</t>
        </is>
      </c>
      <c r="G1724" t="inlineStr">
        <is>
          <t>Customer</t>
        </is>
      </c>
      <c r="H1724" s="2" t="str">
        <f>=HYPERLINK("https://upbox.ajobthing.my/customer/203072", "https://upbox.ajobthing.my/customer/203072")</f>
        <v>https://upbox.ajobthing.my/customer/203072</v>
      </c>
      <c r="I1724" t="inlineStr">
        <is>
          <t>Cmh Corporate Services Sdn Bhd</t>
        </is>
      </c>
      <c r="J1724" t="inlineStr">
        <is>
          <t>Small Fish</t>
        </is>
      </c>
      <c r="K1724" t="inlineStr">
        <is>
          <t>Jia Hui</t>
        </is>
      </c>
      <c r="L1724" s="4"/>
      <c r="M1724" s="4">
        <v>46122.45601851852</v>
      </c>
      <c r="N1724"/>
      <c r="O1724">
        <v>3888</v>
      </c>
      <c r="P1724" s="4"/>
      <c r="Q1724" s="4">
        <v>46122.42765046296</v>
      </c>
      <c r="R1724"/>
      <c r="S1724">
        <v>0</v>
      </c>
      <c r="T1724" s="4"/>
      <c r="U1724" s="4"/>
      <c r="V1724"/>
      <c r="W1724"/>
      <c r="X1724"/>
      <c r="Y1724" t="inlineStr">
        <is>
          <t>Pending Appointment</t>
        </is>
      </c>
      <c r="Z1724" t="inlineStr">
        <is>
          <t>Hiring Now</t>
        </is>
      </c>
      <c r="AA1724">
        <v>2</v>
      </c>
      <c r="AB1724" t="inlineStr">
        <is>
          <t>No Appointment Made</t>
        </is>
      </c>
      <c r="AC1724"/>
      <c r="AD1724" t="inlineStr">
        <is>
          <t>1-2 account executive</t>
        </is>
      </c>
      <c r="AE1724"/>
      <c r="AF1724">
        <v>500</v>
      </c>
      <c r="AG1724" s="4"/>
      <c r="AH1724" s="4"/>
      <c r="AI1724"/>
      <c r="AJ1724"/>
      <c r="AK1724" t="inlineStr">
        <is>
          <t>No, but I want in future</t>
        </is>
      </c>
      <c r="AL1724"/>
      <c r="AM1724"/>
      <c r="AN1724"/>
      <c r="AO1724"/>
      <c r="AP1724" t="inlineStr">
        <is>
          <t>Once a year (25%)</t>
        </is>
      </c>
      <c r="AQ1724"/>
      <c r="AR1724"/>
      <c r="AS1724" t="inlineStr">
        <is>
          <t>- Headcount: 2
- Hiring Job Details: 1-2 account executive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724">
        <v>75</v>
      </c>
      <c r="AU1724" t="inlineStr">
        <is>
          <t>0.75</t>
        </is>
      </c>
      <c r="AV1724" t="inlineStr">
        <is>
          <t>15</t>
        </is>
      </c>
      <c r="AW1724" t="inlineStr">
        <is>
          <t>0</t>
        </is>
      </c>
      <c r="AX1724" t="inlineStr">
        <is>
          <t>Not Qualified</t>
        </is>
      </c>
      <c r="AY1724" s="4"/>
      <c r="AZ1724"/>
      <c r="BA1724"/>
      <c r="BB1724"/>
      <c r="BC1724" t="inlineStr">
        <is>
          <t>budget concern, boss feel exp</t>
        </is>
      </c>
      <c r="BD1724" s="4">
        <v>46127.76868055556</v>
      </c>
      <c r="BE1724" t="inlineStr">
        <is>
          <t>paid</t>
        </is>
      </c>
      <c r="BF1724"/>
      <c r="BG1724" t="inlineStr">
        <is>
          <t>Reschedule</t>
        </is>
      </c>
      <c r="BH1724" t="inlineStr">
        <is>
          <t>Reagen</t>
        </is>
      </c>
      <c r="BI1724" t="inlineStr">
        <is>
          <t>Accounting / Tax Services</t>
        </is>
      </c>
      <c r="BJ1724" s="4">
        <v>46144.754212962966</v>
      </c>
      <c r="BK1724" s="4">
        <v>46122.42675925926</v>
      </c>
      <c r="BL1724" t="inlineStr">
        <is>
          <t>0.0</t>
        </is>
      </c>
      <c r="BM1724" t="inlineStr">
        <is>
          <t>0.0</t>
        </is>
      </c>
      <c r="BN1724" t="inlineStr">
        <is>
          <t>User Visit(Logged In)</t>
        </is>
      </c>
      <c r="BO1724" s="4">
        <v>46125.399502314816</v>
      </c>
      <c r="BP1724">
        <v>166369</v>
      </c>
      <c r="BQ1724">
        <v>121588</v>
      </c>
      <c r="BR1724" t="inlineStr">
        <is>
          <t>Proforma</t>
        </is>
      </c>
      <c r="BS1724" t="inlineStr">
        <is>
          <t>Free Part-Time Job</t>
        </is>
      </c>
      <c r="BT1724"/>
      <c r="BU1724"/>
      <c r="BV1724">
        <v>2707195</v>
      </c>
      <c r="BW1724" t="inlineStr">
        <is>
          <t>Inquire for Hiring Needs : Budget Concern</t>
        </is>
      </c>
      <c r="BX1724"/>
      <c r="BY1724"/>
      <c r="BZ1724" s="4"/>
      <c r="CA1724"/>
      <c r="CB1724"/>
      <c r="CC1724" s="4"/>
      <c r="CD1724" t="inlineStr">
        <is>
          <t>20</t>
        </is>
      </c>
      <c r="CE1724" t="inlineStr">
        <is>
          <t>0</t>
        </is>
      </c>
      <c r="CF1724" t="inlineStr">
        <is>
          <t>Q2-W02</t>
        </is>
      </c>
      <c r="CG1724" t="inlineStr">
        <is>
          <t>Q2-W02</t>
        </is>
      </c>
      <c r="CH1724"/>
      <c r="CI1724"/>
      <c r="CJ1724" t="inlineStr">
        <is>
          <t>No Paid</t>
        </is>
      </c>
      <c r="CK1724" t="inlineStr">
        <is>
          <t>Not Eligible</t>
        </is>
      </c>
      <c r="CL1724"/>
      <c r="CM1724"/>
    </row>
    <row r="1725" ht="25.5" customHeight="1">
      <c r="A1725" t="inlineStr">
        <is>
          <t>4268365</t>
        </is>
      </c>
      <c r="B1725" s="2"/>
      <c r="C1725"/>
      <c r="D1725" s="3">
        <v>46122.46773148148</v>
      </c>
      <c r="E1725" t="inlineStr">
        <is>
          <t>Q2-W02</t>
        </is>
      </c>
      <c r="F1725" t="inlineStr">
        <is>
          <t>Josh</t>
        </is>
      </c>
      <c r="G1725" t="inlineStr">
        <is>
          <t>Lead</t>
        </is>
      </c>
      <c r="H1725" s="2" t="str">
        <f>=HYPERLINK("https://upbox.ajobthing.my/leads/4268365", "https://upbox.ajobthing.my/leads/4268365")</f>
        <v>https://upbox.ajobthing.my/leads/4268365</v>
      </c>
      <c r="I1725" t="inlineStr">
        <is>
          <t>Poliklinik &amp; Surgeri Star</t>
        </is>
      </c>
      <c r="J1725" t="inlineStr">
        <is>
          <t>Small Fish</t>
        </is>
      </c>
      <c r="K1725" t="inlineStr">
        <is>
          <t>Josh</t>
        </is>
      </c>
      <c r="L1725" s="4"/>
      <c r="M1725" s="4">
        <v>46122.468043981484</v>
      </c>
      <c r="N1725"/>
      <c r="O1725">
        <v>6048</v>
      </c>
      <c r="P1725" s="4"/>
      <c r="Q1725" s="4"/>
      <c r="R1725"/>
      <c r="S1725"/>
      <c r="T1725" s="4"/>
      <c r="U1725" s="4"/>
      <c r="V1725"/>
      <c r="W1725"/>
      <c r="X1725"/>
      <c r="Y1725" t="inlineStr">
        <is>
          <t>Pending Appointment</t>
        </is>
      </c>
      <c r="Z1725" t="inlineStr">
        <is>
          <t>Hiring Later</t>
        </is>
      </c>
      <c r="AA1725">
        <v>1</v>
      </c>
      <c r="AB1725" t="inlineStr">
        <is>
          <t>No Appointment Made</t>
        </is>
      </c>
      <c r="AC1725"/>
      <c r="AD1725" t="inlineStr">
        <is>
          <t xml:space="preserve">1 clinic assistant </t>
        </is>
      </c>
      <c r="AE1725"/>
      <c r="AF1725">
        <v>1000</v>
      </c>
      <c r="AG1725" s="4"/>
      <c r="AH1725" s="4"/>
      <c r="AI1725"/>
      <c r="AJ1725"/>
      <c r="AK1725" t="inlineStr">
        <is>
          <t>Yes, I have</t>
        </is>
      </c>
      <c r="AL1725"/>
      <c r="AM1725"/>
      <c r="AN1725"/>
      <c r="AO1725"/>
      <c r="AP1725" t="inlineStr">
        <is>
          <t>Once a year (25%)</t>
        </is>
      </c>
      <c r="AQ1725"/>
      <c r="AR1725"/>
      <c r="AS1725" t="inlineStr">
        <is>
          <t>- Headcount: 1
- Hiring Job Details: 1 clinic assistant
- Hiring Urgency: Hiring Later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1725">
        <v>75</v>
      </c>
      <c r="AU1725" t="inlineStr">
        <is>
          <t>0.75</t>
        </is>
      </c>
      <c r="AV1725" t="inlineStr">
        <is>
          <t>15</t>
        </is>
      </c>
      <c r="AW1725" t="inlineStr">
        <is>
          <t>0</t>
        </is>
      </c>
      <c r="AX1725" t="inlineStr">
        <is>
          <t>Not Qualified</t>
        </is>
      </c>
      <c r="AY1725" s="4"/>
      <c r="AZ1725"/>
      <c r="BA1725"/>
      <c r="BB1725"/>
      <c r="BC1725"/>
      <c r="BD1725" s="4"/>
      <c r="BE1725"/>
      <c r="BF1725"/>
      <c r="BG1725" t="inlineStr">
        <is>
          <t>Reschedule</t>
        </is>
      </c>
      <c r="BH1725" t="inlineStr">
        <is>
          <t>Fauziah Maharan</t>
        </is>
      </c>
      <c r="BI1725"/>
      <c r="BJ1725" s="4">
        <v>46144.75578703704</v>
      </c>
      <c r="BK1725" s="4">
        <v>46122.4591087963</v>
      </c>
      <c r="BL1725" t="inlineStr">
        <is>
          <t>0.0</t>
        </is>
      </c>
      <c r="BM1725" t="inlineStr">
        <is>
          <t>0.0</t>
        </is>
      </c>
      <c r="BN1725"/>
      <c r="BO1725" s="4"/>
      <c r="BP1725">
        <v>166374</v>
      </c>
      <c r="BQ1725"/>
      <c r="BR1725"/>
      <c r="BS1725"/>
      <c r="BT1725"/>
      <c r="BU1725"/>
      <c r="BV1725"/>
      <c r="BW1725"/>
      <c r="BX1725"/>
      <c r="BY1725"/>
      <c r="BZ1725" s="4"/>
      <c r="CA1725"/>
      <c r="CB1725"/>
      <c r="CC1725" s="4"/>
      <c r="CD1725" t="inlineStr">
        <is>
          <t>20</t>
        </is>
      </c>
      <c r="CE1725" t="inlineStr">
        <is>
          <t>0</t>
        </is>
      </c>
      <c r="CF1725" t="inlineStr">
        <is>
          <t>Q2-W02</t>
        </is>
      </c>
      <c r="CG1725"/>
      <c r="CH1725"/>
      <c r="CI1725"/>
      <c r="CJ1725" t="inlineStr">
        <is>
          <t>No Paid</t>
        </is>
      </c>
      <c r="CK1725" t="inlineStr">
        <is>
          <t>Not Eligible</t>
        </is>
      </c>
      <c r="CL1725"/>
      <c r="CM1725"/>
    </row>
    <row r="1726" ht="25.5" customHeight="1">
      <c r="A1726" t="inlineStr">
        <is>
          <t>198757</t>
        </is>
      </c>
      <c r="B1726" s="2"/>
      <c r="C1726"/>
      <c r="D1726" s="3">
        <v>46122.46863425926</v>
      </c>
      <c r="E1726" t="inlineStr">
        <is>
          <t>Q2-W02</t>
        </is>
      </c>
      <c r="F1726" t="inlineStr">
        <is>
          <t>Luqman</t>
        </is>
      </c>
      <c r="G1726" t="inlineStr">
        <is>
          <t>Customer</t>
        </is>
      </c>
      <c r="H1726" s="2" t="str">
        <f>=HYPERLINK("https://upbox.ajobthing.my/customer/198757", "https://upbox.ajobthing.my/customer/198757")</f>
        <v>https://upbox.ajobthing.my/customer/198757</v>
      </c>
      <c r="I1726" t="inlineStr">
        <is>
          <t>Sanimart&amp;nbsp;Sdn&amp;nbsp;Bhd</t>
        </is>
      </c>
      <c r="J1726" t="inlineStr">
        <is>
          <t>Small Fish</t>
        </is>
      </c>
      <c r="K1726" t="inlineStr">
        <is>
          <t>Luqman</t>
        </is>
      </c>
      <c r="L1726" s="4"/>
      <c r="M1726" s="4">
        <v>46122.46886574074</v>
      </c>
      <c r="N1726"/>
      <c r="O1726">
        <v>864</v>
      </c>
      <c r="P1726" s="4"/>
      <c r="Q1726" s="4">
        <v>46002.44861111111</v>
      </c>
      <c r="R1726"/>
      <c r="S1726">
        <v>864</v>
      </c>
      <c r="T1726" s="4">
        <v>46002.44861111111</v>
      </c>
      <c r="U1726" s="4"/>
      <c r="V1726"/>
      <c r="W1726">
        <v>864</v>
      </c>
      <c r="X1726"/>
      <c r="Y1726" t="inlineStr">
        <is>
          <t>Pending Appointment</t>
        </is>
      </c>
      <c r="Z1726" t="inlineStr">
        <is>
          <t>Hiring Later</t>
        </is>
      </c>
      <c r="AA1726">
        <v>1</v>
      </c>
      <c r="AB1726" t="inlineStr">
        <is>
          <t>No Appointment Made</t>
        </is>
      </c>
      <c r="AC1726"/>
      <c r="AD1726" t="inlineStr">
        <is>
          <t xml:space="preserve">1. Clerk </t>
        </is>
      </c>
      <c r="AE1726"/>
      <c r="AF1726">
        <v>800</v>
      </c>
      <c r="AG1726" s="4"/>
      <c r="AH1726" s="4"/>
      <c r="AI1726">
        <v>800</v>
      </c>
      <c r="AJ1726"/>
      <c r="AK1726" t="inlineStr">
        <is>
          <t>No, I don't need at all</t>
        </is>
      </c>
      <c r="AL1726">
        <v>1</v>
      </c>
      <c r="AM1726" t="inlineStr">
        <is>
          <t>No, I don't need at all</t>
        </is>
      </c>
      <c r="AN1726"/>
      <c r="AO1726" t="inlineStr">
        <is>
          <t>No, I don't need at all</t>
        </is>
      </c>
      <c r="AP1726" t="inlineStr">
        <is>
          <t>Once a year (25%)</t>
        </is>
      </c>
      <c r="AQ1726">
        <v>1</v>
      </c>
      <c r="AR1726" t="inlineStr">
        <is>
          <t>Free Job Portal</t>
        </is>
      </c>
      <c r="AS1726" t="inlineStr">
        <is>
          <t>- Headcount: 1
- Hiring Job Details: 1 Clerk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is>
      </c>
      <c r="AT1726">
        <v>110</v>
      </c>
      <c r="AU1726" t="inlineStr">
        <is>
          <t>1.10</t>
        </is>
      </c>
      <c r="AV1726" t="inlineStr">
        <is>
          <t>15</t>
        </is>
      </c>
      <c r="AW1726" t="inlineStr">
        <is>
          <t>0</t>
        </is>
      </c>
      <c r="AX1726" t="inlineStr">
        <is>
          <t>Not Qualified</t>
        </is>
      </c>
      <c r="AY1726" s="4"/>
      <c r="AZ1726"/>
      <c r="BA1726"/>
      <c r="BB1726"/>
      <c r="BC1726" t="inlineStr">
        <is>
          <t>NA dropped a text via Whatsapp</t>
        </is>
      </c>
      <c r="BD1726" s="4">
        <v>46132.70354166667</v>
      </c>
      <c r="BE1726" t="inlineStr">
        <is>
          <t>paid</t>
        </is>
      </c>
      <c r="BF1726"/>
      <c r="BG1726" t="inlineStr">
        <is>
          <t>Reschedule</t>
        </is>
      </c>
      <c r="BH1726" t="inlineStr">
        <is>
          <t>Edward Hoo</t>
        </is>
      </c>
      <c r="BI1726" t="inlineStr">
        <is>
          <t>General / Wholesale Trading</t>
        </is>
      </c>
      <c r="BJ1726" s="4">
        <v>46144.75314814815</v>
      </c>
      <c r="BK1726" s="4">
        <v>45988.638969907406</v>
      </c>
      <c r="BL1726" t="inlineStr">
        <is>
          <t>864.0</t>
        </is>
      </c>
      <c r="BM1726" t="inlineStr">
        <is>
          <t>0.0</t>
        </is>
      </c>
      <c r="BN1726" t="inlineStr">
        <is>
          <t>User Visit(Logged In)</t>
        </is>
      </c>
      <c r="BO1726" s="4">
        <v>46041.50141203704</v>
      </c>
      <c r="BP1726">
        <v>166375</v>
      </c>
      <c r="BQ1726">
        <v>84888</v>
      </c>
      <c r="BR1726" t="inlineStr">
        <is>
          <t>Online</t>
        </is>
      </c>
      <c r="BS1726"/>
      <c r="BT1726">
        <v>84888</v>
      </c>
      <c r="BU1726"/>
      <c r="BV1726">
        <v>2716445</v>
      </c>
      <c r="BW1726" t="inlineStr">
        <is>
          <t>No Answer : Voicemail - WA sent to customer</t>
        </is>
      </c>
      <c r="BX1726"/>
      <c r="BY1726"/>
      <c r="BZ1726" s="4"/>
      <c r="CA1726"/>
      <c r="CB1726"/>
      <c r="CC1726" s="4"/>
      <c r="CD1726" t="inlineStr">
        <is>
          <t>20</t>
        </is>
      </c>
      <c r="CE1726" t="inlineStr">
        <is>
          <t>0</t>
        </is>
      </c>
      <c r="CF1726" t="inlineStr">
        <is>
          <t>Q2-W02</t>
        </is>
      </c>
      <c r="CG1726"/>
      <c r="CH1726"/>
      <c r="CI1726"/>
      <c r="CJ1726" t="inlineStr">
        <is>
          <t>Paid</t>
        </is>
      </c>
      <c r="CK1726" t="inlineStr">
        <is>
          <t>Not Eligible</t>
        </is>
      </c>
      <c r="CL1726"/>
      <c r="CM1726"/>
    </row>
    <row r="1727" ht="25.5" customHeight="1">
      <c r="A1727" t="inlineStr">
        <is>
          <t>199377</t>
        </is>
      </c>
      <c r="B1727" s="2"/>
      <c r="C1727"/>
      <c r="D1727" s="3">
        <v>46122.471134259256</v>
      </c>
      <c r="E1727" t="inlineStr">
        <is>
          <t>Q2-W02</t>
        </is>
      </c>
      <c r="F1727" t="inlineStr">
        <is>
          <t>Alan KY</t>
        </is>
      </c>
      <c r="G1727" t="inlineStr">
        <is>
          <t>Customer</t>
        </is>
      </c>
      <c r="H1727" s="2" t="str">
        <f>=HYPERLINK("https://upbox.ajobthing.my/customer/199377", "https://upbox.ajobthing.my/customer/199377")</f>
        <v>https://upbox.ajobthing.my/customer/199377</v>
      </c>
      <c r="I1727" t="inlineStr">
        <is>
          <t>AXJ  Foodworks</t>
        </is>
      </c>
      <c r="J1727" t="inlineStr">
        <is>
          <t>Small Fish</t>
        </is>
      </c>
      <c r="K1727" t="inlineStr">
        <is>
          <t>Alan KY</t>
        </is>
      </c>
      <c r="L1727" s="4"/>
      <c r="M1727" s="4">
        <v>46122.47152777778</v>
      </c>
      <c r="N1727"/>
      <c r="O1727">
        <v>3888</v>
      </c>
      <c r="P1727" s="4"/>
      <c r="Q1727" s="4"/>
      <c r="R1727"/>
      <c r="S1727"/>
      <c r="T1727" s="4"/>
      <c r="U1727" s="4"/>
      <c r="V1727"/>
      <c r="W1727"/>
      <c r="X1727"/>
      <c r="Y1727" t="inlineStr">
        <is>
          <t>Pending Appointment</t>
        </is>
      </c>
      <c r="Z1727" t="inlineStr">
        <is>
          <t>Hiring Now</t>
        </is>
      </c>
      <c r="AA1727">
        <v>3</v>
      </c>
      <c r="AB1727" t="inlineStr">
        <is>
          <t>No Appointment Made</t>
        </is>
      </c>
      <c r="AC1727"/>
      <c r="AD1727" t="inlineStr">
        <is>
          <t xml:space="preserve">1 cashier, 2 service crew, in Penang </t>
        </is>
      </c>
      <c r="AE1727"/>
      <c r="AF1727"/>
      <c r="AG1727" s="4"/>
      <c r="AH1727" s="4"/>
      <c r="AI1727"/>
      <c r="AJ1727">
        <v>1</v>
      </c>
      <c r="AK1727" t="inlineStr">
        <is>
          <t>No, I don't need at all</t>
        </is>
      </c>
      <c r="AL1727"/>
      <c r="AM1727" t="inlineStr">
        <is>
          <t>No, I don't need at all</t>
        </is>
      </c>
      <c r="AN1727"/>
      <c r="AO1727" t="inlineStr">
        <is>
          <t>No, I don't need at all</t>
        </is>
      </c>
      <c r="AP1727" t="inlineStr">
        <is>
          <t>Once per quarter (75%)</t>
        </is>
      </c>
      <c r="AQ1727"/>
      <c r="AR1727" t="inlineStr">
        <is>
          <t>Did not use any job portal, Free Job Portal</t>
        </is>
      </c>
      <c r="AS1727" t="inlineStr">
        <is>
          <t>- Headcount: 3
- Hiring Job Details: 1 cashier, 2 service crew, in Penang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 Free Job Portal</t>
        </is>
      </c>
      <c r="AT1727">
        <v>100</v>
      </c>
      <c r="AU1727" t="inlineStr">
        <is>
          <t>1.00</t>
        </is>
      </c>
      <c r="AV1727" t="inlineStr">
        <is>
          <t>5</t>
        </is>
      </c>
      <c r="AW1727" t="inlineStr">
        <is>
          <t>0</t>
        </is>
      </c>
      <c r="AX1727" t="inlineStr">
        <is>
          <t>Not Qualified</t>
        </is>
      </c>
      <c r="AY1727" s="4"/>
      <c r="AZ1727"/>
      <c r="BA1727"/>
      <c r="BB1727"/>
      <c r="BC1727" t="inlineStr">
        <is>
          <t>Havent review yet</t>
        </is>
      </c>
      <c r="BD1727" s="4">
        <v>46129.465787037036</v>
      </c>
      <c r="BE1727"/>
      <c r="BF1727"/>
      <c r="BG1727" t="inlineStr">
        <is>
          <t>Reschedule</t>
        </is>
      </c>
      <c r="BH1727" t="inlineStr">
        <is>
          <t>Reagen</t>
        </is>
      </c>
      <c r="BI1727" t="inlineStr">
        <is>
          <t>Food / Beverage</t>
        </is>
      </c>
      <c r="BJ1727" s="4">
        <v>46144.75329861111</v>
      </c>
      <c r="BK1727" s="4">
        <v>46006.06898148148</v>
      </c>
      <c r="BL1727" t="inlineStr">
        <is>
          <t>0.0</t>
        </is>
      </c>
      <c r="BM1727" t="inlineStr">
        <is>
          <t>0.0</t>
        </is>
      </c>
      <c r="BN1727" t="inlineStr">
        <is>
          <t>View Company Page</t>
        </is>
      </c>
      <c r="BO1727" s="4">
        <v>46006.66515046296</v>
      </c>
      <c r="BP1727">
        <v>166377</v>
      </c>
      <c r="BQ1727"/>
      <c r="BR1727"/>
      <c r="BS1727"/>
      <c r="BT1727"/>
      <c r="BU1727"/>
      <c r="BV1727">
        <v>2711442</v>
      </c>
      <c r="BW1727" t="inlineStr">
        <is>
          <t>Follow Up : Decision Pending</t>
        </is>
      </c>
      <c r="BX1727"/>
      <c r="BY1727"/>
      <c r="BZ1727" s="4"/>
      <c r="CA1727"/>
      <c r="CB1727"/>
      <c r="CC1727" s="4"/>
      <c r="CD1727" t="inlineStr">
        <is>
          <t>5</t>
        </is>
      </c>
      <c r="CE1727" t="inlineStr">
        <is>
          <t>0</t>
        </is>
      </c>
      <c r="CF1727" t="inlineStr">
        <is>
          <t>Q2-W02</t>
        </is>
      </c>
      <c r="CG1727"/>
      <c r="CH1727"/>
      <c r="CI1727"/>
      <c r="CJ1727" t="inlineStr">
        <is>
          <t>No Paid</t>
        </is>
      </c>
      <c r="CK1727" t="inlineStr">
        <is>
          <t>Not Eligible</t>
        </is>
      </c>
      <c r="CL1727"/>
      <c r="CM1727"/>
    </row>
    <row r="1728" ht="25.5" customHeight="1">
      <c r="A1728" t="inlineStr">
        <is>
          <t>191961</t>
        </is>
      </c>
      <c r="B1728" s="2"/>
      <c r="C1728"/>
      <c r="D1728" s="3">
        <v>46122.47288194444</v>
      </c>
      <c r="E1728" t="inlineStr">
        <is>
          <t>Q2-W02</t>
        </is>
      </c>
      <c r="F1728" t="inlineStr">
        <is>
          <t>Xin Quan</t>
        </is>
      </c>
      <c r="G1728" t="inlineStr">
        <is>
          <t>Customer</t>
        </is>
      </c>
      <c r="H1728" s="2" t="str">
        <f>=HYPERLINK("https://upbox.ajobthing.my/customer/191961", "https://upbox.ajobthing.my/customer/191961")</f>
        <v>https://upbox.ajobthing.my/customer/191961</v>
      </c>
      <c r="I1728" t="inlineStr">
        <is>
          <t>Ultra Tech Resources</t>
        </is>
      </c>
      <c r="J1728" t="inlineStr">
        <is>
          <t>Small Fish</t>
        </is>
      </c>
      <c r="K1728" t="inlineStr">
        <is>
          <t>Xin Quan</t>
        </is>
      </c>
      <c r="L1728" s="4"/>
      <c r="M1728" s="4">
        <v>46122.47298611111</v>
      </c>
      <c r="N1728"/>
      <c r="O1728">
        <v>1296</v>
      </c>
      <c r="P1728" s="4"/>
      <c r="Q1728" s="4"/>
      <c r="R1728"/>
      <c r="S1728"/>
      <c r="T1728" s="4"/>
      <c r="U1728" s="4"/>
      <c r="V1728"/>
      <c r="W1728"/>
      <c r="X1728"/>
      <c r="Y1728" t="inlineStr">
        <is>
          <t>Pending Appointment</t>
        </is>
      </c>
      <c r="Z1728" t="inlineStr">
        <is>
          <t>Hiring Now</t>
        </is>
      </c>
      <c r="AA1728">
        <v>1</v>
      </c>
      <c r="AB1728" t="inlineStr">
        <is>
          <t>No Appointment Made</t>
        </is>
      </c>
      <c r="AC1728"/>
      <c r="AD1728" t="inlineStr">
        <is>
          <t>1 Supervisor Technician . Base in KL</t>
        </is>
      </c>
      <c r="AE1728"/>
      <c r="AF1728">
        <v>2000</v>
      </c>
      <c r="AG1728" s="4"/>
      <c r="AH1728" s="4"/>
      <c r="AI1728">
        <v>24000</v>
      </c>
      <c r="AJ1728">
        <v>1</v>
      </c>
      <c r="AK1728"/>
      <c r="AL1728"/>
      <c r="AM1728"/>
      <c r="AN1728"/>
      <c r="AO1728"/>
      <c r="AP1728"/>
      <c r="AQ1728">
        <v>1</v>
      </c>
      <c r="AR1728"/>
      <c r="AS1728" t="inlineStr">
        <is>
          <t>- Headcount: 1
- Hiring Job Details: 1 Supervisor Technician,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728">
        <v>100</v>
      </c>
      <c r="AU1728" t="inlineStr">
        <is>
          <t>1.00</t>
        </is>
      </c>
      <c r="AV1728" t="inlineStr">
        <is>
          <t>15</t>
        </is>
      </c>
      <c r="AW1728" t="inlineStr">
        <is>
          <t>0</t>
        </is>
      </c>
      <c r="AX1728" t="inlineStr">
        <is>
          <t>Not Qualified</t>
        </is>
      </c>
      <c r="AY1728" s="4"/>
      <c r="AZ1728"/>
      <c r="BA1728"/>
      <c r="BB1728"/>
      <c r="BC1728" t="inlineStr">
        <is>
          <t>HUNGUP Call</t>
        </is>
      </c>
      <c r="BD1728" s="4">
        <v>46126.44480324074</v>
      </c>
      <c r="BE1728"/>
      <c r="BF1728"/>
      <c r="BG1728" t="inlineStr">
        <is>
          <t>Reschedule</t>
        </is>
      </c>
      <c r="BH1728" t="inlineStr">
        <is>
          <t>Edward Hoo</t>
        </is>
      </c>
      <c r="BI1728"/>
      <c r="BJ1728" s="4">
        <v>46144.7524537037</v>
      </c>
      <c r="BK1728" s="4">
        <v>45806.4684837963</v>
      </c>
      <c r="BL1728" t="inlineStr">
        <is>
          <t>0.0</t>
        </is>
      </c>
      <c r="BM1728" t="inlineStr">
        <is>
          <t>0.0</t>
        </is>
      </c>
      <c r="BN1728" t="inlineStr">
        <is>
          <t>View Create Job Page</t>
        </is>
      </c>
      <c r="BO1728" s="4">
        <v>45806.475335648145</v>
      </c>
      <c r="BP1728">
        <v>166379</v>
      </c>
      <c r="BQ1728"/>
      <c r="BR1728"/>
      <c r="BS1728"/>
      <c r="BT1728"/>
      <c r="BU1728"/>
      <c r="BV1728">
        <v>2702719</v>
      </c>
      <c r="BW1728" t="inlineStr">
        <is>
          <t>No Answer : Voicemail - WA sent to customer</t>
        </is>
      </c>
      <c r="BX1728"/>
      <c r="BY1728"/>
      <c r="BZ1728" s="4"/>
      <c r="CA1728"/>
      <c r="CB1728"/>
      <c r="CC1728" s="4"/>
      <c r="CD1728" t="inlineStr">
        <is>
          <t>20</t>
        </is>
      </c>
      <c r="CE1728" t="inlineStr">
        <is>
          <t>0</t>
        </is>
      </c>
      <c r="CF1728" t="inlineStr">
        <is>
          <t>Q2-W02</t>
        </is>
      </c>
      <c r="CG1728"/>
      <c r="CH1728"/>
      <c r="CI1728"/>
      <c r="CJ1728" t="inlineStr">
        <is>
          <t>No Paid</t>
        </is>
      </c>
      <c r="CK1728" t="inlineStr">
        <is>
          <t>Not Eligible</t>
        </is>
      </c>
      <c r="CL1728"/>
      <c r="CM1728"/>
    </row>
    <row r="1729" ht="25.5" customHeight="1">
      <c r="A1729" t="inlineStr">
        <is>
          <t>4257759</t>
        </is>
      </c>
      <c r="B1729" s="2"/>
      <c r="C1729"/>
      <c r="D1729" s="3">
        <v>46122.47834490741</v>
      </c>
      <c r="E1729" t="inlineStr">
        <is>
          <t>Q2-W02</t>
        </is>
      </c>
      <c r="F1729" t="inlineStr">
        <is>
          <t>Carmen</t>
        </is>
      </c>
      <c r="G1729" t="inlineStr">
        <is>
          <t>Lead</t>
        </is>
      </c>
      <c r="H1729" s="2" t="str">
        <f>=HYPERLINK("https://upbox.ajobthing.my/leads/4257759", "https://upbox.ajobthing.my/leads/4257759")</f>
        <v>https://upbox.ajobthing.my/leads/4257759</v>
      </c>
      <c r="I1729" t="inlineStr">
        <is>
          <t>Private</t>
        </is>
      </c>
      <c r="J1729" t="inlineStr">
        <is>
          <t>Small Fish</t>
        </is>
      </c>
      <c r="K1729" t="inlineStr">
        <is>
          <t>Carmen</t>
        </is>
      </c>
      <c r="L1729" s="4"/>
      <c r="M1729" s="4">
        <v>46122.47673611111</v>
      </c>
      <c r="N1729"/>
      <c r="O1729">
        <v>5184</v>
      </c>
      <c r="P1729" s="4"/>
      <c r="Q1729" s="4"/>
      <c r="R1729"/>
      <c r="S1729"/>
      <c r="T1729" s="4"/>
      <c r="U1729" s="4"/>
      <c r="V1729"/>
      <c r="W1729"/>
      <c r="X1729"/>
      <c r="Y1729" t="inlineStr">
        <is>
          <t>Pending Appointment</t>
        </is>
      </c>
      <c r="Z1729" t="inlineStr">
        <is>
          <t>Hiring Later</t>
        </is>
      </c>
      <c r="AA1729">
        <v>10</v>
      </c>
      <c r="AB1729" t="inlineStr">
        <is>
          <t>No Appointment Made</t>
        </is>
      </c>
      <c r="AC1729"/>
      <c r="AD1729" t="inlineStr">
        <is>
          <t>10 ppl</t>
        </is>
      </c>
      <c r="AE1729"/>
      <c r="AF1729">
        <v>0</v>
      </c>
      <c r="AG1729" s="4"/>
      <c r="AH1729" s="4"/>
      <c r="AI1729"/>
      <c r="AJ1729"/>
      <c r="AK1729"/>
      <c r="AL1729"/>
      <c r="AM1729"/>
      <c r="AN1729"/>
      <c r="AO1729"/>
      <c r="AP1729"/>
      <c r="AQ1729"/>
      <c r="AR1729"/>
      <c r="AS1729" t="inlineStr">
        <is>
          <t>- Headcount: 10
- Hiring Job Details: 10 ppl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1729">
        <v>25</v>
      </c>
      <c r="AU1729" t="inlineStr">
        <is>
          <t>0.25</t>
        </is>
      </c>
      <c r="AV1729" t="inlineStr">
        <is>
          <t>20</t>
        </is>
      </c>
      <c r="AW1729" t="inlineStr">
        <is>
          <t>0</t>
        </is>
      </c>
      <c r="AX1729" t="inlineStr">
        <is>
          <t>Not Qualified</t>
        </is>
      </c>
      <c r="AY1729" s="4"/>
      <c r="AZ1729"/>
      <c r="BA1729"/>
      <c r="BB1729"/>
      <c r="BC1729"/>
      <c r="BD1729" s="4"/>
      <c r="BE1729"/>
      <c r="BF1729"/>
      <c r="BG1729" t="inlineStr">
        <is>
          <t>Reschedule</t>
        </is>
      </c>
      <c r="BH1729" t="inlineStr">
        <is>
          <t>Reagen</t>
        </is>
      </c>
      <c r="BI1729"/>
      <c r="BJ1729" s="4">
        <v>46144.755740740744</v>
      </c>
      <c r="BK1729" s="4">
        <v>46119.95229166667</v>
      </c>
      <c r="BL1729" t="inlineStr">
        <is>
          <t>0.0</t>
        </is>
      </c>
      <c r="BM1729" t="inlineStr">
        <is>
          <t>0.0</t>
        </is>
      </c>
      <c r="BN1729"/>
      <c r="BO1729" s="4"/>
      <c r="BP1729">
        <v>166384</v>
      </c>
      <c r="BQ1729"/>
      <c r="BR1729"/>
      <c r="BS1729"/>
      <c r="BT1729"/>
      <c r="BU1729"/>
      <c r="BV1729"/>
      <c r="BW1729"/>
      <c r="BX1729"/>
      <c r="BY1729"/>
      <c r="BZ1729" s="4"/>
      <c r="CA1729"/>
      <c r="CB1729"/>
      <c r="CC1729" s="4"/>
      <c r="CD1729" t="inlineStr">
        <is>
          <t>30</t>
        </is>
      </c>
      <c r="CE1729" t="inlineStr">
        <is>
          <t>0</t>
        </is>
      </c>
      <c r="CF1729" t="inlineStr">
        <is>
          <t>Q2-W02</t>
        </is>
      </c>
      <c r="CG1729"/>
      <c r="CH1729"/>
      <c r="CI1729"/>
      <c r="CJ1729" t="inlineStr">
        <is>
          <t>No Paid</t>
        </is>
      </c>
      <c r="CK1729" t="inlineStr">
        <is>
          <t>Eligible</t>
        </is>
      </c>
      <c r="CL1729"/>
      <c r="CM1729"/>
    </row>
    <row r="1730" ht="25.5" customHeight="1">
      <c r="A1730" t="inlineStr">
        <is>
          <t>193258</t>
        </is>
      </c>
      <c r="B1730" s="2"/>
      <c r="C1730"/>
      <c r="D1730" s="3">
        <v>46122.48280092593</v>
      </c>
      <c r="E1730" t="inlineStr">
        <is>
          <t>Q2-W02</t>
        </is>
      </c>
      <c r="F1730" t="inlineStr">
        <is>
          <t>Guest User 33300</t>
        </is>
      </c>
      <c r="G1730" t="inlineStr">
        <is>
          <t>Customer</t>
        </is>
      </c>
      <c r="H1730" s="2" t="str">
        <f>=HYPERLINK("https://upbox.ajobthing.my/customer/193258", "https://upbox.ajobthing.my/customer/193258")</f>
        <v>https://upbox.ajobthing.my/customer/193258</v>
      </c>
      <c r="I1730" t="inlineStr">
        <is>
          <t>Nixfon (M) Sdn Bhd</t>
        </is>
      </c>
      <c r="J1730" t="inlineStr">
        <is>
          <t>Small Fish</t>
        </is>
      </c>
      <c r="K1730" t="inlineStr">
        <is>
          <t>Fariz</t>
        </is>
      </c>
      <c r="L1730" s="4"/>
      <c r="M1730" s="4">
        <v>46122.483715277776</v>
      </c>
      <c r="N1730"/>
      <c r="O1730">
        <v>3888</v>
      </c>
      <c r="P1730" s="4"/>
      <c r="Q1730" s="4">
        <v>46127.45193287037</v>
      </c>
      <c r="R1730"/>
      <c r="S1730">
        <v>0</v>
      </c>
      <c r="T1730" s="4">
        <v>45841.61269675926</v>
      </c>
      <c r="U1730" s="4"/>
      <c r="V1730"/>
      <c r="W1730">
        <v>864</v>
      </c>
      <c r="X1730"/>
      <c r="Y1730" t="inlineStr">
        <is>
          <t>Pending Appointment</t>
        </is>
      </c>
      <c r="Z1730" t="inlineStr">
        <is>
          <t>Hiring Later</t>
        </is>
      </c>
      <c r="AA1730">
        <v>1</v>
      </c>
      <c r="AB1730" t="inlineStr">
        <is>
          <t>No Appointment Made</t>
        </is>
      </c>
      <c r="AC1730"/>
      <c r="AD1730" t="inlineStr">
        <is>
          <t>1.Technical Consultant</t>
        </is>
      </c>
      <c r="AE1730"/>
      <c r="AF1730">
        <v>3600</v>
      </c>
      <c r="AG1730" s="4"/>
      <c r="AH1730" s="4"/>
      <c r="AI1730"/>
      <c r="AJ1730"/>
      <c r="AK1730" t="inlineStr">
        <is>
          <t>No, but I want in future</t>
        </is>
      </c>
      <c r="AL1730">
        <v>1</v>
      </c>
      <c r="AM1730" t="inlineStr">
        <is>
          <t>No, I don't need at all</t>
        </is>
      </c>
      <c r="AN1730"/>
      <c r="AO1730" t="inlineStr">
        <is>
          <t>Yes, I have</t>
        </is>
      </c>
      <c r="AP1730" t="inlineStr">
        <is>
          <t>Twice a year (50%)</t>
        </is>
      </c>
      <c r="AQ1730"/>
      <c r="AR1730" t="inlineStr">
        <is>
          <t>Linkedin (Paid), Free Job Portal</t>
        </is>
      </c>
      <c r="AS1730" t="inlineStr">
        <is>
          <t>- Headcount: 1
- Hiring Job Details: 1 Technical Consultant
- Hiring Urgency: Hiring Later
- Number of outlets: 
- Have recruiter team: No, but want in future
- Number of recruiter in company: 1
- Have ATS system: No, I don't need at all
- Have career website: Yes
- Current hiring budget: RM3,600.00
- Whole year budget: 
- Whole year number of vacancies: 
- Hiring frequency: Twice a year (50%)
- External job portal: Linkedin (Paid), Free Job Portal</t>
        </is>
      </c>
      <c r="AT1730">
        <v>95</v>
      </c>
      <c r="AU1730" t="inlineStr">
        <is>
          <t>0.95</t>
        </is>
      </c>
      <c r="AV1730" t="inlineStr">
        <is>
          <t>15</t>
        </is>
      </c>
      <c r="AW1730" t="inlineStr">
        <is>
          <t>0</t>
        </is>
      </c>
      <c r="AX1730" t="inlineStr">
        <is>
          <t>Not Qualified</t>
        </is>
      </c>
      <c r="AY1730" s="4"/>
      <c r="AZ1730"/>
      <c r="BA1730"/>
      <c r="BB1730"/>
      <c r="BC1730" t="inlineStr">
        <is>
          <t>proceed with Jobstreet, their management on budget.</t>
        </is>
      </c>
      <c r="BD1730" s="4">
        <v>46132.70707175926</v>
      </c>
      <c r="BE1730" t="inlineStr">
        <is>
          <t>paid</t>
        </is>
      </c>
      <c r="BF1730"/>
      <c r="BG1730" t="inlineStr">
        <is>
          <t>Reschedule</t>
        </is>
      </c>
      <c r="BH1730"/>
      <c r="BI1730" t="inlineStr">
        <is>
          <t>IT / Software</t>
        </is>
      </c>
      <c r="BJ1730" s="4">
        <v>46144.75261574074</v>
      </c>
      <c r="BK1730" s="4">
        <v>45839.649930555555</v>
      </c>
      <c r="BL1730" t="inlineStr">
        <is>
          <t>864.0</t>
        </is>
      </c>
      <c r="BM1730" t="inlineStr">
        <is>
          <t>0.0</t>
        </is>
      </c>
      <c r="BN1730" t="inlineStr">
        <is>
          <t>View Company Page</t>
        </is>
      </c>
      <c r="BO1730" s="4">
        <v>46127.4534375</v>
      </c>
      <c r="BP1730">
        <v>166386</v>
      </c>
      <c r="BQ1730">
        <v>122405</v>
      </c>
      <c r="BR1730" t="inlineStr">
        <is>
          <t>Proforma</t>
        </is>
      </c>
      <c r="BS1730" t="inlineStr">
        <is>
          <t>Free High Pay Job</t>
        </is>
      </c>
      <c r="BT1730">
        <v>80529</v>
      </c>
      <c r="BU1730"/>
      <c r="BV1730">
        <v>2716461</v>
      </c>
      <c r="BW1730" t="inlineStr">
        <is>
          <t>Follow Up : Lost - Paid Portal</t>
        </is>
      </c>
      <c r="BX1730"/>
      <c r="BY1730"/>
      <c r="BZ1730" s="4"/>
      <c r="CA1730"/>
      <c r="CB1730"/>
      <c r="CC1730" s="4"/>
      <c r="CD1730" t="inlineStr">
        <is>
          <t>20</t>
        </is>
      </c>
      <c r="CE1730" t="inlineStr">
        <is>
          <t>0</t>
        </is>
      </c>
      <c r="CF1730" t="inlineStr">
        <is>
          <t>Q2-W02</t>
        </is>
      </c>
      <c r="CG1730" t="inlineStr">
        <is>
          <t>Q2-W02</t>
        </is>
      </c>
      <c r="CH1730"/>
      <c r="CI1730"/>
      <c r="CJ1730" t="inlineStr">
        <is>
          <t>Paid</t>
        </is>
      </c>
      <c r="CK1730" t="inlineStr">
        <is>
          <t>Not Eligible</t>
        </is>
      </c>
      <c r="CL1730"/>
      <c r="CM1730"/>
    </row>
    <row r="1731" ht="25.5" customHeight="1">
      <c r="A1731" t="inlineStr">
        <is>
          <t>4268082</t>
        </is>
      </c>
      <c r="B1731" s="2"/>
      <c r="C1731"/>
      <c r="D1731" s="3">
        <v>46122.48643518519</v>
      </c>
      <c r="E1731" t="inlineStr">
        <is>
          <t>Q2-W02</t>
        </is>
      </c>
      <c r="F1731" t="inlineStr">
        <is>
          <t>Jia Hui</t>
        </is>
      </c>
      <c r="G1731" t="inlineStr">
        <is>
          <t>Lead</t>
        </is>
      </c>
      <c r="H1731" s="2" t="str">
        <f>=HYPERLINK("https://upbox.ajobthing.my/leads/4268082", "https://upbox.ajobthing.my/leads/4268082")</f>
        <v>https://upbox.ajobthing.my/leads/4268082</v>
      </c>
      <c r="I1731" t="inlineStr">
        <is>
          <t>AR CONTINENTAL AUTOWORKS</t>
        </is>
      </c>
      <c r="J1731" t="inlineStr">
        <is>
          <t>Small Fish</t>
        </is>
      </c>
      <c r="K1731" t="inlineStr">
        <is>
          <t>Jia Hui</t>
        </is>
      </c>
      <c r="L1731" s="4"/>
      <c r="M1731" s="4">
        <v>46122.48672453704</v>
      </c>
      <c r="N1731"/>
      <c r="O1731">
        <v>3888</v>
      </c>
      <c r="P1731" s="4"/>
      <c r="Q1731" s="4"/>
      <c r="R1731"/>
      <c r="S1731"/>
      <c r="T1731" s="4"/>
      <c r="U1731" s="4"/>
      <c r="V1731"/>
      <c r="W1731"/>
      <c r="X1731"/>
      <c r="Y1731" t="inlineStr">
        <is>
          <t>Pending Appointment</t>
        </is>
      </c>
      <c r="Z1731" t="inlineStr">
        <is>
          <t>Hiring Now</t>
        </is>
      </c>
      <c r="AA1731">
        <v>2</v>
      </c>
      <c r="AB1731" t="inlineStr">
        <is>
          <t>No Appointment Made</t>
        </is>
      </c>
      <c r="AC1731"/>
      <c r="AD1731" t="inlineStr">
        <is>
          <t>2 mechanics</t>
        </is>
      </c>
      <c r="AE1731"/>
      <c r="AF1731">
        <v>500</v>
      </c>
      <c r="AG1731" s="4"/>
      <c r="AH1731" s="4"/>
      <c r="AI1731"/>
      <c r="AJ1731"/>
      <c r="AK1731" t="inlineStr">
        <is>
          <t>No, but I want in future</t>
        </is>
      </c>
      <c r="AL1731"/>
      <c r="AM1731"/>
      <c r="AN1731"/>
      <c r="AO1731"/>
      <c r="AP1731" t="inlineStr">
        <is>
          <t>Once a year (25%)</t>
        </is>
      </c>
      <c r="AQ1731"/>
      <c r="AR1731"/>
      <c r="AS1731" t="inlineStr">
        <is>
          <t>- Headcount: 2
- Hiring Job Details: 2 mechanics
- Hiring Urgency: Hiring Now
- Number of outlets: Not specified
- Have recruiter team: No, but I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1731">
        <v>75</v>
      </c>
      <c r="AU1731" t="inlineStr">
        <is>
          <t>0.75</t>
        </is>
      </c>
      <c r="AV1731" t="inlineStr">
        <is>
          <t>15</t>
        </is>
      </c>
      <c r="AW1731" t="inlineStr">
        <is>
          <t>0</t>
        </is>
      </c>
      <c r="AX1731" t="inlineStr">
        <is>
          <t>Not Qualified</t>
        </is>
      </c>
      <c r="AY1731" s="4"/>
      <c r="AZ1731"/>
      <c r="BA1731"/>
      <c r="BB1731"/>
      <c r="BC1731"/>
      <c r="BD1731" s="4"/>
      <c r="BE1731"/>
      <c r="BF1731"/>
      <c r="BG1731" t="inlineStr">
        <is>
          <t>Reschedule</t>
        </is>
      </c>
      <c r="BH1731" t="inlineStr">
        <is>
          <t>Reagen</t>
        </is>
      </c>
      <c r="BI1731"/>
      <c r="BJ1731" s="4">
        <v>46144.75578703704</v>
      </c>
      <c r="BK1731" s="4">
        <v>46122.41537037037</v>
      </c>
      <c r="BL1731" t="inlineStr">
        <is>
          <t>0.0</t>
        </is>
      </c>
      <c r="BM1731" t="inlineStr">
        <is>
          <t>0.0</t>
        </is>
      </c>
      <c r="BN1731"/>
      <c r="BO1731" s="4"/>
      <c r="BP1731">
        <v>166388</v>
      </c>
      <c r="BQ1731"/>
      <c r="BR1731"/>
      <c r="BS1731"/>
      <c r="BT1731"/>
      <c r="BU1731"/>
      <c r="BV1731"/>
      <c r="BW1731"/>
      <c r="BX1731"/>
      <c r="BY1731"/>
      <c r="BZ1731" s="4"/>
      <c r="CA1731"/>
      <c r="CB1731"/>
      <c r="CC1731" s="4"/>
      <c r="CD1731" t="inlineStr">
        <is>
          <t>20</t>
        </is>
      </c>
      <c r="CE1731" t="inlineStr">
        <is>
          <t>0</t>
        </is>
      </c>
      <c r="CF1731" t="inlineStr">
        <is>
          <t>Q2-W02</t>
        </is>
      </c>
      <c r="CG1731"/>
      <c r="CH1731"/>
      <c r="CI1731"/>
      <c r="CJ1731" t="inlineStr">
        <is>
          <t>No Paid</t>
        </is>
      </c>
      <c r="CK1731" t="inlineStr">
        <is>
          <t>Not Eligible</t>
        </is>
      </c>
      <c r="CL1731"/>
      <c r="CM1731"/>
    </row>
    <row r="1732" ht="25.5" customHeight="1">
      <c r="A1732" t="inlineStr">
        <is>
          <t>191610</t>
        </is>
      </c>
      <c r="B1732" s="2"/>
      <c r="C1732"/>
      <c r="D1732" s="3">
        <v>46122.4868287037</v>
      </c>
      <c r="E1732" t="inlineStr">
        <is>
          <t>Q2-W02</t>
        </is>
      </c>
      <c r="F1732" t="inlineStr">
        <is>
          <t>Jeff Lee</t>
        </is>
      </c>
      <c r="G1732" t="inlineStr">
        <is>
          <t>Customer</t>
        </is>
      </c>
      <c r="H1732" s="2" t="str">
        <f>=HYPERLINK("https://upbox.ajobthing.my/customer/191610", "https://upbox.ajobthing.my/customer/191610")</f>
        <v>https://upbox.ajobthing.my/customer/191610</v>
      </c>
      <c r="I1732" t="inlineStr">
        <is>
          <t>Capital Bliss Sdn Bhd</t>
        </is>
      </c>
      <c r="J1732" t="inlineStr">
        <is>
          <t>Small Fish</t>
        </is>
      </c>
      <c r="K1732" t="inlineStr">
        <is>
          <t>Jeff Lee</t>
        </is>
      </c>
      <c r="L1732" s="4"/>
      <c r="M1732" s="4">
        <v>46122.476805555554</v>
      </c>
      <c r="N1732"/>
      <c r="O1732">
        <v>3888</v>
      </c>
      <c r="P1732" s="4"/>
      <c r="Q1732" s="4">
        <v>45803.55167824074</v>
      </c>
      <c r="R1732"/>
      <c r="S1732">
        <v>1944</v>
      </c>
      <c r="T1732" s="4"/>
      <c r="U1732" s="4"/>
      <c r="V1732"/>
      <c r="W1732"/>
      <c r="X1732"/>
      <c r="Y1732" t="inlineStr">
        <is>
          <t>Pending Appointment</t>
        </is>
      </c>
      <c r="Z1732" t="inlineStr">
        <is>
          <t>Hiring Now</t>
        </is>
      </c>
      <c r="AA1732">
        <v>2</v>
      </c>
      <c r="AB1732" t="inlineStr">
        <is>
          <t>No Appointment Made</t>
        </is>
      </c>
      <c r="AC1732"/>
      <c r="AD1732" t="inlineStr">
        <is>
          <t>1. Quantity Surveyor and Contract Manager / Commercial QS（High Impact Role）
2. 2 vacancies</t>
        </is>
      </c>
      <c r="AE1732"/>
      <c r="AF1732">
        <v>0</v>
      </c>
      <c r="AG1732" s="4"/>
      <c r="AH1732" s="4"/>
      <c r="AI1732">
        <v>0</v>
      </c>
      <c r="AJ1732">
        <v>0</v>
      </c>
      <c r="AK1732" t="inlineStr">
        <is>
          <t>No, I don't need at all</t>
        </is>
      </c>
      <c r="AL1732">
        <v>0</v>
      </c>
      <c r="AM1732" t="inlineStr">
        <is>
          <t>No, I don't need at all</t>
        </is>
      </c>
      <c r="AN1732"/>
      <c r="AO1732" t="inlineStr">
        <is>
          <t>No, I don't need at all</t>
        </is>
      </c>
      <c r="AP1732" t="inlineStr">
        <is>
          <t>Once a year (25%)</t>
        </is>
      </c>
      <c r="AQ1732">
        <v>2</v>
      </c>
      <c r="AR1732" t="inlineStr">
        <is>
          <t>Jobstreet, Free Job Portal</t>
        </is>
      </c>
      <c r="AS1732" t="inlineStr">
        <is>
          <t>- Headcount: 2
- Hiring Job Details: 1. Quantity Surveyor and Contract Manager / Commercial QS（High Impact Role）2. 2 vacancies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Jobstreet,Free Job Portal</t>
        </is>
      </c>
      <c r="AT1732">
        <v>110</v>
      </c>
      <c r="AU1732" t="inlineStr">
        <is>
          <t>1.10</t>
        </is>
      </c>
      <c r="AV1732" t="inlineStr">
        <is>
          <t>15</t>
        </is>
      </c>
      <c r="AW1732" t="inlineStr">
        <is>
          <t>0</t>
        </is>
      </c>
      <c r="AX1732" t="inlineStr">
        <is>
          <t>Not Qualified</t>
        </is>
      </c>
      <c r="AY1732" s="4"/>
      <c r="AZ1732"/>
      <c r="BA1732"/>
      <c r="BB1732"/>
      <c r="BC1732" t="inlineStr">
        <is>
          <t>Not hiring now</t>
        </is>
      </c>
      <c r="BD1732" s="4">
        <v>46125.42188657408</v>
      </c>
      <c r="BE1732" t="inlineStr">
        <is>
          <t>pending</t>
        </is>
      </c>
      <c r="BF1732"/>
      <c r="BG1732" t="inlineStr">
        <is>
          <t>Reschedule</t>
        </is>
      </c>
      <c r="BH1732" t="inlineStr">
        <is>
          <t>Yee Hang</t>
        </is>
      </c>
      <c r="BI1732"/>
      <c r="BJ1732" s="4">
        <v>46144.752430555556</v>
      </c>
      <c r="BK1732" s="4">
        <v>45798.67422453704</v>
      </c>
      <c r="BL1732" t="inlineStr">
        <is>
          <t>0.0</t>
        </is>
      </c>
      <c r="BM1732" t="inlineStr">
        <is>
          <t>0.0</t>
        </is>
      </c>
      <c r="BN1732" t="inlineStr">
        <is>
          <t>View Account User</t>
        </is>
      </c>
      <c r="BO1732" s="4">
        <v>45798.69290509259</v>
      </c>
      <c r="BP1732">
        <v>166385</v>
      </c>
      <c r="BQ1732">
        <v>104935</v>
      </c>
      <c r="BR1732" t="inlineStr">
        <is>
          <t>Proforma</t>
        </is>
      </c>
      <c r="BS1732" t="inlineStr">
        <is>
          <t>Ala Carte Double Plus</t>
        </is>
      </c>
      <c r="BT1732"/>
      <c r="BU1732"/>
      <c r="BV1732">
        <v>2699969</v>
      </c>
      <c r="BW1732" t="inlineStr">
        <is>
          <t>Follow Up : Decision Pending</t>
        </is>
      </c>
      <c r="BX1732"/>
      <c r="BY1732"/>
      <c r="BZ1732" s="4"/>
      <c r="CA1732"/>
      <c r="CB1732"/>
      <c r="CC1732" s="4"/>
      <c r="CD1732" t="inlineStr">
        <is>
          <t>20</t>
        </is>
      </c>
      <c r="CE1732" t="inlineStr">
        <is>
          <t>0</t>
        </is>
      </c>
      <c r="CF1732" t="inlineStr">
        <is>
          <t>Q2-W02</t>
        </is>
      </c>
      <c r="CG1732"/>
      <c r="CH1732"/>
      <c r="CI1732"/>
      <c r="CJ1732" t="inlineStr">
        <is>
          <t>No Paid</t>
        </is>
      </c>
      <c r="CK1732" t="inlineStr">
        <is>
          <t>Not Eligible</t>
        </is>
      </c>
      <c r="CL1732"/>
      <c r="CM1732"/>
    </row>
    <row r="1733" ht="25.5" customHeight="1">
      <c r="A1733" t="inlineStr">
        <is>
          <t>201252</t>
        </is>
      </c>
      <c r="B1733" s="2"/>
      <c r="C1733"/>
      <c r="D1733" s="3">
        <v>46122.49423611111</v>
      </c>
      <c r="E1733" t="inlineStr">
        <is>
          <t>Q2-W02</t>
        </is>
      </c>
      <c r="F1733" t="inlineStr">
        <is>
          <t>Lucas</t>
        </is>
      </c>
      <c r="G1733" t="inlineStr">
        <is>
          <t>Customer</t>
        </is>
      </c>
      <c r="H1733" s="2" t="str">
        <f>=HYPERLINK("https://upbox.ajobthing.my/customer/201252", "https://upbox.ajobthing.my/customer/201252")</f>
        <v>https://upbox.ajobthing.my/customer/201252</v>
      </c>
      <c r="I1733" t="inlineStr">
        <is>
          <t xml:space="preserve">Mfi Dorsata Honey (m) Sdn. Bhd. </t>
        </is>
      </c>
      <c r="J1733" t="inlineStr">
        <is>
          <t>Small Fish</t>
        </is>
      </c>
      <c r="K1733" t="inlineStr">
        <is>
          <t>Lucas</t>
        </is>
      </c>
      <c r="L1733" s="4"/>
      <c r="M1733" s="4">
        <v>46122.49489583333</v>
      </c>
      <c r="N1733"/>
      <c r="O1733">
        <v>3888</v>
      </c>
      <c r="P1733" s="4"/>
      <c r="Q1733" s="4"/>
      <c r="R1733"/>
      <c r="S1733"/>
      <c r="T1733" s="4"/>
      <c r="U1733" s="4"/>
      <c r="V1733"/>
      <c r="W1733"/>
      <c r="X1733"/>
      <c r="Y1733" t="inlineStr">
        <is>
          <t>Pending Appointment</t>
        </is>
      </c>
      <c r="Z1733" t="inlineStr">
        <is>
          <t>Hiring Now</t>
        </is>
      </c>
      <c r="AA1733">
        <v>1</v>
      </c>
      <c r="AB1733" t="inlineStr">
        <is>
          <t>No Appointment Made</t>
        </is>
      </c>
      <c r="AC1733"/>
      <c r="AD1733" t="inlineStr">
        <is>
          <t xml:space="preserve">1 saleman </t>
        </is>
      </c>
      <c r="AE1733"/>
      <c r="AF1733">
        <v>0</v>
      </c>
      <c r="AG1733" s="4"/>
      <c r="AH1733" s="4"/>
      <c r="AI1733">
        <v>0</v>
      </c>
      <c r="AJ1733">
        <v>0</v>
      </c>
      <c r="AK1733" t="inlineStr">
        <is>
          <t>No, I don't need at all</t>
        </is>
      </c>
      <c r="AL1733">
        <v>0</v>
      </c>
      <c r="AM1733" t="inlineStr">
        <is>
          <t>No, I don't need at all</t>
        </is>
      </c>
      <c r="AN1733"/>
      <c r="AO1733" t="inlineStr">
        <is>
          <t>No, I don't need at all</t>
        </is>
      </c>
      <c r="AP1733" t="inlineStr">
        <is>
          <t>Once a year (25%)</t>
        </is>
      </c>
      <c r="AQ1733">
        <v>1</v>
      </c>
      <c r="AR1733" t="inlineStr">
        <is>
          <t>Did not use any job portal</t>
        </is>
      </c>
      <c r="AS1733" t="inlineStr">
        <is>
          <t>- Headcount: 1
- Hiring Job Details: 1 saleman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733">
        <v>110</v>
      </c>
      <c r="AU1733" t="inlineStr">
        <is>
          <t>1.10</t>
        </is>
      </c>
      <c r="AV1733" t="inlineStr">
        <is>
          <t>15</t>
        </is>
      </c>
      <c r="AW1733" t="inlineStr">
        <is>
          <t>0</t>
        </is>
      </c>
      <c r="AX1733" t="inlineStr">
        <is>
          <t>Not Qualified</t>
        </is>
      </c>
      <c r="AY1733" s="4"/>
      <c r="AZ1733"/>
      <c r="BA1733"/>
      <c r="BB1733"/>
      <c r="BC1733" t="inlineStr">
        <is>
          <t>nr</t>
        </is>
      </c>
      <c r="BD1733" s="4">
        <v>46129.449641203704</v>
      </c>
      <c r="BE1733"/>
      <c r="BF1733"/>
      <c r="BG1733" t="inlineStr">
        <is>
          <t>Reschedule</t>
        </is>
      </c>
      <c r="BH1733" t="inlineStr">
        <is>
          <t>Yee Hang</t>
        </is>
      </c>
      <c r="BI1733"/>
      <c r="BJ1733" s="4">
        <v>46144.75375</v>
      </c>
      <c r="BK1733" s="4">
        <v>46066.844456018516</v>
      </c>
      <c r="BL1733" t="inlineStr">
        <is>
          <t>0.0</t>
        </is>
      </c>
      <c r="BM1733" t="inlineStr">
        <is>
          <t>0.0</t>
        </is>
      </c>
      <c r="BN1733" t="inlineStr">
        <is>
          <t>View Company Page</t>
        </is>
      </c>
      <c r="BO1733" s="4">
        <v>46066.84951388889</v>
      </c>
      <c r="BP1733">
        <v>166391</v>
      </c>
      <c r="BQ1733"/>
      <c r="BR1733"/>
      <c r="BS1733"/>
      <c r="BT1733"/>
      <c r="BU1733"/>
      <c r="BV1733">
        <v>2711281</v>
      </c>
      <c r="BW1733" t="inlineStr">
        <is>
          <t>No Answer : 3 Days No Response</t>
        </is>
      </c>
      <c r="BX1733"/>
      <c r="BY1733"/>
      <c r="BZ1733" s="4"/>
      <c r="CA1733"/>
      <c r="CB1733"/>
      <c r="CC1733" s="4"/>
      <c r="CD1733" t="inlineStr">
        <is>
          <t>20</t>
        </is>
      </c>
      <c r="CE1733" t="inlineStr">
        <is>
          <t>0</t>
        </is>
      </c>
      <c r="CF1733" t="inlineStr">
        <is>
          <t>Q2-W02</t>
        </is>
      </c>
      <c r="CG1733"/>
      <c r="CH1733"/>
      <c r="CI1733"/>
      <c r="CJ1733" t="inlineStr">
        <is>
          <t>No Paid</t>
        </is>
      </c>
      <c r="CK1733" t="inlineStr">
        <is>
          <t>Not Eligible</t>
        </is>
      </c>
      <c r="CL1733"/>
      <c r="CM1733"/>
    </row>
    <row r="1734" ht="25.5" customHeight="1">
      <c r="A1734" t="inlineStr">
        <is>
          <t>191955</t>
        </is>
      </c>
      <c r="B1734" s="2"/>
      <c r="C1734"/>
      <c r="D1734" s="3">
        <v>46122.4972337963</v>
      </c>
      <c r="E1734" t="inlineStr">
        <is>
          <t>Q2-W02</t>
        </is>
      </c>
      <c r="F1734" t="inlineStr">
        <is>
          <t>Xin Quan</t>
        </is>
      </c>
      <c r="G1734" t="inlineStr">
        <is>
          <t>Customer</t>
        </is>
      </c>
      <c r="H1734" s="2" t="str">
        <f>=HYPERLINK("https://upbox.ajobthing.my/customer/191955", "https://upbox.ajobthing.my/customer/191955")</f>
        <v>https://upbox.ajobthing.my/customer/191955</v>
      </c>
      <c r="I1734" t="inlineStr">
        <is>
          <t>Nexcellence Ventures</t>
        </is>
      </c>
      <c r="J1734" t="inlineStr">
        <is>
          <t>Small Fish</t>
        </is>
      </c>
      <c r="K1734" t="inlineStr">
        <is>
          <t>Xin Quan</t>
        </is>
      </c>
      <c r="L1734" s="4"/>
      <c r="M1734" s="4">
        <v>46122.49743055556</v>
      </c>
      <c r="N1734"/>
      <c r="O1734">
        <v>3888</v>
      </c>
      <c r="P1734" s="4"/>
      <c r="Q1734" s="4"/>
      <c r="R1734"/>
      <c r="S1734"/>
      <c r="T1734" s="4"/>
      <c r="U1734" s="4"/>
      <c r="V1734"/>
      <c r="W1734"/>
      <c r="X1734"/>
      <c r="Y1734" t="inlineStr">
        <is>
          <t>Pending Appointment</t>
        </is>
      </c>
      <c r="Z1734" t="inlineStr">
        <is>
          <t>Hiring Later</t>
        </is>
      </c>
      <c r="AA1734">
        <v>1</v>
      </c>
      <c r="AB1734" t="inlineStr">
        <is>
          <t>No Appointment Made</t>
        </is>
      </c>
      <c r="AC1734"/>
      <c r="AD1734" t="inlineStr">
        <is>
          <t>1 Sales , Base in KL</t>
        </is>
      </c>
      <c r="AE1734"/>
      <c r="AF1734">
        <v>2000</v>
      </c>
      <c r="AG1734" s="4"/>
      <c r="AH1734" s="4"/>
      <c r="AI1734">
        <v>24000</v>
      </c>
      <c r="AJ1734">
        <v>1</v>
      </c>
      <c r="AK1734"/>
      <c r="AL1734"/>
      <c r="AM1734"/>
      <c r="AN1734"/>
      <c r="AO1734"/>
      <c r="AP1734"/>
      <c r="AQ1734">
        <v>1</v>
      </c>
      <c r="AR1734"/>
      <c r="AS1734" t="inlineStr">
        <is>
          <t>- Headcount: 1
- Hiring Job Details: 1 Sales, Base in KL
- Hiring Urgency: Hiring Later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734">
        <v>85</v>
      </c>
      <c r="AU1734" t="inlineStr">
        <is>
          <t>0.85</t>
        </is>
      </c>
      <c r="AV1734" t="inlineStr">
        <is>
          <t>15</t>
        </is>
      </c>
      <c r="AW1734" t="inlineStr">
        <is>
          <t>0</t>
        </is>
      </c>
      <c r="AX1734" t="inlineStr">
        <is>
          <t>Not Qualified</t>
        </is>
      </c>
      <c r="AY1734" s="4"/>
      <c r="AZ1734"/>
      <c r="BA1734"/>
      <c r="BB1734"/>
      <c r="BC1734" t="inlineStr">
        <is>
          <t>- Headcount: 1
- Hiring Job Details: 1 Sales, Base in KL
- Hiring Urgency: Hiring Later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BD1734" s="4">
        <v>46122.50003472222</v>
      </c>
      <c r="BE1734"/>
      <c r="BF1734"/>
      <c r="BG1734" t="inlineStr">
        <is>
          <t>Reschedule</t>
        </is>
      </c>
      <c r="BH1734" t="inlineStr">
        <is>
          <t>Edward Hoo</t>
        </is>
      </c>
      <c r="BI1734" t="inlineStr">
        <is>
          <t>Business / Mgmt Consulting</t>
        </is>
      </c>
      <c r="BJ1734" s="4">
        <v>46144.7524537037</v>
      </c>
      <c r="BK1734" s="4">
        <v>45806.42701388889</v>
      </c>
      <c r="BL1734" t="inlineStr">
        <is>
          <t>0.0</t>
        </is>
      </c>
      <c r="BM1734" t="inlineStr">
        <is>
          <t>0.0</t>
        </is>
      </c>
      <c r="BN1734" t="inlineStr">
        <is>
          <t>View Company Page</t>
        </is>
      </c>
      <c r="BO1734" s="4">
        <v>45806.43949074074</v>
      </c>
      <c r="BP1734">
        <v>166394</v>
      </c>
      <c r="BQ1734"/>
      <c r="BR1734"/>
      <c r="BS1734"/>
      <c r="BT1734"/>
      <c r="BU1734"/>
      <c r="BV1734">
        <v>2697878</v>
      </c>
      <c r="BW1734" t="inlineStr">
        <is>
          <t>Customer Inquiry</t>
        </is>
      </c>
      <c r="BX1734"/>
      <c r="BY1734"/>
      <c r="BZ1734" s="4"/>
      <c r="CA1734"/>
      <c r="CB1734"/>
      <c r="CC1734" s="4"/>
      <c r="CD1734" t="inlineStr">
        <is>
          <t>20</t>
        </is>
      </c>
      <c r="CE1734" t="inlineStr">
        <is>
          <t>0</t>
        </is>
      </c>
      <c r="CF1734" t="inlineStr">
        <is>
          <t>Q2-W02</t>
        </is>
      </c>
      <c r="CG1734"/>
      <c r="CH1734"/>
      <c r="CI1734"/>
      <c r="CJ1734" t="inlineStr">
        <is>
          <t>No Paid</t>
        </is>
      </c>
      <c r="CK1734" t="inlineStr">
        <is>
          <t>Not Eligible</t>
        </is>
      </c>
      <c r="CL1734"/>
      <c r="CM1734"/>
    </row>
    <row r="1735" ht="25.5" customHeight="1">
      <c r="A1735" t="inlineStr">
        <is>
          <t>179349</t>
        </is>
      </c>
      <c r="B1735" s="2"/>
      <c r="C1735"/>
      <c r="D1735" s="3">
        <v>46122.498020833336</v>
      </c>
      <c r="E1735" t="inlineStr">
        <is>
          <t>Q2-W02</t>
        </is>
      </c>
      <c r="F1735" t="inlineStr">
        <is>
          <t>Chia Yee</t>
        </is>
      </c>
      <c r="G1735" t="inlineStr">
        <is>
          <t>Customer</t>
        </is>
      </c>
      <c r="H1735" s="2" t="str">
        <f>=HYPERLINK("https://upbox.ajobthing.my/customer/179349", "https://upbox.ajobthing.my/customer/179349")</f>
        <v>https://upbox.ajobthing.my/customer/179349</v>
      </c>
      <c r="I1735" t="inlineStr">
        <is>
          <t>Meekids Club</t>
        </is>
      </c>
      <c r="J1735" t="inlineStr">
        <is>
          <t>Small Fish</t>
        </is>
      </c>
      <c r="K1735" t="inlineStr">
        <is>
          <t>Chia Yee</t>
        </is>
      </c>
      <c r="L1735" s="4"/>
      <c r="M1735" s="4">
        <v>46122.498402777775</v>
      </c>
      <c r="N1735"/>
      <c r="O1735">
        <v>1296</v>
      </c>
      <c r="P1735" s="4"/>
      <c r="Q1735" s="4">
        <v>45467.445763888885</v>
      </c>
      <c r="R1735"/>
      <c r="S1735">
        <v>360.72</v>
      </c>
      <c r="T1735" s="4">
        <v>45467.445763888885</v>
      </c>
      <c r="U1735" s="4"/>
      <c r="V1735"/>
      <c r="W1735">
        <v>360.72</v>
      </c>
      <c r="X1735"/>
      <c r="Y1735" t="inlineStr">
        <is>
          <t>Pending Appointment</t>
        </is>
      </c>
      <c r="Z1735" t="inlineStr">
        <is>
          <t>Hiring Now</t>
        </is>
      </c>
      <c r="AA1735">
        <v>1</v>
      </c>
      <c r="AB1735" t="inlineStr">
        <is>
          <t>No Appointment Made</t>
        </is>
      </c>
      <c r="AC1735"/>
      <c r="AD1735" t="inlineStr">
        <is>
          <t>1 full time English Teacher, prefer chinese</t>
        </is>
      </c>
      <c r="AE1735"/>
      <c r="AF1735">
        <v>0</v>
      </c>
      <c r="AG1735" s="4"/>
      <c r="AH1735" s="4"/>
      <c r="AI1735">
        <v>0</v>
      </c>
      <c r="AJ1735">
        <v>1</v>
      </c>
      <c r="AK1735" t="inlineStr">
        <is>
          <t>No, I don't need at all</t>
        </is>
      </c>
      <c r="AL1735">
        <v>1</v>
      </c>
      <c r="AM1735" t="inlineStr">
        <is>
          <t>No, I don't need at all</t>
        </is>
      </c>
      <c r="AN1735"/>
      <c r="AO1735" t="inlineStr">
        <is>
          <t>No, I don't need at all</t>
        </is>
      </c>
      <c r="AP1735" t="inlineStr">
        <is>
          <t>Once a year (25%)</t>
        </is>
      </c>
      <c r="AQ1735">
        <v>1</v>
      </c>
      <c r="AR1735" t="inlineStr">
        <is>
          <t>Did not use any job portal</t>
        </is>
      </c>
      <c r="AS1735" t="inlineStr">
        <is>
          <t>- Headcount: 1
- Hiring Job Details: 1 full time English Teacher, prefer chinese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1735">
        <v>115</v>
      </c>
      <c r="AU1735" t="inlineStr">
        <is>
          <t>1.15</t>
        </is>
      </c>
      <c r="AV1735" t="inlineStr">
        <is>
          <t>15</t>
        </is>
      </c>
      <c r="AW1735" t="inlineStr">
        <is>
          <t>0</t>
        </is>
      </c>
      <c r="AX1735" t="inlineStr">
        <is>
          <t>Not Qualified</t>
        </is>
      </c>
      <c r="AY1735" s="4"/>
      <c r="AZ1735"/>
      <c r="BA1735"/>
      <c r="BB1735"/>
      <c r="BC1735" t="inlineStr">
        <is>
          <t>Replied: too expensive</t>
        </is>
      </c>
      <c r="BD1735" s="4">
        <v>46129.698171296295</v>
      </c>
      <c r="BE1735" t="inlineStr">
        <is>
          <t>paid</t>
        </is>
      </c>
      <c r="BF1735"/>
      <c r="BG1735" t="inlineStr">
        <is>
          <t>Reschedule</t>
        </is>
      </c>
      <c r="BH1735" t="inlineStr">
        <is>
          <t>Reagen</t>
        </is>
      </c>
      <c r="BI1735" t="inlineStr">
        <is>
          <t>Education / Training</t>
        </is>
      </c>
      <c r="BJ1735" s="4">
        <v>46144.75178240741</v>
      </c>
      <c r="BK1735" s="4">
        <v>45455.497465277775</v>
      </c>
      <c r="BL1735" t="inlineStr">
        <is>
          <t>0.0</t>
        </is>
      </c>
      <c r="BM1735" t="inlineStr">
        <is>
          <t>0.0</t>
        </is>
      </c>
      <c r="BN1735" t="inlineStr">
        <is>
          <t>View Company Page</t>
        </is>
      </c>
      <c r="BO1735" s="4">
        <v>45994.577465277776</v>
      </c>
      <c r="BP1735">
        <v>166397</v>
      </c>
      <c r="BQ1735">
        <v>70340</v>
      </c>
      <c r="BR1735" t="inlineStr">
        <is>
          <t>Online</t>
        </is>
      </c>
      <c r="BS1735"/>
      <c r="BT1735">
        <v>70340</v>
      </c>
      <c r="BU1735"/>
      <c r="BV1735">
        <v>2713116</v>
      </c>
      <c r="BW1735" t="inlineStr">
        <is>
          <t>Follow Up : Budget Concern</t>
        </is>
      </c>
      <c r="BX1735"/>
      <c r="BY1735"/>
      <c r="BZ1735" s="4"/>
      <c r="CA1735"/>
      <c r="CB1735"/>
      <c r="CC1735" s="4"/>
      <c r="CD1735" t="inlineStr">
        <is>
          <t>20</t>
        </is>
      </c>
      <c r="CE1735" t="inlineStr">
        <is>
          <t>0</t>
        </is>
      </c>
      <c r="CF1735" t="inlineStr">
        <is>
          <t>Q2-W02</t>
        </is>
      </c>
      <c r="CG1735"/>
      <c r="CH1735"/>
      <c r="CI1735"/>
      <c r="CJ1735" t="inlineStr">
        <is>
          <t>Paid</t>
        </is>
      </c>
      <c r="CK1735" t="inlineStr">
        <is>
          <t>Not Eligible</t>
        </is>
      </c>
      <c r="CL1735"/>
      <c r="CM1735"/>
    </row>
    <row r="1736" ht="25.5" customHeight="1">
      <c r="A1736" t="inlineStr">
        <is>
          <t>20218</t>
        </is>
      </c>
      <c r="B1736" s="2"/>
      <c r="C1736"/>
      <c r="D1736" s="3">
        <v>46122.49914351852</v>
      </c>
      <c r="E1736" t="inlineStr">
        <is>
          <t>Q2-W02</t>
        </is>
      </c>
      <c r="F1736" t="inlineStr">
        <is>
          <t>Eugene</t>
        </is>
      </c>
      <c r="G1736" t="inlineStr">
        <is>
          <t>Customer</t>
        </is>
      </c>
      <c r="H1736" s="2" t="str">
        <f>=HYPERLINK("https://upbox.ajobthing.my/customer/20218", "https://upbox.ajobthing.my/customer/20218")</f>
        <v>https://upbox.ajobthing.my/customer/20218</v>
      </c>
      <c r="I1736" t="inlineStr">
        <is>
          <t>Vision One Bizmgt Plt</t>
        </is>
      </c>
      <c r="J1736" t="inlineStr">
        <is>
          <t>Small Fish</t>
        </is>
      </c>
      <c r="K1736" t="inlineStr">
        <is>
          <t>Eugene</t>
        </is>
      </c>
      <c r="L1736" s="4"/>
      <c r="M1736" s="4">
        <v>46115.55809027778</v>
      </c>
      <c r="N1736"/>
      <c r="O1736">
        <v>3888</v>
      </c>
      <c r="P1736" s="4"/>
      <c r="Q1736" s="4">
        <v>46122.73773148148</v>
      </c>
      <c r="R1736"/>
      <c r="S1736">
        <v>864</v>
      </c>
      <c r="T1736" s="4">
        <v>46122.73773148148</v>
      </c>
      <c r="U1736" s="4"/>
      <c r="V1736"/>
      <c r="W1736">
        <v>864</v>
      </c>
      <c r="X1736"/>
      <c r="Y1736" t="inlineStr">
        <is>
          <t>Pending Appointment</t>
        </is>
      </c>
      <c r="Z1736" t="inlineStr">
        <is>
          <t>Hiring Now</t>
        </is>
      </c>
      <c r="AA1736">
        <v>2</v>
      </c>
      <c r="AB1736" t="inlineStr">
        <is>
          <t>No Appointment Made</t>
        </is>
      </c>
      <c r="AC1736"/>
      <c r="AD1736" t="inlineStr">
        <is>
          <t>2 account, based in Johor</t>
        </is>
      </c>
      <c r="AE1736"/>
      <c r="AF1736">
        <v>1200</v>
      </c>
      <c r="AG1736" s="4"/>
      <c r="AH1736" s="4"/>
      <c r="AI1736">
        <v>1200</v>
      </c>
      <c r="AJ1736">
        <v>1</v>
      </c>
      <c r="AK1736" t="inlineStr">
        <is>
          <t>No, I don't need at all</t>
        </is>
      </c>
      <c r="AL1736">
        <v>1</v>
      </c>
      <c r="AM1736" t="inlineStr">
        <is>
          <t>No, I don't need at all</t>
        </is>
      </c>
      <c r="AN1736"/>
      <c r="AO1736" t="inlineStr">
        <is>
          <t>No, I don't need at all</t>
        </is>
      </c>
      <c r="AP1736" t="inlineStr">
        <is>
          <t>Once a year (25%)</t>
        </is>
      </c>
      <c r="AQ1736">
        <v>3</v>
      </c>
      <c r="AR1736" t="inlineStr">
        <is>
          <t>Did not use any job portal</t>
        </is>
      </c>
      <c r="AS1736" t="inlineStr">
        <is>
          <t>- Headcount: 2
- Hiring Job Details: 2 account, based in Johor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3
- Hiring frequency: Once a year (25%)
- External job portal: Did not use any job portal</t>
        </is>
      </c>
      <c r="AT1736">
        <v>95</v>
      </c>
      <c r="AU1736" t="inlineStr">
        <is>
          <t>0.95</t>
        </is>
      </c>
      <c r="AV1736" t="inlineStr">
        <is>
          <t>15</t>
        </is>
      </c>
      <c r="AW1736" t="inlineStr">
        <is>
          <t>0</t>
        </is>
      </c>
      <c r="AX1736" t="inlineStr">
        <is>
          <t>Not Qualified</t>
        </is>
      </c>
      <c r="AY1736" s="4"/>
      <c r="AZ1736"/>
      <c r="BA1736"/>
      <c r="BB1736"/>
      <c r="BC1736" t="inlineStr">
        <is>
          <t>sfsg</t>
        </is>
      </c>
      <c r="BD1736" s="4">
        <v>46127.655173611114</v>
      </c>
      <c r="BE1736" t="inlineStr">
        <is>
          <t>paid</t>
        </is>
      </c>
      <c r="BF1736" t="inlineStr">
        <is>
          <t>Q2-W02</t>
        </is>
      </c>
      <c r="BG1736" t="inlineStr">
        <is>
          <t>Reschedule</t>
        </is>
      </c>
      <c r="BH1736" t="inlineStr">
        <is>
          <t>Edward Hoo</t>
        </is>
      </c>
      <c r="BI1736"/>
      <c r="BJ1736" s="4">
        <v>46144.75398148148</v>
      </c>
      <c r="BK1736" s="4">
        <v>42478.85665509259</v>
      </c>
      <c r="BL1736" t="inlineStr">
        <is>
          <t>864.0</t>
        </is>
      </c>
      <c r="BM1736" t="inlineStr">
        <is>
          <t>0.0</t>
        </is>
      </c>
      <c r="BN1736" t="inlineStr">
        <is>
          <t>View Company Page</t>
        </is>
      </c>
      <c r="BO1736" s="4">
        <v>46140.420011574075</v>
      </c>
      <c r="BP1736">
        <v>165173</v>
      </c>
      <c r="BQ1736">
        <v>7607</v>
      </c>
      <c r="BR1736" t="inlineStr">
        <is>
          <t>Manual (Paid)</t>
        </is>
      </c>
      <c r="BS1736" t="inlineStr">
        <is>
          <t>AI Ala Carte
- A la carte for 1 AI Job Ad
- 1 AI Job Ad will be published on Maukerja, Ricebowl and our partner platforms
- 1 AI Job Ad will be published for 45 days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is>
      </c>
      <c r="BT1736">
        <v>7607</v>
      </c>
      <c r="BU1736"/>
      <c r="BV1736">
        <v>2706316</v>
      </c>
      <c r="BW1736" t="inlineStr">
        <is>
          <t>Service / Technical : Job Outcome Enquiry</t>
        </is>
      </c>
      <c r="BX1736">
        <v>1</v>
      </c>
      <c r="BY1736">
        <v>0</v>
      </c>
      <c r="BZ1736" s="4">
        <v>46123.58081018519</v>
      </c>
      <c r="CA1736">
        <v>23</v>
      </c>
      <c r="CB1736">
        <v>19</v>
      </c>
      <c r="CC1736" s="4">
        <v>46134.34196759259</v>
      </c>
      <c r="CD1736" t="inlineStr">
        <is>
          <t>20</t>
        </is>
      </c>
      <c r="CE1736" t="inlineStr">
        <is>
          <t>0</t>
        </is>
      </c>
      <c r="CF1736" t="inlineStr">
        <is>
          <t>Q2-W01</t>
        </is>
      </c>
      <c r="CG1736" t="inlineStr">
        <is>
          <t>Q2-W02</t>
        </is>
      </c>
      <c r="CH1736" t="inlineStr">
        <is>
          <t>Q2-W02</t>
        </is>
      </c>
      <c r="CI1736"/>
      <c r="CJ1736" t="inlineStr">
        <is>
          <t>Paid</t>
        </is>
      </c>
      <c r="CK1736" t="inlineStr">
        <is>
          <t>Not Eligible</t>
        </is>
      </c>
      <c r="CL1736"/>
      <c r="CM1736"/>
    </row>
    <row r="1737" ht="25.5" customHeight="1">
      <c r="A1737" t="inlineStr">
        <is>
          <t>197097</t>
        </is>
      </c>
      <c r="B1737" s="2"/>
      <c r="C1737"/>
      <c r="D1737" s="3">
        <v>46122.50068287037</v>
      </c>
      <c r="E1737" t="inlineStr">
        <is>
          <t>Q2-W02</t>
        </is>
      </c>
      <c r="F1737" t="inlineStr">
        <is>
          <t>Clover</t>
        </is>
      </c>
      <c r="G1737" t="inlineStr">
        <is>
          <t>Customer</t>
        </is>
      </c>
      <c r="H1737" s="2" t="str">
        <f>=HYPERLINK("https://upbox.ajobthing.my/customer/197097", "https://upbox.ajobthing.my/customer/197097")</f>
        <v>https://upbox.ajobthing.my/customer/197097</v>
      </c>
      <c r="I1737" t="inlineStr">
        <is>
          <t>Hashb Wizard Solutions</t>
        </is>
      </c>
      <c r="J1737" t="inlineStr">
        <is>
          <t>Small Fish</t>
        </is>
      </c>
      <c r="K1737" t="inlineStr">
        <is>
          <t>Clover</t>
        </is>
      </c>
      <c r="L1737" s="4"/>
      <c r="M1737" s="4">
        <v>46122.50158564815</v>
      </c>
      <c r="N1737"/>
      <c r="O1737">
        <v>3888</v>
      </c>
      <c r="P1737" s="4"/>
      <c r="Q1737" s="4">
        <v>46097.458645833336</v>
      </c>
      <c r="R1737"/>
      <c r="S1737">
        <v>0</v>
      </c>
      <c r="T1737" s="4"/>
      <c r="U1737" s="4"/>
      <c r="V1737"/>
      <c r="W1737"/>
      <c r="X1737"/>
      <c r="Y1737" t="inlineStr">
        <is>
          <t>Pending Appointment</t>
        </is>
      </c>
      <c r="Z1737" t="inlineStr">
        <is>
          <t>Hiring Now</t>
        </is>
      </c>
      <c r="AA1737">
        <v>2</v>
      </c>
      <c r="AB1737" t="inlineStr">
        <is>
          <t>No Appointment Made</t>
        </is>
      </c>
      <c r="AC1737"/>
      <c r="AD1737" t="inlineStr">
        <is>
          <t>hire admin x1, designer x1, malay/chi, urgent, event, setia wangsa, ask for market salary, suggest stand</t>
        </is>
      </c>
      <c r="AE1737"/>
      <c r="AF1737">
        <v>3000</v>
      </c>
      <c r="AG1737" s="4"/>
      <c r="AH1737" s="4"/>
      <c r="AI1737">
        <v>3000</v>
      </c>
      <c r="AJ1737">
        <v>1</v>
      </c>
      <c r="AK1737" t="inlineStr">
        <is>
          <t>No, but I want in future</t>
        </is>
      </c>
      <c r="AL1737">
        <v>1</v>
      </c>
      <c r="AM1737" t="inlineStr">
        <is>
          <t>No, but I want in future</t>
        </is>
      </c>
      <c r="AN1737"/>
      <c r="AO1737" t="inlineStr">
        <is>
          <t>No, but I want in future</t>
        </is>
      </c>
      <c r="AP1737" t="inlineStr">
        <is>
          <t>Twice a year (50%)</t>
        </is>
      </c>
      <c r="AQ1737">
        <v>2</v>
      </c>
      <c r="AR1737" t="inlineStr">
        <is>
          <t>Did not use any job portal</t>
        </is>
      </c>
      <c r="AS1737" t="inlineStr">
        <is>
          <t>- Headcount: 2
- Hiring Job Details: hire admin x1, designer x1, malay/chi, urgent, event, setia wangsa, ask for market salary,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1737">
        <v>115</v>
      </c>
      <c r="AU1737" t="inlineStr">
        <is>
          <t>1.15</t>
        </is>
      </c>
      <c r="AV1737" t="inlineStr">
        <is>
          <t>15</t>
        </is>
      </c>
      <c r="AW1737" t="inlineStr">
        <is>
          <t>0</t>
        </is>
      </c>
      <c r="AX1737" t="inlineStr">
        <is>
          <t>Not Qualified</t>
        </is>
      </c>
      <c r="AY1737" s="4"/>
      <c r="AZ1737"/>
      <c r="BA1737"/>
      <c r="BB1737"/>
      <c r="BC1737" t="inlineStr">
        <is>
          <t>Explain again ala carte booster vs stand</t>
        </is>
      </c>
      <c r="BD1737" s="4">
        <v>46125.75986111111</v>
      </c>
      <c r="BE1737" t="inlineStr">
        <is>
          <t>paid</t>
        </is>
      </c>
      <c r="BF1737"/>
      <c r="BG1737" t="inlineStr">
        <is>
          <t>Reschedule</t>
        </is>
      </c>
      <c r="BH1737" t="inlineStr">
        <is>
          <t>Reagen</t>
        </is>
      </c>
      <c r="BI1737" t="inlineStr">
        <is>
          <t>Exhibitions / Event Mgmt</t>
        </is>
      </c>
      <c r="BJ1737" s="4">
        <v>46144.75288194444</v>
      </c>
      <c r="BK1737" s="4">
        <v>45940.58949074074</v>
      </c>
      <c r="BL1737" t="inlineStr">
        <is>
          <t>0.0</t>
        </is>
      </c>
      <c r="BM1737" t="inlineStr">
        <is>
          <t>0.0</t>
        </is>
      </c>
      <c r="BN1737" t="inlineStr">
        <is>
          <t>View Create Job Page</t>
        </is>
      </c>
      <c r="BO1737" s="4">
        <v>45983.1975</v>
      </c>
      <c r="BP1737">
        <v>166399</v>
      </c>
      <c r="BQ1737">
        <v>117311</v>
      </c>
      <c r="BR1737" t="inlineStr">
        <is>
          <t>Proforma</t>
        </is>
      </c>
      <c r="BS1737" t="inlineStr">
        <is>
          <t>Free Internship Job</t>
        </is>
      </c>
      <c r="BT1737"/>
      <c r="BU1737"/>
      <c r="BV1737">
        <v>2702284</v>
      </c>
      <c r="BW1737" t="inlineStr">
        <is>
          <t>Follow Up : Decision Pending</t>
        </is>
      </c>
      <c r="BX1737"/>
      <c r="BY1737"/>
      <c r="BZ1737" s="4"/>
      <c r="CA1737"/>
      <c r="CB1737"/>
      <c r="CC1737" s="4"/>
      <c r="CD1737" t="inlineStr">
        <is>
          <t>20</t>
        </is>
      </c>
      <c r="CE1737" t="inlineStr">
        <is>
          <t>0</t>
        </is>
      </c>
      <c r="CF1737" t="inlineStr">
        <is>
          <t>Q2-W02</t>
        </is>
      </c>
      <c r="CG1737" t="inlineStr">
        <is>
          <t>Q1-W11</t>
        </is>
      </c>
      <c r="CH1737"/>
      <c r="CI1737"/>
      <c r="CJ1737" t="inlineStr">
        <is>
          <t>No Paid</t>
        </is>
      </c>
      <c r="CK1737" t="inlineStr">
        <is>
          <t>Not Eligible</t>
        </is>
      </c>
      <c r="CL1737"/>
      <c r="CM1737"/>
    </row>
    <row r="1738" ht="25.5" customHeight="1">
      <c r="A1738" t="inlineStr">
        <is>
          <t>203080</t>
        </is>
      </c>
      <c r="B1738" s="2"/>
      <c r="C1738"/>
      <c r="D1738" s="3">
        <v>46122.502175925925</v>
      </c>
      <c r="E1738" t="inlineStr">
        <is>
          <t>Q2-W02</t>
        </is>
      </c>
      <c r="F1738" t="inlineStr">
        <is>
          <t>Keegan</t>
        </is>
      </c>
      <c r="G1738" t="inlineStr">
        <is>
          <t>Customer</t>
        </is>
      </c>
      <c r="H1738" s="2" t="str">
        <f>=HYPERLINK("https://upbox.ajobthing.my/customer/203080", "https://upbox.ajobthing.my/customer/203080")</f>
        <v>https://upbox.ajobthing.my/customer/203080</v>
      </c>
      <c r="I1738" t="inlineStr">
        <is>
          <t>pangeran victoria empire</t>
        </is>
      </c>
      <c r="J1738" t="inlineStr">
        <is>
          <t>Small Fish</t>
        </is>
      </c>
      <c r="K1738" t="inlineStr">
        <is>
          <t>Keegan</t>
        </is>
      </c>
      <c r="L1738" s="4"/>
      <c r="M1738" s="4">
        <v>46122.502280092594</v>
      </c>
      <c r="N1738"/>
      <c r="O1738">
        <v>6048</v>
      </c>
      <c r="P1738" s="4"/>
      <c r="Q1738" s="4"/>
      <c r="R1738"/>
      <c r="S1738"/>
      <c r="T1738" s="4"/>
      <c r="U1738" s="4"/>
      <c r="V1738"/>
      <c r="W1738"/>
      <c r="X1738"/>
      <c r="Y1738" t="inlineStr">
        <is>
          <t>Pending Appointment</t>
        </is>
      </c>
      <c r="Z1738" t="inlineStr">
        <is>
          <t>Hiring Now</t>
        </is>
      </c>
      <c r="AA1738">
        <v>3</v>
      </c>
      <c r="AB1738" t="inlineStr">
        <is>
          <t>No Appointment Made</t>
        </is>
      </c>
      <c r="AC1738"/>
      <c r="AD1738" t="inlineStr">
        <is>
          <t xml:space="preserve">1. Technician 
2. Engineer 
3. Admin </t>
        </is>
      </c>
      <c r="AE1738"/>
      <c r="AF1738"/>
      <c r="AG1738" s="4"/>
      <c r="AH1738" s="4"/>
      <c r="AI1738"/>
      <c r="AJ1738">
        <v>1</v>
      </c>
      <c r="AK1738" t="inlineStr">
        <is>
          <t>No, I don't need at all</t>
        </is>
      </c>
      <c r="AL1738">
        <v>0</v>
      </c>
      <c r="AM1738" t="inlineStr">
        <is>
          <t>No, I don't need at all</t>
        </is>
      </c>
      <c r="AN1738"/>
      <c r="AO1738" t="inlineStr">
        <is>
          <t>No, I don't need at all</t>
        </is>
      </c>
      <c r="AP1738" t="inlineStr">
        <is>
          <t>Once per quarter (75%)</t>
        </is>
      </c>
      <c r="AQ1738"/>
      <c r="AR1738" t="inlineStr">
        <is>
          <t>Did not use any job portal</t>
        </is>
      </c>
      <c r="AS1738" t="inlineStr">
        <is>
          <t>- Headcount: 3
- Hiring Job Details: 1 Technician, 1 Engineer,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738">
        <v>95</v>
      </c>
      <c r="AU1738" t="inlineStr">
        <is>
          <t>0.95</t>
        </is>
      </c>
      <c r="AV1738" t="inlineStr">
        <is>
          <t>5</t>
        </is>
      </c>
      <c r="AW1738" t="inlineStr">
        <is>
          <t>0</t>
        </is>
      </c>
      <c r="AX1738" t="inlineStr">
        <is>
          <t>Not Qualified</t>
        </is>
      </c>
      <c r="AY1738" s="4"/>
      <c r="AZ1738"/>
      <c r="BA1738"/>
      <c r="BB1738"/>
      <c r="BC1738" t="inlineStr">
        <is>
          <t>- Headcount: 3
- Hiring Job Details: 1 Technician, 1 Engineer,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738" s="4">
        <v>46122.54168981482</v>
      </c>
      <c r="BE1738"/>
      <c r="BF1738"/>
      <c r="BG1738" t="inlineStr">
        <is>
          <t>Reschedule</t>
        </is>
      </c>
      <c r="BH1738" t="inlineStr">
        <is>
          <t>Edward Hoo</t>
        </is>
      </c>
      <c r="BI1738" t="inlineStr">
        <is>
          <t>Engineering / Technical Consulting</t>
        </is>
      </c>
      <c r="BJ1738" s="4">
        <v>46144.754212962966</v>
      </c>
      <c r="BK1738" s="4">
        <v>46122.49178240741</v>
      </c>
      <c r="BL1738" t="inlineStr">
        <is>
          <t>0.0</t>
        </is>
      </c>
      <c r="BM1738" t="inlineStr">
        <is>
          <t>0.0</t>
        </is>
      </c>
      <c r="BN1738" t="inlineStr">
        <is>
          <t>View Company Page</t>
        </is>
      </c>
      <c r="BO1738" s="4">
        <v>46129.67197916667</v>
      </c>
      <c r="BP1738">
        <v>166400</v>
      </c>
      <c r="BQ1738"/>
      <c r="BR1738"/>
      <c r="BS1738"/>
      <c r="BT1738"/>
      <c r="BU1738"/>
      <c r="BV1738">
        <v>2697956</v>
      </c>
      <c r="BW1738" t="inlineStr">
        <is>
          <t>Customer Inquiry</t>
        </is>
      </c>
      <c r="BX1738"/>
      <c r="BY1738"/>
      <c r="BZ1738" s="4"/>
      <c r="CA1738"/>
      <c r="CB1738"/>
      <c r="CC1738" s="4"/>
      <c r="CD1738" t="inlineStr">
        <is>
          <t>5</t>
        </is>
      </c>
      <c r="CE1738" t="inlineStr">
        <is>
          <t>0</t>
        </is>
      </c>
      <c r="CF1738" t="inlineStr">
        <is>
          <t>Q2-W02</t>
        </is>
      </c>
      <c r="CG1738"/>
      <c r="CH1738"/>
      <c r="CI1738"/>
      <c r="CJ1738" t="inlineStr">
        <is>
          <t>No Paid</t>
        </is>
      </c>
      <c r="CK1738" t="inlineStr">
        <is>
          <t>Not Eligible</t>
        </is>
      </c>
      <c r="CL1738"/>
      <c r="CM1738"/>
    </row>
    <row r="1739" ht="25.5" customHeight="1">
      <c r="A1739" t="inlineStr">
        <is>
          <t>203075</t>
        </is>
      </c>
      <c r="B1739" s="2"/>
      <c r="C1739"/>
      <c r="D1739" s="3">
        <v>46122.51292824074</v>
      </c>
      <c r="E1739" t="inlineStr">
        <is>
          <t>Q2-W02</t>
        </is>
      </c>
      <c r="F1739" t="inlineStr">
        <is>
          <t>Ken Yi</t>
        </is>
      </c>
      <c r="G1739" t="inlineStr">
        <is>
          <t>Customer</t>
        </is>
      </c>
      <c r="H1739" s="2" t="str">
        <f>=HYPERLINK("https://upbox.ajobthing.my/customer/203075", "https://upbox.ajobthing.my/customer/203075")</f>
        <v>https://upbox.ajobthing.my/customer/203075</v>
      </c>
      <c r="I1739" t="inlineStr">
        <is>
          <t>Makassar Ventures Sdn Bhd</t>
        </is>
      </c>
      <c r="J1739" t="inlineStr">
        <is>
          <t>Small Fish</t>
        </is>
      </c>
      <c r="K1739" t="inlineStr">
        <is>
          <t>Kenyi</t>
        </is>
      </c>
      <c r="L1739" s="4"/>
      <c r="M1739" s="4">
        <v>46128.49575231481</v>
      </c>
      <c r="N1739"/>
      <c r="O1739">
        <v>3672</v>
      </c>
      <c r="P1739" s="4"/>
      <c r="Q1739" s="4"/>
      <c r="R1739"/>
      <c r="S1739"/>
      <c r="T1739" s="4"/>
      <c r="U1739" s="4"/>
      <c r="V1739"/>
      <c r="W1739"/>
      <c r="X1739"/>
      <c r="Y1739" t="inlineStr">
        <is>
          <t>Pending Appointment</t>
        </is>
      </c>
      <c r="Z1739" t="inlineStr">
        <is>
          <t>Hiring Now</t>
        </is>
      </c>
      <c r="AA1739">
        <v>1</v>
      </c>
      <c r="AB1739" t="inlineStr">
        <is>
          <t>No Appointment Made</t>
        </is>
      </c>
      <c r="AC1739"/>
      <c r="AD1739" t="inlineStr">
        <is>
          <t>QS 1</t>
        </is>
      </c>
      <c r="AE1739"/>
      <c r="AF1739">
        <v>0</v>
      </c>
      <c r="AG1739" s="4"/>
      <c r="AH1739" s="4"/>
      <c r="AI1739">
        <v>0</v>
      </c>
      <c r="AJ1739">
        <v>1</v>
      </c>
      <c r="AK1739" t="inlineStr">
        <is>
          <t>No, I don't need at all</t>
        </is>
      </c>
      <c r="AL1739">
        <v>0</v>
      </c>
      <c r="AM1739" t="inlineStr">
        <is>
          <t>No, I don't need at all</t>
        </is>
      </c>
      <c r="AN1739"/>
      <c r="AO1739" t="inlineStr">
        <is>
          <t>No, I don't need at all</t>
        </is>
      </c>
      <c r="AP1739" t="inlineStr">
        <is>
          <t>Every month (100%)</t>
        </is>
      </c>
      <c r="AQ1739">
        <v>1</v>
      </c>
      <c r="AR1739" t="inlineStr">
        <is>
          <t>Did not use any job portal</t>
        </is>
      </c>
      <c r="AS1739" t="inlineStr">
        <is>
          <t>- Headcount: 1
- Hiring Job Details: QS 1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Did not use any job portal</t>
        </is>
      </c>
      <c r="AT1739">
        <v>110</v>
      </c>
      <c r="AU1739" t="inlineStr">
        <is>
          <t>1.10</t>
        </is>
      </c>
      <c r="AV1739" t="inlineStr">
        <is>
          <t>15</t>
        </is>
      </c>
      <c r="AW1739" t="inlineStr">
        <is>
          <t>0</t>
        </is>
      </c>
      <c r="AX1739" t="inlineStr">
        <is>
          <t>Not Qualified</t>
        </is>
      </c>
      <c r="AY1739" s="4"/>
      <c r="AZ1739"/>
      <c r="BA1739"/>
      <c r="BB1739"/>
      <c r="BC1739" t="inlineStr">
        <is>
          <t>Share proposal for the client (discount)</t>
        </is>
      </c>
      <c r="BD1739" s="4">
        <v>46128.49613425926</v>
      </c>
      <c r="BE1739"/>
      <c r="BF1739"/>
      <c r="BG1739" t="inlineStr">
        <is>
          <t>Reschedule</t>
        </is>
      </c>
      <c r="BH1739" t="inlineStr">
        <is>
          <t>Fauziah Maharan</t>
        </is>
      </c>
      <c r="BI1739" t="inlineStr">
        <is>
          <t>Construction / Building</t>
        </is>
      </c>
      <c r="BJ1739" s="4">
        <v>46144.754212962966</v>
      </c>
      <c r="BK1739" s="4">
        <v>46122.449641203704</v>
      </c>
      <c r="BL1739" t="inlineStr">
        <is>
          <t>0.0</t>
        </is>
      </c>
      <c r="BM1739" t="inlineStr">
        <is>
          <t>600.0</t>
        </is>
      </c>
      <c r="BN1739" t="inlineStr">
        <is>
          <t>View Company Page</t>
        </is>
      </c>
      <c r="BO1739" s="4">
        <v>46127.818020833336</v>
      </c>
      <c r="BP1739">
        <v>167368</v>
      </c>
      <c r="BQ1739"/>
      <c r="BR1739"/>
      <c r="BS1739"/>
      <c r="BT1739"/>
      <c r="BU1739"/>
      <c r="BV1739">
        <v>2708621</v>
      </c>
      <c r="BW1739" t="inlineStr">
        <is>
          <t>Follow Up : Quotation Sent 50%</t>
        </is>
      </c>
      <c r="BX1739"/>
      <c r="BY1739"/>
      <c r="BZ1739" s="4"/>
      <c r="CA1739"/>
      <c r="CB1739"/>
      <c r="CC1739" s="4"/>
      <c r="CD1739" t="inlineStr">
        <is>
          <t>20</t>
        </is>
      </c>
      <c r="CE1739" t="inlineStr">
        <is>
          <t>0</t>
        </is>
      </c>
      <c r="CF1739" t="inlineStr">
        <is>
          <t>Q2-W02</t>
        </is>
      </c>
      <c r="CG1739"/>
      <c r="CH1739"/>
      <c r="CI1739"/>
      <c r="CJ1739" t="inlineStr">
        <is>
          <t>No Paid</t>
        </is>
      </c>
      <c r="CK1739" t="inlineStr">
        <is>
          <t>Not Eligible</t>
        </is>
      </c>
      <c r="CL1739"/>
      <c r="CM1739"/>
    </row>
    <row r="1740" ht="25.5" customHeight="1">
      <c r="A1740" t="inlineStr">
        <is>
          <t>200656</t>
        </is>
      </c>
      <c r="B1740" s="2"/>
      <c r="C1740"/>
      <c r="D1740" s="3">
        <v>46122.520891203705</v>
      </c>
      <c r="E1740" t="inlineStr">
        <is>
          <t>Q2-W02</t>
        </is>
      </c>
      <c r="F1740" t="inlineStr">
        <is>
          <t>Josh</t>
        </is>
      </c>
      <c r="G1740" t="inlineStr">
        <is>
          <t>Customer</t>
        </is>
      </c>
      <c r="H1740" s="2" t="str">
        <f>=HYPERLINK("https://upbox.ajobthing.my/customer/200656", "https://upbox.ajobthing.my/customer/200656")</f>
        <v>https://upbox.ajobthing.my/customer/200656</v>
      </c>
      <c r="I1740" t="inlineStr">
        <is>
          <t>International College Imperia</t>
        </is>
      </c>
      <c r="J1740" t="inlineStr">
        <is>
          <t>Small Fish</t>
        </is>
      </c>
      <c r="K1740" t="inlineStr">
        <is>
          <t>Josh</t>
        </is>
      </c>
      <c r="L1740" s="4"/>
      <c r="M1740" s="4">
        <v>46122.52101851852</v>
      </c>
      <c r="N1740"/>
      <c r="O1740">
        <v>5832</v>
      </c>
      <c r="P1740" s="4"/>
      <c r="Q1740" s="4">
        <v>46048.39350694444</v>
      </c>
      <c r="R1740"/>
      <c r="S1740">
        <v>0</v>
      </c>
      <c r="T1740" s="4"/>
      <c r="U1740" s="4"/>
      <c r="V1740"/>
      <c r="W1740"/>
      <c r="X1740"/>
      <c r="Y1740" t="inlineStr">
        <is>
          <t>Pending Appointment</t>
        </is>
      </c>
      <c r="Z1740" t="inlineStr">
        <is>
          <t>Hiring Now</t>
        </is>
      </c>
      <c r="AA1740">
        <v>1</v>
      </c>
      <c r="AB1740" t="inlineStr">
        <is>
          <t>No Appointment Made</t>
        </is>
      </c>
      <c r="AC1740"/>
      <c r="AD1740" t="inlineStr">
        <is>
          <t>1 Officer</t>
        </is>
      </c>
      <c r="AE1740"/>
      <c r="AF1740">
        <v>3000</v>
      </c>
      <c r="AG1740" s="4"/>
      <c r="AH1740" s="4"/>
      <c r="AI1740"/>
      <c r="AJ1740"/>
      <c r="AK1740" t="inlineStr">
        <is>
          <t>Yes, I have</t>
        </is>
      </c>
      <c r="AL1740"/>
      <c r="AM1740"/>
      <c r="AN1740"/>
      <c r="AO1740"/>
      <c r="AP1740" t="inlineStr">
        <is>
          <t>Once a year (25%)</t>
        </is>
      </c>
      <c r="AQ1740"/>
      <c r="AR1740"/>
      <c r="AS1740" t="inlineStr">
        <is>
          <t>- Headcount: 1
- Hiring Job Details: 1 Officer
- Number of outlets: N/A
- Have recruiter team: Yes
- Number of recruiter in company: N/A
- Have ATS system: N/A
- Have career website: N/A
- Current hiring budget: RM3,000.00
- Whole year budget: N/A
- Whole year number of vacancies: N/A
- Hiring frequency: Once a year (25%)
- External job portal: N/A
- Hiring Urgency: Hiring Now</t>
        </is>
      </c>
      <c r="AT1740">
        <v>85</v>
      </c>
      <c r="AU1740" t="inlineStr">
        <is>
          <t>0.85</t>
        </is>
      </c>
      <c r="AV1740" t="inlineStr">
        <is>
          <t>15</t>
        </is>
      </c>
      <c r="AW1740" t="inlineStr">
        <is>
          <t>0</t>
        </is>
      </c>
      <c r="AX1740" t="inlineStr">
        <is>
          <t>Not Qualified</t>
        </is>
      </c>
      <c r="AY1740" s="4"/>
      <c r="AZ1740"/>
      <c r="BA1740"/>
      <c r="BB1740"/>
      <c r="BC1740" t="inlineStr">
        <is>
          <t>- Headcount: 1
- Hiring Job Details: 1 Officer
- Number of outlets: N/A
- Have recruiter team: Yes
- Number of recruiter in company: N/A
- Have ATS system: N/A
- Have career website: N/A
- Current hiring budget: RM3,000.00
- Whole year budget: N/A
- Whole year number of vacancies: N/A
- Hiring frequency: Once a year (25%)
- External job portal: N/A
- Hiring Urgency: Hiring Now</t>
        </is>
      </c>
      <c r="BD1740" s="4">
        <v>46122.54168981482</v>
      </c>
      <c r="BE1740" t="inlineStr">
        <is>
          <t>paid</t>
        </is>
      </c>
      <c r="BF1740"/>
      <c r="BG1740" t="inlineStr">
        <is>
          <t>Reschedule</t>
        </is>
      </c>
      <c r="BH1740" t="inlineStr">
        <is>
          <t>Fauziah Maharan</t>
        </is>
      </c>
      <c r="BI1740" t="inlineStr">
        <is>
          <t>Education / Training</t>
        </is>
      </c>
      <c r="BJ1740" s="4">
        <v>46144.75361111111</v>
      </c>
      <c r="BK1740" s="4">
        <v>46048.36450231481</v>
      </c>
      <c r="BL1740" t="inlineStr">
        <is>
          <t>0.0</t>
        </is>
      </c>
      <c r="BM1740" t="inlineStr">
        <is>
          <t>0.0</t>
        </is>
      </c>
      <c r="BN1740" t="inlineStr">
        <is>
          <t>User Visit(Logged In)</t>
        </is>
      </c>
      <c r="BO1740" s="4">
        <v>46077.4747337963</v>
      </c>
      <c r="BP1740">
        <v>166406</v>
      </c>
      <c r="BQ1740">
        <v>114411</v>
      </c>
      <c r="BR1740" t="inlineStr">
        <is>
          <t>Proforma</t>
        </is>
      </c>
      <c r="BS1740" t="inlineStr">
        <is>
          <t>Free Internship Job</t>
        </is>
      </c>
      <c r="BT1740"/>
      <c r="BU1740"/>
      <c r="BV1740">
        <v>2697961</v>
      </c>
      <c r="BW1740" t="inlineStr">
        <is>
          <t>Customer Inquiry</t>
        </is>
      </c>
      <c r="BX1740"/>
      <c r="BY1740"/>
      <c r="BZ1740" s="4"/>
      <c r="CA1740"/>
      <c r="CB1740"/>
      <c r="CC1740" s="4"/>
      <c r="CD1740" t="inlineStr">
        <is>
          <t>20</t>
        </is>
      </c>
      <c r="CE1740" t="inlineStr">
        <is>
          <t>0</t>
        </is>
      </c>
      <c r="CF1740" t="inlineStr">
        <is>
          <t>Q2-W02</t>
        </is>
      </c>
      <c r="CG1740" t="inlineStr">
        <is>
          <t>Q1-W04</t>
        </is>
      </c>
      <c r="CH1740"/>
      <c r="CI1740"/>
      <c r="CJ1740" t="inlineStr">
        <is>
          <t>No Paid</t>
        </is>
      </c>
      <c r="CK1740" t="inlineStr">
        <is>
          <t>Not Eligible</t>
        </is>
      </c>
      <c r="CL1740"/>
      <c r="CM1740"/>
    </row>
    <row r="1741" ht="25.5" customHeight="1">
      <c r="A1741" t="inlineStr">
        <is>
          <t>200367</t>
        </is>
      </c>
      <c r="B1741" s="2"/>
      <c r="C1741"/>
      <c r="D1741" s="3">
        <v>46122.567025462966</v>
      </c>
      <c r="E1741" t="inlineStr">
        <is>
          <t>Q2-W02</t>
        </is>
      </c>
      <c r="F1741" t="inlineStr">
        <is>
          <t>Josh</t>
        </is>
      </c>
      <c r="G1741" t="inlineStr">
        <is>
          <t>Customer</t>
        </is>
      </c>
      <c r="H1741" s="2" t="str">
        <f>=HYPERLINK("https://upbox.ajobthing.my/customer/200367", "https://upbox.ajobthing.my/customer/200367")</f>
        <v>https://upbox.ajobthing.my/customer/200367</v>
      </c>
      <c r="I1741" t="inlineStr">
        <is>
          <t xml:space="preserve">Agensi Pekerjaan Icon Maid Sdn Bhd </t>
        </is>
      </c>
      <c r="J1741" t="inlineStr">
        <is>
          <t>Small Fish</t>
        </is>
      </c>
      <c r="K1741" t="inlineStr">
        <is>
          <t>Josh</t>
        </is>
      </c>
      <c r="L1741" s="4"/>
      <c r="M1741" s="4">
        <v>46122.566608796296</v>
      </c>
      <c r="N1741"/>
      <c r="O1741">
        <v>1296</v>
      </c>
      <c r="P1741" s="4"/>
      <c r="Q1741" s="4">
        <v>46038.52855324074</v>
      </c>
      <c r="R1741"/>
      <c r="S1741">
        <v>648</v>
      </c>
      <c r="T1741" s="4">
        <v>46038.52855324074</v>
      </c>
      <c r="U1741" s="4"/>
      <c r="V1741"/>
      <c r="W1741">
        <v>648</v>
      </c>
      <c r="X1741"/>
      <c r="Y1741" t="inlineStr">
        <is>
          <t>Pending Appointment</t>
        </is>
      </c>
      <c r="Z1741" t="inlineStr">
        <is>
          <t>Hiring Now</t>
        </is>
      </c>
      <c r="AA1741">
        <v>1</v>
      </c>
      <c r="AB1741" t="inlineStr">
        <is>
          <t>No Appointment Made</t>
        </is>
      </c>
      <c r="AC1741"/>
      <c r="AD1741" t="inlineStr">
        <is>
          <t>1 admin</t>
        </is>
      </c>
      <c r="AE1741"/>
      <c r="AF1741">
        <v>1000</v>
      </c>
      <c r="AG1741" s="4"/>
      <c r="AH1741" s="4"/>
      <c r="AI1741"/>
      <c r="AJ1741"/>
      <c r="AK1741" t="inlineStr">
        <is>
          <t>Yes, I have</t>
        </is>
      </c>
      <c r="AL1741"/>
      <c r="AM1741"/>
      <c r="AN1741"/>
      <c r="AO1741"/>
      <c r="AP1741" t="inlineStr">
        <is>
          <t>Once a year (25%)</t>
        </is>
      </c>
      <c r="AQ1741"/>
      <c r="AR1741"/>
      <c r="AS1741" t="inlineStr">
        <is>
          <t>- Headcount: 1
- Hiring Job Details: 1 admin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1741">
        <v>75</v>
      </c>
      <c r="AU1741" t="inlineStr">
        <is>
          <t>0.75</t>
        </is>
      </c>
      <c r="AV1741" t="inlineStr">
        <is>
          <t>15</t>
        </is>
      </c>
      <c r="AW1741" t="inlineStr">
        <is>
          <t>0</t>
        </is>
      </c>
      <c r="AX1741" t="inlineStr">
        <is>
          <t>Not Qualified</t>
        </is>
      </c>
      <c r="AY1741" s="4"/>
      <c r="AZ1741"/>
      <c r="BA1741"/>
      <c r="BB1741"/>
      <c r="BC1741" t="inlineStr">
        <is>
          <t>- Headcount: 1
- Hiring Job Details: 1 admin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BD1741" s="4">
        <v>46122.58354166667</v>
      </c>
      <c r="BE1741" t="inlineStr">
        <is>
          <t>paid</t>
        </is>
      </c>
      <c r="BF1741" t="inlineStr">
        <is>
          <t>Q1-W03</t>
        </is>
      </c>
      <c r="BG1741" t="inlineStr">
        <is>
          <t>Reschedule</t>
        </is>
      </c>
      <c r="BH1741" t="inlineStr">
        <is>
          <t>Fauziah Maharan</t>
        </is>
      </c>
      <c r="BI1741" t="inlineStr">
        <is>
          <t>Other industries</t>
        </is>
      </c>
      <c r="BJ1741" s="4">
        <v>46144.75355324074</v>
      </c>
      <c r="BK1741" s="4">
        <v>46038.511342592596</v>
      </c>
      <c r="BL1741" t="inlineStr">
        <is>
          <t>648.0</t>
        </is>
      </c>
      <c r="BM1741" t="inlineStr">
        <is>
          <t>0.0</t>
        </is>
      </c>
      <c r="BN1741" t="inlineStr">
        <is>
          <t>View Company Page</t>
        </is>
      </c>
      <c r="BO1741" s="4">
        <v>46106.73819444444</v>
      </c>
      <c r="BP1741">
        <v>166415</v>
      </c>
      <c r="BQ1741">
        <v>85633</v>
      </c>
      <c r="BR1741" t="inlineStr">
        <is>
          <t>Online</t>
        </is>
      </c>
      <c r="BS1741"/>
      <c r="BT1741">
        <v>85633</v>
      </c>
      <c r="BU1741"/>
      <c r="BV1741">
        <v>2698061</v>
      </c>
      <c r="BW1741" t="inlineStr">
        <is>
          <t>Customer Inquiry</t>
        </is>
      </c>
      <c r="BX1741"/>
      <c r="BY1741"/>
      <c r="BZ1741" s="4"/>
      <c r="CA1741"/>
      <c r="CB1741"/>
      <c r="CC1741" s="4"/>
      <c r="CD1741" t="inlineStr">
        <is>
          <t>20</t>
        </is>
      </c>
      <c r="CE1741" t="inlineStr">
        <is>
          <t>0</t>
        </is>
      </c>
      <c r="CF1741" t="inlineStr">
        <is>
          <t>Q2-W02</t>
        </is>
      </c>
      <c r="CG1741" t="inlineStr">
        <is>
          <t>Q1-W03</t>
        </is>
      </c>
      <c r="CH1741" t="inlineStr">
        <is>
          <t>Q1-W03</t>
        </is>
      </c>
      <c r="CI1741"/>
      <c r="CJ1741" t="inlineStr">
        <is>
          <t>Paid</t>
        </is>
      </c>
      <c r="CK1741" t="inlineStr">
        <is>
          <t>Not Eligible</t>
        </is>
      </c>
      <c r="CL1741"/>
      <c r="CM1741"/>
    </row>
    <row r="1742" ht="25.5" customHeight="1">
      <c r="A1742" t="inlineStr">
        <is>
          <t>4105922</t>
        </is>
      </c>
      <c r="B1742" s="2"/>
      <c r="C1742"/>
      <c r="D1742" s="3">
        <v>46122.57709490741</v>
      </c>
      <c r="E1742" t="inlineStr">
        <is>
          <t>Q2-W02</t>
        </is>
      </c>
      <c r="F1742" t="inlineStr">
        <is>
          <t>Janice Yap</t>
        </is>
      </c>
      <c r="G1742" t="inlineStr">
        <is>
          <t>Lead</t>
        </is>
      </c>
      <c r="H1742" s="2" t="str">
        <f>=HYPERLINK("https://upbox.ajobthing.my/leads/4105922", "https://upbox.ajobthing.my/leads/4105922")</f>
        <v>https://upbox.ajobthing.my/leads/4105922</v>
      </c>
      <c r="I1742" t="inlineStr">
        <is>
          <t>100 smiles sdn bhd</t>
        </is>
      </c>
      <c r="J1742" t="inlineStr">
        <is>
          <t>Small Fish</t>
        </is>
      </c>
      <c r="K1742" t="inlineStr">
        <is>
          <t>Janice</t>
        </is>
      </c>
      <c r="L1742" s="4"/>
      <c r="M1742" s="4">
        <v>46122.573969907404</v>
      </c>
      <c r="N1742"/>
      <c r="O1742">
        <v>3888</v>
      </c>
      <c r="P1742" s="4"/>
      <c r="Q1742" s="4"/>
      <c r="R1742"/>
      <c r="S1742"/>
      <c r="T1742" s="4"/>
      <c r="U1742" s="4"/>
      <c r="V1742"/>
      <c r="W1742"/>
      <c r="X1742"/>
      <c r="Y1742" t="inlineStr">
        <is>
          <t>Pending Appointment</t>
        </is>
      </c>
      <c r="Z1742" t="inlineStr">
        <is>
          <t>Hiring Now</t>
        </is>
      </c>
      <c r="AA1742">
        <v>6</v>
      </c>
      <c r="AB1742" t="inlineStr">
        <is>
          <t>No Appointment Made</t>
        </is>
      </c>
      <c r="AC1742"/>
      <c r="AD1742" t="inlineStr">
        <is>
          <t>6 dental assistants</t>
        </is>
      </c>
      <c r="AE1742"/>
      <c r="AF1742">
        <v>0</v>
      </c>
      <c r="AG1742" s="4"/>
      <c r="AH1742" s="4"/>
      <c r="AI1742">
        <v>0</v>
      </c>
      <c r="AJ1742"/>
      <c r="AK1742" t="inlineStr">
        <is>
          <t>No, I don't need at all</t>
        </is>
      </c>
      <c r="AL1742">
        <v>0</v>
      </c>
      <c r="AM1742" t="inlineStr">
        <is>
          <t>No, I don't need at all</t>
        </is>
      </c>
      <c r="AN1742"/>
      <c r="AO1742" t="inlineStr">
        <is>
          <t>No, I don't need at all</t>
        </is>
      </c>
      <c r="AP1742" t="inlineStr">
        <is>
          <t>Once a year (25%)</t>
        </is>
      </c>
      <c r="AQ1742">
        <v>6</v>
      </c>
      <c r="AR1742"/>
      <c r="AS1742" t="inlineStr">
        <is>
          <t>- Headcount: 6
- Hiring Job Details: 6 dental assistants
- Hiring Urgency: Hiring Now
- Number of outlets: Not available
- Have recruiter team: No, I don't need at all
- Number of recruiter in company: 0
- Have ATS system: No, I don't need at all
- Have career website: No, I don't need at all
- Current hiring budget: RM0.00
- Whole year budget: RM0.00
- Whole year number of vacancies: 6
- Hiring frequency: Once a year (25%)
- External job portal: Not available</t>
        </is>
      </c>
      <c r="AT1742">
        <v>100</v>
      </c>
      <c r="AU1742" t="inlineStr">
        <is>
          <t>1.00</t>
        </is>
      </c>
      <c r="AV1742" t="inlineStr">
        <is>
          <t>20</t>
        </is>
      </c>
      <c r="AW1742" t="inlineStr">
        <is>
          <t>0</t>
        </is>
      </c>
      <c r="AX1742" t="inlineStr">
        <is>
          <t>Not Qualified</t>
        </is>
      </c>
      <c r="AY1742" s="4"/>
      <c r="AZ1742"/>
      <c r="BA1742"/>
      <c r="BB1742"/>
      <c r="BC1742"/>
      <c r="BD1742" s="4"/>
      <c r="BE1742"/>
      <c r="BF1742"/>
      <c r="BG1742" t="inlineStr">
        <is>
          <t>Reschedule</t>
        </is>
      </c>
      <c r="BH1742" t="inlineStr">
        <is>
          <t>Yee Hang</t>
        </is>
      </c>
      <c r="BI1742"/>
      <c r="BJ1742" s="4">
        <v>46144.75539351852</v>
      </c>
      <c r="BK1742" s="4">
        <v>46079.621666666666</v>
      </c>
      <c r="BL1742" t="inlineStr">
        <is>
          <t>0.0</t>
        </is>
      </c>
      <c r="BM1742" t="inlineStr">
        <is>
          <t>0.0</t>
        </is>
      </c>
      <c r="BN1742"/>
      <c r="BO1742" s="4"/>
      <c r="BP1742">
        <v>166417</v>
      </c>
      <c r="BQ1742"/>
      <c r="BR1742"/>
      <c r="BS1742"/>
      <c r="BT1742"/>
      <c r="BU1742"/>
      <c r="BV1742"/>
      <c r="BW1742"/>
      <c r="BX1742"/>
      <c r="BY1742"/>
      <c r="BZ1742" s="4"/>
      <c r="CA1742"/>
      <c r="CB1742"/>
      <c r="CC1742" s="4"/>
      <c r="CD1742" t="inlineStr">
        <is>
          <t>30</t>
        </is>
      </c>
      <c r="CE1742" t="inlineStr">
        <is>
          <t>0</t>
        </is>
      </c>
      <c r="CF1742" t="inlineStr">
        <is>
          <t>Q2-W02</t>
        </is>
      </c>
      <c r="CG1742"/>
      <c r="CH1742"/>
      <c r="CI1742"/>
      <c r="CJ1742" t="inlineStr">
        <is>
          <t>No Paid</t>
        </is>
      </c>
      <c r="CK1742" t="inlineStr">
        <is>
          <t>Not Eligible</t>
        </is>
      </c>
      <c r="CL1742"/>
      <c r="CM1742"/>
    </row>
    <row r="1743" ht="25.5" customHeight="1">
      <c r="A1743" t="inlineStr">
        <is>
          <t>192566</t>
        </is>
      </c>
      <c r="B1743" s="2"/>
      <c r="C1743"/>
      <c r="D1743" s="3">
        <v>46122.581655092596</v>
      </c>
      <c r="E1743" t="inlineStr">
        <is>
          <t>Q2-W02</t>
        </is>
      </c>
      <c r="F1743" t="inlineStr">
        <is>
          <t>Xin Hui</t>
        </is>
      </c>
      <c r="G1743" t="inlineStr">
        <is>
          <t>Customer</t>
        </is>
      </c>
      <c r="H1743" s="2" t="str">
        <f>=HYPERLINK("https://upbox.ajobthing.my/customer/192566", "https://upbox.ajobthing.my/customer/192566")</f>
        <v>https://upbox.ajobthing.my/customer/192566</v>
      </c>
      <c r="I1743" t="inlineStr">
        <is>
          <t>Snowball Media Sdn Bhd</t>
        </is>
      </c>
      <c r="J1743" t="inlineStr">
        <is>
          <t>Small Fish</t>
        </is>
      </c>
      <c r="K1743" t="inlineStr">
        <is>
          <t>Xin Hui</t>
        </is>
      </c>
      <c r="L1743" s="4"/>
      <c r="M1743" s="4">
        <v>46122.58351851852</v>
      </c>
      <c r="N1743"/>
      <c r="O1743">
        <v>3888</v>
      </c>
      <c r="P1743" s="4"/>
      <c r="Q1743" s="4"/>
      <c r="R1743"/>
      <c r="S1743"/>
      <c r="T1743" s="4"/>
      <c r="U1743" s="4"/>
      <c r="V1743"/>
      <c r="W1743"/>
      <c r="X1743"/>
      <c r="Y1743" t="inlineStr">
        <is>
          <t>Pending Appointment</t>
        </is>
      </c>
      <c r="Z1743" t="inlineStr">
        <is>
          <t>Hiring Later</t>
        </is>
      </c>
      <c r="AA1743">
        <v>2</v>
      </c>
      <c r="AB1743" t="inlineStr">
        <is>
          <t>No Appointment Made</t>
        </is>
      </c>
      <c r="AC1743"/>
      <c r="AD1743" t="inlineStr">
        <is>
          <t>1 admin, 1 finance</t>
        </is>
      </c>
      <c r="AE1743"/>
      <c r="AF1743">
        <v>0</v>
      </c>
      <c r="AG1743" s="4"/>
      <c r="AH1743" s="4"/>
      <c r="AI1743">
        <v>0</v>
      </c>
      <c r="AJ1743"/>
      <c r="AK1743" t="inlineStr">
        <is>
          <t>No, I don't need at all</t>
        </is>
      </c>
      <c r="AL1743">
        <v>0</v>
      </c>
      <c r="AM1743" t="inlineStr">
        <is>
          <t>No, I don't need at all</t>
        </is>
      </c>
      <c r="AN1743"/>
      <c r="AO1743" t="inlineStr">
        <is>
          <t>No, I don't need at all</t>
        </is>
      </c>
      <c r="AP1743" t="inlineStr">
        <is>
          <t>Once a year (25%)</t>
        </is>
      </c>
      <c r="AQ1743">
        <v>0</v>
      </c>
      <c r="AR1743" t="inlineStr">
        <is>
          <t>Free Job Portal</t>
        </is>
      </c>
      <c r="AS1743" t="inlineStr">
        <is>
          <t>- Headcount: 2
- Hiring Job Details: 1 admin, 1 finance
- Hiring Urgency: Hiring Later
- Number of outlets: N/A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Free Job Portal</t>
        </is>
      </c>
      <c r="AT1743">
        <v>100</v>
      </c>
      <c r="AU1743" t="inlineStr">
        <is>
          <t>1.00</t>
        </is>
      </c>
      <c r="AV1743" t="inlineStr">
        <is>
          <t>15</t>
        </is>
      </c>
      <c r="AW1743" t="inlineStr">
        <is>
          <t>0</t>
        </is>
      </c>
      <c r="AX1743" t="inlineStr">
        <is>
          <t>Not Qualified</t>
        </is>
      </c>
      <c r="AY1743" s="4"/>
      <c r="AZ1743"/>
      <c r="BA1743"/>
      <c r="BB1743"/>
      <c r="BC1743" t="inlineStr">
        <is>
          <t>not interested / hang up</t>
        </is>
      </c>
      <c r="BD1743" s="4">
        <v>46133.4637037037</v>
      </c>
      <c r="BE1743"/>
      <c r="BF1743"/>
      <c r="BG1743" t="inlineStr">
        <is>
          <t>Reschedule</t>
        </is>
      </c>
      <c r="BH1743" t="inlineStr">
        <is>
          <t>Yee Hang</t>
        </is>
      </c>
      <c r="BI1743" t="inlineStr">
        <is>
          <t>Entertainment / Media</t>
        </is>
      </c>
      <c r="BJ1743" s="4">
        <v>46144.75256944444</v>
      </c>
      <c r="BK1743" s="4">
        <v>45821.726805555554</v>
      </c>
      <c r="BL1743" t="inlineStr">
        <is>
          <t>0.0</t>
        </is>
      </c>
      <c r="BM1743" t="inlineStr">
        <is>
          <t>0.0</t>
        </is>
      </c>
      <c r="BN1743" t="inlineStr">
        <is>
          <t>User Visit(Logged In)</t>
        </is>
      </c>
      <c r="BO1743" s="4">
        <v>45842.44829861111</v>
      </c>
      <c r="BP1743">
        <v>166420</v>
      </c>
      <c r="BQ1743"/>
      <c r="BR1743"/>
      <c r="BS1743"/>
      <c r="BT1743"/>
      <c r="BU1743"/>
      <c r="BV1743">
        <v>2717342</v>
      </c>
      <c r="BW1743" t="inlineStr">
        <is>
          <t>Follow Up : Lost - Free Portal</t>
        </is>
      </c>
      <c r="BX1743"/>
      <c r="BY1743"/>
      <c r="BZ1743" s="4"/>
      <c r="CA1743"/>
      <c r="CB1743"/>
      <c r="CC1743" s="4"/>
      <c r="CD1743" t="inlineStr">
        <is>
          <t>20</t>
        </is>
      </c>
      <c r="CE1743" t="inlineStr">
        <is>
          <t>0</t>
        </is>
      </c>
      <c r="CF1743" t="inlineStr">
        <is>
          <t>Q2-W02</t>
        </is>
      </c>
      <c r="CG1743"/>
      <c r="CH1743"/>
      <c r="CI1743"/>
      <c r="CJ1743" t="inlineStr">
        <is>
          <t>No Paid</t>
        </is>
      </c>
      <c r="CK1743" t="inlineStr">
        <is>
          <t>Not Eligible</t>
        </is>
      </c>
      <c r="CL1743"/>
      <c r="CM1743"/>
    </row>
    <row r="1744" ht="25.5" customHeight="1">
      <c r="A1744" t="inlineStr">
        <is>
          <t>203085</t>
        </is>
      </c>
      <c r="B1744" s="2"/>
      <c r="C1744"/>
      <c r="D1744" s="3">
        <v>46122.59092592593</v>
      </c>
      <c r="E1744" t="inlineStr">
        <is>
          <t>Q2-W02</t>
        </is>
      </c>
      <c r="F1744" t="inlineStr">
        <is>
          <t>Keegan</t>
        </is>
      </c>
      <c r="G1744" t="inlineStr">
        <is>
          <t>Customer</t>
        </is>
      </c>
      <c r="H1744" s="2" t="str">
        <f>=HYPERLINK("https://upbox.ajobthing.my/customer/203085", "https://upbox.ajobthing.my/customer/203085")</f>
        <v>https://upbox.ajobthing.my/customer/203085</v>
      </c>
      <c r="I1744" t="inlineStr">
        <is>
          <t>TODAYS BY DALTON SDN BHD</t>
        </is>
      </c>
      <c r="J1744" t="inlineStr">
        <is>
          <t>Small Fish</t>
        </is>
      </c>
      <c r="K1744" t="inlineStr">
        <is>
          <t>Keegan</t>
        </is>
      </c>
      <c r="L1744" s="4"/>
      <c r="M1744" s="4">
        <v>46122.591469907406</v>
      </c>
      <c r="N1744"/>
      <c r="O1744">
        <v>6048</v>
      </c>
      <c r="P1744" s="4"/>
      <c r="Q1744" s="4"/>
      <c r="R1744"/>
      <c r="S1744"/>
      <c r="T1744" s="4"/>
      <c r="U1744" s="4"/>
      <c r="V1744"/>
      <c r="W1744"/>
      <c r="X1744"/>
      <c r="Y1744" t="inlineStr">
        <is>
          <t>Pending Appointment</t>
        </is>
      </c>
      <c r="Z1744" t="inlineStr">
        <is>
          <t>Hiring Now</t>
        </is>
      </c>
      <c r="AA1744">
        <v>2</v>
      </c>
      <c r="AB1744" t="inlineStr">
        <is>
          <t>No Appointment Made</t>
        </is>
      </c>
      <c r="AC1744"/>
      <c r="AD1744" t="inlineStr">
        <is>
          <t>1. barista 
2.cafe crew</t>
        </is>
      </c>
      <c r="AE1744"/>
      <c r="AF1744"/>
      <c r="AG1744" s="4"/>
      <c r="AH1744" s="4"/>
      <c r="AI1744"/>
      <c r="AJ1744">
        <v>1</v>
      </c>
      <c r="AK1744" t="inlineStr">
        <is>
          <t>No, I don't need at all</t>
        </is>
      </c>
      <c r="AL1744">
        <v>0</v>
      </c>
      <c r="AM1744" t="inlineStr">
        <is>
          <t>No, I don't need at all</t>
        </is>
      </c>
      <c r="AN1744"/>
      <c r="AO1744" t="inlineStr">
        <is>
          <t>No, I don't need at all</t>
        </is>
      </c>
      <c r="AP1744" t="inlineStr">
        <is>
          <t>Every month (100%)</t>
        </is>
      </c>
      <c r="AQ1744"/>
      <c r="AR1744" t="inlineStr">
        <is>
          <t>Did not use any job portal</t>
        </is>
      </c>
      <c r="AS1744" t="inlineStr">
        <is>
          <t>- Headcount: 2 (1 barista, 1 cafe crew).
- Hiring Job Details: 1. barista \n2. cafe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is>
      </c>
      <c r="AT1744">
        <v>95</v>
      </c>
      <c r="AU1744" t="inlineStr">
        <is>
          <t>0.95</t>
        </is>
      </c>
      <c r="AV1744" t="inlineStr">
        <is>
          <t>5</t>
        </is>
      </c>
      <c r="AW1744" t="inlineStr">
        <is>
          <t>0</t>
        </is>
      </c>
      <c r="AX1744" t="inlineStr">
        <is>
          <t>Not Qualified</t>
        </is>
      </c>
      <c r="AY1744" s="4"/>
      <c r="AZ1744"/>
      <c r="BA1744"/>
      <c r="BB1744"/>
      <c r="BC1744" t="inlineStr">
        <is>
          <t>- Headcount: 2 (1 barista, 1 cafe crew).
- Hiring Job Details: 1. barista \n2. cafe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is>
      </c>
      <c r="BD1744" s="4">
        <v>46122.625069444446</v>
      </c>
      <c r="BE1744"/>
      <c r="BF1744"/>
      <c r="BG1744" t="inlineStr">
        <is>
          <t>Reschedule</t>
        </is>
      </c>
      <c r="BH1744" t="inlineStr">
        <is>
          <t>Edward Hoo</t>
        </is>
      </c>
      <c r="BI1744"/>
      <c r="BJ1744" s="4">
        <v>46144.754212962966</v>
      </c>
      <c r="BK1744" s="4">
        <v>46122.589525462965</v>
      </c>
      <c r="BL1744" t="inlineStr">
        <is>
          <t>0.0</t>
        </is>
      </c>
      <c r="BM1744" t="inlineStr">
        <is>
          <t>0.0</t>
        </is>
      </c>
      <c r="BN1744"/>
      <c r="BO1744" s="4"/>
      <c r="BP1744">
        <v>166425</v>
      </c>
      <c r="BQ1744"/>
      <c r="BR1744"/>
      <c r="BS1744"/>
      <c r="BT1744"/>
      <c r="BU1744"/>
      <c r="BV1744">
        <v>2698346</v>
      </c>
      <c r="BW1744" t="inlineStr">
        <is>
          <t>Customer Inquiry</t>
        </is>
      </c>
      <c r="BX1744"/>
      <c r="BY1744"/>
      <c r="BZ1744" s="4"/>
      <c r="CA1744"/>
      <c r="CB1744"/>
      <c r="CC1744" s="4"/>
      <c r="CD1744" t="inlineStr">
        <is>
          <t>5</t>
        </is>
      </c>
      <c r="CE1744" t="inlineStr">
        <is>
          <t>0</t>
        </is>
      </c>
      <c r="CF1744" t="inlineStr">
        <is>
          <t>Q2-W02</t>
        </is>
      </c>
      <c r="CG1744"/>
      <c r="CH1744"/>
      <c r="CI1744"/>
      <c r="CJ1744" t="inlineStr">
        <is>
          <t>No Paid</t>
        </is>
      </c>
      <c r="CK1744" t="inlineStr">
        <is>
          <t>Not Eligible</t>
        </is>
      </c>
      <c r="CL1744"/>
      <c r="CM1744"/>
    </row>
    <row r="1745" ht="25.5" customHeight="1">
      <c r="A1745" t="inlineStr">
        <is>
          <t>118734</t>
        </is>
      </c>
      <c r="B1745" s="2"/>
      <c r="C1745"/>
      <c r="D1745" s="3">
        <v>46122.59259259259</v>
      </c>
      <c r="E1745" t="inlineStr">
        <is>
          <t>Q2-W02</t>
        </is>
      </c>
      <c r="F1745" t="inlineStr">
        <is>
          <t>Janice Yap</t>
        </is>
      </c>
      <c r="G1745" t="inlineStr">
        <is>
          <t>Customer</t>
        </is>
      </c>
      <c r="H1745" s="2" t="str">
        <f>=HYPERLINK("https://upbox.ajobthing.my/customer/118734", "https://upbox.ajobthing.my/customer/118734")</f>
        <v>https://upbox.ajobthing.my/customer/118734</v>
      </c>
      <c r="I1745" t="inlineStr">
        <is>
          <t xml:space="preserve">Salient Information Sdn Bhd </t>
        </is>
      </c>
      <c r="J1745" t="inlineStr">
        <is>
          <t>Small Fish</t>
        </is>
      </c>
      <c r="K1745" t="inlineStr">
        <is>
          <t>Janice</t>
        </is>
      </c>
      <c r="L1745" s="4"/>
      <c r="M1745" s="4">
        <v>46122.59012731481</v>
      </c>
      <c r="N1745"/>
      <c r="O1745">
        <v>3888</v>
      </c>
      <c r="P1745" s="4"/>
      <c r="Q1745" s="4"/>
      <c r="R1745"/>
      <c r="S1745"/>
      <c r="T1745" s="4"/>
      <c r="U1745" s="4"/>
      <c r="V1745"/>
      <c r="W1745"/>
      <c r="X1745"/>
      <c r="Y1745" t="inlineStr">
        <is>
          <t>Pending Appointment</t>
        </is>
      </c>
      <c r="Z1745" t="inlineStr">
        <is>
          <t>Hiring Now</t>
        </is>
      </c>
      <c r="AA1745">
        <v>1</v>
      </c>
      <c r="AB1745" t="inlineStr">
        <is>
          <t>No Appointment Made</t>
        </is>
      </c>
      <c r="AC1745"/>
      <c r="AD1745" t="inlineStr">
        <is>
          <t>1 marketing</t>
        </is>
      </c>
      <c r="AE1745"/>
      <c r="AF1745">
        <v>0</v>
      </c>
      <c r="AG1745" s="4"/>
      <c r="AH1745" s="4"/>
      <c r="AI1745">
        <v>0</v>
      </c>
      <c r="AJ1745"/>
      <c r="AK1745" t="inlineStr">
        <is>
          <t>No, I don't need at all</t>
        </is>
      </c>
      <c r="AL1745">
        <v>0</v>
      </c>
      <c r="AM1745" t="inlineStr">
        <is>
          <t>No, I don't need at all</t>
        </is>
      </c>
      <c r="AN1745"/>
      <c r="AO1745" t="inlineStr">
        <is>
          <t>No, I don't need at all</t>
        </is>
      </c>
      <c r="AP1745" t="inlineStr">
        <is>
          <t>Once a year (25%)</t>
        </is>
      </c>
      <c r="AQ1745">
        <v>1</v>
      </c>
      <c r="AR1745" t="inlineStr">
        <is>
          <t>Indeed (Paid)</t>
        </is>
      </c>
      <c r="AS1745" t="inlineStr">
        <is>
          <t>- Headcount: 1
- Hiring Job Details: 1 marketing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Indeed (Paid)</t>
        </is>
      </c>
      <c r="AT1745">
        <v>120</v>
      </c>
      <c r="AU1745" t="inlineStr">
        <is>
          <t>1.20</t>
        </is>
      </c>
      <c r="AV1745" t="inlineStr">
        <is>
          <t>15</t>
        </is>
      </c>
      <c r="AW1745" t="inlineStr">
        <is>
          <t>0</t>
        </is>
      </c>
      <c r="AX1745" t="inlineStr">
        <is>
          <t>Not Qualified</t>
        </is>
      </c>
      <c r="AY1745" s="4"/>
      <c r="AZ1745"/>
      <c r="BA1745"/>
      <c r="BB1745"/>
      <c r="BC1745" t="inlineStr">
        <is>
          <t>No need // posted on Hirely better</t>
        </is>
      </c>
      <c r="BD1745" s="4">
        <v>46140.4487037037</v>
      </c>
      <c r="BE1745"/>
      <c r="BF1745"/>
      <c r="BG1745" t="inlineStr">
        <is>
          <t>Reschedule</t>
        </is>
      </c>
      <c r="BH1745" t="inlineStr">
        <is>
          <t>Yee Hang</t>
        </is>
      </c>
      <c r="BI1745" t="inlineStr">
        <is>
          <t>Advertising / Marketing</t>
        </is>
      </c>
      <c r="BJ1745" s="4">
        <v>46144.75019675926</v>
      </c>
      <c r="BK1745" s="4">
        <v>43609.55363425926</v>
      </c>
      <c r="BL1745" t="inlineStr">
        <is>
          <t>0.0</t>
        </is>
      </c>
      <c r="BM1745" t="inlineStr">
        <is>
          <t>0.0</t>
        </is>
      </c>
      <c r="BN1745" t="inlineStr">
        <is>
          <t>View Create Job Page</t>
        </is>
      </c>
      <c r="BO1745" s="4">
        <v>45198.66474537037</v>
      </c>
      <c r="BP1745">
        <v>166424</v>
      </c>
      <c r="BQ1745"/>
      <c r="BR1745"/>
      <c r="BS1745"/>
      <c r="BT1745"/>
      <c r="BU1745"/>
      <c r="BV1745">
        <v>2731931</v>
      </c>
      <c r="BW1745" t="inlineStr">
        <is>
          <t>Follow Up : Lost - Free Portal</t>
        </is>
      </c>
      <c r="BX1745"/>
      <c r="BY1745"/>
      <c r="BZ1745" s="4"/>
      <c r="CA1745"/>
      <c r="CB1745"/>
      <c r="CC1745" s="4"/>
      <c r="CD1745" t="inlineStr">
        <is>
          <t>20</t>
        </is>
      </c>
      <c r="CE1745" t="inlineStr">
        <is>
          <t>0</t>
        </is>
      </c>
      <c r="CF1745" t="inlineStr">
        <is>
          <t>Q2-W02</t>
        </is>
      </c>
      <c r="CG1745"/>
      <c r="CH1745"/>
      <c r="CI1745"/>
      <c r="CJ1745" t="inlineStr">
        <is>
          <t>No Paid</t>
        </is>
      </c>
      <c r="CK1745" t="inlineStr">
        <is>
          <t>Not Eligible</t>
        </is>
      </c>
      <c r="CL1745"/>
      <c r="CM1745"/>
    </row>
    <row r="1746" ht="25.5" customHeight="1">
      <c r="A1746" t="inlineStr">
        <is>
          <t>191326</t>
        </is>
      </c>
      <c r="B1746" s="2"/>
      <c r="C1746"/>
      <c r="D1746" s="3">
        <v>46122.59554398148</v>
      </c>
      <c r="E1746" t="inlineStr">
        <is>
          <t>Q2-W02</t>
        </is>
      </c>
      <c r="F1746" t="inlineStr">
        <is>
          <t>Carmen</t>
        </is>
      </c>
      <c r="G1746" t="inlineStr">
        <is>
          <t>Customer</t>
        </is>
      </c>
      <c r="H1746" s="2" t="str">
        <f>=HYPERLINK("https://upbox.ajobthing.my/customer/191326", "https://upbox.ajobthing.my/customer/191326")</f>
        <v>https://upbox.ajobthing.my/customer/191326</v>
      </c>
      <c r="I1746" t="inlineStr">
        <is>
          <t>Gouni Consulting</t>
        </is>
      </c>
      <c r="J1746" t="inlineStr">
        <is>
          <t>Small Fish</t>
        </is>
      </c>
      <c r="K1746" t="inlineStr">
        <is>
          <t>Carmen</t>
        </is>
      </c>
      <c r="L1746" s="4"/>
      <c r="M1746" s="4">
        <v>46122.59601851852</v>
      </c>
      <c r="N1746"/>
      <c r="O1746">
        <v>3888</v>
      </c>
      <c r="P1746" s="4"/>
      <c r="Q1746" s="4">
        <v>46100.50084490741</v>
      </c>
      <c r="R1746"/>
      <c r="S1746">
        <v>0</v>
      </c>
      <c r="T1746" s="4"/>
      <c r="U1746" s="4"/>
      <c r="V1746"/>
      <c r="W1746"/>
      <c r="X1746"/>
      <c r="Y1746" t="inlineStr">
        <is>
          <t>Pending Appointment</t>
        </is>
      </c>
      <c r="Z1746" t="inlineStr">
        <is>
          <t>Continuous Hiring</t>
        </is>
      </c>
      <c r="AA1746">
        <v>1</v>
      </c>
      <c r="AB1746" t="inlineStr">
        <is>
          <t>No Appointment Made</t>
        </is>
      </c>
      <c r="AC1746"/>
      <c r="AD1746" t="inlineStr">
        <is>
          <t>1 business consulting</t>
        </is>
      </c>
      <c r="AE1746"/>
      <c r="AF1746">
        <v>1000</v>
      </c>
      <c r="AG1746" s="4"/>
      <c r="AH1746" s="4"/>
      <c r="AI1746"/>
      <c r="AJ1746"/>
      <c r="AK1746"/>
      <c r="AL1746"/>
      <c r="AM1746"/>
      <c r="AN1746"/>
      <c r="AO1746"/>
      <c r="AP1746"/>
      <c r="AQ1746"/>
      <c r="AR1746"/>
      <c r="AS1746" t="inlineStr">
        <is>
          <t>- Headcount: 1
- Hiring Job Details: 1 business consulting
- Hiring Urgency: Continuous Hiring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Not available
- External job portal: Not available</t>
        </is>
      </c>
      <c r="AT1746">
        <v>65</v>
      </c>
      <c r="AU1746" t="inlineStr">
        <is>
          <t>0.65</t>
        </is>
      </c>
      <c r="AV1746" t="inlineStr">
        <is>
          <t>15</t>
        </is>
      </c>
      <c r="AW1746" t="inlineStr">
        <is>
          <t>0</t>
        </is>
      </c>
      <c r="AX1746" t="inlineStr">
        <is>
          <t>Not Qualified</t>
        </is>
      </c>
      <c r="AY1746" s="4"/>
      <c r="AZ1746"/>
      <c r="BA1746"/>
      <c r="BB1746"/>
      <c r="BC1746" t="inlineStr">
        <is>
          <t>he at china come back next week</t>
        </is>
      </c>
      <c r="BD1746" s="4">
        <v>46136.596921296295</v>
      </c>
      <c r="BE1746" t="inlineStr">
        <is>
          <t>paid</t>
        </is>
      </c>
      <c r="BF1746"/>
      <c r="BG1746" t="inlineStr">
        <is>
          <t>Reschedule</t>
        </is>
      </c>
      <c r="BH1746" t="inlineStr">
        <is>
          <t>Reagen</t>
        </is>
      </c>
      <c r="BI1746" t="inlineStr">
        <is>
          <t>Education / Training</t>
        </is>
      </c>
      <c r="BJ1746" s="4">
        <v>46144.75239583333</v>
      </c>
      <c r="BK1746" s="4">
        <v>45792.79875</v>
      </c>
      <c r="BL1746" t="inlineStr">
        <is>
          <t>0.0</t>
        </is>
      </c>
      <c r="BM1746" t="inlineStr">
        <is>
          <t>0.0</t>
        </is>
      </c>
      <c r="BN1746" t="inlineStr">
        <is>
          <t>View Company Page</t>
        </is>
      </c>
      <c r="BO1746" s="4">
        <v>45792.801770833335</v>
      </c>
      <c r="BP1746">
        <v>166430</v>
      </c>
      <c r="BQ1746">
        <v>118022</v>
      </c>
      <c r="BR1746" t="inlineStr">
        <is>
          <t>Proforma</t>
        </is>
      </c>
      <c r="BS1746" t="inlineStr">
        <is>
          <t>Free Part-Time Job</t>
        </is>
      </c>
      <c r="BT1746"/>
      <c r="BU1746"/>
      <c r="BV1746">
        <v>2726422</v>
      </c>
      <c r="BW1746" t="inlineStr">
        <is>
          <t>Follow Up : Decision Pending</t>
        </is>
      </c>
      <c r="BX1746"/>
      <c r="BY1746"/>
      <c r="BZ1746" s="4"/>
      <c r="CA1746"/>
      <c r="CB1746"/>
      <c r="CC1746" s="4"/>
      <c r="CD1746" t="inlineStr">
        <is>
          <t>20</t>
        </is>
      </c>
      <c r="CE1746" t="inlineStr">
        <is>
          <t>0</t>
        </is>
      </c>
      <c r="CF1746" t="inlineStr">
        <is>
          <t>Q2-W02</t>
        </is>
      </c>
      <c r="CG1746" t="inlineStr">
        <is>
          <t>Q1-W11</t>
        </is>
      </c>
      <c r="CH1746"/>
      <c r="CI1746"/>
      <c r="CJ1746" t="inlineStr">
        <is>
          <t>No Paid</t>
        </is>
      </c>
      <c r="CK1746" t="inlineStr">
        <is>
          <t>Not Eligible</t>
        </is>
      </c>
      <c r="CL1746"/>
      <c r="CM1746"/>
    </row>
    <row r="1747" ht="25.5" customHeight="1">
      <c r="A1747" t="inlineStr">
        <is>
          <t>191151</t>
        </is>
      </c>
      <c r="B1747" s="2"/>
      <c r="C1747"/>
      <c r="D1747" s="3">
        <v>46122.60618055556</v>
      </c>
      <c r="E1747" t="inlineStr">
        <is>
          <t>Q2-W02</t>
        </is>
      </c>
      <c r="F1747" t="inlineStr">
        <is>
          <t>Xin Hui</t>
        </is>
      </c>
      <c r="G1747" t="inlineStr">
        <is>
          <t>Customer</t>
        </is>
      </c>
      <c r="H1747" s="2" t="str">
        <f>=HYPERLINK("https://upbox.ajobthing.my/customer/191151", "https://upbox.ajobthing.my/customer/191151")</f>
        <v>https://upbox.ajobthing.my/customer/191151</v>
      </c>
      <c r="I1747" t="inlineStr">
        <is>
          <t>Tw Kafen Sdn Bhd</t>
        </is>
      </c>
      <c r="J1747" t="inlineStr">
        <is>
          <t>Small Fish</t>
        </is>
      </c>
      <c r="K1747" t="inlineStr">
        <is>
          <t>Xin Hui</t>
        </is>
      </c>
      <c r="L1747" s="4"/>
      <c r="M1747" s="4">
        <v>46122.608194444445</v>
      </c>
      <c r="N1747"/>
      <c r="O1747">
        <v>3888</v>
      </c>
      <c r="P1747" s="4"/>
      <c r="Q1747" s="4"/>
      <c r="R1747"/>
      <c r="S1747"/>
      <c r="T1747" s="4"/>
      <c r="U1747" s="4"/>
      <c r="V1747"/>
      <c r="W1747"/>
      <c r="X1747"/>
      <c r="Y1747" t="inlineStr">
        <is>
          <t>Pending Appointment</t>
        </is>
      </c>
      <c r="Z1747" t="inlineStr">
        <is>
          <t>Hiring Later</t>
        </is>
      </c>
      <c r="AA1747">
        <v>1</v>
      </c>
      <c r="AB1747" t="inlineStr">
        <is>
          <t>No Appointment Made</t>
        </is>
      </c>
      <c r="AC1747"/>
      <c r="AD1747" t="inlineStr">
        <is>
          <t>Executive / Manager</t>
        </is>
      </c>
      <c r="AE1747"/>
      <c r="AF1747">
        <v>0</v>
      </c>
      <c r="AG1747" s="4"/>
      <c r="AH1747" s="4"/>
      <c r="AI1747">
        <v>0</v>
      </c>
      <c r="AJ1747"/>
      <c r="AK1747" t="inlineStr">
        <is>
          <t>No, I don't need at all</t>
        </is>
      </c>
      <c r="AL1747">
        <v>0</v>
      </c>
      <c r="AM1747" t="inlineStr">
        <is>
          <t>No, I don't need at all</t>
        </is>
      </c>
      <c r="AN1747"/>
      <c r="AO1747" t="inlineStr">
        <is>
          <t>No, I don't need at all</t>
        </is>
      </c>
      <c r="AP1747" t="inlineStr">
        <is>
          <t>Once a year (25%)</t>
        </is>
      </c>
      <c r="AQ1747">
        <v>0</v>
      </c>
      <c r="AR1747"/>
      <c r="AS1747" t="inlineStr">
        <is>
          <t>- Headcount: 1
- Hiring Job Details: Executive / Manager
- Hiring Urgency: Hiring Later
- Number of outlets: Not provided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Not provided</t>
        </is>
      </c>
      <c r="AT1747">
        <v>95</v>
      </c>
      <c r="AU1747" t="inlineStr">
        <is>
          <t>0.95</t>
        </is>
      </c>
      <c r="AV1747" t="inlineStr">
        <is>
          <t>15</t>
        </is>
      </c>
      <c r="AW1747" t="inlineStr">
        <is>
          <t>0</t>
        </is>
      </c>
      <c r="AX1747" t="inlineStr">
        <is>
          <t>Not Qualified</t>
        </is>
      </c>
      <c r="AY1747" s="4"/>
      <c r="AZ1747"/>
      <c r="BA1747"/>
      <c r="BB1747"/>
      <c r="BC1747" t="inlineStr">
        <is>
          <t>currently no need, if need will contact us</t>
        </is>
      </c>
      <c r="BD1747" s="4">
        <v>46133.46545138889</v>
      </c>
      <c r="BE1747"/>
      <c r="BF1747"/>
      <c r="BG1747" t="inlineStr">
        <is>
          <t>Reschedule</t>
        </is>
      </c>
      <c r="BH1747" t="inlineStr">
        <is>
          <t>Yee Hang</t>
        </is>
      </c>
      <c r="BI1747"/>
      <c r="BJ1747" s="4">
        <v>46144.75239583333</v>
      </c>
      <c r="BK1747" s="4">
        <v>45790.40939814815</v>
      </c>
      <c r="BL1747" t="inlineStr">
        <is>
          <t>0.0</t>
        </is>
      </c>
      <c r="BM1747" t="inlineStr">
        <is>
          <t>0.0</t>
        </is>
      </c>
      <c r="BN1747" t="inlineStr">
        <is>
          <t>View Create Job Page</t>
        </is>
      </c>
      <c r="BO1747" s="4">
        <v>45790.4162037037</v>
      </c>
      <c r="BP1747">
        <v>166443</v>
      </c>
      <c r="BQ1747"/>
      <c r="BR1747"/>
      <c r="BS1747"/>
      <c r="BT1747"/>
      <c r="BU1747"/>
      <c r="BV1747">
        <v>2717356</v>
      </c>
      <c r="BW1747" t="inlineStr">
        <is>
          <t>Follow Up : Lost - Free Portal</t>
        </is>
      </c>
      <c r="BX1747"/>
      <c r="BY1747"/>
      <c r="BZ1747" s="4"/>
      <c r="CA1747"/>
      <c r="CB1747"/>
      <c r="CC1747" s="4"/>
      <c r="CD1747" t="inlineStr">
        <is>
          <t>20</t>
        </is>
      </c>
      <c r="CE1747" t="inlineStr">
        <is>
          <t>0</t>
        </is>
      </c>
      <c r="CF1747" t="inlineStr">
        <is>
          <t>Q2-W02</t>
        </is>
      </c>
      <c r="CG1747"/>
      <c r="CH1747"/>
      <c r="CI1747"/>
      <c r="CJ1747" t="inlineStr">
        <is>
          <t>No Paid</t>
        </is>
      </c>
      <c r="CK1747" t="inlineStr">
        <is>
          <t>Not Eligible</t>
        </is>
      </c>
      <c r="CL1747"/>
      <c r="CM1747"/>
    </row>
    <row r="1748" ht="25.5" customHeight="1">
      <c r="A1748" t="inlineStr">
        <is>
          <t>203087</t>
        </is>
      </c>
      <c r="B1748" s="2"/>
      <c r="C1748"/>
      <c r="D1748" s="3">
        <v>46122.60886574074</v>
      </c>
      <c r="E1748" t="inlineStr">
        <is>
          <t>Q2-W02</t>
        </is>
      </c>
      <c r="F1748" t="inlineStr">
        <is>
          <t>Keegan</t>
        </is>
      </c>
      <c r="G1748" t="inlineStr">
        <is>
          <t>Customer</t>
        </is>
      </c>
      <c r="H1748" s="2" t="str">
        <f>=HYPERLINK("https://upbox.ajobthing.my/customer/203087", "https://upbox.ajobthing.my/customer/203087")</f>
        <v>https://upbox.ajobthing.my/customer/203087</v>
      </c>
      <c r="I1748" t="inlineStr">
        <is>
          <t>CHEE HENG WORKSHOP &amp; AUTOMOBILE SDN. BHD.</t>
        </is>
      </c>
      <c r="J1748" t="inlineStr">
        <is>
          <t>Small Fish</t>
        </is>
      </c>
      <c r="K1748" t="inlineStr">
        <is>
          <t>Keegan</t>
        </is>
      </c>
      <c r="L1748" s="4"/>
      <c r="M1748" s="4">
        <v>46122.60896990741</v>
      </c>
      <c r="N1748"/>
      <c r="O1748">
        <v>3672</v>
      </c>
      <c r="P1748" s="4"/>
      <c r="Q1748" s="4"/>
      <c r="R1748"/>
      <c r="S1748"/>
      <c r="T1748" s="4"/>
      <c r="U1748" s="4"/>
      <c r="V1748"/>
      <c r="W1748"/>
      <c r="X1748"/>
      <c r="Y1748" t="inlineStr">
        <is>
          <t>Pending Appointment</t>
        </is>
      </c>
      <c r="Z1748" t="inlineStr">
        <is>
          <t>Hiring Now</t>
        </is>
      </c>
      <c r="AA1748">
        <v>3</v>
      </c>
      <c r="AB1748" t="inlineStr">
        <is>
          <t>No Appointment Made</t>
        </is>
      </c>
      <c r="AC1748"/>
      <c r="AD1748" t="inlineStr">
        <is>
          <t xml:space="preserve">1. technician 
2. customer service 
3. sales </t>
        </is>
      </c>
      <c r="AE1748"/>
      <c r="AF1748"/>
      <c r="AG1748" s="4"/>
      <c r="AH1748" s="4"/>
      <c r="AI1748"/>
      <c r="AJ1748">
        <v>1</v>
      </c>
      <c r="AK1748" t="inlineStr">
        <is>
          <t>No, I don't need at all</t>
        </is>
      </c>
      <c r="AL1748">
        <v>0</v>
      </c>
      <c r="AM1748" t="inlineStr">
        <is>
          <t>No, I don't need at all</t>
        </is>
      </c>
      <c r="AN1748"/>
      <c r="AO1748" t="inlineStr">
        <is>
          <t>No, I don't need at all</t>
        </is>
      </c>
      <c r="AP1748" t="inlineStr">
        <is>
          <t>Once per quarter (75%)</t>
        </is>
      </c>
      <c r="AQ1748"/>
      <c r="AR1748" t="inlineStr">
        <is>
          <t>Did not use any job portal</t>
        </is>
      </c>
      <c r="AS1748" t="inlineStr">
        <is>
          <t>- Headcount: 3
- Hiring Job Details: 1 technician, 2 customer service, 3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748">
        <v>90</v>
      </c>
      <c r="AU1748" t="inlineStr">
        <is>
          <t>0.90</t>
        </is>
      </c>
      <c r="AV1748" t="inlineStr">
        <is>
          <t>5</t>
        </is>
      </c>
      <c r="AW1748" t="inlineStr">
        <is>
          <t>0</t>
        </is>
      </c>
      <c r="AX1748" t="inlineStr">
        <is>
          <t>Not Qualified</t>
        </is>
      </c>
      <c r="AY1748" s="4"/>
      <c r="AZ1748"/>
      <c r="BA1748"/>
      <c r="BB1748"/>
      <c r="BC1748" t="inlineStr">
        <is>
          <t>Pending decision</t>
        </is>
      </c>
      <c r="BD1748" s="4">
        <v>46126.66542824074</v>
      </c>
      <c r="BE1748"/>
      <c r="BF1748"/>
      <c r="BG1748" t="inlineStr">
        <is>
          <t>Reschedule</t>
        </is>
      </c>
      <c r="BH1748" t="inlineStr">
        <is>
          <t>Edward Hoo</t>
        </is>
      </c>
      <c r="BI1748"/>
      <c r="BJ1748" s="4">
        <v>46144.754212962966</v>
      </c>
      <c r="BK1748" s="4">
        <v>46122.60826388889</v>
      </c>
      <c r="BL1748" t="inlineStr">
        <is>
          <t>0.0</t>
        </is>
      </c>
      <c r="BM1748" t="inlineStr">
        <is>
          <t>0.0</t>
        </is>
      </c>
      <c r="BN1748"/>
      <c r="BO1748" s="4"/>
      <c r="BP1748">
        <v>166444</v>
      </c>
      <c r="BQ1748"/>
      <c r="BR1748"/>
      <c r="BS1748"/>
      <c r="BT1748"/>
      <c r="BU1748"/>
      <c r="BV1748">
        <v>2704056</v>
      </c>
      <c r="BW1748" t="inlineStr">
        <is>
          <t>Follow Up : Decision Pending</t>
        </is>
      </c>
      <c r="BX1748"/>
      <c r="BY1748"/>
      <c r="BZ1748" s="4"/>
      <c r="CA1748"/>
      <c r="CB1748"/>
      <c r="CC1748" s="4"/>
      <c r="CD1748" t="inlineStr">
        <is>
          <t>5</t>
        </is>
      </c>
      <c r="CE1748" t="inlineStr">
        <is>
          <t>0</t>
        </is>
      </c>
      <c r="CF1748" t="inlineStr">
        <is>
          <t>Q2-W02</t>
        </is>
      </c>
      <c r="CG1748"/>
      <c r="CH1748"/>
      <c r="CI1748"/>
      <c r="CJ1748" t="inlineStr">
        <is>
          <t>No Paid</t>
        </is>
      </c>
      <c r="CK1748" t="inlineStr">
        <is>
          <t>Not Eligible</t>
        </is>
      </c>
      <c r="CL1748"/>
      <c r="CM1748"/>
    </row>
    <row r="1749" ht="25.5" customHeight="1">
      <c r="A1749" t="inlineStr">
        <is>
          <t>191353</t>
        </is>
      </c>
      <c r="B1749" s="2"/>
      <c r="C1749"/>
      <c r="D1749" s="3">
        <v>46122.611134259256</v>
      </c>
      <c r="E1749" t="inlineStr">
        <is>
          <t>Q2-W02</t>
        </is>
      </c>
      <c r="F1749" t="inlineStr">
        <is>
          <t>Xin Quan</t>
        </is>
      </c>
      <c r="G1749" t="inlineStr">
        <is>
          <t>Customer</t>
        </is>
      </c>
      <c r="H1749" s="2" t="str">
        <f>=HYPERLINK("https://upbox.ajobthing.my/customer/191353", "https://upbox.ajobthing.my/customer/191353")</f>
        <v>https://upbox.ajobthing.my/customer/191353</v>
      </c>
      <c r="I1749" t="inlineStr">
        <is>
          <t>Bee Boy Put</t>
        </is>
      </c>
      <c r="J1749" t="inlineStr">
        <is>
          <t>Small Fish</t>
        </is>
      </c>
      <c r="K1749" t="inlineStr">
        <is>
          <t>Xin Quan</t>
        </is>
      </c>
      <c r="L1749" s="4"/>
      <c r="M1749" s="4">
        <v>46122.611342592594</v>
      </c>
      <c r="N1749"/>
      <c r="O1749">
        <v>1296</v>
      </c>
      <c r="P1749" s="4"/>
      <c r="Q1749" s="4"/>
      <c r="R1749"/>
      <c r="S1749"/>
      <c r="T1749" s="4"/>
      <c r="U1749" s="4"/>
      <c r="V1749"/>
      <c r="W1749"/>
      <c r="X1749"/>
      <c r="Y1749" t="inlineStr">
        <is>
          <t>Pending Appointment</t>
        </is>
      </c>
      <c r="Z1749" t="inlineStr">
        <is>
          <t>Hiring Now</t>
        </is>
      </c>
      <c r="AA1749">
        <v>1</v>
      </c>
      <c r="AB1749" t="inlineStr">
        <is>
          <t>No Appointment Made</t>
        </is>
      </c>
      <c r="AC1749"/>
      <c r="AD1749" t="inlineStr">
        <is>
          <t>1 Markter , Base in KL</t>
        </is>
      </c>
      <c r="AE1749"/>
      <c r="AF1749">
        <v>2000</v>
      </c>
      <c r="AG1749" s="4"/>
      <c r="AH1749" s="4"/>
      <c r="AI1749">
        <v>24000</v>
      </c>
      <c r="AJ1749">
        <v>1</v>
      </c>
      <c r="AK1749"/>
      <c r="AL1749"/>
      <c r="AM1749"/>
      <c r="AN1749"/>
      <c r="AO1749"/>
      <c r="AP1749"/>
      <c r="AQ1749">
        <v>1</v>
      </c>
      <c r="AR1749"/>
      <c r="AS1749" t="inlineStr">
        <is>
          <t>- Headcount: 1
- Hiring Job Details: 1 Marketer,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749">
        <v>105</v>
      </c>
      <c r="AU1749" t="inlineStr">
        <is>
          <t>1.05</t>
        </is>
      </c>
      <c r="AV1749" t="inlineStr">
        <is>
          <t>15</t>
        </is>
      </c>
      <c r="AW1749" t="inlineStr">
        <is>
          <t>0</t>
        </is>
      </c>
      <c r="AX1749" t="inlineStr">
        <is>
          <t>Not Qualified</t>
        </is>
      </c>
      <c r="AY1749" s="4"/>
      <c r="AZ1749"/>
      <c r="BA1749"/>
      <c r="BB1749"/>
      <c r="BC1749" t="inlineStr">
        <is>
          <t>NA</t>
        </is>
      </c>
      <c r="BD1749" s="4">
        <v>46132.60799768518</v>
      </c>
      <c r="BE1749"/>
      <c r="BF1749"/>
      <c r="BG1749" t="inlineStr">
        <is>
          <t>Reschedule</t>
        </is>
      </c>
      <c r="BH1749" t="inlineStr">
        <is>
          <t>Edward Hoo</t>
        </is>
      </c>
      <c r="BI1749"/>
      <c r="BJ1749" s="4">
        <v>46144.75239583333</v>
      </c>
      <c r="BK1749" s="4">
        <v>45793.50408564815</v>
      </c>
      <c r="BL1749" t="inlineStr">
        <is>
          <t>0.0</t>
        </is>
      </c>
      <c r="BM1749" t="inlineStr">
        <is>
          <t>0.0</t>
        </is>
      </c>
      <c r="BN1749" t="inlineStr">
        <is>
          <t>View Account User</t>
        </is>
      </c>
      <c r="BO1749" s="4">
        <v>45793.74894675926</v>
      </c>
      <c r="BP1749">
        <v>166445</v>
      </c>
      <c r="BQ1749"/>
      <c r="BR1749"/>
      <c r="BS1749"/>
      <c r="BT1749"/>
      <c r="BU1749"/>
      <c r="BV1749">
        <v>2715788</v>
      </c>
      <c r="BW1749" t="inlineStr">
        <is>
          <t>No Answer : 3 Days No Response</t>
        </is>
      </c>
      <c r="BX1749"/>
      <c r="BY1749"/>
      <c r="BZ1749" s="4"/>
      <c r="CA1749"/>
      <c r="CB1749"/>
      <c r="CC1749" s="4"/>
      <c r="CD1749" t="inlineStr">
        <is>
          <t>20</t>
        </is>
      </c>
      <c r="CE1749" t="inlineStr">
        <is>
          <t>0</t>
        </is>
      </c>
      <c r="CF1749" t="inlineStr">
        <is>
          <t>Q2-W02</t>
        </is>
      </c>
      <c r="CG1749"/>
      <c r="CH1749"/>
      <c r="CI1749"/>
      <c r="CJ1749" t="inlineStr">
        <is>
          <t>No Paid</t>
        </is>
      </c>
      <c r="CK1749" t="inlineStr">
        <is>
          <t>Not Eligible</t>
        </is>
      </c>
      <c r="CL1749"/>
      <c r="CM1749"/>
    </row>
    <row r="1750" ht="25.5" customHeight="1">
      <c r="A1750" t="inlineStr">
        <is>
          <t>203086</t>
        </is>
      </c>
      <c r="B1750" s="2"/>
      <c r="C1750"/>
      <c r="D1750" s="3">
        <v>46122.617118055554</v>
      </c>
      <c r="E1750" t="inlineStr">
        <is>
          <t>Q2-W02</t>
        </is>
      </c>
      <c r="F1750" t="inlineStr">
        <is>
          <t>Keegan</t>
        </is>
      </c>
      <c r="G1750" t="inlineStr">
        <is>
          <t>Customer</t>
        </is>
      </c>
      <c r="H1750" s="2" t="str">
        <f>=HYPERLINK("https://upbox.ajobthing.my/customer/203086", "https://upbox.ajobthing.my/customer/203086")</f>
        <v>https://upbox.ajobthing.my/customer/203086</v>
      </c>
      <c r="I1750" t="inlineStr">
        <is>
          <t>Sanctuary Valley Properties Sdn Bhd</t>
        </is>
      </c>
      <c r="J1750" t="inlineStr">
        <is>
          <t>Small Fish</t>
        </is>
      </c>
      <c r="K1750" t="inlineStr">
        <is>
          <t>Keegan</t>
        </is>
      </c>
      <c r="L1750" s="4"/>
      <c r="M1750" s="4">
        <v>46122.617685185185</v>
      </c>
      <c r="N1750"/>
      <c r="O1750">
        <v>3888</v>
      </c>
      <c r="P1750" s="4"/>
      <c r="Q1750" s="4">
        <v>46122.59863425926</v>
      </c>
      <c r="R1750"/>
      <c r="S1750">
        <v>0</v>
      </c>
      <c r="T1750" s="4"/>
      <c r="U1750" s="4"/>
      <c r="V1750"/>
      <c r="W1750"/>
      <c r="X1750"/>
      <c r="Y1750" t="inlineStr">
        <is>
          <t>Pending Appointment</t>
        </is>
      </c>
      <c r="Z1750" t="inlineStr">
        <is>
          <t>Hiring Now</t>
        </is>
      </c>
      <c r="AA1750">
        <v>1</v>
      </c>
      <c r="AB1750" t="inlineStr">
        <is>
          <t>No Appointment Made</t>
        </is>
      </c>
      <c r="AC1750"/>
      <c r="AD1750" t="inlineStr">
        <is>
          <t>1. Accounts executive</t>
        </is>
      </c>
      <c r="AE1750"/>
      <c r="AF1750"/>
      <c r="AG1750" s="4"/>
      <c r="AH1750" s="4"/>
      <c r="AI1750"/>
      <c r="AJ1750">
        <v>1</v>
      </c>
      <c r="AK1750" t="inlineStr">
        <is>
          <t>No, I don't need at all</t>
        </is>
      </c>
      <c r="AL1750">
        <v>0</v>
      </c>
      <c r="AM1750" t="inlineStr">
        <is>
          <t>No, I don't need at all</t>
        </is>
      </c>
      <c r="AN1750"/>
      <c r="AO1750" t="inlineStr">
        <is>
          <t>No, I don't need at all</t>
        </is>
      </c>
      <c r="AP1750" t="inlineStr">
        <is>
          <t>Once per quarter (75%)</t>
        </is>
      </c>
      <c r="AQ1750"/>
      <c r="AR1750" t="inlineStr">
        <is>
          <t>Did not use any job portal</t>
        </is>
      </c>
      <c r="AS1750" t="inlineStr">
        <is>
          <t>- Headcount: Not provided
- Hiring Job Details: 1 Accounts executive
- Hiring Urgency: Hiring Now
- Number of outlets: 1
- Have recruiter team: No, I don't need at all
- Number of recruiter in company: 0
- Have ATS system: No, I don't need at all
- Have career website: No, I don't need at all
- Current hiring budget: Not provided
- Whole year budget: Not provided
- Whole year number of vacancies: Not provided
- Hiring frequency: Once per quarter (75%)
- External job portal: Did not use any job portal</t>
        </is>
      </c>
      <c r="AT1750">
        <v>95</v>
      </c>
      <c r="AU1750" t="inlineStr">
        <is>
          <t>0.95</t>
        </is>
      </c>
      <c r="AV1750" t="inlineStr">
        <is>
          <t>5</t>
        </is>
      </c>
      <c r="AW1750" t="inlineStr">
        <is>
          <t>0</t>
        </is>
      </c>
      <c r="AX1750" t="inlineStr">
        <is>
          <t>Not Qualified</t>
        </is>
      </c>
      <c r="AY1750" s="4"/>
      <c r="AZ1750"/>
      <c r="BA1750"/>
      <c r="BB1750"/>
      <c r="BC1750" t="inlineStr">
        <is>
          <t>- Headcount: Not provided
- Hiring Job Details: 1 Accounts executive
- Hiring Urgency: Hiring Now
- Number of outlets: 1
- Have recruiter team: No, I don't need at all
- Number of recruiter in company: 0
- Have ATS system: No, I don't need at all
- Have career website: No, I don't need at all
- Current hiring budget: Not provided
- Whole year budget: Not provided
- Whole year number of vacancies: Not provided
- Hiring frequency: Once per quarter (75%)
- External job portal: Did not use any job portal</t>
        </is>
      </c>
      <c r="BD1750" s="4">
        <v>46122.625069444446</v>
      </c>
      <c r="BE1750" t="inlineStr">
        <is>
          <t>paid</t>
        </is>
      </c>
      <c r="BF1750"/>
      <c r="BG1750" t="inlineStr">
        <is>
          <t>Reschedule</t>
        </is>
      </c>
      <c r="BH1750" t="inlineStr">
        <is>
          <t>Edward Hoo</t>
        </is>
      </c>
      <c r="BI1750"/>
      <c r="BJ1750" s="4">
        <v>46144.754212962966</v>
      </c>
      <c r="BK1750" s="4">
        <v>46122.59798611111</v>
      </c>
      <c r="BL1750" t="inlineStr">
        <is>
          <t>0.0</t>
        </is>
      </c>
      <c r="BM1750" t="inlineStr">
        <is>
          <t>0.0</t>
        </is>
      </c>
      <c r="BN1750" t="inlineStr">
        <is>
          <t>View Account User</t>
        </is>
      </c>
      <c r="BO1750" s="4">
        <v>46122.62425925926</v>
      </c>
      <c r="BP1750">
        <v>166455</v>
      </c>
      <c r="BQ1750">
        <v>121705</v>
      </c>
      <c r="BR1750" t="inlineStr">
        <is>
          <t>Proforma</t>
        </is>
      </c>
      <c r="BS1750" t="inlineStr">
        <is>
          <t>Free Internship Job</t>
        </is>
      </c>
      <c r="BT1750"/>
      <c r="BU1750"/>
      <c r="BV1750">
        <v>2698356</v>
      </c>
      <c r="BW1750" t="inlineStr">
        <is>
          <t>Customer Inquiry</t>
        </is>
      </c>
      <c r="BX1750"/>
      <c r="BY1750"/>
      <c r="BZ1750" s="4"/>
      <c r="CA1750"/>
      <c r="CB1750"/>
      <c r="CC1750" s="4"/>
      <c r="CD1750" t="inlineStr">
        <is>
          <t>5</t>
        </is>
      </c>
      <c r="CE1750" t="inlineStr">
        <is>
          <t>0</t>
        </is>
      </c>
      <c r="CF1750" t="inlineStr">
        <is>
          <t>Q2-W02</t>
        </is>
      </c>
      <c r="CG1750" t="inlineStr">
        <is>
          <t>Q2-W02</t>
        </is>
      </c>
      <c r="CH1750"/>
      <c r="CI1750"/>
      <c r="CJ1750" t="inlineStr">
        <is>
          <t>No Paid</t>
        </is>
      </c>
      <c r="CK1750" t="inlineStr">
        <is>
          <t>Not Eligible</t>
        </is>
      </c>
      <c r="CL1750"/>
      <c r="CM1750"/>
    </row>
    <row r="1751" ht="25.5" customHeight="1">
      <c r="A1751" t="inlineStr">
        <is>
          <t>191326</t>
        </is>
      </c>
      <c r="B1751" s="2"/>
      <c r="C1751"/>
      <c r="D1751" s="3">
        <v>46122.62096064815</v>
      </c>
      <c r="E1751" t="inlineStr">
        <is>
          <t>Q2-W02</t>
        </is>
      </c>
      <c r="F1751" t="inlineStr">
        <is>
          <t>Carmen</t>
        </is>
      </c>
      <c r="G1751" t="inlineStr">
        <is>
          <t>Customer</t>
        </is>
      </c>
      <c r="H1751" s="2" t="str">
        <f>=HYPERLINK("https://upbox.ajobthing.my/customer/191326", "https://upbox.ajobthing.my/customer/191326")</f>
        <v>https://upbox.ajobthing.my/customer/191326</v>
      </c>
      <c r="I1751" t="inlineStr">
        <is>
          <t>Gouni Consulting</t>
        </is>
      </c>
      <c r="J1751" t="inlineStr">
        <is>
          <t>Small Fish</t>
        </is>
      </c>
      <c r="K1751" t="inlineStr">
        <is>
          <t>Carmen</t>
        </is>
      </c>
      <c r="L1751" s="4"/>
      <c r="M1751" s="4">
        <v>46122.59601851852</v>
      </c>
      <c r="N1751"/>
      <c r="O1751">
        <v>3888</v>
      </c>
      <c r="P1751" s="4"/>
      <c r="Q1751" s="4">
        <v>46100.50084490741</v>
      </c>
      <c r="R1751"/>
      <c r="S1751">
        <v>0</v>
      </c>
      <c r="T1751" s="4"/>
      <c r="U1751" s="4"/>
      <c r="V1751"/>
      <c r="W1751"/>
      <c r="X1751"/>
      <c r="Y1751" t="inlineStr">
        <is>
          <t>Pending Appointment</t>
        </is>
      </c>
      <c r="Z1751" t="inlineStr">
        <is>
          <t>Continuous Hiring</t>
        </is>
      </c>
      <c r="AA1751">
        <v>1</v>
      </c>
      <c r="AB1751" t="inlineStr">
        <is>
          <t>No Appointment Made</t>
        </is>
      </c>
      <c r="AC1751"/>
      <c r="AD1751" t="inlineStr">
        <is>
          <t>1 eductaion consultant</t>
        </is>
      </c>
      <c r="AE1751"/>
      <c r="AF1751">
        <v>0</v>
      </c>
      <c r="AG1751" s="4"/>
      <c r="AH1751" s="4"/>
      <c r="AI1751"/>
      <c r="AJ1751"/>
      <c r="AK1751"/>
      <c r="AL1751"/>
      <c r="AM1751"/>
      <c r="AN1751"/>
      <c r="AO1751"/>
      <c r="AP1751"/>
      <c r="AQ1751"/>
      <c r="AR1751"/>
      <c r="AS1751" t="inlineStr">
        <is>
          <t>- Headcount: 1
- Hiring Job Details: 1 education consultant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1751">
        <v>65</v>
      </c>
      <c r="AU1751" t="inlineStr">
        <is>
          <t>0.65</t>
        </is>
      </c>
      <c r="AV1751" t="inlineStr">
        <is>
          <t>15</t>
        </is>
      </c>
      <c r="AW1751" t="inlineStr">
        <is>
          <t>0</t>
        </is>
      </c>
      <c r="AX1751" t="inlineStr">
        <is>
          <t>Not Qualified</t>
        </is>
      </c>
      <c r="AY1751" s="4"/>
      <c r="AZ1751"/>
      <c r="BA1751"/>
      <c r="BB1751"/>
      <c r="BC1751" t="inlineStr">
        <is>
          <t>he at china come back next week</t>
        </is>
      </c>
      <c r="BD1751" s="4">
        <v>46136.596921296295</v>
      </c>
      <c r="BE1751" t="inlineStr">
        <is>
          <t>paid</t>
        </is>
      </c>
      <c r="BF1751"/>
      <c r="BG1751" t="inlineStr">
        <is>
          <t>Reschedule</t>
        </is>
      </c>
      <c r="BH1751" t="inlineStr">
        <is>
          <t>Reagen</t>
        </is>
      </c>
      <c r="BI1751" t="inlineStr">
        <is>
          <t>Education / Training</t>
        </is>
      </c>
      <c r="BJ1751" s="4">
        <v>46144.75239583333</v>
      </c>
      <c r="BK1751" s="4">
        <v>45792.79875</v>
      </c>
      <c r="BL1751" t="inlineStr">
        <is>
          <t>0.0</t>
        </is>
      </c>
      <c r="BM1751" t="inlineStr">
        <is>
          <t>0.0</t>
        </is>
      </c>
      <c r="BN1751" t="inlineStr">
        <is>
          <t>View Company Page</t>
        </is>
      </c>
      <c r="BO1751" s="4">
        <v>45792.801770833335</v>
      </c>
      <c r="BP1751">
        <v>166430</v>
      </c>
      <c r="BQ1751">
        <v>118022</v>
      </c>
      <c r="BR1751" t="inlineStr">
        <is>
          <t>Proforma</t>
        </is>
      </c>
      <c r="BS1751" t="inlineStr">
        <is>
          <t>Free Part-Time Job</t>
        </is>
      </c>
      <c r="BT1751"/>
      <c r="BU1751"/>
      <c r="BV1751">
        <v>2726422</v>
      </c>
      <c r="BW1751" t="inlineStr">
        <is>
          <t>Follow Up : Decision Pending</t>
        </is>
      </c>
      <c r="BX1751"/>
      <c r="BY1751"/>
      <c r="BZ1751" s="4"/>
      <c r="CA1751"/>
      <c r="CB1751"/>
      <c r="CC1751" s="4"/>
      <c r="CD1751" t="inlineStr">
        <is>
          <t>20</t>
        </is>
      </c>
      <c r="CE1751" t="inlineStr">
        <is>
          <t>0</t>
        </is>
      </c>
      <c r="CF1751" t="inlineStr">
        <is>
          <t>Q2-W02</t>
        </is>
      </c>
      <c r="CG1751" t="inlineStr">
        <is>
          <t>Q1-W11</t>
        </is>
      </c>
      <c r="CH1751"/>
      <c r="CI1751"/>
      <c r="CJ1751" t="inlineStr">
        <is>
          <t>No Paid</t>
        </is>
      </c>
      <c r="CK1751" t="inlineStr">
        <is>
          <t>Not Eligible</t>
        </is>
      </c>
      <c r="CL1751"/>
      <c r="CM1751"/>
    </row>
    <row r="1752" ht="25.5" customHeight="1">
      <c r="A1752" t="inlineStr">
        <is>
          <t>203090</t>
        </is>
      </c>
      <c r="B1752" s="2"/>
      <c r="C1752"/>
      <c r="D1752" s="3">
        <v>46122.626122685186</v>
      </c>
      <c r="E1752" t="inlineStr">
        <is>
          <t>Q2-W02</t>
        </is>
      </c>
      <c r="F1752" t="inlineStr">
        <is>
          <t>Lucas</t>
        </is>
      </c>
      <c r="G1752" t="inlineStr">
        <is>
          <t>Customer</t>
        </is>
      </c>
      <c r="H1752" s="2" t="str">
        <f>=HYPERLINK("https://upbox.ajobthing.my/customer/203090", "https://upbox.ajobthing.my/customer/203090")</f>
        <v>https://upbox.ajobthing.my/customer/203090</v>
      </c>
      <c r="I1752" t="inlineStr">
        <is>
          <t>Playbox (M) Sdn Bhd</t>
        </is>
      </c>
      <c r="J1752" t="inlineStr">
        <is>
          <t>Small Fish</t>
        </is>
      </c>
      <c r="K1752" t="inlineStr">
        <is>
          <t>Lucas</t>
        </is>
      </c>
      <c r="L1752" s="4"/>
      <c r="M1752" s="4">
        <v>46122.625706018516</v>
      </c>
      <c r="N1752"/>
      <c r="O1752">
        <v>3888</v>
      </c>
      <c r="P1752" s="4"/>
      <c r="Q1752" s="4">
        <v>46133.415810185186</v>
      </c>
      <c r="R1752"/>
      <c r="S1752">
        <v>1296</v>
      </c>
      <c r="T1752" s="4"/>
      <c r="U1752" s="4"/>
      <c r="V1752"/>
      <c r="W1752"/>
      <c r="X1752"/>
      <c r="Y1752" t="inlineStr">
        <is>
          <t>Pending Appointment</t>
        </is>
      </c>
      <c r="Z1752" t="inlineStr">
        <is>
          <t>Hiring Now</t>
        </is>
      </c>
      <c r="AA1752">
        <v>1</v>
      </c>
      <c r="AB1752" t="inlineStr">
        <is>
          <t>No Appointment Made</t>
        </is>
      </c>
      <c r="AC1752"/>
      <c r="AD1752" t="inlineStr">
        <is>
          <t xml:space="preserve">1 personal driver </t>
        </is>
      </c>
      <c r="AE1752"/>
      <c r="AF1752">
        <v>0</v>
      </c>
      <c r="AG1752" s="4"/>
      <c r="AH1752" s="4"/>
      <c r="AI1752">
        <v>0</v>
      </c>
      <c r="AJ1752">
        <v>0</v>
      </c>
      <c r="AK1752" t="inlineStr">
        <is>
          <t>No, I don't need at all</t>
        </is>
      </c>
      <c r="AL1752">
        <v>0</v>
      </c>
      <c r="AM1752" t="inlineStr">
        <is>
          <t>No, I don't need at all</t>
        </is>
      </c>
      <c r="AN1752"/>
      <c r="AO1752" t="inlineStr">
        <is>
          <t>No, I don't need at all</t>
        </is>
      </c>
      <c r="AP1752" t="inlineStr">
        <is>
          <t>Once a year (25%)</t>
        </is>
      </c>
      <c r="AQ1752">
        <v>1</v>
      </c>
      <c r="AR1752" t="inlineStr">
        <is>
          <t>Did not use any job portal</t>
        </is>
      </c>
      <c r="AS1752" t="inlineStr">
        <is>
          <t>- Headcount: 1
- Hiring Job Details: 1 personal driver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752">
        <v>100</v>
      </c>
      <c r="AU1752" t="inlineStr">
        <is>
          <t>1.00</t>
        </is>
      </c>
      <c r="AV1752" t="inlineStr">
        <is>
          <t>15</t>
        </is>
      </c>
      <c r="AW1752" t="inlineStr">
        <is>
          <t>0</t>
        </is>
      </c>
      <c r="AX1752" t="inlineStr">
        <is>
          <t>Not Qualified</t>
        </is>
      </c>
      <c r="AY1752" s="4"/>
      <c r="AZ1752"/>
      <c r="BA1752"/>
      <c r="BB1752"/>
      <c r="BC1752" t="inlineStr">
        <is>
          <t>no hold 1st</t>
        </is>
      </c>
      <c r="BD1752" s="4">
        <v>46136.72486111111</v>
      </c>
      <c r="BE1752" t="inlineStr">
        <is>
          <t>pending</t>
        </is>
      </c>
      <c r="BF1752"/>
      <c r="BG1752" t="inlineStr">
        <is>
          <t>Reschedule</t>
        </is>
      </c>
      <c r="BH1752" t="inlineStr">
        <is>
          <t>Yee Hang</t>
        </is>
      </c>
      <c r="BI1752"/>
      <c r="BJ1752" s="4">
        <v>46144.754212962966</v>
      </c>
      <c r="BK1752" s="4">
        <v>46122.61708333333</v>
      </c>
      <c r="BL1752" t="inlineStr">
        <is>
          <t>0.0</t>
        </is>
      </c>
      <c r="BM1752" t="inlineStr">
        <is>
          <t>0.0</t>
        </is>
      </c>
      <c r="BN1752" t="inlineStr">
        <is>
          <t>View Company Page</t>
        </is>
      </c>
      <c r="BO1752" s="4">
        <v>46122.617638888885</v>
      </c>
      <c r="BP1752">
        <v>166461</v>
      </c>
      <c r="BQ1752">
        <v>123402</v>
      </c>
      <c r="BR1752" t="inlineStr">
        <is>
          <t>Proforma</t>
        </is>
      </c>
      <c r="BS1752" t="inlineStr">
        <is>
          <t>AI Ala Carte (Jan 26) Plus</t>
        </is>
      </c>
      <c r="BT1752"/>
      <c r="BU1752"/>
      <c r="BV1752">
        <v>2727328</v>
      </c>
      <c r="BW1752" t="inlineStr">
        <is>
          <t>Follow Up : Budget Concern</t>
        </is>
      </c>
      <c r="BX1752"/>
      <c r="BY1752"/>
      <c r="BZ1752" s="4"/>
      <c r="CA1752"/>
      <c r="CB1752"/>
      <c r="CC1752" s="4"/>
      <c r="CD1752" t="inlineStr">
        <is>
          <t>20</t>
        </is>
      </c>
      <c r="CE1752" t="inlineStr">
        <is>
          <t>0</t>
        </is>
      </c>
      <c r="CF1752" t="inlineStr">
        <is>
          <t>Q2-W02</t>
        </is>
      </c>
      <c r="CG1752" t="inlineStr">
        <is>
          <t>Q2-W03</t>
        </is>
      </c>
      <c r="CH1752"/>
      <c r="CI1752"/>
      <c r="CJ1752" t="inlineStr">
        <is>
          <t>No Paid</t>
        </is>
      </c>
      <c r="CK1752" t="inlineStr">
        <is>
          <t>Not Eligible</t>
        </is>
      </c>
      <c r="CL1752"/>
      <c r="CM1752"/>
    </row>
    <row r="1753" ht="25.5" customHeight="1">
      <c r="A1753" t="inlineStr">
        <is>
          <t>189823</t>
        </is>
      </c>
      <c r="B1753" s="2"/>
      <c r="C1753"/>
      <c r="D1753" s="3">
        <v>46122.62708333333</v>
      </c>
      <c r="E1753" t="inlineStr">
        <is>
          <t>Q2-W02</t>
        </is>
      </c>
      <c r="F1753" t="inlineStr">
        <is>
          <t>Chia Yee</t>
        </is>
      </c>
      <c r="G1753" t="inlineStr">
        <is>
          <t>Customer</t>
        </is>
      </c>
      <c r="H1753" s="2" t="str">
        <f>=HYPERLINK("https://upbox.ajobthing.my/customer/189823", "https://upbox.ajobthing.my/customer/189823")</f>
        <v>https://upbox.ajobthing.my/customer/189823</v>
      </c>
      <c r="I1753" t="inlineStr">
        <is>
          <t>ACS Jurutera Perunding Sdn Bhd</t>
        </is>
      </c>
      <c r="J1753" t="inlineStr">
        <is>
          <t>Small Fish</t>
        </is>
      </c>
      <c r="K1753" t="inlineStr">
        <is>
          <t>Chia Yee</t>
        </is>
      </c>
      <c r="L1753" s="4"/>
      <c r="M1753" s="4">
        <v>46134.44630787037</v>
      </c>
      <c r="N1753"/>
      <c r="O1753">
        <v>2592</v>
      </c>
      <c r="P1753" s="4"/>
      <c r="Q1753" s="4">
        <v>45757.52442129629</v>
      </c>
      <c r="R1753"/>
      <c r="S1753">
        <v>1188</v>
      </c>
      <c r="T1753" s="4"/>
      <c r="U1753" s="4"/>
      <c r="V1753"/>
      <c r="W1753"/>
      <c r="X1753"/>
      <c r="Y1753" t="inlineStr">
        <is>
          <t>Pending Appointment</t>
        </is>
      </c>
      <c r="Z1753" t="inlineStr">
        <is>
          <t>Hiring Now</t>
        </is>
      </c>
      <c r="AA1753">
        <v>1</v>
      </c>
      <c r="AB1753" t="inlineStr">
        <is>
          <t>No Appointment Made</t>
        </is>
      </c>
      <c r="AC1753"/>
      <c r="AD1753" t="inlineStr">
        <is>
          <t xml:space="preserve">1 Civil &amp; Structural Engineer </t>
        </is>
      </c>
      <c r="AE1753"/>
      <c r="AF1753">
        <v>0</v>
      </c>
      <c r="AG1753" s="4"/>
      <c r="AH1753" s="4"/>
      <c r="AI1753">
        <v>0</v>
      </c>
      <c r="AJ1753">
        <v>1</v>
      </c>
      <c r="AK1753" t="inlineStr">
        <is>
          <t>No, I don't need at all</t>
        </is>
      </c>
      <c r="AL1753">
        <v>1</v>
      </c>
      <c r="AM1753" t="inlineStr">
        <is>
          <t>No, I don't need at all</t>
        </is>
      </c>
      <c r="AN1753"/>
      <c r="AO1753" t="inlineStr">
        <is>
          <t>No, I don't need at all</t>
        </is>
      </c>
      <c r="AP1753" t="inlineStr">
        <is>
          <t>Once a year (25%)</t>
        </is>
      </c>
      <c r="AQ1753">
        <v>1</v>
      </c>
      <c r="AR1753" t="inlineStr">
        <is>
          <t>Did not use any job portal</t>
        </is>
      </c>
      <c r="AS1753" t="inlineStr">
        <is>
          <t>- Headcount: 1
- Hiring Job Details: 1 Civil &amp; Structural Engineer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1753">
        <v>110</v>
      </c>
      <c r="AU1753" t="inlineStr">
        <is>
          <t>1.10</t>
        </is>
      </c>
      <c r="AV1753" t="inlineStr">
        <is>
          <t>15</t>
        </is>
      </c>
      <c r="AW1753" t="inlineStr">
        <is>
          <t>0</t>
        </is>
      </c>
      <c r="AX1753" t="inlineStr">
        <is>
          <t>Not Qualified</t>
        </is>
      </c>
      <c r="AY1753" s="4"/>
      <c r="AZ1753"/>
      <c r="BA1753"/>
      <c r="BB1753"/>
      <c r="BC1753" t="inlineStr">
        <is>
          <t>Replied: not proceed</t>
        </is>
      </c>
      <c r="BD1753" s="4">
        <v>46139.66670138889</v>
      </c>
      <c r="BE1753" t="inlineStr">
        <is>
          <t>pending</t>
        </is>
      </c>
      <c r="BF1753"/>
      <c r="BG1753" t="inlineStr">
        <is>
          <t>Reschedule</t>
        </is>
      </c>
      <c r="BH1753" t="inlineStr">
        <is>
          <t>Reagen</t>
        </is>
      </c>
      <c r="BI1753" t="inlineStr">
        <is>
          <t>Engineering / Technical Consulting</t>
        </is>
      </c>
      <c r="BJ1753" s="4">
        <v>46144.75232638889</v>
      </c>
      <c r="BK1753" s="4">
        <v>45757.52081018518</v>
      </c>
      <c r="BL1753" t="inlineStr">
        <is>
          <t>0.0</t>
        </is>
      </c>
      <c r="BM1753" t="inlineStr">
        <is>
          <t>0.0</t>
        </is>
      </c>
      <c r="BN1753" t="inlineStr">
        <is>
          <t>View Company Page</t>
        </is>
      </c>
      <c r="BO1753" s="4">
        <v>46122.59840277778</v>
      </c>
      <c r="BP1753">
        <v>168217</v>
      </c>
      <c r="BQ1753">
        <v>103166</v>
      </c>
      <c r="BR1753" t="inlineStr">
        <is>
          <t>Proforma</t>
        </is>
      </c>
      <c r="BS1753" t="inlineStr">
        <is>
          <t>Ala Carte Double</t>
        </is>
      </c>
      <c r="BT1753"/>
      <c r="BU1753"/>
      <c r="BV1753">
        <v>2730708</v>
      </c>
      <c r="BW1753" t="inlineStr">
        <is>
          <t>Follow Up : Budget Concern</t>
        </is>
      </c>
      <c r="BX1753"/>
      <c r="BY1753"/>
      <c r="BZ1753" s="4"/>
      <c r="CA1753"/>
      <c r="CB1753"/>
      <c r="CC1753" s="4"/>
      <c r="CD1753" t="inlineStr">
        <is>
          <t>20</t>
        </is>
      </c>
      <c r="CE1753" t="inlineStr">
        <is>
          <t>0</t>
        </is>
      </c>
      <c r="CF1753" t="inlineStr">
        <is>
          <t>Q2-W03</t>
        </is>
      </c>
      <c r="CG1753"/>
      <c r="CH1753"/>
      <c r="CI1753"/>
      <c r="CJ1753" t="inlineStr">
        <is>
          <t>No Paid</t>
        </is>
      </c>
      <c r="CK1753" t="inlineStr">
        <is>
          <t>Not Eligible</t>
        </is>
      </c>
      <c r="CL1753"/>
      <c r="CM1753"/>
    </row>
    <row r="1754" ht="25.5" customHeight="1">
      <c r="A1754" t="inlineStr">
        <is>
          <t>191132</t>
        </is>
      </c>
      <c r="B1754" s="2"/>
      <c r="C1754"/>
      <c r="D1754" s="3">
        <v>46122.63116898148</v>
      </c>
      <c r="E1754" t="inlineStr">
        <is>
          <t>Q2-W02</t>
        </is>
      </c>
      <c r="F1754" t="inlineStr">
        <is>
          <t>Xin Quan</t>
        </is>
      </c>
      <c r="G1754" t="inlineStr">
        <is>
          <t>Customer</t>
        </is>
      </c>
      <c r="H1754" s="2" t="str">
        <f>=HYPERLINK("https://upbox.ajobthing.my/customer/191132", "https://upbox.ajobthing.my/customer/191132")</f>
        <v>https://upbox.ajobthing.my/customer/191132</v>
      </c>
      <c r="I1754" t="inlineStr">
        <is>
          <t>Anggerik Cafe</t>
        </is>
      </c>
      <c r="J1754" t="inlineStr">
        <is>
          <t>Small Fish</t>
        </is>
      </c>
      <c r="K1754" t="inlineStr">
        <is>
          <t>Xin Quan</t>
        </is>
      </c>
      <c r="L1754" s="4"/>
      <c r="M1754" s="4">
        <v>46122.63128472222</v>
      </c>
      <c r="N1754"/>
      <c r="O1754">
        <v>864</v>
      </c>
      <c r="P1754" s="4"/>
      <c r="Q1754" s="4"/>
      <c r="R1754"/>
      <c r="S1754"/>
      <c r="T1754" s="4"/>
      <c r="U1754" s="4"/>
      <c r="V1754"/>
      <c r="W1754"/>
      <c r="X1754"/>
      <c r="Y1754" t="inlineStr">
        <is>
          <t>Pending Appointment</t>
        </is>
      </c>
      <c r="Z1754" t="inlineStr">
        <is>
          <t>Hiring Now</t>
        </is>
      </c>
      <c r="AA1754">
        <v>1</v>
      </c>
      <c r="AB1754" t="inlineStr">
        <is>
          <t>No Appointment Made</t>
        </is>
      </c>
      <c r="AC1754"/>
      <c r="AD1754" t="inlineStr">
        <is>
          <t>1 Kitchen helper , Base in KL</t>
        </is>
      </c>
      <c r="AE1754"/>
      <c r="AF1754">
        <v>2000</v>
      </c>
      <c r="AG1754" s="4"/>
      <c r="AH1754" s="4"/>
      <c r="AI1754">
        <v>24000</v>
      </c>
      <c r="AJ1754">
        <v>1</v>
      </c>
      <c r="AK1754"/>
      <c r="AL1754"/>
      <c r="AM1754"/>
      <c r="AN1754"/>
      <c r="AO1754"/>
      <c r="AP1754"/>
      <c r="AQ1754">
        <v>1</v>
      </c>
      <c r="AR1754"/>
      <c r="AS1754" t="inlineStr">
        <is>
          <t>- Headcount: 1
- Hiring Job Details: 1 Kitchen helper,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754">
        <v>105</v>
      </c>
      <c r="AU1754" t="inlineStr">
        <is>
          <t>1.05</t>
        </is>
      </c>
      <c r="AV1754" t="inlineStr">
        <is>
          <t>15</t>
        </is>
      </c>
      <c r="AW1754" t="inlineStr">
        <is>
          <t>0</t>
        </is>
      </c>
      <c r="AX1754" t="inlineStr">
        <is>
          <t>Not Qualified</t>
        </is>
      </c>
      <c r="AY1754" s="4"/>
      <c r="AZ1754"/>
      <c r="BA1754"/>
      <c r="BB1754"/>
      <c r="BC1754" t="inlineStr">
        <is>
          <t>800 Mahal</t>
        </is>
      </c>
      <c r="BD1754" s="4">
        <v>46125.63652777778</v>
      </c>
      <c r="BE1754"/>
      <c r="BF1754"/>
      <c r="BG1754" t="inlineStr">
        <is>
          <t>Reschedule</t>
        </is>
      </c>
      <c r="BH1754" t="inlineStr">
        <is>
          <t>Edward Hoo</t>
        </is>
      </c>
      <c r="BI1754"/>
      <c r="BJ1754" s="4">
        <v>46144.75239583333</v>
      </c>
      <c r="BK1754" s="4">
        <v>45789.75791666667</v>
      </c>
      <c r="BL1754" t="inlineStr">
        <is>
          <t>0.0</t>
        </is>
      </c>
      <c r="BM1754" t="inlineStr">
        <is>
          <t>0.0</t>
        </is>
      </c>
      <c r="BN1754" t="inlineStr">
        <is>
          <t>View Jobmanager Page</t>
        </is>
      </c>
      <c r="BO1754" s="4">
        <v>45789.775046296294</v>
      </c>
      <c r="BP1754">
        <v>166464</v>
      </c>
      <c r="BQ1754"/>
      <c r="BR1754"/>
      <c r="BS1754"/>
      <c r="BT1754"/>
      <c r="BU1754"/>
      <c r="BV1754">
        <v>2701202</v>
      </c>
      <c r="BW1754" t="inlineStr">
        <is>
          <t>Inquire for Hiring Needs : Budget Concern</t>
        </is>
      </c>
      <c r="BX1754"/>
      <c r="BY1754"/>
      <c r="BZ1754" s="4"/>
      <c r="CA1754"/>
      <c r="CB1754"/>
      <c r="CC1754" s="4"/>
      <c r="CD1754" t="inlineStr">
        <is>
          <t>20</t>
        </is>
      </c>
      <c r="CE1754" t="inlineStr">
        <is>
          <t>0</t>
        </is>
      </c>
      <c r="CF1754" t="inlineStr">
        <is>
          <t>Q2-W02</t>
        </is>
      </c>
      <c r="CG1754"/>
      <c r="CH1754"/>
      <c r="CI1754"/>
      <c r="CJ1754" t="inlineStr">
        <is>
          <t>No Paid</t>
        </is>
      </c>
      <c r="CK1754" t="inlineStr">
        <is>
          <t>Not Eligible</t>
        </is>
      </c>
      <c r="CL1754"/>
      <c r="CM1754"/>
    </row>
    <row r="1755" ht="25.5" customHeight="1">
      <c r="A1755" t="inlineStr">
        <is>
          <t>191915</t>
        </is>
      </c>
      <c r="B1755" s="2"/>
      <c r="C1755"/>
      <c r="D1755" s="3">
        <v>46122.633368055554</v>
      </c>
      <c r="E1755" t="inlineStr">
        <is>
          <t>Q2-W02</t>
        </is>
      </c>
      <c r="F1755" t="inlineStr">
        <is>
          <t>Xin Quan</t>
        </is>
      </c>
      <c r="G1755" t="inlineStr">
        <is>
          <t>Customer</t>
        </is>
      </c>
      <c r="H1755" s="2" t="str">
        <f>=HYPERLINK("https://upbox.ajobthing.my/customer/191915", "https://upbox.ajobthing.my/customer/191915")</f>
        <v>https://upbox.ajobthing.my/customer/191915</v>
      </c>
      <c r="I1755" t="inlineStr">
        <is>
          <t>Hometown F&amp;B (Central) Sdn Bhd</t>
        </is>
      </c>
      <c r="J1755" t="inlineStr">
        <is>
          <t>Small Fish</t>
        </is>
      </c>
      <c r="K1755" t="inlineStr">
        <is>
          <t>Xin Quan</t>
        </is>
      </c>
      <c r="L1755" s="4"/>
      <c r="M1755" s="4">
        <v>46132.62196759259</v>
      </c>
      <c r="N1755"/>
      <c r="O1755">
        <v>6048</v>
      </c>
      <c r="P1755" s="4"/>
      <c r="Q1755" s="4">
        <v>45805.69482638889</v>
      </c>
      <c r="R1755"/>
      <c r="S1755">
        <v>4212</v>
      </c>
      <c r="T1755" s="4"/>
      <c r="U1755" s="4"/>
      <c r="V1755"/>
      <c r="W1755"/>
      <c r="X1755"/>
      <c r="Y1755" t="inlineStr">
        <is>
          <t>Pending Appointment</t>
        </is>
      </c>
      <c r="Z1755" t="inlineStr">
        <is>
          <t>Hiring Now</t>
        </is>
      </c>
      <c r="AA1755">
        <v>10</v>
      </c>
      <c r="AB1755" t="inlineStr">
        <is>
          <t>No Appointment Made</t>
        </is>
      </c>
      <c r="AC1755"/>
      <c r="AD1755" t="inlineStr">
        <is>
          <t>10 Woker , Base in KL</t>
        </is>
      </c>
      <c r="AE1755"/>
      <c r="AF1755">
        <v>20000</v>
      </c>
      <c r="AG1755" s="4"/>
      <c r="AH1755" s="4"/>
      <c r="AI1755">
        <v>2400000</v>
      </c>
      <c r="AJ1755">
        <v>1</v>
      </c>
      <c r="AK1755"/>
      <c r="AL1755"/>
      <c r="AM1755"/>
      <c r="AN1755"/>
      <c r="AO1755"/>
      <c r="AP1755"/>
      <c r="AQ1755">
        <v>10</v>
      </c>
      <c r="AR1755"/>
      <c r="AS1755" t="inlineStr">
        <is>
          <t>- Headcount: 10
- Hiring Job Details: 10 Worker, Base in KL
- Hiring Urgency: Hiring Now
- Number of outlets: 1
- Have recruiter team: Not specified
- Number of recruiter in company: Not specified
- Have ATS system: Not specified
- Have career website: Not specified
- Current hiring budget: RM20,000
- Whole year budget: RM2,400,000.00
- Whole year number of vacancies: 10
- Hiring frequency: Not specified
- External job portal: Not specified</t>
        </is>
      </c>
      <c r="AT1755">
        <v>90</v>
      </c>
      <c r="AU1755" t="inlineStr">
        <is>
          <t>0.90</t>
        </is>
      </c>
      <c r="AV1755" t="inlineStr">
        <is>
          <t>25</t>
        </is>
      </c>
      <c r="AW1755" t="inlineStr">
        <is>
          <t>0</t>
        </is>
      </c>
      <c r="AX1755" t="inlineStr">
        <is>
          <t>Not Qualified</t>
        </is>
      </c>
      <c r="AY1755" s="4"/>
      <c r="AZ1755"/>
      <c r="BA1755"/>
      <c r="BB1755"/>
      <c r="BC1755" t="inlineStr">
        <is>
          <t>Still got remain , use finish only buy</t>
        </is>
      </c>
      <c r="BD1755" s="4">
        <v>46136.43021990741</v>
      </c>
      <c r="BE1755" t="inlineStr">
        <is>
          <t>pending</t>
        </is>
      </c>
      <c r="BF1755"/>
      <c r="BG1755" t="inlineStr">
        <is>
          <t>Reschedule</t>
        </is>
      </c>
      <c r="BH1755" t="inlineStr">
        <is>
          <t>Edward Hoo</t>
        </is>
      </c>
      <c r="BI1755"/>
      <c r="BJ1755" s="4">
        <v>46144.7524537037</v>
      </c>
      <c r="BK1755" s="4">
        <v>45805.64928240741</v>
      </c>
      <c r="BL1755" t="inlineStr">
        <is>
          <t>0.0</t>
        </is>
      </c>
      <c r="BM1755" t="inlineStr">
        <is>
          <t>0.0</t>
        </is>
      </c>
      <c r="BN1755" t="inlineStr">
        <is>
          <t>Account Page : Update Email</t>
        </is>
      </c>
      <c r="BO1755" s="4">
        <v>45811.48755787037</v>
      </c>
      <c r="BP1755">
        <v>167852</v>
      </c>
      <c r="BQ1755">
        <v>105094</v>
      </c>
      <c r="BR1755" t="inlineStr">
        <is>
          <t>Proforma</t>
        </is>
      </c>
      <c r="BS1755" t="inlineStr">
        <is>
          <t>Yearly Standard+ Plan</t>
        </is>
      </c>
      <c r="BT1755"/>
      <c r="BU1755"/>
      <c r="BV1755">
        <v>2725556</v>
      </c>
      <c r="BW1755" t="inlineStr">
        <is>
          <t>Inquire for Hiring Needs : Budget Concern</t>
        </is>
      </c>
      <c r="BX1755"/>
      <c r="BY1755"/>
      <c r="BZ1755" s="4"/>
      <c r="CA1755"/>
      <c r="CB1755"/>
      <c r="CC1755" s="4"/>
      <c r="CD1755" t="inlineStr">
        <is>
          <t>35</t>
        </is>
      </c>
      <c r="CE1755" t="inlineStr">
        <is>
          <t>0</t>
        </is>
      </c>
      <c r="CF1755" t="inlineStr">
        <is>
          <t>Q2-W03</t>
        </is>
      </c>
      <c r="CG1755"/>
      <c r="CH1755"/>
      <c r="CI1755"/>
      <c r="CJ1755" t="inlineStr">
        <is>
          <t>No Paid</t>
        </is>
      </c>
      <c r="CK1755" t="inlineStr">
        <is>
          <t>Eligible</t>
        </is>
      </c>
      <c r="CL1755"/>
      <c r="CM1755"/>
    </row>
    <row r="1756" ht="25.5" customHeight="1">
      <c r="A1756" t="inlineStr">
        <is>
          <t>191114</t>
        </is>
      </c>
      <c r="B1756" s="2"/>
      <c r="C1756"/>
      <c r="D1756" s="3">
        <v>46122.63626157407</v>
      </c>
      <c r="E1756" t="inlineStr">
        <is>
          <t>Q2-W02</t>
        </is>
      </c>
      <c r="F1756" t="inlineStr">
        <is>
          <t>Xin Hui</t>
        </is>
      </c>
      <c r="G1756" t="inlineStr">
        <is>
          <t>Customer</t>
        </is>
      </c>
      <c r="H1756" s="2" t="str">
        <f>=HYPERLINK("https://upbox.ajobthing.my/customer/191114", "https://upbox.ajobthing.my/customer/191114")</f>
        <v>https://upbox.ajobthing.my/customer/191114</v>
      </c>
      <c r="I1756" t="inlineStr">
        <is>
          <t>Barista Coffee Sdn Bhd</t>
        </is>
      </c>
      <c r="J1756" t="inlineStr">
        <is>
          <t>Small Fish</t>
        </is>
      </c>
      <c r="K1756" t="inlineStr">
        <is>
          <t>Xin Hui</t>
        </is>
      </c>
      <c r="L1756" s="4"/>
      <c r="M1756" s="4">
        <v>46122.63707175926</v>
      </c>
      <c r="N1756"/>
      <c r="O1756">
        <v>3888</v>
      </c>
      <c r="P1756" s="4"/>
      <c r="Q1756" s="4"/>
      <c r="R1756"/>
      <c r="S1756"/>
      <c r="T1756" s="4"/>
      <c r="U1756" s="4"/>
      <c r="V1756"/>
      <c r="W1756"/>
      <c r="X1756"/>
      <c r="Y1756" t="inlineStr">
        <is>
          <t>Pending Appointment</t>
        </is>
      </c>
      <c r="Z1756" t="inlineStr">
        <is>
          <t>Hiring Later</t>
        </is>
      </c>
      <c r="AA1756">
        <v>1</v>
      </c>
      <c r="AB1756" t="inlineStr">
        <is>
          <t>No Appointment Made</t>
        </is>
      </c>
      <c r="AC1756"/>
      <c r="AD1756" t="inlineStr">
        <is>
          <t xml:space="preserve">admin assistant </t>
        </is>
      </c>
      <c r="AE1756"/>
      <c r="AF1756">
        <v>0</v>
      </c>
      <c r="AG1756" s="4"/>
      <c r="AH1756" s="4"/>
      <c r="AI1756">
        <v>0</v>
      </c>
      <c r="AJ1756"/>
      <c r="AK1756" t="inlineStr">
        <is>
          <t>No, I don't need at all</t>
        </is>
      </c>
      <c r="AL1756">
        <v>0</v>
      </c>
      <c r="AM1756" t="inlineStr">
        <is>
          <t>No, I don't need at all</t>
        </is>
      </c>
      <c r="AN1756"/>
      <c r="AO1756" t="inlineStr">
        <is>
          <t>No, I don't need at all</t>
        </is>
      </c>
      <c r="AP1756" t="inlineStr">
        <is>
          <t>Once a year (25%)</t>
        </is>
      </c>
      <c r="AQ1756"/>
      <c r="AR1756" t="inlineStr">
        <is>
          <t>Free Job Portal</t>
        </is>
      </c>
      <c r="AS1756" t="inlineStr">
        <is>
          <t>- Headcount: 1
- Hiring Job Details: admin assistant
- Hiring Urgency: Hiring Later
- Number of outlets: Not specified
- Have recruiter team: No, I don't need at all
- Number of recruiter in company: 0
- Have ATS system: No, I don't need at all
- Have career website: No, I don't need at all
- Current hiring budget: RM0.00
- Whole year budget: RM0.00
- Whole year number of vacancies: Not specified
- Hiring frequency: Once a year (25%)
- External job portal: Free Job Portal</t>
        </is>
      </c>
      <c r="AT1756">
        <v>75</v>
      </c>
      <c r="AU1756" t="inlineStr">
        <is>
          <t>0.75</t>
        </is>
      </c>
      <c r="AV1756" t="inlineStr">
        <is>
          <t>15</t>
        </is>
      </c>
      <c r="AW1756" t="inlineStr">
        <is>
          <t>0</t>
        </is>
      </c>
      <c r="AX1756" t="inlineStr">
        <is>
          <t>Not Qualified</t>
        </is>
      </c>
      <c r="AY1756" s="4"/>
      <c r="AZ1756"/>
      <c r="BA1756"/>
      <c r="BB1756"/>
      <c r="BC1756" t="inlineStr">
        <is>
          <t>manage to hire ppl dy // if future need will contact us</t>
        </is>
      </c>
      <c r="BD1756" s="4">
        <v>46133.467256944445</v>
      </c>
      <c r="BE1756"/>
      <c r="BF1756"/>
      <c r="BG1756" t="inlineStr">
        <is>
          <t>Reschedule</t>
        </is>
      </c>
      <c r="BH1756" t="inlineStr">
        <is>
          <t>Yee Hang</t>
        </is>
      </c>
      <c r="BI1756"/>
      <c r="BJ1756" s="4">
        <v>46144.75239583333</v>
      </c>
      <c r="BK1756" s="4">
        <v>45789.44096064815</v>
      </c>
      <c r="BL1756" t="inlineStr">
        <is>
          <t>0.0</t>
        </is>
      </c>
      <c r="BM1756" t="inlineStr">
        <is>
          <t>0.0</t>
        </is>
      </c>
      <c r="BN1756" t="inlineStr">
        <is>
          <t>View Create Job Page</t>
        </is>
      </c>
      <c r="BO1756" s="4">
        <v>45789.44697916666</v>
      </c>
      <c r="BP1756">
        <v>166469</v>
      </c>
      <c r="BQ1756"/>
      <c r="BR1756"/>
      <c r="BS1756"/>
      <c r="BT1756"/>
      <c r="BU1756"/>
      <c r="BV1756">
        <v>2717369</v>
      </c>
      <c r="BW1756" t="inlineStr">
        <is>
          <t>Follow Up : Lost - Free Portal</t>
        </is>
      </c>
      <c r="BX1756"/>
      <c r="BY1756"/>
      <c r="BZ1756" s="4"/>
      <c r="CA1756"/>
      <c r="CB1756"/>
      <c r="CC1756" s="4"/>
      <c r="CD1756" t="inlineStr">
        <is>
          <t>20</t>
        </is>
      </c>
      <c r="CE1756" t="inlineStr">
        <is>
          <t>0</t>
        </is>
      </c>
      <c r="CF1756" t="inlineStr">
        <is>
          <t>Q2-W02</t>
        </is>
      </c>
      <c r="CG1756"/>
      <c r="CH1756"/>
      <c r="CI1756"/>
      <c r="CJ1756" t="inlineStr">
        <is>
          <t>No Paid</t>
        </is>
      </c>
      <c r="CK1756" t="inlineStr">
        <is>
          <t>Not Eligible</t>
        </is>
      </c>
      <c r="CL1756"/>
      <c r="CM1756"/>
    </row>
    <row r="1757" ht="25.5" customHeight="1">
      <c r="A1757" t="inlineStr">
        <is>
          <t>4269330</t>
        </is>
      </c>
      <c r="B1757" s="2"/>
      <c r="C1757"/>
      <c r="D1757" s="3">
        <v>46122.64263888889</v>
      </c>
      <c r="E1757" t="inlineStr">
        <is>
          <t>Q2-W02</t>
        </is>
      </c>
      <c r="F1757" t="inlineStr">
        <is>
          <t>Evan</t>
        </is>
      </c>
      <c r="G1757" t="inlineStr">
        <is>
          <t>Lead</t>
        </is>
      </c>
      <c r="H1757" s="2" t="str">
        <f>=HYPERLINK("https://upbox.ajobthing.my/leads/4269330", "https://upbox.ajobthing.my/leads/4269330")</f>
        <v>https://upbox.ajobthing.my/leads/4269330</v>
      </c>
      <c r="I1757" t="inlineStr">
        <is>
          <t>AGENSI PEKERJAAN RG SDN BHD</t>
        </is>
      </c>
      <c r="J1757" t="inlineStr">
        <is>
          <t>Small Fish</t>
        </is>
      </c>
      <c r="K1757" t="inlineStr">
        <is>
          <t>Evan</t>
        </is>
      </c>
      <c r="L1757" s="4"/>
      <c r="M1757" s="4">
        <v>46122.64028935185</v>
      </c>
      <c r="N1757"/>
      <c r="O1757">
        <v>6048</v>
      </c>
      <c r="P1757" s="4"/>
      <c r="Q1757" s="4"/>
      <c r="R1757"/>
      <c r="S1757"/>
      <c r="T1757" s="4"/>
      <c r="U1757" s="4"/>
      <c r="V1757"/>
      <c r="W1757"/>
      <c r="X1757"/>
      <c r="Y1757" t="inlineStr">
        <is>
          <t>Pending Appointment</t>
        </is>
      </c>
      <c r="Z1757" t="inlineStr">
        <is>
          <t>Hiring Now</t>
        </is>
      </c>
      <c r="AA1757">
        <v>1</v>
      </c>
      <c r="AB1757" t="inlineStr">
        <is>
          <t>No Appointment Made</t>
        </is>
      </c>
      <c r="AC1757"/>
      <c r="AD1757" t="inlineStr">
        <is>
          <t>1 operator, all base in Bangi</t>
        </is>
      </c>
      <c r="AE1757"/>
      <c r="AF1757">
        <v>1</v>
      </c>
      <c r="AG1757" s="4"/>
      <c r="AH1757" s="4"/>
      <c r="AI1757">
        <v>1</v>
      </c>
      <c r="AJ1757">
        <v>1</v>
      </c>
      <c r="AK1757" t="inlineStr">
        <is>
          <t>No, I don't need at all</t>
        </is>
      </c>
      <c r="AL1757">
        <v>1</v>
      </c>
      <c r="AM1757" t="inlineStr">
        <is>
          <t>No, I don't need at all</t>
        </is>
      </c>
      <c r="AN1757"/>
      <c r="AO1757" t="inlineStr">
        <is>
          <t>No, I don't need at all</t>
        </is>
      </c>
      <c r="AP1757" t="inlineStr">
        <is>
          <t>Once a year (25%)</t>
        </is>
      </c>
      <c r="AQ1757">
        <v>1</v>
      </c>
      <c r="AR1757" t="inlineStr">
        <is>
          <t>Free Job Portal</t>
        </is>
      </c>
      <c r="AS1757" t="inlineStr">
        <is>
          <t>- Headcount: 1
- Hiring Job Details: 1 operator, all base in Bangi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Free Job Portal</t>
        </is>
      </c>
      <c r="AT1757">
        <v>115</v>
      </c>
      <c r="AU1757" t="inlineStr">
        <is>
          <t>1.15</t>
        </is>
      </c>
      <c r="AV1757" t="inlineStr">
        <is>
          <t>15</t>
        </is>
      </c>
      <c r="AW1757" t="inlineStr">
        <is>
          <t>0</t>
        </is>
      </c>
      <c r="AX1757" t="inlineStr">
        <is>
          <t>Not Qualified</t>
        </is>
      </c>
      <c r="AY1757" s="4"/>
      <c r="AZ1757"/>
      <c r="BA1757"/>
      <c r="BB1757"/>
      <c r="BC1757"/>
      <c r="BD1757" s="4"/>
      <c r="BE1757"/>
      <c r="BF1757"/>
      <c r="BG1757" t="inlineStr">
        <is>
          <t>Reschedule</t>
        </is>
      </c>
      <c r="BH1757" t="inlineStr">
        <is>
          <t>Edward Hoo</t>
        </is>
      </c>
      <c r="BI1757"/>
      <c r="BJ1757" s="4">
        <v>46144.75578703704</v>
      </c>
      <c r="BK1757" s="4">
        <v>46122.610034722224</v>
      </c>
      <c r="BL1757" t="inlineStr">
        <is>
          <t>0.0</t>
        </is>
      </c>
      <c r="BM1757" t="inlineStr">
        <is>
          <t>0.0</t>
        </is>
      </c>
      <c r="BN1757"/>
      <c r="BO1757" s="4"/>
      <c r="BP1757">
        <v>166472</v>
      </c>
      <c r="BQ1757"/>
      <c r="BR1757"/>
      <c r="BS1757"/>
      <c r="BT1757"/>
      <c r="BU1757"/>
      <c r="BV1757"/>
      <c r="BW1757"/>
      <c r="BX1757"/>
      <c r="BY1757"/>
      <c r="BZ1757" s="4"/>
      <c r="CA1757"/>
      <c r="CB1757"/>
      <c r="CC1757" s="4"/>
      <c r="CD1757" t="inlineStr">
        <is>
          <t>20</t>
        </is>
      </c>
      <c r="CE1757" t="inlineStr">
        <is>
          <t>0</t>
        </is>
      </c>
      <c r="CF1757" t="inlineStr">
        <is>
          <t>Q2-W02</t>
        </is>
      </c>
      <c r="CG1757"/>
      <c r="CH1757"/>
      <c r="CI1757"/>
      <c r="CJ1757" t="inlineStr">
        <is>
          <t>No Paid</t>
        </is>
      </c>
      <c r="CK1757" t="inlineStr">
        <is>
          <t>Not Eligible</t>
        </is>
      </c>
      <c r="CL1757"/>
      <c r="CM1757"/>
    </row>
    <row r="1758" ht="25.5" customHeight="1">
      <c r="A1758" t="inlineStr">
        <is>
          <t>191109</t>
        </is>
      </c>
      <c r="B1758" s="2"/>
      <c r="C1758"/>
      <c r="D1758" s="3">
        <v>46122.64488425926</v>
      </c>
      <c r="E1758" t="inlineStr">
        <is>
          <t>Q2-W02</t>
        </is>
      </c>
      <c r="F1758" t="inlineStr">
        <is>
          <t>Xin Hui</t>
        </is>
      </c>
      <c r="G1758" t="inlineStr">
        <is>
          <t>Customer</t>
        </is>
      </c>
      <c r="H1758" s="2" t="str">
        <f>=HYPERLINK("https://upbox.ajobthing.my/customer/191109", "https://upbox.ajobthing.my/customer/191109")</f>
        <v>https://upbox.ajobthing.my/customer/191109</v>
      </c>
      <c r="I1758" t="inlineStr">
        <is>
          <t>Chop Tan Lam Hin Global Sdn Bhd</t>
        </is>
      </c>
      <c r="J1758" t="inlineStr">
        <is>
          <t>Small Fish</t>
        </is>
      </c>
      <c r="K1758" t="inlineStr">
        <is>
          <t>Xin Hui</t>
        </is>
      </c>
      <c r="L1758" s="4"/>
      <c r="M1758" s="4">
        <v>46122.645324074074</v>
      </c>
      <c r="N1758"/>
      <c r="O1758">
        <v>3888</v>
      </c>
      <c r="P1758" s="4"/>
      <c r="Q1758" s="4"/>
      <c r="R1758"/>
      <c r="S1758"/>
      <c r="T1758" s="4"/>
      <c r="U1758" s="4"/>
      <c r="V1758"/>
      <c r="W1758"/>
      <c r="X1758"/>
      <c r="Y1758" t="inlineStr">
        <is>
          <t>Pending Appointment</t>
        </is>
      </c>
      <c r="Z1758" t="inlineStr">
        <is>
          <t>Hiring Later</t>
        </is>
      </c>
      <c r="AA1758">
        <v>1</v>
      </c>
      <c r="AB1758" t="inlineStr">
        <is>
          <t>No Appointment Made</t>
        </is>
      </c>
      <c r="AC1758"/>
      <c r="AD1758" t="inlineStr">
        <is>
          <t>e-com exec</t>
        </is>
      </c>
      <c r="AE1758"/>
      <c r="AF1758">
        <v>0</v>
      </c>
      <c r="AG1758" s="4"/>
      <c r="AH1758" s="4"/>
      <c r="AI1758">
        <v>0</v>
      </c>
      <c r="AJ1758"/>
      <c r="AK1758" t="inlineStr">
        <is>
          <t>No, I don't need at all</t>
        </is>
      </c>
      <c r="AL1758">
        <v>0</v>
      </c>
      <c r="AM1758" t="inlineStr">
        <is>
          <t>No, I don't need at all</t>
        </is>
      </c>
      <c r="AN1758"/>
      <c r="AO1758" t="inlineStr">
        <is>
          <t>No, I don't need at all</t>
        </is>
      </c>
      <c r="AP1758" t="inlineStr">
        <is>
          <t>Once a year (25%)</t>
        </is>
      </c>
      <c r="AQ1758"/>
      <c r="AR1758"/>
      <c r="AS1758" t="inlineStr">
        <is>
          <t>- Headcount: 1
- Hiring Job Details: e-com exec
- Hiring Urgency: Hiring Later
- Number of outlets: Not provided
- Have recruiter team: No, I don't need at all
- Number of recruiter in company: 0
- Have ATS system: No, I don't need at all
- Have career website: No, I don't need at all
- Current hiring budget: RM0.00
- Whole year budget: RM0.00
- Whole year number of vacancies: Not provided
- Hiring frequency: Once a year (25%)
- External job portal: Not provided</t>
        </is>
      </c>
      <c r="AT1758">
        <v>75</v>
      </c>
      <c r="AU1758" t="inlineStr">
        <is>
          <t>0.75</t>
        </is>
      </c>
      <c r="AV1758" t="inlineStr">
        <is>
          <t>15</t>
        </is>
      </c>
      <c r="AW1758" t="inlineStr">
        <is>
          <t>0</t>
        </is>
      </c>
      <c r="AX1758" t="inlineStr">
        <is>
          <t>Not Qualified</t>
        </is>
      </c>
      <c r="AY1758" s="4"/>
      <c r="AZ1758"/>
      <c r="BA1758"/>
      <c r="BB1758"/>
      <c r="BC1758" t="inlineStr">
        <is>
          <t>not hiring now / if need will find us</t>
        </is>
      </c>
      <c r="BD1758" s="4">
        <v>46133.46875</v>
      </c>
      <c r="BE1758"/>
      <c r="BF1758"/>
      <c r="BG1758" t="inlineStr">
        <is>
          <t>Reschedule</t>
        </is>
      </c>
      <c r="BH1758" t="inlineStr">
        <is>
          <t>Yee Hang</t>
        </is>
      </c>
      <c r="BI1758"/>
      <c r="BJ1758" s="4">
        <v>46144.75239583333</v>
      </c>
      <c r="BK1758" s="4">
        <v>45789.10712962963</v>
      </c>
      <c r="BL1758" t="inlineStr">
        <is>
          <t>0.0</t>
        </is>
      </c>
      <c r="BM1758" t="inlineStr">
        <is>
          <t>0.0</t>
        </is>
      </c>
      <c r="BN1758" t="inlineStr">
        <is>
          <t>View Create Job Page</t>
        </is>
      </c>
      <c r="BO1758" s="4">
        <v>45789.10734953704</v>
      </c>
      <c r="BP1758">
        <v>166475</v>
      </c>
      <c r="BQ1758"/>
      <c r="BR1758"/>
      <c r="BS1758"/>
      <c r="BT1758"/>
      <c r="BU1758"/>
      <c r="BV1758">
        <v>2717374</v>
      </c>
      <c r="BW1758" t="inlineStr">
        <is>
          <t>Follow Up : Lost - Free Portal</t>
        </is>
      </c>
      <c r="BX1758"/>
      <c r="BY1758"/>
      <c r="BZ1758" s="4"/>
      <c r="CA1758"/>
      <c r="CB1758"/>
      <c r="CC1758" s="4"/>
      <c r="CD1758" t="inlineStr">
        <is>
          <t>20</t>
        </is>
      </c>
      <c r="CE1758" t="inlineStr">
        <is>
          <t>0</t>
        </is>
      </c>
      <c r="CF1758" t="inlineStr">
        <is>
          <t>Q2-W02</t>
        </is>
      </c>
      <c r="CG1758"/>
      <c r="CH1758"/>
      <c r="CI1758"/>
      <c r="CJ1758" t="inlineStr">
        <is>
          <t>No Paid</t>
        </is>
      </c>
      <c r="CK1758" t="inlineStr">
        <is>
          <t>Not Eligible</t>
        </is>
      </c>
      <c r="CL1758"/>
      <c r="CM1758"/>
    </row>
    <row r="1759" ht="25.5" customHeight="1">
      <c r="A1759" t="inlineStr">
        <is>
          <t>50449</t>
        </is>
      </c>
      <c r="B1759" s="2"/>
      <c r="C1759"/>
      <c r="D1759" s="3">
        <v>46122.655335648145</v>
      </c>
      <c r="E1759" t="inlineStr">
        <is>
          <t>Q2-W02</t>
        </is>
      </c>
      <c r="F1759" t="inlineStr">
        <is>
          <t>Chia Yee</t>
        </is>
      </c>
      <c r="G1759" t="inlineStr">
        <is>
          <t>Customer</t>
        </is>
      </c>
      <c r="H1759" s="2" t="str">
        <f>=HYPERLINK("https://upbox.ajobthing.my/customer/50449", "https://upbox.ajobthing.my/customer/50449")</f>
        <v>https://upbox.ajobthing.my/customer/50449</v>
      </c>
      <c r="I1759" t="inlineStr">
        <is>
          <t>KBV Engineering Sdn Bhd</t>
        </is>
      </c>
      <c r="J1759" t="inlineStr">
        <is>
          <t>Small Fish</t>
        </is>
      </c>
      <c r="K1759" t="inlineStr">
        <is>
          <t>Chia Yee</t>
        </is>
      </c>
      <c r="L1759" s="4"/>
      <c r="M1759" s="4">
        <v>46122.655439814815</v>
      </c>
      <c r="N1759"/>
      <c r="O1759">
        <v>1296</v>
      </c>
      <c r="P1759" s="4"/>
      <c r="Q1759" s="4"/>
      <c r="R1759"/>
      <c r="S1759"/>
      <c r="T1759" s="4"/>
      <c r="U1759" s="4"/>
      <c r="V1759"/>
      <c r="W1759"/>
      <c r="X1759"/>
      <c r="Y1759" t="inlineStr">
        <is>
          <t>Pending Appointment</t>
        </is>
      </c>
      <c r="Z1759" t="inlineStr">
        <is>
          <t>Hiring Now</t>
        </is>
      </c>
      <c r="AA1759">
        <v>1</v>
      </c>
      <c r="AB1759" t="inlineStr">
        <is>
          <t>No Appointment Made</t>
        </is>
      </c>
      <c r="AC1759"/>
      <c r="AD1759" t="inlineStr">
        <is>
          <t>1 Drafter</t>
        </is>
      </c>
      <c r="AE1759"/>
      <c r="AF1759">
        <v>0</v>
      </c>
      <c r="AG1759" s="4"/>
      <c r="AH1759" s="4"/>
      <c r="AI1759">
        <v>0</v>
      </c>
      <c r="AJ1759">
        <v>1</v>
      </c>
      <c r="AK1759" t="inlineStr">
        <is>
          <t>No, I don't need at all</t>
        </is>
      </c>
      <c r="AL1759">
        <v>1</v>
      </c>
      <c r="AM1759" t="inlineStr">
        <is>
          <t>No, I don't need at all</t>
        </is>
      </c>
      <c r="AN1759"/>
      <c r="AO1759" t="inlineStr">
        <is>
          <t>No, I don't need at all</t>
        </is>
      </c>
      <c r="AP1759" t="inlineStr">
        <is>
          <t>Once a year (25%)</t>
        </is>
      </c>
      <c r="AQ1759">
        <v>1</v>
      </c>
      <c r="AR1759" t="inlineStr">
        <is>
          <t>Did not use any job portal</t>
        </is>
      </c>
      <c r="AS1759" t="inlineStr">
        <is>
          <t>- Headcount: 1
- Hiring Job Details: 1 Drafter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1759">
        <v>110</v>
      </c>
      <c r="AU1759" t="inlineStr">
        <is>
          <t>1.10</t>
        </is>
      </c>
      <c r="AV1759" t="inlineStr">
        <is>
          <t>15</t>
        </is>
      </c>
      <c r="AW1759" t="inlineStr">
        <is>
          <t>0</t>
        </is>
      </c>
      <c r="AX1759" t="inlineStr">
        <is>
          <t>Not Qualified</t>
        </is>
      </c>
      <c r="AY1759" s="4"/>
      <c r="AZ1759"/>
      <c r="BA1759"/>
      <c r="BB1759"/>
      <c r="BC1759" t="inlineStr">
        <is>
          <t>WA: on hold.  internal restructure</t>
        </is>
      </c>
      <c r="BD1759" s="4">
        <v>46139.37537037037</v>
      </c>
      <c r="BE1759"/>
      <c r="BF1759"/>
      <c r="BG1759" t="inlineStr">
        <is>
          <t>Reschedule</t>
        </is>
      </c>
      <c r="BH1759" t="inlineStr">
        <is>
          <t>Reagen</t>
        </is>
      </c>
      <c r="BI1759" t="inlineStr">
        <is>
          <t>Manufacturing / Production</t>
        </is>
      </c>
      <c r="BJ1759" s="4">
        <v>46144.756064814814</v>
      </c>
      <c r="BK1759" s="4">
        <v>43295.43311342593</v>
      </c>
      <c r="BL1759" t="inlineStr">
        <is>
          <t>0.0</t>
        </is>
      </c>
      <c r="BM1759" t="inlineStr">
        <is>
          <t>0.0</t>
        </is>
      </c>
      <c r="BN1759" t="inlineStr">
        <is>
          <t>View PoepleSearch Page</t>
        </is>
      </c>
      <c r="BO1759" s="4">
        <v>43295.43848379629</v>
      </c>
      <c r="BP1759">
        <v>166483</v>
      </c>
      <c r="BQ1759"/>
      <c r="BR1759"/>
      <c r="BS1759"/>
      <c r="BT1759"/>
      <c r="BU1759"/>
      <c r="BV1759">
        <v>2728087</v>
      </c>
      <c r="BW1759" t="inlineStr">
        <is>
          <t>Follow Up : Budget Concern</t>
        </is>
      </c>
      <c r="BX1759"/>
      <c r="BY1759"/>
      <c r="BZ1759" s="4"/>
      <c r="CA1759"/>
      <c r="CB1759"/>
      <c r="CC1759" s="4"/>
      <c r="CD1759" t="inlineStr">
        <is>
          <t>20</t>
        </is>
      </c>
      <c r="CE1759" t="inlineStr">
        <is>
          <t>0</t>
        </is>
      </c>
      <c r="CF1759" t="inlineStr">
        <is>
          <t>Q2-W02</t>
        </is>
      </c>
      <c r="CG1759"/>
      <c r="CH1759"/>
      <c r="CI1759"/>
      <c r="CJ1759" t="inlineStr">
        <is>
          <t>No Paid</t>
        </is>
      </c>
      <c r="CK1759" t="inlineStr">
        <is>
          <t>Not Eligible</t>
        </is>
      </c>
      <c r="CL1759"/>
      <c r="CM1759"/>
    </row>
    <row r="1760" ht="25.5" customHeight="1">
      <c r="A1760" t="inlineStr">
        <is>
          <t>203096</t>
        </is>
      </c>
      <c r="B1760" s="2"/>
      <c r="C1760"/>
      <c r="D1760" s="3">
        <v>46122.65771990741</v>
      </c>
      <c r="E1760" t="inlineStr">
        <is>
          <t>Q2-W02</t>
        </is>
      </c>
      <c r="F1760" t="inlineStr">
        <is>
          <t>Clover</t>
        </is>
      </c>
      <c r="G1760" t="inlineStr">
        <is>
          <t>Customer</t>
        </is>
      </c>
      <c r="H1760" s="2" t="str">
        <f>=HYPERLINK("https://upbox.ajobthing.my/customer/203096", "https://upbox.ajobthing.my/customer/203096")</f>
        <v>https://upbox.ajobthing.my/customer/203096</v>
      </c>
      <c r="I1760" t="inlineStr">
        <is>
          <t>Trusted Layer Solutions</t>
        </is>
      </c>
      <c r="J1760" t="inlineStr">
        <is>
          <t>Small Fish</t>
        </is>
      </c>
      <c r="K1760" t="inlineStr">
        <is>
          <t>Clover</t>
        </is>
      </c>
      <c r="L1760" s="4"/>
      <c r="M1760" s="4">
        <v>46122.65804398148</v>
      </c>
      <c r="N1760"/>
      <c r="O1760">
        <v>3888</v>
      </c>
      <c r="P1760" s="4"/>
      <c r="Q1760" s="4"/>
      <c r="R1760"/>
      <c r="S1760"/>
      <c r="T1760" s="4"/>
      <c r="U1760" s="4"/>
      <c r="V1760"/>
      <c r="W1760"/>
      <c r="X1760"/>
      <c r="Y1760" t="inlineStr">
        <is>
          <t>Pending Appointment</t>
        </is>
      </c>
      <c r="Z1760" t="inlineStr">
        <is>
          <t>Hiring Now</t>
        </is>
      </c>
      <c r="AA1760">
        <v>2</v>
      </c>
      <c r="AB1760" t="inlineStr">
        <is>
          <t>No Appointment Made</t>
        </is>
      </c>
      <c r="AC1760"/>
      <c r="AD1760" t="inlineStr">
        <is>
          <t>Hire admin/ clerk x2, fresh grads, on site, min spm, IT solution kl, expanding, maybe have future hiring, suggest stand</t>
        </is>
      </c>
      <c r="AE1760"/>
      <c r="AF1760">
        <v>3000</v>
      </c>
      <c r="AG1760" s="4"/>
      <c r="AH1760" s="4"/>
      <c r="AI1760">
        <v>3000</v>
      </c>
      <c r="AJ1760">
        <v>1</v>
      </c>
      <c r="AK1760" t="inlineStr">
        <is>
          <t>No, but I want in future</t>
        </is>
      </c>
      <c r="AL1760">
        <v>1</v>
      </c>
      <c r="AM1760" t="inlineStr">
        <is>
          <t>No, but I want in future</t>
        </is>
      </c>
      <c r="AN1760"/>
      <c r="AO1760" t="inlineStr">
        <is>
          <t>No, but I want in future</t>
        </is>
      </c>
      <c r="AP1760" t="inlineStr">
        <is>
          <t>Twice a year (50%)</t>
        </is>
      </c>
      <c r="AQ1760">
        <v>2</v>
      </c>
      <c r="AR1760" t="inlineStr">
        <is>
          <t>Did not use any job portal</t>
        </is>
      </c>
      <c r="AS1760" t="inlineStr">
        <is>
          <t>- Headcount: 2
- Hiring Job Details: Hire admin/clerk x2, fresh grads, on site, min spm, IT solution kl, expanding, maybe future hiring,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1760">
        <v>110</v>
      </c>
      <c r="AU1760" t="inlineStr">
        <is>
          <t>1.10</t>
        </is>
      </c>
      <c r="AV1760" t="inlineStr">
        <is>
          <t>15</t>
        </is>
      </c>
      <c r="AW1760" t="inlineStr">
        <is>
          <t>0</t>
        </is>
      </c>
      <c r="AX1760" t="inlineStr">
        <is>
          <t>Not Qualified</t>
        </is>
      </c>
      <c r="AY1760" s="4"/>
      <c r="AZ1760"/>
      <c r="BA1760"/>
      <c r="BB1760"/>
      <c r="BC1760" t="inlineStr">
        <is>
          <t>Call npu, wa fu again</t>
        </is>
      </c>
      <c r="BD1760" s="4">
        <v>46133.67128472222</v>
      </c>
      <c r="BE1760"/>
      <c r="BF1760"/>
      <c r="BG1760" t="inlineStr">
        <is>
          <t>Reschedule</t>
        </is>
      </c>
      <c r="BH1760" t="inlineStr">
        <is>
          <t>Reagen</t>
        </is>
      </c>
      <c r="BI1760"/>
      <c r="BJ1760" s="4">
        <v>46144.754212962966</v>
      </c>
      <c r="BK1760" s="4">
        <v>46122.65258101852</v>
      </c>
      <c r="BL1760" t="inlineStr">
        <is>
          <t>0.0</t>
        </is>
      </c>
      <c r="BM1760" t="inlineStr">
        <is>
          <t>0.0</t>
        </is>
      </c>
      <c r="BN1760"/>
      <c r="BO1760" s="4"/>
      <c r="BP1760">
        <v>166487</v>
      </c>
      <c r="BQ1760"/>
      <c r="BR1760"/>
      <c r="BS1760"/>
      <c r="BT1760"/>
      <c r="BU1760"/>
      <c r="BV1760">
        <v>2718733</v>
      </c>
      <c r="BW1760" t="inlineStr">
        <is>
          <t>No Answer : Voicemail - WA sent to customer</t>
        </is>
      </c>
      <c r="BX1760"/>
      <c r="BY1760"/>
      <c r="BZ1760" s="4"/>
      <c r="CA1760"/>
      <c r="CB1760"/>
      <c r="CC1760" s="4"/>
      <c r="CD1760" t="inlineStr">
        <is>
          <t>20</t>
        </is>
      </c>
      <c r="CE1760" t="inlineStr">
        <is>
          <t>0</t>
        </is>
      </c>
      <c r="CF1760" t="inlineStr">
        <is>
          <t>Q2-W02</t>
        </is>
      </c>
      <c r="CG1760"/>
      <c r="CH1760"/>
      <c r="CI1760"/>
      <c r="CJ1760" t="inlineStr">
        <is>
          <t>No Paid</t>
        </is>
      </c>
      <c r="CK1760" t="inlineStr">
        <is>
          <t>Not Eligible</t>
        </is>
      </c>
      <c r="CL1760"/>
      <c r="CM1760"/>
    </row>
    <row r="1761" ht="25.5" customHeight="1">
      <c r="A1761" t="inlineStr">
        <is>
          <t>203088</t>
        </is>
      </c>
      <c r="B1761" s="2"/>
      <c r="C1761"/>
      <c r="D1761" s="3">
        <v>46122.66193287037</v>
      </c>
      <c r="E1761" t="inlineStr">
        <is>
          <t>Q2-W02</t>
        </is>
      </c>
      <c r="F1761" t="inlineStr">
        <is>
          <t>Clover</t>
        </is>
      </c>
      <c r="G1761" t="inlineStr">
        <is>
          <t>Customer</t>
        </is>
      </c>
      <c r="H1761" s="2" t="str">
        <f>=HYPERLINK("https://upbox.ajobthing.my/customer/203088", "https://upbox.ajobthing.my/customer/203088")</f>
        <v>https://upbox.ajobthing.my/customer/203088</v>
      </c>
      <c r="I1761" t="inlineStr">
        <is>
          <t>Meducation Global Sdn Bhd</t>
        </is>
      </c>
      <c r="J1761" t="inlineStr">
        <is>
          <t>Small Fish</t>
        </is>
      </c>
      <c r="K1761" t="inlineStr">
        <is>
          <t>Clover</t>
        </is>
      </c>
      <c r="L1761" s="4"/>
      <c r="M1761" s="4">
        <v>46122.66217592593</v>
      </c>
      <c r="N1761"/>
      <c r="O1761">
        <v>3888</v>
      </c>
      <c r="P1761" s="4"/>
      <c r="Q1761" s="4"/>
      <c r="R1761"/>
      <c r="S1761"/>
      <c r="T1761" s="4"/>
      <c r="U1761" s="4"/>
      <c r="V1761"/>
      <c r="W1761"/>
      <c r="X1761"/>
      <c r="Y1761" t="inlineStr">
        <is>
          <t>Pending Appointment</t>
        </is>
      </c>
      <c r="Z1761" t="inlineStr">
        <is>
          <t>Hiring Now</t>
        </is>
      </c>
      <c r="AA1761">
        <v>2</v>
      </c>
      <c r="AB1761" t="inlineStr">
        <is>
          <t>No Appointment Made</t>
        </is>
      </c>
      <c r="AC1761"/>
      <c r="AD1761" t="inlineStr">
        <is>
          <t>Hire clinic assistant 1-2, all races, fresh grads, KL, klinik, suggest stand</t>
        </is>
      </c>
      <c r="AE1761"/>
      <c r="AF1761">
        <v>3000</v>
      </c>
      <c r="AG1761" s="4"/>
      <c r="AH1761" s="4"/>
      <c r="AI1761">
        <v>3000</v>
      </c>
      <c r="AJ1761">
        <v>1</v>
      </c>
      <c r="AK1761" t="inlineStr">
        <is>
          <t>No, but I want in future</t>
        </is>
      </c>
      <c r="AL1761">
        <v>1</v>
      </c>
      <c r="AM1761" t="inlineStr">
        <is>
          <t>No, but I want in future</t>
        </is>
      </c>
      <c r="AN1761"/>
      <c r="AO1761" t="inlineStr">
        <is>
          <t>No, but I want in future</t>
        </is>
      </c>
      <c r="AP1761" t="inlineStr">
        <is>
          <t>Twice a year (50%)</t>
        </is>
      </c>
      <c r="AQ1761">
        <v>2</v>
      </c>
      <c r="AR1761" t="inlineStr">
        <is>
          <t>Did not use any job portal</t>
        </is>
      </c>
      <c r="AS1761" t="inlineStr">
        <is>
          <t>- Headcount: 2
- Hiring Job Details: Hire clinic assistant 1-2, all races, fresh grads, KL, klinik,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1761">
        <v>110</v>
      </c>
      <c r="AU1761" t="inlineStr">
        <is>
          <t>1.10</t>
        </is>
      </c>
      <c r="AV1761" t="inlineStr">
        <is>
          <t>15</t>
        </is>
      </c>
      <c r="AW1761" t="inlineStr">
        <is>
          <t>0</t>
        </is>
      </c>
      <c r="AX1761" t="inlineStr">
        <is>
          <t>Not Qualified</t>
        </is>
      </c>
      <c r="AY1761" s="4"/>
      <c r="AZ1761"/>
      <c r="BA1761"/>
      <c r="BB1761"/>
      <c r="BC1761" t="inlineStr">
        <is>
          <t>Reject, bos prefer free</t>
        </is>
      </c>
      <c r="BD1761" s="4">
        <v>46134.39582175926</v>
      </c>
      <c r="BE1761"/>
      <c r="BF1761"/>
      <c r="BG1761" t="inlineStr">
        <is>
          <t>Reschedule</t>
        </is>
      </c>
      <c r="BH1761" t="inlineStr">
        <is>
          <t>Reagen</t>
        </is>
      </c>
      <c r="BI1761"/>
      <c r="BJ1761" s="4">
        <v>46144.754212962966</v>
      </c>
      <c r="BK1761" s="4">
        <v>46122.61305555556</v>
      </c>
      <c r="BL1761" t="inlineStr">
        <is>
          <t>0.0</t>
        </is>
      </c>
      <c r="BM1761" t="inlineStr">
        <is>
          <t>0.0</t>
        </is>
      </c>
      <c r="BN1761" t="inlineStr">
        <is>
          <t>View Company Page</t>
        </is>
      </c>
      <c r="BO1761" s="4">
        <v>46122.617106481484</v>
      </c>
      <c r="BP1761">
        <v>166489</v>
      </c>
      <c r="BQ1761"/>
      <c r="BR1761"/>
      <c r="BS1761"/>
      <c r="BT1761"/>
      <c r="BU1761"/>
      <c r="BV1761">
        <v>2719342</v>
      </c>
      <c r="BW1761" t="inlineStr">
        <is>
          <t>Follow Up : Lost - Free Portal</t>
        </is>
      </c>
      <c r="BX1761"/>
      <c r="BY1761"/>
      <c r="BZ1761" s="4"/>
      <c r="CA1761"/>
      <c r="CB1761"/>
      <c r="CC1761" s="4"/>
      <c r="CD1761" t="inlineStr">
        <is>
          <t>20</t>
        </is>
      </c>
      <c r="CE1761" t="inlineStr">
        <is>
          <t>0</t>
        </is>
      </c>
      <c r="CF1761" t="inlineStr">
        <is>
          <t>Q2-W02</t>
        </is>
      </c>
      <c r="CG1761"/>
      <c r="CH1761"/>
      <c r="CI1761"/>
      <c r="CJ1761" t="inlineStr">
        <is>
          <t>No Paid</t>
        </is>
      </c>
      <c r="CK1761" t="inlineStr">
        <is>
          <t>Not Eligible</t>
        </is>
      </c>
      <c r="CL1761"/>
      <c r="CM1761"/>
    </row>
    <row r="1762" ht="25.5" customHeight="1">
      <c r="A1762" t="inlineStr">
        <is>
          <t>156470</t>
        </is>
      </c>
      <c r="B1762" s="2"/>
      <c r="C1762"/>
      <c r="D1762" s="3">
        <v>46122.66743055556</v>
      </c>
      <c r="E1762" t="inlineStr">
        <is>
          <t>Q2-W02</t>
        </is>
      </c>
      <c r="F1762" t="inlineStr">
        <is>
          <t>Jia Hui</t>
        </is>
      </c>
      <c r="G1762" t="inlineStr">
        <is>
          <t>Customer</t>
        </is>
      </c>
      <c r="H1762" s="2" t="str">
        <f>=HYPERLINK("https://upbox.ajobthing.my/customer/156470", "https://upbox.ajobthing.my/customer/156470")</f>
        <v>https://upbox.ajobthing.my/customer/156470</v>
      </c>
      <c r="I1762" t="inlineStr">
        <is>
          <t>Ais Everest Sdn Bhd</t>
        </is>
      </c>
      <c r="J1762" t="inlineStr">
        <is>
          <t>Small Fish</t>
        </is>
      </c>
      <c r="K1762" t="inlineStr">
        <is>
          <t>Jia Hui</t>
        </is>
      </c>
      <c r="L1762" s="4"/>
      <c r="M1762" s="4">
        <v>46122.667592592596</v>
      </c>
      <c r="N1762"/>
      <c r="O1762">
        <v>1296</v>
      </c>
      <c r="P1762" s="4"/>
      <c r="Q1762" s="4">
        <v>45985.661041666666</v>
      </c>
      <c r="R1762"/>
      <c r="S1762">
        <v>648</v>
      </c>
      <c r="T1762" s="4">
        <v>45985.661041666666</v>
      </c>
      <c r="U1762" s="4"/>
      <c r="V1762"/>
      <c r="W1762">
        <v>648</v>
      </c>
      <c r="X1762"/>
      <c r="Y1762" t="inlineStr">
        <is>
          <t>Pending Appointment</t>
        </is>
      </c>
      <c r="Z1762" t="inlineStr">
        <is>
          <t>Hiring Now</t>
        </is>
      </c>
      <c r="AA1762">
        <v>1</v>
      </c>
      <c r="AB1762" t="inlineStr">
        <is>
          <t>No Appointment Made</t>
        </is>
      </c>
      <c r="AC1762"/>
      <c r="AD1762" t="inlineStr">
        <is>
          <t xml:space="preserve">1 lorry driver </t>
        </is>
      </c>
      <c r="AE1762"/>
      <c r="AF1762">
        <v>500</v>
      </c>
      <c r="AG1762" s="4"/>
      <c r="AH1762" s="4"/>
      <c r="AI1762"/>
      <c r="AJ1762"/>
      <c r="AK1762" t="inlineStr">
        <is>
          <t>No, but I want in future</t>
        </is>
      </c>
      <c r="AL1762"/>
      <c r="AM1762"/>
      <c r="AN1762"/>
      <c r="AO1762"/>
      <c r="AP1762" t="inlineStr">
        <is>
          <t>Once a year (25%)</t>
        </is>
      </c>
      <c r="AQ1762"/>
      <c r="AR1762"/>
      <c r="AS1762" t="inlineStr">
        <is>
          <t>- Headcount: 1
- Hiring Job Details: 1 lorry driver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762">
        <v>75</v>
      </c>
      <c r="AU1762" t="inlineStr">
        <is>
          <t>0.75</t>
        </is>
      </c>
      <c r="AV1762" t="inlineStr">
        <is>
          <t>15</t>
        </is>
      </c>
      <c r="AW1762" t="inlineStr">
        <is>
          <t>0</t>
        </is>
      </c>
      <c r="AX1762" t="inlineStr">
        <is>
          <t>Not Qualified</t>
        </is>
      </c>
      <c r="AY1762" s="4"/>
      <c r="AZ1762"/>
      <c r="BA1762"/>
      <c r="BB1762"/>
      <c r="BC1762" t="inlineStr">
        <is>
          <t>no respond</t>
        </is>
      </c>
      <c r="BD1762" s="4">
        <v>46135.44725694445</v>
      </c>
      <c r="BE1762" t="inlineStr">
        <is>
          <t>paid</t>
        </is>
      </c>
      <c r="BF1762"/>
      <c r="BG1762" t="inlineStr">
        <is>
          <t>Reschedule</t>
        </is>
      </c>
      <c r="BH1762" t="inlineStr">
        <is>
          <t>Reagen</t>
        </is>
      </c>
      <c r="BI1762" t="inlineStr">
        <is>
          <t>Manufacturing / Production</t>
        </is>
      </c>
      <c r="BJ1762" s="4">
        <v>46144.75099537037</v>
      </c>
      <c r="BK1762" s="4">
        <v>44742.561423611114</v>
      </c>
      <c r="BL1762" t="inlineStr">
        <is>
          <t>648.0</t>
        </is>
      </c>
      <c r="BM1762" t="inlineStr">
        <is>
          <t>0.0</t>
        </is>
      </c>
      <c r="BN1762" t="inlineStr">
        <is>
          <t>View Jobmanager Page</t>
        </is>
      </c>
      <c r="BO1762" s="4">
        <v>46080.648622685185</v>
      </c>
      <c r="BP1762">
        <v>166493</v>
      </c>
      <c r="BQ1762">
        <v>84428</v>
      </c>
      <c r="BR1762" t="inlineStr">
        <is>
          <t>Online</t>
        </is>
      </c>
      <c r="BS1762"/>
      <c r="BT1762">
        <v>84428</v>
      </c>
      <c r="BU1762"/>
      <c r="BV1762">
        <v>2722570</v>
      </c>
      <c r="BW1762" t="inlineStr">
        <is>
          <t>No Answer : Voicemail - WA sent to customer</t>
        </is>
      </c>
      <c r="BX1762"/>
      <c r="BY1762"/>
      <c r="BZ1762" s="4"/>
      <c r="CA1762"/>
      <c r="CB1762"/>
      <c r="CC1762" s="4"/>
      <c r="CD1762" t="inlineStr">
        <is>
          <t>20</t>
        </is>
      </c>
      <c r="CE1762" t="inlineStr">
        <is>
          <t>0</t>
        </is>
      </c>
      <c r="CF1762" t="inlineStr">
        <is>
          <t>Q2-W02</t>
        </is>
      </c>
      <c r="CG1762"/>
      <c r="CH1762"/>
      <c r="CI1762"/>
      <c r="CJ1762" t="inlineStr">
        <is>
          <t>Paid</t>
        </is>
      </c>
      <c r="CK1762" t="inlineStr">
        <is>
          <t>Not Eligible</t>
        </is>
      </c>
      <c r="CL1762"/>
      <c r="CM1762"/>
    </row>
    <row r="1763" ht="25.5" customHeight="1">
      <c r="A1763" t="inlineStr">
        <is>
          <t>4264076</t>
        </is>
      </c>
      <c r="B1763" s="2"/>
      <c r="C1763"/>
      <c r="D1763" s="3">
        <v>46122.68119212963</v>
      </c>
      <c r="E1763" t="inlineStr">
        <is>
          <t>Q2-W02</t>
        </is>
      </c>
      <c r="F1763" t="inlineStr">
        <is>
          <t>Josh</t>
        </is>
      </c>
      <c r="G1763" t="inlineStr">
        <is>
          <t>Lead</t>
        </is>
      </c>
      <c r="H1763" s="2" t="str">
        <f>=HYPERLINK("https://upbox.ajobthing.my/leads/4264076", "https://upbox.ajobthing.my/leads/4264076")</f>
        <v>https://upbox.ajobthing.my/leads/4264076</v>
      </c>
      <c r="I1763" t="inlineStr">
        <is>
          <t>Ija Group Sdn. Bhd</t>
        </is>
      </c>
      <c r="J1763" t="inlineStr">
        <is>
          <t>Small Fish</t>
        </is>
      </c>
      <c r="K1763" t="inlineStr">
        <is>
          <t>Josh</t>
        </is>
      </c>
      <c r="L1763" s="4"/>
      <c r="M1763" s="4">
        <v>46122.68135416666</v>
      </c>
      <c r="N1763"/>
      <c r="O1763">
        <v>864</v>
      </c>
      <c r="P1763" s="4"/>
      <c r="Q1763" s="4"/>
      <c r="R1763"/>
      <c r="S1763"/>
      <c r="T1763" s="4"/>
      <c r="U1763" s="4"/>
      <c r="V1763"/>
      <c r="W1763"/>
      <c r="X1763"/>
      <c r="Y1763" t="inlineStr">
        <is>
          <t>Pending Appointment</t>
        </is>
      </c>
      <c r="Z1763" t="inlineStr">
        <is>
          <t>Hiring Now</t>
        </is>
      </c>
      <c r="AA1763">
        <v>1</v>
      </c>
      <c r="AB1763" t="inlineStr">
        <is>
          <t>No Appointment Made</t>
        </is>
      </c>
      <c r="AC1763"/>
      <c r="AD1763" t="inlineStr">
        <is>
          <t xml:space="preserve">1 admin </t>
        </is>
      </c>
      <c r="AE1763"/>
      <c r="AF1763">
        <v>1000</v>
      </c>
      <c r="AG1763" s="4"/>
      <c r="AH1763" s="4"/>
      <c r="AI1763"/>
      <c r="AJ1763"/>
      <c r="AK1763"/>
      <c r="AL1763"/>
      <c r="AM1763"/>
      <c r="AN1763"/>
      <c r="AO1763"/>
      <c r="AP1763" t="inlineStr">
        <is>
          <t>Once a year (25%)</t>
        </is>
      </c>
      <c r="AQ1763"/>
      <c r="AR1763"/>
      <c r="AS1763" t="inlineStr">
        <is>
          <t>- Headcount: 1
- Hiring Job Details: 1 admin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1763">
        <v>75</v>
      </c>
      <c r="AU1763" t="inlineStr">
        <is>
          <t>0.75</t>
        </is>
      </c>
      <c r="AV1763" t="inlineStr">
        <is>
          <t>15</t>
        </is>
      </c>
      <c r="AW1763" t="inlineStr">
        <is>
          <t>0</t>
        </is>
      </c>
      <c r="AX1763" t="inlineStr">
        <is>
          <t>Not Qualified</t>
        </is>
      </c>
      <c r="AY1763" s="4"/>
      <c r="AZ1763"/>
      <c r="BA1763"/>
      <c r="BB1763"/>
      <c r="BC1763"/>
      <c r="BD1763" s="4"/>
      <c r="BE1763"/>
      <c r="BF1763"/>
      <c r="BG1763" t="inlineStr">
        <is>
          <t>Reschedule</t>
        </is>
      </c>
      <c r="BH1763" t="inlineStr">
        <is>
          <t>Fauziah Maharan</t>
        </is>
      </c>
      <c r="BI1763"/>
      <c r="BJ1763" s="4">
        <v>46144.75576388889</v>
      </c>
      <c r="BK1763" s="4">
        <v>46121.47321759259</v>
      </c>
      <c r="BL1763" t="inlineStr">
        <is>
          <t>0.0</t>
        </is>
      </c>
      <c r="BM1763" t="inlineStr">
        <is>
          <t>0.0</t>
        </is>
      </c>
      <c r="BN1763"/>
      <c r="BO1763" s="4"/>
      <c r="BP1763">
        <v>166513</v>
      </c>
      <c r="BQ1763"/>
      <c r="BR1763"/>
      <c r="BS1763"/>
      <c r="BT1763"/>
      <c r="BU1763"/>
      <c r="BV1763"/>
      <c r="BW1763"/>
      <c r="BX1763"/>
      <c r="BY1763"/>
      <c r="BZ1763" s="4"/>
      <c r="CA1763"/>
      <c r="CB1763"/>
      <c r="CC1763" s="4"/>
      <c r="CD1763" t="inlineStr">
        <is>
          <t>20</t>
        </is>
      </c>
      <c r="CE1763" t="inlineStr">
        <is>
          <t>0</t>
        </is>
      </c>
      <c r="CF1763" t="inlineStr">
        <is>
          <t>Q2-W02</t>
        </is>
      </c>
      <c r="CG1763"/>
      <c r="CH1763"/>
      <c r="CI1763"/>
      <c r="CJ1763" t="inlineStr">
        <is>
          <t>No Paid</t>
        </is>
      </c>
      <c r="CK1763" t="inlineStr">
        <is>
          <t>Not Eligible</t>
        </is>
      </c>
      <c r="CL1763"/>
      <c r="CM1763"/>
    </row>
    <row r="1764" ht="25.5" customHeight="1">
      <c r="A1764" t="inlineStr">
        <is>
          <t>4193072</t>
        </is>
      </c>
      <c r="B1764" s="2"/>
      <c r="C1764"/>
      <c r="D1764" s="3">
        <v>46122.68140046296</v>
      </c>
      <c r="E1764" t="inlineStr">
        <is>
          <t>Q2-W02</t>
        </is>
      </c>
      <c r="F1764" t="inlineStr">
        <is>
          <t>Janice Yap</t>
        </is>
      </c>
      <c r="G1764" t="inlineStr">
        <is>
          <t>Lead</t>
        </is>
      </c>
      <c r="H1764" s="2" t="str">
        <f>=HYPERLINK("https://upbox.ajobthing.my/leads/4193072", "https://upbox.ajobthing.my/leads/4193072")</f>
        <v>https://upbox.ajobthing.my/leads/4193072</v>
      </c>
      <c r="I1764" t="inlineStr">
        <is>
          <t>VSMART ELECTRONICS SDN. BHD.</t>
        </is>
      </c>
      <c r="J1764" t="inlineStr">
        <is>
          <t>Small Fish</t>
        </is>
      </c>
      <c r="K1764" t="inlineStr">
        <is>
          <t>Janice</t>
        </is>
      </c>
      <c r="L1764" s="4"/>
      <c r="M1764" s="4">
        <v>46122.67704861111</v>
      </c>
      <c r="N1764"/>
      <c r="O1764">
        <v>3888</v>
      </c>
      <c r="P1764" s="4"/>
      <c r="Q1764" s="4"/>
      <c r="R1764"/>
      <c r="S1764"/>
      <c r="T1764" s="4"/>
      <c r="U1764" s="4"/>
      <c r="V1764"/>
      <c r="W1764"/>
      <c r="X1764"/>
      <c r="Y1764" t="inlineStr">
        <is>
          <t>Pending Appointment</t>
        </is>
      </c>
      <c r="Z1764" t="inlineStr">
        <is>
          <t>Hiring Now</t>
        </is>
      </c>
      <c r="AA1764">
        <v>1</v>
      </c>
      <c r="AB1764" t="inlineStr">
        <is>
          <t>No Appointment Made</t>
        </is>
      </c>
      <c r="AC1764"/>
      <c r="AD1764" t="inlineStr">
        <is>
          <t>1 online sales</t>
        </is>
      </c>
      <c r="AE1764"/>
      <c r="AF1764">
        <v>0</v>
      </c>
      <c r="AG1764" s="4"/>
      <c r="AH1764" s="4"/>
      <c r="AI1764">
        <v>0</v>
      </c>
      <c r="AJ1764"/>
      <c r="AK1764" t="inlineStr">
        <is>
          <t>No, I don't need at all</t>
        </is>
      </c>
      <c r="AL1764">
        <v>0</v>
      </c>
      <c r="AM1764" t="inlineStr">
        <is>
          <t>No, I don't need at all</t>
        </is>
      </c>
      <c r="AN1764"/>
      <c r="AO1764" t="inlineStr">
        <is>
          <t>No, I don't need at all</t>
        </is>
      </c>
      <c r="AP1764" t="inlineStr">
        <is>
          <t>Once a year (25%)</t>
        </is>
      </c>
      <c r="AQ1764">
        <v>1</v>
      </c>
      <c r="AR1764" t="inlineStr">
        <is>
          <t>Indeed (Paid)</t>
        </is>
      </c>
      <c r="AS1764" t="inlineStr">
        <is>
          <t>- Headcount: 1
- Hiring Job Details: 1 online sales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Indeed (Paid)</t>
        </is>
      </c>
      <c r="AT1764">
        <v>110</v>
      </c>
      <c r="AU1764" t="inlineStr">
        <is>
          <t>1.10</t>
        </is>
      </c>
      <c r="AV1764" t="inlineStr">
        <is>
          <t>15</t>
        </is>
      </c>
      <c r="AW1764" t="inlineStr">
        <is>
          <t>0</t>
        </is>
      </c>
      <c r="AX1764" t="inlineStr">
        <is>
          <t>Not Qualified</t>
        </is>
      </c>
      <c r="AY1764" s="4"/>
      <c r="AZ1764"/>
      <c r="BA1764"/>
      <c r="BB1764"/>
      <c r="BC1764"/>
      <c r="BD1764" s="4"/>
      <c r="BE1764"/>
      <c r="BF1764"/>
      <c r="BG1764" t="inlineStr">
        <is>
          <t>Reschedule</t>
        </is>
      </c>
      <c r="BH1764" t="inlineStr">
        <is>
          <t>Yee Hang</t>
        </is>
      </c>
      <c r="BI1764"/>
      <c r="BJ1764" s="4">
        <v>46144.75560185185</v>
      </c>
      <c r="BK1764" s="4">
        <v>46105.447233796294</v>
      </c>
      <c r="BL1764" t="inlineStr">
        <is>
          <t>0.0</t>
        </is>
      </c>
      <c r="BM1764" t="inlineStr">
        <is>
          <t>0.0</t>
        </is>
      </c>
      <c r="BN1764"/>
      <c r="BO1764" s="4"/>
      <c r="BP1764">
        <v>166505</v>
      </c>
      <c r="BQ1764"/>
      <c r="BR1764"/>
      <c r="BS1764"/>
      <c r="BT1764"/>
      <c r="BU1764"/>
      <c r="BV1764"/>
      <c r="BW1764"/>
      <c r="BX1764"/>
      <c r="BY1764"/>
      <c r="BZ1764" s="4"/>
      <c r="CA1764"/>
      <c r="CB1764"/>
      <c r="CC1764" s="4"/>
      <c r="CD1764" t="inlineStr">
        <is>
          <t>20</t>
        </is>
      </c>
      <c r="CE1764" t="inlineStr">
        <is>
          <t>0</t>
        </is>
      </c>
      <c r="CF1764" t="inlineStr">
        <is>
          <t>Q2-W02</t>
        </is>
      </c>
      <c r="CG1764"/>
      <c r="CH1764"/>
      <c r="CI1764"/>
      <c r="CJ1764" t="inlineStr">
        <is>
          <t>No Paid</t>
        </is>
      </c>
      <c r="CK1764" t="inlineStr">
        <is>
          <t>Not Eligible</t>
        </is>
      </c>
      <c r="CL1764"/>
      <c r="CM1764"/>
    </row>
    <row r="1765" ht="25.5" customHeight="1">
      <c r="A1765" t="inlineStr">
        <is>
          <t>4269605</t>
        </is>
      </c>
      <c r="B1765" s="2"/>
      <c r="C1765"/>
      <c r="D1765" s="3">
        <v>46122.68171296296</v>
      </c>
      <c r="E1765" t="inlineStr">
        <is>
          <t>Q2-W02</t>
        </is>
      </c>
      <c r="F1765" t="inlineStr">
        <is>
          <t>Chia Yee</t>
        </is>
      </c>
      <c r="G1765" t="inlineStr">
        <is>
          <t>Lead</t>
        </is>
      </c>
      <c r="H1765" s="2" t="str">
        <f>=HYPERLINK("https://upbox.ajobthing.my/leads/4269605", "https://upbox.ajobthing.my/leads/4269605")</f>
        <v>https://upbox.ajobthing.my/leads/4269605</v>
      </c>
      <c r="I1765" t="inlineStr">
        <is>
          <t>AH NEW FISHERY SDN BHD</t>
        </is>
      </c>
      <c r="J1765" t="inlineStr">
        <is>
          <t>Small Fish</t>
        </is>
      </c>
      <c r="K1765" t="inlineStr">
        <is>
          <t>Chia Yee</t>
        </is>
      </c>
      <c r="L1765" s="4"/>
      <c r="M1765" s="4">
        <v>46122.683020833334</v>
      </c>
      <c r="N1765"/>
      <c r="O1765">
        <v>6048</v>
      </c>
      <c r="P1765" s="4"/>
      <c r="Q1765" s="4"/>
      <c r="R1765"/>
      <c r="S1765"/>
      <c r="T1765" s="4"/>
      <c r="U1765" s="4"/>
      <c r="V1765"/>
      <c r="W1765"/>
      <c r="X1765"/>
      <c r="Y1765" t="inlineStr">
        <is>
          <t>Pending Appointment</t>
        </is>
      </c>
      <c r="Z1765" t="inlineStr">
        <is>
          <t>Hiring Now</t>
        </is>
      </c>
      <c r="AA1765">
        <v>3</v>
      </c>
      <c r="AB1765" t="inlineStr">
        <is>
          <t>No Appointment Made</t>
        </is>
      </c>
      <c r="AC1765"/>
      <c r="AD1765" t="inlineStr">
        <is>
          <t>HR Executive, Account Executive, Admin</t>
        </is>
      </c>
      <c r="AE1765"/>
      <c r="AF1765">
        <v>0</v>
      </c>
      <c r="AG1765" s="4"/>
      <c r="AH1765" s="4"/>
      <c r="AI1765">
        <v>0</v>
      </c>
      <c r="AJ1765">
        <v>0</v>
      </c>
      <c r="AK1765" t="inlineStr">
        <is>
          <t>No, I don't need at all</t>
        </is>
      </c>
      <c r="AL1765">
        <v>1</v>
      </c>
      <c r="AM1765" t="inlineStr">
        <is>
          <t>No, I don't need at all</t>
        </is>
      </c>
      <c r="AN1765"/>
      <c r="AO1765" t="inlineStr">
        <is>
          <t>No, I don't need at all</t>
        </is>
      </c>
      <c r="AP1765" t="inlineStr">
        <is>
          <t>Once a year (25%)</t>
        </is>
      </c>
      <c r="AQ1765">
        <v>3</v>
      </c>
      <c r="AR1765" t="inlineStr">
        <is>
          <t>Did not use any job portal</t>
        </is>
      </c>
      <c r="AS1765" t="inlineStr">
        <is>
          <t>- Headcount: 3
- Hiring Job Details: HR Executive, Account Executive, Admin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is>
      </c>
      <c r="AT1765">
        <v>90</v>
      </c>
      <c r="AU1765" t="inlineStr">
        <is>
          <t>0.90</t>
        </is>
      </c>
      <c r="AV1765" t="inlineStr">
        <is>
          <t>15</t>
        </is>
      </c>
      <c r="AW1765" t="inlineStr">
        <is>
          <t>0</t>
        </is>
      </c>
      <c r="AX1765" t="inlineStr">
        <is>
          <t>Not Qualified</t>
        </is>
      </c>
      <c r="AY1765" s="4"/>
      <c r="AZ1765"/>
      <c r="BA1765"/>
      <c r="BB1765"/>
      <c r="BC1765"/>
      <c r="BD1765" s="4"/>
      <c r="BE1765"/>
      <c r="BF1765"/>
      <c r="BG1765" t="inlineStr">
        <is>
          <t>Reschedule</t>
        </is>
      </c>
      <c r="BH1765" t="inlineStr">
        <is>
          <t>Reagen</t>
        </is>
      </c>
      <c r="BI1765"/>
      <c r="BJ1765" s="4">
        <v>46144.75578703704</v>
      </c>
      <c r="BK1765" s="4">
        <v>46122.65998842593</v>
      </c>
      <c r="BL1765" t="inlineStr">
        <is>
          <t>0.0</t>
        </is>
      </c>
      <c r="BM1765" t="inlineStr">
        <is>
          <t>150.0</t>
        </is>
      </c>
      <c r="BN1765"/>
      <c r="BO1765" s="4"/>
      <c r="BP1765">
        <v>166515</v>
      </c>
      <c r="BQ1765"/>
      <c r="BR1765"/>
      <c r="BS1765"/>
      <c r="BT1765"/>
      <c r="BU1765"/>
      <c r="BV1765"/>
      <c r="BW1765"/>
      <c r="BX1765"/>
      <c r="BY1765"/>
      <c r="BZ1765" s="4"/>
      <c r="CA1765"/>
      <c r="CB1765"/>
      <c r="CC1765" s="4"/>
      <c r="CD1765" t="inlineStr">
        <is>
          <t>20</t>
        </is>
      </c>
      <c r="CE1765" t="inlineStr">
        <is>
          <t>0</t>
        </is>
      </c>
      <c r="CF1765" t="inlineStr">
        <is>
          <t>Q2-W02</t>
        </is>
      </c>
      <c r="CG1765"/>
      <c r="CH1765"/>
      <c r="CI1765"/>
      <c r="CJ1765" t="inlineStr">
        <is>
          <t>No Paid</t>
        </is>
      </c>
      <c r="CK1765" t="inlineStr">
        <is>
          <t>Not Eligible</t>
        </is>
      </c>
      <c r="CL1765"/>
      <c r="CM1765"/>
    </row>
    <row r="1766" ht="25.5" customHeight="1">
      <c r="A1766" t="inlineStr">
        <is>
          <t>190574</t>
        </is>
      </c>
      <c r="B1766" s="2"/>
      <c r="C1766"/>
      <c r="D1766" s="3">
        <v>46122.682650462964</v>
      </c>
      <c r="E1766" t="inlineStr">
        <is>
          <t>Q2-W02</t>
        </is>
      </c>
      <c r="F1766" t="inlineStr">
        <is>
          <t>Jeff Lee</t>
        </is>
      </c>
      <c r="G1766" t="inlineStr">
        <is>
          <t>Customer</t>
        </is>
      </c>
      <c r="H1766" s="2" t="str">
        <f>=HYPERLINK("https://upbox.ajobthing.my/customer/190574", "https://upbox.ajobthing.my/customer/190574")</f>
        <v>https://upbox.ajobthing.my/customer/190574</v>
      </c>
      <c r="I1766" t="inlineStr">
        <is>
          <t>Helocarmelo Enterprise</t>
        </is>
      </c>
      <c r="J1766" t="inlineStr">
        <is>
          <t>Small Fish</t>
        </is>
      </c>
      <c r="K1766" t="inlineStr">
        <is>
          <t>Jeff Lee</t>
        </is>
      </c>
      <c r="L1766" s="4"/>
      <c r="M1766" s="4">
        <v>46122.67787037037</v>
      </c>
      <c r="N1766"/>
      <c r="O1766">
        <v>3888</v>
      </c>
      <c r="P1766" s="4"/>
      <c r="Q1766" s="4"/>
      <c r="R1766"/>
      <c r="S1766"/>
      <c r="T1766" s="4"/>
      <c r="U1766" s="4"/>
      <c r="V1766"/>
      <c r="W1766"/>
      <c r="X1766"/>
      <c r="Y1766" t="inlineStr">
        <is>
          <t>Pending Appointment</t>
        </is>
      </c>
      <c r="Z1766" t="inlineStr">
        <is>
          <t>Hiring Now</t>
        </is>
      </c>
      <c r="AA1766">
        <v>1</v>
      </c>
      <c r="AB1766" t="inlineStr">
        <is>
          <t>No Appointment Made</t>
        </is>
      </c>
      <c r="AC1766"/>
      <c r="AD1766" t="inlineStr">
        <is>
          <t>1. Retail Assistant
2. 1 only
3. KL area</t>
        </is>
      </c>
      <c r="AE1766"/>
      <c r="AF1766">
        <v>3000</v>
      </c>
      <c r="AG1766" s="4"/>
      <c r="AH1766" s="4"/>
      <c r="AI1766">
        <v>3000</v>
      </c>
      <c r="AJ1766">
        <v>0</v>
      </c>
      <c r="AK1766" t="inlineStr">
        <is>
          <t>No, I don't need at all</t>
        </is>
      </c>
      <c r="AL1766">
        <v>0</v>
      </c>
      <c r="AM1766" t="inlineStr">
        <is>
          <t>No, I don't need at all</t>
        </is>
      </c>
      <c r="AN1766"/>
      <c r="AO1766" t="inlineStr">
        <is>
          <t>No, I don't need at all</t>
        </is>
      </c>
      <c r="AP1766" t="inlineStr">
        <is>
          <t>Twice a year (50%)</t>
        </is>
      </c>
      <c r="AQ1766">
        <v>1</v>
      </c>
      <c r="AR1766"/>
      <c r="AS1766" t="inlineStr">
        <is>
          <t>- Headcount: 1
- Hiring Job Details: 1 Retail Assistant, 1 only, KL area
- Hiring Urgency: Hiring Now
- Number of outlets: 0
- Have recruiter team: No, I don't need at all
- Number of recruiter in company: 0
- Have ATS system: No, I don't need at all
- Have career website: No, I don't need at all
- Current hiring budget: RM3,000
- Whole year budget: RM3,000.00
- Whole year number of vacancies: 1
- Hiring frequency: Twice a year (50%)
- External job portal: None</t>
        </is>
      </c>
      <c r="AT1766">
        <v>110</v>
      </c>
      <c r="AU1766" t="inlineStr">
        <is>
          <t>1.10</t>
        </is>
      </c>
      <c r="AV1766" t="inlineStr">
        <is>
          <t>15</t>
        </is>
      </c>
      <c r="AW1766" t="inlineStr">
        <is>
          <t>0</t>
        </is>
      </c>
      <c r="AX1766" t="inlineStr">
        <is>
          <t>Not Qualified</t>
        </is>
      </c>
      <c r="AY1766" s="4"/>
      <c r="AZ1766"/>
      <c r="BA1766"/>
      <c r="BB1766"/>
      <c r="BC1766" t="inlineStr">
        <is>
          <t>na</t>
        </is>
      </c>
      <c r="BD1766" s="4">
        <v>46133.583599537036</v>
      </c>
      <c r="BE1766"/>
      <c r="BF1766"/>
      <c r="BG1766" t="inlineStr">
        <is>
          <t>Reschedule</t>
        </is>
      </c>
      <c r="BH1766" t="inlineStr">
        <is>
          <t>Yee Hang</t>
        </is>
      </c>
      <c r="BI1766"/>
      <c r="BJ1766" s="4">
        <v>46144.75237268519</v>
      </c>
      <c r="BK1766" s="4">
        <v>45773.58721064815</v>
      </c>
      <c r="BL1766" t="inlineStr">
        <is>
          <t>0.0</t>
        </is>
      </c>
      <c r="BM1766" t="inlineStr">
        <is>
          <t>0.0</t>
        </is>
      </c>
      <c r="BN1766" t="inlineStr">
        <is>
          <t>View Create Job Page</t>
        </is>
      </c>
      <c r="BO1766" s="4">
        <v>45773.59725694444</v>
      </c>
      <c r="BP1766">
        <v>166510</v>
      </c>
      <c r="BQ1766"/>
      <c r="BR1766"/>
      <c r="BS1766"/>
      <c r="BT1766"/>
      <c r="BU1766"/>
      <c r="BV1766">
        <v>2718160</v>
      </c>
      <c r="BW1766" t="inlineStr">
        <is>
          <t>No Answer : Voicemail - WA sent to customer</t>
        </is>
      </c>
      <c r="BX1766"/>
      <c r="BY1766"/>
      <c r="BZ1766" s="4"/>
      <c r="CA1766"/>
      <c r="CB1766"/>
      <c r="CC1766" s="4"/>
      <c r="CD1766" t="inlineStr">
        <is>
          <t>20</t>
        </is>
      </c>
      <c r="CE1766" t="inlineStr">
        <is>
          <t>0</t>
        </is>
      </c>
      <c r="CF1766" t="inlineStr">
        <is>
          <t>Q2-W02</t>
        </is>
      </c>
      <c r="CG1766"/>
      <c r="CH1766"/>
      <c r="CI1766"/>
      <c r="CJ1766" t="inlineStr">
        <is>
          <t>No Paid</t>
        </is>
      </c>
      <c r="CK1766" t="inlineStr">
        <is>
          <t>Not Eligible</t>
        </is>
      </c>
      <c r="CL1766"/>
      <c r="CM1766"/>
    </row>
    <row r="1767" ht="25.5" customHeight="1">
      <c r="A1767" t="inlineStr">
        <is>
          <t>4265133</t>
        </is>
      </c>
      <c r="B1767" s="2"/>
      <c r="C1767"/>
      <c r="D1767" s="3">
        <v>46122.68545138889</v>
      </c>
      <c r="E1767" t="inlineStr">
        <is>
          <t>Q2-W02</t>
        </is>
      </c>
      <c r="F1767" t="inlineStr">
        <is>
          <t>Evan</t>
        </is>
      </c>
      <c r="G1767" t="inlineStr">
        <is>
          <t>Lead</t>
        </is>
      </c>
      <c r="H1767" s="2" t="str">
        <f>=HYPERLINK("https://upbox.ajobthing.my/leads/4265133", "https://upbox.ajobthing.my/leads/4265133")</f>
        <v>https://upbox.ajobthing.my/leads/4265133</v>
      </c>
      <c r="I1767" t="inlineStr">
        <is>
          <t>Softgridinc Pte. Ltd.</t>
        </is>
      </c>
      <c r="J1767" t="inlineStr">
        <is>
          <t>Small Fish</t>
        </is>
      </c>
      <c r="K1767" t="inlineStr">
        <is>
          <t>Evan</t>
        </is>
      </c>
      <c r="L1767" s="4"/>
      <c r="M1767" s="4">
        <v>46122.68405092593</v>
      </c>
      <c r="N1767"/>
      <c r="O1767">
        <v>3888</v>
      </c>
      <c r="P1767" s="4"/>
      <c r="Q1767" s="4"/>
      <c r="R1767"/>
      <c r="S1767"/>
      <c r="T1767" s="4"/>
      <c r="U1767" s="4"/>
      <c r="V1767"/>
      <c r="W1767"/>
      <c r="X1767"/>
      <c r="Y1767" t="inlineStr">
        <is>
          <t>Pending Appointment</t>
        </is>
      </c>
      <c r="Z1767" t="inlineStr">
        <is>
          <t>Hiring Now</t>
        </is>
      </c>
      <c r="AA1767">
        <v>1</v>
      </c>
      <c r="AB1767" t="inlineStr">
        <is>
          <t>No Appointment Made</t>
        </is>
      </c>
      <c r="AC1767"/>
      <c r="AD1767" t="inlineStr">
        <is>
          <t>1 admin, all base in SG</t>
        </is>
      </c>
      <c r="AE1767"/>
      <c r="AF1767">
        <v>1</v>
      </c>
      <c r="AG1767" s="4"/>
      <c r="AH1767" s="4"/>
      <c r="AI1767">
        <v>1</v>
      </c>
      <c r="AJ1767">
        <v>1</v>
      </c>
      <c r="AK1767" t="inlineStr">
        <is>
          <t>No, I don't need at all</t>
        </is>
      </c>
      <c r="AL1767">
        <v>1</v>
      </c>
      <c r="AM1767" t="inlineStr">
        <is>
          <t>No, I don't need at all</t>
        </is>
      </c>
      <c r="AN1767"/>
      <c r="AO1767" t="inlineStr">
        <is>
          <t>No, I don't need at all</t>
        </is>
      </c>
      <c r="AP1767" t="inlineStr">
        <is>
          <t>Once a year (25%)</t>
        </is>
      </c>
      <c r="AQ1767">
        <v>1</v>
      </c>
      <c r="AR1767" t="inlineStr">
        <is>
          <t>Did not use any job portal</t>
        </is>
      </c>
      <c r="AS1767" t="inlineStr">
        <is>
          <t>- Headcount: 1
- Hiring Job Details: 1 admin, all base in SG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AT1767">
        <v>110</v>
      </c>
      <c r="AU1767" t="inlineStr">
        <is>
          <t>1.10</t>
        </is>
      </c>
      <c r="AV1767" t="inlineStr">
        <is>
          <t>15</t>
        </is>
      </c>
      <c r="AW1767" t="inlineStr">
        <is>
          <t>0</t>
        </is>
      </c>
      <c r="AX1767" t="inlineStr">
        <is>
          <t>Not Qualified</t>
        </is>
      </c>
      <c r="AY1767" s="4"/>
      <c r="AZ1767"/>
      <c r="BA1767"/>
      <c r="BB1767"/>
      <c r="BC1767"/>
      <c r="BD1767" s="4"/>
      <c r="BE1767"/>
      <c r="BF1767"/>
      <c r="BG1767" t="inlineStr">
        <is>
          <t>Reschedule</t>
        </is>
      </c>
      <c r="BH1767" t="inlineStr">
        <is>
          <t>Edward Hoo</t>
        </is>
      </c>
      <c r="BI1767"/>
      <c r="BJ1767" s="4">
        <v>46144.75578703704</v>
      </c>
      <c r="BK1767" s="4">
        <v>46121.639444444445</v>
      </c>
      <c r="BL1767" t="inlineStr">
        <is>
          <t>0.0</t>
        </is>
      </c>
      <c r="BM1767" t="inlineStr">
        <is>
          <t>0.0</t>
        </is>
      </c>
      <c r="BN1767"/>
      <c r="BO1767" s="4"/>
      <c r="BP1767">
        <v>166516</v>
      </c>
      <c r="BQ1767"/>
      <c r="BR1767"/>
      <c r="BS1767"/>
      <c r="BT1767"/>
      <c r="BU1767"/>
      <c r="BV1767"/>
      <c r="BW1767"/>
      <c r="BX1767"/>
      <c r="BY1767"/>
      <c r="BZ1767" s="4"/>
      <c r="CA1767"/>
      <c r="CB1767"/>
      <c r="CC1767" s="4"/>
      <c r="CD1767" t="inlineStr">
        <is>
          <t>20</t>
        </is>
      </c>
      <c r="CE1767" t="inlineStr">
        <is>
          <t>0</t>
        </is>
      </c>
      <c r="CF1767" t="inlineStr">
        <is>
          <t>Q2-W02</t>
        </is>
      </c>
      <c r="CG1767"/>
      <c r="CH1767"/>
      <c r="CI1767"/>
      <c r="CJ1767" t="inlineStr">
        <is>
          <t>No Paid</t>
        </is>
      </c>
      <c r="CK1767" t="inlineStr">
        <is>
          <t>Not Eligible</t>
        </is>
      </c>
      <c r="CL1767"/>
      <c r="CM1767"/>
    </row>
    <row r="1768" ht="25.5" customHeight="1">
      <c r="A1768" t="inlineStr">
        <is>
          <t>166980</t>
        </is>
      </c>
      <c r="B1768" s="2"/>
      <c r="C1768"/>
      <c r="D1768" s="3">
        <v>46122.6872337963</v>
      </c>
      <c r="E1768" t="inlineStr">
        <is>
          <t>Q2-W02</t>
        </is>
      </c>
      <c r="F1768" t="inlineStr">
        <is>
          <t>Luqman</t>
        </is>
      </c>
      <c r="G1768" t="inlineStr">
        <is>
          <t>Customer</t>
        </is>
      </c>
      <c r="H1768" s="2" t="str">
        <f>=HYPERLINK("https://upbox.ajobthing.my/customer/166980", "https://upbox.ajobthing.my/customer/166980")</f>
        <v>https://upbox.ajobthing.my/customer/166980</v>
      </c>
      <c r="I1768" t="inlineStr">
        <is>
          <t>Nikmat Cuisine Ria</t>
        </is>
      </c>
      <c r="J1768" t="inlineStr">
        <is>
          <t>Small Fish</t>
        </is>
      </c>
      <c r="K1768" t="inlineStr">
        <is>
          <t>Luqman</t>
        </is>
      </c>
      <c r="L1768" s="4"/>
      <c r="M1768" s="4">
        <v>46127.67795138889</v>
      </c>
      <c r="N1768"/>
      <c r="O1768">
        <v>864</v>
      </c>
      <c r="P1768" s="4"/>
      <c r="Q1768" s="4">
        <v>46133.55253472222</v>
      </c>
      <c r="R1768"/>
      <c r="S1768">
        <v>864</v>
      </c>
      <c r="T1768" s="4"/>
      <c r="U1768" s="4"/>
      <c r="V1768"/>
      <c r="W1768"/>
      <c r="X1768"/>
      <c r="Y1768" t="inlineStr">
        <is>
          <t>Pending Appointment</t>
        </is>
      </c>
      <c r="Z1768" t="inlineStr">
        <is>
          <t>Hiring Later</t>
        </is>
      </c>
      <c r="AA1768">
        <v>1</v>
      </c>
      <c r="AB1768" t="inlineStr">
        <is>
          <t>No Appointment Made</t>
        </is>
      </c>
      <c r="AC1768"/>
      <c r="AD1768" t="inlineStr">
        <is>
          <t>1. Head Chef</t>
        </is>
      </c>
      <c r="AE1768"/>
      <c r="AF1768">
        <v>1200</v>
      </c>
      <c r="AG1768" s="4"/>
      <c r="AH1768" s="4"/>
      <c r="AI1768">
        <v>1200</v>
      </c>
      <c r="AJ1768"/>
      <c r="AK1768" t="inlineStr">
        <is>
          <t>No, but I want in future</t>
        </is>
      </c>
      <c r="AL1768">
        <v>1</v>
      </c>
      <c r="AM1768" t="inlineStr">
        <is>
          <t>No, I don't need at all</t>
        </is>
      </c>
      <c r="AN1768"/>
      <c r="AO1768" t="inlineStr">
        <is>
          <t>No, I don't need at all</t>
        </is>
      </c>
      <c r="AP1768" t="inlineStr">
        <is>
          <t>Once a year (25%)</t>
        </is>
      </c>
      <c r="AQ1768">
        <v>2</v>
      </c>
      <c r="AR1768" t="inlineStr">
        <is>
          <t>Free Job Portal</t>
        </is>
      </c>
      <c r="AS1768" t="inlineStr">
        <is>
          <t>- Headcount: 1
- Hiring Job Details: 1 Head Chef
- Hiring Urgency: Hiring Later
- Number of outlets: 
- Have recruiter team: No, but I want in future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is>
      </c>
      <c r="AT1768">
        <v>90</v>
      </c>
      <c r="AU1768" t="inlineStr">
        <is>
          <t>0.90</t>
        </is>
      </c>
      <c r="AV1768" t="inlineStr">
        <is>
          <t>15</t>
        </is>
      </c>
      <c r="AW1768" t="inlineStr">
        <is>
          <t>0</t>
        </is>
      </c>
      <c r="AX1768" t="inlineStr">
        <is>
          <t>Not Qualified</t>
        </is>
      </c>
      <c r="AY1768" s="4"/>
      <c r="AZ1768"/>
      <c r="BA1768"/>
      <c r="BB1768"/>
      <c r="BC1768" t="inlineStr">
        <is>
          <t>Hiring on hold</t>
        </is>
      </c>
      <c r="BD1768" s="4">
        <v>46141.46574074074</v>
      </c>
      <c r="BE1768" t="inlineStr">
        <is>
          <t>pending</t>
        </is>
      </c>
      <c r="BF1768"/>
      <c r="BG1768" t="inlineStr">
        <is>
          <t>Reschedule</t>
        </is>
      </c>
      <c r="BH1768" t="inlineStr">
        <is>
          <t>Edward Hoo</t>
        </is>
      </c>
      <c r="BI1768" t="inlineStr">
        <is>
          <t>Manufacturing / Production</t>
        </is>
      </c>
      <c r="BJ1768" s="4">
        <v>46144.751296296294</v>
      </c>
      <c r="BK1768" s="4">
        <v>45058.60472222222</v>
      </c>
      <c r="BL1768" t="inlineStr">
        <is>
          <t>0.0</t>
        </is>
      </c>
      <c r="BM1768" t="inlineStr">
        <is>
          <t>0.0</t>
        </is>
      </c>
      <c r="BN1768" t="inlineStr">
        <is>
          <t>View Company Page</t>
        </is>
      </c>
      <c r="BO1768" s="4">
        <v>46087.67873842592</v>
      </c>
      <c r="BP1768">
        <v>167237</v>
      </c>
      <c r="BQ1768">
        <v>123433</v>
      </c>
      <c r="BR1768" t="inlineStr">
        <is>
          <t>Proforma</t>
        </is>
      </c>
      <c r="BS1768" t="inlineStr">
        <is>
          <t>AI Ala Carte (Jan 26)</t>
        </is>
      </c>
      <c r="BT1768"/>
      <c r="BU1768"/>
      <c r="BV1768">
        <v>2734659</v>
      </c>
      <c r="BW1768" t="inlineStr">
        <is>
          <t>Follow Up : Lost - Free Portal</t>
        </is>
      </c>
      <c r="BX1768"/>
      <c r="BY1768"/>
      <c r="BZ1768" s="4"/>
      <c r="CA1768"/>
      <c r="CB1768"/>
      <c r="CC1768" s="4"/>
      <c r="CD1768" t="inlineStr">
        <is>
          <t>20</t>
        </is>
      </c>
      <c r="CE1768" t="inlineStr">
        <is>
          <t>0</t>
        </is>
      </c>
      <c r="CF1768" t="inlineStr">
        <is>
          <t>Q2-W02</t>
        </is>
      </c>
      <c r="CG1768" t="inlineStr">
        <is>
          <t>Q2-W03</t>
        </is>
      </c>
      <c r="CH1768"/>
      <c r="CI1768"/>
      <c r="CJ1768" t="inlineStr">
        <is>
          <t>No Paid</t>
        </is>
      </c>
      <c r="CK1768" t="inlineStr">
        <is>
          <t>Not Eligible</t>
        </is>
      </c>
      <c r="CL1768"/>
      <c r="CM1768"/>
    </row>
    <row r="1769" ht="25.5" customHeight="1">
      <c r="A1769" t="inlineStr">
        <is>
          <t>166980</t>
        </is>
      </c>
      <c r="B1769" s="2"/>
      <c r="C1769"/>
      <c r="D1769" s="3">
        <v>46122.688414351855</v>
      </c>
      <c r="E1769" t="inlineStr">
        <is>
          <t>Q2-W02</t>
        </is>
      </c>
      <c r="F1769" t="inlineStr">
        <is>
          <t>Luqman</t>
        </is>
      </c>
      <c r="G1769" t="inlineStr">
        <is>
          <t>Customer</t>
        </is>
      </c>
      <c r="H1769" s="2" t="str">
        <f>=HYPERLINK("https://upbox.ajobthing.my/customer/166980", "https://upbox.ajobthing.my/customer/166980")</f>
        <v>https://upbox.ajobthing.my/customer/166980</v>
      </c>
      <c r="I1769" t="inlineStr">
        <is>
          <t>Nikmat Cuisine Ria</t>
        </is>
      </c>
      <c r="J1769" t="inlineStr">
        <is>
          <t>Small Fish</t>
        </is>
      </c>
      <c r="K1769" t="inlineStr">
        <is>
          <t>Luqman</t>
        </is>
      </c>
      <c r="L1769" s="4"/>
      <c r="M1769" s="4">
        <v>46127.67795138889</v>
      </c>
      <c r="N1769"/>
      <c r="O1769">
        <v>864</v>
      </c>
      <c r="P1769" s="4"/>
      <c r="Q1769" s="4">
        <v>46133.55253472222</v>
      </c>
      <c r="R1769"/>
      <c r="S1769">
        <v>864</v>
      </c>
      <c r="T1769" s="4"/>
      <c r="U1769" s="4"/>
      <c r="V1769"/>
      <c r="W1769"/>
      <c r="X1769"/>
      <c r="Y1769" t="inlineStr">
        <is>
          <t>Pending Appointment</t>
        </is>
      </c>
      <c r="Z1769" t="inlineStr">
        <is>
          <t>Hiring Later</t>
        </is>
      </c>
      <c r="AA1769">
        <v>1</v>
      </c>
      <c r="AB1769" t="inlineStr">
        <is>
          <t>No Appointment Made</t>
        </is>
      </c>
      <c r="AC1769"/>
      <c r="AD1769" t="inlineStr">
        <is>
          <t xml:space="preserve">1. Head Chef </t>
        </is>
      </c>
      <c r="AE1769"/>
      <c r="AF1769">
        <v>1200</v>
      </c>
      <c r="AG1769" s="4"/>
      <c r="AH1769" s="4"/>
      <c r="AI1769">
        <v>1200</v>
      </c>
      <c r="AJ1769"/>
      <c r="AK1769" t="inlineStr">
        <is>
          <t>No, I don't need at all</t>
        </is>
      </c>
      <c r="AL1769">
        <v>1</v>
      </c>
      <c r="AM1769" t="inlineStr">
        <is>
          <t>No, I don't need at all</t>
        </is>
      </c>
      <c r="AN1769"/>
      <c r="AO1769" t="inlineStr">
        <is>
          <t>No, I don't need at all</t>
        </is>
      </c>
      <c r="AP1769" t="inlineStr">
        <is>
          <t>Once a year (25%)</t>
        </is>
      </c>
      <c r="AQ1769">
        <v>2</v>
      </c>
      <c r="AR1769" t="inlineStr">
        <is>
          <t>Free Job Portal</t>
        </is>
      </c>
      <c r="AS1769" t="inlineStr">
        <is>
          <t>- Headcount: 1
- Hiring Job Details: 1 Head Chef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is>
      </c>
      <c r="AT1769">
        <v>105</v>
      </c>
      <c r="AU1769" t="inlineStr">
        <is>
          <t>1.05</t>
        </is>
      </c>
      <c r="AV1769" t="inlineStr">
        <is>
          <t>15</t>
        </is>
      </c>
      <c r="AW1769" t="inlineStr">
        <is>
          <t>0</t>
        </is>
      </c>
      <c r="AX1769" t="inlineStr">
        <is>
          <t>Not Qualified</t>
        </is>
      </c>
      <c r="AY1769" s="4"/>
      <c r="AZ1769"/>
      <c r="BA1769"/>
      <c r="BB1769"/>
      <c r="BC1769" t="inlineStr">
        <is>
          <t>Hiring on hold</t>
        </is>
      </c>
      <c r="BD1769" s="4">
        <v>46141.46574074074</v>
      </c>
      <c r="BE1769" t="inlineStr">
        <is>
          <t>pending</t>
        </is>
      </c>
      <c r="BF1769"/>
      <c r="BG1769" t="inlineStr">
        <is>
          <t>Reschedule</t>
        </is>
      </c>
      <c r="BH1769" t="inlineStr">
        <is>
          <t>Edward Hoo</t>
        </is>
      </c>
      <c r="BI1769" t="inlineStr">
        <is>
          <t>Manufacturing / Production</t>
        </is>
      </c>
      <c r="BJ1769" s="4">
        <v>46142.813796296294</v>
      </c>
      <c r="BK1769" s="4">
        <v>45058.60472222222</v>
      </c>
      <c r="BL1769" t="inlineStr">
        <is>
          <t>0.0</t>
        </is>
      </c>
      <c r="BM1769" t="inlineStr">
        <is>
          <t>0.0</t>
        </is>
      </c>
      <c r="BN1769" t="inlineStr">
        <is>
          <t>View Company Page</t>
        </is>
      </c>
      <c r="BO1769" s="4">
        <v>46087.67873842592</v>
      </c>
      <c r="BP1769">
        <v>167237</v>
      </c>
      <c r="BQ1769">
        <v>123433</v>
      </c>
      <c r="BR1769" t="inlineStr">
        <is>
          <t>Proforma</t>
        </is>
      </c>
      <c r="BS1769" t="inlineStr">
        <is>
          <t>AI Ala Carte (Jan 26)</t>
        </is>
      </c>
      <c r="BT1769"/>
      <c r="BU1769"/>
      <c r="BV1769">
        <v>2734659</v>
      </c>
      <c r="BW1769" t="inlineStr">
        <is>
          <t>Follow Up : Lost - Free Portal</t>
        </is>
      </c>
      <c r="BX1769"/>
      <c r="BY1769"/>
      <c r="BZ1769" s="4"/>
      <c r="CA1769"/>
      <c r="CB1769"/>
      <c r="CC1769" s="4"/>
      <c r="CD1769" t="inlineStr">
        <is>
          <t>20</t>
        </is>
      </c>
      <c r="CE1769" t="inlineStr">
        <is>
          <t>0</t>
        </is>
      </c>
      <c r="CF1769" t="inlineStr">
        <is>
          <t>Q2-W02</t>
        </is>
      </c>
      <c r="CG1769" t="inlineStr">
        <is>
          <t>Q2-W03</t>
        </is>
      </c>
      <c r="CH1769"/>
      <c r="CI1769"/>
      <c r="CJ1769" t="inlineStr">
        <is>
          <t>No Paid</t>
        </is>
      </c>
      <c r="CK1769" t="inlineStr">
        <is>
          <t>Not Eligible</t>
        </is>
      </c>
      <c r="CL1769"/>
      <c r="CM1769"/>
    </row>
    <row r="1770" ht="25.5" customHeight="1">
      <c r="A1770" t="inlineStr">
        <is>
          <t>203095</t>
        </is>
      </c>
      <c r="B1770" s="2"/>
      <c r="C1770"/>
      <c r="D1770" s="3">
        <v>46122.69013888889</v>
      </c>
      <c r="E1770" t="inlineStr">
        <is>
          <t>Q2-W02</t>
        </is>
      </c>
      <c r="F1770" t="inlineStr">
        <is>
          <t>Eugene</t>
        </is>
      </c>
      <c r="G1770" t="inlineStr">
        <is>
          <t>Customer</t>
        </is>
      </c>
      <c r="H1770" s="2" t="str">
        <f>=HYPERLINK("https://upbox.ajobthing.my/customer/203095", "https://upbox.ajobthing.my/customer/203095")</f>
        <v>https://upbox.ajobthing.my/customer/203095</v>
      </c>
      <c r="I1770" t="inlineStr">
        <is>
          <t>JAYA HENG CONSTRUCTION SDN BHD</t>
        </is>
      </c>
      <c r="J1770" t="inlineStr">
        <is>
          <t>Small Fish</t>
        </is>
      </c>
      <c r="K1770" t="inlineStr">
        <is>
          <t>Eugene</t>
        </is>
      </c>
      <c r="L1770" s="4"/>
      <c r="M1770" s="4">
        <v>46122.30194444444</v>
      </c>
      <c r="N1770"/>
      <c r="O1770">
        <v>3888</v>
      </c>
      <c r="P1770" s="4"/>
      <c r="Q1770" s="4">
        <v>46129.82104166667</v>
      </c>
      <c r="R1770"/>
      <c r="S1770">
        <v>864</v>
      </c>
      <c r="T1770" s="4">
        <v>46129.82104166667</v>
      </c>
      <c r="U1770" s="4"/>
      <c r="V1770"/>
      <c r="W1770">
        <v>864</v>
      </c>
      <c r="X1770"/>
      <c r="Y1770" t="inlineStr">
        <is>
          <t>Pending Appointment</t>
        </is>
      </c>
      <c r="Z1770" t="inlineStr">
        <is>
          <t>Hiring Now</t>
        </is>
      </c>
      <c r="AA1770">
        <v>2</v>
      </c>
      <c r="AB1770" t="inlineStr">
        <is>
          <t>No Appointment Made</t>
        </is>
      </c>
      <c r="AC1770"/>
      <c r="AD1770" t="inlineStr">
        <is>
          <t>2 site supervisor, based in KL</t>
        </is>
      </c>
      <c r="AE1770"/>
      <c r="AF1770">
        <v>3000</v>
      </c>
      <c r="AG1770" s="4"/>
      <c r="AH1770" s="4"/>
      <c r="AI1770">
        <v>3000</v>
      </c>
      <c r="AJ1770">
        <v>1</v>
      </c>
      <c r="AK1770" t="inlineStr">
        <is>
          <t>No, I don't need at all</t>
        </is>
      </c>
      <c r="AL1770">
        <v>1</v>
      </c>
      <c r="AM1770" t="inlineStr">
        <is>
          <t>No, I don't need at all</t>
        </is>
      </c>
      <c r="AN1770"/>
      <c r="AO1770" t="inlineStr">
        <is>
          <t>No, I don't need at all</t>
        </is>
      </c>
      <c r="AP1770" t="inlineStr">
        <is>
          <t>Twice a year (50%)</t>
        </is>
      </c>
      <c r="AQ1770">
        <v>4</v>
      </c>
      <c r="AR1770" t="inlineStr">
        <is>
          <t>Free Job Portal, Jobstreet</t>
        </is>
      </c>
      <c r="AS1770" t="inlineStr">
        <is>
          <t>- Headcount: 2
- Hiring Job Details: 2 site supervisor,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Portal,Jobstreet</t>
        </is>
      </c>
      <c r="AT1770">
        <v>115</v>
      </c>
      <c r="AU1770" t="inlineStr">
        <is>
          <t>1.15</t>
        </is>
      </c>
      <c r="AV1770" t="inlineStr">
        <is>
          <t>15</t>
        </is>
      </c>
      <c r="AW1770" t="inlineStr">
        <is>
          <t>0</t>
        </is>
      </c>
      <c r="AX1770" t="inlineStr">
        <is>
          <t>Not Qualified</t>
        </is>
      </c>
      <c r="AY1770" s="4"/>
      <c r="AZ1770"/>
      <c r="BA1770"/>
      <c r="BB1770"/>
      <c r="BC1770" t="inlineStr">
        <is>
          <t>servcicing</t>
        </is>
      </c>
      <c r="BD1770" s="4">
        <v>46132.673483796294</v>
      </c>
      <c r="BE1770" t="inlineStr">
        <is>
          <t>paid</t>
        </is>
      </c>
      <c r="BF1770" t="inlineStr">
        <is>
          <t>Q2-W03</t>
        </is>
      </c>
      <c r="BG1770" t="inlineStr">
        <is>
          <t>Reschedule</t>
        </is>
      </c>
      <c r="BH1770" t="inlineStr">
        <is>
          <t>Edward Hoo</t>
        </is>
      </c>
      <c r="BI1770"/>
      <c r="BJ1770" s="4">
        <v>46144.754212962966</v>
      </c>
      <c r="BK1770" s="4">
        <v>46122.6352662037</v>
      </c>
      <c r="BL1770" t="inlineStr">
        <is>
          <t>864.0</t>
        </is>
      </c>
      <c r="BM1770" t="inlineStr">
        <is>
          <t>0.0</t>
        </is>
      </c>
      <c r="BN1770" t="inlineStr">
        <is>
          <t>View Company Page</t>
        </is>
      </c>
      <c r="BO1770" s="4">
        <v>46142.68069444445</v>
      </c>
      <c r="BP1770">
        <v>166468</v>
      </c>
      <c r="BQ1770">
        <v>94158</v>
      </c>
      <c r="BR1770" t="inlineStr">
        <is>
          <t>Online</t>
        </is>
      </c>
      <c r="BS1770"/>
      <c r="BT1770">
        <v>94158</v>
      </c>
      <c r="BU1770"/>
      <c r="BV1770">
        <v>2716216</v>
      </c>
      <c r="BW1770" t="inlineStr">
        <is>
          <t>Service / Technical : Help To Post Job</t>
        </is>
      </c>
      <c r="BX1770">
        <v>1</v>
      </c>
      <c r="BY1770">
        <v>0</v>
      </c>
      <c r="BZ1770" s="4">
        <v>46132.411516203705</v>
      </c>
      <c r="CA1770">
        <v>23</v>
      </c>
      <c r="CB1770">
        <v>9</v>
      </c>
      <c r="CC1770" s="4">
        <v>46140.59939814815</v>
      </c>
      <c r="CD1770" t="inlineStr">
        <is>
          <t>20</t>
        </is>
      </c>
      <c r="CE1770" t="inlineStr">
        <is>
          <t>0</t>
        </is>
      </c>
      <c r="CF1770" t="inlineStr">
        <is>
          <t>Q2-W02</t>
        </is>
      </c>
      <c r="CG1770" t="inlineStr">
        <is>
          <t>Q2-W03</t>
        </is>
      </c>
      <c r="CH1770" t="inlineStr">
        <is>
          <t>Q2-W03</t>
        </is>
      </c>
      <c r="CI1770"/>
      <c r="CJ1770" t="inlineStr">
        <is>
          <t>Paid</t>
        </is>
      </c>
      <c r="CK1770" t="inlineStr">
        <is>
          <t>Not Eligible</t>
        </is>
      </c>
      <c r="CL1770"/>
      <c r="CM1770"/>
    </row>
    <row r="1771" ht="25.5" customHeight="1">
      <c r="A1771" t="inlineStr">
        <is>
          <t>190862</t>
        </is>
      </c>
      <c r="B1771" s="2"/>
      <c r="C1771"/>
      <c r="D1771" s="3">
        <v>46122.693240740744</v>
      </c>
      <c r="E1771" t="inlineStr">
        <is>
          <t>Q2-W02</t>
        </is>
      </c>
      <c r="F1771" t="inlineStr">
        <is>
          <t>Xin Hui</t>
        </is>
      </c>
      <c r="G1771" t="inlineStr">
        <is>
          <t>Customer</t>
        </is>
      </c>
      <c r="H1771" s="2" t="str">
        <f>=HYPERLINK("https://upbox.ajobthing.my/customer/190862", "https://upbox.ajobthing.my/customer/190862")</f>
        <v>https://upbox.ajobthing.my/customer/190862</v>
      </c>
      <c r="I1771" t="inlineStr">
        <is>
          <t>Ted Optimus Sdn Bhd</t>
        </is>
      </c>
      <c r="J1771" t="inlineStr">
        <is>
          <t>Small Fish</t>
        </is>
      </c>
      <c r="K1771" t="inlineStr">
        <is>
          <t>Xin Hui</t>
        </is>
      </c>
      <c r="L1771" s="4"/>
      <c r="M1771" s="4">
        <v>46122.69980324074</v>
      </c>
      <c r="N1771"/>
      <c r="O1771">
        <v>3888</v>
      </c>
      <c r="P1771" s="4"/>
      <c r="Q1771" s="4"/>
      <c r="R1771"/>
      <c r="S1771"/>
      <c r="T1771" s="4"/>
      <c r="U1771" s="4"/>
      <c r="V1771"/>
      <c r="W1771"/>
      <c r="X1771"/>
      <c r="Y1771" t="inlineStr">
        <is>
          <t>Pending Appointment</t>
        </is>
      </c>
      <c r="Z1771" t="inlineStr">
        <is>
          <t>Hiring Now</t>
        </is>
      </c>
      <c r="AA1771">
        <v>2</v>
      </c>
      <c r="AB1771" t="inlineStr">
        <is>
          <t>No Appointment Made</t>
        </is>
      </c>
      <c r="AC1771"/>
      <c r="AD1771" t="inlineStr">
        <is>
          <t>sales x2</t>
        </is>
      </c>
      <c r="AE1771"/>
      <c r="AF1771">
        <v>0</v>
      </c>
      <c r="AG1771" s="4"/>
      <c r="AH1771" s="4"/>
      <c r="AI1771"/>
      <c r="AJ1771"/>
      <c r="AK1771" t="inlineStr">
        <is>
          <t>No, I don't need at all</t>
        </is>
      </c>
      <c r="AL1771">
        <v>0</v>
      </c>
      <c r="AM1771" t="inlineStr">
        <is>
          <t>No, I don't need at all</t>
        </is>
      </c>
      <c r="AN1771"/>
      <c r="AO1771" t="inlineStr">
        <is>
          <t>No, I don't need at all</t>
        </is>
      </c>
      <c r="AP1771" t="inlineStr">
        <is>
          <t>Once a year (25%)</t>
        </is>
      </c>
      <c r="AQ1771"/>
      <c r="AR1771" t="inlineStr">
        <is>
          <t>Jobstreet</t>
        </is>
      </c>
      <c r="AS1771" t="inlineStr">
        <is>
          <t>- Headcount: 2
- Hiring Job Details: sales x2
- Number of outlets: Not specified
- Have recruiter team: No, I don't need at all
- Number of recruiter in company: 0
- Have ATS system: No, I don't need at all
- Have career website: No, I don't need at all
- Current hiring budget: RM0.00
- Whole year budget: Not specified
- Whole year number of vacancies: Not specified
- Hiring frequency: Once a year (25%)
- External job portal: Jobstreet
- Hiring Urgency: Hiring Now</t>
        </is>
      </c>
      <c r="AT1771">
        <v>95</v>
      </c>
      <c r="AU1771" t="inlineStr">
        <is>
          <t>0.95</t>
        </is>
      </c>
      <c r="AV1771" t="inlineStr">
        <is>
          <t>15</t>
        </is>
      </c>
      <c r="AW1771" t="inlineStr">
        <is>
          <t>0</t>
        </is>
      </c>
      <c r="AX1771" t="inlineStr">
        <is>
          <t>Not Qualified</t>
        </is>
      </c>
      <c r="AY1771" s="4"/>
      <c r="AZ1771"/>
      <c r="BA1771"/>
      <c r="BB1771"/>
      <c r="BC1771" t="inlineStr">
        <is>
          <t>budget concern // currently no need // busy and hang up</t>
        </is>
      </c>
      <c r="BD1771" s="4">
        <v>46129.49488425926</v>
      </c>
      <c r="BE1771"/>
      <c r="BF1771"/>
      <c r="BG1771" t="inlineStr">
        <is>
          <t>Reschedule</t>
        </is>
      </c>
      <c r="BH1771" t="inlineStr">
        <is>
          <t>Yee Hang</t>
        </is>
      </c>
      <c r="BI1771"/>
      <c r="BJ1771" s="4">
        <v>46144.75237268519</v>
      </c>
      <c r="BK1771" s="4">
        <v>45782.97837962963</v>
      </c>
      <c r="BL1771" t="inlineStr">
        <is>
          <t>0.0</t>
        </is>
      </c>
      <c r="BM1771" t="inlineStr">
        <is>
          <t>0.0</t>
        </is>
      </c>
      <c r="BN1771" t="inlineStr">
        <is>
          <t>View Company Page</t>
        </is>
      </c>
      <c r="BO1771" s="4">
        <v>45782.98122685185</v>
      </c>
      <c r="BP1771">
        <v>166527</v>
      </c>
      <c r="BQ1771"/>
      <c r="BR1771"/>
      <c r="BS1771"/>
      <c r="BT1771"/>
      <c r="BU1771"/>
      <c r="BV1771">
        <v>2711677</v>
      </c>
      <c r="BW1771" t="inlineStr">
        <is>
          <t>Follow Up : Budget Concern</t>
        </is>
      </c>
      <c r="BX1771"/>
      <c r="BY1771"/>
      <c r="BZ1771" s="4"/>
      <c r="CA1771"/>
      <c r="CB1771"/>
      <c r="CC1771" s="4"/>
      <c r="CD1771" t="inlineStr">
        <is>
          <t>20</t>
        </is>
      </c>
      <c r="CE1771" t="inlineStr">
        <is>
          <t>0</t>
        </is>
      </c>
      <c r="CF1771" t="inlineStr">
        <is>
          <t>Q2-W02</t>
        </is>
      </c>
      <c r="CG1771"/>
      <c r="CH1771"/>
      <c r="CI1771"/>
      <c r="CJ1771" t="inlineStr">
        <is>
          <t>No Paid</t>
        </is>
      </c>
      <c r="CK1771" t="inlineStr">
        <is>
          <t>Not Eligible</t>
        </is>
      </c>
      <c r="CL1771"/>
      <c r="CM1771"/>
    </row>
    <row r="1772" ht="25.5" customHeight="1">
      <c r="A1772" t="inlineStr">
        <is>
          <t>146918</t>
        </is>
      </c>
      <c r="B1772" s="2"/>
      <c r="C1772"/>
      <c r="D1772" s="3">
        <v>46122.699467592596</v>
      </c>
      <c r="E1772" t="inlineStr">
        <is>
          <t>Q2-W02</t>
        </is>
      </c>
      <c r="F1772" t="inlineStr">
        <is>
          <t>Jia Hui</t>
        </is>
      </c>
      <c r="G1772" t="inlineStr">
        <is>
          <t>Customer</t>
        </is>
      </c>
      <c r="H1772" s="2" t="str">
        <f>=HYPERLINK("https://upbox.ajobthing.my/customer/146918", "https://upbox.ajobthing.my/customer/146918")</f>
        <v>https://upbox.ajobthing.my/customer/146918</v>
      </c>
      <c r="I1772" t="inlineStr">
        <is>
          <t>Cosmos Integrity Engineering Sdn Bhd</t>
        </is>
      </c>
      <c r="J1772" t="inlineStr">
        <is>
          <t>Small Fish</t>
        </is>
      </c>
      <c r="K1772" t="inlineStr">
        <is>
          <t>Jia Hui</t>
        </is>
      </c>
      <c r="L1772" s="4"/>
      <c r="M1772" s="4">
        <v>46122.699849537035</v>
      </c>
      <c r="N1772"/>
      <c r="O1772">
        <v>3888</v>
      </c>
      <c r="P1772" s="4"/>
      <c r="Q1772" s="4">
        <v>45491.413935185185</v>
      </c>
      <c r="R1772"/>
      <c r="S1772">
        <v>432</v>
      </c>
      <c r="T1772" s="4">
        <v>45491.413935185185</v>
      </c>
      <c r="U1772" s="4"/>
      <c r="V1772"/>
      <c r="W1772">
        <v>432</v>
      </c>
      <c r="X1772"/>
      <c r="Y1772" t="inlineStr">
        <is>
          <t>Pending Appointment</t>
        </is>
      </c>
      <c r="Z1772" t="inlineStr">
        <is>
          <t>Hiring Now</t>
        </is>
      </c>
      <c r="AA1772">
        <v>2</v>
      </c>
      <c r="AB1772" t="inlineStr">
        <is>
          <t>No Appointment Made</t>
        </is>
      </c>
      <c r="AC1772"/>
      <c r="AD1772" t="inlineStr">
        <is>
          <t>1 engineer and 1 sales admin</t>
        </is>
      </c>
      <c r="AE1772"/>
      <c r="AF1772">
        <v>500</v>
      </c>
      <c r="AG1772" s="4"/>
      <c r="AH1772" s="4"/>
      <c r="AI1772"/>
      <c r="AJ1772"/>
      <c r="AK1772" t="inlineStr">
        <is>
          <t>No, but I want in future</t>
        </is>
      </c>
      <c r="AL1772"/>
      <c r="AM1772"/>
      <c r="AN1772"/>
      <c r="AO1772"/>
      <c r="AP1772" t="inlineStr">
        <is>
          <t>Once a year (25%)</t>
        </is>
      </c>
      <c r="AQ1772"/>
      <c r="AR1772"/>
      <c r="AS1772" t="inlineStr">
        <is>
          <t>- Headcount: 2
- Hiring Job Details: 1 engineer and 1 sales admin
- Hiring Urgency: Hiring Now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is>
      </c>
      <c r="AT1772">
        <v>85</v>
      </c>
      <c r="AU1772" t="inlineStr">
        <is>
          <t>0.85</t>
        </is>
      </c>
      <c r="AV1772" t="inlineStr">
        <is>
          <t>15</t>
        </is>
      </c>
      <c r="AW1772" t="inlineStr">
        <is>
          <t>0</t>
        </is>
      </c>
      <c r="AX1772" t="inlineStr">
        <is>
          <t>Not Qualified</t>
        </is>
      </c>
      <c r="AY1772" s="4"/>
      <c r="AZ1772"/>
      <c r="BA1772"/>
      <c r="BB1772"/>
      <c r="BC1772" t="inlineStr">
        <is>
          <t>prefer free portal</t>
        </is>
      </c>
      <c r="BD1772" s="4">
        <v>46126.65892361111</v>
      </c>
      <c r="BE1772" t="inlineStr">
        <is>
          <t>paid</t>
        </is>
      </c>
      <c r="BF1772"/>
      <c r="BG1772" t="inlineStr">
        <is>
          <t>Reschedule</t>
        </is>
      </c>
      <c r="BH1772" t="inlineStr">
        <is>
          <t>Reagen</t>
        </is>
      </c>
      <c r="BI1772" t="inlineStr">
        <is>
          <t>Engineering / Technical Consulting</t>
        </is>
      </c>
      <c r="BJ1772" s="4">
        <v>46144.75077546296</v>
      </c>
      <c r="BK1772" s="4">
        <v>44572.400046296294</v>
      </c>
      <c r="BL1772" t="inlineStr">
        <is>
          <t>0.0</t>
        </is>
      </c>
      <c r="BM1772" t="inlineStr">
        <is>
          <t>0.0</t>
        </is>
      </c>
      <c r="BN1772" t="inlineStr">
        <is>
          <t>PA Visit - Applicant Manager</t>
        </is>
      </c>
      <c r="BO1772" s="4">
        <v>45531.374976851854</v>
      </c>
      <c r="BP1772">
        <v>166528</v>
      </c>
      <c r="BQ1772">
        <v>71157</v>
      </c>
      <c r="BR1772" t="inlineStr">
        <is>
          <t>Online</t>
        </is>
      </c>
      <c r="BS1772"/>
      <c r="BT1772">
        <v>71157</v>
      </c>
      <c r="BU1772"/>
      <c r="BV1772">
        <v>2704011</v>
      </c>
      <c r="BW1772" t="inlineStr">
        <is>
          <t>Follow Up : Lost - Free Portal</t>
        </is>
      </c>
      <c r="BX1772"/>
      <c r="BY1772"/>
      <c r="BZ1772" s="4"/>
      <c r="CA1772"/>
      <c r="CB1772"/>
      <c r="CC1772" s="4"/>
      <c r="CD1772" t="inlineStr">
        <is>
          <t>20</t>
        </is>
      </c>
      <c r="CE1772" t="inlineStr">
        <is>
          <t>0</t>
        </is>
      </c>
      <c r="CF1772" t="inlineStr">
        <is>
          <t>Q2-W02</t>
        </is>
      </c>
      <c r="CG1772"/>
      <c r="CH1772"/>
      <c r="CI1772"/>
      <c r="CJ1772" t="inlineStr">
        <is>
          <t>Paid</t>
        </is>
      </c>
      <c r="CK1772" t="inlineStr">
        <is>
          <t>Not Eligible</t>
        </is>
      </c>
      <c r="CL1772"/>
      <c r="CM1772"/>
    </row>
    <row r="1773" ht="25.5" customHeight="1">
      <c r="A1773" t="inlineStr">
        <is>
          <t>170671</t>
        </is>
      </c>
      <c r="B1773" s="2"/>
      <c r="C1773"/>
      <c r="D1773" s="3">
        <v>46122.700590277775</v>
      </c>
      <c r="E1773" t="inlineStr">
        <is>
          <t>Q2-W02</t>
        </is>
      </c>
      <c r="F1773" t="inlineStr">
        <is>
          <t>Derek Lim</t>
        </is>
      </c>
      <c r="G1773" t="inlineStr">
        <is>
          <t>Customer</t>
        </is>
      </c>
      <c r="H1773" s="2" t="str">
        <f>=HYPERLINK("https://upbox.ajobthing.my/customer/170671", "https://upbox.ajobthing.my/customer/170671")</f>
        <v>https://upbox.ajobthing.my/customer/170671</v>
      </c>
      <c r="I1773" t="inlineStr">
        <is>
          <t>Paksi Optometrist</t>
        </is>
      </c>
      <c r="J1773" t="inlineStr">
        <is>
          <t>Small Fish</t>
        </is>
      </c>
      <c r="K1773" t="inlineStr">
        <is>
          <t>Derek Lim</t>
        </is>
      </c>
      <c r="L1773" s="4"/>
      <c r="M1773" s="4">
        <v>46122.70071759259</v>
      </c>
      <c r="N1773"/>
      <c r="O1773">
        <v>6048</v>
      </c>
      <c r="P1773" s="4"/>
      <c r="Q1773" s="4">
        <v>45488.64319444444</v>
      </c>
      <c r="R1773"/>
      <c r="S1773">
        <v>540</v>
      </c>
      <c r="T1773" s="4">
        <v>45488.64319444444</v>
      </c>
      <c r="U1773" s="4"/>
      <c r="V1773"/>
      <c r="W1773">
        <v>540</v>
      </c>
      <c r="X1773"/>
      <c r="Y1773" t="inlineStr">
        <is>
          <t>Pending Appointment</t>
        </is>
      </c>
      <c r="Z1773" t="inlineStr">
        <is>
          <t>Hiring Now</t>
        </is>
      </c>
      <c r="AA1773">
        <v>2</v>
      </c>
      <c r="AB1773" t="inlineStr">
        <is>
          <t>No Appointment Made</t>
        </is>
      </c>
      <c r="AC1773"/>
      <c r="AD1773" t="inlineStr">
        <is>
          <t>optician - 1, optometrist - 1</t>
        </is>
      </c>
      <c r="AE1773"/>
      <c r="AF1773">
        <v>800</v>
      </c>
      <c r="AG1773" s="4"/>
      <c r="AH1773" s="4"/>
      <c r="AI1773">
        <v>0</v>
      </c>
      <c r="AJ1773">
        <v>1</v>
      </c>
      <c r="AK1773" t="inlineStr">
        <is>
          <t>No, I don't need at all</t>
        </is>
      </c>
      <c r="AL1773">
        <v>0</v>
      </c>
      <c r="AM1773" t="inlineStr">
        <is>
          <t>No, I don't need at all</t>
        </is>
      </c>
      <c r="AN1773"/>
      <c r="AO1773" t="inlineStr">
        <is>
          <t>No, I don't need at all</t>
        </is>
      </c>
      <c r="AP1773" t="inlineStr">
        <is>
          <t>Once a year (25%)</t>
        </is>
      </c>
      <c r="AQ1773">
        <v>0</v>
      </c>
      <c r="AR1773" t="inlineStr">
        <is>
          <t>Did not use any job portal</t>
        </is>
      </c>
      <c r="AS1773" t="inlineStr">
        <is>
          <t>- Headcount: 2
- Hiring Job Details: 1 optician, 1 optometrist
- Hiring Urgency: Hiring Now
- Number of outlets: 1
- Have recruiter team: No, I don't need at all
- Number of recruiter in company: 0
- Have ATS system: No, I don't need at all
- Have career website: No, I don't need at all
- Current hiring budget: RM800
- Whole year budget: RM0.00
- Whole year number of vacancies: 0
- Hiring frequency: Once a year (25%)
- External job portal: Did not use any job portal</t>
        </is>
      </c>
      <c r="AT1773">
        <v>115</v>
      </c>
      <c r="AU1773" t="inlineStr">
        <is>
          <t>1.15</t>
        </is>
      </c>
      <c r="AV1773" t="inlineStr">
        <is>
          <t>15</t>
        </is>
      </c>
      <c r="AW1773" t="inlineStr">
        <is>
          <t>0</t>
        </is>
      </c>
      <c r="AX1773" t="inlineStr">
        <is>
          <t>Not Qualified</t>
        </is>
      </c>
      <c r="AY1773" s="4"/>
      <c r="AZ1773"/>
      <c r="BA1773"/>
      <c r="BB1773"/>
      <c r="BC1773" t="inlineStr">
        <is>
          <t>SHE SAY YET TO DECIDE , WILL UPDATE ME AGAIN</t>
        </is>
      </c>
      <c r="BD1773" s="4">
        <v>46141.39606481481</v>
      </c>
      <c r="BE1773" t="inlineStr">
        <is>
          <t>paid</t>
        </is>
      </c>
      <c r="BF1773"/>
      <c r="BG1773" t="inlineStr">
        <is>
          <t>Reschedule</t>
        </is>
      </c>
      <c r="BH1773" t="inlineStr">
        <is>
          <t>Edward Hoo</t>
        </is>
      </c>
      <c r="BI1773" t="inlineStr">
        <is>
          <t>Retail / Merchandise</t>
        </is>
      </c>
      <c r="BJ1773" s="4">
        <v>46144.75142361111</v>
      </c>
      <c r="BK1773" s="4">
        <v>45171.01664351852</v>
      </c>
      <c r="BL1773" t="inlineStr">
        <is>
          <t>0.0</t>
        </is>
      </c>
      <c r="BM1773" t="inlineStr">
        <is>
          <t>0.0</t>
        </is>
      </c>
      <c r="BN1773" t="inlineStr">
        <is>
          <t>PA Visit - Applicant Manager</t>
        </is>
      </c>
      <c r="BO1773" s="4">
        <v>45568.64811342592</v>
      </c>
      <c r="BP1773">
        <v>166529</v>
      </c>
      <c r="BQ1773">
        <v>71028</v>
      </c>
      <c r="BR1773" t="inlineStr">
        <is>
          <t>Online</t>
        </is>
      </c>
      <c r="BS1773"/>
      <c r="BT1773">
        <v>71028</v>
      </c>
      <c r="BU1773"/>
      <c r="BV1773">
        <v>2734110</v>
      </c>
      <c r="BW1773" t="inlineStr">
        <is>
          <t>Follow Up : Decision Pending</t>
        </is>
      </c>
      <c r="BX1773"/>
      <c r="BY1773"/>
      <c r="BZ1773" s="4"/>
      <c r="CA1773"/>
      <c r="CB1773"/>
      <c r="CC1773" s="4"/>
      <c r="CD1773" t="inlineStr">
        <is>
          <t>20</t>
        </is>
      </c>
      <c r="CE1773" t="inlineStr">
        <is>
          <t>0</t>
        </is>
      </c>
      <c r="CF1773" t="inlineStr">
        <is>
          <t>Q2-W02</t>
        </is>
      </c>
      <c r="CG1773"/>
      <c r="CH1773"/>
      <c r="CI1773"/>
      <c r="CJ1773" t="inlineStr">
        <is>
          <t>Paid</t>
        </is>
      </c>
      <c r="CK1773" t="inlineStr">
        <is>
          <t>Not Eligible</t>
        </is>
      </c>
      <c r="CL1773"/>
      <c r="CM1773"/>
    </row>
    <row r="1774" ht="25.5" customHeight="1">
      <c r="A1774" t="inlineStr">
        <is>
          <t>201818</t>
        </is>
      </c>
      <c r="B1774" s="2"/>
      <c r="C1774"/>
      <c r="D1774" s="3">
        <v>46122.70422453704</v>
      </c>
      <c r="E1774" t="inlineStr">
        <is>
          <t>Q2-W02</t>
        </is>
      </c>
      <c r="F1774" t="inlineStr">
        <is>
          <t>Clover</t>
        </is>
      </c>
      <c r="G1774" t="inlineStr">
        <is>
          <t>Customer</t>
        </is>
      </c>
      <c r="H1774" s="2" t="str">
        <f>=HYPERLINK("https://upbox.ajobthing.my/customer/201818", "https://upbox.ajobthing.my/customer/201818")</f>
        <v>https://upbox.ajobthing.my/customer/201818</v>
      </c>
      <c r="I1774" t="inlineStr">
        <is>
          <t>Automation &amp; Control Systems Sdn Bhd</t>
        </is>
      </c>
      <c r="J1774" t="inlineStr">
        <is>
          <t>Small Fish</t>
        </is>
      </c>
      <c r="K1774" t="inlineStr">
        <is>
          <t>Clover</t>
        </is>
      </c>
      <c r="L1774" s="4"/>
      <c r="M1774" s="4">
        <v>46122.70452546296</v>
      </c>
      <c r="N1774"/>
      <c r="O1774">
        <v>3888</v>
      </c>
      <c r="P1774" s="4"/>
      <c r="Q1774" s="4">
        <v>46122.00646990741</v>
      </c>
      <c r="R1774"/>
      <c r="S1774">
        <v>0</v>
      </c>
      <c r="T1774" s="4"/>
      <c r="U1774" s="4"/>
      <c r="V1774"/>
      <c r="W1774"/>
      <c r="X1774"/>
      <c r="Y1774" t="inlineStr">
        <is>
          <t>Pending Appointment</t>
        </is>
      </c>
      <c r="Z1774" t="inlineStr">
        <is>
          <t>Hiring Now</t>
        </is>
      </c>
      <c r="AA1774">
        <v>2</v>
      </c>
      <c r="AB1774" t="inlineStr">
        <is>
          <t>No Appointment Made</t>
        </is>
      </c>
      <c r="AC1774"/>
      <c r="AD1774" t="inlineStr">
        <is>
          <t>Want to hire civil engineer x1 all races 1-3 year exp, sales engineer x1 all races, &gt; 3 years exp, johor, trading service, previous try JS so far all good, suggest stand</t>
        </is>
      </c>
      <c r="AE1774"/>
      <c r="AF1774">
        <v>3000</v>
      </c>
      <c r="AG1774" s="4"/>
      <c r="AH1774" s="4"/>
      <c r="AI1774">
        <v>3000</v>
      </c>
      <c r="AJ1774">
        <v>1</v>
      </c>
      <c r="AK1774" t="inlineStr">
        <is>
          <t>No, but I want in future</t>
        </is>
      </c>
      <c r="AL1774">
        <v>1</v>
      </c>
      <c r="AM1774" t="inlineStr">
        <is>
          <t>No, but I want in future</t>
        </is>
      </c>
      <c r="AN1774"/>
      <c r="AO1774" t="inlineStr">
        <is>
          <t>No, but I want in future</t>
        </is>
      </c>
      <c r="AP1774" t="inlineStr">
        <is>
          <t>Twice a year (50%)</t>
        </is>
      </c>
      <c r="AQ1774">
        <v>2</v>
      </c>
      <c r="AR1774" t="inlineStr">
        <is>
          <t>Did not use any job portal</t>
        </is>
      </c>
      <c r="AS1774" t="inlineStr">
        <is>
          <t>- Headcount: 2
- Hiring Job Details: 1 civil engineer (all races, 1-3 year exp); 1 sales engineer (all races, &gt;3 year exp, Johor, trading service; previous JS good,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is>
      </c>
      <c r="AT1774">
        <v>110</v>
      </c>
      <c r="AU1774" t="inlineStr">
        <is>
          <t>1.10</t>
        </is>
      </c>
      <c r="AV1774" t="inlineStr">
        <is>
          <t>15</t>
        </is>
      </c>
      <c r="AW1774" t="inlineStr">
        <is>
          <t>0</t>
        </is>
      </c>
      <c r="AX1774" t="inlineStr">
        <is>
          <t>Not Qualified</t>
        </is>
      </c>
      <c r="AY1774" s="4"/>
      <c r="AZ1774"/>
      <c r="BA1774"/>
      <c r="BB1774"/>
      <c r="BC1774" t="inlineStr">
        <is>
          <t>wa fu,   mechanical engineer x1 all races 1-3 year exp, sales engineer x1 all races, &gt; 3 years</t>
        </is>
      </c>
      <c r="BD1774" s="4">
        <v>46139.413831018515</v>
      </c>
      <c r="BE1774" t="inlineStr">
        <is>
          <t>paid</t>
        </is>
      </c>
      <c r="BF1774"/>
      <c r="BG1774" t="inlineStr">
        <is>
          <t>Reschedule</t>
        </is>
      </c>
      <c r="BH1774" t="inlineStr">
        <is>
          <t>Reagen</t>
        </is>
      </c>
      <c r="BI1774"/>
      <c r="BJ1774" s="4">
        <v>46144.75387731481</v>
      </c>
      <c r="BK1774" s="4">
        <v>46087.747465277775</v>
      </c>
      <c r="BL1774" t="inlineStr">
        <is>
          <t>0.0</t>
        </is>
      </c>
      <c r="BM1774" t="inlineStr">
        <is>
          <t>0.0</t>
        </is>
      </c>
      <c r="BN1774"/>
      <c r="BO1774" s="4"/>
      <c r="BP1774">
        <v>166539</v>
      </c>
      <c r="BQ1774">
        <v>121550</v>
      </c>
      <c r="BR1774" t="inlineStr">
        <is>
          <t>Proforma</t>
        </is>
      </c>
      <c r="BS1774" t="inlineStr">
        <is>
          <t>Free Singapore Job</t>
        </is>
      </c>
      <c r="BT1774"/>
      <c r="BU1774"/>
      <c r="BV1774">
        <v>2728225</v>
      </c>
      <c r="BW1774" t="inlineStr">
        <is>
          <t>Follow Up : Decision Pending</t>
        </is>
      </c>
      <c r="BX1774"/>
      <c r="BY1774"/>
      <c r="BZ1774" s="4"/>
      <c r="CA1774"/>
      <c r="CB1774"/>
      <c r="CC1774" s="4"/>
      <c r="CD1774" t="inlineStr">
        <is>
          <t>20</t>
        </is>
      </c>
      <c r="CE1774" t="inlineStr">
        <is>
          <t>0</t>
        </is>
      </c>
      <c r="CF1774" t="inlineStr">
        <is>
          <t>Q2-W02</t>
        </is>
      </c>
      <c r="CG1774" t="inlineStr">
        <is>
          <t>Q2-W02</t>
        </is>
      </c>
      <c r="CH1774"/>
      <c r="CI1774"/>
      <c r="CJ1774" t="inlineStr">
        <is>
          <t>No Paid</t>
        </is>
      </c>
      <c r="CK1774" t="inlineStr">
        <is>
          <t>Not Eligible</t>
        </is>
      </c>
      <c r="CL1774"/>
      <c r="CM1774"/>
    </row>
    <row r="1775" ht="25.5" customHeight="1">
      <c r="A1775" t="inlineStr">
        <is>
          <t>203102</t>
        </is>
      </c>
      <c r="B1775" s="2"/>
      <c r="C1775"/>
      <c r="D1775" s="3">
        <v>46122.708657407406</v>
      </c>
      <c r="E1775" t="inlineStr">
        <is>
          <t>Q2-W02</t>
        </is>
      </c>
      <c r="F1775" t="inlineStr">
        <is>
          <t>Janice Yap</t>
        </is>
      </c>
      <c r="G1775" t="inlineStr">
        <is>
          <t>Customer</t>
        </is>
      </c>
      <c r="H1775" s="2" t="str">
        <f>=HYPERLINK("https://upbox.ajobthing.my/customer/203102", "https://upbox.ajobthing.my/customer/203102")</f>
        <v>https://upbox.ajobthing.my/customer/203102</v>
      </c>
      <c r="I1775" t="inlineStr">
        <is>
          <t>Eastridge Technology Sdn Bhd</t>
        </is>
      </c>
      <c r="J1775" t="inlineStr">
        <is>
          <t>Small Fish</t>
        </is>
      </c>
      <c r="K1775" t="inlineStr">
        <is>
          <t>Janice</t>
        </is>
      </c>
      <c r="L1775" s="4"/>
      <c r="M1775" s="4">
        <v>46122.70344907408</v>
      </c>
      <c r="N1775"/>
      <c r="O1775">
        <v>3888</v>
      </c>
      <c r="P1775" s="4"/>
      <c r="Q1775" s="4">
        <v>46122.83212962963</v>
      </c>
      <c r="R1775"/>
      <c r="S1775">
        <v>864</v>
      </c>
      <c r="T1775" s="4">
        <v>46122.83212962963</v>
      </c>
      <c r="U1775" s="4"/>
      <c r="V1775"/>
      <c r="W1775">
        <v>864</v>
      </c>
      <c r="X1775"/>
      <c r="Y1775" t="inlineStr">
        <is>
          <t>Pending Appointment</t>
        </is>
      </c>
      <c r="Z1775" t="inlineStr">
        <is>
          <t>Hiring Now</t>
        </is>
      </c>
      <c r="AA1775">
        <v>1</v>
      </c>
      <c r="AB1775" t="inlineStr">
        <is>
          <t>No Appointment Made</t>
        </is>
      </c>
      <c r="AC1775"/>
      <c r="AD1775" t="inlineStr">
        <is>
          <t>1 admin</t>
        </is>
      </c>
      <c r="AE1775"/>
      <c r="AF1775">
        <v>0</v>
      </c>
      <c r="AG1775" s="4"/>
      <c r="AH1775" s="4"/>
      <c r="AI1775">
        <v>0</v>
      </c>
      <c r="AJ1775"/>
      <c r="AK1775" t="inlineStr">
        <is>
          <t>No, I don't need at all</t>
        </is>
      </c>
      <c r="AL1775">
        <v>0</v>
      </c>
      <c r="AM1775" t="inlineStr">
        <is>
          <t>No, I don't need at all</t>
        </is>
      </c>
      <c r="AN1775"/>
      <c r="AO1775" t="inlineStr">
        <is>
          <t>No, I don't need at all</t>
        </is>
      </c>
      <c r="AP1775" t="inlineStr">
        <is>
          <t>Once a year (25%)</t>
        </is>
      </c>
      <c r="AQ1775">
        <v>1</v>
      </c>
      <c r="AR1775"/>
      <c r="AS1775" t="inlineStr">
        <is>
          <t>- Headcount: 1
- Hiring Job Details: 1 admin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specified</t>
        </is>
      </c>
      <c r="AT1775">
        <v>105</v>
      </c>
      <c r="AU1775" t="inlineStr">
        <is>
          <t>1.05</t>
        </is>
      </c>
      <c r="AV1775" t="inlineStr">
        <is>
          <t>15</t>
        </is>
      </c>
      <c r="AW1775" t="inlineStr">
        <is>
          <t>0</t>
        </is>
      </c>
      <c r="AX1775" t="inlineStr">
        <is>
          <t>Not Qualified</t>
        </is>
      </c>
      <c r="AY1775" s="4"/>
      <c r="AZ1775"/>
      <c r="BA1775"/>
      <c r="BB1775"/>
      <c r="BC1775" t="inlineStr">
        <is>
          <t>Follow up on his job posting // haven't get right candidate // help to raise complaint - low applicants</t>
        </is>
      </c>
      <c r="BD1775" s="4">
        <v>46141.47553240741</v>
      </c>
      <c r="BE1775" t="inlineStr">
        <is>
          <t>paid</t>
        </is>
      </c>
      <c r="BF1775" t="inlineStr">
        <is>
          <t>Q2-W02</t>
        </is>
      </c>
      <c r="BG1775" t="inlineStr">
        <is>
          <t>Reschedule</t>
        </is>
      </c>
      <c r="BH1775" t="inlineStr">
        <is>
          <t>Yee Hang</t>
        </is>
      </c>
      <c r="BI1775"/>
      <c r="BJ1775" s="4">
        <v>46144.754212962966</v>
      </c>
      <c r="BK1775" s="4">
        <v>46122.68560185185</v>
      </c>
      <c r="BL1775" t="inlineStr">
        <is>
          <t>864.0</t>
        </is>
      </c>
      <c r="BM1775" t="inlineStr">
        <is>
          <t>0.0</t>
        </is>
      </c>
      <c r="BN1775" t="inlineStr">
        <is>
          <t>View Jobmanager Page</t>
        </is>
      </c>
      <c r="BO1775" s="4">
        <v>46141.39878472222</v>
      </c>
      <c r="BP1775">
        <v>166535</v>
      </c>
      <c r="BQ1775">
        <v>92957</v>
      </c>
      <c r="BR1775" t="inlineStr">
        <is>
          <t>Online</t>
        </is>
      </c>
      <c r="BS1775"/>
      <c r="BT1775">
        <v>92957</v>
      </c>
      <c r="BU1775"/>
      <c r="BV1775">
        <v>2734715</v>
      </c>
      <c r="BW1775" t="inlineStr">
        <is>
          <t>Service / Technical : Job Outcome Enquiry</t>
        </is>
      </c>
      <c r="BX1775">
        <v>1</v>
      </c>
      <c r="BY1775">
        <v>0</v>
      </c>
      <c r="BZ1775" s="4">
        <v>46122.83212962963</v>
      </c>
      <c r="CA1775">
        <v>10</v>
      </c>
      <c r="CB1775">
        <v>10</v>
      </c>
      <c r="CC1775" s="4"/>
      <c r="CD1775" t="inlineStr">
        <is>
          <t>20</t>
        </is>
      </c>
      <c r="CE1775" t="inlineStr">
        <is>
          <t>0</t>
        </is>
      </c>
      <c r="CF1775" t="inlineStr">
        <is>
          <t>Q2-W02</t>
        </is>
      </c>
      <c r="CG1775" t="inlineStr">
        <is>
          <t>Q2-W02</t>
        </is>
      </c>
      <c r="CH1775" t="inlineStr">
        <is>
          <t>Q2-W02</t>
        </is>
      </c>
      <c r="CI1775"/>
      <c r="CJ1775" t="inlineStr">
        <is>
          <t>Paid</t>
        </is>
      </c>
      <c r="CK1775" t="inlineStr">
        <is>
          <t>Not Eligible</t>
        </is>
      </c>
      <c r="CL1775"/>
      <c r="CM1775"/>
    </row>
    <row r="1776" ht="25.5" customHeight="1">
      <c r="A1776" t="inlineStr">
        <is>
          <t>202638</t>
        </is>
      </c>
      <c r="B1776" s="2"/>
      <c r="C1776"/>
      <c r="D1776" s="3">
        <v>46122.710324074076</v>
      </c>
      <c r="E1776" t="inlineStr">
        <is>
          <t>Q2-W02</t>
        </is>
      </c>
      <c r="F1776" t="inlineStr">
        <is>
          <t>Carmen</t>
        </is>
      </c>
      <c r="G1776" t="inlineStr">
        <is>
          <t>Customer</t>
        </is>
      </c>
      <c r="H1776" s="2" t="str">
        <f>=HYPERLINK("https://upbox.ajobthing.my/customer/202638", "https://upbox.ajobthing.my/customer/202638")</f>
        <v>https://upbox.ajobthing.my/customer/202638</v>
      </c>
      <c r="I1776" t="inlineStr">
        <is>
          <t>Datamet Corporate Services Sdn Bhd</t>
        </is>
      </c>
      <c r="J1776" t="inlineStr">
        <is>
          <t>Small Fish</t>
        </is>
      </c>
      <c r="K1776" t="inlineStr">
        <is>
          <t>Carmen</t>
        </is>
      </c>
      <c r="L1776" s="4"/>
      <c r="M1776" s="4">
        <v>46122.71040509259</v>
      </c>
      <c r="N1776"/>
      <c r="O1776">
        <v>864</v>
      </c>
      <c r="P1776" s="4"/>
      <c r="Q1776" s="4">
        <v>46132.600127314814</v>
      </c>
      <c r="R1776"/>
      <c r="S1776">
        <v>864</v>
      </c>
      <c r="T1776" s="4"/>
      <c r="U1776" s="4"/>
      <c r="V1776"/>
      <c r="W1776"/>
      <c r="X1776"/>
      <c r="Y1776" t="inlineStr">
        <is>
          <t>Pending Appointment</t>
        </is>
      </c>
      <c r="Z1776" t="inlineStr">
        <is>
          <t>Hiring Now</t>
        </is>
      </c>
      <c r="AA1776">
        <v>1</v>
      </c>
      <c r="AB1776" t="inlineStr">
        <is>
          <t>No Appointment Made</t>
        </is>
      </c>
      <c r="AC1776"/>
      <c r="AD1776" t="inlineStr">
        <is>
          <t>1 corporate secretary</t>
        </is>
      </c>
      <c r="AE1776"/>
      <c r="AF1776">
        <v>600</v>
      </c>
      <c r="AG1776" s="4"/>
      <c r="AH1776" s="4"/>
      <c r="AI1776"/>
      <c r="AJ1776"/>
      <c r="AK1776"/>
      <c r="AL1776"/>
      <c r="AM1776"/>
      <c r="AN1776"/>
      <c r="AO1776"/>
      <c r="AP1776"/>
      <c r="AQ1776"/>
      <c r="AR1776"/>
      <c r="AS1776" t="inlineStr">
        <is>
          <t>- Headcount: 1
- Hiring Job Details: 1 corporate secretary
- Hiring Urgency: Hiring Now
- Number of outlets: Not available
- Have recruiter team: Not available
- Number of recruiter in company: Not available
- Have ATS system: Not available
- Have career website: Not available
- Current hiring budget: RM600.00
- Whole year budget: Not available
- Whole year number of vacancies: Not available
- Hiring frequency: Not available
- External job portal: Not available</t>
        </is>
      </c>
      <c r="AT1776">
        <v>65</v>
      </c>
      <c r="AU1776" t="inlineStr">
        <is>
          <t>0.65</t>
        </is>
      </c>
      <c r="AV1776" t="inlineStr">
        <is>
          <t>15</t>
        </is>
      </c>
      <c r="AW1776" t="inlineStr">
        <is>
          <t>0</t>
        </is>
      </c>
      <c r="AX1776" t="inlineStr">
        <is>
          <t>Not Qualified</t>
        </is>
      </c>
      <c r="AY1776" s="4"/>
      <c r="AZ1776"/>
      <c r="BA1776"/>
      <c r="BB1776"/>
      <c r="BC1776" t="inlineStr">
        <is>
          <t>pending</t>
        </is>
      </c>
      <c r="BD1776" s="4">
        <v>46139.72498842593</v>
      </c>
      <c r="BE1776" t="inlineStr">
        <is>
          <t>pending</t>
        </is>
      </c>
      <c r="BF1776"/>
      <c r="BG1776" t="inlineStr">
        <is>
          <t>Reschedule</t>
        </is>
      </c>
      <c r="BH1776" t="inlineStr">
        <is>
          <t>Reagen</t>
        </is>
      </c>
      <c r="BI1776"/>
      <c r="BJ1776" s="4">
        <v>46144.75407407407</v>
      </c>
      <c r="BK1776" s="4">
        <v>46112.6493287037</v>
      </c>
      <c r="BL1776" t="inlineStr">
        <is>
          <t>0.0</t>
        </is>
      </c>
      <c r="BM1776" t="inlineStr">
        <is>
          <t>0.0</t>
        </is>
      </c>
      <c r="BN1776"/>
      <c r="BO1776" s="4"/>
      <c r="BP1776">
        <v>166542</v>
      </c>
      <c r="BQ1776">
        <v>123273</v>
      </c>
      <c r="BR1776" t="inlineStr">
        <is>
          <t>Proforma</t>
        </is>
      </c>
      <c r="BS1776" t="inlineStr">
        <is>
          <t>AI Ala Carte (Jan 26)</t>
        </is>
      </c>
      <c r="BT1776"/>
      <c r="BU1776"/>
      <c r="BV1776">
        <v>2731440</v>
      </c>
      <c r="BW1776" t="inlineStr">
        <is>
          <t>Follow Up : Payment Pending</t>
        </is>
      </c>
      <c r="BX1776"/>
      <c r="BY1776"/>
      <c r="BZ1776" s="4"/>
      <c r="CA1776"/>
      <c r="CB1776"/>
      <c r="CC1776" s="4"/>
      <c r="CD1776" t="inlineStr">
        <is>
          <t>20</t>
        </is>
      </c>
      <c r="CE1776" t="inlineStr">
        <is>
          <t>0</t>
        </is>
      </c>
      <c r="CF1776" t="inlineStr">
        <is>
          <t>Q2-W02</t>
        </is>
      </c>
      <c r="CG1776" t="inlineStr">
        <is>
          <t>Q2-W03</t>
        </is>
      </c>
      <c r="CH1776"/>
      <c r="CI1776"/>
      <c r="CJ1776" t="inlineStr">
        <is>
          <t>No Paid</t>
        </is>
      </c>
      <c r="CK1776" t="inlineStr">
        <is>
          <t>Not Eligible</t>
        </is>
      </c>
      <c r="CL1776"/>
      <c r="CM1776"/>
    </row>
    <row r="1777" ht="25.5" customHeight="1">
      <c r="A1777" t="inlineStr">
        <is>
          <t>197476</t>
        </is>
      </c>
      <c r="B1777" s="2"/>
      <c r="C1777"/>
      <c r="D1777" s="3">
        <v>46122.711180555554</v>
      </c>
      <c r="E1777" t="inlineStr">
        <is>
          <t>Q2-W02</t>
        </is>
      </c>
      <c r="F1777" t="inlineStr">
        <is>
          <t>Derek Lim</t>
        </is>
      </c>
      <c r="G1777" t="inlineStr">
        <is>
          <t>Customer</t>
        </is>
      </c>
      <c r="H1777" s="2" t="str">
        <f>=HYPERLINK("https://upbox.ajobthing.my/customer/197476", "https://upbox.ajobthing.my/customer/197476")</f>
        <v>https://upbox.ajobthing.my/customer/197476</v>
      </c>
      <c r="I1777" t="inlineStr">
        <is>
          <t>Limitless F&amp;B Management (Malaysia) Sdn Bhd</t>
        </is>
      </c>
      <c r="J1777" t="inlineStr">
        <is>
          <t>Small Fish</t>
        </is>
      </c>
      <c r="K1777" t="inlineStr">
        <is>
          <t>Derek Lim</t>
        </is>
      </c>
      <c r="L1777" s="4"/>
      <c r="M1777" s="4">
        <v>46122.71179398148</v>
      </c>
      <c r="N1777"/>
      <c r="O1777">
        <v>8208</v>
      </c>
      <c r="P1777" s="4"/>
      <c r="Q1777" s="4"/>
      <c r="R1777"/>
      <c r="S1777"/>
      <c r="T1777" s="4"/>
      <c r="U1777" s="4"/>
      <c r="V1777"/>
      <c r="W1777"/>
      <c r="X1777"/>
      <c r="Y1777" t="inlineStr">
        <is>
          <t>Pending Appointment</t>
        </is>
      </c>
      <c r="Z1777" t="inlineStr">
        <is>
          <t>Continuous Hiring</t>
        </is>
      </c>
      <c r="AA1777">
        <v>7</v>
      </c>
      <c r="AB1777" t="inlineStr">
        <is>
          <t>No Appointment Made</t>
        </is>
      </c>
      <c r="AC1777"/>
      <c r="AD1777" t="inlineStr">
        <is>
          <t>waiter - 2, kitchen crew - 1, cashier - 1, supervisor -1, cleaner 2</t>
        </is>
      </c>
      <c r="AE1777"/>
      <c r="AF1777">
        <v>2000</v>
      </c>
      <c r="AG1777" s="4"/>
      <c r="AH1777" s="4"/>
      <c r="AI1777">
        <v>3000</v>
      </c>
      <c r="AJ1777">
        <v>1</v>
      </c>
      <c r="AK1777" t="inlineStr">
        <is>
          <t>No, but I want in future</t>
        </is>
      </c>
      <c r="AL1777">
        <v>0</v>
      </c>
      <c r="AM1777" t="inlineStr">
        <is>
          <t>No, I don't need at all</t>
        </is>
      </c>
      <c r="AN1777"/>
      <c r="AO1777" t="inlineStr">
        <is>
          <t>No, but I want in future</t>
        </is>
      </c>
      <c r="AP1777" t="inlineStr">
        <is>
          <t>Twice a year (50%)</t>
        </is>
      </c>
      <c r="AQ1777">
        <v>10</v>
      </c>
      <c r="AR1777" t="inlineStr">
        <is>
          <t>Jobstreet</t>
        </is>
      </c>
      <c r="AS1777" t="inlineStr">
        <is>
          <t>- Headcount: 7
- Hiring Job Details: waiter - 2, kitchen crew - 1, cashier - 1, supervisor -1, cleaner 2
- Hiring Urgency: Continuous Hiring
- Number of outlets: 1
- Have recruiter team: No, but want in future
- Number of recruiter in company: 0
- Have ATS system: No, don't need at all
- Have career website: No, but want in future
- Current hiring budget: RM2,000
- Whole year budget: RM3,000.00
- Whole year number of vacancies: 10
- Hiring frequency: Twice a year (50%)
- External job portal: Jobstreet</t>
        </is>
      </c>
      <c r="AT1777">
        <v>100</v>
      </c>
      <c r="AU1777" t="inlineStr">
        <is>
          <t>1.00</t>
        </is>
      </c>
      <c r="AV1777" t="inlineStr">
        <is>
          <t>20</t>
        </is>
      </c>
      <c r="AW1777" t="inlineStr">
        <is>
          <t>0</t>
        </is>
      </c>
      <c r="AX1777" t="inlineStr">
        <is>
          <t>Not Qualified</t>
        </is>
      </c>
      <c r="AY1777" s="4"/>
      <c r="AZ1777"/>
      <c r="BA1777"/>
      <c r="BB1777"/>
      <c r="BC1777" t="inlineStr">
        <is>
          <t>SHE SAY STILL HAVE PACKAGE AT RICEBOWL</t>
        </is>
      </c>
      <c r="BD1777" s="4">
        <v>46128.67256944445</v>
      </c>
      <c r="BE1777"/>
      <c r="BF1777"/>
      <c r="BG1777" t="inlineStr">
        <is>
          <t>Reschedule</t>
        </is>
      </c>
      <c r="BH1777" t="inlineStr">
        <is>
          <t>Edward Hoo</t>
        </is>
      </c>
      <c r="BI1777"/>
      <c r="BJ1777" s="4">
        <v>46144.75288194444</v>
      </c>
      <c r="BK1777" s="4">
        <v>45952.678090277775</v>
      </c>
      <c r="BL1777" t="inlineStr">
        <is>
          <t>0.0</t>
        </is>
      </c>
      <c r="BM1777" t="inlineStr">
        <is>
          <t>0.0</t>
        </is>
      </c>
      <c r="BN1777"/>
      <c r="BO1777" s="4"/>
      <c r="BP1777">
        <v>166545</v>
      </c>
      <c r="BQ1777"/>
      <c r="BR1777"/>
      <c r="BS1777"/>
      <c r="BT1777"/>
      <c r="BU1777"/>
      <c r="BV1777">
        <v>2710047</v>
      </c>
      <c r="BW1777" t="inlineStr">
        <is>
          <t>Follow Up : Budget Concern</t>
        </is>
      </c>
      <c r="BX1777"/>
      <c r="BY1777"/>
      <c r="BZ1777" s="4"/>
      <c r="CA1777"/>
      <c r="CB1777"/>
      <c r="CC1777" s="4"/>
      <c r="CD1777" t="inlineStr">
        <is>
          <t>30</t>
        </is>
      </c>
      <c r="CE1777" t="inlineStr">
        <is>
          <t>0</t>
        </is>
      </c>
      <c r="CF1777" t="inlineStr">
        <is>
          <t>Q2-W02</t>
        </is>
      </c>
      <c r="CG1777"/>
      <c r="CH1777"/>
      <c r="CI1777"/>
      <c r="CJ1777" t="inlineStr">
        <is>
          <t>No Paid</t>
        </is>
      </c>
      <c r="CK1777" t="inlineStr">
        <is>
          <t>Not Eligible</t>
        </is>
      </c>
      <c r="CL1777"/>
      <c r="CM1777"/>
    </row>
    <row r="1778" ht="25.5" customHeight="1">
      <c r="A1778" t="inlineStr">
        <is>
          <t>190974</t>
        </is>
      </c>
      <c r="B1778" s="2"/>
      <c r="C1778"/>
      <c r="D1778" s="3">
        <v>46122.71986111111</v>
      </c>
      <c r="E1778" t="inlineStr">
        <is>
          <t>Q2-W02</t>
        </is>
      </c>
      <c r="F1778" t="inlineStr">
        <is>
          <t>Xin Quan</t>
        </is>
      </c>
      <c r="G1778" t="inlineStr">
        <is>
          <t>Customer</t>
        </is>
      </c>
      <c r="H1778" s="2" t="str">
        <f>=HYPERLINK("https://upbox.ajobthing.my/customer/190974", "https://upbox.ajobthing.my/customer/190974")</f>
        <v>https://upbox.ajobthing.my/customer/190974</v>
      </c>
      <c r="I1778" t="inlineStr">
        <is>
          <t>Restoran Delima</t>
        </is>
      </c>
      <c r="J1778" t="inlineStr">
        <is>
          <t>Small Fish</t>
        </is>
      </c>
      <c r="K1778" t="inlineStr">
        <is>
          <t>Xin Quan</t>
        </is>
      </c>
      <c r="L1778" s="4"/>
      <c r="M1778" s="4">
        <v>46122.72008101852</v>
      </c>
      <c r="N1778"/>
      <c r="O1778">
        <v>3888</v>
      </c>
      <c r="P1778" s="4"/>
      <c r="Q1778" s="4"/>
      <c r="R1778"/>
      <c r="S1778"/>
      <c r="T1778" s="4"/>
      <c r="U1778" s="4"/>
      <c r="V1778"/>
      <c r="W1778"/>
      <c r="X1778"/>
      <c r="Y1778" t="inlineStr">
        <is>
          <t>Pending Appointment</t>
        </is>
      </c>
      <c r="Z1778" t="inlineStr">
        <is>
          <t>Hiring Now</t>
        </is>
      </c>
      <c r="AA1778">
        <v>2</v>
      </c>
      <c r="AB1778" t="inlineStr">
        <is>
          <t>No Appointment Made</t>
        </is>
      </c>
      <c r="AC1778"/>
      <c r="AD1778" t="inlineStr">
        <is>
          <t>1 Chef 1 Waiter , Base in KL</t>
        </is>
      </c>
      <c r="AE1778"/>
      <c r="AF1778">
        <v>4000</v>
      </c>
      <c r="AG1778" s="4"/>
      <c r="AH1778" s="4"/>
      <c r="AI1778">
        <v>48000</v>
      </c>
      <c r="AJ1778">
        <v>1</v>
      </c>
      <c r="AK1778"/>
      <c r="AL1778"/>
      <c r="AM1778"/>
      <c r="AN1778"/>
      <c r="AO1778"/>
      <c r="AP1778"/>
      <c r="AQ1778">
        <v>2</v>
      </c>
      <c r="AR1778"/>
      <c r="AS1778" t="inlineStr">
        <is>
          <t>- Headcount: 2
- Hiring Job Details: 1 Chef 1 Waiter,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1778">
        <v>105</v>
      </c>
      <c r="AU1778" t="inlineStr">
        <is>
          <t>1.05</t>
        </is>
      </c>
      <c r="AV1778" t="inlineStr">
        <is>
          <t>15</t>
        </is>
      </c>
      <c r="AW1778" t="inlineStr">
        <is>
          <t>0</t>
        </is>
      </c>
      <c r="AX1778" t="inlineStr">
        <is>
          <t>Not Qualified</t>
        </is>
      </c>
      <c r="AY1778" s="4"/>
      <c r="AZ1778"/>
      <c r="BA1778"/>
      <c r="BB1778"/>
      <c r="BC1778" t="inlineStr">
        <is>
          <t>NA</t>
        </is>
      </c>
      <c r="BD1778" s="4">
        <v>46126.46991898148</v>
      </c>
      <c r="BE1778"/>
      <c r="BF1778"/>
      <c r="BG1778" t="inlineStr">
        <is>
          <t>Reschedule</t>
        </is>
      </c>
      <c r="BH1778" t="inlineStr">
        <is>
          <t>Edward Hoo</t>
        </is>
      </c>
      <c r="BI1778"/>
      <c r="BJ1778" s="4">
        <v>46144.75239583333</v>
      </c>
      <c r="BK1778" s="4">
        <v>45784.941875</v>
      </c>
      <c r="BL1778" t="inlineStr">
        <is>
          <t>0.0</t>
        </is>
      </c>
      <c r="BM1778" t="inlineStr">
        <is>
          <t>0.0</t>
        </is>
      </c>
      <c r="BN1778" t="inlineStr">
        <is>
          <t>View Company Page</t>
        </is>
      </c>
      <c r="BO1778" s="4">
        <v>45784.95012731481</v>
      </c>
      <c r="BP1778">
        <v>166550</v>
      </c>
      <c r="BQ1778"/>
      <c r="BR1778"/>
      <c r="BS1778"/>
      <c r="BT1778"/>
      <c r="BU1778"/>
      <c r="BV1778">
        <v>2702975</v>
      </c>
      <c r="BW1778" t="inlineStr">
        <is>
          <t>No Answer : Voicemail - WA sent to customer</t>
        </is>
      </c>
      <c r="BX1778"/>
      <c r="BY1778"/>
      <c r="BZ1778" s="4"/>
      <c r="CA1778"/>
      <c r="CB1778"/>
      <c r="CC1778" s="4"/>
      <c r="CD1778" t="inlineStr">
        <is>
          <t>20</t>
        </is>
      </c>
      <c r="CE1778" t="inlineStr">
        <is>
          <t>0</t>
        </is>
      </c>
      <c r="CF1778" t="inlineStr">
        <is>
          <t>Q2-W02</t>
        </is>
      </c>
      <c r="CG1778"/>
      <c r="CH1778"/>
      <c r="CI1778"/>
      <c r="CJ1778" t="inlineStr">
        <is>
          <t>No Paid</t>
        </is>
      </c>
      <c r="CK1778" t="inlineStr">
        <is>
          <t>Not Eligible</t>
        </is>
      </c>
      <c r="CL1778"/>
      <c r="CM1778"/>
    </row>
    <row r="1779" ht="25.5" customHeight="1">
      <c r="A1779" t="inlineStr">
        <is>
          <t>4269701</t>
        </is>
      </c>
      <c r="B1779" s="2"/>
      <c r="C1779"/>
      <c r="D1779" s="3">
        <v>46122.719872685186</v>
      </c>
      <c r="E1779" t="inlineStr">
        <is>
          <t>Q2-W02</t>
        </is>
      </c>
      <c r="F1779" t="inlineStr">
        <is>
          <t>Lucas</t>
        </is>
      </c>
      <c r="G1779" t="inlineStr">
        <is>
          <t>Lead</t>
        </is>
      </c>
      <c r="H1779" s="2" t="str">
        <f>=HYPERLINK("https://upbox.ajobthing.my/leads/4269701", "https://upbox.ajobthing.my/leads/4269701")</f>
        <v>https://upbox.ajobthing.my/leads/4269701</v>
      </c>
      <c r="I1779" t="inlineStr">
        <is>
          <t>MEEZMAN FALAH ENTERPRISE</t>
        </is>
      </c>
      <c r="J1779" t="inlineStr">
        <is>
          <t>Small Fish</t>
        </is>
      </c>
      <c r="K1779" t="inlineStr">
        <is>
          <t>Lucas</t>
        </is>
      </c>
      <c r="L1779" s="4"/>
      <c r="M1779" s="4">
        <v>46122.71857638889</v>
      </c>
      <c r="N1779"/>
      <c r="O1779">
        <v>3888</v>
      </c>
      <c r="P1779" s="4"/>
      <c r="Q1779" s="4"/>
      <c r="R1779"/>
      <c r="S1779"/>
      <c r="T1779" s="4"/>
      <c r="U1779" s="4"/>
      <c r="V1779"/>
      <c r="W1779"/>
      <c r="X1779"/>
      <c r="Y1779" t="inlineStr">
        <is>
          <t>Pending Appointment</t>
        </is>
      </c>
      <c r="Z1779" t="inlineStr">
        <is>
          <t>Hiring Now</t>
        </is>
      </c>
      <c r="AA1779">
        <v>1</v>
      </c>
      <c r="AB1779" t="inlineStr">
        <is>
          <t>No Appointment Made</t>
        </is>
      </c>
      <c r="AC1779"/>
      <c r="AD1779" t="inlineStr">
        <is>
          <t xml:space="preserve">1 accountant </t>
        </is>
      </c>
      <c r="AE1779"/>
      <c r="AF1779">
        <v>0</v>
      </c>
      <c r="AG1779" s="4"/>
      <c r="AH1779" s="4"/>
      <c r="AI1779">
        <v>0</v>
      </c>
      <c r="AJ1779">
        <v>0</v>
      </c>
      <c r="AK1779" t="inlineStr">
        <is>
          <t>No, I don't need at all</t>
        </is>
      </c>
      <c r="AL1779">
        <v>0</v>
      </c>
      <c r="AM1779" t="inlineStr">
        <is>
          <t>No, I don't need at all</t>
        </is>
      </c>
      <c r="AN1779"/>
      <c r="AO1779" t="inlineStr">
        <is>
          <t>No, I don't need at all</t>
        </is>
      </c>
      <c r="AP1779" t="inlineStr">
        <is>
          <t>Once a year (25%)</t>
        </is>
      </c>
      <c r="AQ1779">
        <v>1</v>
      </c>
      <c r="AR1779" t="inlineStr">
        <is>
          <t>Did not use any job portal</t>
        </is>
      </c>
      <c r="AS1779" t="inlineStr">
        <is>
          <t>- Headcount: 1
- Hiring Job Details: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779">
        <v>100</v>
      </c>
      <c r="AU1779" t="inlineStr">
        <is>
          <t>1.00</t>
        </is>
      </c>
      <c r="AV1779" t="inlineStr">
        <is>
          <t>15</t>
        </is>
      </c>
      <c r="AW1779" t="inlineStr">
        <is>
          <t>0</t>
        </is>
      </c>
      <c r="AX1779" t="inlineStr">
        <is>
          <t>Not Qualified</t>
        </is>
      </c>
      <c r="AY1779" s="4"/>
      <c r="AZ1779"/>
      <c r="BA1779"/>
      <c r="BB1779"/>
      <c r="BC1779"/>
      <c r="BD1779" s="4"/>
      <c r="BE1779"/>
      <c r="BF1779"/>
      <c r="BG1779" t="inlineStr">
        <is>
          <t>Reschedule</t>
        </is>
      </c>
      <c r="BH1779" t="inlineStr">
        <is>
          <t>Yee Hang</t>
        </is>
      </c>
      <c r="BI1779"/>
      <c r="BJ1779" s="4">
        <v>46144.75578703704</v>
      </c>
      <c r="BK1779" s="4">
        <v>46122.67766203704</v>
      </c>
      <c r="BL1779" t="inlineStr">
        <is>
          <t>0.0</t>
        </is>
      </c>
      <c r="BM1779" t="inlineStr">
        <is>
          <t>0.0</t>
        </is>
      </c>
      <c r="BN1779"/>
      <c r="BO1779" s="4"/>
      <c r="BP1779">
        <v>166549</v>
      </c>
      <c r="BQ1779"/>
      <c r="BR1779"/>
      <c r="BS1779"/>
      <c r="BT1779"/>
      <c r="BU1779"/>
      <c r="BV1779"/>
      <c r="BW1779"/>
      <c r="BX1779"/>
      <c r="BY1779"/>
      <c r="BZ1779" s="4"/>
      <c r="CA1779"/>
      <c r="CB1779"/>
      <c r="CC1779" s="4"/>
      <c r="CD1779" t="inlineStr">
        <is>
          <t>20</t>
        </is>
      </c>
      <c r="CE1779" t="inlineStr">
        <is>
          <t>0</t>
        </is>
      </c>
      <c r="CF1779" t="inlineStr">
        <is>
          <t>Q2-W02</t>
        </is>
      </c>
      <c r="CG1779"/>
      <c r="CH1779"/>
      <c r="CI1779"/>
      <c r="CJ1779" t="inlineStr">
        <is>
          <t>No Paid</t>
        </is>
      </c>
      <c r="CK1779" t="inlineStr">
        <is>
          <t>Not Eligible</t>
        </is>
      </c>
      <c r="CL1779"/>
      <c r="CM1779"/>
    </row>
    <row r="1780" ht="25.5" customHeight="1">
      <c r="A1780" t="inlineStr">
        <is>
          <t>151558</t>
        </is>
      </c>
      <c r="B1780" s="2"/>
      <c r="C1780"/>
      <c r="D1780" s="3">
        <v>46122.72299768519</v>
      </c>
      <c r="E1780" t="inlineStr">
        <is>
          <t>Q2-W02</t>
        </is>
      </c>
      <c r="F1780" t="inlineStr">
        <is>
          <t>Jeff Lee</t>
        </is>
      </c>
      <c r="G1780" t="inlineStr">
        <is>
          <t>Customer</t>
        </is>
      </c>
      <c r="H1780" s="2" t="str">
        <f>=HYPERLINK("https://upbox.ajobthing.my/customer/151558", "https://upbox.ajobthing.my/customer/151558")</f>
        <v>https://upbox.ajobthing.my/customer/151558</v>
      </c>
      <c r="I1780" t="inlineStr">
        <is>
          <t>Reva Tyre And Wheel Trading Company</t>
        </is>
      </c>
      <c r="J1780" t="inlineStr">
        <is>
          <t>Small Fish</t>
        </is>
      </c>
      <c r="K1780" t="inlineStr">
        <is>
          <t>Jeff Lee</t>
        </is>
      </c>
      <c r="L1780" s="4"/>
      <c r="M1780" s="4">
        <v>46122.72209490741</v>
      </c>
      <c r="N1780"/>
      <c r="O1780">
        <v>3888</v>
      </c>
      <c r="P1780" s="4"/>
      <c r="Q1780" s="4"/>
      <c r="R1780"/>
      <c r="S1780"/>
      <c r="T1780" s="4"/>
      <c r="U1780" s="4"/>
      <c r="V1780"/>
      <c r="W1780"/>
      <c r="X1780"/>
      <c r="Y1780" t="inlineStr">
        <is>
          <t>Pending Appointment</t>
        </is>
      </c>
      <c r="Z1780" t="inlineStr">
        <is>
          <t>Hiring Now</t>
        </is>
      </c>
      <c r="AA1780">
        <v>1</v>
      </c>
      <c r="AB1780" t="inlineStr">
        <is>
          <t>No Appointment Made</t>
        </is>
      </c>
      <c r="AC1780"/>
      <c r="AD1780" t="inlineStr">
        <is>
          <t>1. Admin
2. 1</t>
        </is>
      </c>
      <c r="AE1780"/>
      <c r="AF1780">
        <v>0</v>
      </c>
      <c r="AG1780" s="4"/>
      <c r="AH1780" s="4"/>
      <c r="AI1780">
        <v>0</v>
      </c>
      <c r="AJ1780">
        <v>0</v>
      </c>
      <c r="AK1780" t="inlineStr">
        <is>
          <t>No, I don't need at all</t>
        </is>
      </c>
      <c r="AL1780">
        <v>0</v>
      </c>
      <c r="AM1780" t="inlineStr">
        <is>
          <t>No, I don't need at all</t>
        </is>
      </c>
      <c r="AN1780"/>
      <c r="AO1780" t="inlineStr">
        <is>
          <t>No, I don't need at all</t>
        </is>
      </c>
      <c r="AP1780" t="inlineStr">
        <is>
          <t>Once a year (25%)</t>
        </is>
      </c>
      <c r="AQ1780">
        <v>1</v>
      </c>
      <c r="AR1780"/>
      <c r="AS1780"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None</t>
        </is>
      </c>
      <c r="AT1780">
        <v>105</v>
      </c>
      <c r="AU1780" t="inlineStr">
        <is>
          <t>1.05</t>
        </is>
      </c>
      <c r="AV1780" t="inlineStr">
        <is>
          <t>15</t>
        </is>
      </c>
      <c r="AW1780" t="inlineStr">
        <is>
          <t>0</t>
        </is>
      </c>
      <c r="AX1780" t="inlineStr">
        <is>
          <t>Not Qualified</t>
        </is>
      </c>
      <c r="AY1780" s="4"/>
      <c r="AZ1780"/>
      <c r="BA1780"/>
      <c r="BB1780"/>
      <c r="BC1780" t="inlineStr">
        <is>
          <t>budget</t>
        </is>
      </c>
      <c r="BD1780" s="4">
        <v>46132.38657407407</v>
      </c>
      <c r="BE1780"/>
      <c r="BF1780"/>
      <c r="BG1780" t="inlineStr">
        <is>
          <t>Reschedule</t>
        </is>
      </c>
      <c r="BH1780" t="inlineStr">
        <is>
          <t>Yee Hang</t>
        </is>
      </c>
      <c r="BI1780" t="inlineStr">
        <is>
          <t>Automobile / Automotive</t>
        </is>
      </c>
      <c r="BJ1780" s="4">
        <v>46144.75087962963</v>
      </c>
      <c r="BK1780" s="4">
        <v>44656.28494212963</v>
      </c>
      <c r="BL1780" t="inlineStr">
        <is>
          <t>0.0</t>
        </is>
      </c>
      <c r="BM1780" t="inlineStr">
        <is>
          <t>0.0</t>
        </is>
      </c>
      <c r="BN1780" t="inlineStr">
        <is>
          <t>View Company Page</t>
        </is>
      </c>
      <c r="BO1780" s="4">
        <v>45776.34423611111</v>
      </c>
      <c r="BP1780">
        <v>166554</v>
      </c>
      <c r="BQ1780"/>
      <c r="BR1780"/>
      <c r="BS1780"/>
      <c r="BT1780"/>
      <c r="BU1780"/>
      <c r="BV1780">
        <v>2714550</v>
      </c>
      <c r="BW1780" t="inlineStr">
        <is>
          <t>Follow Up : Lost - Free Portal</t>
        </is>
      </c>
      <c r="BX1780"/>
      <c r="BY1780"/>
      <c r="BZ1780" s="4"/>
      <c r="CA1780"/>
      <c r="CB1780"/>
      <c r="CC1780" s="4"/>
      <c r="CD1780" t="inlineStr">
        <is>
          <t>20</t>
        </is>
      </c>
      <c r="CE1780" t="inlineStr">
        <is>
          <t>0</t>
        </is>
      </c>
      <c r="CF1780" t="inlineStr">
        <is>
          <t>Q2-W02</t>
        </is>
      </c>
      <c r="CG1780"/>
      <c r="CH1780"/>
      <c r="CI1780"/>
      <c r="CJ1780" t="inlineStr">
        <is>
          <t>No Paid</t>
        </is>
      </c>
      <c r="CK1780" t="inlineStr">
        <is>
          <t>Not Eligible</t>
        </is>
      </c>
      <c r="CL1780"/>
      <c r="CM1780"/>
    </row>
    <row r="1781" ht="25.5" customHeight="1">
      <c r="A1781" t="inlineStr">
        <is>
          <t>202638</t>
        </is>
      </c>
      <c r="B1781" s="2"/>
      <c r="C1781"/>
      <c r="D1781" s="3">
        <v>46122.724490740744</v>
      </c>
      <c r="E1781" t="inlineStr">
        <is>
          <t>Q2-W02</t>
        </is>
      </c>
      <c r="F1781" t="inlineStr">
        <is>
          <t>Carmen</t>
        </is>
      </c>
      <c r="G1781" t="inlineStr">
        <is>
          <t>Customer</t>
        </is>
      </c>
      <c r="H1781" s="2" t="str">
        <f>=HYPERLINK("https://upbox.ajobthing.my/customer/202638", "https://upbox.ajobthing.my/customer/202638")</f>
        <v>https://upbox.ajobthing.my/customer/202638</v>
      </c>
      <c r="I1781" t="inlineStr">
        <is>
          <t>Datamet Corporate Services Sdn Bhd</t>
        </is>
      </c>
      <c r="J1781" t="inlineStr">
        <is>
          <t>Small Fish</t>
        </is>
      </c>
      <c r="K1781" t="inlineStr">
        <is>
          <t>Carmen</t>
        </is>
      </c>
      <c r="L1781" s="4"/>
      <c r="M1781" s="4">
        <v>46122.71040509259</v>
      </c>
      <c r="N1781"/>
      <c r="O1781">
        <v>864</v>
      </c>
      <c r="P1781" s="4"/>
      <c r="Q1781" s="4">
        <v>46132.600127314814</v>
      </c>
      <c r="R1781"/>
      <c r="S1781">
        <v>864</v>
      </c>
      <c r="T1781" s="4"/>
      <c r="U1781" s="4"/>
      <c r="V1781"/>
      <c r="W1781"/>
      <c r="X1781"/>
      <c r="Y1781" t="inlineStr">
        <is>
          <t>Pending Appointment</t>
        </is>
      </c>
      <c r="Z1781" t="inlineStr">
        <is>
          <t>Hiring Now</t>
        </is>
      </c>
      <c r="AA1781">
        <v>1</v>
      </c>
      <c r="AB1781" t="inlineStr">
        <is>
          <t>No Appointment Made</t>
        </is>
      </c>
      <c r="AC1781"/>
      <c r="AD1781" t="inlineStr">
        <is>
          <t>1 corp sec</t>
        </is>
      </c>
      <c r="AE1781"/>
      <c r="AF1781">
        <v>600</v>
      </c>
      <c r="AG1781" s="4"/>
      <c r="AH1781" s="4"/>
      <c r="AI1781"/>
      <c r="AJ1781"/>
      <c r="AK1781"/>
      <c r="AL1781"/>
      <c r="AM1781"/>
      <c r="AN1781"/>
      <c r="AO1781"/>
      <c r="AP1781" t="inlineStr">
        <is>
          <t>Once a year (25%)</t>
        </is>
      </c>
      <c r="AQ1781"/>
      <c r="AR1781"/>
      <c r="AS1781" t="inlineStr">
        <is>
          <t>- Headcount: 1
- Hiring Job Details: 1 corp sec
- Hiring Urgency: Hiring Now
- Number of outlets: Not available
- Have recruiter team: Not available
- Number of recruiter in company: Not available
- Have ATS system: Not available
- Have career website: Not available
- Current hiring budget: RM600.00
- Whole year budget: Not available
- Whole year number of vacancies: Not available
- Hiring frequency: Once a year (25%)
- External job portal: Not available</t>
        </is>
      </c>
      <c r="AT1781">
        <v>65</v>
      </c>
      <c r="AU1781" t="inlineStr">
        <is>
          <t>0.65</t>
        </is>
      </c>
      <c r="AV1781" t="inlineStr">
        <is>
          <t>15</t>
        </is>
      </c>
      <c r="AW1781" t="inlineStr">
        <is>
          <t>0</t>
        </is>
      </c>
      <c r="AX1781" t="inlineStr">
        <is>
          <t>Not Qualified</t>
        </is>
      </c>
      <c r="AY1781" s="4"/>
      <c r="AZ1781"/>
      <c r="BA1781"/>
      <c r="BB1781"/>
      <c r="BC1781" t="inlineStr">
        <is>
          <t>pending</t>
        </is>
      </c>
      <c r="BD1781" s="4">
        <v>46139.72498842593</v>
      </c>
      <c r="BE1781" t="inlineStr">
        <is>
          <t>pending</t>
        </is>
      </c>
      <c r="BF1781"/>
      <c r="BG1781" t="inlineStr">
        <is>
          <t>Reschedule</t>
        </is>
      </c>
      <c r="BH1781" t="inlineStr">
        <is>
          <t>Reagen</t>
        </is>
      </c>
      <c r="BI1781"/>
      <c r="BJ1781" s="4">
        <v>46144.75407407407</v>
      </c>
      <c r="BK1781" s="4">
        <v>46112.6493287037</v>
      </c>
      <c r="BL1781" t="inlineStr">
        <is>
          <t>0.0</t>
        </is>
      </c>
      <c r="BM1781" t="inlineStr">
        <is>
          <t>0.0</t>
        </is>
      </c>
      <c r="BN1781"/>
      <c r="BO1781" s="4"/>
      <c r="BP1781">
        <v>166542</v>
      </c>
      <c r="BQ1781">
        <v>123273</v>
      </c>
      <c r="BR1781" t="inlineStr">
        <is>
          <t>Proforma</t>
        </is>
      </c>
      <c r="BS1781" t="inlineStr">
        <is>
          <t>AI Ala Carte (Jan 26)</t>
        </is>
      </c>
      <c r="BT1781"/>
      <c r="BU1781"/>
      <c r="BV1781">
        <v>2731440</v>
      </c>
      <c r="BW1781" t="inlineStr">
        <is>
          <t>Follow Up : Payment Pending</t>
        </is>
      </c>
      <c r="BX1781"/>
      <c r="BY1781"/>
      <c r="BZ1781" s="4"/>
      <c r="CA1781"/>
      <c r="CB1781"/>
      <c r="CC1781" s="4"/>
      <c r="CD1781" t="inlineStr">
        <is>
          <t>20</t>
        </is>
      </c>
      <c r="CE1781" t="inlineStr">
        <is>
          <t>0</t>
        </is>
      </c>
      <c r="CF1781" t="inlineStr">
        <is>
          <t>Q2-W02</t>
        </is>
      </c>
      <c r="CG1781" t="inlineStr">
        <is>
          <t>Q2-W03</t>
        </is>
      </c>
      <c r="CH1781"/>
      <c r="CI1781"/>
      <c r="CJ1781" t="inlineStr">
        <is>
          <t>No Paid</t>
        </is>
      </c>
      <c r="CK1781" t="inlineStr">
        <is>
          <t>Not Eligible</t>
        </is>
      </c>
      <c r="CL1781"/>
      <c r="CM1781"/>
    </row>
    <row r="1782" ht="25.5" customHeight="1">
      <c r="A1782" t="inlineStr">
        <is>
          <t>203106</t>
        </is>
      </c>
      <c r="B1782" s="2"/>
      <c r="C1782"/>
      <c r="D1782" s="3">
        <v>46122.727002314816</v>
      </c>
      <c r="E1782" t="inlineStr">
        <is>
          <t>Q2-W02</t>
        </is>
      </c>
      <c r="F1782" t="inlineStr">
        <is>
          <t>Luqman</t>
        </is>
      </c>
      <c r="G1782" t="inlineStr">
        <is>
          <t>Customer</t>
        </is>
      </c>
      <c r="H1782" s="2" t="str">
        <f>=HYPERLINK("https://upbox.ajobthing.my/customer/203106", "https://upbox.ajobthing.my/customer/203106")</f>
        <v>https://upbox.ajobthing.my/customer/203106</v>
      </c>
      <c r="I1782" t="inlineStr">
        <is>
          <t>MV SYNERGY SDN. BHD.</t>
        </is>
      </c>
      <c r="J1782" t="inlineStr">
        <is>
          <t>Small Fish</t>
        </is>
      </c>
      <c r="K1782" t="inlineStr">
        <is>
          <t>Luqman</t>
        </is>
      </c>
      <c r="L1782" s="4"/>
      <c r="M1782" s="4">
        <v>46122.72792824074</v>
      </c>
      <c r="N1782"/>
      <c r="O1782">
        <v>3888</v>
      </c>
      <c r="P1782" s="4"/>
      <c r="Q1782" s="4"/>
      <c r="R1782"/>
      <c r="S1782"/>
      <c r="T1782" s="4"/>
      <c r="U1782" s="4"/>
      <c r="V1782"/>
      <c r="W1782"/>
      <c r="X1782"/>
      <c r="Y1782" t="inlineStr">
        <is>
          <t>Pending Appointment</t>
        </is>
      </c>
      <c r="Z1782" t="inlineStr">
        <is>
          <t>Hiring Now</t>
        </is>
      </c>
      <c r="AA1782">
        <v>1</v>
      </c>
      <c r="AB1782" t="inlineStr">
        <is>
          <t>No Appointment Made</t>
        </is>
      </c>
      <c r="AC1782"/>
      <c r="AD1782" t="inlineStr">
        <is>
          <t>1. Cook</t>
        </is>
      </c>
      <c r="AE1782"/>
      <c r="AF1782">
        <v>800</v>
      </c>
      <c r="AG1782" s="4"/>
      <c r="AH1782" s="4"/>
      <c r="AI1782">
        <v>800</v>
      </c>
      <c r="AJ1782"/>
      <c r="AK1782" t="inlineStr">
        <is>
          <t>No, I don't need at all</t>
        </is>
      </c>
      <c r="AL1782">
        <v>1</v>
      </c>
      <c r="AM1782" t="inlineStr">
        <is>
          <t>No, I don't need at all</t>
        </is>
      </c>
      <c r="AN1782"/>
      <c r="AO1782" t="inlineStr">
        <is>
          <t>No, but I want in future</t>
        </is>
      </c>
      <c r="AP1782" t="inlineStr">
        <is>
          <t>Once a year (25%)</t>
        </is>
      </c>
      <c r="AQ1782">
        <v>1</v>
      </c>
      <c r="AR1782" t="inlineStr">
        <is>
          <t>Free Job Portal</t>
        </is>
      </c>
      <c r="AS1782" t="inlineStr">
        <is>
          <t>- Headcount: 1
- Hiring Job Details: 1 Cook
- Hiring Urgency: Hiring Now
- Number of outlets: 
- Have recruiter team: No, I don't need at all
- Number of recruiter in company: 1
- Have ATS system: No, I don't need at all
- Have career website: No, but I want in future
- Current hiring budget: RM800
- Whole year budget: RM800.00
- Whole year number of vacancies: 1
- Hiring frequency: Once a year (25%)
- External job portal: Free Job Portal</t>
        </is>
      </c>
      <c r="AT1782">
        <v>115</v>
      </c>
      <c r="AU1782" t="inlineStr">
        <is>
          <t>1.15</t>
        </is>
      </c>
      <c r="AV1782" t="inlineStr">
        <is>
          <t>15</t>
        </is>
      </c>
      <c r="AW1782" t="inlineStr">
        <is>
          <t>0</t>
        </is>
      </c>
      <c r="AX1782" t="inlineStr">
        <is>
          <t>Not Qualified</t>
        </is>
      </c>
      <c r="AY1782" s="4"/>
      <c r="AZ1782"/>
      <c r="BA1782"/>
      <c r="BB1782"/>
      <c r="BC1782" t="inlineStr">
        <is>
          <t>Utilize free job portal</t>
        </is>
      </c>
      <c r="BD1782" s="4">
        <v>46127.685266203705</v>
      </c>
      <c r="BE1782"/>
      <c r="BF1782"/>
      <c r="BG1782" t="inlineStr">
        <is>
          <t>Reschedule</t>
        </is>
      </c>
      <c r="BH1782" t="inlineStr">
        <is>
          <t>Edward Hoo</t>
        </is>
      </c>
      <c r="BI1782"/>
      <c r="BJ1782" s="4">
        <v>46144.754212962966</v>
      </c>
      <c r="BK1782" s="4">
        <v>46122.725127314814</v>
      </c>
      <c r="BL1782" t="inlineStr">
        <is>
          <t>0.0</t>
        </is>
      </c>
      <c r="BM1782" t="inlineStr">
        <is>
          <t>0.0</t>
        </is>
      </c>
      <c r="BN1782" t="inlineStr">
        <is>
          <t>View Create Job Page V4</t>
        </is>
      </c>
      <c r="BO1782" s="4">
        <v>46125.685902777775</v>
      </c>
      <c r="BP1782">
        <v>166565</v>
      </c>
      <c r="BQ1782"/>
      <c r="BR1782"/>
      <c r="BS1782"/>
      <c r="BT1782"/>
      <c r="BU1782"/>
      <c r="BV1782">
        <v>2706557</v>
      </c>
      <c r="BW1782" t="inlineStr">
        <is>
          <t>Follow Up : Lost - Free Portal</t>
        </is>
      </c>
      <c r="BX1782"/>
      <c r="BY1782"/>
      <c r="BZ1782" s="4"/>
      <c r="CA1782"/>
      <c r="CB1782"/>
      <c r="CC1782" s="4"/>
      <c r="CD1782" t="inlineStr">
        <is>
          <t>20</t>
        </is>
      </c>
      <c r="CE1782" t="inlineStr">
        <is>
          <t>0</t>
        </is>
      </c>
      <c r="CF1782" t="inlineStr">
        <is>
          <t>Q2-W02</t>
        </is>
      </c>
      <c r="CG1782"/>
      <c r="CH1782"/>
      <c r="CI1782"/>
      <c r="CJ1782" t="inlineStr">
        <is>
          <t>No Paid</t>
        </is>
      </c>
      <c r="CK1782" t="inlineStr">
        <is>
          <t>Not Eligible</t>
        </is>
      </c>
      <c r="CL1782"/>
      <c r="CM1782"/>
    </row>
    <row r="1783" ht="25.5" customHeight="1">
      <c r="A1783" t="inlineStr">
        <is>
          <t>203106</t>
        </is>
      </c>
      <c r="B1783" s="2"/>
      <c r="C1783"/>
      <c r="D1783" s="3">
        <v>46122.727858796294</v>
      </c>
      <c r="E1783" t="inlineStr">
        <is>
          <t>Q2-W02</t>
        </is>
      </c>
      <c r="F1783" t="inlineStr">
        <is>
          <t>Luqman</t>
        </is>
      </c>
      <c r="G1783" t="inlineStr">
        <is>
          <t>Customer</t>
        </is>
      </c>
      <c r="H1783" s="2" t="str">
        <f>=HYPERLINK("https://upbox.ajobthing.my/customer/203106", "https://upbox.ajobthing.my/customer/203106")</f>
        <v>https://upbox.ajobthing.my/customer/203106</v>
      </c>
      <c r="I1783" t="inlineStr">
        <is>
          <t>MV SYNERGY SDN. BHD.</t>
        </is>
      </c>
      <c r="J1783" t="inlineStr">
        <is>
          <t>Small Fish</t>
        </is>
      </c>
      <c r="K1783" t="inlineStr">
        <is>
          <t>Luqman</t>
        </is>
      </c>
      <c r="L1783" s="4"/>
      <c r="M1783" s="4">
        <v>46122.72792824074</v>
      </c>
      <c r="N1783"/>
      <c r="O1783">
        <v>3888</v>
      </c>
      <c r="P1783" s="4"/>
      <c r="Q1783" s="4"/>
      <c r="R1783"/>
      <c r="S1783"/>
      <c r="T1783" s="4"/>
      <c r="U1783" s="4"/>
      <c r="V1783"/>
      <c r="W1783"/>
      <c r="X1783"/>
      <c r="Y1783" t="inlineStr">
        <is>
          <t>Pending Appointment</t>
        </is>
      </c>
      <c r="Z1783" t="inlineStr">
        <is>
          <t>Hiring Now</t>
        </is>
      </c>
      <c r="AA1783">
        <v>1</v>
      </c>
      <c r="AB1783" t="inlineStr">
        <is>
          <t>No Appointment Made</t>
        </is>
      </c>
      <c r="AC1783"/>
      <c r="AD1783" t="inlineStr">
        <is>
          <t xml:space="preserve">1. Cook </t>
        </is>
      </c>
      <c r="AE1783"/>
      <c r="AF1783">
        <v>800</v>
      </c>
      <c r="AG1783" s="4"/>
      <c r="AH1783" s="4"/>
      <c r="AI1783">
        <v>800</v>
      </c>
      <c r="AJ1783"/>
      <c r="AK1783" t="inlineStr">
        <is>
          <t>No, I don't need at all</t>
        </is>
      </c>
      <c r="AL1783">
        <v>1</v>
      </c>
      <c r="AM1783" t="inlineStr">
        <is>
          <t>No, I don't need at all</t>
        </is>
      </c>
      <c r="AN1783"/>
      <c r="AO1783" t="inlineStr">
        <is>
          <t>No, I don't need at all</t>
        </is>
      </c>
      <c r="AP1783" t="inlineStr">
        <is>
          <t>Once a year (25%)</t>
        </is>
      </c>
      <c r="AQ1783">
        <v>1</v>
      </c>
      <c r="AR1783" t="inlineStr">
        <is>
          <t>Free Job Portal</t>
        </is>
      </c>
      <c r="AS1783" t="inlineStr">
        <is>
          <t>- Headcount: 1
- Hiring Job Details: 1 Cook
- Hiring Urgency: Hiring Now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is>
      </c>
      <c r="AT1783">
        <v>115</v>
      </c>
      <c r="AU1783" t="inlineStr">
        <is>
          <t>1.15</t>
        </is>
      </c>
      <c r="AV1783" t="inlineStr">
        <is>
          <t>15</t>
        </is>
      </c>
      <c r="AW1783" t="inlineStr">
        <is>
          <t>0</t>
        </is>
      </c>
      <c r="AX1783" t="inlineStr">
        <is>
          <t>Not Qualified</t>
        </is>
      </c>
      <c r="AY1783" s="4"/>
      <c r="AZ1783"/>
      <c r="BA1783"/>
      <c r="BB1783"/>
      <c r="BC1783" t="inlineStr">
        <is>
          <t>Utilize free job portal</t>
        </is>
      </c>
      <c r="BD1783" s="4">
        <v>46127.685266203705</v>
      </c>
      <c r="BE1783"/>
      <c r="BF1783"/>
      <c r="BG1783" t="inlineStr">
        <is>
          <t>Reschedule</t>
        </is>
      </c>
      <c r="BH1783" t="inlineStr">
        <is>
          <t>Edward Hoo</t>
        </is>
      </c>
      <c r="BI1783"/>
      <c r="BJ1783" s="4">
        <v>46144.754212962966</v>
      </c>
      <c r="BK1783" s="4">
        <v>46122.725127314814</v>
      </c>
      <c r="BL1783" t="inlineStr">
        <is>
          <t>0.0</t>
        </is>
      </c>
      <c r="BM1783" t="inlineStr">
        <is>
          <t>0.0</t>
        </is>
      </c>
      <c r="BN1783" t="inlineStr">
        <is>
          <t>View Create Job Page V4</t>
        </is>
      </c>
      <c r="BO1783" s="4">
        <v>46125.685902777775</v>
      </c>
      <c r="BP1783">
        <v>166565</v>
      </c>
      <c r="BQ1783"/>
      <c r="BR1783"/>
      <c r="BS1783"/>
      <c r="BT1783"/>
      <c r="BU1783"/>
      <c r="BV1783">
        <v>2706557</v>
      </c>
      <c r="BW1783" t="inlineStr">
        <is>
          <t>Follow Up : Lost - Free Portal</t>
        </is>
      </c>
      <c r="BX1783"/>
      <c r="BY1783"/>
      <c r="BZ1783" s="4"/>
      <c r="CA1783"/>
      <c r="CB1783"/>
      <c r="CC1783" s="4"/>
      <c r="CD1783" t="inlineStr">
        <is>
          <t>20</t>
        </is>
      </c>
      <c r="CE1783" t="inlineStr">
        <is>
          <t>0</t>
        </is>
      </c>
      <c r="CF1783" t="inlineStr">
        <is>
          <t>Q2-W02</t>
        </is>
      </c>
      <c r="CG1783"/>
      <c r="CH1783"/>
      <c r="CI1783"/>
      <c r="CJ1783" t="inlineStr">
        <is>
          <t>No Paid</t>
        </is>
      </c>
      <c r="CK1783" t="inlineStr">
        <is>
          <t>Not Eligible</t>
        </is>
      </c>
      <c r="CL1783"/>
      <c r="CM1783"/>
    </row>
    <row r="1784" ht="25.5" customHeight="1">
      <c r="A1784" t="inlineStr">
        <is>
          <t>203099</t>
        </is>
      </c>
      <c r="B1784" s="2"/>
      <c r="C1784"/>
      <c r="D1784" s="3">
        <v>46122.728680555556</v>
      </c>
      <c r="E1784" t="inlineStr">
        <is>
          <t>Q2-W02</t>
        </is>
      </c>
      <c r="F1784" t="inlineStr">
        <is>
          <t>Ken Yi</t>
        </is>
      </c>
      <c r="G1784" t="inlineStr">
        <is>
          <t>Customer</t>
        </is>
      </c>
      <c r="H1784" s="2" t="str">
        <f>=HYPERLINK("https://upbox.ajobthing.my/customer/203099", "https://upbox.ajobthing.my/customer/203099")</f>
        <v>https://upbox.ajobthing.my/customer/203099</v>
      </c>
      <c r="I1784" t="inlineStr">
        <is>
          <t>Diamond Drift Sdn. Bhd.</t>
        </is>
      </c>
      <c r="J1784" t="inlineStr">
        <is>
          <t>Small Fish</t>
        </is>
      </c>
      <c r="K1784" t="inlineStr">
        <is>
          <t>Kenyi</t>
        </is>
      </c>
      <c r="L1784" s="4"/>
      <c r="M1784" s="4">
        <v>46122.72957175926</v>
      </c>
      <c r="N1784"/>
      <c r="O1784">
        <v>1296</v>
      </c>
      <c r="P1784" s="4"/>
      <c r="Q1784" s="4"/>
      <c r="R1784"/>
      <c r="S1784"/>
      <c r="T1784" s="4"/>
      <c r="U1784" s="4"/>
      <c r="V1784"/>
      <c r="W1784"/>
      <c r="X1784"/>
      <c r="Y1784" t="inlineStr">
        <is>
          <t>Pending Appointment</t>
        </is>
      </c>
      <c r="Z1784" t="inlineStr">
        <is>
          <t>Hiring Now</t>
        </is>
      </c>
      <c r="AA1784">
        <v>1</v>
      </c>
      <c r="AB1784" t="inlineStr">
        <is>
          <t>No Appointment Made</t>
        </is>
      </c>
      <c r="AC1784"/>
      <c r="AD1784" t="inlineStr">
        <is>
          <t>Retail Assistant</t>
        </is>
      </c>
      <c r="AE1784"/>
      <c r="AF1784">
        <v>0</v>
      </c>
      <c r="AG1784" s="4"/>
      <c r="AH1784" s="4"/>
      <c r="AI1784">
        <v>0</v>
      </c>
      <c r="AJ1784">
        <v>1</v>
      </c>
      <c r="AK1784" t="inlineStr">
        <is>
          <t>No, I don't need at all</t>
        </is>
      </c>
      <c r="AL1784">
        <v>0</v>
      </c>
      <c r="AM1784" t="inlineStr">
        <is>
          <t>No, I don't need at all</t>
        </is>
      </c>
      <c r="AN1784"/>
      <c r="AO1784" t="inlineStr">
        <is>
          <t>No, I don't need at all</t>
        </is>
      </c>
      <c r="AP1784" t="inlineStr">
        <is>
          <t>Every month (100%)</t>
        </is>
      </c>
      <c r="AQ1784">
        <v>1</v>
      </c>
      <c r="AR1784" t="inlineStr">
        <is>
          <t>Free Job Portal</t>
        </is>
      </c>
      <c r="AS1784" t="inlineStr">
        <is>
          <t>- Headcount: 1
- Hiring Job Details: Retail Assistant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Free Job Portal</t>
        </is>
      </c>
      <c r="AT1784">
        <v>105</v>
      </c>
      <c r="AU1784" t="inlineStr">
        <is>
          <t>1.05</t>
        </is>
      </c>
      <c r="AV1784" t="inlineStr">
        <is>
          <t>15</t>
        </is>
      </c>
      <c r="AW1784" t="inlineStr">
        <is>
          <t>0</t>
        </is>
      </c>
      <c r="AX1784" t="inlineStr">
        <is>
          <t>Not Qualified</t>
        </is>
      </c>
      <c r="AY1784" s="4"/>
      <c r="AZ1784"/>
      <c r="BA1784"/>
      <c r="BB1784"/>
      <c r="BC1784" t="inlineStr">
        <is>
          <t>- Headcount: 1
- Hiring Job Details: Retail Assistant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Free Job Portal</t>
        </is>
      </c>
      <c r="BD1784" s="4">
        <v>46122.750069444446</v>
      </c>
      <c r="BE1784"/>
      <c r="BF1784"/>
      <c r="BG1784" t="inlineStr">
        <is>
          <t>Reschedule</t>
        </is>
      </c>
      <c r="BH1784" t="inlineStr">
        <is>
          <t>Fauziah Maharan</t>
        </is>
      </c>
      <c r="BI1784" t="inlineStr">
        <is>
          <t>Gems / Jewellery</t>
        </is>
      </c>
      <c r="BJ1784" s="4">
        <v>46144.754212962966</v>
      </c>
      <c r="BK1784" s="4">
        <v>46122.68103009259</v>
      </c>
      <c r="BL1784" t="inlineStr">
        <is>
          <t>0.0</t>
        </is>
      </c>
      <c r="BM1784" t="inlineStr">
        <is>
          <t>0.0</t>
        </is>
      </c>
      <c r="BN1784" t="inlineStr">
        <is>
          <t>View Company Page</t>
        </is>
      </c>
      <c r="BO1784" s="4">
        <v>46122.74783564815</v>
      </c>
      <c r="BP1784">
        <v>166573</v>
      </c>
      <c r="BQ1784"/>
      <c r="BR1784"/>
      <c r="BS1784"/>
      <c r="BT1784"/>
      <c r="BU1784"/>
      <c r="BV1784">
        <v>2699252</v>
      </c>
      <c r="BW1784" t="inlineStr">
        <is>
          <t>Customer Inquiry</t>
        </is>
      </c>
      <c r="BX1784"/>
      <c r="BY1784"/>
      <c r="BZ1784" s="4"/>
      <c r="CA1784"/>
      <c r="CB1784"/>
      <c r="CC1784" s="4"/>
      <c r="CD1784" t="inlineStr">
        <is>
          <t>20</t>
        </is>
      </c>
      <c r="CE1784" t="inlineStr">
        <is>
          <t>0</t>
        </is>
      </c>
      <c r="CF1784" t="inlineStr">
        <is>
          <t>Q2-W02</t>
        </is>
      </c>
      <c r="CG1784"/>
      <c r="CH1784"/>
      <c r="CI1784"/>
      <c r="CJ1784" t="inlineStr">
        <is>
          <t>No Paid</t>
        </is>
      </c>
      <c r="CK1784" t="inlineStr">
        <is>
          <t>Not Eligible</t>
        </is>
      </c>
      <c r="CL1784"/>
      <c r="CM1784"/>
    </row>
    <row r="1785" ht="25.5" customHeight="1">
      <c r="A1785" t="inlineStr">
        <is>
          <t>190762</t>
        </is>
      </c>
      <c r="B1785" s="2"/>
      <c r="C1785"/>
      <c r="D1785" s="3">
        <v>46122.729363425926</v>
      </c>
      <c r="E1785" t="inlineStr">
        <is>
          <t>Q2-W02</t>
        </is>
      </c>
      <c r="F1785" t="inlineStr">
        <is>
          <t>Xin Hui</t>
        </is>
      </c>
      <c r="G1785" t="inlineStr">
        <is>
          <t>Customer</t>
        </is>
      </c>
      <c r="H1785" s="2" t="str">
        <f>=HYPERLINK("https://upbox.ajobthing.my/customer/190762", "https://upbox.ajobthing.my/customer/190762")</f>
        <v>https://upbox.ajobthing.my/customer/190762</v>
      </c>
      <c r="I1785" t="inlineStr">
        <is>
          <t>Genesis Recruiters Pte. Ltd.</t>
        </is>
      </c>
      <c r="J1785" t="inlineStr">
        <is>
          <t>Small Fish</t>
        </is>
      </c>
      <c r="K1785" t="inlineStr">
        <is>
          <t>Xin Hui</t>
        </is>
      </c>
      <c r="L1785" s="4"/>
      <c r="M1785" s="4">
        <v>46122.73270833334</v>
      </c>
      <c r="N1785"/>
      <c r="O1785">
        <v>3888</v>
      </c>
      <c r="P1785" s="4"/>
      <c r="Q1785" s="4"/>
      <c r="R1785"/>
      <c r="S1785"/>
      <c r="T1785" s="4"/>
      <c r="U1785" s="4"/>
      <c r="V1785"/>
      <c r="W1785"/>
      <c r="X1785"/>
      <c r="Y1785" t="inlineStr">
        <is>
          <t>Pending Appointment</t>
        </is>
      </c>
      <c r="Z1785" t="inlineStr">
        <is>
          <t>Hiring Later</t>
        </is>
      </c>
      <c r="AA1785">
        <v>2</v>
      </c>
      <c r="AB1785" t="inlineStr">
        <is>
          <t>No Appointment Made</t>
        </is>
      </c>
      <c r="AC1785"/>
      <c r="AD1785" t="inlineStr">
        <is>
          <t xml:space="preserve">QS / Waiter </t>
        </is>
      </c>
      <c r="AE1785"/>
      <c r="AF1785"/>
      <c r="AG1785" s="4"/>
      <c r="AH1785" s="4"/>
      <c r="AI1785"/>
      <c r="AJ1785"/>
      <c r="AK1785" t="inlineStr">
        <is>
          <t>No, I don't need at all</t>
        </is>
      </c>
      <c r="AL1785"/>
      <c r="AM1785" t="inlineStr">
        <is>
          <t>No, I don't need at all</t>
        </is>
      </c>
      <c r="AN1785"/>
      <c r="AO1785" t="inlineStr">
        <is>
          <t>No, I don't need at all</t>
        </is>
      </c>
      <c r="AP1785" t="inlineStr">
        <is>
          <t>Once a year (25%)</t>
        </is>
      </c>
      <c r="AQ1785"/>
      <c r="AR1785"/>
      <c r="AS1785" t="inlineStr">
        <is>
          <t>- Headcount: 2
- Hiring Job Details: QS / Waiter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
- Hiring Urgency: Hiring Later</t>
        </is>
      </c>
      <c r="AT1785">
        <v>75</v>
      </c>
      <c r="AU1785" t="inlineStr">
        <is>
          <t>0.75</t>
        </is>
      </c>
      <c r="AV1785" t="inlineStr">
        <is>
          <t>5</t>
        </is>
      </c>
      <c r="AW1785" t="inlineStr">
        <is>
          <t>0</t>
        </is>
      </c>
      <c r="AX1785" t="inlineStr">
        <is>
          <t>Not Qualified</t>
        </is>
      </c>
      <c r="AY1785" s="4"/>
      <c r="AZ1785"/>
      <c r="BA1785"/>
      <c r="BB1785"/>
      <c r="BC1785" t="inlineStr">
        <is>
          <t>decision pending</t>
        </is>
      </c>
      <c r="BD1785" s="4">
        <v>46133.50177083333</v>
      </c>
      <c r="BE1785"/>
      <c r="BF1785"/>
      <c r="BG1785" t="inlineStr">
        <is>
          <t>Reschedule</t>
        </is>
      </c>
      <c r="BH1785" t="inlineStr">
        <is>
          <t>Yee Hang</t>
        </is>
      </c>
      <c r="BI1785"/>
      <c r="BJ1785" s="4">
        <v>46144.75237268519</v>
      </c>
      <c r="BK1785" s="4">
        <v>45779.457083333335</v>
      </c>
      <c r="BL1785" t="inlineStr">
        <is>
          <t>0.0</t>
        </is>
      </c>
      <c r="BM1785" t="inlineStr">
        <is>
          <t>0.0</t>
        </is>
      </c>
      <c r="BN1785" t="inlineStr">
        <is>
          <t>View Company Page</t>
        </is>
      </c>
      <c r="BO1785" s="4">
        <v>45779.678819444445</v>
      </c>
      <c r="BP1785">
        <v>166576</v>
      </c>
      <c r="BQ1785"/>
      <c r="BR1785"/>
      <c r="BS1785"/>
      <c r="BT1785"/>
      <c r="BU1785"/>
      <c r="BV1785">
        <v>2717603</v>
      </c>
      <c r="BW1785" t="inlineStr">
        <is>
          <t>Follow Up : Decision Pending</t>
        </is>
      </c>
      <c r="BX1785"/>
      <c r="BY1785"/>
      <c r="BZ1785" s="4"/>
      <c r="CA1785"/>
      <c r="CB1785"/>
      <c r="CC1785" s="4"/>
      <c r="CD1785" t="inlineStr">
        <is>
          <t>5</t>
        </is>
      </c>
      <c r="CE1785" t="inlineStr">
        <is>
          <t>0</t>
        </is>
      </c>
      <c r="CF1785" t="inlineStr">
        <is>
          <t>Q2-W02</t>
        </is>
      </c>
      <c r="CG1785"/>
      <c r="CH1785"/>
      <c r="CI1785"/>
      <c r="CJ1785" t="inlineStr">
        <is>
          <t>No Paid</t>
        </is>
      </c>
      <c r="CK1785" t="inlineStr">
        <is>
          <t>Not Eligible</t>
        </is>
      </c>
      <c r="CL1785"/>
      <c r="CM1785"/>
    </row>
    <row r="1786" ht="25.5" customHeight="1">
      <c r="A1786" t="inlineStr">
        <is>
          <t>191187</t>
        </is>
      </c>
      <c r="B1786" s="2"/>
      <c r="C1786"/>
      <c r="D1786" s="3">
        <v>46122.74188657408</v>
      </c>
      <c r="E1786" t="inlineStr">
        <is>
          <t>Q2-W02</t>
        </is>
      </c>
      <c r="F1786" t="inlineStr">
        <is>
          <t>Jeff Lee</t>
        </is>
      </c>
      <c r="G1786" t="inlineStr">
        <is>
          <t>Customer</t>
        </is>
      </c>
      <c r="H1786" s="2" t="str">
        <f>=HYPERLINK("https://upbox.ajobthing.my/customer/191187", "https://upbox.ajobthing.my/customer/191187")</f>
        <v>https://upbox.ajobthing.my/customer/191187</v>
      </c>
      <c r="I1786" t="inlineStr">
        <is>
          <t>Agensi Pekerjaan Expat2u Sdn Bhd</t>
        </is>
      </c>
      <c r="J1786" t="inlineStr">
        <is>
          <t>Small Fish</t>
        </is>
      </c>
      <c r="K1786" t="inlineStr">
        <is>
          <t>Jeff Lee</t>
        </is>
      </c>
      <c r="L1786" s="4"/>
      <c r="M1786" s="4">
        <v>46122.73893518518</v>
      </c>
      <c r="N1786"/>
      <c r="O1786">
        <v>3888</v>
      </c>
      <c r="P1786" s="4"/>
      <c r="Q1786" s="4"/>
      <c r="R1786"/>
      <c r="S1786"/>
      <c r="T1786" s="4"/>
      <c r="U1786" s="4"/>
      <c r="V1786"/>
      <c r="W1786"/>
      <c r="X1786"/>
      <c r="Y1786" t="inlineStr">
        <is>
          <t>Pending Appointment</t>
        </is>
      </c>
      <c r="Z1786" t="inlineStr">
        <is>
          <t>Hiring Now</t>
        </is>
      </c>
      <c r="AA1786">
        <v>2</v>
      </c>
      <c r="AB1786" t="inlineStr">
        <is>
          <t>No Appointment Made</t>
        </is>
      </c>
      <c r="AC1786"/>
      <c r="AD1786" t="inlineStr">
        <is>
          <t>Position : Admin Assistant / Admin Executive 
Vacancy : 1 to 2 headcount</t>
        </is>
      </c>
      <c r="AE1786"/>
      <c r="AF1786">
        <v>0</v>
      </c>
      <c r="AG1786" s="4"/>
      <c r="AH1786" s="4"/>
      <c r="AI1786">
        <v>0</v>
      </c>
      <c r="AJ1786">
        <v>0</v>
      </c>
      <c r="AK1786" t="inlineStr">
        <is>
          <t>No, I don't need at all</t>
        </is>
      </c>
      <c r="AL1786">
        <v>0</v>
      </c>
      <c r="AM1786" t="inlineStr">
        <is>
          <t>No, I don't need at all</t>
        </is>
      </c>
      <c r="AN1786"/>
      <c r="AO1786" t="inlineStr">
        <is>
          <t>No, I don't need at all</t>
        </is>
      </c>
      <c r="AP1786" t="inlineStr">
        <is>
          <t>Once a year (25%)</t>
        </is>
      </c>
      <c r="AQ1786">
        <v>0</v>
      </c>
      <c r="AR1786"/>
      <c r="AS1786" t="inlineStr">
        <is>
          <t>- Headcount: 2
- Hiring Job Details: Admin Assistant / Admin Executive, 1 to 2 headcount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None</t>
        </is>
      </c>
      <c r="AT1786">
        <v>95</v>
      </c>
      <c r="AU1786" t="inlineStr">
        <is>
          <t>0.95</t>
        </is>
      </c>
      <c r="AV1786" t="inlineStr">
        <is>
          <t>15</t>
        </is>
      </c>
      <c r="AW1786" t="inlineStr">
        <is>
          <t>0</t>
        </is>
      </c>
      <c r="AX1786" t="inlineStr">
        <is>
          <t>Not Qualified</t>
        </is>
      </c>
      <c r="AY1786" s="4"/>
      <c r="AZ1786"/>
      <c r="BA1786"/>
      <c r="BB1786"/>
      <c r="BC1786" t="inlineStr">
        <is>
          <t>looking for foc</t>
        </is>
      </c>
      <c r="BD1786" s="4">
        <v>46129.66707175926</v>
      </c>
      <c r="BE1786"/>
      <c r="BF1786"/>
      <c r="BG1786" t="inlineStr">
        <is>
          <t>Reschedule</t>
        </is>
      </c>
      <c r="BH1786" t="inlineStr">
        <is>
          <t>Yee Hang</t>
        </is>
      </c>
      <c r="BI1786" t="inlineStr">
        <is>
          <t>Other industries</t>
        </is>
      </c>
      <c r="BJ1786" s="4">
        <v>46144.75239583333</v>
      </c>
      <c r="BK1786" s="4">
        <v>45790.65393518518</v>
      </c>
      <c r="BL1786" t="inlineStr">
        <is>
          <t>0.0</t>
        </is>
      </c>
      <c r="BM1786" t="inlineStr">
        <is>
          <t>600.0</t>
        </is>
      </c>
      <c r="BN1786" t="inlineStr">
        <is>
          <t>View Company Page</t>
        </is>
      </c>
      <c r="BO1786" s="4">
        <v>45791.42560185185</v>
      </c>
      <c r="BP1786">
        <v>166588</v>
      </c>
      <c r="BQ1786"/>
      <c r="BR1786"/>
      <c r="BS1786"/>
      <c r="BT1786"/>
      <c r="BU1786"/>
      <c r="BV1786">
        <v>2712667</v>
      </c>
      <c r="BW1786" t="inlineStr">
        <is>
          <t>Follow Up : Lost - Free Portal</t>
        </is>
      </c>
      <c r="BX1786"/>
      <c r="BY1786"/>
      <c r="BZ1786" s="4"/>
      <c r="CA1786"/>
      <c r="CB1786"/>
      <c r="CC1786" s="4"/>
      <c r="CD1786" t="inlineStr">
        <is>
          <t>20</t>
        </is>
      </c>
      <c r="CE1786" t="inlineStr">
        <is>
          <t>0</t>
        </is>
      </c>
      <c r="CF1786" t="inlineStr">
        <is>
          <t>Q2-W02</t>
        </is>
      </c>
      <c r="CG1786"/>
      <c r="CH1786"/>
      <c r="CI1786"/>
      <c r="CJ1786" t="inlineStr">
        <is>
          <t>No Paid</t>
        </is>
      </c>
      <c r="CK1786" t="inlineStr">
        <is>
          <t>Not Eligible</t>
        </is>
      </c>
      <c r="CL1786"/>
      <c r="CM1786"/>
    </row>
    <row r="1787" ht="25.5" customHeight="1">
      <c r="A1787" t="inlineStr">
        <is>
          <t>153219</t>
        </is>
      </c>
      <c r="B1787" s="2"/>
      <c r="C1787"/>
      <c r="D1787" s="3">
        <v>46122.750243055554</v>
      </c>
      <c r="E1787" t="inlineStr">
        <is>
          <t>Q2-W02</t>
        </is>
      </c>
      <c r="F1787" t="inlineStr">
        <is>
          <t>Xin Hui</t>
        </is>
      </c>
      <c r="G1787" t="inlineStr">
        <is>
          <t>Customer</t>
        </is>
      </c>
      <c r="H1787" s="2" t="str">
        <f>=HYPERLINK("https://upbox.ajobthing.my/customer/153219", "https://upbox.ajobthing.my/customer/153219")</f>
        <v>https://upbox.ajobthing.my/customer/153219</v>
      </c>
      <c r="I1787" t="inlineStr">
        <is>
          <t>KL Alexander Group 1</t>
        </is>
      </c>
      <c r="J1787" t="inlineStr">
        <is>
          <t>Small Fish</t>
        </is>
      </c>
      <c r="K1787" t="inlineStr">
        <is>
          <t>Xin Hui</t>
        </is>
      </c>
      <c r="L1787" s="4"/>
      <c r="M1787" s="4">
        <v>46128.717986111114</v>
      </c>
      <c r="N1787"/>
      <c r="O1787">
        <v>9504</v>
      </c>
      <c r="P1787" s="4"/>
      <c r="Q1787" s="4"/>
      <c r="R1787"/>
      <c r="S1787"/>
      <c r="T1787" s="4"/>
      <c r="U1787" s="4"/>
      <c r="V1787"/>
      <c r="W1787"/>
      <c r="X1787"/>
      <c r="Y1787" t="inlineStr">
        <is>
          <t>Pending Appointment</t>
        </is>
      </c>
      <c r="Z1787" t="inlineStr">
        <is>
          <t>Hiring Now</t>
        </is>
      </c>
      <c r="AA1787">
        <v>10</v>
      </c>
      <c r="AB1787" t="inlineStr">
        <is>
          <t>No Appointment Made</t>
        </is>
      </c>
      <c r="AC1787"/>
      <c r="AD1787" t="inlineStr">
        <is>
          <t>10 agent</t>
        </is>
      </c>
      <c r="AE1787"/>
      <c r="AF1787"/>
      <c r="AG1787" s="4"/>
      <c r="AH1787" s="4"/>
      <c r="AI1787"/>
      <c r="AJ1787"/>
      <c r="AK1787" t="inlineStr">
        <is>
          <t>No, I don't need at all</t>
        </is>
      </c>
      <c r="AL1787"/>
      <c r="AM1787" t="inlineStr">
        <is>
          <t>No, I don't need at all</t>
        </is>
      </c>
      <c r="AN1787"/>
      <c r="AO1787" t="inlineStr">
        <is>
          <t>No, I don't need at all</t>
        </is>
      </c>
      <c r="AP1787" t="inlineStr">
        <is>
          <t>Once a year (25%)</t>
        </is>
      </c>
      <c r="AQ1787"/>
      <c r="AR1787"/>
      <c r="AS1787" t="inlineStr">
        <is>
          <t>- Headcount: 10
- Hiring Job Details: 10 agent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a year (25%)
- External job portal: N/A
- Hiring Urgency: Hiring Now</t>
        </is>
      </c>
      <c r="AT1787">
        <v>75</v>
      </c>
      <c r="AU1787" t="inlineStr">
        <is>
          <t>0.75</t>
        </is>
      </c>
      <c r="AV1787" t="inlineStr">
        <is>
          <t>10</t>
        </is>
      </c>
      <c r="AW1787" t="inlineStr">
        <is>
          <t>0</t>
        </is>
      </c>
      <c r="AX1787" t="inlineStr">
        <is>
          <t>Not Qualified</t>
        </is>
      </c>
      <c r="AY1787" s="4"/>
      <c r="AZ1787"/>
      <c r="BA1787"/>
      <c r="BB1787"/>
      <c r="BC1787" t="inlineStr">
        <is>
          <t>boss cakap nak tunggu early May dulu</t>
        </is>
      </c>
      <c r="BD1787" s="4">
        <v>46141.59510416666</v>
      </c>
      <c r="BE1787"/>
      <c r="BF1787"/>
      <c r="BG1787" t="inlineStr">
        <is>
          <t>Reschedule</t>
        </is>
      </c>
      <c r="BH1787" t="inlineStr">
        <is>
          <t>Yee Hang</t>
        </is>
      </c>
      <c r="BI1787" t="inlineStr">
        <is>
          <t>Insurance</t>
        </is>
      </c>
      <c r="BJ1787" s="4">
        <v>46144.7509375</v>
      </c>
      <c r="BK1787" s="4">
        <v>44679.536770833336</v>
      </c>
      <c r="BL1787" t="inlineStr">
        <is>
          <t>0.0</t>
        </is>
      </c>
      <c r="BM1787" t="inlineStr">
        <is>
          <t>0.0</t>
        </is>
      </c>
      <c r="BN1787" t="inlineStr">
        <is>
          <t>View Shop</t>
        </is>
      </c>
      <c r="BO1787" s="4">
        <v>44838.62081018519</v>
      </c>
      <c r="BP1787">
        <v>167493</v>
      </c>
      <c r="BQ1787"/>
      <c r="BR1787"/>
      <c r="BS1787"/>
      <c r="BT1787"/>
      <c r="BU1787"/>
      <c r="BV1787">
        <v>2735247</v>
      </c>
      <c r="BW1787" t="inlineStr">
        <is>
          <t>Follow Up : Decision Pending</t>
        </is>
      </c>
      <c r="BX1787"/>
      <c r="BY1787"/>
      <c r="BZ1787" s="4"/>
      <c r="CA1787"/>
      <c r="CB1787"/>
      <c r="CC1787" s="4"/>
      <c r="CD1787" t="inlineStr">
        <is>
          <t>15</t>
        </is>
      </c>
      <c r="CE1787" t="inlineStr">
        <is>
          <t>0</t>
        </is>
      </c>
      <c r="CF1787" t="inlineStr">
        <is>
          <t>Q2-W02</t>
        </is>
      </c>
      <c r="CG1787"/>
      <c r="CH1787"/>
      <c r="CI1787"/>
      <c r="CJ1787" t="inlineStr">
        <is>
          <t>No Paid</t>
        </is>
      </c>
      <c r="CK1787" t="inlineStr">
        <is>
          <t>Eligible</t>
        </is>
      </c>
      <c r="CL1787"/>
      <c r="CM1787"/>
    </row>
    <row r="1788" ht="25.5" customHeight="1">
      <c r="A1788" t="inlineStr">
        <is>
          <t>174238</t>
        </is>
      </c>
      <c r="B1788" s="2"/>
      <c r="C1788"/>
      <c r="D1788" s="3">
        <v>46122.75466435185</v>
      </c>
      <c r="E1788" t="inlineStr">
        <is>
          <t>Q2-W02</t>
        </is>
      </c>
      <c r="F1788" t="inlineStr">
        <is>
          <t>Derek Lim</t>
        </is>
      </c>
      <c r="G1788" t="inlineStr">
        <is>
          <t>Customer</t>
        </is>
      </c>
      <c r="H1788" s="2" t="str">
        <f>=HYPERLINK("https://upbox.ajobthing.my/customer/174238", "https://upbox.ajobthing.my/customer/174238")</f>
        <v>https://upbox.ajobthing.my/customer/174238</v>
      </c>
      <c r="I1788" t="inlineStr">
        <is>
          <t>Dusit International Sdn Bhd</t>
        </is>
      </c>
      <c r="J1788" t="inlineStr">
        <is>
          <t>Small Fish</t>
        </is>
      </c>
      <c r="K1788" t="inlineStr">
        <is>
          <t>Derek Lim</t>
        </is>
      </c>
      <c r="L1788" s="4"/>
      <c r="M1788" s="4">
        <v>46122.754791666666</v>
      </c>
      <c r="N1788"/>
      <c r="O1788">
        <v>1296</v>
      </c>
      <c r="P1788" s="4"/>
      <c r="Q1788" s="4">
        <v>45355.6349537037</v>
      </c>
      <c r="R1788"/>
      <c r="S1788">
        <v>648</v>
      </c>
      <c r="T1788" s="4">
        <v>45355.6349537037</v>
      </c>
      <c r="U1788" s="4"/>
      <c r="V1788"/>
      <c r="W1788">
        <v>648</v>
      </c>
      <c r="X1788"/>
      <c r="Y1788" t="inlineStr">
        <is>
          <t>Pending Appointment</t>
        </is>
      </c>
      <c r="Z1788" t="inlineStr">
        <is>
          <t>Hiring Now</t>
        </is>
      </c>
      <c r="AA1788"/>
      <c r="AB1788" t="inlineStr">
        <is>
          <t>No Appointment Made</t>
        </is>
      </c>
      <c r="AC1788"/>
      <c r="AD1788" t="inlineStr">
        <is>
          <t>driver - 1</t>
        </is>
      </c>
      <c r="AE1788"/>
      <c r="AF1788">
        <v>600</v>
      </c>
      <c r="AG1788" s="4"/>
      <c r="AH1788" s="4"/>
      <c r="AI1788">
        <v>600</v>
      </c>
      <c r="AJ1788">
        <v>1</v>
      </c>
      <c r="AK1788" t="inlineStr">
        <is>
          <t>No, I don't need at all</t>
        </is>
      </c>
      <c r="AL1788">
        <v>0</v>
      </c>
      <c r="AM1788" t="inlineStr">
        <is>
          <t>No, I don't need at all</t>
        </is>
      </c>
      <c r="AN1788"/>
      <c r="AO1788" t="inlineStr">
        <is>
          <t>No, I don't need at all</t>
        </is>
      </c>
      <c r="AP1788" t="inlineStr">
        <is>
          <t>Once a year (25%)</t>
        </is>
      </c>
      <c r="AQ1788">
        <v>1</v>
      </c>
      <c r="AR1788" t="inlineStr">
        <is>
          <t>Free Job Portal</t>
        </is>
      </c>
      <c r="AS1788" t="inlineStr">
        <is>
          <t>- Headcount: Not specified
- Hiring Job Details: 1 driver
- Hiring Urgency: Hiring Now
- Number of outlets: 1
- Have recruiter team: No, I don't need at all
- Number of recruiter in company: 0
- Have ATS system: No, I don't need at all
- Have career website: No, I don't need at all
- Current hiring budget: RM600
- Whole year budget: RM600.00
- Whole year number of vacancies: 1
- Hiring frequency: Once a year (25%)
- External job portal: Free Job Portal</t>
        </is>
      </c>
      <c r="AT1788">
        <v>115</v>
      </c>
      <c r="AU1788" t="inlineStr">
        <is>
          <t>1.15</t>
        </is>
      </c>
      <c r="AV1788" t="inlineStr">
        <is>
          <t>15</t>
        </is>
      </c>
      <c r="AW1788" t="inlineStr">
        <is>
          <t>0</t>
        </is>
      </c>
      <c r="AX1788" t="inlineStr">
        <is>
          <t>Not Qualified</t>
        </is>
      </c>
      <c r="AY1788" s="4"/>
      <c r="AZ1788"/>
      <c r="BA1788"/>
      <c r="BB1788"/>
      <c r="BC1788" t="inlineStr">
        <is>
          <t>SHE MENTION ALREADY BUY WITH SOMEONE ELSE MUCH MORE CHEAPER</t>
        </is>
      </c>
      <c r="BD1788" s="4">
        <v>46128.64501157407</v>
      </c>
      <c r="BE1788" t="inlineStr">
        <is>
          <t>paid</t>
        </is>
      </c>
      <c r="BF1788"/>
      <c r="BG1788" t="inlineStr">
        <is>
          <t>Reschedule</t>
        </is>
      </c>
      <c r="BH1788" t="inlineStr">
        <is>
          <t>Edward Hoo</t>
        </is>
      </c>
      <c r="BI1788"/>
      <c r="BJ1788" s="4">
        <v>46144.751550925925</v>
      </c>
      <c r="BK1788" s="4">
        <v>45294.56086805555</v>
      </c>
      <c r="BL1788" t="inlineStr">
        <is>
          <t>0.0</t>
        </is>
      </c>
      <c r="BM1788" t="inlineStr">
        <is>
          <t>0.0</t>
        </is>
      </c>
      <c r="BN1788" t="inlineStr">
        <is>
          <t>View Candidate Search Page</t>
        </is>
      </c>
      <c r="BO1788" s="4">
        <v>45443.618310185186</v>
      </c>
      <c r="BP1788">
        <v>166611</v>
      </c>
      <c r="BQ1788">
        <v>66551</v>
      </c>
      <c r="BR1788" t="inlineStr">
        <is>
          <t>Online</t>
        </is>
      </c>
      <c r="BS1788"/>
      <c r="BT1788">
        <v>66551</v>
      </c>
      <c r="BU1788"/>
      <c r="BV1788">
        <v>2709806</v>
      </c>
      <c r="BW1788" t="inlineStr">
        <is>
          <t>Follow Up : Lost - Paid Portal</t>
        </is>
      </c>
      <c r="BX1788"/>
      <c r="BY1788"/>
      <c r="BZ1788" s="4"/>
      <c r="CA1788"/>
      <c r="CB1788"/>
      <c r="CC1788" s="4"/>
      <c r="CD1788" t="inlineStr">
        <is>
          <t>20</t>
        </is>
      </c>
      <c r="CE1788" t="inlineStr">
        <is>
          <t>0</t>
        </is>
      </c>
      <c r="CF1788" t="inlineStr">
        <is>
          <t>Q2-W02</t>
        </is>
      </c>
      <c r="CG1788"/>
      <c r="CH1788"/>
      <c r="CI1788"/>
      <c r="CJ1788" t="inlineStr">
        <is>
          <t>Paid</t>
        </is>
      </c>
      <c r="CK1788" t="inlineStr">
        <is>
          <t>Not Eligible</t>
        </is>
      </c>
      <c r="CL1788"/>
      <c r="CM1788"/>
    </row>
    <row r="1789" ht="25.5" customHeight="1">
      <c r="A1789" t="inlineStr">
        <is>
          <t>203108</t>
        </is>
      </c>
      <c r="B1789" s="2"/>
      <c r="C1789"/>
      <c r="D1789" s="3">
        <v>46122.75549768518</v>
      </c>
      <c r="E1789" t="inlineStr">
        <is>
          <t>Q2-W02</t>
        </is>
      </c>
      <c r="F1789" t="inlineStr">
        <is>
          <t>Alan KY</t>
        </is>
      </c>
      <c r="G1789" t="inlineStr">
        <is>
          <t>Customer</t>
        </is>
      </c>
      <c r="H1789" s="2" t="str">
        <f>=HYPERLINK("https://upbox.ajobthing.my/customer/203108", "https://upbox.ajobthing.my/customer/203108")</f>
        <v>https://upbox.ajobthing.my/customer/203108</v>
      </c>
      <c r="I1789" t="inlineStr">
        <is>
          <t>Hairology Holding Sdn Bhd</t>
        </is>
      </c>
      <c r="J1789" t="inlineStr">
        <is>
          <t>Small Fish</t>
        </is>
      </c>
      <c r="K1789" t="inlineStr">
        <is>
          <t>Alan KY</t>
        </is>
      </c>
      <c r="L1789" s="4"/>
      <c r="M1789" s="4">
        <v>46122.751747685186</v>
      </c>
      <c r="N1789"/>
      <c r="O1789">
        <v>6048</v>
      </c>
      <c r="P1789" s="4"/>
      <c r="Q1789" s="4"/>
      <c r="R1789"/>
      <c r="S1789"/>
      <c r="T1789" s="4"/>
      <c r="U1789" s="4"/>
      <c r="V1789"/>
      <c r="W1789"/>
      <c r="X1789"/>
      <c r="Y1789" t="inlineStr">
        <is>
          <t>Pending Appointment</t>
        </is>
      </c>
      <c r="Z1789" t="inlineStr">
        <is>
          <t>Hiring Now</t>
        </is>
      </c>
      <c r="AA1789">
        <v>2</v>
      </c>
      <c r="AB1789" t="inlineStr">
        <is>
          <t>No Appointment Made</t>
        </is>
      </c>
      <c r="AC1789"/>
      <c r="AD1789" t="inlineStr">
        <is>
          <t xml:space="preserve">hair therapist , sales consultant </t>
        </is>
      </c>
      <c r="AE1789"/>
      <c r="AF1789"/>
      <c r="AG1789" s="4"/>
      <c r="AH1789" s="4"/>
      <c r="AI1789"/>
      <c r="AJ1789"/>
      <c r="AK1789" t="inlineStr">
        <is>
          <t>No, I don't need at all</t>
        </is>
      </c>
      <c r="AL1789"/>
      <c r="AM1789" t="inlineStr">
        <is>
          <t>No, I don't need at all</t>
        </is>
      </c>
      <c r="AN1789"/>
      <c r="AO1789" t="inlineStr">
        <is>
          <t>No, I don't need at all</t>
        </is>
      </c>
      <c r="AP1789" t="inlineStr">
        <is>
          <t>Every month (100%)</t>
        </is>
      </c>
      <c r="AQ1789"/>
      <c r="AR1789"/>
      <c r="AS1789" t="inlineStr">
        <is>
          <t>- Headcount: 2
- Hiring Job Details: hair therapist, sales consultant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Not specified</t>
        </is>
      </c>
      <c r="AT1789">
        <v>70</v>
      </c>
      <c r="AU1789" t="inlineStr">
        <is>
          <t>0.70</t>
        </is>
      </c>
      <c r="AV1789" t="inlineStr">
        <is>
          <t>5</t>
        </is>
      </c>
      <c r="AW1789" t="inlineStr">
        <is>
          <t>0</t>
        </is>
      </c>
      <c r="AX1789" t="inlineStr">
        <is>
          <t>Not Qualified</t>
        </is>
      </c>
      <c r="AY1789" s="4"/>
      <c r="AZ1789"/>
      <c r="BA1789"/>
      <c r="BB1789"/>
      <c r="BC1789" t="inlineStr">
        <is>
          <t>Pending decision</t>
        </is>
      </c>
      <c r="BD1789" s="4">
        <v>46134.661574074074</v>
      </c>
      <c r="BE1789"/>
      <c r="BF1789"/>
      <c r="BG1789" t="inlineStr">
        <is>
          <t>Reschedule</t>
        </is>
      </c>
      <c r="BH1789" t="inlineStr">
        <is>
          <t>Reagen</t>
        </is>
      </c>
      <c r="BI1789" t="inlineStr">
        <is>
          <t>Beauty / Fitness</t>
        </is>
      </c>
      <c r="BJ1789" s="4">
        <v>46144.754212962966</v>
      </c>
      <c r="BK1789" s="4">
        <v>46122.73266203704</v>
      </c>
      <c r="BL1789" t="inlineStr">
        <is>
          <t>0.0</t>
        </is>
      </c>
      <c r="BM1789" t="inlineStr">
        <is>
          <t>150.0</t>
        </is>
      </c>
      <c r="BN1789" t="inlineStr">
        <is>
          <t>View Company Page</t>
        </is>
      </c>
      <c r="BO1789" s="4">
        <v>46125.6009375</v>
      </c>
      <c r="BP1789">
        <v>166610</v>
      </c>
      <c r="BQ1789"/>
      <c r="BR1789"/>
      <c r="BS1789"/>
      <c r="BT1789"/>
      <c r="BU1789"/>
      <c r="BV1789">
        <v>2721275</v>
      </c>
      <c r="BW1789" t="inlineStr">
        <is>
          <t>Follow Up : Decision Pending</t>
        </is>
      </c>
      <c r="BX1789"/>
      <c r="BY1789"/>
      <c r="BZ1789" s="4"/>
      <c r="CA1789"/>
      <c r="CB1789"/>
      <c r="CC1789" s="4"/>
      <c r="CD1789" t="inlineStr">
        <is>
          <t>5</t>
        </is>
      </c>
      <c r="CE1789" t="inlineStr">
        <is>
          <t>0</t>
        </is>
      </c>
      <c r="CF1789" t="inlineStr">
        <is>
          <t>Q2-W02</t>
        </is>
      </c>
      <c r="CG1789"/>
      <c r="CH1789"/>
      <c r="CI1789"/>
      <c r="CJ1789" t="inlineStr">
        <is>
          <t>No Paid</t>
        </is>
      </c>
      <c r="CK1789" t="inlineStr">
        <is>
          <t>Not Eligible</t>
        </is>
      </c>
      <c r="CL1789"/>
      <c r="CM1789"/>
    </row>
    <row r="1790" ht="25.5" customHeight="1">
      <c r="A1790" t="inlineStr">
        <is>
          <t>180431</t>
        </is>
      </c>
      <c r="B1790" s="2"/>
      <c r="C1790"/>
      <c r="D1790" s="3">
        <v>46122.76011574074</v>
      </c>
      <c r="E1790" t="inlineStr">
        <is>
          <t>Q2-W02</t>
        </is>
      </c>
      <c r="F1790" t="inlineStr">
        <is>
          <t>Dickson</t>
        </is>
      </c>
      <c r="G1790" t="inlineStr">
        <is>
          <t>Customer</t>
        </is>
      </c>
      <c r="H1790" s="2" t="str">
        <f>=HYPERLINK("https://upbox.ajobthing.my/customer/180431", "https://upbox.ajobthing.my/customer/180431")</f>
        <v>https://upbox.ajobthing.my/customer/180431</v>
      </c>
      <c r="I1790" t="inlineStr">
        <is>
          <t>Prominent Supplies (M) Sdn Bhd</t>
        </is>
      </c>
      <c r="J1790" t="inlineStr">
        <is>
          <t>Small Fish</t>
        </is>
      </c>
      <c r="K1790" t="inlineStr">
        <is>
          <t>Dickson</t>
        </is>
      </c>
      <c r="L1790" s="4"/>
      <c r="M1790" s="4">
        <v>46122.76028935185</v>
      </c>
      <c r="N1790"/>
      <c r="O1790">
        <v>3888</v>
      </c>
      <c r="P1790" s="4"/>
      <c r="Q1790" s="4">
        <v>45486</v>
      </c>
      <c r="R1790"/>
      <c r="S1790">
        <v>648</v>
      </c>
      <c r="T1790" s="4">
        <v>45486</v>
      </c>
      <c r="U1790" s="4"/>
      <c r="V1790"/>
      <c r="W1790">
        <v>648</v>
      </c>
      <c r="X1790"/>
      <c r="Y1790" t="inlineStr">
        <is>
          <t>Pending Appointment</t>
        </is>
      </c>
      <c r="Z1790" t="inlineStr">
        <is>
          <t>Hiring Now</t>
        </is>
      </c>
      <c r="AA1790">
        <v>2</v>
      </c>
      <c r="AB1790" t="inlineStr">
        <is>
          <t>No Appointment Made</t>
        </is>
      </c>
      <c r="AC1790"/>
      <c r="AD1790" t="inlineStr">
        <is>
          <t>1 admin, 1 sales executive</t>
        </is>
      </c>
      <c r="AE1790"/>
      <c r="AF1790"/>
      <c r="AG1790" s="4"/>
      <c r="AH1790" s="4"/>
      <c r="AI1790"/>
      <c r="AJ1790">
        <v>1</v>
      </c>
      <c r="AK1790" t="inlineStr">
        <is>
          <t>No, I don't need at all</t>
        </is>
      </c>
      <c r="AL1790"/>
      <c r="AM1790" t="inlineStr">
        <is>
          <t>No, I don't need at all</t>
        </is>
      </c>
      <c r="AN1790"/>
      <c r="AO1790" t="inlineStr">
        <is>
          <t>No, I don't need at all</t>
        </is>
      </c>
      <c r="AP1790" t="inlineStr">
        <is>
          <t>Once per quarter (75%)</t>
        </is>
      </c>
      <c r="AQ1790"/>
      <c r="AR1790" t="inlineStr">
        <is>
          <t>Jobstreet</t>
        </is>
      </c>
      <c r="AS1790" t="inlineStr">
        <is>
          <t>- Headcount: 2
- Hiring Job Details: 1 admin, 1 sales executive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Jobstreet</t>
        </is>
      </c>
      <c r="AT1790">
        <v>100</v>
      </c>
      <c r="AU1790" t="inlineStr">
        <is>
          <t>1.00</t>
        </is>
      </c>
      <c r="AV1790" t="inlineStr">
        <is>
          <t>5</t>
        </is>
      </c>
      <c r="AW1790" t="inlineStr">
        <is>
          <t>0</t>
        </is>
      </c>
      <c r="AX1790" t="inlineStr">
        <is>
          <t>Not Qualified</t>
        </is>
      </c>
      <c r="AY1790" s="4"/>
      <c r="AZ1790"/>
      <c r="BA1790"/>
      <c r="BB1790"/>
      <c r="BC1790" t="inlineStr">
        <is>
          <t>no response</t>
        </is>
      </c>
      <c r="BD1790" s="4">
        <v>46139.75733796296</v>
      </c>
      <c r="BE1790" t="inlineStr">
        <is>
          <t>paid</t>
        </is>
      </c>
      <c r="BF1790"/>
      <c r="BG1790" t="inlineStr">
        <is>
          <t>Reschedule</t>
        </is>
      </c>
      <c r="BH1790" t="inlineStr">
        <is>
          <t>Edward Hoo</t>
        </is>
      </c>
      <c r="BI1790"/>
      <c r="BJ1790" s="4">
        <v>46144.75184027778</v>
      </c>
      <c r="BK1790" s="4">
        <v>45484.66480324074</v>
      </c>
      <c r="BL1790" t="inlineStr">
        <is>
          <t>0.0</t>
        </is>
      </c>
      <c r="BM1790" t="inlineStr">
        <is>
          <t>600.0</t>
        </is>
      </c>
      <c r="BN1790" t="inlineStr">
        <is>
          <t>View Jobmanager Page</t>
        </is>
      </c>
      <c r="BO1790" s="4">
        <v>45646.63998842592</v>
      </c>
      <c r="BP1790">
        <v>166612</v>
      </c>
      <c r="BQ1790">
        <v>71027</v>
      </c>
      <c r="BR1790" t="inlineStr">
        <is>
          <t>Online</t>
        </is>
      </c>
      <c r="BS1790"/>
      <c r="BT1790">
        <v>71027</v>
      </c>
      <c r="BU1790"/>
      <c r="BV1790">
        <v>2731594</v>
      </c>
      <c r="BW1790" t="inlineStr">
        <is>
          <t>No Answer : Voicemail - WA sent to customer</t>
        </is>
      </c>
      <c r="BX1790"/>
      <c r="BY1790"/>
      <c r="BZ1790" s="4"/>
      <c r="CA1790"/>
      <c r="CB1790"/>
      <c r="CC1790" s="4"/>
      <c r="CD1790" t="inlineStr">
        <is>
          <t>5</t>
        </is>
      </c>
      <c r="CE1790" t="inlineStr">
        <is>
          <t>0</t>
        </is>
      </c>
      <c r="CF1790" t="inlineStr">
        <is>
          <t>Q2-W02</t>
        </is>
      </c>
      <c r="CG1790"/>
      <c r="CH1790"/>
      <c r="CI1790"/>
      <c r="CJ1790" t="inlineStr">
        <is>
          <t>Paid</t>
        </is>
      </c>
      <c r="CK1790" t="inlineStr">
        <is>
          <t>Not Eligible</t>
        </is>
      </c>
      <c r="CL1790"/>
      <c r="CM1790"/>
    </row>
    <row r="1791" ht="25.5" customHeight="1">
      <c r="A1791" t="inlineStr">
        <is>
          <t>203147</t>
        </is>
      </c>
      <c r="B1791" s="2"/>
      <c r="C1791"/>
      <c r="D1791" s="3">
        <v>46125.37902777778</v>
      </c>
      <c r="E1791" t="inlineStr">
        <is>
          <t>Q2-W02</t>
        </is>
      </c>
      <c r="F1791" t="inlineStr">
        <is>
          <t>Fauziah Maharan</t>
        </is>
      </c>
      <c r="G1791" t="inlineStr">
        <is>
          <t>Customer</t>
        </is>
      </c>
      <c r="H1791" s="2" t="str">
        <f>=HYPERLINK("https://upbox.ajobthing.my/customer/203147", "https://upbox.ajobthing.my/customer/203147")</f>
        <v>https://upbox.ajobthing.my/customer/203147</v>
      </c>
      <c r="I1791" t="inlineStr">
        <is>
          <t>Allegiance Management Group Solutions</t>
        </is>
      </c>
      <c r="J1791" t="inlineStr">
        <is>
          <t>Small Fish</t>
        </is>
      </c>
      <c r="K1791" t="inlineStr">
        <is>
          <t>Chia Yee</t>
        </is>
      </c>
      <c r="L1791" s="4"/>
      <c r="M1791" s="4">
        <v>46125.04357638889</v>
      </c>
      <c r="N1791"/>
      <c r="O1791">
        <v>1296</v>
      </c>
      <c r="P1791" s="4"/>
      <c r="Q1791" s="4">
        <v>46132.44075231482</v>
      </c>
      <c r="R1791"/>
      <c r="S1791">
        <v>864</v>
      </c>
      <c r="T1791" s="4">
        <v>46132.44075231482</v>
      </c>
      <c r="U1791" s="4"/>
      <c r="V1791"/>
      <c r="W1791">
        <v>864</v>
      </c>
      <c r="X1791"/>
      <c r="Y1791" t="inlineStr">
        <is>
          <t>Pending Appointment</t>
        </is>
      </c>
      <c r="Z1791"/>
      <c r="AA1791">
        <v>1</v>
      </c>
      <c r="AB1791" t="inlineStr">
        <is>
          <t>No Appointment Made</t>
        </is>
      </c>
      <c r="AC1791"/>
      <c r="AD1791" t="inlineStr">
        <is>
          <t>Content creator 1x</t>
        </is>
      </c>
      <c r="AE1791"/>
      <c r="AF1791"/>
      <c r="AG1791" s="4"/>
      <c r="AH1791" s="4"/>
      <c r="AI1791"/>
      <c r="AJ1791"/>
      <c r="AK1791"/>
      <c r="AL1791"/>
      <c r="AM1791"/>
      <c r="AN1791"/>
      <c r="AO1791"/>
      <c r="AP1791"/>
      <c r="AQ1791"/>
      <c r="AR1791"/>
      <c r="AS1791" t="inlineStr">
        <is>
          <t>- Headcount: 1
- Hiring Job Details: 1 content creator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791">
        <v>60</v>
      </c>
      <c r="AU1791" t="inlineStr">
        <is>
          <t>0.60</t>
        </is>
      </c>
      <c r="AV1791" t="inlineStr">
        <is>
          <t>5</t>
        </is>
      </c>
      <c r="AW1791" t="inlineStr">
        <is>
          <t>0</t>
        </is>
      </c>
      <c r="AX1791" t="inlineStr">
        <is>
          <t>Not Qualified</t>
        </is>
      </c>
      <c r="AY1791" s="4"/>
      <c r="AZ1791"/>
      <c r="BA1791"/>
      <c r="BB1791"/>
      <c r="BC1791" t="inlineStr">
        <is>
          <t>WA ask candidate profile. Explain</t>
        </is>
      </c>
      <c r="BD1791" s="4">
        <v>46133.38429398148</v>
      </c>
      <c r="BE1791" t="inlineStr">
        <is>
          <t>paid</t>
        </is>
      </c>
      <c r="BF1791" t="inlineStr">
        <is>
          <t>Q2-W03</t>
        </is>
      </c>
      <c r="BG1791" t="inlineStr">
        <is>
          <t>Reschedule</t>
        </is>
      </c>
      <c r="BH1791"/>
      <c r="BI1791" t="inlineStr">
        <is>
          <t>Banking / Finance</t>
        </is>
      </c>
      <c r="BJ1791" s="4">
        <v>46144.75423611111</v>
      </c>
      <c r="BK1791" s="4">
        <v>46125.37689814815</v>
      </c>
      <c r="BL1791" t="inlineStr">
        <is>
          <t>864.0</t>
        </is>
      </c>
      <c r="BM1791" t="inlineStr">
        <is>
          <t>0.0</t>
        </is>
      </c>
      <c r="BN1791" t="inlineStr">
        <is>
          <t>PA Email CTA Click</t>
        </is>
      </c>
      <c r="BO1791" s="4">
        <v>46143.35459490741</v>
      </c>
      <c r="BP1791">
        <v>166619</v>
      </c>
      <c r="BQ1791">
        <v>94316</v>
      </c>
      <c r="BR1791" t="inlineStr">
        <is>
          <t>Online</t>
        </is>
      </c>
      <c r="BS1791"/>
      <c r="BT1791">
        <v>94316</v>
      </c>
      <c r="BU1791"/>
      <c r="BV1791">
        <v>2716821</v>
      </c>
      <c r="BW1791" t="inlineStr">
        <is>
          <t>Service / Technical : Job Outcome Enquiry</t>
        </is>
      </c>
      <c r="BX1791">
        <v>1</v>
      </c>
      <c r="BY1791">
        <v>0</v>
      </c>
      <c r="BZ1791" s="4">
        <v>46132.757743055554</v>
      </c>
      <c r="CA1791">
        <v>23</v>
      </c>
      <c r="CB1791">
        <v>23</v>
      </c>
      <c r="CC1791" s="4"/>
      <c r="CD1791" t="inlineStr">
        <is>
          <t>5</t>
        </is>
      </c>
      <c r="CE1791" t="inlineStr">
        <is>
          <t>0</t>
        </is>
      </c>
      <c r="CF1791" t="inlineStr">
        <is>
          <t>Q2-W02</t>
        </is>
      </c>
      <c r="CG1791" t="inlineStr">
        <is>
          <t>Q2-W03</t>
        </is>
      </c>
      <c r="CH1791" t="inlineStr">
        <is>
          <t>Q2-W03</t>
        </is>
      </c>
      <c r="CI1791"/>
      <c r="CJ1791" t="inlineStr">
        <is>
          <t>Paid</t>
        </is>
      </c>
      <c r="CK1791" t="inlineStr">
        <is>
          <t>Not Eligible</t>
        </is>
      </c>
      <c r="CL1791"/>
      <c r="CM1791"/>
    </row>
    <row r="1792" ht="25.5" customHeight="1">
      <c r="A1792" t="inlineStr">
        <is>
          <t>202815</t>
        </is>
      </c>
      <c r="B1792" s="2"/>
      <c r="C1792"/>
      <c r="D1792" s="3">
        <v>46125.38570601852</v>
      </c>
      <c r="E1792" t="inlineStr">
        <is>
          <t>Q2-W02</t>
        </is>
      </c>
      <c r="F1792" t="inlineStr">
        <is>
          <t>Lucas</t>
        </is>
      </c>
      <c r="G1792" t="inlineStr">
        <is>
          <t>Customer</t>
        </is>
      </c>
      <c r="H1792" s="2" t="str">
        <f>=HYPERLINK("https://upbox.ajobthing.my/customer/202815", "https://upbox.ajobthing.my/customer/202815")</f>
        <v>https://upbox.ajobthing.my/customer/202815</v>
      </c>
      <c r="I1792" t="inlineStr">
        <is>
          <t>Gbs Supply Trading</t>
        </is>
      </c>
      <c r="J1792" t="inlineStr">
        <is>
          <t>Small Fish</t>
        </is>
      </c>
      <c r="K1792" t="inlineStr">
        <is>
          <t>Lucas</t>
        </is>
      </c>
      <c r="L1792" s="4"/>
      <c r="M1792" s="4">
        <v>46125.38297453704</v>
      </c>
      <c r="N1792"/>
      <c r="O1792">
        <v>3888</v>
      </c>
      <c r="P1792" s="4"/>
      <c r="Q1792" s="4"/>
      <c r="R1792"/>
      <c r="S1792"/>
      <c r="T1792" s="4"/>
      <c r="U1792" s="4"/>
      <c r="V1792"/>
      <c r="W1792"/>
      <c r="X1792"/>
      <c r="Y1792" t="inlineStr">
        <is>
          <t>Pending Appointment</t>
        </is>
      </c>
      <c r="Z1792" t="inlineStr">
        <is>
          <t>Hiring Now</t>
        </is>
      </c>
      <c r="AA1792">
        <v>1</v>
      </c>
      <c r="AB1792" t="inlineStr">
        <is>
          <t>No Appointment Made</t>
        </is>
      </c>
      <c r="AC1792"/>
      <c r="AD1792" t="inlineStr">
        <is>
          <t>1 admin</t>
        </is>
      </c>
      <c r="AE1792"/>
      <c r="AF1792">
        <v>0</v>
      </c>
      <c r="AG1792" s="4"/>
      <c r="AH1792" s="4"/>
      <c r="AI1792">
        <v>0</v>
      </c>
      <c r="AJ1792">
        <v>0</v>
      </c>
      <c r="AK1792" t="inlineStr">
        <is>
          <t>No, I don't need at all</t>
        </is>
      </c>
      <c r="AL1792">
        <v>0</v>
      </c>
      <c r="AM1792" t="inlineStr">
        <is>
          <t>No, I don't need at all</t>
        </is>
      </c>
      <c r="AN1792"/>
      <c r="AO1792" t="inlineStr">
        <is>
          <t>No, I don't need at all</t>
        </is>
      </c>
      <c r="AP1792" t="inlineStr">
        <is>
          <t>Once a year (25%)</t>
        </is>
      </c>
      <c r="AQ1792">
        <v>1</v>
      </c>
      <c r="AR1792" t="inlineStr">
        <is>
          <t>Did not use any job portal</t>
        </is>
      </c>
      <c r="AS1792"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792">
        <v>110</v>
      </c>
      <c r="AU1792" t="inlineStr">
        <is>
          <t>1.10</t>
        </is>
      </c>
      <c r="AV1792" t="inlineStr">
        <is>
          <t>15</t>
        </is>
      </c>
      <c r="AW1792" t="inlineStr">
        <is>
          <t>0</t>
        </is>
      </c>
      <c r="AX1792" t="inlineStr">
        <is>
          <t>Not Qualified</t>
        </is>
      </c>
      <c r="AY1792" s="4"/>
      <c r="AZ1792"/>
      <c r="BA1792"/>
      <c r="BB1792"/>
      <c r="BC1792" t="inlineStr">
        <is>
          <t>no need now</t>
        </is>
      </c>
      <c r="BD1792" s="4">
        <v>46133.672951388886</v>
      </c>
      <c r="BE1792"/>
      <c r="BF1792"/>
      <c r="BG1792" t="inlineStr">
        <is>
          <t>Reschedule</t>
        </is>
      </c>
      <c r="BH1792" t="inlineStr">
        <is>
          <t>Yee Hang</t>
        </is>
      </c>
      <c r="BI1792"/>
      <c r="BJ1792" s="4">
        <v>46144.75412037037</v>
      </c>
      <c r="BK1792" s="4">
        <v>46116.00677083333</v>
      </c>
      <c r="BL1792" t="inlineStr">
        <is>
          <t>0.0</t>
        </is>
      </c>
      <c r="BM1792" t="inlineStr">
        <is>
          <t>0.0</t>
        </is>
      </c>
      <c r="BN1792" t="inlineStr">
        <is>
          <t>View Company Page</t>
        </is>
      </c>
      <c r="BO1792" s="4">
        <v>46116.007731481484</v>
      </c>
      <c r="BP1792">
        <v>166621</v>
      </c>
      <c r="BQ1792"/>
      <c r="BR1792"/>
      <c r="BS1792"/>
      <c r="BT1792"/>
      <c r="BU1792"/>
      <c r="BV1792">
        <v>2718741</v>
      </c>
      <c r="BW1792" t="inlineStr">
        <is>
          <t>Follow Up : Budget Concern</t>
        </is>
      </c>
      <c r="BX1792"/>
      <c r="BY1792"/>
      <c r="BZ1792" s="4"/>
      <c r="CA1792"/>
      <c r="CB1792"/>
      <c r="CC1792" s="4"/>
      <c r="CD1792" t="inlineStr">
        <is>
          <t>20</t>
        </is>
      </c>
      <c r="CE1792" t="inlineStr">
        <is>
          <t>0</t>
        </is>
      </c>
      <c r="CF1792" t="inlineStr">
        <is>
          <t>Q2-W02</t>
        </is>
      </c>
      <c r="CG1792"/>
      <c r="CH1792"/>
      <c r="CI1792"/>
      <c r="CJ1792" t="inlineStr">
        <is>
          <t>No Paid</t>
        </is>
      </c>
      <c r="CK1792" t="inlineStr">
        <is>
          <t>Not Eligible</t>
        </is>
      </c>
      <c r="CL1792"/>
      <c r="CM1792"/>
    </row>
    <row r="1793" ht="25.5" customHeight="1">
      <c r="A1793" t="inlineStr">
        <is>
          <t>203123</t>
        </is>
      </c>
      <c r="B1793" s="2"/>
      <c r="C1793"/>
      <c r="D1793" s="3">
        <v>46125.38920138889</v>
      </c>
      <c r="E1793" t="inlineStr">
        <is>
          <t>Q2-W02</t>
        </is>
      </c>
      <c r="F1793" t="inlineStr">
        <is>
          <t>Lucas</t>
        </is>
      </c>
      <c r="G1793" t="inlineStr">
        <is>
          <t>Customer</t>
        </is>
      </c>
      <c r="H1793" s="2" t="str">
        <f>=HYPERLINK("https://upbox.ajobthing.my/customer/203123", "https://upbox.ajobthing.my/customer/203123")</f>
        <v>https://upbox.ajobthing.my/customer/203123</v>
      </c>
      <c r="I1793" t="inlineStr">
        <is>
          <t xml:space="preserve">Everest Credit Pte Ltd </t>
        </is>
      </c>
      <c r="J1793" t="inlineStr">
        <is>
          <t>Small Fish</t>
        </is>
      </c>
      <c r="K1793" t="inlineStr">
        <is>
          <t>Lucas</t>
        </is>
      </c>
      <c r="L1793" s="4"/>
      <c r="M1793" s="4">
        <v>46125.38701388889</v>
      </c>
      <c r="N1793"/>
      <c r="O1793">
        <v>3888</v>
      </c>
      <c r="P1793" s="4"/>
      <c r="Q1793" s="4"/>
      <c r="R1793"/>
      <c r="S1793"/>
      <c r="T1793" s="4"/>
      <c r="U1793" s="4"/>
      <c r="V1793"/>
      <c r="W1793"/>
      <c r="X1793"/>
      <c r="Y1793" t="inlineStr">
        <is>
          <t>Pending Appointment</t>
        </is>
      </c>
      <c r="Z1793" t="inlineStr">
        <is>
          <t>Hiring Now</t>
        </is>
      </c>
      <c r="AA1793">
        <v>1</v>
      </c>
      <c r="AB1793" t="inlineStr">
        <is>
          <t>No Appointment Made</t>
        </is>
      </c>
      <c r="AC1793"/>
      <c r="AD1793" t="inlineStr">
        <is>
          <t>1 admin</t>
        </is>
      </c>
      <c r="AE1793"/>
      <c r="AF1793">
        <v>0</v>
      </c>
      <c r="AG1793" s="4"/>
      <c r="AH1793" s="4"/>
      <c r="AI1793">
        <v>0</v>
      </c>
      <c r="AJ1793">
        <v>0</v>
      </c>
      <c r="AK1793" t="inlineStr">
        <is>
          <t>No, I don't need at all</t>
        </is>
      </c>
      <c r="AL1793">
        <v>0</v>
      </c>
      <c r="AM1793" t="inlineStr">
        <is>
          <t>No, I don't need at all</t>
        </is>
      </c>
      <c r="AN1793"/>
      <c r="AO1793" t="inlineStr">
        <is>
          <t>No, I don't need at all</t>
        </is>
      </c>
      <c r="AP1793" t="inlineStr">
        <is>
          <t>Once a year (25%)</t>
        </is>
      </c>
      <c r="AQ1793">
        <v>1</v>
      </c>
      <c r="AR1793" t="inlineStr">
        <is>
          <t>Did not use any job portal</t>
        </is>
      </c>
      <c r="AS1793"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793">
        <v>120</v>
      </c>
      <c r="AU1793" t="inlineStr">
        <is>
          <t>1.20</t>
        </is>
      </c>
      <c r="AV1793" t="inlineStr">
        <is>
          <t>15</t>
        </is>
      </c>
      <c r="AW1793" t="inlineStr">
        <is>
          <t>0</t>
        </is>
      </c>
      <c r="AX1793" t="inlineStr">
        <is>
          <t>Not Qualified</t>
        </is>
      </c>
      <c r="AY1793" s="4"/>
      <c r="AZ1793"/>
      <c r="BA1793"/>
      <c r="BB1793"/>
      <c r="BC1793" t="inlineStr">
        <is>
          <t>hired</t>
        </is>
      </c>
      <c r="BD1793" s="4">
        <v>46133.655798611115</v>
      </c>
      <c r="BE1793"/>
      <c r="BF1793"/>
      <c r="BG1793" t="inlineStr">
        <is>
          <t>Reschedule</t>
        </is>
      </c>
      <c r="BH1793" t="inlineStr">
        <is>
          <t>Yee Hang</t>
        </is>
      </c>
      <c r="BI1793" t="inlineStr">
        <is>
          <t>Banking / Finance</t>
        </is>
      </c>
      <c r="BJ1793" s="4">
        <v>46144.75423611111</v>
      </c>
      <c r="BK1793" s="4">
        <v>46123.49789351852</v>
      </c>
      <c r="BL1793" t="inlineStr">
        <is>
          <t>0.0</t>
        </is>
      </c>
      <c r="BM1793" t="inlineStr">
        <is>
          <t>0.0</t>
        </is>
      </c>
      <c r="BN1793" t="inlineStr">
        <is>
          <t>View Company Page</t>
        </is>
      </c>
      <c r="BO1793" s="4">
        <v>46123.675717592596</v>
      </c>
      <c r="BP1793">
        <v>166626</v>
      </c>
      <c r="BQ1793"/>
      <c r="BR1793"/>
      <c r="BS1793"/>
      <c r="BT1793"/>
      <c r="BU1793"/>
      <c r="BV1793">
        <v>2718616</v>
      </c>
      <c r="BW1793" t="inlineStr">
        <is>
          <t>Follow Up : Lost - Free Portal</t>
        </is>
      </c>
      <c r="BX1793"/>
      <c r="BY1793"/>
      <c r="BZ1793" s="4"/>
      <c r="CA1793"/>
      <c r="CB1793"/>
      <c r="CC1793" s="4"/>
      <c r="CD1793" t="inlineStr">
        <is>
          <t>20</t>
        </is>
      </c>
      <c r="CE1793" t="inlineStr">
        <is>
          <t>0</t>
        </is>
      </c>
      <c r="CF1793" t="inlineStr">
        <is>
          <t>Q2-W02</t>
        </is>
      </c>
      <c r="CG1793"/>
      <c r="CH1793"/>
      <c r="CI1793"/>
      <c r="CJ1793" t="inlineStr">
        <is>
          <t>No Paid</t>
        </is>
      </c>
      <c r="CK1793" t="inlineStr">
        <is>
          <t>Not Eligible</t>
        </is>
      </c>
      <c r="CL1793"/>
      <c r="CM1793"/>
    </row>
    <row r="1794" ht="25.5" customHeight="1">
      <c r="A1794" t="inlineStr">
        <is>
          <t>203121</t>
        </is>
      </c>
      <c r="B1794" s="2"/>
      <c r="C1794"/>
      <c r="D1794" s="3">
        <v>46125.39456018519</v>
      </c>
      <c r="E1794" t="inlineStr">
        <is>
          <t>Q2-W02</t>
        </is>
      </c>
      <c r="F1794" t="inlineStr">
        <is>
          <t>Lucas</t>
        </is>
      </c>
      <c r="G1794" t="inlineStr">
        <is>
          <t>Customer</t>
        </is>
      </c>
      <c r="H1794" s="2" t="str">
        <f>=HYPERLINK("https://upbox.ajobthing.my/customer/203121", "https://upbox.ajobthing.my/customer/203121")</f>
        <v>https://upbox.ajobthing.my/customer/203121</v>
      </c>
      <c r="I1794" t="inlineStr">
        <is>
          <t>Lmnop Industries</t>
        </is>
      </c>
      <c r="J1794" t="inlineStr">
        <is>
          <t>Small Fish</t>
        </is>
      </c>
      <c r="K1794" t="inlineStr">
        <is>
          <t>Lucas</t>
        </is>
      </c>
      <c r="L1794" s="4"/>
      <c r="M1794" s="4">
        <v>46125.39299768519</v>
      </c>
      <c r="N1794"/>
      <c r="O1794">
        <v>3888</v>
      </c>
      <c r="P1794" s="4"/>
      <c r="Q1794" s="4">
        <v>46123.49616898148</v>
      </c>
      <c r="R1794"/>
      <c r="S1794">
        <v>0</v>
      </c>
      <c r="T1794" s="4"/>
      <c r="U1794" s="4"/>
      <c r="V1794"/>
      <c r="W1794"/>
      <c r="X1794"/>
      <c r="Y1794" t="inlineStr">
        <is>
          <t>Pending Appointment</t>
        </is>
      </c>
      <c r="Z1794" t="inlineStr">
        <is>
          <t>Hiring Now</t>
        </is>
      </c>
      <c r="AA1794">
        <v>1</v>
      </c>
      <c r="AB1794" t="inlineStr">
        <is>
          <t>No Appointment Made</t>
        </is>
      </c>
      <c r="AC1794"/>
      <c r="AD1794" t="inlineStr">
        <is>
          <t>1 admin</t>
        </is>
      </c>
      <c r="AE1794"/>
      <c r="AF1794">
        <v>0</v>
      </c>
      <c r="AG1794" s="4"/>
      <c r="AH1794" s="4"/>
      <c r="AI1794">
        <v>0</v>
      </c>
      <c r="AJ1794">
        <v>0</v>
      </c>
      <c r="AK1794" t="inlineStr">
        <is>
          <t>No, I don't need at all</t>
        </is>
      </c>
      <c r="AL1794">
        <v>0</v>
      </c>
      <c r="AM1794" t="inlineStr">
        <is>
          <t>No, I don't need at all</t>
        </is>
      </c>
      <c r="AN1794"/>
      <c r="AO1794" t="inlineStr">
        <is>
          <t>No, I don't need at all</t>
        </is>
      </c>
      <c r="AP1794" t="inlineStr">
        <is>
          <t>Once a year (25%)</t>
        </is>
      </c>
      <c r="AQ1794">
        <v>1</v>
      </c>
      <c r="AR1794" t="inlineStr">
        <is>
          <t>Did not use any job portal</t>
        </is>
      </c>
      <c r="AS1794"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794">
        <v>110</v>
      </c>
      <c r="AU1794" t="inlineStr">
        <is>
          <t>1.10</t>
        </is>
      </c>
      <c r="AV1794" t="inlineStr">
        <is>
          <t>15</t>
        </is>
      </c>
      <c r="AW1794" t="inlineStr">
        <is>
          <t>0</t>
        </is>
      </c>
      <c r="AX1794" t="inlineStr">
        <is>
          <t>Not Qualified</t>
        </is>
      </c>
      <c r="AY1794" s="4"/>
      <c r="AZ1794"/>
      <c r="BA1794"/>
      <c r="BB1794"/>
      <c r="BC1794" t="inlineStr">
        <is>
          <t>on hold 1st</t>
        </is>
      </c>
      <c r="BD1794" s="4">
        <v>46127.61761574074</v>
      </c>
      <c r="BE1794" t="inlineStr">
        <is>
          <t>paid</t>
        </is>
      </c>
      <c r="BF1794"/>
      <c r="BG1794" t="inlineStr">
        <is>
          <t>Reschedule</t>
        </is>
      </c>
      <c r="BH1794" t="inlineStr">
        <is>
          <t>Yee Hang</t>
        </is>
      </c>
      <c r="BI1794"/>
      <c r="BJ1794" s="4">
        <v>46144.75423611111</v>
      </c>
      <c r="BK1794" s="4">
        <v>46123.49519675926</v>
      </c>
      <c r="BL1794" t="inlineStr">
        <is>
          <t>0.0</t>
        </is>
      </c>
      <c r="BM1794" t="inlineStr">
        <is>
          <t>150.0</t>
        </is>
      </c>
      <c r="BN1794" t="inlineStr">
        <is>
          <t>View Company Page</t>
        </is>
      </c>
      <c r="BO1794" s="4">
        <v>46123.584861111114</v>
      </c>
      <c r="BP1794">
        <v>166627</v>
      </c>
      <c r="BQ1794">
        <v>121840</v>
      </c>
      <c r="BR1794" t="inlineStr">
        <is>
          <t>Proforma</t>
        </is>
      </c>
      <c r="BS1794" t="inlineStr">
        <is>
          <t>Free Part-Time Job</t>
        </is>
      </c>
      <c r="BT1794"/>
      <c r="BU1794"/>
      <c r="BV1794">
        <v>2706071</v>
      </c>
      <c r="BW1794" t="inlineStr">
        <is>
          <t>Follow Up : Budget Concern</t>
        </is>
      </c>
      <c r="BX1794"/>
      <c r="BY1794"/>
      <c r="BZ1794" s="4"/>
      <c r="CA1794"/>
      <c r="CB1794"/>
      <c r="CC1794" s="4"/>
      <c r="CD1794" t="inlineStr">
        <is>
          <t>20</t>
        </is>
      </c>
      <c r="CE1794" t="inlineStr">
        <is>
          <t>0</t>
        </is>
      </c>
      <c r="CF1794" t="inlineStr">
        <is>
          <t>Q2-W02</t>
        </is>
      </c>
      <c r="CG1794" t="inlineStr">
        <is>
          <t>Q2-W02</t>
        </is>
      </c>
      <c r="CH1794"/>
      <c r="CI1794"/>
      <c r="CJ1794" t="inlineStr">
        <is>
          <t>No Paid</t>
        </is>
      </c>
      <c r="CK1794" t="inlineStr">
        <is>
          <t>Not Eligible</t>
        </is>
      </c>
      <c r="CL1794"/>
      <c r="CM1794"/>
    </row>
    <row r="1795" ht="25.5" customHeight="1">
      <c r="A1795" t="inlineStr">
        <is>
          <t>203120</t>
        </is>
      </c>
      <c r="B1795" s="2"/>
      <c r="C1795"/>
      <c r="D1795" s="3">
        <v>46125.4044212963</v>
      </c>
      <c r="E1795" t="inlineStr">
        <is>
          <t>Q2-W02</t>
        </is>
      </c>
      <c r="F1795" t="inlineStr">
        <is>
          <t>Janice Yap</t>
        </is>
      </c>
      <c r="G1795" t="inlineStr">
        <is>
          <t>Customer</t>
        </is>
      </c>
      <c r="H1795" s="2" t="str">
        <f>=HYPERLINK("https://upbox.ajobthing.my/customer/203120", "https://upbox.ajobthing.my/customer/203120")</f>
        <v>https://upbox.ajobthing.my/customer/203120</v>
      </c>
      <c r="I1795" t="inlineStr">
        <is>
          <t>Power Infinity Automotive</t>
        </is>
      </c>
      <c r="J1795" t="inlineStr">
        <is>
          <t>Small Fish</t>
        </is>
      </c>
      <c r="K1795" t="inlineStr">
        <is>
          <t>Janice</t>
        </is>
      </c>
      <c r="L1795" s="4"/>
      <c r="M1795" s="4">
        <v>46133.4584375</v>
      </c>
      <c r="N1795"/>
      <c r="O1795">
        <v>1296</v>
      </c>
      <c r="P1795" s="4"/>
      <c r="Q1795" s="4">
        <v>46123.48951388889</v>
      </c>
      <c r="R1795"/>
      <c r="S1795">
        <v>0</v>
      </c>
      <c r="T1795" s="4"/>
      <c r="U1795" s="4"/>
      <c r="V1795"/>
      <c r="W1795"/>
      <c r="X1795"/>
      <c r="Y1795" t="inlineStr">
        <is>
          <t>Pending Appointment</t>
        </is>
      </c>
      <c r="Z1795" t="inlineStr">
        <is>
          <t>Hiring Now</t>
        </is>
      </c>
      <c r="AA1795">
        <v>2</v>
      </c>
      <c r="AB1795" t="inlineStr">
        <is>
          <t>No Appointment Made</t>
        </is>
      </c>
      <c r="AC1795"/>
      <c r="AD1795" t="inlineStr">
        <is>
          <t>2 foreman</t>
        </is>
      </c>
      <c r="AE1795"/>
      <c r="AF1795">
        <v>0</v>
      </c>
      <c r="AG1795" s="4"/>
      <c r="AH1795" s="4"/>
      <c r="AI1795">
        <v>0</v>
      </c>
      <c r="AJ1795"/>
      <c r="AK1795" t="inlineStr">
        <is>
          <t>No, I don't need at all</t>
        </is>
      </c>
      <c r="AL1795">
        <v>0</v>
      </c>
      <c r="AM1795" t="inlineStr">
        <is>
          <t>No, I don't need at all</t>
        </is>
      </c>
      <c r="AN1795"/>
      <c r="AO1795" t="inlineStr">
        <is>
          <t>No, I don't need at all</t>
        </is>
      </c>
      <c r="AP1795" t="inlineStr">
        <is>
          <t>Once a year (25%)</t>
        </is>
      </c>
      <c r="AQ1795">
        <v>2</v>
      </c>
      <c r="AR1795"/>
      <c r="AS1795" t="inlineStr">
        <is>
          <t>- Headcount: 2
- Hiring Job Details: 2 foreman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t>
        </is>
      </c>
      <c r="AT1795">
        <v>105</v>
      </c>
      <c r="AU1795" t="inlineStr">
        <is>
          <t>1.05</t>
        </is>
      </c>
      <c r="AV1795" t="inlineStr">
        <is>
          <t>15</t>
        </is>
      </c>
      <c r="AW1795" t="inlineStr">
        <is>
          <t>0</t>
        </is>
      </c>
      <c r="AX1795" t="inlineStr">
        <is>
          <t>Not Qualified</t>
        </is>
      </c>
      <c r="AY1795" s="4"/>
      <c r="AZ1795"/>
      <c r="BA1795"/>
      <c r="BB1795"/>
      <c r="BC1795" t="inlineStr">
        <is>
          <t>No need to post job ady // management on hold // lost</t>
        </is>
      </c>
      <c r="BD1795" s="4">
        <v>46135.56769675926</v>
      </c>
      <c r="BE1795" t="inlineStr">
        <is>
          <t>paid</t>
        </is>
      </c>
      <c r="BF1795"/>
      <c r="BG1795" t="inlineStr">
        <is>
          <t>Reschedule</t>
        </is>
      </c>
      <c r="BH1795" t="inlineStr">
        <is>
          <t>Yee Hang</t>
        </is>
      </c>
      <c r="BI1795"/>
      <c r="BJ1795" s="4">
        <v>46144.754212962966</v>
      </c>
      <c r="BK1795" s="4">
        <v>46123.488275462965</v>
      </c>
      <c r="BL1795" t="inlineStr">
        <is>
          <t>0.0</t>
        </is>
      </c>
      <c r="BM1795" t="inlineStr">
        <is>
          <t>0.0</t>
        </is>
      </c>
      <c r="BN1795" t="inlineStr">
        <is>
          <t>View Create Job Page V4</t>
        </is>
      </c>
      <c r="BO1795" s="4">
        <v>46123.66521990741</v>
      </c>
      <c r="BP1795">
        <v>167972</v>
      </c>
      <c r="BQ1795">
        <v>121837</v>
      </c>
      <c r="BR1795" t="inlineStr">
        <is>
          <t>Proforma</t>
        </is>
      </c>
      <c r="BS1795" t="inlineStr">
        <is>
          <t>Free Part-Time Job</t>
        </is>
      </c>
      <c r="BT1795"/>
      <c r="BU1795"/>
      <c r="BV1795">
        <v>2723263</v>
      </c>
      <c r="BW1795" t="inlineStr">
        <is>
          <t>Follow Up : Lost - Free Portal</t>
        </is>
      </c>
      <c r="BX1795"/>
      <c r="BY1795"/>
      <c r="BZ1795" s="4"/>
      <c r="CA1795"/>
      <c r="CB1795"/>
      <c r="CC1795" s="4"/>
      <c r="CD1795" t="inlineStr">
        <is>
          <t>20</t>
        </is>
      </c>
      <c r="CE1795" t="inlineStr">
        <is>
          <t>0</t>
        </is>
      </c>
      <c r="CF1795" t="inlineStr">
        <is>
          <t>Q2-W03</t>
        </is>
      </c>
      <c r="CG1795" t="inlineStr">
        <is>
          <t>Q2-W02</t>
        </is>
      </c>
      <c r="CH1795"/>
      <c r="CI1795"/>
      <c r="CJ1795" t="inlineStr">
        <is>
          <t>No Paid</t>
        </is>
      </c>
      <c r="CK1795" t="inlineStr">
        <is>
          <t>Not Eligible</t>
        </is>
      </c>
      <c r="CL1795"/>
      <c r="CM1795"/>
    </row>
    <row r="1796" ht="25.5" customHeight="1">
      <c r="A1796" t="inlineStr">
        <is>
          <t>19652</t>
        </is>
      </c>
      <c r="B1796" s="2"/>
      <c r="C1796"/>
      <c r="D1796" s="3">
        <v>46125.40675925926</v>
      </c>
      <c r="E1796" t="inlineStr">
        <is>
          <t>Q2-W02</t>
        </is>
      </c>
      <c r="F1796" t="inlineStr">
        <is>
          <t>Clover</t>
        </is>
      </c>
      <c r="G1796" t="inlineStr">
        <is>
          <t>Customer</t>
        </is>
      </c>
      <c r="H1796" s="2" t="str">
        <f>=HYPERLINK("https://upbox.ajobthing.my/customer/19652", "https://upbox.ajobthing.my/customer/19652")</f>
        <v>https://upbox.ajobthing.my/customer/19652</v>
      </c>
      <c r="I1796" t="inlineStr">
        <is>
          <t>DGR Packaging Sdn Bhd</t>
        </is>
      </c>
      <c r="J1796" t="inlineStr">
        <is>
          <t>Small Fish</t>
        </is>
      </c>
      <c r="K1796" t="inlineStr">
        <is>
          <t>Clover</t>
        </is>
      </c>
      <c r="L1796" s="4"/>
      <c r="M1796" s="4">
        <v>46125.410532407404</v>
      </c>
      <c r="N1796"/>
      <c r="O1796">
        <v>3888</v>
      </c>
      <c r="P1796" s="4"/>
      <c r="Q1796" s="4"/>
      <c r="R1796"/>
      <c r="S1796"/>
      <c r="T1796" s="4"/>
      <c r="U1796" s="4"/>
      <c r="V1796"/>
      <c r="W1796"/>
      <c r="X1796"/>
      <c r="Y1796" t="inlineStr">
        <is>
          <t>Pending Appointment</t>
        </is>
      </c>
      <c r="Z1796" t="inlineStr">
        <is>
          <t>Hiring Now</t>
        </is>
      </c>
      <c r="AA1796">
        <v>1</v>
      </c>
      <c r="AB1796" t="inlineStr">
        <is>
          <t>No Appointment Made</t>
        </is>
      </c>
      <c r="AC1796"/>
      <c r="AD1796" t="inlineStr">
        <is>
          <t>Still hiring lorry driver, 3 tan, GHD, packaging manufacture, future maybe, hiring TO, gelang patah Johor, prefer email, suggest stand</t>
        </is>
      </c>
      <c r="AE1796"/>
      <c r="AF1796">
        <v>3000</v>
      </c>
      <c r="AG1796" s="4"/>
      <c r="AH1796" s="4"/>
      <c r="AI1796">
        <v>3000</v>
      </c>
      <c r="AJ1796">
        <v>1</v>
      </c>
      <c r="AK1796" t="inlineStr">
        <is>
          <t>No, but I want in future</t>
        </is>
      </c>
      <c r="AL1796">
        <v>1</v>
      </c>
      <c r="AM1796" t="inlineStr">
        <is>
          <t>No, but I want in future</t>
        </is>
      </c>
      <c r="AN1796"/>
      <c r="AO1796" t="inlineStr">
        <is>
          <t>No, but I want in future</t>
        </is>
      </c>
      <c r="AP1796" t="inlineStr">
        <is>
          <t>Once per quarter (75%)</t>
        </is>
      </c>
      <c r="AQ1796">
        <v>1</v>
      </c>
      <c r="AR1796" t="inlineStr">
        <is>
          <t>Jobstreet</t>
        </is>
      </c>
      <c r="AS1796" t="inlineStr">
        <is>
          <t>- Headcount: 1
- Hiring Job Details: Still hiring lorry driver, 3 tan, GHD, packaging manufacture, future maybe, hiring TO, gelang patah Johor, prefer email,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Once per quarter (75%)
- External job portal: Jobstreet</t>
        </is>
      </c>
      <c r="AT1796">
        <v>110</v>
      </c>
      <c r="AU1796" t="inlineStr">
        <is>
          <t>1.10</t>
        </is>
      </c>
      <c r="AV1796" t="inlineStr">
        <is>
          <t>15</t>
        </is>
      </c>
      <c r="AW1796" t="inlineStr">
        <is>
          <t>0</t>
        </is>
      </c>
      <c r="AX1796" t="inlineStr">
        <is>
          <t>Not Qualified</t>
        </is>
      </c>
      <c r="AY1796" s="4"/>
      <c r="AZ1796"/>
      <c r="BA1796"/>
      <c r="BB1796"/>
      <c r="BC1796" t="inlineStr">
        <is>
          <t>npu, wa fu</t>
        </is>
      </c>
      <c r="BD1796" s="4">
        <v>46132.79864583333</v>
      </c>
      <c r="BE1796"/>
      <c r="BF1796"/>
      <c r="BG1796" t="inlineStr">
        <is>
          <t>Reschedule</t>
        </is>
      </c>
      <c r="BH1796" t="inlineStr">
        <is>
          <t>Reagen</t>
        </is>
      </c>
      <c r="BI1796"/>
      <c r="BJ1796" s="4">
        <v>46144.75283564815</v>
      </c>
      <c r="BK1796" s="4">
        <v>42478.85664351852</v>
      </c>
      <c r="BL1796" t="inlineStr">
        <is>
          <t>0.0</t>
        </is>
      </c>
      <c r="BM1796" t="inlineStr">
        <is>
          <t>0.0</t>
        </is>
      </c>
      <c r="BN1796"/>
      <c r="BO1796" s="4"/>
      <c r="BP1796">
        <v>166632</v>
      </c>
      <c r="BQ1796"/>
      <c r="BR1796"/>
      <c r="BS1796"/>
      <c r="BT1796"/>
      <c r="BU1796"/>
      <c r="BV1796">
        <v>2716770</v>
      </c>
      <c r="BW1796" t="inlineStr">
        <is>
          <t>No Answer : Voicemail - WA sent to customer</t>
        </is>
      </c>
      <c r="BX1796"/>
      <c r="BY1796"/>
      <c r="BZ1796" s="4"/>
      <c r="CA1796"/>
      <c r="CB1796"/>
      <c r="CC1796" s="4"/>
      <c r="CD1796" t="inlineStr">
        <is>
          <t>20</t>
        </is>
      </c>
      <c r="CE1796" t="inlineStr">
        <is>
          <t>0</t>
        </is>
      </c>
      <c r="CF1796" t="inlineStr">
        <is>
          <t>Q2-W02</t>
        </is>
      </c>
      <c r="CG1796"/>
      <c r="CH1796"/>
      <c r="CI1796"/>
      <c r="CJ1796" t="inlineStr">
        <is>
          <t>No Paid</t>
        </is>
      </c>
      <c r="CK1796" t="inlineStr">
        <is>
          <t>Not Eligible</t>
        </is>
      </c>
      <c r="CL1796"/>
      <c r="CM1796"/>
    </row>
    <row r="1797" ht="25.5" customHeight="1">
      <c r="A1797" t="inlineStr">
        <is>
          <t>49878</t>
        </is>
      </c>
      <c r="B1797" s="2"/>
      <c r="C1797"/>
      <c r="D1797" s="3">
        <v>46125.40849537037</v>
      </c>
      <c r="E1797" t="inlineStr">
        <is>
          <t>Q2-W02</t>
        </is>
      </c>
      <c r="F1797" t="inlineStr">
        <is>
          <t>Guest User 33300</t>
        </is>
      </c>
      <c r="G1797" t="inlineStr">
        <is>
          <t>Customer</t>
        </is>
      </c>
      <c r="H1797" s="2" t="str">
        <f>=HYPERLINK("https://upbox.ajobthing.my/customer/49878", "https://upbox.ajobthing.my/customer/49878")</f>
        <v>https://upbox.ajobthing.my/customer/49878</v>
      </c>
      <c r="I1797" t="inlineStr">
        <is>
          <t>Maxcis Niaga Sdn Bhd</t>
        </is>
      </c>
      <c r="J1797" t="inlineStr">
        <is>
          <t>Small Fish</t>
        </is>
      </c>
      <c r="K1797" t="inlineStr">
        <is>
          <t>Fariz</t>
        </is>
      </c>
      <c r="L1797" s="4"/>
      <c r="M1797" s="4">
        <v>46125.409270833334</v>
      </c>
      <c r="N1797"/>
      <c r="O1797">
        <v>3888</v>
      </c>
      <c r="P1797" s="4"/>
      <c r="Q1797" s="4">
        <v>45056.71575231481</v>
      </c>
      <c r="R1797"/>
      <c r="S1797">
        <v>636</v>
      </c>
      <c r="T1797" s="4">
        <v>45056.71575231481</v>
      </c>
      <c r="U1797" s="4"/>
      <c r="V1797"/>
      <c r="W1797">
        <v>636</v>
      </c>
      <c r="X1797"/>
      <c r="Y1797" t="inlineStr">
        <is>
          <t>Pending Appointment</t>
        </is>
      </c>
      <c r="Z1797" t="inlineStr">
        <is>
          <t>Hiring Now</t>
        </is>
      </c>
      <c r="AA1797">
        <v>1</v>
      </c>
      <c r="AB1797" t="inlineStr">
        <is>
          <t>No Appointment Made</t>
        </is>
      </c>
      <c r="AC1797"/>
      <c r="AD1797" t="inlineStr">
        <is>
          <t>1.Sales</t>
        </is>
      </c>
      <c r="AE1797"/>
      <c r="AF1797">
        <v>3600</v>
      </c>
      <c r="AG1797" s="4"/>
      <c r="AH1797" s="4"/>
      <c r="AI1797">
        <v>3600</v>
      </c>
      <c r="AJ1797"/>
      <c r="AK1797" t="inlineStr">
        <is>
          <t>No, but I want in future</t>
        </is>
      </c>
      <c r="AL1797">
        <v>1</v>
      </c>
      <c r="AM1797" t="inlineStr">
        <is>
          <t>No, but I want in future</t>
        </is>
      </c>
      <c r="AN1797"/>
      <c r="AO1797" t="inlineStr">
        <is>
          <t>Yes, I have</t>
        </is>
      </c>
      <c r="AP1797" t="inlineStr">
        <is>
          <t>Twice a year (50%)</t>
        </is>
      </c>
      <c r="AQ1797">
        <v>3</v>
      </c>
      <c r="AR1797" t="inlineStr">
        <is>
          <t>Free Job Portal, Jobstreet</t>
        </is>
      </c>
      <c r="AS1797" t="inlineStr">
        <is>
          <t>- Headcount: 1
- Hiring Job Details: 1 Sales
- Hiring Urgency: Hiring Now
- Number of outlets: 
- Have recruiter team: No, but I want in future
- Number of recruiter in company: 1
- Have ATS system: No, but I want in future
- Have career website: Yes
- Current hiring budget: RM3,600
- Whole year budget: RM3,600.00
- Whole year number of vacancies: 3
- Hiring frequency: Twice a year (50%)
- External job portal: Free Job Portal,Jobstreet</t>
        </is>
      </c>
      <c r="AT1797">
        <v>105</v>
      </c>
      <c r="AU1797" t="inlineStr">
        <is>
          <t>1.05</t>
        </is>
      </c>
      <c r="AV1797" t="inlineStr">
        <is>
          <t>15</t>
        </is>
      </c>
      <c r="AW1797" t="inlineStr">
        <is>
          <t>0</t>
        </is>
      </c>
      <c r="AX1797" t="inlineStr">
        <is>
          <t>Not Qualified</t>
        </is>
      </c>
      <c r="AY1797" s="4"/>
      <c r="AZ1797"/>
      <c r="BA1797"/>
      <c r="BB1797"/>
      <c r="BC1797" t="inlineStr">
        <is>
          <t>follow up - na - ws send again</t>
        </is>
      </c>
      <c r="BD1797" s="4">
        <v>46139.49733796297</v>
      </c>
      <c r="BE1797" t="inlineStr">
        <is>
          <t>paid</t>
        </is>
      </c>
      <c r="BF1797"/>
      <c r="BG1797" t="inlineStr">
        <is>
          <t>Reschedule</t>
        </is>
      </c>
      <c r="BH1797"/>
      <c r="BI1797" t="inlineStr">
        <is>
          <t>Exhibitions / Event Mgmt</t>
        </is>
      </c>
      <c r="BJ1797" s="4">
        <v>46144.75604166667</v>
      </c>
      <c r="BK1797" s="4">
        <v>43276.69125</v>
      </c>
      <c r="BL1797" t="inlineStr">
        <is>
          <t>0.0</t>
        </is>
      </c>
      <c r="BM1797" t="inlineStr">
        <is>
          <t>600.0</t>
        </is>
      </c>
      <c r="BN1797" t="inlineStr">
        <is>
          <t>View Applicant Page</t>
        </is>
      </c>
      <c r="BO1797" s="4">
        <v>45132.8644212963</v>
      </c>
      <c r="BP1797">
        <v>166631</v>
      </c>
      <c r="BQ1797">
        <v>58416</v>
      </c>
      <c r="BR1797" t="inlineStr">
        <is>
          <t>Online</t>
        </is>
      </c>
      <c r="BS1797"/>
      <c r="BT1797">
        <v>58416</v>
      </c>
      <c r="BU1797"/>
      <c r="BV1797">
        <v>2728788</v>
      </c>
      <c r="BW1797" t="inlineStr">
        <is>
          <t>No Answer : Voicemail - WA sent to customer</t>
        </is>
      </c>
      <c r="BX1797"/>
      <c r="BY1797"/>
      <c r="BZ1797" s="4"/>
      <c r="CA1797"/>
      <c r="CB1797"/>
      <c r="CC1797" s="4"/>
      <c r="CD1797" t="inlineStr">
        <is>
          <t>20</t>
        </is>
      </c>
      <c r="CE1797" t="inlineStr">
        <is>
          <t>0</t>
        </is>
      </c>
      <c r="CF1797" t="inlineStr">
        <is>
          <t>Q2-W02</t>
        </is>
      </c>
      <c r="CG1797"/>
      <c r="CH1797"/>
      <c r="CI1797"/>
      <c r="CJ1797" t="inlineStr">
        <is>
          <t>Paid</t>
        </is>
      </c>
      <c r="CK1797" t="inlineStr">
        <is>
          <t>Not Eligible</t>
        </is>
      </c>
      <c r="CL1797"/>
      <c r="CM1797"/>
    </row>
    <row r="1798" ht="25.5" customHeight="1">
      <c r="A1798" t="inlineStr">
        <is>
          <t>203122</t>
        </is>
      </c>
      <c r="B1798" s="2"/>
      <c r="C1798"/>
      <c r="D1798" s="3">
        <v>46125.420902777776</v>
      </c>
      <c r="E1798" t="inlineStr">
        <is>
          <t>Q2-W02</t>
        </is>
      </c>
      <c r="F1798" t="inlineStr">
        <is>
          <t>Lucas</t>
        </is>
      </c>
      <c r="G1798" t="inlineStr">
        <is>
          <t>Customer</t>
        </is>
      </c>
      <c r="H1798" s="2" t="str">
        <f>=HYPERLINK("https://upbox.ajobthing.my/customer/203122", "https://upbox.ajobthing.my/customer/203122")</f>
        <v>https://upbox.ajobthing.my/customer/203122</v>
      </c>
      <c r="I1798" t="inlineStr">
        <is>
          <t>xi Design</t>
        </is>
      </c>
      <c r="J1798" t="inlineStr">
        <is>
          <t>Small Fish</t>
        </is>
      </c>
      <c r="K1798" t="inlineStr">
        <is>
          <t>Lucas</t>
        </is>
      </c>
      <c r="L1798" s="4"/>
      <c r="M1798" s="4">
        <v>46125.41994212963</v>
      </c>
      <c r="N1798"/>
      <c r="O1798">
        <v>3888</v>
      </c>
      <c r="P1798" s="4"/>
      <c r="Q1798" s="4"/>
      <c r="R1798"/>
      <c r="S1798"/>
      <c r="T1798" s="4"/>
      <c r="U1798" s="4"/>
      <c r="V1798"/>
      <c r="W1798"/>
      <c r="X1798"/>
      <c r="Y1798" t="inlineStr">
        <is>
          <t>Pending Appointment</t>
        </is>
      </c>
      <c r="Z1798" t="inlineStr">
        <is>
          <t>Hiring Now</t>
        </is>
      </c>
      <c r="AA1798">
        <v>1</v>
      </c>
      <c r="AB1798" t="inlineStr">
        <is>
          <t>No Appointment Made</t>
        </is>
      </c>
      <c r="AC1798"/>
      <c r="AD1798" t="inlineStr">
        <is>
          <t xml:space="preserve">1 site supervisor </t>
        </is>
      </c>
      <c r="AE1798"/>
      <c r="AF1798">
        <v>0</v>
      </c>
      <c r="AG1798" s="4"/>
      <c r="AH1798" s="4"/>
      <c r="AI1798">
        <v>0</v>
      </c>
      <c r="AJ1798">
        <v>0</v>
      </c>
      <c r="AK1798" t="inlineStr">
        <is>
          <t>No, I don't need at all</t>
        </is>
      </c>
      <c r="AL1798">
        <v>0</v>
      </c>
      <c r="AM1798" t="inlineStr">
        <is>
          <t>No, I don't need at all</t>
        </is>
      </c>
      <c r="AN1798"/>
      <c r="AO1798" t="inlineStr">
        <is>
          <t>No, I don't need at all</t>
        </is>
      </c>
      <c r="AP1798" t="inlineStr">
        <is>
          <t>Once a year (25%)</t>
        </is>
      </c>
      <c r="AQ1798">
        <v>1</v>
      </c>
      <c r="AR1798" t="inlineStr">
        <is>
          <t>Did not use any job portal</t>
        </is>
      </c>
      <c r="AS1798" t="inlineStr">
        <is>
          <t>- Headcount: 1
- Hiring Job Details: 1 site supervisor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798">
        <v>110</v>
      </c>
      <c r="AU1798" t="inlineStr">
        <is>
          <t>1.10</t>
        </is>
      </c>
      <c r="AV1798" t="inlineStr">
        <is>
          <t>15</t>
        </is>
      </c>
      <c r="AW1798" t="inlineStr">
        <is>
          <t>0</t>
        </is>
      </c>
      <c r="AX1798" t="inlineStr">
        <is>
          <t>Not Qualified</t>
        </is>
      </c>
      <c r="AY1798" s="4"/>
      <c r="AZ1798"/>
      <c r="BA1798"/>
      <c r="BB1798"/>
      <c r="BC1798" t="inlineStr">
        <is>
          <t>hiring but dont want paid job ads , no budget</t>
        </is>
      </c>
      <c r="BD1798" s="4">
        <v>46134.622719907406</v>
      </c>
      <c r="BE1798"/>
      <c r="BF1798"/>
      <c r="BG1798" t="inlineStr">
        <is>
          <t>Reschedule</t>
        </is>
      </c>
      <c r="BH1798" t="inlineStr">
        <is>
          <t>Yee Hang</t>
        </is>
      </c>
      <c r="BI1798"/>
      <c r="BJ1798" s="4">
        <v>46144.75423611111</v>
      </c>
      <c r="BK1798" s="4">
        <v>46123.49694444444</v>
      </c>
      <c r="BL1798" t="inlineStr">
        <is>
          <t>0.0</t>
        </is>
      </c>
      <c r="BM1798" t="inlineStr">
        <is>
          <t>0.0</t>
        </is>
      </c>
      <c r="BN1798" t="inlineStr">
        <is>
          <t>View Company Page</t>
        </is>
      </c>
      <c r="BO1798" s="4">
        <v>46123.707291666666</v>
      </c>
      <c r="BP1798">
        <v>166636</v>
      </c>
      <c r="BQ1798"/>
      <c r="BR1798"/>
      <c r="BS1798"/>
      <c r="BT1798"/>
      <c r="BU1798"/>
      <c r="BV1798">
        <v>2720927</v>
      </c>
      <c r="BW1798" t="inlineStr">
        <is>
          <t>Follow Up : Budget Concern</t>
        </is>
      </c>
      <c r="BX1798"/>
      <c r="BY1798"/>
      <c r="BZ1798" s="4"/>
      <c r="CA1798"/>
      <c r="CB1798"/>
      <c r="CC1798" s="4"/>
      <c r="CD1798" t="inlineStr">
        <is>
          <t>20</t>
        </is>
      </c>
      <c r="CE1798" t="inlineStr">
        <is>
          <t>0</t>
        </is>
      </c>
      <c r="CF1798" t="inlineStr">
        <is>
          <t>Q2-W02</t>
        </is>
      </c>
      <c r="CG1798"/>
      <c r="CH1798"/>
      <c r="CI1798"/>
      <c r="CJ1798" t="inlineStr">
        <is>
          <t>No Paid</t>
        </is>
      </c>
      <c r="CK1798" t="inlineStr">
        <is>
          <t>Not Eligible</t>
        </is>
      </c>
      <c r="CL1798"/>
      <c r="CM1798"/>
    </row>
    <row r="1799" ht="25.5" customHeight="1">
      <c r="A1799" t="inlineStr">
        <is>
          <t>195918</t>
        </is>
      </c>
      <c r="B1799" s="2"/>
      <c r="C1799"/>
      <c r="D1799" s="3">
        <v>46125.422002314815</v>
      </c>
      <c r="E1799" t="inlineStr">
        <is>
          <t>Q2-W02</t>
        </is>
      </c>
      <c r="F1799" t="inlineStr">
        <is>
          <t>Keegan</t>
        </is>
      </c>
      <c r="G1799" t="inlineStr">
        <is>
          <t>Customer</t>
        </is>
      </c>
      <c r="H1799" s="2" t="str">
        <f>=HYPERLINK("https://upbox.ajobthing.my/customer/195918", "https://upbox.ajobthing.my/customer/195918")</f>
        <v>https://upbox.ajobthing.my/customer/195918</v>
      </c>
      <c r="I1799" t="inlineStr">
        <is>
          <t>San Synergy</t>
        </is>
      </c>
      <c r="J1799" t="inlineStr">
        <is>
          <t>Small Fish</t>
        </is>
      </c>
      <c r="K1799" t="inlineStr">
        <is>
          <t>Keegan</t>
        </is>
      </c>
      <c r="L1799" s="4"/>
      <c r="M1799" s="4">
        <v>46125.422118055554</v>
      </c>
      <c r="N1799"/>
      <c r="O1799">
        <v>3888</v>
      </c>
      <c r="P1799" s="4"/>
      <c r="Q1799" s="4"/>
      <c r="R1799"/>
      <c r="S1799"/>
      <c r="T1799" s="4"/>
      <c r="U1799" s="4"/>
      <c r="V1799"/>
      <c r="W1799"/>
      <c r="X1799"/>
      <c r="Y1799" t="inlineStr">
        <is>
          <t>Pending Appointment</t>
        </is>
      </c>
      <c r="Z1799" t="inlineStr">
        <is>
          <t>Hiring Now</t>
        </is>
      </c>
      <c r="AA1799">
        <v>2</v>
      </c>
      <c r="AB1799" t="inlineStr">
        <is>
          <t>No Appointment Made</t>
        </is>
      </c>
      <c r="AC1799"/>
      <c r="AD1799" t="inlineStr">
        <is>
          <t xml:space="preserve">1. Admin 
2. Marketing </t>
        </is>
      </c>
      <c r="AE1799"/>
      <c r="AF1799"/>
      <c r="AG1799" s="4"/>
      <c r="AH1799" s="4"/>
      <c r="AI1799"/>
      <c r="AJ1799">
        <v>1</v>
      </c>
      <c r="AK1799" t="inlineStr">
        <is>
          <t>No, I don't need at all</t>
        </is>
      </c>
      <c r="AL1799">
        <v>0</v>
      </c>
      <c r="AM1799" t="inlineStr">
        <is>
          <t>No, I don't need at all</t>
        </is>
      </c>
      <c r="AN1799"/>
      <c r="AO1799" t="inlineStr">
        <is>
          <t>No, I don't need at all</t>
        </is>
      </c>
      <c r="AP1799" t="inlineStr">
        <is>
          <t>Once per quarter (75%)</t>
        </is>
      </c>
      <c r="AQ1799"/>
      <c r="AR1799" t="inlineStr">
        <is>
          <t>Did not use any job portal</t>
        </is>
      </c>
      <c r="AS1799" t="inlineStr">
        <is>
          <t>- Headcount: 2
- Hiring Job Details: 1. Admin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799">
        <v>95</v>
      </c>
      <c r="AU1799" t="inlineStr">
        <is>
          <t>0.95</t>
        </is>
      </c>
      <c r="AV1799" t="inlineStr">
        <is>
          <t>5</t>
        </is>
      </c>
      <c r="AW1799" t="inlineStr">
        <is>
          <t>0</t>
        </is>
      </c>
      <c r="AX1799" t="inlineStr">
        <is>
          <t>Not Qualified</t>
        </is>
      </c>
      <c r="AY1799" s="4"/>
      <c r="AZ1799"/>
      <c r="BA1799"/>
      <c r="BB1799"/>
      <c r="BC1799" t="inlineStr">
        <is>
          <t>- Headcount: 2
- Hiring Job Details: 1. Admin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799" s="4">
        <v>46125.45837962963</v>
      </c>
      <c r="BE1799"/>
      <c r="BF1799"/>
      <c r="BG1799" t="inlineStr">
        <is>
          <t>Reschedule</t>
        </is>
      </c>
      <c r="BH1799" t="inlineStr">
        <is>
          <t>Edward Hoo</t>
        </is>
      </c>
      <c r="BI1799"/>
      <c r="BJ1799" s="4">
        <v>46144.75278935185</v>
      </c>
      <c r="BK1799" s="4">
        <v>45909.4522337963</v>
      </c>
      <c r="BL1799" t="inlineStr">
        <is>
          <t>0.0</t>
        </is>
      </c>
      <c r="BM1799" t="inlineStr">
        <is>
          <t>0.0</t>
        </is>
      </c>
      <c r="BN1799" t="inlineStr">
        <is>
          <t>View Company Page</t>
        </is>
      </c>
      <c r="BO1799" s="4">
        <v>45909.46729166667</v>
      </c>
      <c r="BP1799">
        <v>166637</v>
      </c>
      <c r="BQ1799"/>
      <c r="BR1799"/>
      <c r="BS1799"/>
      <c r="BT1799"/>
      <c r="BU1799"/>
      <c r="BV1799">
        <v>2700257</v>
      </c>
      <c r="BW1799" t="inlineStr">
        <is>
          <t>Customer Inquiry</t>
        </is>
      </c>
      <c r="BX1799"/>
      <c r="BY1799"/>
      <c r="BZ1799" s="4"/>
      <c r="CA1799"/>
      <c r="CB1799"/>
      <c r="CC1799" s="4"/>
      <c r="CD1799" t="inlineStr">
        <is>
          <t>5</t>
        </is>
      </c>
      <c r="CE1799" t="inlineStr">
        <is>
          <t>0</t>
        </is>
      </c>
      <c r="CF1799" t="inlineStr">
        <is>
          <t>Q2-W02</t>
        </is>
      </c>
      <c r="CG1799"/>
      <c r="CH1799"/>
      <c r="CI1799"/>
      <c r="CJ1799" t="inlineStr">
        <is>
          <t>No Paid</t>
        </is>
      </c>
      <c r="CK1799" t="inlineStr">
        <is>
          <t>Not Eligible</t>
        </is>
      </c>
      <c r="CL1799"/>
      <c r="CM1799"/>
    </row>
    <row r="1800" ht="25.5" customHeight="1">
      <c r="A1800" t="inlineStr">
        <is>
          <t>49878</t>
        </is>
      </c>
      <c r="B1800" s="2"/>
      <c r="C1800"/>
      <c r="D1800" s="3">
        <v>46125.424363425926</v>
      </c>
      <c r="E1800" t="inlineStr">
        <is>
          <t>Q2-W02</t>
        </is>
      </c>
      <c r="F1800" t="inlineStr">
        <is>
          <t>Fariz</t>
        </is>
      </c>
      <c r="G1800" t="inlineStr">
        <is>
          <t>Customer</t>
        </is>
      </c>
      <c r="H1800" s="2" t="str">
        <f>=HYPERLINK("https://upbox.ajobthing.my/customer/49878", "https://upbox.ajobthing.my/customer/49878")</f>
        <v>https://upbox.ajobthing.my/customer/49878</v>
      </c>
      <c r="I1800" t="inlineStr">
        <is>
          <t>Maxcis Niaga Sdn Bhd</t>
        </is>
      </c>
      <c r="J1800" t="inlineStr">
        <is>
          <t>Small Fish</t>
        </is>
      </c>
      <c r="K1800" t="inlineStr">
        <is>
          <t>Fariz</t>
        </is>
      </c>
      <c r="L1800" s="4"/>
      <c r="M1800" s="4">
        <v>46125.409270833334</v>
      </c>
      <c r="N1800"/>
      <c r="O1800">
        <v>3888</v>
      </c>
      <c r="P1800" s="4"/>
      <c r="Q1800" s="4">
        <v>45056.71575231481</v>
      </c>
      <c r="R1800"/>
      <c r="S1800">
        <v>636</v>
      </c>
      <c r="T1800" s="4">
        <v>45056.71575231481</v>
      </c>
      <c r="U1800" s="4"/>
      <c r="V1800"/>
      <c r="W1800">
        <v>636</v>
      </c>
      <c r="X1800"/>
      <c r="Y1800" t="inlineStr">
        <is>
          <t>Pending Appointment</t>
        </is>
      </c>
      <c r="Z1800" t="inlineStr">
        <is>
          <t>Hiring Now</t>
        </is>
      </c>
      <c r="AA1800">
        <v>1</v>
      </c>
      <c r="AB1800" t="inlineStr">
        <is>
          <t>No Appointment Made</t>
        </is>
      </c>
      <c r="AC1800"/>
      <c r="AD1800" t="inlineStr">
        <is>
          <t>1. Sales</t>
        </is>
      </c>
      <c r="AE1800"/>
      <c r="AF1800">
        <v>3600</v>
      </c>
      <c r="AG1800" s="4"/>
      <c r="AH1800" s="4"/>
      <c r="AI1800">
        <v>3600</v>
      </c>
      <c r="AJ1800"/>
      <c r="AK1800" t="inlineStr">
        <is>
          <t>No, but I want in future</t>
        </is>
      </c>
      <c r="AL1800">
        <v>1</v>
      </c>
      <c r="AM1800" t="inlineStr">
        <is>
          <t>No, I don't need at all</t>
        </is>
      </c>
      <c r="AN1800"/>
      <c r="AO1800" t="inlineStr">
        <is>
          <t>Yes, I have</t>
        </is>
      </c>
      <c r="AP1800" t="inlineStr">
        <is>
          <t>Twice a year (50%)</t>
        </is>
      </c>
      <c r="AQ1800"/>
      <c r="AR1800"/>
      <c r="AS1800" t="inlineStr">
        <is>
          <t>- Headcount: 1
- Hiring Job Details: 1 Sales
- Hiring Urgency: Hiring Now
- Number of outlets: Not provided
- Have recruiter team: No, but I want in future
- Number of recruiter in company: 1
- Have ATS system: No, I don't need at all
- Have career website: Yes
- Current hiring budget: RM3,600
- Whole year budget: RM3,600.00
- Whole year number of vacancies: Not provided
- Hiring frequency: Twice a year (50%)
- External job portal: Not provided</t>
        </is>
      </c>
      <c r="AT1800">
        <v>90</v>
      </c>
      <c r="AU1800" t="inlineStr">
        <is>
          <t>0.90</t>
        </is>
      </c>
      <c r="AV1800" t="inlineStr">
        <is>
          <t>15</t>
        </is>
      </c>
      <c r="AW1800" t="inlineStr">
        <is>
          <t>0</t>
        </is>
      </c>
      <c r="AX1800" t="inlineStr">
        <is>
          <t>Not Qualified</t>
        </is>
      </c>
      <c r="AY1800" s="4"/>
      <c r="AZ1800"/>
      <c r="BA1800"/>
      <c r="BB1800"/>
      <c r="BC1800" t="inlineStr">
        <is>
          <t>follow up - na - ws send again</t>
        </is>
      </c>
      <c r="BD1800" s="4">
        <v>46139.49733796297</v>
      </c>
      <c r="BE1800" t="inlineStr">
        <is>
          <t>paid</t>
        </is>
      </c>
      <c r="BF1800"/>
      <c r="BG1800" t="inlineStr">
        <is>
          <t>Reschedule</t>
        </is>
      </c>
      <c r="BH1800" t="inlineStr">
        <is>
          <t>Edward Hoo</t>
        </is>
      </c>
      <c r="BI1800" t="inlineStr">
        <is>
          <t>Exhibitions / Event Mgmt</t>
        </is>
      </c>
      <c r="BJ1800" s="4">
        <v>46144.75604166667</v>
      </c>
      <c r="BK1800" s="4">
        <v>43276.69125</v>
      </c>
      <c r="BL1800" t="inlineStr">
        <is>
          <t>0.0</t>
        </is>
      </c>
      <c r="BM1800" t="inlineStr">
        <is>
          <t>600.0</t>
        </is>
      </c>
      <c r="BN1800" t="inlineStr">
        <is>
          <t>View Applicant Page</t>
        </is>
      </c>
      <c r="BO1800" s="4">
        <v>45132.8644212963</v>
      </c>
      <c r="BP1800">
        <v>166631</v>
      </c>
      <c r="BQ1800">
        <v>58416</v>
      </c>
      <c r="BR1800" t="inlineStr">
        <is>
          <t>Online</t>
        </is>
      </c>
      <c r="BS1800"/>
      <c r="BT1800">
        <v>58416</v>
      </c>
      <c r="BU1800"/>
      <c r="BV1800">
        <v>2728788</v>
      </c>
      <c r="BW1800" t="inlineStr">
        <is>
          <t>No Answer : Voicemail - WA sent to customer</t>
        </is>
      </c>
      <c r="BX1800"/>
      <c r="BY1800"/>
      <c r="BZ1800" s="4"/>
      <c r="CA1800"/>
      <c r="CB1800"/>
      <c r="CC1800" s="4"/>
      <c r="CD1800" t="inlineStr">
        <is>
          <t>20</t>
        </is>
      </c>
      <c r="CE1800" t="inlineStr">
        <is>
          <t>0</t>
        </is>
      </c>
      <c r="CF1800" t="inlineStr">
        <is>
          <t>Q2-W02</t>
        </is>
      </c>
      <c r="CG1800"/>
      <c r="CH1800"/>
      <c r="CI1800"/>
      <c r="CJ1800" t="inlineStr">
        <is>
          <t>Paid</t>
        </is>
      </c>
      <c r="CK1800" t="inlineStr">
        <is>
          <t>Not Eligible</t>
        </is>
      </c>
      <c r="CL1800"/>
      <c r="CM1800"/>
    </row>
    <row r="1801" ht="25.5" customHeight="1">
      <c r="A1801" t="inlineStr">
        <is>
          <t>202971</t>
        </is>
      </c>
      <c r="B1801" s="2"/>
      <c r="C1801"/>
      <c r="D1801" s="3">
        <v>46125.425208333334</v>
      </c>
      <c r="E1801" t="inlineStr">
        <is>
          <t>Q2-W02</t>
        </is>
      </c>
      <c r="F1801" t="inlineStr">
        <is>
          <t>Xin Quan</t>
        </is>
      </c>
      <c r="G1801" t="inlineStr">
        <is>
          <t>Customer</t>
        </is>
      </c>
      <c r="H1801" s="2" t="str">
        <f>=HYPERLINK("https://upbox.ajobthing.my/customer/202971", "https://upbox.ajobthing.my/customer/202971")</f>
        <v>https://upbox.ajobthing.my/customer/202971</v>
      </c>
      <c r="I1801" t="inlineStr">
        <is>
          <t>Digital Pharma Sdn Bhd</t>
        </is>
      </c>
      <c r="J1801" t="inlineStr">
        <is>
          <t>Small Fish</t>
        </is>
      </c>
      <c r="K1801" t="inlineStr">
        <is>
          <t>Xin Quan</t>
        </is>
      </c>
      <c r="L1801" s="4"/>
      <c r="M1801" s="4">
        <v>46125.42538194444</v>
      </c>
      <c r="N1801"/>
      <c r="O1801">
        <v>3888</v>
      </c>
      <c r="P1801" s="4"/>
      <c r="Q1801" s="4"/>
      <c r="R1801"/>
      <c r="S1801"/>
      <c r="T1801" s="4"/>
      <c r="U1801" s="4"/>
      <c r="V1801"/>
      <c r="W1801"/>
      <c r="X1801"/>
      <c r="Y1801" t="inlineStr">
        <is>
          <t>Pending Appointment</t>
        </is>
      </c>
      <c r="Z1801" t="inlineStr">
        <is>
          <t>Hiring Now</t>
        </is>
      </c>
      <c r="AA1801">
        <v>1</v>
      </c>
      <c r="AB1801" t="inlineStr">
        <is>
          <t>No Appointment Made</t>
        </is>
      </c>
      <c r="AC1801"/>
      <c r="AD1801" t="inlineStr">
        <is>
          <t>1 Admin , Base in KL</t>
        </is>
      </c>
      <c r="AE1801"/>
      <c r="AF1801">
        <v>2000</v>
      </c>
      <c r="AG1801" s="4"/>
      <c r="AH1801" s="4"/>
      <c r="AI1801">
        <v>24000</v>
      </c>
      <c r="AJ1801">
        <v>1</v>
      </c>
      <c r="AK1801"/>
      <c r="AL1801"/>
      <c r="AM1801"/>
      <c r="AN1801"/>
      <c r="AO1801"/>
      <c r="AP1801"/>
      <c r="AQ1801">
        <v>1</v>
      </c>
      <c r="AR1801"/>
      <c r="AS1801" t="inlineStr">
        <is>
          <t>- Headcount: 1
- Hiring Job Details: 1 Admin,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801">
        <v>95</v>
      </c>
      <c r="AU1801" t="inlineStr">
        <is>
          <t>0.95</t>
        </is>
      </c>
      <c r="AV1801" t="inlineStr">
        <is>
          <t>15</t>
        </is>
      </c>
      <c r="AW1801" t="inlineStr">
        <is>
          <t>0</t>
        </is>
      </c>
      <c r="AX1801" t="inlineStr">
        <is>
          <t>Not Qualified</t>
        </is>
      </c>
      <c r="AY1801" s="4"/>
      <c r="AZ1801"/>
      <c r="BA1801"/>
      <c r="BB1801"/>
      <c r="BC1801" t="inlineStr">
        <is>
          <t>MIA</t>
        </is>
      </c>
      <c r="BD1801" s="4">
        <v>46135.52060185185</v>
      </c>
      <c r="BE1801"/>
      <c r="BF1801"/>
      <c r="BG1801" t="inlineStr">
        <is>
          <t>Reschedule</t>
        </is>
      </c>
      <c r="BH1801" t="inlineStr">
        <is>
          <t>Edward Hoo</t>
        </is>
      </c>
      <c r="BI1801"/>
      <c r="BJ1801" s="4">
        <v>46144.754166666666</v>
      </c>
      <c r="BK1801" s="4">
        <v>46120.46559027778</v>
      </c>
      <c r="BL1801" t="inlineStr">
        <is>
          <t>0.0</t>
        </is>
      </c>
      <c r="BM1801" t="inlineStr">
        <is>
          <t>0.0</t>
        </is>
      </c>
      <c r="BN1801" t="inlineStr">
        <is>
          <t>View Company Page</t>
        </is>
      </c>
      <c r="BO1801" s="4">
        <v>46121.53256944445</v>
      </c>
      <c r="BP1801">
        <v>166640</v>
      </c>
      <c r="BQ1801"/>
      <c r="BR1801"/>
      <c r="BS1801"/>
      <c r="BT1801"/>
      <c r="BU1801"/>
      <c r="BV1801">
        <v>2723120</v>
      </c>
      <c r="BW1801" t="inlineStr">
        <is>
          <t>Inquire for Hiring Needs : No Hiring</t>
        </is>
      </c>
      <c r="BX1801"/>
      <c r="BY1801"/>
      <c r="BZ1801" s="4"/>
      <c r="CA1801"/>
      <c r="CB1801"/>
      <c r="CC1801" s="4"/>
      <c r="CD1801" t="inlineStr">
        <is>
          <t>20</t>
        </is>
      </c>
      <c r="CE1801" t="inlineStr">
        <is>
          <t>0</t>
        </is>
      </c>
      <c r="CF1801" t="inlineStr">
        <is>
          <t>Q2-W02</t>
        </is>
      </c>
      <c r="CG1801"/>
      <c r="CH1801"/>
      <c r="CI1801"/>
      <c r="CJ1801" t="inlineStr">
        <is>
          <t>No Paid</t>
        </is>
      </c>
      <c r="CK1801" t="inlineStr">
        <is>
          <t>Not Eligible</t>
        </is>
      </c>
      <c r="CL1801"/>
      <c r="CM1801"/>
    </row>
    <row r="1802" ht="25.5" customHeight="1">
      <c r="A1802" t="inlineStr">
        <is>
          <t>191379</t>
        </is>
      </c>
      <c r="B1802" s="2"/>
      <c r="C1802"/>
      <c r="D1802" s="3">
        <v>46125.44112268519</v>
      </c>
      <c r="E1802" t="inlineStr">
        <is>
          <t>Q2-W02</t>
        </is>
      </c>
      <c r="F1802" t="inlineStr">
        <is>
          <t>Jeff Lee</t>
        </is>
      </c>
      <c r="G1802" t="inlineStr">
        <is>
          <t>Customer</t>
        </is>
      </c>
      <c r="H1802" s="2" t="str">
        <f>=HYPERLINK("https://upbox.ajobthing.my/customer/191379", "https://upbox.ajobthing.my/customer/191379")</f>
        <v>https://upbox.ajobthing.my/customer/191379</v>
      </c>
      <c r="I1802" t="inlineStr">
        <is>
          <t>Vesure Enterprise</t>
        </is>
      </c>
      <c r="J1802" t="inlineStr">
        <is>
          <t>Small Fish</t>
        </is>
      </c>
      <c r="K1802" t="inlineStr">
        <is>
          <t>Jeff Lee</t>
        </is>
      </c>
      <c r="L1802" s="4"/>
      <c r="M1802" s="4">
        <v>46125.437060185184</v>
      </c>
      <c r="N1802"/>
      <c r="O1802">
        <v>3888</v>
      </c>
      <c r="P1802" s="4"/>
      <c r="Q1802" s="4"/>
      <c r="R1802"/>
      <c r="S1802"/>
      <c r="T1802" s="4"/>
      <c r="U1802" s="4"/>
      <c r="V1802"/>
      <c r="W1802"/>
      <c r="X1802"/>
      <c r="Y1802" t="inlineStr">
        <is>
          <t>Pending Appointment</t>
        </is>
      </c>
      <c r="Z1802" t="inlineStr">
        <is>
          <t>Hiring Now</t>
        </is>
      </c>
      <c r="AA1802">
        <v>2</v>
      </c>
      <c r="AB1802" t="inlineStr">
        <is>
          <t>No Appointment Made</t>
        </is>
      </c>
      <c r="AC1802"/>
      <c r="AD1802" t="inlineStr">
        <is>
          <t>1. Not sure yet
2. 2</t>
        </is>
      </c>
      <c r="AE1802"/>
      <c r="AF1802">
        <v>0</v>
      </c>
      <c r="AG1802" s="4"/>
      <c r="AH1802" s="4"/>
      <c r="AI1802">
        <v>0</v>
      </c>
      <c r="AJ1802"/>
      <c r="AK1802" t="inlineStr">
        <is>
          <t>No, I don't need at all</t>
        </is>
      </c>
      <c r="AL1802">
        <v>0</v>
      </c>
      <c r="AM1802" t="inlineStr">
        <is>
          <t>No, I don't need at all</t>
        </is>
      </c>
      <c r="AN1802"/>
      <c r="AO1802" t="inlineStr">
        <is>
          <t>No, I don't need at all</t>
        </is>
      </c>
      <c r="AP1802" t="inlineStr">
        <is>
          <t>Twice a year (50%)</t>
        </is>
      </c>
      <c r="AQ1802">
        <v>2</v>
      </c>
      <c r="AR1802" t="inlineStr">
        <is>
          <t>Free Job Portal</t>
        </is>
      </c>
      <c r="AS1802" t="inlineStr">
        <is>
          <t>- Headcount: 2
- Hiring Job Details: 1. Not sure yet\n2. 2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Twice a year (50%)
- External job portal: Free Job Portal</t>
        </is>
      </c>
      <c r="AT1802">
        <v>50</v>
      </c>
      <c r="AU1802" t="inlineStr">
        <is>
          <t>0.50</t>
        </is>
      </c>
      <c r="AV1802" t="inlineStr">
        <is>
          <t>15</t>
        </is>
      </c>
      <c r="AW1802" t="inlineStr">
        <is>
          <t>0</t>
        </is>
      </c>
      <c r="AX1802" t="inlineStr">
        <is>
          <t>Not Qualified</t>
        </is>
      </c>
      <c r="AY1802" s="4"/>
      <c r="AZ1802"/>
      <c r="BA1802"/>
      <c r="BB1802"/>
      <c r="BC1802" t="inlineStr">
        <is>
          <t>pending</t>
        </is>
      </c>
      <c r="BD1802" s="4">
        <v>46139.471608796295</v>
      </c>
      <c r="BE1802"/>
      <c r="BF1802"/>
      <c r="BG1802" t="inlineStr">
        <is>
          <t>Reschedule</t>
        </is>
      </c>
      <c r="BH1802" t="inlineStr">
        <is>
          <t>Yee Hang</t>
        </is>
      </c>
      <c r="BI1802" t="inlineStr">
        <is>
          <t>Advertising / Marketing</t>
        </is>
      </c>
      <c r="BJ1802" s="4">
        <v>46144.752430555556</v>
      </c>
      <c r="BK1802" s="4">
        <v>45794.3843287037</v>
      </c>
      <c r="BL1802" t="inlineStr">
        <is>
          <t>0.0</t>
        </is>
      </c>
      <c r="BM1802" t="inlineStr">
        <is>
          <t>0.0</t>
        </is>
      </c>
      <c r="BN1802" t="inlineStr">
        <is>
          <t>View Create Job Page</t>
        </is>
      </c>
      <c r="BO1802" s="4">
        <v>45800.73090277778</v>
      </c>
      <c r="BP1802">
        <v>166645</v>
      </c>
      <c r="BQ1802"/>
      <c r="BR1802"/>
      <c r="BS1802"/>
      <c r="BT1802"/>
      <c r="BU1802"/>
      <c r="BV1802">
        <v>2728587</v>
      </c>
      <c r="BW1802" t="inlineStr">
        <is>
          <t>Follow Up : Decision Pending</t>
        </is>
      </c>
      <c r="BX1802"/>
      <c r="BY1802"/>
      <c r="BZ1802" s="4"/>
      <c r="CA1802"/>
      <c r="CB1802"/>
      <c r="CC1802" s="4"/>
      <c r="CD1802" t="inlineStr">
        <is>
          <t>20</t>
        </is>
      </c>
      <c r="CE1802" t="inlineStr">
        <is>
          <t>0</t>
        </is>
      </c>
      <c r="CF1802" t="inlineStr">
        <is>
          <t>Q2-W02</t>
        </is>
      </c>
      <c r="CG1802"/>
      <c r="CH1802"/>
      <c r="CI1802"/>
      <c r="CJ1802" t="inlineStr">
        <is>
          <t>No Paid</t>
        </is>
      </c>
      <c r="CK1802" t="inlineStr">
        <is>
          <t>Not Eligible</t>
        </is>
      </c>
      <c r="CL1802"/>
      <c r="CM1802"/>
    </row>
    <row r="1803" ht="25.5" customHeight="1">
      <c r="A1803" t="inlineStr">
        <is>
          <t>203144</t>
        </is>
      </c>
      <c r="B1803" s="2"/>
      <c r="C1803"/>
      <c r="D1803" s="3">
        <v>46125.44263888889</v>
      </c>
      <c r="E1803" t="inlineStr">
        <is>
          <t>Q2-W02</t>
        </is>
      </c>
      <c r="F1803" t="inlineStr">
        <is>
          <t>Lucas</t>
        </is>
      </c>
      <c r="G1803" t="inlineStr">
        <is>
          <t>Customer</t>
        </is>
      </c>
      <c r="H1803" s="2" t="str">
        <f>=HYPERLINK("https://upbox.ajobthing.my/customer/203144", "https://upbox.ajobthing.my/customer/203144")</f>
        <v>https://upbox.ajobthing.my/customer/203144</v>
      </c>
      <c r="I1803" t="inlineStr">
        <is>
          <t>Perfect Partner</t>
        </is>
      </c>
      <c r="J1803" t="inlineStr">
        <is>
          <t>Small Fish</t>
        </is>
      </c>
      <c r="K1803" t="inlineStr">
        <is>
          <t>Lucas</t>
        </is>
      </c>
      <c r="L1803" s="4"/>
      <c r="M1803" s="4">
        <v>46125.441400462965</v>
      </c>
      <c r="N1803"/>
      <c r="O1803">
        <v>6048</v>
      </c>
      <c r="P1803" s="4"/>
      <c r="Q1803" s="4"/>
      <c r="R1803"/>
      <c r="S1803"/>
      <c r="T1803" s="4"/>
      <c r="U1803" s="4"/>
      <c r="V1803"/>
      <c r="W1803"/>
      <c r="X1803"/>
      <c r="Y1803" t="inlineStr">
        <is>
          <t>Pending Appointment</t>
        </is>
      </c>
      <c r="Z1803" t="inlineStr">
        <is>
          <t>Hiring Now</t>
        </is>
      </c>
      <c r="AA1803">
        <v>4</v>
      </c>
      <c r="AB1803" t="inlineStr">
        <is>
          <t>No Appointment Made</t>
        </is>
      </c>
      <c r="AC1803"/>
      <c r="AD1803" t="inlineStr">
        <is>
          <t xml:space="preserve">4 technician </t>
        </is>
      </c>
      <c r="AE1803"/>
      <c r="AF1803">
        <v>0</v>
      </c>
      <c r="AG1803" s="4"/>
      <c r="AH1803" s="4"/>
      <c r="AI1803">
        <v>0</v>
      </c>
      <c r="AJ1803">
        <v>0</v>
      </c>
      <c r="AK1803" t="inlineStr">
        <is>
          <t>No, I don't need at all</t>
        </is>
      </c>
      <c r="AL1803">
        <v>0</v>
      </c>
      <c r="AM1803" t="inlineStr">
        <is>
          <t>No, I don't need at all</t>
        </is>
      </c>
      <c r="AN1803"/>
      <c r="AO1803" t="inlineStr">
        <is>
          <t>No, I don't need at all</t>
        </is>
      </c>
      <c r="AP1803" t="inlineStr">
        <is>
          <t>Once a year (25%)</t>
        </is>
      </c>
      <c r="AQ1803">
        <v>4</v>
      </c>
      <c r="AR1803" t="inlineStr">
        <is>
          <t>Did not use any job portal</t>
        </is>
      </c>
      <c r="AS1803" t="inlineStr">
        <is>
          <t>- Headcount: 4
- Hiring Job Details: 4 technician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Did not use any job portal</t>
        </is>
      </c>
      <c r="AT1803">
        <v>105</v>
      </c>
      <c r="AU1803" t="inlineStr">
        <is>
          <t>1.05</t>
        </is>
      </c>
      <c r="AV1803" t="inlineStr">
        <is>
          <t>15</t>
        </is>
      </c>
      <c r="AW1803" t="inlineStr">
        <is>
          <t>0</t>
        </is>
      </c>
      <c r="AX1803" t="inlineStr">
        <is>
          <t>Not Qualified</t>
        </is>
      </c>
      <c r="AY1803" s="4"/>
      <c r="AZ1803"/>
      <c r="BA1803"/>
      <c r="BB1803"/>
      <c r="BC1803" t="inlineStr">
        <is>
          <t>nh</t>
        </is>
      </c>
      <c r="BD1803" s="4">
        <v>46129.58185185185</v>
      </c>
      <c r="BE1803"/>
      <c r="BF1803"/>
      <c r="BG1803" t="inlineStr">
        <is>
          <t>Reschedule</t>
        </is>
      </c>
      <c r="BH1803" t="inlineStr">
        <is>
          <t>Yee Hang</t>
        </is>
      </c>
      <c r="BI1803" t="inlineStr">
        <is>
          <t>IT / Hardware</t>
        </is>
      </c>
      <c r="BJ1803" s="4">
        <v>46144.75423611111</v>
      </c>
      <c r="BK1803" s="4">
        <v>46124.87369212963</v>
      </c>
      <c r="BL1803" t="inlineStr">
        <is>
          <t>0.0</t>
        </is>
      </c>
      <c r="BM1803" t="inlineStr">
        <is>
          <t>0.0</t>
        </is>
      </c>
      <c r="BN1803" t="inlineStr">
        <is>
          <t>View Company Page</t>
        </is>
      </c>
      <c r="BO1803" s="4">
        <v>46124.93293981482</v>
      </c>
      <c r="BP1803">
        <v>166648</v>
      </c>
      <c r="BQ1803"/>
      <c r="BR1803"/>
      <c r="BS1803"/>
      <c r="BT1803"/>
      <c r="BU1803"/>
      <c r="BV1803">
        <v>2712003</v>
      </c>
      <c r="BW1803" t="inlineStr">
        <is>
          <t>Follow Up : Budget Concern</t>
        </is>
      </c>
      <c r="BX1803"/>
      <c r="BY1803"/>
      <c r="BZ1803" s="4"/>
      <c r="CA1803"/>
      <c r="CB1803"/>
      <c r="CC1803" s="4"/>
      <c r="CD1803" t="inlineStr">
        <is>
          <t>20</t>
        </is>
      </c>
      <c r="CE1803" t="inlineStr">
        <is>
          <t>0</t>
        </is>
      </c>
      <c r="CF1803" t="inlineStr">
        <is>
          <t>Q2-W02</t>
        </is>
      </c>
      <c r="CG1803"/>
      <c r="CH1803"/>
      <c r="CI1803"/>
      <c r="CJ1803" t="inlineStr">
        <is>
          <t>No Paid</t>
        </is>
      </c>
      <c r="CK1803" t="inlineStr">
        <is>
          <t>Not Eligible</t>
        </is>
      </c>
      <c r="CL1803"/>
      <c r="CM1803"/>
    </row>
    <row r="1804" ht="25.5" customHeight="1">
      <c r="A1804" t="inlineStr">
        <is>
          <t>202971</t>
        </is>
      </c>
      <c r="B1804" s="2"/>
      <c r="C1804"/>
      <c r="D1804" s="3">
        <v>46125.45486111111</v>
      </c>
      <c r="E1804" t="inlineStr">
        <is>
          <t>Q2-W02</t>
        </is>
      </c>
      <c r="F1804" t="inlineStr">
        <is>
          <t>Xin Quan</t>
        </is>
      </c>
      <c r="G1804" t="inlineStr">
        <is>
          <t>Customer</t>
        </is>
      </c>
      <c r="H1804" s="2" t="str">
        <f>=HYPERLINK("https://upbox.ajobthing.my/customer/202971", "https://upbox.ajobthing.my/customer/202971")</f>
        <v>https://upbox.ajobthing.my/customer/202971</v>
      </c>
      <c r="I1804" t="inlineStr">
        <is>
          <t>Digital Pharma Sdn Bhd</t>
        </is>
      </c>
      <c r="J1804" t="inlineStr">
        <is>
          <t>Small Fish</t>
        </is>
      </c>
      <c r="K1804" t="inlineStr">
        <is>
          <t>Xin Quan</t>
        </is>
      </c>
      <c r="L1804" s="4"/>
      <c r="M1804" s="4">
        <v>46125.42538194444</v>
      </c>
      <c r="N1804"/>
      <c r="O1804">
        <v>3888</v>
      </c>
      <c r="P1804" s="4"/>
      <c r="Q1804" s="4"/>
      <c r="R1804"/>
      <c r="S1804"/>
      <c r="T1804" s="4"/>
      <c r="U1804" s="4"/>
      <c r="V1804"/>
      <c r="W1804"/>
      <c r="X1804"/>
      <c r="Y1804" t="inlineStr">
        <is>
          <t>Pending Appointment</t>
        </is>
      </c>
      <c r="Z1804" t="inlineStr">
        <is>
          <t>Hiring Now</t>
        </is>
      </c>
      <c r="AA1804">
        <v>1</v>
      </c>
      <c r="AB1804" t="inlineStr">
        <is>
          <t>No Appointment Made</t>
        </is>
      </c>
      <c r="AC1804"/>
      <c r="AD1804" t="inlineStr">
        <is>
          <t>1Admin , Base in KL</t>
        </is>
      </c>
      <c r="AE1804"/>
      <c r="AF1804">
        <v>2000</v>
      </c>
      <c r="AG1804" s="4"/>
      <c r="AH1804" s="4"/>
      <c r="AI1804">
        <v>24000</v>
      </c>
      <c r="AJ1804">
        <v>1</v>
      </c>
      <c r="AK1804"/>
      <c r="AL1804"/>
      <c r="AM1804"/>
      <c r="AN1804"/>
      <c r="AO1804"/>
      <c r="AP1804"/>
      <c r="AQ1804">
        <v>1</v>
      </c>
      <c r="AR1804"/>
      <c r="AS1804" t="inlineStr">
        <is>
          <t>- Headcount: 1
- Hiring Job Details: 1 Admin, Base in KL
- Hiring Urgency: Hiring Now
- Number of outlets: 1
- Have recruiter team: Not provided
- Number of recruiter in company: Not provided
- Have ATS system: Not provided
- Have career website: Not provided
- Current hiring budget: RM2,000
- Whole year budget: RM24,000.00
- Whole year number of vacancies: 1
- Hiring frequency: Not provided
- External job portal: Not provided</t>
        </is>
      </c>
      <c r="AT1804">
        <v>95</v>
      </c>
      <c r="AU1804" t="inlineStr">
        <is>
          <t>0.95</t>
        </is>
      </c>
      <c r="AV1804" t="inlineStr">
        <is>
          <t>15</t>
        </is>
      </c>
      <c r="AW1804" t="inlineStr">
        <is>
          <t>0</t>
        </is>
      </c>
      <c r="AX1804" t="inlineStr">
        <is>
          <t>Not Qualified</t>
        </is>
      </c>
      <c r="AY1804" s="4"/>
      <c r="AZ1804"/>
      <c r="BA1804"/>
      <c r="BB1804"/>
      <c r="BC1804" t="inlineStr">
        <is>
          <t>MIA</t>
        </is>
      </c>
      <c r="BD1804" s="4">
        <v>46135.52060185185</v>
      </c>
      <c r="BE1804"/>
      <c r="BF1804"/>
      <c r="BG1804" t="inlineStr">
        <is>
          <t>Reschedule</t>
        </is>
      </c>
      <c r="BH1804" t="inlineStr">
        <is>
          <t>Edward Hoo</t>
        </is>
      </c>
      <c r="BI1804"/>
      <c r="BJ1804" s="4">
        <v>46144.754166666666</v>
      </c>
      <c r="BK1804" s="4">
        <v>46120.46559027778</v>
      </c>
      <c r="BL1804" t="inlineStr">
        <is>
          <t>0.0</t>
        </is>
      </c>
      <c r="BM1804" t="inlineStr">
        <is>
          <t>0.0</t>
        </is>
      </c>
      <c r="BN1804" t="inlineStr">
        <is>
          <t>View Company Page</t>
        </is>
      </c>
      <c r="BO1804" s="4">
        <v>46121.53256944445</v>
      </c>
      <c r="BP1804">
        <v>166640</v>
      </c>
      <c r="BQ1804"/>
      <c r="BR1804"/>
      <c r="BS1804"/>
      <c r="BT1804"/>
      <c r="BU1804"/>
      <c r="BV1804">
        <v>2723120</v>
      </c>
      <c r="BW1804" t="inlineStr">
        <is>
          <t>Inquire for Hiring Needs : No Hiring</t>
        </is>
      </c>
      <c r="BX1804"/>
      <c r="BY1804"/>
      <c r="BZ1804" s="4"/>
      <c r="CA1804"/>
      <c r="CB1804"/>
      <c r="CC1804" s="4"/>
      <c r="CD1804" t="inlineStr">
        <is>
          <t>20</t>
        </is>
      </c>
      <c r="CE1804" t="inlineStr">
        <is>
          <t>0</t>
        </is>
      </c>
      <c r="CF1804" t="inlineStr">
        <is>
          <t>Q2-W02</t>
        </is>
      </c>
      <c r="CG1804"/>
      <c r="CH1804"/>
      <c r="CI1804"/>
      <c r="CJ1804" t="inlineStr">
        <is>
          <t>No Paid</t>
        </is>
      </c>
      <c r="CK1804" t="inlineStr">
        <is>
          <t>Not Eligible</t>
        </is>
      </c>
      <c r="CL1804"/>
      <c r="CM1804"/>
    </row>
    <row r="1805" ht="25.5" customHeight="1">
      <c r="A1805" t="inlineStr">
        <is>
          <t>190670</t>
        </is>
      </c>
      <c r="B1805" s="2"/>
      <c r="C1805"/>
      <c r="D1805" s="3">
        <v>46125.45686342593</v>
      </c>
      <c r="E1805" t="inlineStr">
        <is>
          <t>Q2-W02</t>
        </is>
      </c>
      <c r="F1805" t="inlineStr">
        <is>
          <t>Xin Hui</t>
        </is>
      </c>
      <c r="G1805" t="inlineStr">
        <is>
          <t>Customer</t>
        </is>
      </c>
      <c r="H1805" s="2" t="str">
        <f>=HYPERLINK("https://upbox.ajobthing.my/customer/190670", "https://upbox.ajobthing.my/customer/190670")</f>
        <v>https://upbox.ajobthing.my/customer/190670</v>
      </c>
      <c r="I1805" t="inlineStr">
        <is>
          <t>Innovate Worldwide Sdn Bhd</t>
        </is>
      </c>
      <c r="J1805" t="inlineStr">
        <is>
          <t>Small Fish</t>
        </is>
      </c>
      <c r="K1805" t="inlineStr">
        <is>
          <t>Xin Hui</t>
        </is>
      </c>
      <c r="L1805" s="4"/>
      <c r="M1805" s="4">
        <v>46125.45936342593</v>
      </c>
      <c r="N1805"/>
      <c r="O1805">
        <v>3888</v>
      </c>
      <c r="P1805" s="4"/>
      <c r="Q1805" s="4"/>
      <c r="R1805"/>
      <c r="S1805"/>
      <c r="T1805" s="4"/>
      <c r="U1805" s="4"/>
      <c r="V1805"/>
      <c r="W1805"/>
      <c r="X1805"/>
      <c r="Y1805" t="inlineStr">
        <is>
          <t>Pending Appointment</t>
        </is>
      </c>
      <c r="Z1805" t="inlineStr">
        <is>
          <t>Hiring Later</t>
        </is>
      </c>
      <c r="AA1805">
        <v>2</v>
      </c>
      <c r="AB1805" t="inlineStr">
        <is>
          <t>No Appointment Made</t>
        </is>
      </c>
      <c r="AC1805"/>
      <c r="AD1805" t="inlineStr">
        <is>
          <t xml:space="preserve">customer service / accountant </t>
        </is>
      </c>
      <c r="AE1805"/>
      <c r="AF1805">
        <v>0</v>
      </c>
      <c r="AG1805" s="4"/>
      <c r="AH1805" s="4"/>
      <c r="AI1805"/>
      <c r="AJ1805"/>
      <c r="AK1805" t="inlineStr">
        <is>
          <t>No, I don't need at all</t>
        </is>
      </c>
      <c r="AL1805"/>
      <c r="AM1805" t="inlineStr">
        <is>
          <t>No, I don't need at all</t>
        </is>
      </c>
      <c r="AN1805"/>
      <c r="AO1805" t="inlineStr">
        <is>
          <t>No, I don't need at all</t>
        </is>
      </c>
      <c r="AP1805" t="inlineStr">
        <is>
          <t>Once a year (25%)</t>
        </is>
      </c>
      <c r="AQ1805"/>
      <c r="AR1805"/>
      <c r="AS1805" t="inlineStr">
        <is>
          <t>- Headcount: 2
- Hiring Job Details: customer service / accountant
- Hiring Urgency: Hiring Later
- Number of outlets: Not specified
- Have recruiter team: No, I don't need at all
- Number of recruiter in company: Not specified
- Have ATS system: No, I don't need at all
- Have career website: No, I don't need at all
- Current hiring budget: RM0.00
- Whole year budget: Not specified
- Whole year number of vacancies: Not specified
- Hiring frequency: Once a year (25%)
- External job portal: Not specified</t>
        </is>
      </c>
      <c r="AT1805">
        <v>75</v>
      </c>
      <c r="AU1805" t="inlineStr">
        <is>
          <t>0.75</t>
        </is>
      </c>
      <c r="AV1805" t="inlineStr">
        <is>
          <t>15</t>
        </is>
      </c>
      <c r="AW1805" t="inlineStr">
        <is>
          <t>0</t>
        </is>
      </c>
      <c r="AX1805" t="inlineStr">
        <is>
          <t>Not Qualified</t>
        </is>
      </c>
      <c r="AY1805" s="4"/>
      <c r="AZ1805"/>
      <c r="BA1805"/>
      <c r="BB1805"/>
      <c r="BC1805" t="inlineStr">
        <is>
          <t>hiring later // not for now</t>
        </is>
      </c>
      <c r="BD1805" s="4">
        <v>46141.59653935185</v>
      </c>
      <c r="BE1805"/>
      <c r="BF1805"/>
      <c r="BG1805" t="inlineStr">
        <is>
          <t>Reschedule</t>
        </is>
      </c>
      <c r="BH1805" t="inlineStr">
        <is>
          <t>Yee Hang</t>
        </is>
      </c>
      <c r="BI1805"/>
      <c r="BJ1805" s="4">
        <v>46144.75237268519</v>
      </c>
      <c r="BK1805" s="4">
        <v>45776.61</v>
      </c>
      <c r="BL1805" t="inlineStr">
        <is>
          <t>0.0</t>
        </is>
      </c>
      <c r="BM1805" t="inlineStr">
        <is>
          <t>0.0</t>
        </is>
      </c>
      <c r="BN1805" t="inlineStr">
        <is>
          <t>View Create Job Page</t>
        </is>
      </c>
      <c r="BO1805" s="4">
        <v>45776.61054398148</v>
      </c>
      <c r="BP1805">
        <v>166661</v>
      </c>
      <c r="BQ1805"/>
      <c r="BR1805"/>
      <c r="BS1805"/>
      <c r="BT1805"/>
      <c r="BU1805"/>
      <c r="BV1805">
        <v>2735255</v>
      </c>
      <c r="BW1805" t="inlineStr">
        <is>
          <t>Follow Up : Lost - Free Portal</t>
        </is>
      </c>
      <c r="BX1805"/>
      <c r="BY1805"/>
      <c r="BZ1805" s="4"/>
      <c r="CA1805"/>
      <c r="CB1805"/>
      <c r="CC1805" s="4"/>
      <c r="CD1805" t="inlineStr">
        <is>
          <t>20</t>
        </is>
      </c>
      <c r="CE1805" t="inlineStr">
        <is>
          <t>0</t>
        </is>
      </c>
      <c r="CF1805" t="inlineStr">
        <is>
          <t>Q2-W02</t>
        </is>
      </c>
      <c r="CG1805"/>
      <c r="CH1805"/>
      <c r="CI1805"/>
      <c r="CJ1805" t="inlineStr">
        <is>
          <t>No Paid</t>
        </is>
      </c>
      <c r="CK1805" t="inlineStr">
        <is>
          <t>Not Eligible</t>
        </is>
      </c>
      <c r="CL1805"/>
      <c r="CM1805"/>
    </row>
    <row r="1806" ht="25.5" customHeight="1">
      <c r="A1806" t="inlineStr">
        <is>
          <t>203150</t>
        </is>
      </c>
      <c r="B1806" s="2"/>
      <c r="C1806"/>
      <c r="D1806" s="3">
        <v>46125.45726851852</v>
      </c>
      <c r="E1806" t="inlineStr">
        <is>
          <t>Q2-W02</t>
        </is>
      </c>
      <c r="F1806" t="inlineStr">
        <is>
          <t>Ken Yi</t>
        </is>
      </c>
      <c r="G1806" t="inlineStr">
        <is>
          <t>Customer</t>
        </is>
      </c>
      <c r="H1806" s="2" t="str">
        <f>=HYPERLINK("https://upbox.ajobthing.my/customer/203150", "https://upbox.ajobthing.my/customer/203150")</f>
        <v>https://upbox.ajobthing.my/customer/203150</v>
      </c>
      <c r="I1806" t="inlineStr">
        <is>
          <t>Lemakbox</t>
        </is>
      </c>
      <c r="J1806" t="inlineStr">
        <is>
          <t>Small Fish</t>
        </is>
      </c>
      <c r="K1806" t="inlineStr">
        <is>
          <t>Kenyi</t>
        </is>
      </c>
      <c r="L1806" s="4"/>
      <c r="M1806" s="4">
        <v>46139.45384259259</v>
      </c>
      <c r="N1806"/>
      <c r="O1806">
        <v>864</v>
      </c>
      <c r="P1806" s="4"/>
      <c r="Q1806" s="4">
        <v>46125.411944444444</v>
      </c>
      <c r="R1806"/>
      <c r="S1806">
        <v>0</v>
      </c>
      <c r="T1806" s="4"/>
      <c r="U1806" s="4"/>
      <c r="V1806"/>
      <c r="W1806"/>
      <c r="X1806"/>
      <c r="Y1806" t="inlineStr">
        <is>
          <t>Pending Appointment</t>
        </is>
      </c>
      <c r="Z1806" t="inlineStr">
        <is>
          <t>Hiring Now</t>
        </is>
      </c>
      <c r="AA1806">
        <v>2</v>
      </c>
      <c r="AB1806" t="inlineStr">
        <is>
          <t>No Appointment Made</t>
        </is>
      </c>
      <c r="AC1806"/>
      <c r="AD1806" t="inlineStr">
        <is>
          <t>Outlet Supervision, service crew</t>
        </is>
      </c>
      <c r="AE1806"/>
      <c r="AF1806">
        <v>0</v>
      </c>
      <c r="AG1806" s="4"/>
      <c r="AH1806" s="4"/>
      <c r="AI1806">
        <v>0</v>
      </c>
      <c r="AJ1806">
        <v>1</v>
      </c>
      <c r="AK1806" t="inlineStr">
        <is>
          <t>Yes, I have</t>
        </is>
      </c>
      <c r="AL1806">
        <v>1</v>
      </c>
      <c r="AM1806" t="inlineStr">
        <is>
          <t>No, I don't need at all</t>
        </is>
      </c>
      <c r="AN1806"/>
      <c r="AO1806" t="inlineStr">
        <is>
          <t>No, I don't need at all</t>
        </is>
      </c>
      <c r="AP1806" t="inlineStr">
        <is>
          <t>Every month (100%)</t>
        </is>
      </c>
      <c r="AQ1806">
        <v>3</v>
      </c>
      <c r="AR1806" t="inlineStr">
        <is>
          <t>Did not use any job portal</t>
        </is>
      </c>
      <c r="AS1806" t="inlineStr">
        <is>
          <t>- Headcount: 2
- Hiring Job Details: Outlet Supervision, service crew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Did not use any job portal</t>
        </is>
      </c>
      <c r="AT1806">
        <v>115</v>
      </c>
      <c r="AU1806" t="inlineStr">
        <is>
          <t>1.15</t>
        </is>
      </c>
      <c r="AV1806" t="inlineStr">
        <is>
          <t>15</t>
        </is>
      </c>
      <c r="AW1806" t="inlineStr">
        <is>
          <t>0</t>
        </is>
      </c>
      <c r="AX1806" t="inlineStr">
        <is>
          <t>Not Qualified</t>
        </is>
      </c>
      <c r="AY1806" s="4"/>
      <c r="AZ1806"/>
      <c r="BA1806"/>
      <c r="BB1806"/>
      <c r="BC1806" t="inlineStr">
        <is>
          <t>Follow up and offered ala carte with client</t>
        </is>
      </c>
      <c r="BD1806" s="4">
        <v>46139.45359953704</v>
      </c>
      <c r="BE1806" t="inlineStr">
        <is>
          <t>paid</t>
        </is>
      </c>
      <c r="BF1806"/>
      <c r="BG1806" t="inlineStr">
        <is>
          <t>Reschedule</t>
        </is>
      </c>
      <c r="BH1806" t="inlineStr">
        <is>
          <t>Fauziah Maharan</t>
        </is>
      </c>
      <c r="BI1806" t="inlineStr">
        <is>
          <t>Food / Beverage</t>
        </is>
      </c>
      <c r="BJ1806" s="4">
        <v>46144.75423611111</v>
      </c>
      <c r="BK1806" s="4">
        <v>46125.41028935185</v>
      </c>
      <c r="BL1806" t="inlineStr">
        <is>
          <t>0.0</t>
        </is>
      </c>
      <c r="BM1806" t="inlineStr">
        <is>
          <t>0.0</t>
        </is>
      </c>
      <c r="BN1806" t="inlineStr">
        <is>
          <t>View Candidate Search Page</t>
        </is>
      </c>
      <c r="BO1806" s="4">
        <v>46125.420625</v>
      </c>
      <c r="BP1806">
        <v>168958</v>
      </c>
      <c r="BQ1806">
        <v>121930</v>
      </c>
      <c r="BR1806" t="inlineStr">
        <is>
          <t>Proforma</t>
        </is>
      </c>
      <c r="BS1806" t="inlineStr">
        <is>
          <t>Free Part-Time Job</t>
        </is>
      </c>
      <c r="BT1806"/>
      <c r="BU1806"/>
      <c r="BV1806">
        <v>2728465</v>
      </c>
      <c r="BW1806" t="inlineStr">
        <is>
          <t>Follow Up : Quotation Sent 50%</t>
        </is>
      </c>
      <c r="BX1806"/>
      <c r="BY1806"/>
      <c r="BZ1806" s="4"/>
      <c r="CA1806"/>
      <c r="CB1806"/>
      <c r="CC1806" s="4"/>
      <c r="CD1806" t="inlineStr">
        <is>
          <t>20</t>
        </is>
      </c>
      <c r="CE1806" t="inlineStr">
        <is>
          <t>0</t>
        </is>
      </c>
      <c r="CF1806" t="inlineStr">
        <is>
          <t>Q2-W04</t>
        </is>
      </c>
      <c r="CG1806" t="inlineStr">
        <is>
          <t>Q2-W02</t>
        </is>
      </c>
      <c r="CH1806"/>
      <c r="CI1806"/>
      <c r="CJ1806" t="inlineStr">
        <is>
          <t>No Paid</t>
        </is>
      </c>
      <c r="CK1806" t="inlineStr">
        <is>
          <t>Not Eligible</t>
        </is>
      </c>
      <c r="CL1806"/>
      <c r="CM1806"/>
    </row>
    <row r="1807" ht="25.5" customHeight="1">
      <c r="A1807" t="inlineStr">
        <is>
          <t>203129</t>
        </is>
      </c>
      <c r="B1807" s="2"/>
      <c r="C1807"/>
      <c r="D1807" s="3">
        <v>46125.46533564815</v>
      </c>
      <c r="E1807" t="inlineStr">
        <is>
          <t>Q2-W02</t>
        </is>
      </c>
      <c r="F1807" t="inlineStr">
        <is>
          <t>Lucas</t>
        </is>
      </c>
      <c r="G1807" t="inlineStr">
        <is>
          <t>Customer</t>
        </is>
      </c>
      <c r="H1807" s="2" t="str">
        <f>=HYPERLINK("https://upbox.ajobthing.my/customer/203129", "https://upbox.ajobthing.my/customer/203129")</f>
        <v>https://upbox.ajobthing.my/customer/203129</v>
      </c>
      <c r="I1807" t="inlineStr">
        <is>
          <t>bk &amp; See co</t>
        </is>
      </c>
      <c r="J1807" t="inlineStr">
        <is>
          <t>Small Fish</t>
        </is>
      </c>
      <c r="K1807" t="inlineStr">
        <is>
          <t>Lucas</t>
        </is>
      </c>
      <c r="L1807" s="4"/>
      <c r="M1807" s="4">
        <v>46125.464467592596</v>
      </c>
      <c r="N1807"/>
      <c r="O1807">
        <v>3888</v>
      </c>
      <c r="P1807" s="4"/>
      <c r="Q1807" s="4"/>
      <c r="R1807"/>
      <c r="S1807"/>
      <c r="T1807" s="4"/>
      <c r="U1807" s="4"/>
      <c r="V1807"/>
      <c r="W1807"/>
      <c r="X1807"/>
      <c r="Y1807" t="inlineStr">
        <is>
          <t>Pending Appointment</t>
        </is>
      </c>
      <c r="Z1807" t="inlineStr">
        <is>
          <t>Hiring Now</t>
        </is>
      </c>
      <c r="AA1807">
        <v>1</v>
      </c>
      <c r="AB1807" t="inlineStr">
        <is>
          <t>No Appointment Made</t>
        </is>
      </c>
      <c r="AC1807"/>
      <c r="AD1807" t="inlineStr">
        <is>
          <t xml:space="preserve">1 auditor </t>
        </is>
      </c>
      <c r="AE1807"/>
      <c r="AF1807">
        <v>0</v>
      </c>
      <c r="AG1807" s="4"/>
      <c r="AH1807" s="4"/>
      <c r="AI1807">
        <v>0</v>
      </c>
      <c r="AJ1807">
        <v>0</v>
      </c>
      <c r="AK1807" t="inlineStr">
        <is>
          <t>No, I don't need at all</t>
        </is>
      </c>
      <c r="AL1807">
        <v>0</v>
      </c>
      <c r="AM1807" t="inlineStr">
        <is>
          <t>No, I don't need at all</t>
        </is>
      </c>
      <c r="AN1807"/>
      <c r="AO1807" t="inlineStr">
        <is>
          <t>No, I don't need at all</t>
        </is>
      </c>
      <c r="AP1807" t="inlineStr">
        <is>
          <t>Once a year (25%)</t>
        </is>
      </c>
      <c r="AQ1807">
        <v>1</v>
      </c>
      <c r="AR1807" t="inlineStr">
        <is>
          <t>Did not use any job portal</t>
        </is>
      </c>
      <c r="AS1807" t="inlineStr">
        <is>
          <t>- Headcount: 1
- Hiring Job Details: 1 auditor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807">
        <v>105</v>
      </c>
      <c r="AU1807" t="inlineStr">
        <is>
          <t>1.05</t>
        </is>
      </c>
      <c r="AV1807" t="inlineStr">
        <is>
          <t>15</t>
        </is>
      </c>
      <c r="AW1807" t="inlineStr">
        <is>
          <t>0</t>
        </is>
      </c>
      <c r="AX1807" t="inlineStr">
        <is>
          <t>Not Qualified</t>
        </is>
      </c>
      <c r="AY1807" s="4"/>
      <c r="AZ1807"/>
      <c r="BA1807"/>
      <c r="BB1807"/>
      <c r="BC1807" t="inlineStr">
        <is>
          <t>decide not going to use any job portal</t>
        </is>
      </c>
      <c r="BD1807" s="4">
        <v>46133.650509259256</v>
      </c>
      <c r="BE1807"/>
      <c r="BF1807"/>
      <c r="BG1807" t="inlineStr">
        <is>
          <t>Reschedule</t>
        </is>
      </c>
      <c r="BH1807" t="inlineStr">
        <is>
          <t>Yee Hang</t>
        </is>
      </c>
      <c r="BI1807"/>
      <c r="BJ1807" s="4">
        <v>46144.75423611111</v>
      </c>
      <c r="BK1807" s="4">
        <v>46123.93869212963</v>
      </c>
      <c r="BL1807" t="inlineStr">
        <is>
          <t>0.0</t>
        </is>
      </c>
      <c r="BM1807" t="inlineStr">
        <is>
          <t>0.0</t>
        </is>
      </c>
      <c r="BN1807" t="inlineStr">
        <is>
          <t>View Create Job Page V4</t>
        </is>
      </c>
      <c r="BO1807" s="4">
        <v>46123.945439814815</v>
      </c>
      <c r="BP1807">
        <v>166663</v>
      </c>
      <c r="BQ1807"/>
      <c r="BR1807"/>
      <c r="BS1807"/>
      <c r="BT1807"/>
      <c r="BU1807"/>
      <c r="BV1807">
        <v>2718569</v>
      </c>
      <c r="BW1807" t="inlineStr">
        <is>
          <t>Follow Up : Budget Concern</t>
        </is>
      </c>
      <c r="BX1807"/>
      <c r="BY1807"/>
      <c r="BZ1807" s="4"/>
      <c r="CA1807"/>
      <c r="CB1807"/>
      <c r="CC1807" s="4"/>
      <c r="CD1807" t="inlineStr">
        <is>
          <t>20</t>
        </is>
      </c>
      <c r="CE1807" t="inlineStr">
        <is>
          <t>0</t>
        </is>
      </c>
      <c r="CF1807" t="inlineStr">
        <is>
          <t>Q2-W02</t>
        </is>
      </c>
      <c r="CG1807"/>
      <c r="CH1807"/>
      <c r="CI1807"/>
      <c r="CJ1807" t="inlineStr">
        <is>
          <t>No Paid</t>
        </is>
      </c>
      <c r="CK1807" t="inlineStr">
        <is>
          <t>Not Eligible</t>
        </is>
      </c>
      <c r="CL1807"/>
      <c r="CM1807"/>
    </row>
    <row r="1808" ht="25.5" customHeight="1">
      <c r="A1808" t="inlineStr">
        <is>
          <t>203113</t>
        </is>
      </c>
      <c r="B1808" s="2"/>
      <c r="C1808"/>
      <c r="D1808" s="3">
        <v>46125.46555555556</v>
      </c>
      <c r="E1808" t="inlineStr">
        <is>
          <t>Q2-W02</t>
        </is>
      </c>
      <c r="F1808" t="inlineStr">
        <is>
          <t>Evan</t>
        </is>
      </c>
      <c r="G1808" t="inlineStr">
        <is>
          <t>Customer</t>
        </is>
      </c>
      <c r="H1808" s="2" t="str">
        <f>=HYPERLINK("https://upbox.ajobthing.my/customer/203113", "https://upbox.ajobthing.my/customer/203113")</f>
        <v>https://upbox.ajobthing.my/customer/203113</v>
      </c>
      <c r="I1808" t="inlineStr">
        <is>
          <t>Far Eastern Freight Agencies Sdn Bhd</t>
        </is>
      </c>
      <c r="J1808" t="inlineStr">
        <is>
          <t>Small Fish</t>
        </is>
      </c>
      <c r="K1808" t="inlineStr">
        <is>
          <t>Evan</t>
        </is>
      </c>
      <c r="L1808" s="4"/>
      <c r="M1808" s="4">
        <v>46125.464953703704</v>
      </c>
      <c r="N1808"/>
      <c r="O1808">
        <v>3888</v>
      </c>
      <c r="P1808" s="4"/>
      <c r="Q1808" s="4">
        <v>46122.801620370374</v>
      </c>
      <c r="R1808"/>
      <c r="S1808">
        <v>0</v>
      </c>
      <c r="T1808" s="4"/>
      <c r="U1808" s="4"/>
      <c r="V1808"/>
      <c r="W1808"/>
      <c r="X1808"/>
      <c r="Y1808" t="inlineStr">
        <is>
          <t>Pending Appointment</t>
        </is>
      </c>
      <c r="Z1808" t="inlineStr">
        <is>
          <t>Hiring Now</t>
        </is>
      </c>
      <c r="AA1808">
        <v>3</v>
      </c>
      <c r="AB1808" t="inlineStr">
        <is>
          <t>No Appointment Made</t>
        </is>
      </c>
      <c r="AC1808"/>
      <c r="AD1808" t="inlineStr">
        <is>
          <t>1 clerk, 1 cx, 1 sales, all base in Klang</t>
        </is>
      </c>
      <c r="AE1808"/>
      <c r="AF1808">
        <v>1</v>
      </c>
      <c r="AG1808" s="4"/>
      <c r="AH1808" s="4"/>
      <c r="AI1808">
        <v>1</v>
      </c>
      <c r="AJ1808">
        <v>1</v>
      </c>
      <c r="AK1808" t="inlineStr">
        <is>
          <t>No, I don't need at all</t>
        </is>
      </c>
      <c r="AL1808">
        <v>0</v>
      </c>
      <c r="AM1808" t="inlineStr">
        <is>
          <t>No, I don't need at all</t>
        </is>
      </c>
      <c r="AN1808"/>
      <c r="AO1808" t="inlineStr">
        <is>
          <t>No, I don't need at all</t>
        </is>
      </c>
      <c r="AP1808" t="inlineStr">
        <is>
          <t>Once a year (25%)</t>
        </is>
      </c>
      <c r="AQ1808">
        <v>3</v>
      </c>
      <c r="AR1808" t="inlineStr">
        <is>
          <t>Indeed (Paid), Free Job Portal</t>
        </is>
      </c>
      <c r="AS1808" t="inlineStr">
        <is>
          <t>- Headcount: 3
- Hiring Job Details: 1 clerk, 1 cx, 1 sales (all base in Klang)
- Hiring Urgency: Hiring Now
- Number of outlets: 1
- Have recruiter team: No, don't need at all
- Number of recruiter in company: 0
- Have ATS system: No, don't need at all
- Have career website: No, don't need at all
- Current hiring budget: RM1
- Whole year budget: RM1.00
- Whole year number of vacancies: 3
- Hiring frequency: Once a year (25%)
- External job portal: Indeed (Paid), Free Job Portal</t>
        </is>
      </c>
      <c r="AT1808">
        <v>115</v>
      </c>
      <c r="AU1808" t="inlineStr">
        <is>
          <t>1.15</t>
        </is>
      </c>
      <c r="AV1808" t="inlineStr">
        <is>
          <t>15</t>
        </is>
      </c>
      <c r="AW1808" t="inlineStr">
        <is>
          <t>0</t>
        </is>
      </c>
      <c r="AX1808" t="inlineStr">
        <is>
          <t>Not Qualified</t>
        </is>
      </c>
      <c r="AY1808" s="4"/>
      <c r="AZ1808"/>
      <c r="BA1808"/>
      <c r="BB1808"/>
      <c r="BC1808" t="inlineStr">
        <is>
          <t>pending</t>
        </is>
      </c>
      <c r="BD1808" s="4">
        <v>46133.7124537037</v>
      </c>
      <c r="BE1808" t="inlineStr">
        <is>
          <t>paid</t>
        </is>
      </c>
      <c r="BF1808"/>
      <c r="BG1808" t="inlineStr">
        <is>
          <t>Reschedule</t>
        </is>
      </c>
      <c r="BH1808" t="inlineStr">
        <is>
          <t>Edward Hoo</t>
        </is>
      </c>
      <c r="BI1808" t="inlineStr">
        <is>
          <t>Transportation / Logistics</t>
        </is>
      </c>
      <c r="BJ1808" s="4">
        <v>46144.754212962966</v>
      </c>
      <c r="BK1808" s="4">
        <v>46122.79981481482</v>
      </c>
      <c r="BL1808" t="inlineStr">
        <is>
          <t>0.0</t>
        </is>
      </c>
      <c r="BM1808" t="inlineStr">
        <is>
          <t>0.0</t>
        </is>
      </c>
      <c r="BN1808" t="inlineStr">
        <is>
          <t>View Company Page</t>
        </is>
      </c>
      <c r="BO1808" s="4">
        <v>46122.91857638889</v>
      </c>
      <c r="BP1808">
        <v>166666</v>
      </c>
      <c r="BQ1808">
        <v>121804</v>
      </c>
      <c r="BR1808" t="inlineStr">
        <is>
          <t>Proforma</t>
        </is>
      </c>
      <c r="BS1808" t="inlineStr">
        <is>
          <t>Free Part-Time Job</t>
        </is>
      </c>
      <c r="BT1808"/>
      <c r="BU1808"/>
      <c r="BV1808">
        <v>2718991</v>
      </c>
      <c r="BW1808" t="inlineStr">
        <is>
          <t>Follow Up : Decision Pending</t>
        </is>
      </c>
      <c r="BX1808"/>
      <c r="BY1808"/>
      <c r="BZ1808" s="4"/>
      <c r="CA1808"/>
      <c r="CB1808"/>
      <c r="CC1808" s="4"/>
      <c r="CD1808" t="inlineStr">
        <is>
          <t>20</t>
        </is>
      </c>
      <c r="CE1808" t="inlineStr">
        <is>
          <t>0</t>
        </is>
      </c>
      <c r="CF1808" t="inlineStr">
        <is>
          <t>Q2-W02</t>
        </is>
      </c>
      <c r="CG1808" t="inlineStr">
        <is>
          <t>Q2-W02</t>
        </is>
      </c>
      <c r="CH1808"/>
      <c r="CI1808"/>
      <c r="CJ1808" t="inlineStr">
        <is>
          <t>No Paid</t>
        </is>
      </c>
      <c r="CK1808" t="inlineStr">
        <is>
          <t>Not Eligible</t>
        </is>
      </c>
      <c r="CL1808"/>
      <c r="CM1808"/>
    </row>
    <row r="1809" ht="25.5" customHeight="1">
      <c r="A1809" t="inlineStr">
        <is>
          <t>203148</t>
        </is>
      </c>
      <c r="B1809" s="2"/>
      <c r="C1809"/>
      <c r="D1809" s="3">
        <v>46125.471967592595</v>
      </c>
      <c r="E1809" t="inlineStr">
        <is>
          <t>Q2-W02</t>
        </is>
      </c>
      <c r="F1809" t="inlineStr">
        <is>
          <t>Angel  Low</t>
        </is>
      </c>
      <c r="G1809" t="inlineStr">
        <is>
          <t>Customer</t>
        </is>
      </c>
      <c r="H1809" s="2" t="str">
        <f>=HYPERLINK("https://upbox.ajobthing.my/customer/203148", "https://upbox.ajobthing.my/customer/203148")</f>
        <v>https://upbox.ajobthing.my/customer/203148</v>
      </c>
      <c r="I1809" t="inlineStr">
        <is>
          <t>Top Ck Gadgets Sdn Bhd</t>
        </is>
      </c>
      <c r="J1809" t="inlineStr">
        <is>
          <t>Small Fish</t>
        </is>
      </c>
      <c r="K1809" t="inlineStr">
        <is>
          <t>Angel Low</t>
        </is>
      </c>
      <c r="L1809" s="4"/>
      <c r="M1809" s="4">
        <v>46127.64164351852</v>
      </c>
      <c r="N1809"/>
      <c r="O1809">
        <v>5508</v>
      </c>
      <c r="P1809" s="4"/>
      <c r="Q1809" s="4">
        <v>46125.385625</v>
      </c>
      <c r="R1809"/>
      <c r="S1809">
        <v>0</v>
      </c>
      <c r="T1809" s="4"/>
      <c r="U1809" s="4"/>
      <c r="V1809"/>
      <c r="W1809"/>
      <c r="X1809"/>
      <c r="Y1809" t="inlineStr">
        <is>
          <t>Pending Appointment</t>
        </is>
      </c>
      <c r="Z1809" t="inlineStr">
        <is>
          <t>Hiring Now</t>
        </is>
      </c>
      <c r="AA1809">
        <v>2</v>
      </c>
      <c r="AB1809" t="inlineStr">
        <is>
          <t>No Appointment Made</t>
        </is>
      </c>
      <c r="AC1809"/>
      <c r="AD1809" t="inlineStr">
        <is>
          <t xml:space="preserve">1 e-commerce exec, 1 cashier </t>
        </is>
      </c>
      <c r="AE1809"/>
      <c r="AF1809"/>
      <c r="AG1809" s="4"/>
      <c r="AH1809" s="4"/>
      <c r="AI1809"/>
      <c r="AJ1809"/>
      <c r="AK1809"/>
      <c r="AL1809"/>
      <c r="AM1809"/>
      <c r="AN1809"/>
      <c r="AO1809"/>
      <c r="AP1809" t="inlineStr">
        <is>
          <t>Twice a year (50%)</t>
        </is>
      </c>
      <c r="AQ1809"/>
      <c r="AR1809"/>
      <c r="AS1809" t="inlineStr">
        <is>
          <t>- Headcount: 2
- Hiring Job Details: 1 e-commerce exec, 1 cashier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Twice a year (50%)
- External job portal: Not available</t>
        </is>
      </c>
      <c r="AT1809">
        <v>75</v>
      </c>
      <c r="AU1809" t="inlineStr">
        <is>
          <t>0.75</t>
        </is>
      </c>
      <c r="AV1809" t="inlineStr">
        <is>
          <t>5</t>
        </is>
      </c>
      <c r="AW1809" t="inlineStr">
        <is>
          <t>0</t>
        </is>
      </c>
      <c r="AX1809" t="inlineStr">
        <is>
          <t>Not Qualified</t>
        </is>
      </c>
      <c r="AY1809" s="4"/>
      <c r="AZ1809"/>
      <c r="BA1809"/>
      <c r="BB1809"/>
      <c r="BC1809" t="inlineStr">
        <is>
          <t>clarify pacakge</t>
        </is>
      </c>
      <c r="BD1809" s="4">
        <v>46127.64273148148</v>
      </c>
      <c r="BE1809" t="inlineStr">
        <is>
          <t>paid</t>
        </is>
      </c>
      <c r="BF1809"/>
      <c r="BG1809" t="inlineStr">
        <is>
          <t>Reschedule</t>
        </is>
      </c>
      <c r="BH1809" t="inlineStr">
        <is>
          <t>Fauziah Maharan</t>
        </is>
      </c>
      <c r="BI1809"/>
      <c r="BJ1809" s="4">
        <v>46144.75423611111</v>
      </c>
      <c r="BK1809" s="4">
        <v>46125.3840625</v>
      </c>
      <c r="BL1809" t="inlineStr">
        <is>
          <t>0.0</t>
        </is>
      </c>
      <c r="BM1809" t="inlineStr">
        <is>
          <t>0.0</t>
        </is>
      </c>
      <c r="BN1809" t="inlineStr">
        <is>
          <t>View Company Page</t>
        </is>
      </c>
      <c r="BO1809" s="4">
        <v>46125.42702546297</v>
      </c>
      <c r="BP1809">
        <v>167211</v>
      </c>
      <c r="BQ1809">
        <v>121920</v>
      </c>
      <c r="BR1809" t="inlineStr">
        <is>
          <t>Proforma</t>
        </is>
      </c>
      <c r="BS1809" t="inlineStr">
        <is>
          <t>Free Part-Time Job</t>
        </is>
      </c>
      <c r="BT1809"/>
      <c r="BU1809"/>
      <c r="BV1809">
        <v>2706230</v>
      </c>
      <c r="BW1809" t="inlineStr">
        <is>
          <t>Follow Up : Quotation Sent 50%</t>
        </is>
      </c>
      <c r="BX1809"/>
      <c r="BY1809"/>
      <c r="BZ1809" s="4"/>
      <c r="CA1809"/>
      <c r="CB1809"/>
      <c r="CC1809" s="4"/>
      <c r="CD1809" t="inlineStr">
        <is>
          <t>5</t>
        </is>
      </c>
      <c r="CE1809" t="inlineStr">
        <is>
          <t>0</t>
        </is>
      </c>
      <c r="CF1809" t="inlineStr">
        <is>
          <t>Q2-W02</t>
        </is>
      </c>
      <c r="CG1809" t="inlineStr">
        <is>
          <t>Q2-W02</t>
        </is>
      </c>
      <c r="CH1809"/>
      <c r="CI1809"/>
      <c r="CJ1809" t="inlineStr">
        <is>
          <t>No Paid</t>
        </is>
      </c>
      <c r="CK1809" t="inlineStr">
        <is>
          <t>Not Eligible</t>
        </is>
      </c>
      <c r="CL1809"/>
      <c r="CM1809"/>
    </row>
    <row r="1810" ht="25.5" customHeight="1">
      <c r="A1810" t="inlineStr">
        <is>
          <t>168532</t>
        </is>
      </c>
      <c r="B1810" s="2"/>
      <c r="C1810"/>
      <c r="D1810" s="3">
        <v>46125.48619212963</v>
      </c>
      <c r="E1810" t="inlineStr">
        <is>
          <t>Q2-W02</t>
        </is>
      </c>
      <c r="F1810" t="inlineStr">
        <is>
          <t>Carmen</t>
        </is>
      </c>
      <c r="G1810" t="inlineStr">
        <is>
          <t>Customer</t>
        </is>
      </c>
      <c r="H1810" s="2" t="str">
        <f>=HYPERLINK("https://upbox.ajobthing.my/customer/168532", "https://upbox.ajobthing.my/customer/168532")</f>
        <v>https://upbox.ajobthing.my/customer/168532</v>
      </c>
      <c r="I1810" t="inlineStr">
        <is>
          <t>Tonesign Sdn. Bhd.</t>
        </is>
      </c>
      <c r="J1810" t="inlineStr">
        <is>
          <t>Small Fish</t>
        </is>
      </c>
      <c r="K1810" t="inlineStr">
        <is>
          <t>Carmen</t>
        </is>
      </c>
      <c r="L1810" s="4"/>
      <c r="M1810" s="4">
        <v>46125.48596064815</v>
      </c>
      <c r="N1810"/>
      <c r="O1810">
        <v>6048</v>
      </c>
      <c r="P1810" s="4"/>
      <c r="Q1810" s="4">
        <v>45103.67222222222</v>
      </c>
      <c r="R1810"/>
      <c r="S1810">
        <v>954</v>
      </c>
      <c r="T1810" s="4">
        <v>45103.67222222222</v>
      </c>
      <c r="U1810" s="4"/>
      <c r="V1810"/>
      <c r="W1810">
        <v>954</v>
      </c>
      <c r="X1810"/>
      <c r="Y1810" t="inlineStr">
        <is>
          <t>Pending Appointment</t>
        </is>
      </c>
      <c r="Z1810" t="inlineStr">
        <is>
          <t>Continuous Hiring</t>
        </is>
      </c>
      <c r="AA1810">
        <v>2</v>
      </c>
      <c r="AB1810" t="inlineStr">
        <is>
          <t>No Appointment Made</t>
        </is>
      </c>
      <c r="AC1810"/>
      <c r="AD1810" t="inlineStr">
        <is>
          <t>1 telesales, 1 cs</t>
        </is>
      </c>
      <c r="AE1810"/>
      <c r="AF1810">
        <v>0</v>
      </c>
      <c r="AG1810" s="4"/>
      <c r="AH1810" s="4"/>
      <c r="AI1810"/>
      <c r="AJ1810"/>
      <c r="AK1810"/>
      <c r="AL1810"/>
      <c r="AM1810"/>
      <c r="AN1810"/>
      <c r="AO1810"/>
      <c r="AP1810" t="inlineStr">
        <is>
          <t>Every month (100%)</t>
        </is>
      </c>
      <c r="AQ1810"/>
      <c r="AR1810"/>
      <c r="AS1810" t="inlineStr">
        <is>
          <t>- Headcount: 2
- Hiring Job Details: 1 telesales, 1 cs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Every month (100%)
- External job portal: Not available</t>
        </is>
      </c>
      <c r="AT1810">
        <v>75</v>
      </c>
      <c r="AU1810" t="inlineStr">
        <is>
          <t>0.75</t>
        </is>
      </c>
      <c r="AV1810" t="inlineStr">
        <is>
          <t>15</t>
        </is>
      </c>
      <c r="AW1810" t="inlineStr">
        <is>
          <t>0</t>
        </is>
      </c>
      <c r="AX1810" t="inlineStr">
        <is>
          <t>Not Qualified</t>
        </is>
      </c>
      <c r="AY1810" s="4"/>
      <c r="AZ1810"/>
      <c r="BA1810"/>
      <c r="BB1810"/>
      <c r="BC1810" t="inlineStr">
        <is>
          <t>his phone cant reach wa nr</t>
        </is>
      </c>
      <c r="BD1810" s="4">
        <v>46134.73056712963</v>
      </c>
      <c r="BE1810" t="inlineStr">
        <is>
          <t>paid</t>
        </is>
      </c>
      <c r="BF1810"/>
      <c r="BG1810" t="inlineStr">
        <is>
          <t>Reschedule</t>
        </is>
      </c>
      <c r="BH1810" t="inlineStr">
        <is>
          <t>Reagen</t>
        </is>
      </c>
      <c r="BI1810"/>
      <c r="BJ1810" s="4">
        <v>46144.75134259259</v>
      </c>
      <c r="BK1810" s="4">
        <v>45103.55216435185</v>
      </c>
      <c r="BL1810" t="inlineStr">
        <is>
          <t>0.0</t>
        </is>
      </c>
      <c r="BM1810" t="inlineStr">
        <is>
          <t>0.0</t>
        </is>
      </c>
      <c r="BN1810" t="inlineStr">
        <is>
          <t>View Company Page</t>
        </is>
      </c>
      <c r="BO1810" s="4">
        <v>46099.46923611111</v>
      </c>
      <c r="BP1810">
        <v>166676</v>
      </c>
      <c r="BQ1810">
        <v>59990</v>
      </c>
      <c r="BR1810" t="inlineStr">
        <is>
          <t>Online</t>
        </is>
      </c>
      <c r="BS1810"/>
      <c r="BT1810">
        <v>59990</v>
      </c>
      <c r="BU1810"/>
      <c r="BV1810">
        <v>2721901</v>
      </c>
      <c r="BW1810" t="inlineStr">
        <is>
          <t>No Answer : Voicemail - WA sent to customer</t>
        </is>
      </c>
      <c r="BX1810"/>
      <c r="BY1810"/>
      <c r="BZ1810" s="4"/>
      <c r="CA1810"/>
      <c r="CB1810"/>
      <c r="CC1810" s="4"/>
      <c r="CD1810" t="inlineStr">
        <is>
          <t>20</t>
        </is>
      </c>
      <c r="CE1810" t="inlineStr">
        <is>
          <t>0</t>
        </is>
      </c>
      <c r="CF1810" t="inlineStr">
        <is>
          <t>Q2-W02</t>
        </is>
      </c>
      <c r="CG1810"/>
      <c r="CH1810"/>
      <c r="CI1810"/>
      <c r="CJ1810" t="inlineStr">
        <is>
          <t>Paid</t>
        </is>
      </c>
      <c r="CK1810" t="inlineStr">
        <is>
          <t>Not Eligible</t>
        </is>
      </c>
      <c r="CL1810"/>
      <c r="CM1810"/>
    </row>
    <row r="1811" ht="25.5" customHeight="1">
      <c r="A1811" t="inlineStr">
        <is>
          <t>203153</t>
        </is>
      </c>
      <c r="B1811" s="2"/>
      <c r="C1811"/>
      <c r="D1811" s="3">
        <v>46125.495104166665</v>
      </c>
      <c r="E1811" t="inlineStr">
        <is>
          <t>Q2-W02</t>
        </is>
      </c>
      <c r="F1811" t="inlineStr">
        <is>
          <t>Jia Hui</t>
        </is>
      </c>
      <c r="G1811" t="inlineStr">
        <is>
          <t>Customer</t>
        </is>
      </c>
      <c r="H1811" s="2" t="str">
        <f>=HYPERLINK("https://upbox.ajobthing.my/customer/203153", "https://upbox.ajobthing.my/customer/203153")</f>
        <v>https://upbox.ajobthing.my/customer/203153</v>
      </c>
      <c r="I1811" t="inlineStr">
        <is>
          <t>Deepin Technology (m) Sdn Bhd</t>
        </is>
      </c>
      <c r="J1811" t="inlineStr">
        <is>
          <t>Small Fish</t>
        </is>
      </c>
      <c r="K1811" t="inlineStr">
        <is>
          <t>Jia Hui</t>
        </is>
      </c>
      <c r="L1811" s="4"/>
      <c r="M1811" s="4">
        <v>46125.49538194444</v>
      </c>
      <c r="N1811"/>
      <c r="O1811">
        <v>3888</v>
      </c>
      <c r="P1811" s="4"/>
      <c r="Q1811" s="4">
        <v>46125.48353009259</v>
      </c>
      <c r="R1811"/>
      <c r="S1811">
        <v>0</v>
      </c>
      <c r="T1811" s="4"/>
      <c r="U1811" s="4"/>
      <c r="V1811"/>
      <c r="W1811"/>
      <c r="X1811"/>
      <c r="Y1811" t="inlineStr">
        <is>
          <t>Pending Appointment</t>
        </is>
      </c>
      <c r="Z1811" t="inlineStr">
        <is>
          <t>Hiring Now</t>
        </is>
      </c>
      <c r="AA1811">
        <v>2</v>
      </c>
      <c r="AB1811" t="inlineStr">
        <is>
          <t>No Appointment Made</t>
        </is>
      </c>
      <c r="AC1811"/>
      <c r="AD1811" t="inlineStr">
        <is>
          <t xml:space="preserve">1-2 IT customer service </t>
        </is>
      </c>
      <c r="AE1811"/>
      <c r="AF1811">
        <v>500</v>
      </c>
      <c r="AG1811" s="4"/>
      <c r="AH1811" s="4"/>
      <c r="AI1811"/>
      <c r="AJ1811"/>
      <c r="AK1811" t="inlineStr">
        <is>
          <t>No, but I want in future</t>
        </is>
      </c>
      <c r="AL1811"/>
      <c r="AM1811"/>
      <c r="AN1811"/>
      <c r="AO1811"/>
      <c r="AP1811" t="inlineStr">
        <is>
          <t>Once a year (25%)</t>
        </is>
      </c>
      <c r="AQ1811"/>
      <c r="AR1811"/>
      <c r="AS1811" t="inlineStr">
        <is>
          <t>- Headcount: 2
- Hiring Job Details: 1-2 IT customer service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is>
      </c>
      <c r="AT1811">
        <v>75</v>
      </c>
      <c r="AU1811" t="inlineStr">
        <is>
          <t>0.75</t>
        </is>
      </c>
      <c r="AV1811" t="inlineStr">
        <is>
          <t>15</t>
        </is>
      </c>
      <c r="AW1811" t="inlineStr">
        <is>
          <t>0</t>
        </is>
      </c>
      <c r="AX1811" t="inlineStr">
        <is>
          <t>Not Qualified</t>
        </is>
      </c>
      <c r="AY1811" s="4"/>
      <c r="AZ1811"/>
      <c r="BA1811"/>
      <c r="BB1811"/>
      <c r="BC1811" t="inlineStr">
        <is>
          <t>want to try for social media free portal first, on hold, will let me know if want to try out on our job portal</t>
        </is>
      </c>
      <c r="BD1811" s="4">
        <v>46127.67674768518</v>
      </c>
      <c r="BE1811" t="inlineStr">
        <is>
          <t>paid</t>
        </is>
      </c>
      <c r="BF1811"/>
      <c r="BG1811" t="inlineStr">
        <is>
          <t>Reschedule</t>
        </is>
      </c>
      <c r="BH1811" t="inlineStr">
        <is>
          <t>Reagen</t>
        </is>
      </c>
      <c r="BI1811"/>
      <c r="BJ1811" s="4">
        <v>46144.75423611111</v>
      </c>
      <c r="BK1811" s="4">
        <v>46125.481828703705</v>
      </c>
      <c r="BL1811" t="inlineStr">
        <is>
          <t>0.0</t>
        </is>
      </c>
      <c r="BM1811" t="inlineStr">
        <is>
          <t>0.0</t>
        </is>
      </c>
      <c r="BN1811" t="inlineStr">
        <is>
          <t>View Company Page</t>
        </is>
      </c>
      <c r="BO1811" s="4">
        <v>46125.49833333334</v>
      </c>
      <c r="BP1811">
        <v>166679</v>
      </c>
      <c r="BQ1811">
        <v>121969</v>
      </c>
      <c r="BR1811" t="inlineStr">
        <is>
          <t>Proforma</t>
        </is>
      </c>
      <c r="BS1811" t="inlineStr">
        <is>
          <t>Free Freelance Job</t>
        </is>
      </c>
      <c r="BT1811"/>
      <c r="BU1811"/>
      <c r="BV1811">
        <v>2706490</v>
      </c>
      <c r="BW1811" t="inlineStr">
        <is>
          <t>Follow Up : Budget Concern</t>
        </is>
      </c>
      <c r="BX1811"/>
      <c r="BY1811"/>
      <c r="BZ1811" s="4"/>
      <c r="CA1811"/>
      <c r="CB1811"/>
      <c r="CC1811" s="4"/>
      <c r="CD1811" t="inlineStr">
        <is>
          <t>20</t>
        </is>
      </c>
      <c r="CE1811" t="inlineStr">
        <is>
          <t>0</t>
        </is>
      </c>
      <c r="CF1811" t="inlineStr">
        <is>
          <t>Q2-W02</t>
        </is>
      </c>
      <c r="CG1811" t="inlineStr">
        <is>
          <t>Q2-W02</t>
        </is>
      </c>
      <c r="CH1811"/>
      <c r="CI1811"/>
      <c r="CJ1811" t="inlineStr">
        <is>
          <t>No Paid</t>
        </is>
      </c>
      <c r="CK1811" t="inlineStr">
        <is>
          <t>Not Eligible</t>
        </is>
      </c>
      <c r="CL1811"/>
      <c r="CM1811"/>
    </row>
    <row r="1812" ht="25.5" customHeight="1">
      <c r="A1812" t="inlineStr">
        <is>
          <t>190591</t>
        </is>
      </c>
      <c r="B1812" s="2"/>
      <c r="C1812"/>
      <c r="D1812" s="3">
        <v>46125.499930555554</v>
      </c>
      <c r="E1812" t="inlineStr">
        <is>
          <t>Q2-W02</t>
        </is>
      </c>
      <c r="F1812" t="inlineStr">
        <is>
          <t>Xin Hui</t>
        </is>
      </c>
      <c r="G1812" t="inlineStr">
        <is>
          <t>Customer</t>
        </is>
      </c>
      <c r="H1812" s="2" t="str">
        <f>=HYPERLINK("https://upbox.ajobthing.my/customer/190591", "https://upbox.ajobthing.my/customer/190591")</f>
        <v>https://upbox.ajobthing.my/customer/190591</v>
      </c>
      <c r="I1812" t="inlineStr">
        <is>
          <t>Weng Hong Electric Co Sdn Bhd</t>
        </is>
      </c>
      <c r="J1812" t="inlineStr">
        <is>
          <t>Small Fish</t>
        </is>
      </c>
      <c r="K1812" t="inlineStr">
        <is>
          <t>Xin Hui</t>
        </is>
      </c>
      <c r="L1812" s="4"/>
      <c r="M1812" s="4">
        <v>46125.50052083333</v>
      </c>
      <c r="N1812"/>
      <c r="O1812">
        <v>3888</v>
      </c>
      <c r="P1812" s="4"/>
      <c r="Q1812" s="4"/>
      <c r="R1812"/>
      <c r="S1812"/>
      <c r="T1812" s="4"/>
      <c r="U1812" s="4"/>
      <c r="V1812"/>
      <c r="W1812"/>
      <c r="X1812"/>
      <c r="Y1812" t="inlineStr">
        <is>
          <t>Pending Appointment</t>
        </is>
      </c>
      <c r="Z1812" t="inlineStr">
        <is>
          <t>Hiring Later</t>
        </is>
      </c>
      <c r="AA1812">
        <v>3</v>
      </c>
      <c r="AB1812" t="inlineStr">
        <is>
          <t>No Appointment Made</t>
        </is>
      </c>
      <c r="AC1812"/>
      <c r="AD1812" t="inlineStr">
        <is>
          <t xml:space="preserve">clerk / technician / accountant </t>
        </is>
      </c>
      <c r="AE1812"/>
      <c r="AF1812"/>
      <c r="AG1812" s="4"/>
      <c r="AH1812" s="4"/>
      <c r="AI1812"/>
      <c r="AJ1812"/>
      <c r="AK1812" t="inlineStr">
        <is>
          <t>No, I don't need at all</t>
        </is>
      </c>
      <c r="AL1812"/>
      <c r="AM1812" t="inlineStr">
        <is>
          <t>No, I don't need at all</t>
        </is>
      </c>
      <c r="AN1812"/>
      <c r="AO1812" t="inlineStr">
        <is>
          <t>No, I don't need at all</t>
        </is>
      </c>
      <c r="AP1812" t="inlineStr">
        <is>
          <t>Twice a year (50%)</t>
        </is>
      </c>
      <c r="AQ1812"/>
      <c r="AR1812" t="inlineStr">
        <is>
          <t>Free Job Portal</t>
        </is>
      </c>
      <c r="AS1812" t="inlineStr">
        <is>
          <t>- Headcount: 3
- Hiring Job Details: clerk / technician / accountant
- Hiring Urgency: Hiring Later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Free Job Portal</t>
        </is>
      </c>
      <c r="AT1812">
        <v>75</v>
      </c>
      <c r="AU1812" t="inlineStr">
        <is>
          <t>0.75</t>
        </is>
      </c>
      <c r="AV1812" t="inlineStr">
        <is>
          <t>5</t>
        </is>
      </c>
      <c r="AW1812" t="inlineStr">
        <is>
          <t>0</t>
        </is>
      </c>
      <c r="AX1812" t="inlineStr">
        <is>
          <t>Not Qualified</t>
        </is>
      </c>
      <c r="AY1812" s="4"/>
      <c r="AZ1812"/>
      <c r="BA1812"/>
      <c r="BB1812"/>
      <c r="BC1812" t="inlineStr">
        <is>
          <t>not hiring at the moments,  // if future hiring need will contact us</t>
        </is>
      </c>
      <c r="BD1812" s="4">
        <v>46133.48278935185</v>
      </c>
      <c r="BE1812"/>
      <c r="BF1812"/>
      <c r="BG1812" t="inlineStr">
        <is>
          <t>Reschedule</t>
        </is>
      </c>
      <c r="BH1812" t="inlineStr">
        <is>
          <t>Yee Hang</t>
        </is>
      </c>
      <c r="BI1812"/>
      <c r="BJ1812" s="4">
        <v>46144.75237268519</v>
      </c>
      <c r="BK1812" s="4">
        <v>45774.791608796295</v>
      </c>
      <c r="BL1812" t="inlineStr">
        <is>
          <t>0.0</t>
        </is>
      </c>
      <c r="BM1812" t="inlineStr">
        <is>
          <t>0.0</t>
        </is>
      </c>
      <c r="BN1812" t="inlineStr">
        <is>
          <t>View Create Job Page</t>
        </is>
      </c>
      <c r="BO1812" s="4">
        <v>45774.79237268519</v>
      </c>
      <c r="BP1812">
        <v>166683</v>
      </c>
      <c r="BQ1812"/>
      <c r="BR1812"/>
      <c r="BS1812"/>
      <c r="BT1812"/>
      <c r="BU1812"/>
      <c r="BV1812">
        <v>2717460</v>
      </c>
      <c r="BW1812" t="inlineStr">
        <is>
          <t>Follow Up : Lost - Free Portal</t>
        </is>
      </c>
      <c r="BX1812"/>
      <c r="BY1812"/>
      <c r="BZ1812" s="4"/>
      <c r="CA1812"/>
      <c r="CB1812"/>
      <c r="CC1812" s="4"/>
      <c r="CD1812" t="inlineStr">
        <is>
          <t>5</t>
        </is>
      </c>
      <c r="CE1812" t="inlineStr">
        <is>
          <t>0</t>
        </is>
      </c>
      <c r="CF1812" t="inlineStr">
        <is>
          <t>Q2-W02</t>
        </is>
      </c>
      <c r="CG1812"/>
      <c r="CH1812"/>
      <c r="CI1812"/>
      <c r="CJ1812" t="inlineStr">
        <is>
          <t>No Paid</t>
        </is>
      </c>
      <c r="CK1812" t="inlineStr">
        <is>
          <t>Not Eligible</t>
        </is>
      </c>
      <c r="CL1812"/>
      <c r="CM1812"/>
    </row>
    <row r="1813" ht="25.5" customHeight="1">
      <c r="A1813" t="inlineStr">
        <is>
          <t>133467</t>
        </is>
      </c>
      <c r="B1813" s="2"/>
      <c r="C1813"/>
      <c r="D1813" s="3">
        <v>46125.50398148148</v>
      </c>
      <c r="E1813" t="inlineStr">
        <is>
          <t>Q2-W02</t>
        </is>
      </c>
      <c r="F1813" t="inlineStr">
        <is>
          <t>Derek Lim</t>
        </is>
      </c>
      <c r="G1813" t="inlineStr">
        <is>
          <t>Customer</t>
        </is>
      </c>
      <c r="H1813" s="2" t="str">
        <f>=HYPERLINK("https://upbox.ajobthing.my/customer/133467", "https://upbox.ajobthing.my/customer/133467")</f>
        <v>https://upbox.ajobthing.my/customer/133467</v>
      </c>
      <c r="I1813" t="inlineStr">
        <is>
          <t>H.M Lee (Advocates &amp; Solicitors)</t>
        </is>
      </c>
      <c r="J1813" t="inlineStr">
        <is>
          <t>Small Fish</t>
        </is>
      </c>
      <c r="K1813" t="inlineStr">
        <is>
          <t>Derek Lim</t>
        </is>
      </c>
      <c r="L1813" s="4"/>
      <c r="M1813" s="4">
        <v>46125.50408564815</v>
      </c>
      <c r="N1813"/>
      <c r="O1813">
        <v>6048</v>
      </c>
      <c r="P1813" s="4"/>
      <c r="Q1813" s="4">
        <v>46112.7515625</v>
      </c>
      <c r="R1813"/>
      <c r="S1813">
        <v>0</v>
      </c>
      <c r="T1813" s="4">
        <v>44223.76247685185</v>
      </c>
      <c r="U1813" s="4"/>
      <c r="V1813"/>
      <c r="W1813">
        <v>159</v>
      </c>
      <c r="X1813"/>
      <c r="Y1813" t="inlineStr">
        <is>
          <t>Pending Appointment</t>
        </is>
      </c>
      <c r="Z1813" t="inlineStr">
        <is>
          <t>Hiring Now</t>
        </is>
      </c>
      <c r="AA1813">
        <v>1</v>
      </c>
      <c r="AB1813" t="inlineStr">
        <is>
          <t>No Appointment Made</t>
        </is>
      </c>
      <c r="AC1813"/>
      <c r="AD1813" t="inlineStr">
        <is>
          <t>clerk - 1</t>
        </is>
      </c>
      <c r="AE1813"/>
      <c r="AF1813">
        <v>0</v>
      </c>
      <c r="AG1813" s="4"/>
      <c r="AH1813" s="4"/>
      <c r="AI1813">
        <v>1000</v>
      </c>
      <c r="AJ1813">
        <v>1</v>
      </c>
      <c r="AK1813" t="inlineStr">
        <is>
          <t>No, I don't need at all</t>
        </is>
      </c>
      <c r="AL1813">
        <v>0</v>
      </c>
      <c r="AM1813" t="inlineStr">
        <is>
          <t>No, I don't need at all</t>
        </is>
      </c>
      <c r="AN1813"/>
      <c r="AO1813" t="inlineStr">
        <is>
          <t>No, I don't need at all</t>
        </is>
      </c>
      <c r="AP1813" t="inlineStr">
        <is>
          <t>Twice a year (50%)</t>
        </is>
      </c>
      <c r="AQ1813">
        <v>2</v>
      </c>
      <c r="AR1813" t="inlineStr">
        <is>
          <t>Free Job Portal</t>
        </is>
      </c>
      <c r="AS1813" t="inlineStr">
        <is>
          <t>- Headcount: 1
- Hiring Job Details: 1 clerk
- Hiring Urgency: Hiring Now
- Number of outlets: 1
- Have recruiter team: No, I don't need at all
- Number of recruiter in company: 0
- Have ATS system: No, I don't need at all
- Have career website: No, I don't need at all
- Current hiring budget: RM0.00
- Whole year budget: RM1,000.00
- Whole year number of vacancies: 2
- Hiring frequency: Twice a year (50%)
- External job portal: Free Job Portal</t>
        </is>
      </c>
      <c r="AT1813">
        <v>115</v>
      </c>
      <c r="AU1813" t="inlineStr">
        <is>
          <t>1.15</t>
        </is>
      </c>
      <c r="AV1813" t="inlineStr">
        <is>
          <t>15</t>
        </is>
      </c>
      <c r="AW1813" t="inlineStr">
        <is>
          <t>0</t>
        </is>
      </c>
      <c r="AX1813" t="inlineStr">
        <is>
          <t>Not Qualified</t>
        </is>
      </c>
      <c r="AY1813" s="4"/>
      <c r="AZ1813"/>
      <c r="BA1813"/>
      <c r="BB1813"/>
      <c r="BC1813" t="inlineStr">
        <is>
          <t>SHE SAY PUT IT ON KIV FIRST FOR THE POSITION</t>
        </is>
      </c>
      <c r="BD1813" s="4">
        <v>46141.62505787037</v>
      </c>
      <c r="BE1813" t="inlineStr">
        <is>
          <t>paid</t>
        </is>
      </c>
      <c r="BF1813"/>
      <c r="BG1813" t="inlineStr">
        <is>
          <t>Reschedule</t>
        </is>
      </c>
      <c r="BH1813" t="inlineStr">
        <is>
          <t>Edward Hoo</t>
        </is>
      </c>
      <c r="BI1813" t="inlineStr">
        <is>
          <t>Law / Legal</t>
        </is>
      </c>
      <c r="BJ1813" s="4">
        <v>46144.75050925926</v>
      </c>
      <c r="BK1813" s="4">
        <v>44210.680555555555</v>
      </c>
      <c r="BL1813" t="inlineStr">
        <is>
          <t>0.0</t>
        </is>
      </c>
      <c r="BM1813" t="inlineStr">
        <is>
          <t>0.0</t>
        </is>
      </c>
      <c r="BN1813" t="inlineStr">
        <is>
          <t>View Company Page</t>
        </is>
      </c>
      <c r="BO1813" s="4">
        <v>44210.69042824074</v>
      </c>
      <c r="BP1813">
        <v>166687</v>
      </c>
      <c r="BQ1813">
        <v>119078</v>
      </c>
      <c r="BR1813" t="inlineStr">
        <is>
          <t>Proforma</t>
        </is>
      </c>
      <c r="BS1813" t="inlineStr">
        <is>
          <t>Free Part-Time Job</t>
        </is>
      </c>
      <c r="BT1813">
        <v>29909</v>
      </c>
      <c r="BU1813"/>
      <c r="BV1813">
        <v>2735500</v>
      </c>
      <c r="BW1813" t="inlineStr">
        <is>
          <t>Follow Up : Budget Concern</t>
        </is>
      </c>
      <c r="BX1813"/>
      <c r="BY1813"/>
      <c r="BZ1813" s="4"/>
      <c r="CA1813"/>
      <c r="CB1813"/>
      <c r="CC1813" s="4"/>
      <c r="CD1813" t="inlineStr">
        <is>
          <t>20</t>
        </is>
      </c>
      <c r="CE1813" t="inlineStr">
        <is>
          <t>0</t>
        </is>
      </c>
      <c r="CF1813" t="inlineStr">
        <is>
          <t>Q2-W02</t>
        </is>
      </c>
      <c r="CG1813" t="inlineStr">
        <is>
          <t>Q1-W13</t>
        </is>
      </c>
      <c r="CH1813"/>
      <c r="CI1813"/>
      <c r="CJ1813" t="inlineStr">
        <is>
          <t>Paid</t>
        </is>
      </c>
      <c r="CK1813" t="inlineStr">
        <is>
          <t>Not Eligible</t>
        </is>
      </c>
      <c r="CL1813"/>
      <c r="CM1813"/>
    </row>
    <row r="1814" ht="25.5" customHeight="1">
      <c r="A1814" t="inlineStr">
        <is>
          <t>203131</t>
        </is>
      </c>
      <c r="B1814" s="2"/>
      <c r="C1814"/>
      <c r="D1814" s="3">
        <v>46125.50443287037</v>
      </c>
      <c r="E1814" t="inlineStr">
        <is>
          <t>Q2-W02</t>
        </is>
      </c>
      <c r="F1814" t="inlineStr">
        <is>
          <t>Lucas</t>
        </is>
      </c>
      <c r="G1814" t="inlineStr">
        <is>
          <t>Customer</t>
        </is>
      </c>
      <c r="H1814" s="2" t="str">
        <f>=HYPERLINK("https://upbox.ajobthing.my/customer/203131", "https://upbox.ajobthing.my/customer/203131")</f>
        <v>https://upbox.ajobthing.my/customer/203131</v>
      </c>
      <c r="I1814" t="inlineStr">
        <is>
          <t>Hengpeng International Trade</t>
        </is>
      </c>
      <c r="J1814" t="inlineStr">
        <is>
          <t>Small Fish</t>
        </is>
      </c>
      <c r="K1814" t="inlineStr">
        <is>
          <t>Lucas</t>
        </is>
      </c>
      <c r="L1814" s="4"/>
      <c r="M1814" s="4">
        <v>46125.50318287037</v>
      </c>
      <c r="N1814"/>
      <c r="O1814">
        <v>3888</v>
      </c>
      <c r="P1814" s="4"/>
      <c r="Q1814" s="4"/>
      <c r="R1814"/>
      <c r="S1814"/>
      <c r="T1814" s="4"/>
      <c r="U1814" s="4"/>
      <c r="V1814"/>
      <c r="W1814"/>
      <c r="X1814"/>
      <c r="Y1814" t="inlineStr">
        <is>
          <t>Pending Appointment</t>
        </is>
      </c>
      <c r="Z1814" t="inlineStr">
        <is>
          <t>Hiring Now</t>
        </is>
      </c>
      <c r="AA1814">
        <v>2</v>
      </c>
      <c r="AB1814" t="inlineStr">
        <is>
          <t>No Appointment Made</t>
        </is>
      </c>
      <c r="AC1814"/>
      <c r="AD1814" t="inlineStr">
        <is>
          <t xml:space="preserve">2 store assistance </t>
        </is>
      </c>
      <c r="AE1814"/>
      <c r="AF1814">
        <v>1000</v>
      </c>
      <c r="AG1814" s="4"/>
      <c r="AH1814" s="4"/>
      <c r="AI1814">
        <v>0</v>
      </c>
      <c r="AJ1814">
        <v>0</v>
      </c>
      <c r="AK1814" t="inlineStr">
        <is>
          <t>No, I don't need at all</t>
        </is>
      </c>
      <c r="AL1814">
        <v>0</v>
      </c>
      <c r="AM1814" t="inlineStr">
        <is>
          <t>No, I don't need at all</t>
        </is>
      </c>
      <c r="AN1814"/>
      <c r="AO1814" t="inlineStr">
        <is>
          <t>No, I don't need at all</t>
        </is>
      </c>
      <c r="AP1814" t="inlineStr">
        <is>
          <t>Once a year (25%)</t>
        </is>
      </c>
      <c r="AQ1814">
        <v>2</v>
      </c>
      <c r="AR1814" t="inlineStr">
        <is>
          <t>Did not use any job portal</t>
        </is>
      </c>
      <c r="AS1814" t="inlineStr">
        <is>
          <t>- Headcount: 2
- Hiring Job Details: 2 store assistance
- Hiring Urgency: Hiring Now
- Number of outlets: 0
- Have recruiter team: No, I don't need at all
- Number of recruiter in company: 0
- Have ATS system: No, I don't need at all
- Have career website: No, I don't need at all
- Current hiring budget: RM1,000
- Whole year budget: RM0.00
- Whole year number of vacancies: 2
- Hiring frequency: Once a year (25%)
- External job portal: Did not use any job portal</t>
        </is>
      </c>
      <c r="AT1814">
        <v>100</v>
      </c>
      <c r="AU1814" t="inlineStr">
        <is>
          <t>1.00</t>
        </is>
      </c>
      <c r="AV1814" t="inlineStr">
        <is>
          <t>15</t>
        </is>
      </c>
      <c r="AW1814" t="inlineStr">
        <is>
          <t>0</t>
        </is>
      </c>
      <c r="AX1814" t="inlineStr">
        <is>
          <t>Not Qualified</t>
        </is>
      </c>
      <c r="AY1814" s="4"/>
      <c r="AZ1814"/>
      <c r="BA1814"/>
      <c r="BB1814"/>
      <c r="BC1814" t="inlineStr">
        <is>
          <t>FU2</t>
        </is>
      </c>
      <c r="BD1814" s="4">
        <v>46133.61471064815</v>
      </c>
      <c r="BE1814"/>
      <c r="BF1814"/>
      <c r="BG1814" t="inlineStr">
        <is>
          <t>Reschedule</t>
        </is>
      </c>
      <c r="BH1814" t="inlineStr">
        <is>
          <t>Yee Hang</t>
        </is>
      </c>
      <c r="BI1814"/>
      <c r="BJ1814" s="4">
        <v>46144.75423611111</v>
      </c>
      <c r="BK1814" s="4">
        <v>46123.964641203704</v>
      </c>
      <c r="BL1814" t="inlineStr">
        <is>
          <t>0.0</t>
        </is>
      </c>
      <c r="BM1814" t="inlineStr">
        <is>
          <t>0.0</t>
        </is>
      </c>
      <c r="BN1814" t="inlineStr">
        <is>
          <t>View Company Page</t>
        </is>
      </c>
      <c r="BO1814" s="4">
        <v>46123.96724537037</v>
      </c>
      <c r="BP1814">
        <v>166686</v>
      </c>
      <c r="BQ1814"/>
      <c r="BR1814"/>
      <c r="BS1814"/>
      <c r="BT1814"/>
      <c r="BU1814"/>
      <c r="BV1814">
        <v>2718340</v>
      </c>
      <c r="BW1814" t="inlineStr">
        <is>
          <t>No Answer : Voicemail - WA sent to customer</t>
        </is>
      </c>
      <c r="BX1814"/>
      <c r="BY1814"/>
      <c r="BZ1814" s="4"/>
      <c r="CA1814"/>
      <c r="CB1814"/>
      <c r="CC1814" s="4"/>
      <c r="CD1814" t="inlineStr">
        <is>
          <t>20</t>
        </is>
      </c>
      <c r="CE1814" t="inlineStr">
        <is>
          <t>0</t>
        </is>
      </c>
      <c r="CF1814" t="inlineStr">
        <is>
          <t>Q2-W02</t>
        </is>
      </c>
      <c r="CG1814"/>
      <c r="CH1814"/>
      <c r="CI1814"/>
      <c r="CJ1814" t="inlineStr">
        <is>
          <t>No Paid</t>
        </is>
      </c>
      <c r="CK1814" t="inlineStr">
        <is>
          <t>Not Eligible</t>
        </is>
      </c>
      <c r="CL1814"/>
      <c r="CM1814"/>
    </row>
    <row r="1815" ht="25.5" customHeight="1">
      <c r="A1815" t="inlineStr">
        <is>
          <t>5665</t>
        </is>
      </c>
      <c r="B1815" s="2"/>
      <c r="C1815"/>
      <c r="D1815" s="3">
        <v>46125.504525462966</v>
      </c>
      <c r="E1815" t="inlineStr">
        <is>
          <t>Q2-W02</t>
        </is>
      </c>
      <c r="F1815" t="inlineStr">
        <is>
          <t>Keegan</t>
        </is>
      </c>
      <c r="G1815" t="inlineStr">
        <is>
          <t>Customer</t>
        </is>
      </c>
      <c r="H1815" s="2" t="str">
        <f>=HYPERLINK("https://upbox.ajobthing.my/customer/5665", "https://upbox.ajobthing.my/customer/5665")</f>
        <v>https://upbox.ajobthing.my/customer/5665</v>
      </c>
      <c r="I1815" t="inlineStr">
        <is>
          <t xml:space="preserve">Career Lines Executive Search </t>
        </is>
      </c>
      <c r="J1815" t="inlineStr">
        <is>
          <t>Small Fish</t>
        </is>
      </c>
      <c r="K1815" t="inlineStr">
        <is>
          <t>Keegan</t>
        </is>
      </c>
      <c r="L1815" s="4"/>
      <c r="M1815" s="4">
        <v>46125.504849537036</v>
      </c>
      <c r="N1815"/>
      <c r="O1815">
        <v>6048</v>
      </c>
      <c r="P1815" s="4"/>
      <c r="Q1815" s="4"/>
      <c r="R1815"/>
      <c r="S1815"/>
      <c r="T1815" s="4"/>
      <c r="U1815" s="4"/>
      <c r="V1815"/>
      <c r="W1815"/>
      <c r="X1815"/>
      <c r="Y1815" t="inlineStr">
        <is>
          <t>Pending Appointment</t>
        </is>
      </c>
      <c r="Z1815" t="inlineStr">
        <is>
          <t>Hiring Now</t>
        </is>
      </c>
      <c r="AA1815">
        <v>2</v>
      </c>
      <c r="AB1815" t="inlineStr">
        <is>
          <t>No Appointment Made</t>
        </is>
      </c>
      <c r="AC1815"/>
      <c r="AD1815" t="inlineStr">
        <is>
          <t xml:space="preserve">1. Admin 
2. Sales </t>
        </is>
      </c>
      <c r="AE1815"/>
      <c r="AF1815"/>
      <c r="AG1815" s="4"/>
      <c r="AH1815" s="4"/>
      <c r="AI1815"/>
      <c r="AJ1815">
        <v>1</v>
      </c>
      <c r="AK1815" t="inlineStr">
        <is>
          <t>No, I don't need at all</t>
        </is>
      </c>
      <c r="AL1815">
        <v>0</v>
      </c>
      <c r="AM1815" t="inlineStr">
        <is>
          <t>No, I don't need at all</t>
        </is>
      </c>
      <c r="AN1815"/>
      <c r="AO1815" t="inlineStr">
        <is>
          <t>No, I don't need at all</t>
        </is>
      </c>
      <c r="AP1815" t="inlineStr">
        <is>
          <t>Once per quarter (75%)</t>
        </is>
      </c>
      <c r="AQ1815"/>
      <c r="AR1815" t="inlineStr">
        <is>
          <t>Did not use any job portal</t>
        </is>
      </c>
      <c r="AS1815" t="inlineStr">
        <is>
          <t>- Headcount: 2
- Hiring Job Details: 1. Admin 2. Sales
- Hiring Urgency: Hiring Now
- Number of outlets: 1
- Have recruiter team: No, I don't need at all
- Number of recruiter in company: 0
- Have ATS system: No, I don't need at all
- Have career website: No, I don't need at all
- Current hiring budget: None
- Whole year budget: None
- Whole year number of vacancies: None
- Hiring frequency: Once per quarter (75%)
- External job portal: Did not use any job portal</t>
        </is>
      </c>
      <c r="AT1815">
        <v>85</v>
      </c>
      <c r="AU1815" t="inlineStr">
        <is>
          <t>0.85</t>
        </is>
      </c>
      <c r="AV1815" t="inlineStr">
        <is>
          <t>5</t>
        </is>
      </c>
      <c r="AW1815" t="inlineStr">
        <is>
          <t>0</t>
        </is>
      </c>
      <c r="AX1815" t="inlineStr">
        <is>
          <t>Not Qualified</t>
        </is>
      </c>
      <c r="AY1815" s="4"/>
      <c r="AZ1815"/>
      <c r="BA1815"/>
      <c r="BB1815"/>
      <c r="BC1815" t="inlineStr">
        <is>
          <t>Lost due no hiring postpone already</t>
        </is>
      </c>
      <c r="BD1815" s="4">
        <v>46129.72408564815</v>
      </c>
      <c r="BE1815"/>
      <c r="BF1815"/>
      <c r="BG1815" t="inlineStr">
        <is>
          <t>Reschedule</t>
        </is>
      </c>
      <c r="BH1815" t="inlineStr">
        <is>
          <t>Edward Hoo</t>
        </is>
      </c>
      <c r="BI1815"/>
      <c r="BJ1815" s="4">
        <v>46144.75609953704</v>
      </c>
      <c r="BK1815" s="4">
        <v>42414.49114583333</v>
      </c>
      <c r="BL1815" t="inlineStr">
        <is>
          <t>0.0</t>
        </is>
      </c>
      <c r="BM1815" t="inlineStr">
        <is>
          <t>0.0</t>
        </is>
      </c>
      <c r="BN1815"/>
      <c r="BO1815" s="4"/>
      <c r="BP1815">
        <v>166689</v>
      </c>
      <c r="BQ1815"/>
      <c r="BR1815"/>
      <c r="BS1815"/>
      <c r="BT1815"/>
      <c r="BU1815"/>
      <c r="BV1815">
        <v>2713628</v>
      </c>
      <c r="BW1815" t="inlineStr">
        <is>
          <t>Follow Up : Lost - Free Portal</t>
        </is>
      </c>
      <c r="BX1815"/>
      <c r="BY1815"/>
      <c r="BZ1815" s="4"/>
      <c r="CA1815"/>
      <c r="CB1815"/>
      <c r="CC1815" s="4"/>
      <c r="CD1815" t="inlineStr">
        <is>
          <t>5</t>
        </is>
      </c>
      <c r="CE1815" t="inlineStr">
        <is>
          <t>0</t>
        </is>
      </c>
      <c r="CF1815" t="inlineStr">
        <is>
          <t>Q2-W02</t>
        </is>
      </c>
      <c r="CG1815"/>
      <c r="CH1815"/>
      <c r="CI1815"/>
      <c r="CJ1815" t="inlineStr">
        <is>
          <t>No Paid</t>
        </is>
      </c>
      <c r="CK1815" t="inlineStr">
        <is>
          <t>Not Eligible</t>
        </is>
      </c>
      <c r="CL1815"/>
      <c r="CM1815"/>
    </row>
    <row r="1816" ht="25.5" customHeight="1">
      <c r="A1816" t="inlineStr">
        <is>
          <t>179829</t>
        </is>
      </c>
      <c r="B1816" s="2"/>
      <c r="C1816"/>
      <c r="D1816" s="3">
        <v>46125.57710648148</v>
      </c>
      <c r="E1816" t="inlineStr">
        <is>
          <t>Q2-W02</t>
        </is>
      </c>
      <c r="F1816" t="inlineStr">
        <is>
          <t>Luqman</t>
        </is>
      </c>
      <c r="G1816" t="inlineStr">
        <is>
          <t>Customer</t>
        </is>
      </c>
      <c r="H1816" s="2" t="str">
        <f>=HYPERLINK("https://upbox.ajobthing.my/customer/179829", "https://upbox.ajobthing.my/customer/179829")</f>
        <v>https://upbox.ajobthing.my/customer/179829</v>
      </c>
      <c r="I1816" t="inlineStr">
        <is>
          <t>Ling &amp; Theng Book</t>
        </is>
      </c>
      <c r="J1816" t="inlineStr">
        <is>
          <t>Small Fish</t>
        </is>
      </c>
      <c r="K1816" t="inlineStr">
        <is>
          <t>Luqman</t>
        </is>
      </c>
      <c r="L1816" s="4"/>
      <c r="M1816" s="4">
        <v>46125.57717592592</v>
      </c>
      <c r="N1816"/>
      <c r="O1816">
        <v>3888</v>
      </c>
      <c r="P1816" s="4"/>
      <c r="Q1816" s="4">
        <v>45468.69603009259</v>
      </c>
      <c r="R1816"/>
      <c r="S1816">
        <v>648</v>
      </c>
      <c r="T1816" s="4">
        <v>45468.69603009259</v>
      </c>
      <c r="U1816" s="4"/>
      <c r="V1816"/>
      <c r="W1816">
        <v>648</v>
      </c>
      <c r="X1816"/>
      <c r="Y1816" t="inlineStr">
        <is>
          <t>Pending Appointment</t>
        </is>
      </c>
      <c r="Z1816" t="inlineStr">
        <is>
          <t>Hiring Later</t>
        </is>
      </c>
      <c r="AA1816">
        <v>1</v>
      </c>
      <c r="AB1816" t="inlineStr">
        <is>
          <t>No Appointment Made</t>
        </is>
      </c>
      <c r="AC1816"/>
      <c r="AD1816" t="inlineStr">
        <is>
          <t xml:space="preserve">1. Admin </t>
        </is>
      </c>
      <c r="AE1816"/>
      <c r="AF1816">
        <v>1200</v>
      </c>
      <c r="AG1816" s="4"/>
      <c r="AH1816" s="4"/>
      <c r="AI1816">
        <v>1200</v>
      </c>
      <c r="AJ1816"/>
      <c r="AK1816" t="inlineStr">
        <is>
          <t>No, I don't need at all</t>
        </is>
      </c>
      <c r="AL1816">
        <v>1</v>
      </c>
      <c r="AM1816" t="inlineStr">
        <is>
          <t>No, I don't need at all</t>
        </is>
      </c>
      <c r="AN1816"/>
      <c r="AO1816" t="inlineStr">
        <is>
          <t>No, I don't need at all</t>
        </is>
      </c>
      <c r="AP1816" t="inlineStr">
        <is>
          <t>Once a year (25%)</t>
        </is>
      </c>
      <c r="AQ1816">
        <v>1</v>
      </c>
      <c r="AR1816" t="inlineStr">
        <is>
          <t>Free Job Portal</t>
        </is>
      </c>
      <c r="AS1816" t="inlineStr">
        <is>
          <t>- Headcount: 1
- Hiring Job Details: 1 Admin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1816">
        <v>115</v>
      </c>
      <c r="AU1816" t="inlineStr">
        <is>
          <t>1.15</t>
        </is>
      </c>
      <c r="AV1816" t="inlineStr">
        <is>
          <t>15</t>
        </is>
      </c>
      <c r="AW1816" t="inlineStr">
        <is>
          <t>0</t>
        </is>
      </c>
      <c r="AX1816" t="inlineStr">
        <is>
          <t>Not Qualified</t>
        </is>
      </c>
      <c r="AY1816" s="4"/>
      <c r="AZ1816"/>
      <c r="BA1816"/>
      <c r="BB1816"/>
      <c r="BC1816" t="inlineStr">
        <is>
          <t>Business utilize free portal</t>
        </is>
      </c>
      <c r="BD1816" s="4">
        <v>46129.436944444446</v>
      </c>
      <c r="BE1816" t="inlineStr">
        <is>
          <t>paid</t>
        </is>
      </c>
      <c r="BF1816"/>
      <c r="BG1816" t="inlineStr">
        <is>
          <t>Reschedule</t>
        </is>
      </c>
      <c r="BH1816" t="inlineStr">
        <is>
          <t>Edward Hoo</t>
        </is>
      </c>
      <c r="BI1816" t="inlineStr">
        <is>
          <t>Law / Legal</t>
        </is>
      </c>
      <c r="BJ1816" s="4">
        <v>46144.75178240741</v>
      </c>
      <c r="BK1816" s="4">
        <v>45468.51741898148</v>
      </c>
      <c r="BL1816" t="inlineStr">
        <is>
          <t>0.0</t>
        </is>
      </c>
      <c r="BM1816" t="inlineStr">
        <is>
          <t>600.0</t>
        </is>
      </c>
      <c r="BN1816" t="inlineStr">
        <is>
          <t>View Company Page</t>
        </is>
      </c>
      <c r="BO1816" s="4">
        <v>45512.46266203704</v>
      </c>
      <c r="BP1816">
        <v>166699</v>
      </c>
      <c r="BQ1816">
        <v>70413</v>
      </c>
      <c r="BR1816" t="inlineStr">
        <is>
          <t>Online</t>
        </is>
      </c>
      <c r="BS1816"/>
      <c r="BT1816">
        <v>70413</v>
      </c>
      <c r="BU1816"/>
      <c r="BV1816">
        <v>2711169</v>
      </c>
      <c r="BW1816" t="inlineStr">
        <is>
          <t>Follow Up : Budget Concern</t>
        </is>
      </c>
      <c r="BX1816"/>
      <c r="BY1816"/>
      <c r="BZ1816" s="4"/>
      <c r="CA1816"/>
      <c r="CB1816"/>
      <c r="CC1816" s="4"/>
      <c r="CD1816" t="inlineStr">
        <is>
          <t>20</t>
        </is>
      </c>
      <c r="CE1816" t="inlineStr">
        <is>
          <t>0</t>
        </is>
      </c>
      <c r="CF1816" t="inlineStr">
        <is>
          <t>Q2-W02</t>
        </is>
      </c>
      <c r="CG1816"/>
      <c r="CH1816"/>
      <c r="CI1816"/>
      <c r="CJ1816" t="inlineStr">
        <is>
          <t>Paid</t>
        </is>
      </c>
      <c r="CK1816" t="inlineStr">
        <is>
          <t>Not Eligible</t>
        </is>
      </c>
      <c r="CL1816"/>
      <c r="CM1816"/>
    </row>
    <row r="1817" ht="25.5" customHeight="1">
      <c r="A1817" t="inlineStr">
        <is>
          <t>4275519</t>
        </is>
      </c>
      <c r="B1817" s="2"/>
      <c r="C1817"/>
      <c r="D1817" s="3">
        <v>46125.57753472222</v>
      </c>
      <c r="E1817" t="inlineStr">
        <is>
          <t>Q2-W02</t>
        </is>
      </c>
      <c r="F1817" t="inlineStr">
        <is>
          <t>Derek Lim</t>
        </is>
      </c>
      <c r="G1817" t="inlineStr">
        <is>
          <t>Lead</t>
        </is>
      </c>
      <c r="H1817" s="2" t="str">
        <f>=HYPERLINK("https://upbox.ajobthing.my/leads/4275519", "https://upbox.ajobthing.my/leads/4275519")</f>
        <v>https://upbox.ajobthing.my/leads/4275519</v>
      </c>
      <c r="I1817" t="inlineStr">
        <is>
          <t>Ver</t>
        </is>
      </c>
      <c r="J1817" t="inlineStr">
        <is>
          <t>Small Fish</t>
        </is>
      </c>
      <c r="K1817" t="inlineStr">
        <is>
          <t>Derek Lim</t>
        </is>
      </c>
      <c r="L1817" s="4"/>
      <c r="M1817" s="4">
        <v>46125.577835648146</v>
      </c>
      <c r="N1817"/>
      <c r="O1817">
        <v>6048</v>
      </c>
      <c r="P1817" s="4"/>
      <c r="Q1817" s="4"/>
      <c r="R1817"/>
      <c r="S1817"/>
      <c r="T1817" s="4"/>
      <c r="U1817" s="4"/>
      <c r="V1817"/>
      <c r="W1817"/>
      <c r="X1817"/>
      <c r="Y1817" t="inlineStr">
        <is>
          <t>Pending Appointment</t>
        </is>
      </c>
      <c r="Z1817" t="inlineStr">
        <is>
          <t>Hiring Now</t>
        </is>
      </c>
      <c r="AA1817">
        <v>2</v>
      </c>
      <c r="AB1817" t="inlineStr">
        <is>
          <t>No Appointment Made</t>
        </is>
      </c>
      <c r="AC1817"/>
      <c r="AD1817" t="inlineStr">
        <is>
          <t>Physio - 1, admin - 1</t>
        </is>
      </c>
      <c r="AE1817"/>
      <c r="AF1817">
        <v>0</v>
      </c>
      <c r="AG1817" s="4"/>
      <c r="AH1817" s="4"/>
      <c r="AI1817">
        <v>0</v>
      </c>
      <c r="AJ1817">
        <v>1</v>
      </c>
      <c r="AK1817" t="inlineStr">
        <is>
          <t>No, I don't need at all</t>
        </is>
      </c>
      <c r="AL1817">
        <v>0</v>
      </c>
      <c r="AM1817" t="inlineStr">
        <is>
          <t>No, I don't need at all</t>
        </is>
      </c>
      <c r="AN1817"/>
      <c r="AO1817" t="inlineStr">
        <is>
          <t>No, I don't need at all</t>
        </is>
      </c>
      <c r="AP1817" t="inlineStr">
        <is>
          <t>Once a year (25%)</t>
        </is>
      </c>
      <c r="AQ1817">
        <v>2</v>
      </c>
      <c r="AR1817" t="inlineStr">
        <is>
          <t>Free Job Portal</t>
        </is>
      </c>
      <c r="AS1817" t="inlineStr">
        <is>
          <t>- Headcount: 2
- Hiring Job Details: 1 Physio, 1 admin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1817">
        <v>110</v>
      </c>
      <c r="AU1817" t="inlineStr">
        <is>
          <t>1.10</t>
        </is>
      </c>
      <c r="AV1817" t="inlineStr">
        <is>
          <t>15</t>
        </is>
      </c>
      <c r="AW1817" t="inlineStr">
        <is>
          <t>0</t>
        </is>
      </c>
      <c r="AX1817" t="inlineStr">
        <is>
          <t>Not Qualified</t>
        </is>
      </c>
      <c r="AY1817" s="4"/>
      <c r="AZ1817"/>
      <c r="BA1817"/>
      <c r="BB1817"/>
      <c r="BC1817"/>
      <c r="BD1817" s="4"/>
      <c r="BE1817"/>
      <c r="BF1817"/>
      <c r="BG1817" t="inlineStr">
        <is>
          <t>Reschedule</t>
        </is>
      </c>
      <c r="BH1817" t="inlineStr">
        <is>
          <t>Edward Hoo</t>
        </is>
      </c>
      <c r="BI1817"/>
      <c r="BJ1817" s="4">
        <v>46144.75581018518</v>
      </c>
      <c r="BK1817" s="4">
        <v>46125.41788194444</v>
      </c>
      <c r="BL1817" t="inlineStr">
        <is>
          <t>0.0</t>
        </is>
      </c>
      <c r="BM1817" t="inlineStr">
        <is>
          <t>0.0</t>
        </is>
      </c>
      <c r="BN1817"/>
      <c r="BO1817" s="4"/>
      <c r="BP1817">
        <v>166700</v>
      </c>
      <c r="BQ1817"/>
      <c r="BR1817"/>
      <c r="BS1817"/>
      <c r="BT1817"/>
      <c r="BU1817"/>
      <c r="BV1817"/>
      <c r="BW1817"/>
      <c r="BX1817"/>
      <c r="BY1817"/>
      <c r="BZ1817" s="4"/>
      <c r="CA1817"/>
      <c r="CB1817"/>
      <c r="CC1817" s="4"/>
      <c r="CD1817" t="inlineStr">
        <is>
          <t>20</t>
        </is>
      </c>
      <c r="CE1817" t="inlineStr">
        <is>
          <t>0</t>
        </is>
      </c>
      <c r="CF1817" t="inlineStr">
        <is>
          <t>Q2-W02</t>
        </is>
      </c>
      <c r="CG1817"/>
      <c r="CH1817"/>
      <c r="CI1817"/>
      <c r="CJ1817" t="inlineStr">
        <is>
          <t>No Paid</t>
        </is>
      </c>
      <c r="CK1817" t="inlineStr">
        <is>
          <t>Not Eligible</t>
        </is>
      </c>
      <c r="CL1817"/>
      <c r="CM1817"/>
    </row>
    <row r="1818" ht="25.5" customHeight="1">
      <c r="A1818" t="inlineStr">
        <is>
          <t>203162</t>
        </is>
      </c>
      <c r="B1818" s="2"/>
      <c r="C1818"/>
      <c r="D1818" s="3">
        <v>46125.58075231482</v>
      </c>
      <c r="E1818" t="inlineStr">
        <is>
          <t>Q2-W02</t>
        </is>
      </c>
      <c r="F1818" t="inlineStr">
        <is>
          <t>Jia Hui</t>
        </is>
      </c>
      <c r="G1818" t="inlineStr">
        <is>
          <t>Customer</t>
        </is>
      </c>
      <c r="H1818" s="2" t="str">
        <f>=HYPERLINK("https://upbox.ajobthing.my/customer/203162", "https://upbox.ajobthing.my/customer/203162")</f>
        <v>https://upbox.ajobthing.my/customer/203162</v>
      </c>
      <c r="I1818" t="inlineStr">
        <is>
          <t>Inspire Office System Sdn Bhd</t>
        </is>
      </c>
      <c r="J1818" t="inlineStr">
        <is>
          <t>Small Fish</t>
        </is>
      </c>
      <c r="K1818" t="inlineStr">
        <is>
          <t>Jia Hui</t>
        </is>
      </c>
      <c r="L1818" s="4"/>
      <c r="M1818" s="4">
        <v>46125.580879629626</v>
      </c>
      <c r="N1818"/>
      <c r="O1818">
        <v>3888</v>
      </c>
      <c r="P1818" s="4"/>
      <c r="Q1818" s="4">
        <v>46125.54739583333</v>
      </c>
      <c r="R1818"/>
      <c r="S1818">
        <v>0</v>
      </c>
      <c r="T1818" s="4"/>
      <c r="U1818" s="4"/>
      <c r="V1818"/>
      <c r="W1818"/>
      <c r="X1818"/>
      <c r="Y1818" t="inlineStr">
        <is>
          <t>Pending Appointment</t>
        </is>
      </c>
      <c r="Z1818" t="inlineStr">
        <is>
          <t>Hiring Now</t>
        </is>
      </c>
      <c r="AA1818">
        <v>1</v>
      </c>
      <c r="AB1818" t="inlineStr">
        <is>
          <t>No Appointment Made</t>
        </is>
      </c>
      <c r="AC1818"/>
      <c r="AD1818" t="inlineStr">
        <is>
          <t>1 admin</t>
        </is>
      </c>
      <c r="AE1818"/>
      <c r="AF1818">
        <v>500</v>
      </c>
      <c r="AG1818" s="4"/>
      <c r="AH1818" s="4"/>
      <c r="AI1818"/>
      <c r="AJ1818"/>
      <c r="AK1818" t="inlineStr">
        <is>
          <t>No, but I want in future</t>
        </is>
      </c>
      <c r="AL1818"/>
      <c r="AM1818"/>
      <c r="AN1818"/>
      <c r="AO1818"/>
      <c r="AP1818" t="inlineStr">
        <is>
          <t>Once a year (25%)</t>
        </is>
      </c>
      <c r="AQ1818"/>
      <c r="AR1818"/>
      <c r="AS1818" t="inlineStr">
        <is>
          <t>- Headcount: 1
- Hiring Job Details: 1 admin
- Hiring Urgency: Hiring Now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is>
      </c>
      <c r="AT1818">
        <v>75</v>
      </c>
      <c r="AU1818" t="inlineStr">
        <is>
          <t>0.75</t>
        </is>
      </c>
      <c r="AV1818" t="inlineStr">
        <is>
          <t>15</t>
        </is>
      </c>
      <c r="AW1818" t="inlineStr">
        <is>
          <t>0</t>
        </is>
      </c>
      <c r="AX1818" t="inlineStr">
        <is>
          <t>Not Qualified</t>
        </is>
      </c>
      <c r="AY1818" s="4"/>
      <c r="AZ1818"/>
      <c r="BA1818"/>
      <c r="BB1818"/>
      <c r="BC1818" t="inlineStr">
        <is>
          <t>budget concern, on hold</t>
        </is>
      </c>
      <c r="BD1818" s="4">
        <v>46127.66621527778</v>
      </c>
      <c r="BE1818" t="inlineStr">
        <is>
          <t>paid</t>
        </is>
      </c>
      <c r="BF1818"/>
      <c r="BG1818" t="inlineStr">
        <is>
          <t>Reschedule</t>
        </is>
      </c>
      <c r="BH1818" t="inlineStr">
        <is>
          <t>Reagen</t>
        </is>
      </c>
      <c r="BI1818" t="inlineStr">
        <is>
          <t>Manufacturing / Production</t>
        </is>
      </c>
      <c r="BJ1818" s="4">
        <v>46144.75423611111</v>
      </c>
      <c r="BK1818" s="4">
        <v>46125.54690972222</v>
      </c>
      <c r="BL1818" t="inlineStr">
        <is>
          <t>0.0</t>
        </is>
      </c>
      <c r="BM1818" t="inlineStr">
        <is>
          <t>0.0</t>
        </is>
      </c>
      <c r="BN1818" t="inlineStr">
        <is>
          <t>View Create Job Page V4</t>
        </is>
      </c>
      <c r="BO1818" s="4">
        <v>46125.57895833333</v>
      </c>
      <c r="BP1818">
        <v>166702</v>
      </c>
      <c r="BQ1818">
        <v>121997</v>
      </c>
      <c r="BR1818" t="inlineStr">
        <is>
          <t>Proforma</t>
        </is>
      </c>
      <c r="BS1818" t="inlineStr">
        <is>
          <t>Free Internship Job</t>
        </is>
      </c>
      <c r="BT1818"/>
      <c r="BU1818"/>
      <c r="BV1818">
        <v>2706389</v>
      </c>
      <c r="BW1818" t="inlineStr">
        <is>
          <t>Follow Up : Budget Concern</t>
        </is>
      </c>
      <c r="BX1818"/>
      <c r="BY1818"/>
      <c r="BZ1818" s="4"/>
      <c r="CA1818"/>
      <c r="CB1818"/>
      <c r="CC1818" s="4"/>
      <c r="CD1818" t="inlineStr">
        <is>
          <t>20</t>
        </is>
      </c>
      <c r="CE1818" t="inlineStr">
        <is>
          <t>0</t>
        </is>
      </c>
      <c r="CF1818" t="inlineStr">
        <is>
          <t>Q2-W02</t>
        </is>
      </c>
      <c r="CG1818" t="inlineStr">
        <is>
          <t>Q2-W02</t>
        </is>
      </c>
      <c r="CH1818"/>
      <c r="CI1818"/>
      <c r="CJ1818" t="inlineStr">
        <is>
          <t>No Paid</t>
        </is>
      </c>
      <c r="CK1818" t="inlineStr">
        <is>
          <t>Not Eligible</t>
        </is>
      </c>
      <c r="CL1818"/>
      <c r="CM1818"/>
    </row>
    <row r="1819" ht="25.5" customHeight="1">
      <c r="A1819" t="inlineStr">
        <is>
          <t>161443</t>
        </is>
      </c>
      <c r="B1819" s="2"/>
      <c r="C1819"/>
      <c r="D1819" s="3">
        <v>46125.586550925924</v>
      </c>
      <c r="E1819" t="inlineStr">
        <is>
          <t>Q2-W02</t>
        </is>
      </c>
      <c r="F1819" t="inlineStr">
        <is>
          <t>Lucas</t>
        </is>
      </c>
      <c r="G1819" t="inlineStr">
        <is>
          <t>Customer</t>
        </is>
      </c>
      <c r="H1819" s="2" t="str">
        <f>=HYPERLINK("https://upbox.ajobthing.my/customer/161443", "https://upbox.ajobthing.my/customer/161443")</f>
        <v>https://upbox.ajobthing.my/customer/161443</v>
      </c>
      <c r="I1819" t="inlineStr">
        <is>
          <t>Ding Dong Party Pack</t>
        </is>
      </c>
      <c r="J1819" t="inlineStr">
        <is>
          <t>Small Fish</t>
        </is>
      </c>
      <c r="K1819" t="inlineStr">
        <is>
          <t>Lucas</t>
        </is>
      </c>
      <c r="L1819" s="4"/>
      <c r="M1819" s="4">
        <v>46125.584502314814</v>
      </c>
      <c r="N1819"/>
      <c r="O1819">
        <v>3888</v>
      </c>
      <c r="P1819" s="4"/>
      <c r="Q1819" s="4"/>
      <c r="R1819"/>
      <c r="S1819"/>
      <c r="T1819" s="4"/>
      <c r="U1819" s="4"/>
      <c r="V1819"/>
      <c r="W1819"/>
      <c r="X1819"/>
      <c r="Y1819" t="inlineStr">
        <is>
          <t>Pending Appointment</t>
        </is>
      </c>
      <c r="Z1819" t="inlineStr">
        <is>
          <t>Hiring Now</t>
        </is>
      </c>
      <c r="AA1819">
        <v>2</v>
      </c>
      <c r="AB1819" t="inlineStr">
        <is>
          <t>No Appointment Made</t>
        </is>
      </c>
      <c r="AC1819"/>
      <c r="AD1819" t="inlineStr">
        <is>
          <t xml:space="preserve">1 baristar 1 kitchen assistance </t>
        </is>
      </c>
      <c r="AE1819"/>
      <c r="AF1819">
        <v>0</v>
      </c>
      <c r="AG1819" s="4"/>
      <c r="AH1819" s="4"/>
      <c r="AI1819">
        <v>0</v>
      </c>
      <c r="AJ1819">
        <v>0</v>
      </c>
      <c r="AK1819" t="inlineStr">
        <is>
          <t>No, I don't need at all</t>
        </is>
      </c>
      <c r="AL1819">
        <v>0</v>
      </c>
      <c r="AM1819" t="inlineStr">
        <is>
          <t>No, I don't need at all</t>
        </is>
      </c>
      <c r="AN1819"/>
      <c r="AO1819" t="inlineStr">
        <is>
          <t>No, I don't need at all</t>
        </is>
      </c>
      <c r="AP1819" t="inlineStr">
        <is>
          <t>Once a year (25%)</t>
        </is>
      </c>
      <c r="AQ1819">
        <v>2</v>
      </c>
      <c r="AR1819" t="inlineStr">
        <is>
          <t>Did not use any job portal</t>
        </is>
      </c>
      <c r="AS1819" t="inlineStr">
        <is>
          <t>- Headcount: 2 (1 barista, 1 kitchen assistant).
- Hiring Job Details: 1 barista 1 kitchen assistant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819">
        <v>110</v>
      </c>
      <c r="AU1819" t="inlineStr">
        <is>
          <t>1.10</t>
        </is>
      </c>
      <c r="AV1819" t="inlineStr">
        <is>
          <t>15</t>
        </is>
      </c>
      <c r="AW1819" t="inlineStr">
        <is>
          <t>0</t>
        </is>
      </c>
      <c r="AX1819" t="inlineStr">
        <is>
          <t>Not Qualified</t>
        </is>
      </c>
      <c r="AY1819" s="4"/>
      <c r="AZ1819"/>
      <c r="BA1819"/>
      <c r="BB1819"/>
      <c r="BC1819" t="inlineStr">
        <is>
          <t>whatsapp call 11.11, this old company no hiring,</t>
        </is>
      </c>
      <c r="BD1819" s="4">
        <v>46142.703680555554</v>
      </c>
      <c r="BE1819"/>
      <c r="BF1819"/>
      <c r="BG1819" t="inlineStr">
        <is>
          <t>Reschedule</t>
        </is>
      </c>
      <c r="BH1819" t="inlineStr">
        <is>
          <t>Yee Hang</t>
        </is>
      </c>
      <c r="BI1819"/>
      <c r="BJ1819" s="4">
        <v>46144.751122685186</v>
      </c>
      <c r="BK1819" s="4">
        <v>44860.62274305556</v>
      </c>
      <c r="BL1819" t="inlineStr">
        <is>
          <t>0.0</t>
        </is>
      </c>
      <c r="BM1819" t="inlineStr">
        <is>
          <t>0.0</t>
        </is>
      </c>
      <c r="BN1819" t="inlineStr">
        <is>
          <t>View Account User</t>
        </is>
      </c>
      <c r="BO1819" s="4">
        <v>46142.710486111115</v>
      </c>
      <c r="BP1819">
        <v>166707</v>
      </c>
      <c r="BQ1819"/>
      <c r="BR1819"/>
      <c r="BS1819"/>
      <c r="BT1819"/>
      <c r="BU1819"/>
      <c r="BV1819">
        <v>2738255</v>
      </c>
      <c r="BW1819" t="inlineStr">
        <is>
          <t>Inquire for Hiring Needs : No Hiring</t>
        </is>
      </c>
      <c r="BX1819"/>
      <c r="BY1819"/>
      <c r="BZ1819" s="4"/>
      <c r="CA1819"/>
      <c r="CB1819"/>
      <c r="CC1819" s="4"/>
      <c r="CD1819" t="inlineStr">
        <is>
          <t>20</t>
        </is>
      </c>
      <c r="CE1819" t="inlineStr">
        <is>
          <t>0</t>
        </is>
      </c>
      <c r="CF1819" t="inlineStr">
        <is>
          <t>Q2-W02</t>
        </is>
      </c>
      <c r="CG1819"/>
      <c r="CH1819"/>
      <c r="CI1819"/>
      <c r="CJ1819" t="inlineStr">
        <is>
          <t>No Paid</t>
        </is>
      </c>
      <c r="CK1819" t="inlineStr">
        <is>
          <t>Not Eligible</t>
        </is>
      </c>
      <c r="CL1819"/>
      <c r="CM1819"/>
    </row>
    <row r="1820" ht="25.5" customHeight="1">
      <c r="A1820" t="inlineStr">
        <is>
          <t>203165</t>
        </is>
      </c>
      <c r="B1820" s="2"/>
      <c r="C1820"/>
      <c r="D1820" s="3">
        <v>46125.59153935185</v>
      </c>
      <c r="E1820" t="inlineStr">
        <is>
          <t>Q2-W02</t>
        </is>
      </c>
      <c r="F1820" t="inlineStr">
        <is>
          <t>Keegan</t>
        </is>
      </c>
      <c r="G1820" t="inlineStr">
        <is>
          <t>Customer</t>
        </is>
      </c>
      <c r="H1820" s="2" t="str">
        <f>=HYPERLINK("https://upbox.ajobthing.my/customer/203165", "https://upbox.ajobthing.my/customer/203165")</f>
        <v>https://upbox.ajobthing.my/customer/203165</v>
      </c>
      <c r="I1820" t="inlineStr">
        <is>
          <t>MVY Gemilang Sdn Bhd</t>
        </is>
      </c>
      <c r="J1820" t="inlineStr">
        <is>
          <t>Small Fish</t>
        </is>
      </c>
      <c r="K1820" t="inlineStr">
        <is>
          <t>Keegan</t>
        </is>
      </c>
      <c r="L1820" s="4"/>
      <c r="M1820" s="4">
        <v>46125.59170138889</v>
      </c>
      <c r="N1820"/>
      <c r="O1820">
        <v>864</v>
      </c>
      <c r="P1820" s="4"/>
      <c r="Q1820" s="4"/>
      <c r="R1820"/>
      <c r="S1820"/>
      <c r="T1820" s="4"/>
      <c r="U1820" s="4"/>
      <c r="V1820"/>
      <c r="W1820"/>
      <c r="X1820"/>
      <c r="Y1820" t="inlineStr">
        <is>
          <t>Pending Appointment</t>
        </is>
      </c>
      <c r="Z1820" t="inlineStr">
        <is>
          <t>Hiring Now</t>
        </is>
      </c>
      <c r="AA1820">
        <v>1</v>
      </c>
      <c r="AB1820" t="inlineStr">
        <is>
          <t>No Appointment Made</t>
        </is>
      </c>
      <c r="AC1820"/>
      <c r="AD1820" t="inlineStr">
        <is>
          <t xml:space="preserve">1. Internship </t>
        </is>
      </c>
      <c r="AE1820"/>
      <c r="AF1820"/>
      <c r="AG1820" s="4"/>
      <c r="AH1820" s="4"/>
      <c r="AI1820"/>
      <c r="AJ1820">
        <v>1</v>
      </c>
      <c r="AK1820" t="inlineStr">
        <is>
          <t>No, I don't need at all</t>
        </is>
      </c>
      <c r="AL1820">
        <v>0</v>
      </c>
      <c r="AM1820" t="inlineStr">
        <is>
          <t>No, I don't need at all</t>
        </is>
      </c>
      <c r="AN1820"/>
      <c r="AO1820" t="inlineStr">
        <is>
          <t>No, I don't need at all</t>
        </is>
      </c>
      <c r="AP1820" t="inlineStr">
        <is>
          <t>Once per quarter (75%)</t>
        </is>
      </c>
      <c r="AQ1820"/>
      <c r="AR1820" t="inlineStr">
        <is>
          <t>Did not use any job portal</t>
        </is>
      </c>
      <c r="AS1820" t="inlineStr">
        <is>
          <t>- Headcount: 1
- Hiring Job Details: 1 Internship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20">
        <v>95</v>
      </c>
      <c r="AU1820" t="inlineStr">
        <is>
          <t>0.95</t>
        </is>
      </c>
      <c r="AV1820" t="inlineStr">
        <is>
          <t>5</t>
        </is>
      </c>
      <c r="AW1820" t="inlineStr">
        <is>
          <t>0</t>
        </is>
      </c>
      <c r="AX1820" t="inlineStr">
        <is>
          <t>Not Qualified</t>
        </is>
      </c>
      <c r="AY1820" s="4"/>
      <c r="AZ1820"/>
      <c r="BA1820"/>
      <c r="BB1820"/>
      <c r="BC1820" t="inlineStr">
        <is>
          <t>f/up on decision</t>
        </is>
      </c>
      <c r="BD1820" s="4">
        <v>46127.704560185186</v>
      </c>
      <c r="BE1820"/>
      <c r="BF1820"/>
      <c r="BG1820" t="inlineStr">
        <is>
          <t>Reschedule</t>
        </is>
      </c>
      <c r="BH1820" t="inlineStr">
        <is>
          <t>Edward Hoo</t>
        </is>
      </c>
      <c r="BI1820"/>
      <c r="BJ1820" s="4">
        <v>46144.75423611111</v>
      </c>
      <c r="BK1820" s="4">
        <v>46125.58796296296</v>
      </c>
      <c r="BL1820" t="inlineStr">
        <is>
          <t>0.0</t>
        </is>
      </c>
      <c r="BM1820" t="inlineStr">
        <is>
          <t>0.0</t>
        </is>
      </c>
      <c r="BN1820"/>
      <c r="BO1820" s="4"/>
      <c r="BP1820">
        <v>166748</v>
      </c>
      <c r="BQ1820"/>
      <c r="BR1820"/>
      <c r="BS1820"/>
      <c r="BT1820"/>
      <c r="BU1820"/>
      <c r="BV1820">
        <v>2706696</v>
      </c>
      <c r="BW1820" t="inlineStr">
        <is>
          <t>Follow Up : Decision Pending</t>
        </is>
      </c>
      <c r="BX1820"/>
      <c r="BY1820"/>
      <c r="BZ1820" s="4"/>
      <c r="CA1820"/>
      <c r="CB1820"/>
      <c r="CC1820" s="4"/>
      <c r="CD1820" t="inlineStr">
        <is>
          <t>5</t>
        </is>
      </c>
      <c r="CE1820" t="inlineStr">
        <is>
          <t>0</t>
        </is>
      </c>
      <c r="CF1820" t="inlineStr">
        <is>
          <t>Q2-W02</t>
        </is>
      </c>
      <c r="CG1820"/>
      <c r="CH1820"/>
      <c r="CI1820"/>
      <c r="CJ1820" t="inlineStr">
        <is>
          <t>No Paid</t>
        </is>
      </c>
      <c r="CK1820" t="inlineStr">
        <is>
          <t>Not Eligible</t>
        </is>
      </c>
      <c r="CL1820"/>
      <c r="CM1820"/>
    </row>
    <row r="1821" ht="25.5" customHeight="1">
      <c r="A1821" t="inlineStr">
        <is>
          <t>4275817</t>
        </is>
      </c>
      <c r="B1821" s="2"/>
      <c r="C1821"/>
      <c r="D1821" s="3">
        <v>46125.594293981485</v>
      </c>
      <c r="E1821" t="inlineStr">
        <is>
          <t>Q2-W02</t>
        </is>
      </c>
      <c r="F1821" t="inlineStr">
        <is>
          <t>Janice Yap</t>
        </is>
      </c>
      <c r="G1821" t="inlineStr">
        <is>
          <t>Lead</t>
        </is>
      </c>
      <c r="H1821" s="2" t="str">
        <f>=HYPERLINK("https://upbox.ajobthing.my/leads/4275817", "https://upbox.ajobthing.my/leads/4275817")</f>
        <v>https://upbox.ajobthing.my/leads/4275817</v>
      </c>
      <c r="I1821" t="inlineStr">
        <is>
          <t>3A United Sdn Bhd</t>
        </is>
      </c>
      <c r="J1821" t="inlineStr">
        <is>
          <t>Small Fish</t>
        </is>
      </c>
      <c r="K1821" t="inlineStr">
        <is>
          <t>Janice</t>
        </is>
      </c>
      <c r="L1821" s="4"/>
      <c r="M1821" s="4">
        <v>46141.55739583333</v>
      </c>
      <c r="N1821"/>
      <c r="O1821">
        <v>10800</v>
      </c>
      <c r="P1821" s="4"/>
      <c r="Q1821" s="4"/>
      <c r="R1821"/>
      <c r="S1821"/>
      <c r="T1821" s="4"/>
      <c r="U1821" s="4"/>
      <c r="V1821"/>
      <c r="W1821"/>
      <c r="X1821"/>
      <c r="Y1821" t="inlineStr">
        <is>
          <t>Pending Appointment</t>
        </is>
      </c>
      <c r="Z1821" t="inlineStr">
        <is>
          <t>Hiring Now</t>
        </is>
      </c>
      <c r="AA1821">
        <v>4</v>
      </c>
      <c r="AB1821" t="inlineStr">
        <is>
          <t>No Appointment Made</t>
        </is>
      </c>
      <c r="AC1821"/>
      <c r="AD1821" t="inlineStr">
        <is>
          <t>account assist // marketing // customer service // admin</t>
        </is>
      </c>
      <c r="AE1821"/>
      <c r="AF1821">
        <v>0</v>
      </c>
      <c r="AG1821" s="4"/>
      <c r="AH1821" s="4"/>
      <c r="AI1821">
        <v>0</v>
      </c>
      <c r="AJ1821"/>
      <c r="AK1821" t="inlineStr">
        <is>
          <t>No, I don't need at all</t>
        </is>
      </c>
      <c r="AL1821">
        <v>0</v>
      </c>
      <c r="AM1821" t="inlineStr">
        <is>
          <t>No, I don't need at all</t>
        </is>
      </c>
      <c r="AN1821"/>
      <c r="AO1821" t="inlineStr">
        <is>
          <t>No, I don't need at all</t>
        </is>
      </c>
      <c r="AP1821" t="inlineStr">
        <is>
          <t>Twice a year (50%)</t>
        </is>
      </c>
      <c r="AQ1821">
        <v>6</v>
      </c>
      <c r="AR1821" t="inlineStr">
        <is>
          <t>Jobstreet</t>
        </is>
      </c>
      <c r="AS1821" t="inlineStr">
        <is>
          <t>- Headcount: 4
- Hiring Job Details: account assist, marketing, customer service, admin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6
- Hiring frequency: Twice a year (50%)
- External job portal: Jobstreet</t>
        </is>
      </c>
      <c r="AT1821">
        <v>95</v>
      </c>
      <c r="AU1821" t="inlineStr">
        <is>
          <t>0.95</t>
        </is>
      </c>
      <c r="AV1821" t="inlineStr">
        <is>
          <t>15</t>
        </is>
      </c>
      <c r="AW1821" t="inlineStr">
        <is>
          <t>0</t>
        </is>
      </c>
      <c r="AX1821" t="inlineStr">
        <is>
          <t>Not Qualified</t>
        </is>
      </c>
      <c r="AY1821" s="4"/>
      <c r="AZ1821"/>
      <c r="BA1821"/>
      <c r="BB1821"/>
      <c r="BC1821"/>
      <c r="BD1821" s="4"/>
      <c r="BE1821"/>
      <c r="BF1821"/>
      <c r="BG1821" t="inlineStr">
        <is>
          <t>Reschedule</t>
        </is>
      </c>
      <c r="BH1821" t="inlineStr">
        <is>
          <t>Yee Hang</t>
        </is>
      </c>
      <c r="BI1821"/>
      <c r="BJ1821" s="4">
        <v>46144.75581018518</v>
      </c>
      <c r="BK1821" s="4">
        <v>46125.46907407408</v>
      </c>
      <c r="BL1821" t="inlineStr">
        <is>
          <t>0.0</t>
        </is>
      </c>
      <c r="BM1821" t="inlineStr">
        <is>
          <t>0.0</t>
        </is>
      </c>
      <c r="BN1821"/>
      <c r="BO1821" s="4"/>
      <c r="BP1821">
        <v>169479</v>
      </c>
      <c r="BQ1821"/>
      <c r="BR1821"/>
      <c r="BS1821"/>
      <c r="BT1821"/>
      <c r="BU1821"/>
      <c r="BV1821"/>
      <c r="BW1821"/>
      <c r="BX1821"/>
      <c r="BY1821"/>
      <c r="BZ1821" s="4"/>
      <c r="CA1821"/>
      <c r="CB1821"/>
      <c r="CC1821" s="4"/>
      <c r="CD1821" t="inlineStr">
        <is>
          <t>20</t>
        </is>
      </c>
      <c r="CE1821" t="inlineStr">
        <is>
          <t>0</t>
        </is>
      </c>
      <c r="CF1821" t="inlineStr">
        <is>
          <t>Q2-W04</t>
        </is>
      </c>
      <c r="CG1821"/>
      <c r="CH1821"/>
      <c r="CI1821"/>
      <c r="CJ1821" t="inlineStr">
        <is>
          <t>No Paid</t>
        </is>
      </c>
      <c r="CK1821" t="inlineStr">
        <is>
          <t>Not Eligible</t>
        </is>
      </c>
      <c r="CL1821"/>
      <c r="CM1821"/>
    </row>
    <row r="1822" ht="25.5" customHeight="1">
      <c r="A1822" t="inlineStr">
        <is>
          <t>4275958</t>
        </is>
      </c>
      <c r="B1822" s="2"/>
      <c r="C1822"/>
      <c r="D1822" s="3">
        <v>46125.59458333333</v>
      </c>
      <c r="E1822" t="inlineStr">
        <is>
          <t>Q2-W02</t>
        </is>
      </c>
      <c r="F1822" t="inlineStr">
        <is>
          <t>Carmen</t>
        </is>
      </c>
      <c r="G1822" t="inlineStr">
        <is>
          <t>Lead</t>
        </is>
      </c>
      <c r="H1822" s="2" t="str">
        <f>=HYPERLINK("https://upbox.ajobthing.my/leads/4275958", "https://upbox.ajobthing.my/leads/4275958")</f>
        <v>https://upbox.ajobthing.my/leads/4275958</v>
      </c>
      <c r="I1822" t="inlineStr">
        <is>
          <t>Acorn Marketing &amp; Services (M) Sdn Bhd</t>
        </is>
      </c>
      <c r="J1822" t="inlineStr">
        <is>
          <t>Small Fish</t>
        </is>
      </c>
      <c r="K1822" t="inlineStr">
        <is>
          <t>Carmen</t>
        </is>
      </c>
      <c r="L1822" s="4"/>
      <c r="M1822" s="4">
        <v>46125.60042824074</v>
      </c>
      <c r="N1822"/>
      <c r="O1822">
        <v>3888</v>
      </c>
      <c r="P1822" s="4"/>
      <c r="Q1822" s="4"/>
      <c r="R1822"/>
      <c r="S1822"/>
      <c r="T1822" s="4"/>
      <c r="U1822" s="4"/>
      <c r="V1822"/>
      <c r="W1822"/>
      <c r="X1822"/>
      <c r="Y1822" t="inlineStr">
        <is>
          <t>Pending Appointment</t>
        </is>
      </c>
      <c r="Z1822" t="inlineStr">
        <is>
          <t>Hiring Now</t>
        </is>
      </c>
      <c r="AA1822">
        <v>1</v>
      </c>
      <c r="AB1822" t="inlineStr">
        <is>
          <t>No Appointment Made</t>
        </is>
      </c>
      <c r="AC1822"/>
      <c r="AD1822" t="inlineStr">
        <is>
          <t xml:space="preserve">1 marketing and sales </t>
        </is>
      </c>
      <c r="AE1822"/>
      <c r="AF1822">
        <v>600</v>
      </c>
      <c r="AG1822" s="4"/>
      <c r="AH1822" s="4"/>
      <c r="AI1822"/>
      <c r="AJ1822"/>
      <c r="AK1822"/>
      <c r="AL1822"/>
      <c r="AM1822"/>
      <c r="AN1822"/>
      <c r="AO1822"/>
      <c r="AP1822" t="inlineStr">
        <is>
          <t>Once a year (25%)</t>
        </is>
      </c>
      <c r="AQ1822"/>
      <c r="AR1822"/>
      <c r="AS1822" t="inlineStr">
        <is>
          <t>- Headcount: 1
- Hiring Job Details: 1 marketing and sales
- Hiring Urgency: Hiring Now
- Number of outlets: Not available
- Have recruiter team: Not available
- Number of recruiter in company: Not available
- Have ATS system: Not available
- Have career website: Not available
- Current hiring budget: RM600.00
- Whole year budget: Not available
- Whole year number of vacancies: Not available
- Hiring frequency: Once a year (25%)
- External job portal: Not available</t>
        </is>
      </c>
      <c r="AT1822">
        <v>65</v>
      </c>
      <c r="AU1822" t="inlineStr">
        <is>
          <t>0.65</t>
        </is>
      </c>
      <c r="AV1822" t="inlineStr">
        <is>
          <t>15</t>
        </is>
      </c>
      <c r="AW1822" t="inlineStr">
        <is>
          <t>0</t>
        </is>
      </c>
      <c r="AX1822" t="inlineStr">
        <is>
          <t>Not Qualified</t>
        </is>
      </c>
      <c r="AY1822" s="4"/>
      <c r="AZ1822"/>
      <c r="BA1822"/>
      <c r="BB1822"/>
      <c r="BC1822"/>
      <c r="BD1822" s="4"/>
      <c r="BE1822"/>
      <c r="BF1822"/>
      <c r="BG1822" t="inlineStr">
        <is>
          <t>Reschedule</t>
        </is>
      </c>
      <c r="BH1822" t="inlineStr">
        <is>
          <t>Reagen</t>
        </is>
      </c>
      <c r="BI1822"/>
      <c r="BJ1822" s="4">
        <v>46144.75581018518</v>
      </c>
      <c r="BK1822" s="4">
        <v>46125.48994212963</v>
      </c>
      <c r="BL1822" t="inlineStr">
        <is>
          <t>0.0</t>
        </is>
      </c>
      <c r="BM1822" t="inlineStr">
        <is>
          <t>600.0</t>
        </is>
      </c>
      <c r="BN1822"/>
      <c r="BO1822" s="4"/>
      <c r="BP1822">
        <v>166766</v>
      </c>
      <c r="BQ1822"/>
      <c r="BR1822"/>
      <c r="BS1822"/>
      <c r="BT1822"/>
      <c r="BU1822"/>
      <c r="BV1822"/>
      <c r="BW1822"/>
      <c r="BX1822"/>
      <c r="BY1822"/>
      <c r="BZ1822" s="4"/>
      <c r="CA1822"/>
      <c r="CB1822"/>
      <c r="CC1822" s="4"/>
      <c r="CD1822" t="inlineStr">
        <is>
          <t>20</t>
        </is>
      </c>
      <c r="CE1822" t="inlineStr">
        <is>
          <t>0</t>
        </is>
      </c>
      <c r="CF1822" t="inlineStr">
        <is>
          <t>Q2-W02</t>
        </is>
      </c>
      <c r="CG1822"/>
      <c r="CH1822"/>
      <c r="CI1822"/>
      <c r="CJ1822" t="inlineStr">
        <is>
          <t>No Paid</t>
        </is>
      </c>
      <c r="CK1822" t="inlineStr">
        <is>
          <t>Not Eligible</t>
        </is>
      </c>
      <c r="CL1822"/>
      <c r="CM1822"/>
    </row>
    <row r="1823" ht="25.5" customHeight="1">
      <c r="A1823" t="inlineStr">
        <is>
          <t>190688</t>
        </is>
      </c>
      <c r="B1823" s="2"/>
      <c r="C1823"/>
      <c r="D1823" s="3">
        <v>46125.598078703704</v>
      </c>
      <c r="E1823" t="inlineStr">
        <is>
          <t>Q2-W02</t>
        </is>
      </c>
      <c r="F1823" t="inlineStr">
        <is>
          <t>Xin Hui</t>
        </is>
      </c>
      <c r="G1823" t="inlineStr">
        <is>
          <t>Customer</t>
        </is>
      </c>
      <c r="H1823" s="2" t="str">
        <f>=HYPERLINK("https://upbox.ajobthing.my/customer/190688", "https://upbox.ajobthing.my/customer/190688")</f>
        <v>https://upbox.ajobthing.my/customer/190688</v>
      </c>
      <c r="I1823" t="inlineStr">
        <is>
          <t>Golden Eldercare Senior Living Care Center</t>
        </is>
      </c>
      <c r="J1823" t="inlineStr">
        <is>
          <t>Small Fish</t>
        </is>
      </c>
      <c r="K1823" t="inlineStr">
        <is>
          <t>Xin Hui</t>
        </is>
      </c>
      <c r="L1823" s="4"/>
      <c r="M1823" s="4">
        <v>46125.59855324074</v>
      </c>
      <c r="N1823"/>
      <c r="O1823">
        <v>3888</v>
      </c>
      <c r="P1823" s="4"/>
      <c r="Q1823" s="4"/>
      <c r="R1823"/>
      <c r="S1823"/>
      <c r="T1823" s="4"/>
      <c r="U1823" s="4"/>
      <c r="V1823"/>
      <c r="W1823"/>
      <c r="X1823"/>
      <c r="Y1823" t="inlineStr">
        <is>
          <t>Pending Appointment</t>
        </is>
      </c>
      <c r="Z1823" t="inlineStr">
        <is>
          <t>Hiring Now</t>
        </is>
      </c>
      <c r="AA1823">
        <v>3</v>
      </c>
      <c r="AB1823" t="inlineStr">
        <is>
          <t>No Appointment Made</t>
        </is>
      </c>
      <c r="AC1823"/>
      <c r="AD1823" t="inlineStr">
        <is>
          <t>2 nurses / many caretakers</t>
        </is>
      </c>
      <c r="AE1823"/>
      <c r="AF1823">
        <v>0</v>
      </c>
      <c r="AG1823" s="4"/>
      <c r="AH1823" s="4"/>
      <c r="AI1823"/>
      <c r="AJ1823"/>
      <c r="AK1823" t="inlineStr">
        <is>
          <t>No, I don't need at all</t>
        </is>
      </c>
      <c r="AL1823"/>
      <c r="AM1823" t="inlineStr">
        <is>
          <t>No, I don't need at all</t>
        </is>
      </c>
      <c r="AN1823"/>
      <c r="AO1823" t="inlineStr">
        <is>
          <t>No, I don't need at all</t>
        </is>
      </c>
      <c r="AP1823" t="inlineStr">
        <is>
          <t>Twice a year (50%)</t>
        </is>
      </c>
      <c r="AQ1823"/>
      <c r="AR1823" t="inlineStr">
        <is>
          <t>Free Job Portal</t>
        </is>
      </c>
      <c r="AS1823" t="inlineStr">
        <is>
          <t>- Headcount: 3
- Hiring Job Details: 2 nurses / many caretakers
- Hiring Urgency: Hiring Now
- Number of outlets: Not specified
- Have recruiter team: No, I don't need at all
- Number of recruiter in company: Not specified
- Have ATS system: No, I don't need at all
- Have career website: No, I don't need at all
- Current hiring budget: RM0.00
- Whole year budget: Not specified
- Whole year number of vacancies: Not specified
- Hiring frequency: Twice a year (50%)
- External job portal: Free Job Portal</t>
        </is>
      </c>
      <c r="AT1823">
        <v>95</v>
      </c>
      <c r="AU1823" t="inlineStr">
        <is>
          <t>0.95</t>
        </is>
      </c>
      <c r="AV1823" t="inlineStr">
        <is>
          <t>15</t>
        </is>
      </c>
      <c r="AW1823" t="inlineStr">
        <is>
          <t>0</t>
        </is>
      </c>
      <c r="AX1823" t="inlineStr">
        <is>
          <t>Not Qualified</t>
        </is>
      </c>
      <c r="AY1823" s="4"/>
      <c r="AZ1823"/>
      <c r="BA1823"/>
      <c r="BB1823"/>
      <c r="BC1823" t="inlineStr">
        <is>
          <t>currently no need // even discount also donwan</t>
        </is>
      </c>
      <c r="BD1823" s="4">
        <v>46141.59815972222</v>
      </c>
      <c r="BE1823"/>
      <c r="BF1823"/>
      <c r="BG1823" t="inlineStr">
        <is>
          <t>Reschedule</t>
        </is>
      </c>
      <c r="BH1823" t="inlineStr">
        <is>
          <t>Yee Hang</t>
        </is>
      </c>
      <c r="BI1823"/>
      <c r="BJ1823" s="4">
        <v>46144.75237268519</v>
      </c>
      <c r="BK1823" s="4">
        <v>45776.73547453704</v>
      </c>
      <c r="BL1823" t="inlineStr">
        <is>
          <t>0.0</t>
        </is>
      </c>
      <c r="BM1823" t="inlineStr">
        <is>
          <t>0.0</t>
        </is>
      </c>
      <c r="BN1823" t="inlineStr">
        <is>
          <t>View Jobmanager Page</t>
        </is>
      </c>
      <c r="BO1823" s="4">
        <v>45776.744108796294</v>
      </c>
      <c r="BP1823">
        <v>166765</v>
      </c>
      <c r="BQ1823"/>
      <c r="BR1823"/>
      <c r="BS1823"/>
      <c r="BT1823"/>
      <c r="BU1823"/>
      <c r="BV1823">
        <v>2735281</v>
      </c>
      <c r="BW1823" t="inlineStr">
        <is>
          <t>Follow Up : Lost - Free Portal</t>
        </is>
      </c>
      <c r="BX1823"/>
      <c r="BY1823"/>
      <c r="BZ1823" s="4"/>
      <c r="CA1823"/>
      <c r="CB1823"/>
      <c r="CC1823" s="4"/>
      <c r="CD1823" t="inlineStr">
        <is>
          <t>20</t>
        </is>
      </c>
      <c r="CE1823" t="inlineStr">
        <is>
          <t>0</t>
        </is>
      </c>
      <c r="CF1823" t="inlineStr">
        <is>
          <t>Q2-W02</t>
        </is>
      </c>
      <c r="CG1823"/>
      <c r="CH1823"/>
      <c r="CI1823"/>
      <c r="CJ1823" t="inlineStr">
        <is>
          <t>No Paid</t>
        </is>
      </c>
      <c r="CK1823" t="inlineStr">
        <is>
          <t>Not Eligible</t>
        </is>
      </c>
      <c r="CL1823"/>
      <c r="CM1823"/>
    </row>
    <row r="1824" ht="25.5" customHeight="1">
      <c r="A1824" t="inlineStr">
        <is>
          <t>4275245</t>
        </is>
      </c>
      <c r="B1824" s="2"/>
      <c r="C1824"/>
      <c r="D1824" s="3">
        <v>46125.60523148148</v>
      </c>
      <c r="E1824" t="inlineStr">
        <is>
          <t>Q2-W02</t>
        </is>
      </c>
      <c r="F1824" t="inlineStr">
        <is>
          <t>Angel  Low</t>
        </is>
      </c>
      <c r="G1824" t="inlineStr">
        <is>
          <t>Lead</t>
        </is>
      </c>
      <c r="H1824" s="2" t="str">
        <f>=HYPERLINK("https://upbox.ajobthing.my/leads/4275245", "https://upbox.ajobthing.my/leads/4275245")</f>
        <v>https://upbox.ajobthing.my/leads/4275245</v>
      </c>
      <c r="I1824" t="inlineStr">
        <is>
          <t>Femina Jaya Sdn Bhd</t>
        </is>
      </c>
      <c r="J1824" t="inlineStr">
        <is>
          <t>Small Fish</t>
        </is>
      </c>
      <c r="K1824" t="inlineStr">
        <is>
          <t>Angel Low</t>
        </is>
      </c>
      <c r="L1824" s="4"/>
      <c r="M1824" s="4">
        <v>46125.604108796295</v>
      </c>
      <c r="N1824"/>
      <c r="O1824">
        <v>3672</v>
      </c>
      <c r="P1824" s="4"/>
      <c r="Q1824" s="4"/>
      <c r="R1824"/>
      <c r="S1824"/>
      <c r="T1824" s="4"/>
      <c r="U1824" s="4"/>
      <c r="V1824"/>
      <c r="W1824"/>
      <c r="X1824"/>
      <c r="Y1824" t="inlineStr">
        <is>
          <t>Pending Appointment</t>
        </is>
      </c>
      <c r="Z1824"/>
      <c r="AA1824">
        <v>1</v>
      </c>
      <c r="AB1824" t="inlineStr">
        <is>
          <t>No Appointment Made</t>
        </is>
      </c>
      <c r="AC1824"/>
      <c r="AD1824" t="inlineStr">
        <is>
          <t xml:space="preserve">1 clinic assistant </t>
        </is>
      </c>
      <c r="AE1824"/>
      <c r="AF1824"/>
      <c r="AG1824" s="4"/>
      <c r="AH1824" s="4"/>
      <c r="AI1824"/>
      <c r="AJ1824"/>
      <c r="AK1824"/>
      <c r="AL1824"/>
      <c r="AM1824"/>
      <c r="AN1824"/>
      <c r="AO1824"/>
      <c r="AP1824"/>
      <c r="AQ1824"/>
      <c r="AR1824"/>
      <c r="AS1824" t="inlineStr">
        <is>
          <t>- Headcount: 1
- Hiring Job Details: 1 clinic assistant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1824">
        <v>60</v>
      </c>
      <c r="AU1824" t="inlineStr">
        <is>
          <t>0.60</t>
        </is>
      </c>
      <c r="AV1824" t="inlineStr">
        <is>
          <t>5</t>
        </is>
      </c>
      <c r="AW1824" t="inlineStr">
        <is>
          <t>0</t>
        </is>
      </c>
      <c r="AX1824" t="inlineStr">
        <is>
          <t>Not Qualified</t>
        </is>
      </c>
      <c r="AY1824" s="4"/>
      <c r="AZ1824"/>
      <c r="BA1824"/>
      <c r="BB1824"/>
      <c r="BC1824"/>
      <c r="BD1824" s="4"/>
      <c r="BE1824"/>
      <c r="BF1824"/>
      <c r="BG1824" t="inlineStr">
        <is>
          <t>Reschedule</t>
        </is>
      </c>
      <c r="BH1824" t="inlineStr">
        <is>
          <t>Fauziah Maharan</t>
        </is>
      </c>
      <c r="BI1824"/>
      <c r="BJ1824" s="4">
        <v>46144.75581018518</v>
      </c>
      <c r="BK1824" s="4">
        <v>46125.37329861111</v>
      </c>
      <c r="BL1824" t="inlineStr">
        <is>
          <t>0.0</t>
        </is>
      </c>
      <c r="BM1824" t="inlineStr">
        <is>
          <t>0.0</t>
        </is>
      </c>
      <c r="BN1824"/>
      <c r="BO1824" s="4"/>
      <c r="BP1824">
        <v>166770</v>
      </c>
      <c r="BQ1824"/>
      <c r="BR1824"/>
      <c r="BS1824"/>
      <c r="BT1824"/>
      <c r="BU1824"/>
      <c r="BV1824"/>
      <c r="BW1824"/>
      <c r="BX1824"/>
      <c r="BY1824"/>
      <c r="BZ1824" s="4"/>
      <c r="CA1824"/>
      <c r="CB1824"/>
      <c r="CC1824" s="4"/>
      <c r="CD1824" t="inlineStr">
        <is>
          <t>5</t>
        </is>
      </c>
      <c r="CE1824" t="inlineStr">
        <is>
          <t>0</t>
        </is>
      </c>
      <c r="CF1824" t="inlineStr">
        <is>
          <t>Q2-W02</t>
        </is>
      </c>
      <c r="CG1824"/>
      <c r="CH1824"/>
      <c r="CI1824"/>
      <c r="CJ1824" t="inlineStr">
        <is>
          <t>No Paid</t>
        </is>
      </c>
      <c r="CK1824" t="inlineStr">
        <is>
          <t>Not Eligible</t>
        </is>
      </c>
      <c r="CL1824"/>
      <c r="CM1824"/>
    </row>
    <row r="1825" ht="25.5" customHeight="1">
      <c r="A1825" t="inlineStr">
        <is>
          <t>203169</t>
        </is>
      </c>
      <c r="B1825" s="2"/>
      <c r="C1825"/>
      <c r="D1825" s="3">
        <v>46125.60907407408</v>
      </c>
      <c r="E1825" t="inlineStr">
        <is>
          <t>Q2-W02</t>
        </is>
      </c>
      <c r="F1825" t="inlineStr">
        <is>
          <t>Keegan</t>
        </is>
      </c>
      <c r="G1825" t="inlineStr">
        <is>
          <t>Customer</t>
        </is>
      </c>
      <c r="H1825" s="2" t="str">
        <f>=HYPERLINK("https://upbox.ajobthing.my/customer/203169", "https://upbox.ajobthing.my/customer/203169")</f>
        <v>https://upbox.ajobthing.my/customer/203169</v>
      </c>
      <c r="I1825" t="inlineStr">
        <is>
          <t>NABILAH SIZZLE FOOD SDN BHD</t>
        </is>
      </c>
      <c r="J1825" t="inlineStr">
        <is>
          <t>Small Fish</t>
        </is>
      </c>
      <c r="K1825" t="inlineStr">
        <is>
          <t>Keegan</t>
        </is>
      </c>
      <c r="L1825" s="4"/>
      <c r="M1825" s="4">
        <v>46125.60915509259</v>
      </c>
      <c r="N1825"/>
      <c r="O1825">
        <v>3888</v>
      </c>
      <c r="P1825" s="4"/>
      <c r="Q1825" s="4"/>
      <c r="R1825"/>
      <c r="S1825"/>
      <c r="T1825" s="4"/>
      <c r="U1825" s="4"/>
      <c r="V1825"/>
      <c r="W1825"/>
      <c r="X1825"/>
      <c r="Y1825" t="inlineStr">
        <is>
          <t>Pending Appointment</t>
        </is>
      </c>
      <c r="Z1825" t="inlineStr">
        <is>
          <t>Hiring Now</t>
        </is>
      </c>
      <c r="AA1825">
        <v>1</v>
      </c>
      <c r="AB1825" t="inlineStr">
        <is>
          <t>No Appointment Made</t>
        </is>
      </c>
      <c r="AC1825"/>
      <c r="AD1825" t="inlineStr">
        <is>
          <t xml:space="preserve">1. Customer Service/Service Crew </t>
        </is>
      </c>
      <c r="AE1825"/>
      <c r="AF1825"/>
      <c r="AG1825" s="4"/>
      <c r="AH1825" s="4"/>
      <c r="AI1825"/>
      <c r="AJ1825">
        <v>1</v>
      </c>
      <c r="AK1825" t="inlineStr">
        <is>
          <t>No, I don't need at all</t>
        </is>
      </c>
      <c r="AL1825">
        <v>0</v>
      </c>
      <c r="AM1825" t="inlineStr">
        <is>
          <t>No, I don't need at all</t>
        </is>
      </c>
      <c r="AN1825"/>
      <c r="AO1825" t="inlineStr">
        <is>
          <t>No, I don't need at all</t>
        </is>
      </c>
      <c r="AP1825" t="inlineStr">
        <is>
          <t>Once per quarter (75%)</t>
        </is>
      </c>
      <c r="AQ1825"/>
      <c r="AR1825" t="inlineStr">
        <is>
          <t>Did not use any job portal</t>
        </is>
      </c>
      <c r="AS1825" t="inlineStr">
        <is>
          <t>- Headcount: 1
- Hiring Job Details: 1 Customer Service/Service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25">
        <v>100</v>
      </c>
      <c r="AU1825" t="inlineStr">
        <is>
          <t>1.00</t>
        </is>
      </c>
      <c r="AV1825" t="inlineStr">
        <is>
          <t>5</t>
        </is>
      </c>
      <c r="AW1825" t="inlineStr">
        <is>
          <t>0</t>
        </is>
      </c>
      <c r="AX1825" t="inlineStr">
        <is>
          <t>Not Qualified</t>
        </is>
      </c>
      <c r="AY1825" s="4"/>
      <c r="AZ1825"/>
      <c r="BA1825"/>
      <c r="BB1825"/>
      <c r="BC1825" t="inlineStr">
        <is>
          <t>Hiring plan postpone</t>
        </is>
      </c>
      <c r="BD1825" s="4">
        <v>46129.722719907404</v>
      </c>
      <c r="BE1825"/>
      <c r="BF1825"/>
      <c r="BG1825" t="inlineStr">
        <is>
          <t>Reschedule</t>
        </is>
      </c>
      <c r="BH1825" t="inlineStr">
        <is>
          <t>Edward Hoo</t>
        </is>
      </c>
      <c r="BI1825"/>
      <c r="BJ1825" s="4">
        <v>46144.75423611111</v>
      </c>
      <c r="BK1825" s="4">
        <v>46125.60827546296</v>
      </c>
      <c r="BL1825" t="inlineStr">
        <is>
          <t>0.0</t>
        </is>
      </c>
      <c r="BM1825" t="inlineStr">
        <is>
          <t>0.0</t>
        </is>
      </c>
      <c r="BN1825"/>
      <c r="BO1825" s="4"/>
      <c r="BP1825">
        <v>166774</v>
      </c>
      <c r="BQ1825"/>
      <c r="BR1825"/>
      <c r="BS1825"/>
      <c r="BT1825"/>
      <c r="BU1825"/>
      <c r="BV1825">
        <v>2713619</v>
      </c>
      <c r="BW1825" t="inlineStr">
        <is>
          <t>Follow Up : Lost - Free Portal</t>
        </is>
      </c>
      <c r="BX1825"/>
      <c r="BY1825"/>
      <c r="BZ1825" s="4"/>
      <c r="CA1825"/>
      <c r="CB1825"/>
      <c r="CC1825" s="4"/>
      <c r="CD1825" t="inlineStr">
        <is>
          <t>5</t>
        </is>
      </c>
      <c r="CE1825" t="inlineStr">
        <is>
          <t>0</t>
        </is>
      </c>
      <c r="CF1825" t="inlineStr">
        <is>
          <t>Q2-W02</t>
        </is>
      </c>
      <c r="CG1825"/>
      <c r="CH1825"/>
      <c r="CI1825"/>
      <c r="CJ1825" t="inlineStr">
        <is>
          <t>No Paid</t>
        </is>
      </c>
      <c r="CK1825" t="inlineStr">
        <is>
          <t>Not Eligible</t>
        </is>
      </c>
      <c r="CL1825"/>
      <c r="CM1825"/>
    </row>
    <row r="1826" ht="25.5" customHeight="1">
      <c r="A1826" t="inlineStr">
        <is>
          <t>203164</t>
        </is>
      </c>
      <c r="B1826" s="2"/>
      <c r="C1826"/>
      <c r="D1826" s="3">
        <v>46125.61336805556</v>
      </c>
      <c r="E1826" t="inlineStr">
        <is>
          <t>Q2-W02</t>
        </is>
      </c>
      <c r="F1826" t="inlineStr">
        <is>
          <t>Keegan</t>
        </is>
      </c>
      <c r="G1826" t="inlineStr">
        <is>
          <t>Customer</t>
        </is>
      </c>
      <c r="H1826" s="2" t="str">
        <f>=HYPERLINK("https://upbox.ajobthing.my/customer/203164", "https://upbox.ajobthing.my/customer/203164")</f>
        <v>https://upbox.ajobthing.my/customer/203164</v>
      </c>
      <c r="I1826" t="inlineStr">
        <is>
          <t>Yc Global House (central) Sdn Bhd</t>
        </is>
      </c>
      <c r="J1826" t="inlineStr">
        <is>
          <t>Small Fish</t>
        </is>
      </c>
      <c r="K1826" t="inlineStr">
        <is>
          <t>Keegan</t>
        </is>
      </c>
      <c r="L1826" s="4"/>
      <c r="M1826" s="4">
        <v>46125.61402777778</v>
      </c>
      <c r="N1826"/>
      <c r="O1826">
        <v>3672</v>
      </c>
      <c r="P1826" s="4"/>
      <c r="Q1826" s="4">
        <v>46125.586597222224</v>
      </c>
      <c r="R1826"/>
      <c r="S1826">
        <v>0</v>
      </c>
      <c r="T1826" s="4"/>
      <c r="U1826" s="4"/>
      <c r="V1826"/>
      <c r="W1826"/>
      <c r="X1826"/>
      <c r="Y1826" t="inlineStr">
        <is>
          <t>Pending Appointment</t>
        </is>
      </c>
      <c r="Z1826" t="inlineStr">
        <is>
          <t>Hiring Now</t>
        </is>
      </c>
      <c r="AA1826">
        <v>1</v>
      </c>
      <c r="AB1826" t="inlineStr">
        <is>
          <t>No Appointment Made</t>
        </is>
      </c>
      <c r="AC1826"/>
      <c r="AD1826" t="inlineStr">
        <is>
          <t>1. Wireman PW4 / PW2</t>
        </is>
      </c>
      <c r="AE1826"/>
      <c r="AF1826"/>
      <c r="AG1826" s="4"/>
      <c r="AH1826" s="4"/>
      <c r="AI1826"/>
      <c r="AJ1826">
        <v>1</v>
      </c>
      <c r="AK1826" t="inlineStr">
        <is>
          <t>No, I don't need at all</t>
        </is>
      </c>
      <c r="AL1826">
        <v>0</v>
      </c>
      <c r="AM1826" t="inlineStr">
        <is>
          <t>No, I don't need at all</t>
        </is>
      </c>
      <c r="AN1826"/>
      <c r="AO1826" t="inlineStr">
        <is>
          <t>No, I don't need at all</t>
        </is>
      </c>
      <c r="AP1826" t="inlineStr">
        <is>
          <t>Once per quarter (75%)</t>
        </is>
      </c>
      <c r="AQ1826"/>
      <c r="AR1826" t="inlineStr">
        <is>
          <t>Did not use any job portal</t>
        </is>
      </c>
      <c r="AS1826" t="inlineStr">
        <is>
          <t>- Headcount: 1
- Hiring Job Details: 1 Wireman PW4 / PW2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26">
        <v>95</v>
      </c>
      <c r="AU1826" t="inlineStr">
        <is>
          <t>0.95</t>
        </is>
      </c>
      <c r="AV1826" t="inlineStr">
        <is>
          <t>5</t>
        </is>
      </c>
      <c r="AW1826" t="inlineStr">
        <is>
          <t>0</t>
        </is>
      </c>
      <c r="AX1826" t="inlineStr">
        <is>
          <t>Not Qualified</t>
        </is>
      </c>
      <c r="AY1826" s="4"/>
      <c r="AZ1826"/>
      <c r="BA1826"/>
      <c r="BB1826"/>
      <c r="BC1826" t="inlineStr">
        <is>
          <t>want to use free platform first</t>
        </is>
      </c>
      <c r="BD1826" s="4">
        <v>46129.72534722222</v>
      </c>
      <c r="BE1826" t="inlineStr">
        <is>
          <t>paid</t>
        </is>
      </c>
      <c r="BF1826"/>
      <c r="BG1826" t="inlineStr">
        <is>
          <t>Reschedule</t>
        </is>
      </c>
      <c r="BH1826" t="inlineStr">
        <is>
          <t>Edward Hoo</t>
        </is>
      </c>
      <c r="BI1826"/>
      <c r="BJ1826" s="4">
        <v>46144.75423611111</v>
      </c>
      <c r="BK1826" s="4">
        <v>46125.585648148146</v>
      </c>
      <c r="BL1826" t="inlineStr">
        <is>
          <t>0.0</t>
        </is>
      </c>
      <c r="BM1826" t="inlineStr">
        <is>
          <t>0.0</t>
        </is>
      </c>
      <c r="BN1826" t="inlineStr">
        <is>
          <t>View Company Page</t>
        </is>
      </c>
      <c r="BO1826" s="4">
        <v>46125.589537037034</v>
      </c>
      <c r="BP1826">
        <v>166778</v>
      </c>
      <c r="BQ1826">
        <v>122023</v>
      </c>
      <c r="BR1826" t="inlineStr">
        <is>
          <t>Proforma</t>
        </is>
      </c>
      <c r="BS1826" t="inlineStr">
        <is>
          <t>Free Freelance Job</t>
        </is>
      </c>
      <c r="BT1826"/>
      <c r="BU1826"/>
      <c r="BV1826">
        <v>2713638</v>
      </c>
      <c r="BW1826" t="inlineStr">
        <is>
          <t>Follow Up : Lost - Free Portal</t>
        </is>
      </c>
      <c r="BX1826"/>
      <c r="BY1826"/>
      <c r="BZ1826" s="4"/>
      <c r="CA1826"/>
      <c r="CB1826"/>
      <c r="CC1826" s="4"/>
      <c r="CD1826" t="inlineStr">
        <is>
          <t>5</t>
        </is>
      </c>
      <c r="CE1826" t="inlineStr">
        <is>
          <t>0</t>
        </is>
      </c>
      <c r="CF1826" t="inlineStr">
        <is>
          <t>Q2-W02</t>
        </is>
      </c>
      <c r="CG1826" t="inlineStr">
        <is>
          <t>Q2-W02</t>
        </is>
      </c>
      <c r="CH1826"/>
      <c r="CI1826"/>
      <c r="CJ1826" t="inlineStr">
        <is>
          <t>No Paid</t>
        </is>
      </c>
      <c r="CK1826" t="inlineStr">
        <is>
          <t>Not Eligible</t>
        </is>
      </c>
      <c r="CL1826"/>
      <c r="CM1826"/>
    </row>
    <row r="1827" ht="25.5" customHeight="1">
      <c r="A1827" t="inlineStr">
        <is>
          <t>203156</t>
        </is>
      </c>
      <c r="B1827" s="2"/>
      <c r="C1827"/>
      <c r="D1827" s="3">
        <v>46125.61821759259</v>
      </c>
      <c r="E1827" t="inlineStr">
        <is>
          <t>Q2-W02</t>
        </is>
      </c>
      <c r="F1827" t="inlineStr">
        <is>
          <t>Alan KY</t>
        </is>
      </c>
      <c r="G1827" t="inlineStr">
        <is>
          <t>Customer</t>
        </is>
      </c>
      <c r="H1827" s="2" t="str">
        <f>=HYPERLINK("https://upbox.ajobthing.my/customer/203156", "https://upbox.ajobthing.my/customer/203156")</f>
        <v>https://upbox.ajobthing.my/customer/203156</v>
      </c>
      <c r="I1827" t="inlineStr">
        <is>
          <t>Restoran Agr</t>
        </is>
      </c>
      <c r="J1827" t="inlineStr">
        <is>
          <t>Small Fish</t>
        </is>
      </c>
      <c r="K1827" t="inlineStr">
        <is>
          <t>Alan KY</t>
        </is>
      </c>
      <c r="L1827" s="4"/>
      <c r="M1827" s="4">
        <v>46125.61634259259</v>
      </c>
      <c r="N1827"/>
      <c r="O1827">
        <v>6048</v>
      </c>
      <c r="P1827" s="4"/>
      <c r="Q1827" s="4"/>
      <c r="R1827"/>
      <c r="S1827"/>
      <c r="T1827" s="4"/>
      <c r="U1827" s="4"/>
      <c r="V1827"/>
      <c r="W1827"/>
      <c r="X1827"/>
      <c r="Y1827" t="inlineStr">
        <is>
          <t>Pending Appointment</t>
        </is>
      </c>
      <c r="Z1827" t="inlineStr">
        <is>
          <t>Hiring Now</t>
        </is>
      </c>
      <c r="AA1827">
        <v>2</v>
      </c>
      <c r="AB1827" t="inlineStr">
        <is>
          <t>No Appointment Made</t>
        </is>
      </c>
      <c r="AC1827"/>
      <c r="AD1827" t="inlineStr">
        <is>
          <t xml:space="preserve">1 tea master , 1 kitchen crew. based in Puchong, selangor </t>
        </is>
      </c>
      <c r="AE1827"/>
      <c r="AF1827"/>
      <c r="AG1827" s="4"/>
      <c r="AH1827" s="4"/>
      <c r="AI1827"/>
      <c r="AJ1827"/>
      <c r="AK1827" t="inlineStr">
        <is>
          <t>No, I don't need at all</t>
        </is>
      </c>
      <c r="AL1827"/>
      <c r="AM1827" t="inlineStr">
        <is>
          <t>No, I don't need at all</t>
        </is>
      </c>
      <c r="AN1827"/>
      <c r="AO1827" t="inlineStr">
        <is>
          <t>No, I don't need at all</t>
        </is>
      </c>
      <c r="AP1827" t="inlineStr">
        <is>
          <t>Twice a year (50%)</t>
        </is>
      </c>
      <c r="AQ1827"/>
      <c r="AR1827" t="inlineStr">
        <is>
          <t>Free Job Portal</t>
        </is>
      </c>
      <c r="AS1827" t="inlineStr">
        <is>
          <t>- Headcount: 2
- Hiring Job Details: 1 tea master, 1 kitchen crew (based in Puchong, Selangor)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Free Job Portal</t>
        </is>
      </c>
      <c r="AT1827">
        <v>95</v>
      </c>
      <c r="AU1827" t="inlineStr">
        <is>
          <t>0.95</t>
        </is>
      </c>
      <c r="AV1827" t="inlineStr">
        <is>
          <t>5</t>
        </is>
      </c>
      <c r="AW1827" t="inlineStr">
        <is>
          <t>0</t>
        </is>
      </c>
      <c r="AX1827" t="inlineStr">
        <is>
          <t>Not Qualified</t>
        </is>
      </c>
      <c r="AY1827" s="4"/>
      <c r="AZ1827"/>
      <c r="BA1827"/>
      <c r="BB1827"/>
      <c r="BC1827" t="inlineStr">
        <is>
          <t>No answer</t>
        </is>
      </c>
      <c r="BD1827" s="4">
        <v>46128.62006944444</v>
      </c>
      <c r="BE1827"/>
      <c r="BF1827"/>
      <c r="BG1827" t="inlineStr">
        <is>
          <t>Reschedule</t>
        </is>
      </c>
      <c r="BH1827" t="inlineStr">
        <is>
          <t>Reagen</t>
        </is>
      </c>
      <c r="BI1827"/>
      <c r="BJ1827" s="4">
        <v>46144.75423611111</v>
      </c>
      <c r="BK1827" s="4">
        <v>46125.49784722222</v>
      </c>
      <c r="BL1827" t="inlineStr">
        <is>
          <t>0.0</t>
        </is>
      </c>
      <c r="BM1827" t="inlineStr">
        <is>
          <t>0.0</t>
        </is>
      </c>
      <c r="BN1827" t="inlineStr">
        <is>
          <t>View Company Page</t>
        </is>
      </c>
      <c r="BO1827" s="4">
        <v>46125.49988425926</v>
      </c>
      <c r="BP1827">
        <v>166779</v>
      </c>
      <c r="BQ1827"/>
      <c r="BR1827"/>
      <c r="BS1827"/>
      <c r="BT1827"/>
      <c r="BU1827"/>
      <c r="BV1827">
        <v>2709553</v>
      </c>
      <c r="BW1827" t="inlineStr">
        <is>
          <t>No Answer : Voicemail - WA sent to customer</t>
        </is>
      </c>
      <c r="BX1827"/>
      <c r="BY1827"/>
      <c r="BZ1827" s="4"/>
      <c r="CA1827"/>
      <c r="CB1827"/>
      <c r="CC1827" s="4"/>
      <c r="CD1827" t="inlineStr">
        <is>
          <t>5</t>
        </is>
      </c>
      <c r="CE1827" t="inlineStr">
        <is>
          <t>0</t>
        </is>
      </c>
      <c r="CF1827" t="inlineStr">
        <is>
          <t>Q2-W02</t>
        </is>
      </c>
      <c r="CG1827"/>
      <c r="CH1827"/>
      <c r="CI1827"/>
      <c r="CJ1827" t="inlineStr">
        <is>
          <t>No Paid</t>
        </is>
      </c>
      <c r="CK1827" t="inlineStr">
        <is>
          <t>Not Eligible</t>
        </is>
      </c>
      <c r="CL1827"/>
      <c r="CM1827"/>
    </row>
    <row r="1828" ht="25.5" customHeight="1">
      <c r="A1828" t="inlineStr">
        <is>
          <t>198655</t>
        </is>
      </c>
      <c r="B1828" s="2"/>
      <c r="C1828"/>
      <c r="D1828" s="3">
        <v>46125.618946759256</v>
      </c>
      <c r="E1828" t="inlineStr">
        <is>
          <t>Q2-W02</t>
        </is>
      </c>
      <c r="F1828" t="inlineStr">
        <is>
          <t>Clover</t>
        </is>
      </c>
      <c r="G1828" t="inlineStr">
        <is>
          <t>Customer</t>
        </is>
      </c>
      <c r="H1828" s="2" t="str">
        <f>=HYPERLINK("https://upbox.ajobthing.my/customer/198655", "https://upbox.ajobthing.my/customer/198655")</f>
        <v>https://upbox.ajobthing.my/customer/198655</v>
      </c>
      <c r="I1828" t="inlineStr">
        <is>
          <t>Graduan Bersatu Padat Sdn Bhd</t>
        </is>
      </c>
      <c r="J1828" t="inlineStr">
        <is>
          <t>Small Fish</t>
        </is>
      </c>
      <c r="K1828" t="inlineStr">
        <is>
          <t>Clover</t>
        </is>
      </c>
      <c r="L1828" s="4"/>
      <c r="M1828" s="4">
        <v>46125.619166666664</v>
      </c>
      <c r="N1828"/>
      <c r="O1828">
        <v>3888</v>
      </c>
      <c r="P1828" s="4"/>
      <c r="Q1828" s="4"/>
      <c r="R1828"/>
      <c r="S1828"/>
      <c r="T1828" s="4"/>
      <c r="U1828" s="4"/>
      <c r="V1828"/>
      <c r="W1828"/>
      <c r="X1828"/>
      <c r="Y1828" t="inlineStr">
        <is>
          <t>Pending Appointment</t>
        </is>
      </c>
      <c r="Z1828" t="inlineStr">
        <is>
          <t>Hiring Later</t>
        </is>
      </c>
      <c r="AA1828">
        <v>4</v>
      </c>
      <c r="AB1828" t="inlineStr">
        <is>
          <t>No Appointment Made</t>
        </is>
      </c>
      <c r="AC1828"/>
      <c r="AD1828" t="inlineStr">
        <is>
          <t>Call office 03-7785 8244. So far no hiring, but allow to email - gbhr@graduan,com , PIC Ms Rohila , maybe future admin exec, Hr exec, x1-2, cleaning service, KL</t>
        </is>
      </c>
      <c r="AE1828"/>
      <c r="AF1828">
        <v>3000</v>
      </c>
      <c r="AG1828" s="4"/>
      <c r="AH1828" s="4"/>
      <c r="AI1828">
        <v>3000</v>
      </c>
      <c r="AJ1828">
        <v>1</v>
      </c>
      <c r="AK1828" t="inlineStr">
        <is>
          <t>No, but I want in future</t>
        </is>
      </c>
      <c r="AL1828">
        <v>1</v>
      </c>
      <c r="AM1828" t="inlineStr">
        <is>
          <t>No, but I want in future</t>
        </is>
      </c>
      <c r="AN1828"/>
      <c r="AO1828" t="inlineStr">
        <is>
          <t>No, but I want in future</t>
        </is>
      </c>
      <c r="AP1828" t="inlineStr">
        <is>
          <t>Twice a year (50%)</t>
        </is>
      </c>
      <c r="AQ1828">
        <v>2</v>
      </c>
      <c r="AR1828" t="inlineStr">
        <is>
          <t>Did not use any job portal</t>
        </is>
      </c>
      <c r="AS1828" t="inlineStr">
        <is>
          <t>- Headcount: 4
- Hiring Job Details: Potential future roles: 1-2 admin exec, HR exec, cleaning service (KL); contact via 03-7785 8244 or gbhr@graduan.com (PIC Ms Rohila); no current hiring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1828">
        <v>100</v>
      </c>
      <c r="AU1828" t="inlineStr">
        <is>
          <t>1.00</t>
        </is>
      </c>
      <c r="AV1828" t="inlineStr">
        <is>
          <t>15</t>
        </is>
      </c>
      <c r="AW1828" t="inlineStr">
        <is>
          <t>0</t>
        </is>
      </c>
      <c r="AX1828" t="inlineStr">
        <is>
          <t>Not Qualified</t>
        </is>
      </c>
      <c r="AY1828" s="4"/>
      <c r="AZ1828"/>
      <c r="BA1828"/>
      <c r="BB1828"/>
      <c r="BC1828" t="inlineStr">
        <is>
          <t>Call office 03-7785 8244 npu,  email  fu</t>
        </is>
      </c>
      <c r="BD1828" s="4">
        <v>46136.77222222222</v>
      </c>
      <c r="BE1828"/>
      <c r="BF1828"/>
      <c r="BG1828" t="inlineStr">
        <is>
          <t>Reschedule</t>
        </is>
      </c>
      <c r="BH1828" t="inlineStr">
        <is>
          <t>Reagen</t>
        </is>
      </c>
      <c r="BI1828"/>
      <c r="BJ1828" s="4">
        <v>46144.753125</v>
      </c>
      <c r="BK1828" s="4">
        <v>45986.64744212963</v>
      </c>
      <c r="BL1828" t="inlineStr">
        <is>
          <t>0.0</t>
        </is>
      </c>
      <c r="BM1828" t="inlineStr">
        <is>
          <t>0.0</t>
        </is>
      </c>
      <c r="BN1828"/>
      <c r="BO1828" s="4"/>
      <c r="BP1828">
        <v>166782</v>
      </c>
      <c r="BQ1828"/>
      <c r="BR1828"/>
      <c r="BS1828"/>
      <c r="BT1828"/>
      <c r="BU1828"/>
      <c r="BV1828">
        <v>2727565</v>
      </c>
      <c r="BW1828" t="inlineStr">
        <is>
          <t>No Answer : Voicemail - WA sent to customer</t>
        </is>
      </c>
      <c r="BX1828"/>
      <c r="BY1828"/>
      <c r="BZ1828" s="4"/>
      <c r="CA1828"/>
      <c r="CB1828"/>
      <c r="CC1828" s="4"/>
      <c r="CD1828" t="inlineStr">
        <is>
          <t>20</t>
        </is>
      </c>
      <c r="CE1828" t="inlineStr">
        <is>
          <t>0</t>
        </is>
      </c>
      <c r="CF1828" t="inlineStr">
        <is>
          <t>Q2-W02</t>
        </is>
      </c>
      <c r="CG1828"/>
      <c r="CH1828"/>
      <c r="CI1828"/>
      <c r="CJ1828" t="inlineStr">
        <is>
          <t>No Paid</t>
        </is>
      </c>
      <c r="CK1828" t="inlineStr">
        <is>
          <t>Not Eligible</t>
        </is>
      </c>
      <c r="CL1828"/>
      <c r="CM1828"/>
    </row>
    <row r="1829" ht="25.5" customHeight="1">
      <c r="A1829" t="inlineStr">
        <is>
          <t>174320</t>
        </is>
      </c>
      <c r="B1829" s="2"/>
      <c r="C1829"/>
      <c r="D1829" s="3">
        <v>46125.621458333335</v>
      </c>
      <c r="E1829" t="inlineStr">
        <is>
          <t>Q2-W02</t>
        </is>
      </c>
      <c r="F1829" t="inlineStr">
        <is>
          <t>Xin Quan</t>
        </is>
      </c>
      <c r="G1829" t="inlineStr">
        <is>
          <t>Customer</t>
        </is>
      </c>
      <c r="H1829" s="2" t="str">
        <f>=HYPERLINK("https://upbox.ajobthing.my/customer/174320", "https://upbox.ajobthing.my/customer/174320")</f>
        <v>https://upbox.ajobthing.my/customer/174320</v>
      </c>
      <c r="I1829" t="inlineStr">
        <is>
          <t>Instant Media Sdn Bhd</t>
        </is>
      </c>
      <c r="J1829" t="inlineStr">
        <is>
          <t>Small Fish</t>
        </is>
      </c>
      <c r="K1829" t="inlineStr">
        <is>
          <t>Xin Quan</t>
        </is>
      </c>
      <c r="L1829" s="4"/>
      <c r="M1829" s="4">
        <v>46125.62155092593</v>
      </c>
      <c r="N1829"/>
      <c r="O1829">
        <v>3888</v>
      </c>
      <c r="P1829" s="4"/>
      <c r="Q1829" s="4"/>
      <c r="R1829"/>
      <c r="S1829"/>
      <c r="T1829" s="4"/>
      <c r="U1829" s="4"/>
      <c r="V1829"/>
      <c r="W1829"/>
      <c r="X1829"/>
      <c r="Y1829" t="inlineStr">
        <is>
          <t>Pending Appointment</t>
        </is>
      </c>
      <c r="Z1829" t="inlineStr">
        <is>
          <t>Hiring Now</t>
        </is>
      </c>
      <c r="AA1829">
        <v>2</v>
      </c>
      <c r="AB1829" t="inlineStr">
        <is>
          <t>No Appointment Made</t>
        </is>
      </c>
      <c r="AC1829"/>
      <c r="AD1829" t="inlineStr">
        <is>
          <t>1Admin 1Sales , Base in KAJANG</t>
        </is>
      </c>
      <c r="AE1829"/>
      <c r="AF1829">
        <v>4000</v>
      </c>
      <c r="AG1829" s="4"/>
      <c r="AH1829" s="4"/>
      <c r="AI1829">
        <v>48000</v>
      </c>
      <c r="AJ1829">
        <v>1</v>
      </c>
      <c r="AK1829"/>
      <c r="AL1829"/>
      <c r="AM1829"/>
      <c r="AN1829"/>
      <c r="AO1829"/>
      <c r="AP1829"/>
      <c r="AQ1829">
        <v>2</v>
      </c>
      <c r="AR1829"/>
      <c r="AS1829" t="inlineStr">
        <is>
          <t>- Headcount: 2
- Hiring Job Details: 1 Admin, 1 Sales, Base in KAJANG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1829">
        <v>95</v>
      </c>
      <c r="AU1829" t="inlineStr">
        <is>
          <t>0.95</t>
        </is>
      </c>
      <c r="AV1829" t="inlineStr">
        <is>
          <t>15</t>
        </is>
      </c>
      <c r="AW1829" t="inlineStr">
        <is>
          <t>0</t>
        </is>
      </c>
      <c r="AX1829" t="inlineStr">
        <is>
          <t>Not Qualified</t>
        </is>
      </c>
      <c r="AY1829" s="4"/>
      <c r="AZ1829"/>
      <c r="BA1829"/>
      <c r="BB1829"/>
      <c r="BC1829" t="inlineStr">
        <is>
          <t>NH</t>
        </is>
      </c>
      <c r="BD1829" s="4">
        <v>46132.39314814815</v>
      </c>
      <c r="BE1829"/>
      <c r="BF1829"/>
      <c r="BG1829" t="inlineStr">
        <is>
          <t>Reschedule</t>
        </is>
      </c>
      <c r="BH1829" t="inlineStr">
        <is>
          <t>Edward Hoo</t>
        </is>
      </c>
      <c r="BI1829"/>
      <c r="BJ1829" s="4">
        <v>46144.751550925925</v>
      </c>
      <c r="BK1829" s="4">
        <v>45296.67806712963</v>
      </c>
      <c r="BL1829" t="inlineStr">
        <is>
          <t>0.0</t>
        </is>
      </c>
      <c r="BM1829" t="inlineStr">
        <is>
          <t>0.0</t>
        </is>
      </c>
      <c r="BN1829" t="inlineStr">
        <is>
          <t>View Create Job Page</t>
        </is>
      </c>
      <c r="BO1829" s="4">
        <v>45296.681226851855</v>
      </c>
      <c r="BP1829">
        <v>166784</v>
      </c>
      <c r="BQ1829"/>
      <c r="BR1829"/>
      <c r="BS1829"/>
      <c r="BT1829"/>
      <c r="BU1829"/>
      <c r="BV1829">
        <v>2714563</v>
      </c>
      <c r="BW1829" t="inlineStr">
        <is>
          <t>Inquire for Hiring Needs : No Hiring</t>
        </is>
      </c>
      <c r="BX1829"/>
      <c r="BY1829"/>
      <c r="BZ1829" s="4"/>
      <c r="CA1829"/>
      <c r="CB1829"/>
      <c r="CC1829" s="4"/>
      <c r="CD1829" t="inlineStr">
        <is>
          <t>20</t>
        </is>
      </c>
      <c r="CE1829" t="inlineStr">
        <is>
          <t>0</t>
        </is>
      </c>
      <c r="CF1829" t="inlineStr">
        <is>
          <t>Q2-W02</t>
        </is>
      </c>
      <c r="CG1829"/>
      <c r="CH1829"/>
      <c r="CI1829"/>
      <c r="CJ1829" t="inlineStr">
        <is>
          <t>No Paid</t>
        </is>
      </c>
      <c r="CK1829" t="inlineStr">
        <is>
          <t>Not Eligible</t>
        </is>
      </c>
      <c r="CL1829"/>
      <c r="CM1829"/>
    </row>
    <row r="1830" ht="25.5" customHeight="1">
      <c r="A1830" t="inlineStr">
        <is>
          <t>203142</t>
        </is>
      </c>
      <c r="B1830" s="2"/>
      <c r="C1830"/>
      <c r="D1830" s="3">
        <v>46125.62332175926</v>
      </c>
      <c r="E1830" t="inlineStr">
        <is>
          <t>Q2-W02</t>
        </is>
      </c>
      <c r="F1830" t="inlineStr">
        <is>
          <t>Lucas</t>
        </is>
      </c>
      <c r="G1830" t="inlineStr">
        <is>
          <t>Customer</t>
        </is>
      </c>
      <c r="H1830" s="2" t="str">
        <f>=HYPERLINK("https://upbox.ajobthing.my/customer/203142", "https://upbox.ajobthing.my/customer/203142")</f>
        <v>https://upbox.ajobthing.my/customer/203142</v>
      </c>
      <c r="I1830" t="inlineStr">
        <is>
          <t>Elevia Physiotherapy Sdn. Bhd.</t>
        </is>
      </c>
      <c r="J1830" t="inlineStr">
        <is>
          <t>Small Fish</t>
        </is>
      </c>
      <c r="K1830" t="inlineStr">
        <is>
          <t>Lucas</t>
        </is>
      </c>
      <c r="L1830" s="4"/>
      <c r="M1830" s="4">
        <v>46125.61988425926</v>
      </c>
      <c r="N1830"/>
      <c r="O1830">
        <v>3888</v>
      </c>
      <c r="P1830" s="4"/>
      <c r="Q1830" s="4"/>
      <c r="R1830"/>
      <c r="S1830"/>
      <c r="T1830" s="4"/>
      <c r="U1830" s="4"/>
      <c r="V1830"/>
      <c r="W1830"/>
      <c r="X1830"/>
      <c r="Y1830" t="inlineStr">
        <is>
          <t>Pending Appointment</t>
        </is>
      </c>
      <c r="Z1830" t="inlineStr">
        <is>
          <t>Hiring Now</t>
        </is>
      </c>
      <c r="AA1830">
        <v>1</v>
      </c>
      <c r="AB1830" t="inlineStr">
        <is>
          <t>No Appointment Made</t>
        </is>
      </c>
      <c r="AC1830"/>
      <c r="AD1830" t="inlineStr">
        <is>
          <t xml:space="preserve">1 social media executive </t>
        </is>
      </c>
      <c r="AE1830"/>
      <c r="AF1830">
        <v>0</v>
      </c>
      <c r="AG1830" s="4"/>
      <c r="AH1830" s="4"/>
      <c r="AI1830">
        <v>0</v>
      </c>
      <c r="AJ1830">
        <v>0</v>
      </c>
      <c r="AK1830" t="inlineStr">
        <is>
          <t>No, I don't need at all</t>
        </is>
      </c>
      <c r="AL1830">
        <v>0</v>
      </c>
      <c r="AM1830" t="inlineStr">
        <is>
          <t>No, I don't need at all</t>
        </is>
      </c>
      <c r="AN1830"/>
      <c r="AO1830" t="inlineStr">
        <is>
          <t>No, I don't need at all</t>
        </is>
      </c>
      <c r="AP1830" t="inlineStr">
        <is>
          <t>Once a year (25%)</t>
        </is>
      </c>
      <c r="AQ1830">
        <v>1</v>
      </c>
      <c r="AR1830" t="inlineStr">
        <is>
          <t>Did not use any job portal</t>
        </is>
      </c>
      <c r="AS1830" t="inlineStr">
        <is>
          <t>- Headcount: 1
- Hiring Job Details: 1 social media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830">
        <v>110</v>
      </c>
      <c r="AU1830" t="inlineStr">
        <is>
          <t>1.10</t>
        </is>
      </c>
      <c r="AV1830" t="inlineStr">
        <is>
          <t>15</t>
        </is>
      </c>
      <c r="AW1830" t="inlineStr">
        <is>
          <t>0</t>
        </is>
      </c>
      <c r="AX1830" t="inlineStr">
        <is>
          <t>Not Qualified</t>
        </is>
      </c>
      <c r="AY1830" s="4"/>
      <c r="AZ1830"/>
      <c r="BA1830"/>
      <c r="BB1830"/>
      <c r="BC1830" t="inlineStr">
        <is>
          <t>budget concern , too expensive , if want will call us back</t>
        </is>
      </c>
      <c r="BD1830" s="4">
        <v>46128.41459490741</v>
      </c>
      <c r="BE1830"/>
      <c r="BF1830"/>
      <c r="BG1830" t="inlineStr">
        <is>
          <t>Reschedule</t>
        </is>
      </c>
      <c r="BH1830" t="inlineStr">
        <is>
          <t>Yee Hang</t>
        </is>
      </c>
      <c r="BI1830"/>
      <c r="BJ1830" s="4">
        <v>46144.75423611111</v>
      </c>
      <c r="BK1830" s="4">
        <v>46124.57329861111</v>
      </c>
      <c r="BL1830" t="inlineStr">
        <is>
          <t>0.0</t>
        </is>
      </c>
      <c r="BM1830" t="inlineStr">
        <is>
          <t>0.0</t>
        </is>
      </c>
      <c r="BN1830" t="inlineStr">
        <is>
          <t>View Company Page</t>
        </is>
      </c>
      <c r="BO1830" s="4">
        <v>46129.880625</v>
      </c>
      <c r="BP1830">
        <v>166783</v>
      </c>
      <c r="BQ1830"/>
      <c r="BR1830"/>
      <c r="BS1830"/>
      <c r="BT1830"/>
      <c r="BU1830"/>
      <c r="BV1830">
        <v>2707835</v>
      </c>
      <c r="BW1830" t="inlineStr">
        <is>
          <t>Follow Up : Budget Concern</t>
        </is>
      </c>
      <c r="BX1830"/>
      <c r="BY1830"/>
      <c r="BZ1830" s="4"/>
      <c r="CA1830"/>
      <c r="CB1830"/>
      <c r="CC1830" s="4"/>
      <c r="CD1830" t="inlineStr">
        <is>
          <t>20</t>
        </is>
      </c>
      <c r="CE1830" t="inlineStr">
        <is>
          <t>0</t>
        </is>
      </c>
      <c r="CF1830" t="inlineStr">
        <is>
          <t>Q2-W02</t>
        </is>
      </c>
      <c r="CG1830"/>
      <c r="CH1830"/>
      <c r="CI1830"/>
      <c r="CJ1830" t="inlineStr">
        <is>
          <t>No Paid</t>
        </is>
      </c>
      <c r="CK1830" t="inlineStr">
        <is>
          <t>Not Eligible</t>
        </is>
      </c>
      <c r="CL1830"/>
      <c r="CM1830"/>
    </row>
    <row r="1831" ht="25.5" customHeight="1">
      <c r="A1831" t="inlineStr">
        <is>
          <t>203171</t>
        </is>
      </c>
      <c r="B1831" s="2"/>
      <c r="C1831"/>
      <c r="D1831" s="3">
        <v>46125.63315972222</v>
      </c>
      <c r="E1831" t="inlineStr">
        <is>
          <t>Q2-W02</t>
        </is>
      </c>
      <c r="F1831" t="inlineStr">
        <is>
          <t>Keegan</t>
        </is>
      </c>
      <c r="G1831" t="inlineStr">
        <is>
          <t>Customer</t>
        </is>
      </c>
      <c r="H1831" s="2" t="str">
        <f>=HYPERLINK("https://upbox.ajobthing.my/customer/203171", "https://upbox.ajobthing.my/customer/203171")</f>
        <v>https://upbox.ajobthing.my/customer/203171</v>
      </c>
      <c r="I1831" t="inlineStr">
        <is>
          <t>ASSIGN SOLAR NEW ENERGRY SDN BHD</t>
        </is>
      </c>
      <c r="J1831" t="inlineStr">
        <is>
          <t>Small Fish</t>
        </is>
      </c>
      <c r="K1831" t="inlineStr">
        <is>
          <t>Keegan</t>
        </is>
      </c>
      <c r="L1831" s="4"/>
      <c r="M1831" s="4">
        <v>46125.633356481485</v>
      </c>
      <c r="N1831"/>
      <c r="O1831">
        <v>6048</v>
      </c>
      <c r="P1831" s="4"/>
      <c r="Q1831" s="4"/>
      <c r="R1831"/>
      <c r="S1831"/>
      <c r="T1831" s="4"/>
      <c r="U1831" s="4"/>
      <c r="V1831"/>
      <c r="W1831"/>
      <c r="X1831"/>
      <c r="Y1831" t="inlineStr">
        <is>
          <t>Pending Appointment</t>
        </is>
      </c>
      <c r="Z1831" t="inlineStr">
        <is>
          <t>Hiring Now</t>
        </is>
      </c>
      <c r="AA1831">
        <v>3</v>
      </c>
      <c r="AB1831" t="inlineStr">
        <is>
          <t>No Appointment Made</t>
        </is>
      </c>
      <c r="AC1831"/>
      <c r="AD1831" t="inlineStr">
        <is>
          <t>1. Sales manager
2. Sales executive
3. Wireman</t>
        </is>
      </c>
      <c r="AE1831"/>
      <c r="AF1831"/>
      <c r="AG1831" s="4"/>
      <c r="AH1831" s="4"/>
      <c r="AI1831"/>
      <c r="AJ1831">
        <v>1</v>
      </c>
      <c r="AK1831" t="inlineStr">
        <is>
          <t>No, I don't need at all</t>
        </is>
      </c>
      <c r="AL1831">
        <v>0</v>
      </c>
      <c r="AM1831" t="inlineStr">
        <is>
          <t>No, I don't need at all</t>
        </is>
      </c>
      <c r="AN1831"/>
      <c r="AO1831" t="inlineStr">
        <is>
          <t>No, I don't need at all</t>
        </is>
      </c>
      <c r="AP1831" t="inlineStr">
        <is>
          <t>Once per quarter (75%)</t>
        </is>
      </c>
      <c r="AQ1831"/>
      <c r="AR1831" t="inlineStr">
        <is>
          <t>Did not use any job portal</t>
        </is>
      </c>
      <c r="AS1831" t="inlineStr">
        <is>
          <t>- Headcount: 3
- Hiring Job Details: 1. Sales manager\n2. Sales executive\n3. Wireman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31">
        <v>75</v>
      </c>
      <c r="AU1831" t="inlineStr">
        <is>
          <t>0.75</t>
        </is>
      </c>
      <c r="AV1831" t="inlineStr">
        <is>
          <t>5</t>
        </is>
      </c>
      <c r="AW1831" t="inlineStr">
        <is>
          <t>0</t>
        </is>
      </c>
      <c r="AX1831" t="inlineStr">
        <is>
          <t>Not Qualified</t>
        </is>
      </c>
      <c r="AY1831" s="4"/>
      <c r="AZ1831"/>
      <c r="BA1831"/>
      <c r="BB1831"/>
      <c r="BC1831" t="inlineStr">
        <is>
          <t>f/up on decision</t>
        </is>
      </c>
      <c r="BD1831" s="4">
        <v>46127.72054398148</v>
      </c>
      <c r="BE1831"/>
      <c r="BF1831"/>
      <c r="BG1831" t="inlineStr">
        <is>
          <t>Reschedule</t>
        </is>
      </c>
      <c r="BH1831" t="inlineStr">
        <is>
          <t>Edward Hoo</t>
        </is>
      </c>
      <c r="BI1831"/>
      <c r="BJ1831" s="4">
        <v>46144.75423611111</v>
      </c>
      <c r="BK1831" s="4">
        <v>46125.63207175926</v>
      </c>
      <c r="BL1831" t="inlineStr">
        <is>
          <t>0.0</t>
        </is>
      </c>
      <c r="BM1831" t="inlineStr">
        <is>
          <t>0.0</t>
        </is>
      </c>
      <c r="BN1831"/>
      <c r="BO1831" s="4"/>
      <c r="BP1831">
        <v>166791</v>
      </c>
      <c r="BQ1831"/>
      <c r="BR1831"/>
      <c r="BS1831"/>
      <c r="BT1831"/>
      <c r="BU1831"/>
      <c r="BV1831">
        <v>2706912</v>
      </c>
      <c r="BW1831" t="inlineStr">
        <is>
          <t>Follow Up : Decision Pending</t>
        </is>
      </c>
      <c r="BX1831"/>
      <c r="BY1831"/>
      <c r="BZ1831" s="4"/>
      <c r="CA1831"/>
      <c r="CB1831"/>
      <c r="CC1831" s="4"/>
      <c r="CD1831" t="inlineStr">
        <is>
          <t>5</t>
        </is>
      </c>
      <c r="CE1831" t="inlineStr">
        <is>
          <t>0</t>
        </is>
      </c>
      <c r="CF1831" t="inlineStr">
        <is>
          <t>Q2-W02</t>
        </is>
      </c>
      <c r="CG1831"/>
      <c r="CH1831"/>
      <c r="CI1831"/>
      <c r="CJ1831" t="inlineStr">
        <is>
          <t>No Paid</t>
        </is>
      </c>
      <c r="CK1831" t="inlineStr">
        <is>
          <t>Not Eligible</t>
        </is>
      </c>
      <c r="CL1831"/>
      <c r="CM1831"/>
    </row>
    <row r="1832" ht="25.5" customHeight="1">
      <c r="A1832" t="inlineStr">
        <is>
          <t>165973</t>
        </is>
      </c>
      <c r="B1832" s="2"/>
      <c r="C1832"/>
      <c r="D1832" s="3">
        <v>46125.642060185186</v>
      </c>
      <c r="E1832" t="inlineStr">
        <is>
          <t>Q2-W02</t>
        </is>
      </c>
      <c r="F1832" t="inlineStr">
        <is>
          <t>Clover</t>
        </is>
      </c>
      <c r="G1832" t="inlineStr">
        <is>
          <t>Customer</t>
        </is>
      </c>
      <c r="H1832" s="2" t="str">
        <f>=HYPERLINK("https://upbox.ajobthing.my/customer/165973", "https://upbox.ajobthing.my/customer/165973")</f>
        <v>https://upbox.ajobthing.my/customer/165973</v>
      </c>
      <c r="I1832" t="inlineStr">
        <is>
          <t>Chloes Closet</t>
        </is>
      </c>
      <c r="J1832" t="inlineStr">
        <is>
          <t>Small Fish</t>
        </is>
      </c>
      <c r="K1832" t="inlineStr">
        <is>
          <t>Clover</t>
        </is>
      </c>
      <c r="L1832" s="4"/>
      <c r="M1832" s="4">
        <v>46125.64225694445</v>
      </c>
      <c r="N1832"/>
      <c r="O1832">
        <v>3888</v>
      </c>
      <c r="P1832" s="4"/>
      <c r="Q1832" s="4"/>
      <c r="R1832"/>
      <c r="S1832"/>
      <c r="T1832" s="4"/>
      <c r="U1832" s="4"/>
      <c r="V1832"/>
      <c r="W1832"/>
      <c r="X1832"/>
      <c r="Y1832" t="inlineStr">
        <is>
          <t>Pending Appointment</t>
        </is>
      </c>
      <c r="Z1832" t="inlineStr">
        <is>
          <t>Hiring Now</t>
        </is>
      </c>
      <c r="AA1832">
        <v>3</v>
      </c>
      <c r="AB1832" t="inlineStr">
        <is>
          <t>No Appointment Made</t>
        </is>
      </c>
      <c r="AC1832"/>
      <c r="AD1832" t="inlineStr">
        <is>
          <t>Hire retail promoter x3, 2 full time mon-fri, 1 part fri-sun, all races, car push shopping mall booth, skyworld genting,  24 Apr opening, suggest stand</t>
        </is>
      </c>
      <c r="AE1832"/>
      <c r="AF1832">
        <v>3000</v>
      </c>
      <c r="AG1832" s="4"/>
      <c r="AH1832" s="4"/>
      <c r="AI1832">
        <v>3000</v>
      </c>
      <c r="AJ1832">
        <v>1</v>
      </c>
      <c r="AK1832" t="inlineStr">
        <is>
          <t>No, but I want in future</t>
        </is>
      </c>
      <c r="AL1832">
        <v>1</v>
      </c>
      <c r="AM1832" t="inlineStr">
        <is>
          <t>No, but I want in future</t>
        </is>
      </c>
      <c r="AN1832"/>
      <c r="AO1832" t="inlineStr">
        <is>
          <t>No, but I want in future</t>
        </is>
      </c>
      <c r="AP1832" t="inlineStr">
        <is>
          <t>Twice a year (50%)</t>
        </is>
      </c>
      <c r="AQ1832">
        <v>1</v>
      </c>
      <c r="AR1832" t="inlineStr">
        <is>
          <t>Jobstreet</t>
        </is>
      </c>
      <c r="AS1832" t="inlineStr">
        <is>
          <t>- Headcount: 3
- Hiring Job Details: Hire retail promoter x3, 2 full time mon-fri, 1 part fri-sun, all races, car push shopping mall booth, skyworld genting, 24 Apr opening,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Jobstreet</t>
        </is>
      </c>
      <c r="AT1832">
        <v>115</v>
      </c>
      <c r="AU1832" t="inlineStr">
        <is>
          <t>1.15</t>
        </is>
      </c>
      <c r="AV1832" t="inlineStr">
        <is>
          <t>15</t>
        </is>
      </c>
      <c r="AW1832" t="inlineStr">
        <is>
          <t>0</t>
        </is>
      </c>
      <c r="AX1832" t="inlineStr">
        <is>
          <t>Not Qualified</t>
        </is>
      </c>
      <c r="AY1832" s="4"/>
      <c r="AZ1832"/>
      <c r="BA1832"/>
      <c r="BB1832"/>
      <c r="BC1832" t="inlineStr">
        <is>
          <t>Still considering</t>
        </is>
      </c>
      <c r="BD1832" s="4">
        <v>46133.69053240741</v>
      </c>
      <c r="BE1832"/>
      <c r="BF1832"/>
      <c r="BG1832" t="inlineStr">
        <is>
          <t>Reschedule</t>
        </is>
      </c>
      <c r="BH1832" t="inlineStr">
        <is>
          <t>Reagen</t>
        </is>
      </c>
      <c r="BI1832"/>
      <c r="BJ1832" s="4">
        <v>46144.75127314815</v>
      </c>
      <c r="BK1832" s="4">
        <v>45020.661041666666</v>
      </c>
      <c r="BL1832" t="inlineStr">
        <is>
          <t>0.0</t>
        </is>
      </c>
      <c r="BM1832" t="inlineStr">
        <is>
          <t>0.0</t>
        </is>
      </c>
      <c r="BN1832" t="inlineStr">
        <is>
          <t>View Create Job Page</t>
        </is>
      </c>
      <c r="BO1832" s="4">
        <v>45020.665821759256</v>
      </c>
      <c r="BP1832">
        <v>166796</v>
      </c>
      <c r="BQ1832"/>
      <c r="BR1832"/>
      <c r="BS1832"/>
      <c r="BT1832"/>
      <c r="BU1832"/>
      <c r="BV1832">
        <v>2718854</v>
      </c>
      <c r="BW1832" t="inlineStr">
        <is>
          <t>Follow Up : Decision Pending</t>
        </is>
      </c>
      <c r="BX1832"/>
      <c r="BY1832"/>
      <c r="BZ1832" s="4"/>
      <c r="CA1832"/>
      <c r="CB1832"/>
      <c r="CC1832" s="4"/>
      <c r="CD1832" t="inlineStr">
        <is>
          <t>20</t>
        </is>
      </c>
      <c r="CE1832" t="inlineStr">
        <is>
          <t>0</t>
        </is>
      </c>
      <c r="CF1832" t="inlineStr">
        <is>
          <t>Q2-W02</t>
        </is>
      </c>
      <c r="CG1832"/>
      <c r="CH1832"/>
      <c r="CI1832"/>
      <c r="CJ1832" t="inlineStr">
        <is>
          <t>No Paid</t>
        </is>
      </c>
      <c r="CK1832" t="inlineStr">
        <is>
          <t>Not Eligible</t>
        </is>
      </c>
      <c r="CL1832"/>
      <c r="CM1832"/>
    </row>
    <row r="1833" ht="25.5" customHeight="1">
      <c r="A1833" t="inlineStr">
        <is>
          <t>175072</t>
        </is>
      </c>
      <c r="B1833" s="2"/>
      <c r="C1833"/>
      <c r="D1833" s="3">
        <v>46125.642905092594</v>
      </c>
      <c r="E1833" t="inlineStr">
        <is>
          <t>Q2-W02</t>
        </is>
      </c>
      <c r="F1833" t="inlineStr">
        <is>
          <t>Janice Yap</t>
        </is>
      </c>
      <c r="G1833" t="inlineStr">
        <is>
          <t>Customer</t>
        </is>
      </c>
      <c r="H1833" s="2" t="str">
        <f>=HYPERLINK("https://upbox.ajobthing.my/customer/175072", "https://upbox.ajobthing.my/customer/175072")</f>
        <v>https://upbox.ajobthing.my/customer/175072</v>
      </c>
      <c r="I1833" t="inlineStr">
        <is>
          <t>Tadika Khalifah Delima</t>
        </is>
      </c>
      <c r="J1833" t="inlineStr">
        <is>
          <t>Small Fish</t>
        </is>
      </c>
      <c r="K1833" t="inlineStr">
        <is>
          <t>Janice</t>
        </is>
      </c>
      <c r="L1833" s="4"/>
      <c r="M1833" s="4">
        <v>46125.64449074074</v>
      </c>
      <c r="N1833"/>
      <c r="O1833">
        <v>3888</v>
      </c>
      <c r="P1833" s="4"/>
      <c r="Q1833" s="4"/>
      <c r="R1833"/>
      <c r="S1833"/>
      <c r="T1833" s="4"/>
      <c r="U1833" s="4"/>
      <c r="V1833"/>
      <c r="W1833"/>
      <c r="X1833"/>
      <c r="Y1833" t="inlineStr">
        <is>
          <t>Pending Appointment</t>
        </is>
      </c>
      <c r="Z1833" t="inlineStr">
        <is>
          <t>Hiring Now</t>
        </is>
      </c>
      <c r="AA1833">
        <v>5</v>
      </c>
      <c r="AB1833" t="inlineStr">
        <is>
          <t>No Appointment Made</t>
        </is>
      </c>
      <c r="AC1833"/>
      <c r="AD1833" t="inlineStr">
        <is>
          <t>5 teachers</t>
        </is>
      </c>
      <c r="AE1833"/>
      <c r="AF1833">
        <v>0</v>
      </c>
      <c r="AG1833" s="4"/>
      <c r="AH1833" s="4"/>
      <c r="AI1833">
        <v>0</v>
      </c>
      <c r="AJ1833"/>
      <c r="AK1833" t="inlineStr">
        <is>
          <t>No, I don't need at all</t>
        </is>
      </c>
      <c r="AL1833">
        <v>0</v>
      </c>
      <c r="AM1833" t="inlineStr">
        <is>
          <t>No, I don't need at all</t>
        </is>
      </c>
      <c r="AN1833"/>
      <c r="AO1833" t="inlineStr">
        <is>
          <t>No, I don't need at all</t>
        </is>
      </c>
      <c r="AP1833" t="inlineStr">
        <is>
          <t>Once a year (25%)</t>
        </is>
      </c>
      <c r="AQ1833">
        <v>5</v>
      </c>
      <c r="AR1833" t="inlineStr">
        <is>
          <t>Free Job Portal</t>
        </is>
      </c>
      <c r="AS1833" t="inlineStr">
        <is>
          <t>- Headcount: 5
- Hiring Job Details: 5 teachers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5
- Hiring frequency: Once a year (25%)
- External job portal: Free Job Portal</t>
        </is>
      </c>
      <c r="AT1833">
        <v>110</v>
      </c>
      <c r="AU1833" t="inlineStr">
        <is>
          <t>1.10</t>
        </is>
      </c>
      <c r="AV1833" t="inlineStr">
        <is>
          <t>20</t>
        </is>
      </c>
      <c r="AW1833" t="inlineStr">
        <is>
          <t>0</t>
        </is>
      </c>
      <c r="AX1833" t="inlineStr">
        <is>
          <t>Not Qualified</t>
        </is>
      </c>
      <c r="AY1833" s="4"/>
      <c r="AZ1833"/>
      <c r="BA1833"/>
      <c r="BB1833"/>
      <c r="BC1833" t="inlineStr">
        <is>
          <t>No need // very busy interview ady // hang up</t>
        </is>
      </c>
      <c r="BD1833" s="4">
        <v>46135.610972222225</v>
      </c>
      <c r="BE1833"/>
      <c r="BF1833"/>
      <c r="BG1833" t="inlineStr">
        <is>
          <t>Reschedule</t>
        </is>
      </c>
      <c r="BH1833" t="inlineStr">
        <is>
          <t>Yee Hang</t>
        </is>
      </c>
      <c r="BI1833"/>
      <c r="BJ1833" s="4">
        <v>46144.75158564815</v>
      </c>
      <c r="BK1833" s="4">
        <v>45321.69267361111</v>
      </c>
      <c r="BL1833" t="inlineStr">
        <is>
          <t>0.0</t>
        </is>
      </c>
      <c r="BM1833" t="inlineStr">
        <is>
          <t>0.0</t>
        </is>
      </c>
      <c r="BN1833" t="inlineStr">
        <is>
          <t>User Visit(Logged In)</t>
        </is>
      </c>
      <c r="BO1833" s="4">
        <v>45327.63013888889</v>
      </c>
      <c r="BP1833">
        <v>166797</v>
      </c>
      <c r="BQ1833"/>
      <c r="BR1833"/>
      <c r="BS1833"/>
      <c r="BT1833"/>
      <c r="BU1833"/>
      <c r="BV1833">
        <v>2723458</v>
      </c>
      <c r="BW1833" t="inlineStr">
        <is>
          <t>Follow Up : Lost - Free Portal</t>
        </is>
      </c>
      <c r="BX1833"/>
      <c r="BY1833"/>
      <c r="BZ1833" s="4"/>
      <c r="CA1833"/>
      <c r="CB1833"/>
      <c r="CC1833" s="4"/>
      <c r="CD1833" t="inlineStr">
        <is>
          <t>30</t>
        </is>
      </c>
      <c r="CE1833" t="inlineStr">
        <is>
          <t>0</t>
        </is>
      </c>
      <c r="CF1833" t="inlineStr">
        <is>
          <t>Q2-W02</t>
        </is>
      </c>
      <c r="CG1833"/>
      <c r="CH1833"/>
      <c r="CI1833"/>
      <c r="CJ1833" t="inlineStr">
        <is>
          <t>No Paid</t>
        </is>
      </c>
      <c r="CK1833" t="inlineStr">
        <is>
          <t>Not Eligible</t>
        </is>
      </c>
      <c r="CL1833"/>
      <c r="CM1833"/>
    </row>
    <row r="1834" ht="25.5" customHeight="1">
      <c r="A1834" t="inlineStr">
        <is>
          <t>198037</t>
        </is>
      </c>
      <c r="B1834" s="2"/>
      <c r="C1834"/>
      <c r="D1834" s="3">
        <v>46125.64837962963</v>
      </c>
      <c r="E1834" t="inlineStr">
        <is>
          <t>Q2-W02</t>
        </is>
      </c>
      <c r="F1834" t="inlineStr">
        <is>
          <t>Ken Yi</t>
        </is>
      </c>
      <c r="G1834" t="inlineStr">
        <is>
          <t>Customer</t>
        </is>
      </c>
      <c r="H1834" s="2" t="str">
        <f>=HYPERLINK("https://upbox.ajobthing.my/customer/198037", "https://upbox.ajobthing.my/customer/198037")</f>
        <v>https://upbox.ajobthing.my/customer/198037</v>
      </c>
      <c r="I1834" t="inlineStr">
        <is>
          <t>Heart Garden KL</t>
        </is>
      </c>
      <c r="J1834" t="inlineStr">
        <is>
          <t>Small Fish</t>
        </is>
      </c>
      <c r="K1834" t="inlineStr">
        <is>
          <t>Kenyi</t>
        </is>
      </c>
      <c r="L1834" s="4"/>
      <c r="M1834" s="4">
        <v>46135.52880787037</v>
      </c>
      <c r="N1834"/>
      <c r="O1834">
        <v>3888</v>
      </c>
      <c r="P1834" s="4"/>
      <c r="Q1834" s="4"/>
      <c r="R1834"/>
      <c r="S1834"/>
      <c r="T1834" s="4"/>
      <c r="U1834" s="4"/>
      <c r="V1834"/>
      <c r="W1834"/>
      <c r="X1834"/>
      <c r="Y1834" t="inlineStr">
        <is>
          <t>Pending Appointment</t>
        </is>
      </c>
      <c r="Z1834" t="inlineStr">
        <is>
          <t>Hiring Now</t>
        </is>
      </c>
      <c r="AA1834">
        <v>1</v>
      </c>
      <c r="AB1834" t="inlineStr">
        <is>
          <t>No Appointment Made</t>
        </is>
      </c>
      <c r="AC1834"/>
      <c r="AD1834" t="inlineStr">
        <is>
          <t>Floor Manager 2</t>
        </is>
      </c>
      <c r="AE1834"/>
      <c r="AF1834">
        <v>0</v>
      </c>
      <c r="AG1834" s="4"/>
      <c r="AH1834" s="4"/>
      <c r="AI1834">
        <v>0</v>
      </c>
      <c r="AJ1834">
        <v>1</v>
      </c>
      <c r="AK1834" t="inlineStr">
        <is>
          <t>Yes, I have</t>
        </is>
      </c>
      <c r="AL1834">
        <v>1</v>
      </c>
      <c r="AM1834" t="inlineStr">
        <is>
          <t>No, I don't need at all</t>
        </is>
      </c>
      <c r="AN1834"/>
      <c r="AO1834" t="inlineStr">
        <is>
          <t>No, I don't need at all</t>
        </is>
      </c>
      <c r="AP1834" t="inlineStr">
        <is>
          <t>Every month (100%)</t>
        </is>
      </c>
      <c r="AQ1834">
        <v>2</v>
      </c>
      <c r="AR1834" t="inlineStr">
        <is>
          <t>Did not use any job portal</t>
        </is>
      </c>
      <c r="AS1834" t="inlineStr">
        <is>
          <t>- Headcount: 1
- Hiring Job Details: Floor Manager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Did not use any job portal</t>
        </is>
      </c>
      <c r="AT1834">
        <v>105</v>
      </c>
      <c r="AU1834" t="inlineStr">
        <is>
          <t>1.05</t>
        </is>
      </c>
      <c r="AV1834" t="inlineStr">
        <is>
          <t>15</t>
        </is>
      </c>
      <c r="AW1834" t="inlineStr">
        <is>
          <t>0</t>
        </is>
      </c>
      <c r="AX1834" t="inlineStr">
        <is>
          <t>Not Qualified</t>
        </is>
      </c>
      <c r="AY1834" s="4"/>
      <c r="AZ1834"/>
      <c r="BA1834"/>
      <c r="BB1834"/>
      <c r="BC1834" t="inlineStr">
        <is>
          <t>customer finally called back, saying economy not good, that's why did't proceed with the package, and on hold, everything cost went up and hiring freeze, but willing to see the cheaper plan to negotiate with the share holder</t>
        </is>
      </c>
      <c r="BD1834" s="4">
        <v>46135.52763888889</v>
      </c>
      <c r="BE1834"/>
      <c r="BF1834"/>
      <c r="BG1834" t="inlineStr">
        <is>
          <t>Reschedule</t>
        </is>
      </c>
      <c r="BH1834" t="inlineStr">
        <is>
          <t>Fauziah Maharan</t>
        </is>
      </c>
      <c r="BI1834"/>
      <c r="BJ1834" s="4">
        <v>46144.75292824074</v>
      </c>
      <c r="BK1834" s="4">
        <v>45968.594363425924</v>
      </c>
      <c r="BL1834" t="inlineStr">
        <is>
          <t>0.0</t>
        </is>
      </c>
      <c r="BM1834" t="inlineStr">
        <is>
          <t>0.0</t>
        </is>
      </c>
      <c r="BN1834"/>
      <c r="BO1834" s="4"/>
      <c r="BP1834">
        <v>168528</v>
      </c>
      <c r="BQ1834"/>
      <c r="BR1834"/>
      <c r="BS1834"/>
      <c r="BT1834"/>
      <c r="BU1834"/>
      <c r="BV1834">
        <v>2723138</v>
      </c>
      <c r="BW1834" t="inlineStr">
        <is>
          <t>Follow Up : Quotation Sent 50%</t>
        </is>
      </c>
      <c r="BX1834"/>
      <c r="BY1834"/>
      <c r="BZ1834" s="4"/>
      <c r="CA1834"/>
      <c r="CB1834"/>
      <c r="CC1834" s="4"/>
      <c r="CD1834" t="inlineStr">
        <is>
          <t>20</t>
        </is>
      </c>
      <c r="CE1834" t="inlineStr">
        <is>
          <t>0</t>
        </is>
      </c>
      <c r="CF1834" t="inlineStr">
        <is>
          <t>Q2-W03</t>
        </is>
      </c>
      <c r="CG1834"/>
      <c r="CH1834"/>
      <c r="CI1834"/>
      <c r="CJ1834" t="inlineStr">
        <is>
          <t>No Paid</t>
        </is>
      </c>
      <c r="CK1834" t="inlineStr">
        <is>
          <t>Not Eligible</t>
        </is>
      </c>
      <c r="CL1834"/>
      <c r="CM1834"/>
    </row>
    <row r="1835" ht="25.5" customHeight="1">
      <c r="A1835" t="inlineStr">
        <is>
          <t>202518</t>
        </is>
      </c>
      <c r="B1835" s="2"/>
      <c r="C1835"/>
      <c r="D1835" s="3">
        <v>46125.648460648146</v>
      </c>
      <c r="E1835" t="inlineStr">
        <is>
          <t>Q2-W02</t>
        </is>
      </c>
      <c r="F1835" t="inlineStr">
        <is>
          <t>Lucas</t>
        </is>
      </c>
      <c r="G1835" t="inlineStr">
        <is>
          <t>Customer</t>
        </is>
      </c>
      <c r="H1835" s="2" t="str">
        <f>=HYPERLINK("https://upbox.ajobthing.my/customer/202518", "https://upbox.ajobthing.my/customer/202518")</f>
        <v>https://upbox.ajobthing.my/customer/202518</v>
      </c>
      <c r="I1835" t="inlineStr">
        <is>
          <t>Tianyun Logistic</t>
        </is>
      </c>
      <c r="J1835" t="inlineStr">
        <is>
          <t>Small Fish</t>
        </is>
      </c>
      <c r="K1835" t="inlineStr">
        <is>
          <t>Lucas</t>
        </is>
      </c>
      <c r="L1835" s="4"/>
      <c r="M1835" s="4">
        <v>46125.64730324074</v>
      </c>
      <c r="N1835"/>
      <c r="O1835">
        <v>3672</v>
      </c>
      <c r="P1835" s="4"/>
      <c r="Q1835" s="4"/>
      <c r="R1835"/>
      <c r="S1835"/>
      <c r="T1835" s="4"/>
      <c r="U1835" s="4"/>
      <c r="V1835"/>
      <c r="W1835"/>
      <c r="X1835"/>
      <c r="Y1835" t="inlineStr">
        <is>
          <t>Pending Appointment</t>
        </is>
      </c>
      <c r="Z1835" t="inlineStr">
        <is>
          <t>Hiring Now</t>
        </is>
      </c>
      <c r="AA1835">
        <v>1</v>
      </c>
      <c r="AB1835" t="inlineStr">
        <is>
          <t>No Appointment Made</t>
        </is>
      </c>
      <c r="AC1835"/>
      <c r="AD1835" t="inlineStr">
        <is>
          <t xml:space="preserve">1 clerk </t>
        </is>
      </c>
      <c r="AE1835"/>
      <c r="AF1835">
        <v>0</v>
      </c>
      <c r="AG1835" s="4"/>
      <c r="AH1835" s="4"/>
      <c r="AI1835">
        <v>0</v>
      </c>
      <c r="AJ1835">
        <v>0</v>
      </c>
      <c r="AK1835" t="inlineStr">
        <is>
          <t>No, I don't need at all</t>
        </is>
      </c>
      <c r="AL1835">
        <v>0</v>
      </c>
      <c r="AM1835" t="inlineStr">
        <is>
          <t>No, I don't need at all</t>
        </is>
      </c>
      <c r="AN1835"/>
      <c r="AO1835" t="inlineStr">
        <is>
          <t>No, I don't need at all</t>
        </is>
      </c>
      <c r="AP1835" t="inlineStr">
        <is>
          <t>Once a year (25%)</t>
        </is>
      </c>
      <c r="AQ1835">
        <v>1</v>
      </c>
      <c r="AR1835" t="inlineStr">
        <is>
          <t>Did not use any job portal</t>
        </is>
      </c>
      <c r="AS1835" t="inlineStr">
        <is>
          <t>- Headcount: 1
- Hiring Job Details: 1 clerk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835">
        <v>105</v>
      </c>
      <c r="AU1835" t="inlineStr">
        <is>
          <t>1.05</t>
        </is>
      </c>
      <c r="AV1835" t="inlineStr">
        <is>
          <t>15</t>
        </is>
      </c>
      <c r="AW1835" t="inlineStr">
        <is>
          <t>0</t>
        </is>
      </c>
      <c r="AX1835" t="inlineStr">
        <is>
          <t>Not Qualified</t>
        </is>
      </c>
      <c r="AY1835" s="4"/>
      <c r="AZ1835"/>
      <c r="BA1835"/>
      <c r="BB1835"/>
      <c r="BC1835" t="inlineStr">
        <is>
          <t>nr , wa send</t>
        </is>
      </c>
      <c r="BD1835" s="4">
        <v>46140.44613425926</v>
      </c>
      <c r="BE1835"/>
      <c r="BF1835"/>
      <c r="BG1835" t="inlineStr">
        <is>
          <t>Reschedule</t>
        </is>
      </c>
      <c r="BH1835" t="inlineStr">
        <is>
          <t>Yee Hang</t>
        </is>
      </c>
      <c r="BI1835" t="inlineStr">
        <is>
          <t>Transportation / Logistics</t>
        </is>
      </c>
      <c r="BJ1835" s="4">
        <v>46144.75405092593</v>
      </c>
      <c r="BK1835" s="4">
        <v>46109.53162037037</v>
      </c>
      <c r="BL1835" t="inlineStr">
        <is>
          <t>0.0</t>
        </is>
      </c>
      <c r="BM1835" t="inlineStr">
        <is>
          <t>0.0</t>
        </is>
      </c>
      <c r="BN1835" t="inlineStr">
        <is>
          <t>View Company Page</t>
        </is>
      </c>
      <c r="BO1835" s="4">
        <v>46109.54006944445</v>
      </c>
      <c r="BP1835">
        <v>166799</v>
      </c>
      <c r="BQ1835"/>
      <c r="BR1835"/>
      <c r="BS1835"/>
      <c r="BT1835"/>
      <c r="BU1835"/>
      <c r="BV1835">
        <v>2731911</v>
      </c>
      <c r="BW1835" t="inlineStr">
        <is>
          <t>No Answer : Voicemail - WA sent to customer</t>
        </is>
      </c>
      <c r="BX1835"/>
      <c r="BY1835"/>
      <c r="BZ1835" s="4"/>
      <c r="CA1835"/>
      <c r="CB1835"/>
      <c r="CC1835" s="4"/>
      <c r="CD1835" t="inlineStr">
        <is>
          <t>20</t>
        </is>
      </c>
      <c r="CE1835" t="inlineStr">
        <is>
          <t>0</t>
        </is>
      </c>
      <c r="CF1835" t="inlineStr">
        <is>
          <t>Q2-W02</t>
        </is>
      </c>
      <c r="CG1835"/>
      <c r="CH1835"/>
      <c r="CI1835"/>
      <c r="CJ1835" t="inlineStr">
        <is>
          <t>No Paid</t>
        </is>
      </c>
      <c r="CK1835" t="inlineStr">
        <is>
          <t>Not Eligible</t>
        </is>
      </c>
      <c r="CL1835"/>
      <c r="CM1835"/>
    </row>
    <row r="1836" ht="25.5" customHeight="1">
      <c r="A1836" t="inlineStr">
        <is>
          <t>173100</t>
        </is>
      </c>
      <c r="B1836" s="2"/>
      <c r="C1836"/>
      <c r="D1836" s="3">
        <v>46125.65068287037</v>
      </c>
      <c r="E1836" t="inlineStr">
        <is>
          <t>Q2-W02</t>
        </is>
      </c>
      <c r="F1836" t="inlineStr">
        <is>
          <t>Xin Hui</t>
        </is>
      </c>
      <c r="G1836" t="inlineStr">
        <is>
          <t>Customer</t>
        </is>
      </c>
      <c r="H1836" s="2" t="str">
        <f>=HYPERLINK("https://upbox.ajobthing.my/customer/173100", "https://upbox.ajobthing.my/customer/173100")</f>
        <v>https://upbox.ajobthing.my/customer/173100</v>
      </c>
      <c r="I1836" t="inlineStr">
        <is>
          <t>Cooling Care &amp; Engineering Service Enterprise</t>
        </is>
      </c>
      <c r="J1836" t="inlineStr">
        <is>
          <t>Small Fish</t>
        </is>
      </c>
      <c r="K1836" t="inlineStr">
        <is>
          <t>Xin Hui</t>
        </is>
      </c>
      <c r="L1836" s="4"/>
      <c r="M1836" s="4">
        <v>46125.64596064815</v>
      </c>
      <c r="N1836"/>
      <c r="O1836">
        <v>3888</v>
      </c>
      <c r="P1836" s="4"/>
      <c r="Q1836" s="4">
        <v>45790.435891203706</v>
      </c>
      <c r="R1836"/>
      <c r="S1836">
        <v>648</v>
      </c>
      <c r="T1836" s="4">
        <v>45790.435891203706</v>
      </c>
      <c r="U1836" s="4"/>
      <c r="V1836"/>
      <c r="W1836">
        <v>648</v>
      </c>
      <c r="X1836"/>
      <c r="Y1836" t="inlineStr">
        <is>
          <t>Pending Appointment</t>
        </is>
      </c>
      <c r="Z1836" t="inlineStr">
        <is>
          <t>Continuous Hiring</t>
        </is>
      </c>
      <c r="AA1836">
        <v>2</v>
      </c>
      <c r="AB1836" t="inlineStr">
        <is>
          <t>No Appointment Made</t>
        </is>
      </c>
      <c r="AC1836"/>
      <c r="AD1836" t="inlineStr">
        <is>
          <t xml:space="preserve">2 technicians </t>
        </is>
      </c>
      <c r="AE1836"/>
      <c r="AF1836"/>
      <c r="AG1836" s="4"/>
      <c r="AH1836" s="4"/>
      <c r="AI1836">
        <v>0</v>
      </c>
      <c r="AJ1836"/>
      <c r="AK1836" t="inlineStr">
        <is>
          <t>No, I don't need at all</t>
        </is>
      </c>
      <c r="AL1836"/>
      <c r="AM1836" t="inlineStr">
        <is>
          <t>No, I don't need at all</t>
        </is>
      </c>
      <c r="AN1836"/>
      <c r="AO1836"/>
      <c r="AP1836" t="inlineStr">
        <is>
          <t>Every month (100%)</t>
        </is>
      </c>
      <c r="AQ1836"/>
      <c r="AR1836"/>
      <c r="AS1836" t="inlineStr">
        <is>
          <t>- Headcount: 2
- Hiring Job Details: 2 technicians
- Number of outlets: Not provided
- Have recruiter team: No, I don't need at all
- Number of recruiter in company: Not provided
- Have ATS system: No, I don't need at all
- Have career website: Not provided
- Current hiring budget: Not provided
- Whole year budget: RM0.00
- Whole year number of vacancies: Not provided
- Hiring frequency: Every month (100%)
- External job portal: Not provided
- Hiring Urgency: Continuous Hiring</t>
        </is>
      </c>
      <c r="AT1836">
        <v>95</v>
      </c>
      <c r="AU1836" t="inlineStr">
        <is>
          <t>0.95</t>
        </is>
      </c>
      <c r="AV1836" t="inlineStr">
        <is>
          <t>5</t>
        </is>
      </c>
      <c r="AW1836" t="inlineStr">
        <is>
          <t>0</t>
        </is>
      </c>
      <c r="AX1836" t="inlineStr">
        <is>
          <t>Not Qualified</t>
        </is>
      </c>
      <c r="AY1836" s="4"/>
      <c r="AZ1836"/>
      <c r="BA1836"/>
      <c r="BB1836"/>
      <c r="BC1836" t="inlineStr">
        <is>
          <t>not now</t>
        </is>
      </c>
      <c r="BD1836" s="4">
        <v>46133.69493055555</v>
      </c>
      <c r="BE1836" t="inlineStr">
        <is>
          <t>paid</t>
        </is>
      </c>
      <c r="BF1836"/>
      <c r="BG1836" t="inlineStr">
        <is>
          <t>Reschedule</t>
        </is>
      </c>
      <c r="BH1836" t="inlineStr">
        <is>
          <t>Yee Hang</t>
        </is>
      </c>
      <c r="BI1836" t="inlineStr">
        <is>
          <t>Repair / Maintenance</t>
        </is>
      </c>
      <c r="BJ1836" s="4">
        <v>46144.75150462963</v>
      </c>
      <c r="BK1836" s="4">
        <v>45250.91469907408</v>
      </c>
      <c r="BL1836" t="inlineStr">
        <is>
          <t>648.0</t>
        </is>
      </c>
      <c r="BM1836" t="inlineStr">
        <is>
          <t>0.0</t>
        </is>
      </c>
      <c r="BN1836" t="inlineStr">
        <is>
          <t>View Jobmanager Page</t>
        </is>
      </c>
      <c r="BO1836" s="4">
        <v>45792.745300925926</v>
      </c>
      <c r="BP1836">
        <v>166798</v>
      </c>
      <c r="BQ1836">
        <v>79202</v>
      </c>
      <c r="BR1836" t="inlineStr">
        <is>
          <t>Online</t>
        </is>
      </c>
      <c r="BS1836"/>
      <c r="BT1836">
        <v>79202</v>
      </c>
      <c r="BU1836"/>
      <c r="BV1836">
        <v>2718872</v>
      </c>
      <c r="BW1836" t="inlineStr">
        <is>
          <t>Follow Up : Lost - Free Portal</t>
        </is>
      </c>
      <c r="BX1836"/>
      <c r="BY1836"/>
      <c r="BZ1836" s="4"/>
      <c r="CA1836"/>
      <c r="CB1836"/>
      <c r="CC1836" s="4"/>
      <c r="CD1836" t="inlineStr">
        <is>
          <t>5</t>
        </is>
      </c>
      <c r="CE1836" t="inlineStr">
        <is>
          <t>0</t>
        </is>
      </c>
      <c r="CF1836" t="inlineStr">
        <is>
          <t>Q2-W02</t>
        </is>
      </c>
      <c r="CG1836"/>
      <c r="CH1836"/>
      <c r="CI1836"/>
      <c r="CJ1836" t="inlineStr">
        <is>
          <t>Paid</t>
        </is>
      </c>
      <c r="CK1836" t="inlineStr">
        <is>
          <t>Not Eligible</t>
        </is>
      </c>
      <c r="CL1836"/>
      <c r="CM1836"/>
    </row>
    <row r="1837" ht="25.5" customHeight="1">
      <c r="A1837" t="inlineStr">
        <is>
          <t>4271293</t>
        </is>
      </c>
      <c r="B1837" s="2"/>
      <c r="C1837"/>
      <c r="D1837" s="3">
        <v>46125.65556712963</v>
      </c>
      <c r="E1837" t="inlineStr">
        <is>
          <t>Q2-W02</t>
        </is>
      </c>
      <c r="F1837" t="inlineStr">
        <is>
          <t>Janice Yap</t>
        </is>
      </c>
      <c r="G1837" t="inlineStr">
        <is>
          <t>Lead</t>
        </is>
      </c>
      <c r="H1837" s="2" t="str">
        <f>=HYPERLINK("https://upbox.ajobthing.my/leads/4271293", "https://upbox.ajobthing.my/leads/4271293")</f>
        <v>https://upbox.ajobthing.my/leads/4271293</v>
      </c>
      <c r="I1837" t="inlineStr">
        <is>
          <t>Flex Space Marketing</t>
        </is>
      </c>
      <c r="J1837" t="inlineStr">
        <is>
          <t>Small Fish</t>
        </is>
      </c>
      <c r="K1837" t="inlineStr">
        <is>
          <t>Janice</t>
        </is>
      </c>
      <c r="L1837" s="4"/>
      <c r="M1837" s="4">
        <v>46125.652395833335</v>
      </c>
      <c r="N1837"/>
      <c r="O1837">
        <v>3888</v>
      </c>
      <c r="P1837" s="4"/>
      <c r="Q1837" s="4"/>
      <c r="R1837"/>
      <c r="S1837"/>
      <c r="T1837" s="4"/>
      <c r="U1837" s="4"/>
      <c r="V1837"/>
      <c r="W1837"/>
      <c r="X1837"/>
      <c r="Y1837" t="inlineStr">
        <is>
          <t>Pending Appointment</t>
        </is>
      </c>
      <c r="Z1837" t="inlineStr">
        <is>
          <t>Hiring Now</t>
        </is>
      </c>
      <c r="AA1837">
        <v>2</v>
      </c>
      <c r="AB1837" t="inlineStr">
        <is>
          <t>No Appointment Made</t>
        </is>
      </c>
      <c r="AC1837"/>
      <c r="AD1837" t="inlineStr">
        <is>
          <t>2 video editors</t>
        </is>
      </c>
      <c r="AE1837"/>
      <c r="AF1837">
        <v>0</v>
      </c>
      <c r="AG1837" s="4"/>
      <c r="AH1837" s="4"/>
      <c r="AI1837">
        <v>0</v>
      </c>
      <c r="AJ1837"/>
      <c r="AK1837" t="inlineStr">
        <is>
          <t>No, I don't need at all</t>
        </is>
      </c>
      <c r="AL1837">
        <v>0</v>
      </c>
      <c r="AM1837" t="inlineStr">
        <is>
          <t>No, I don't need at all</t>
        </is>
      </c>
      <c r="AN1837"/>
      <c r="AO1837" t="inlineStr">
        <is>
          <t>No, I don't need at all</t>
        </is>
      </c>
      <c r="AP1837" t="inlineStr">
        <is>
          <t>Once a year (25%)</t>
        </is>
      </c>
      <c r="AQ1837">
        <v>2</v>
      </c>
      <c r="AR1837" t="inlineStr">
        <is>
          <t>Jobstreet</t>
        </is>
      </c>
      <c r="AS1837" t="inlineStr">
        <is>
          <t>- Headcount: 2
- Hiring Job Details: 2 video editors
- Hiring Urgency: Hiring Now
- Number of outlets: Not specified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t>
        </is>
      </c>
      <c r="AT1837">
        <v>110</v>
      </c>
      <c r="AU1837" t="inlineStr">
        <is>
          <t>1.10</t>
        </is>
      </c>
      <c r="AV1837" t="inlineStr">
        <is>
          <t>15</t>
        </is>
      </c>
      <c r="AW1837" t="inlineStr">
        <is>
          <t>0</t>
        </is>
      </c>
      <c r="AX1837" t="inlineStr">
        <is>
          <t>Not Qualified</t>
        </is>
      </c>
      <c r="AY1837" s="4"/>
      <c r="AZ1837"/>
      <c r="BA1837"/>
      <c r="BB1837"/>
      <c r="BC1837"/>
      <c r="BD1837" s="4"/>
      <c r="BE1837"/>
      <c r="BF1837"/>
      <c r="BG1837" t="inlineStr">
        <is>
          <t>Reschedule</t>
        </is>
      </c>
      <c r="BH1837" t="inlineStr">
        <is>
          <t>Yee Hang</t>
        </is>
      </c>
      <c r="BI1837"/>
      <c r="BJ1837" s="4">
        <v>46144.75581018518</v>
      </c>
      <c r="BK1837" s="4">
        <v>46123.483125</v>
      </c>
      <c r="BL1837" t="inlineStr">
        <is>
          <t>0.0</t>
        </is>
      </c>
      <c r="BM1837" t="inlineStr">
        <is>
          <t>0.0</t>
        </is>
      </c>
      <c r="BN1837"/>
      <c r="BO1837" s="4"/>
      <c r="BP1837">
        <v>166803</v>
      </c>
      <c r="BQ1837"/>
      <c r="BR1837"/>
      <c r="BS1837"/>
      <c r="BT1837"/>
      <c r="BU1837"/>
      <c r="BV1837"/>
      <c r="BW1837"/>
      <c r="BX1837"/>
      <c r="BY1837"/>
      <c r="BZ1837" s="4"/>
      <c r="CA1837"/>
      <c r="CB1837"/>
      <c r="CC1837" s="4"/>
      <c r="CD1837" t="inlineStr">
        <is>
          <t>20</t>
        </is>
      </c>
      <c r="CE1837" t="inlineStr">
        <is>
          <t>0</t>
        </is>
      </c>
      <c r="CF1837" t="inlineStr">
        <is>
          <t>Q2-W02</t>
        </is>
      </c>
      <c r="CG1837"/>
      <c r="CH1837"/>
      <c r="CI1837"/>
      <c r="CJ1837" t="inlineStr">
        <is>
          <t>No Paid</t>
        </is>
      </c>
      <c r="CK1837" t="inlineStr">
        <is>
          <t>Not Eligible</t>
        </is>
      </c>
      <c r="CL1837"/>
      <c r="CM1837"/>
    </row>
    <row r="1838" ht="25.5" customHeight="1">
      <c r="A1838" t="inlineStr">
        <is>
          <t>4276600</t>
        </is>
      </c>
      <c r="B1838" s="2"/>
      <c r="C1838"/>
      <c r="D1838" s="3">
        <v>46125.660462962966</v>
      </c>
      <c r="E1838" t="inlineStr">
        <is>
          <t>Q2-W02</t>
        </is>
      </c>
      <c r="F1838" t="inlineStr">
        <is>
          <t>Luqman</t>
        </is>
      </c>
      <c r="G1838" t="inlineStr">
        <is>
          <t>Lead</t>
        </is>
      </c>
      <c r="H1838" s="2" t="str">
        <f>=HYPERLINK("https://upbox.ajobthing.my/leads/4276600", "https://upbox.ajobthing.my/leads/4276600")</f>
        <v>https://upbox.ajobthing.my/leads/4276600</v>
      </c>
      <c r="I1838" t="inlineStr">
        <is>
          <t>Eduwis Preschool Oasis Ara Damansara</t>
        </is>
      </c>
      <c r="J1838" t="inlineStr">
        <is>
          <t>Small Fish</t>
        </is>
      </c>
      <c r="K1838" t="inlineStr">
        <is>
          <t>Luqman</t>
        </is>
      </c>
      <c r="L1838" s="4"/>
      <c r="M1838" s="4">
        <v>46125.66085648148</v>
      </c>
      <c r="N1838"/>
      <c r="O1838">
        <v>1296</v>
      </c>
      <c r="P1838" s="4"/>
      <c r="Q1838" s="4"/>
      <c r="R1838"/>
      <c r="S1838"/>
      <c r="T1838" s="4"/>
      <c r="U1838" s="4"/>
      <c r="V1838"/>
      <c r="W1838"/>
      <c r="X1838"/>
      <c r="Y1838" t="inlineStr">
        <is>
          <t>Pending Appointment</t>
        </is>
      </c>
      <c r="Z1838" t="inlineStr">
        <is>
          <t>Hiring Later</t>
        </is>
      </c>
      <c r="AA1838">
        <v>1</v>
      </c>
      <c r="AB1838" t="inlineStr">
        <is>
          <t>No Appointment Made</t>
        </is>
      </c>
      <c r="AC1838"/>
      <c r="AD1838" t="inlineStr">
        <is>
          <t xml:space="preserve">1. Teacher </t>
        </is>
      </c>
      <c r="AE1838"/>
      <c r="AF1838">
        <v>1200</v>
      </c>
      <c r="AG1838" s="4"/>
      <c r="AH1838" s="4"/>
      <c r="AI1838">
        <v>1200</v>
      </c>
      <c r="AJ1838"/>
      <c r="AK1838" t="inlineStr">
        <is>
          <t>No, I don't need at all</t>
        </is>
      </c>
      <c r="AL1838">
        <v>1</v>
      </c>
      <c r="AM1838" t="inlineStr">
        <is>
          <t>No, I don't need at all</t>
        </is>
      </c>
      <c r="AN1838"/>
      <c r="AO1838" t="inlineStr">
        <is>
          <t>Yes, I have</t>
        </is>
      </c>
      <c r="AP1838" t="inlineStr">
        <is>
          <t>Once a year (25%)</t>
        </is>
      </c>
      <c r="AQ1838">
        <v>1</v>
      </c>
      <c r="AR1838" t="inlineStr">
        <is>
          <t>Free Job Portal</t>
        </is>
      </c>
      <c r="AS1838" t="inlineStr">
        <is>
          <t>- Headcount: 1
- Hiring Job Details: 1 Teacher
- Hiring Urgency: Hiring Later
- Number of outlets: 
- Have recruiter team: No, I don't need at all
- Number of recruiter in company: 1
- Have ATS system: No, I don't need at all
- Have career website: Yes, I have
- Current hiring budget: RM1,200
- Whole year budget: RM1,200.00
- Whole year number of vacancies: 1
- Hiring frequency: Once a year (25%)
- External job portal: Free Job Portal</t>
        </is>
      </c>
      <c r="AT1838">
        <v>115</v>
      </c>
      <c r="AU1838" t="inlineStr">
        <is>
          <t>1.15</t>
        </is>
      </c>
      <c r="AV1838" t="inlineStr">
        <is>
          <t>15</t>
        </is>
      </c>
      <c r="AW1838" t="inlineStr">
        <is>
          <t>0</t>
        </is>
      </c>
      <c r="AX1838" t="inlineStr">
        <is>
          <t>Not Qualified</t>
        </is>
      </c>
      <c r="AY1838" s="4"/>
      <c r="AZ1838"/>
      <c r="BA1838"/>
      <c r="BB1838"/>
      <c r="BC1838"/>
      <c r="BD1838" s="4"/>
      <c r="BE1838"/>
      <c r="BF1838"/>
      <c r="BG1838" t="inlineStr">
        <is>
          <t>Reschedule</t>
        </is>
      </c>
      <c r="BH1838" t="inlineStr">
        <is>
          <t>Edward Hoo</t>
        </is>
      </c>
      <c r="BI1838"/>
      <c r="BJ1838" s="4">
        <v>46144.75581018518</v>
      </c>
      <c r="BK1838" s="4">
        <v>46125.60086805555</v>
      </c>
      <c r="BL1838" t="inlineStr">
        <is>
          <t>0.0</t>
        </is>
      </c>
      <c r="BM1838" t="inlineStr">
        <is>
          <t>0.0</t>
        </is>
      </c>
      <c r="BN1838"/>
      <c r="BO1838" s="4"/>
      <c r="BP1838">
        <v>166811</v>
      </c>
      <c r="BQ1838"/>
      <c r="BR1838"/>
      <c r="BS1838"/>
      <c r="BT1838"/>
      <c r="BU1838"/>
      <c r="BV1838"/>
      <c r="BW1838"/>
      <c r="BX1838"/>
      <c r="BY1838"/>
      <c r="BZ1838" s="4"/>
      <c r="CA1838"/>
      <c r="CB1838"/>
      <c r="CC1838" s="4"/>
      <c r="CD1838" t="inlineStr">
        <is>
          <t>20</t>
        </is>
      </c>
      <c r="CE1838" t="inlineStr">
        <is>
          <t>0</t>
        </is>
      </c>
      <c r="CF1838" t="inlineStr">
        <is>
          <t>Q2-W02</t>
        </is>
      </c>
      <c r="CG1838"/>
      <c r="CH1838"/>
      <c r="CI1838"/>
      <c r="CJ1838" t="inlineStr">
        <is>
          <t>No Paid</t>
        </is>
      </c>
      <c r="CK1838" t="inlineStr">
        <is>
          <t>Not Eligible</t>
        </is>
      </c>
      <c r="CL1838"/>
      <c r="CM1838"/>
    </row>
    <row r="1839" ht="25.5" customHeight="1">
      <c r="A1839" t="inlineStr">
        <is>
          <t>177866</t>
        </is>
      </c>
      <c r="B1839" s="2"/>
      <c r="C1839"/>
      <c r="D1839" s="3">
        <v>46125.66525462963</v>
      </c>
      <c r="E1839" t="inlineStr">
        <is>
          <t>Q2-W02</t>
        </is>
      </c>
      <c r="F1839" t="inlineStr">
        <is>
          <t>Xin Quan</t>
        </is>
      </c>
      <c r="G1839" t="inlineStr">
        <is>
          <t>Customer</t>
        </is>
      </c>
      <c r="H1839" s="2" t="str">
        <f>=HYPERLINK("https://upbox.ajobthing.my/customer/177866", "https://upbox.ajobthing.my/customer/177866")</f>
        <v>https://upbox.ajobthing.my/customer/177866</v>
      </c>
      <c r="I1839" t="inlineStr">
        <is>
          <t>FBS Realty</t>
        </is>
      </c>
      <c r="J1839" t="inlineStr">
        <is>
          <t>Small Fish</t>
        </is>
      </c>
      <c r="K1839" t="inlineStr">
        <is>
          <t>Xin Quan</t>
        </is>
      </c>
      <c r="L1839" s="4"/>
      <c r="M1839" s="4">
        <v>46125.66539351852</v>
      </c>
      <c r="N1839"/>
      <c r="O1839">
        <v>1296</v>
      </c>
      <c r="P1839" s="4"/>
      <c r="Q1839" s="4">
        <v>45428.53219907408</v>
      </c>
      <c r="R1839"/>
      <c r="S1839">
        <v>540</v>
      </c>
      <c r="T1839" s="4">
        <v>45428.53219907408</v>
      </c>
      <c r="U1839" s="4"/>
      <c r="V1839"/>
      <c r="W1839">
        <v>540</v>
      </c>
      <c r="X1839"/>
      <c r="Y1839" t="inlineStr">
        <is>
          <t>Pending Appointment</t>
        </is>
      </c>
      <c r="Z1839" t="inlineStr">
        <is>
          <t>Hiring Now</t>
        </is>
      </c>
      <c r="AA1839">
        <v>1</v>
      </c>
      <c r="AB1839" t="inlineStr">
        <is>
          <t>No Appointment Made</t>
        </is>
      </c>
      <c r="AC1839"/>
      <c r="AD1839" t="inlineStr">
        <is>
          <t>1 Intern , Base in KL</t>
        </is>
      </c>
      <c r="AE1839"/>
      <c r="AF1839">
        <v>2000</v>
      </c>
      <c r="AG1839" s="4"/>
      <c r="AH1839" s="4"/>
      <c r="AI1839">
        <v>24000</v>
      </c>
      <c r="AJ1839">
        <v>1</v>
      </c>
      <c r="AK1839"/>
      <c r="AL1839"/>
      <c r="AM1839"/>
      <c r="AN1839"/>
      <c r="AO1839"/>
      <c r="AP1839"/>
      <c r="AQ1839">
        <v>1</v>
      </c>
      <c r="AR1839"/>
      <c r="AS1839" t="inlineStr">
        <is>
          <t>- Headcount: 1
- Hiring Job Details: 1 Intern,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839">
        <v>75</v>
      </c>
      <c r="AU1839" t="inlineStr">
        <is>
          <t>0.75</t>
        </is>
      </c>
      <c r="AV1839" t="inlineStr">
        <is>
          <t>15</t>
        </is>
      </c>
      <c r="AW1839" t="inlineStr">
        <is>
          <t>0</t>
        </is>
      </c>
      <c r="AX1839" t="inlineStr">
        <is>
          <t>Not Qualified</t>
        </is>
      </c>
      <c r="AY1839" s="4"/>
      <c r="AZ1839"/>
      <c r="BA1839"/>
      <c r="BB1839"/>
      <c r="BC1839" t="inlineStr">
        <is>
          <t>Clear status , NH</t>
        </is>
      </c>
      <c r="BD1839" s="4">
        <v>46126.44561342592</v>
      </c>
      <c r="BE1839" t="inlineStr">
        <is>
          <t>paid</t>
        </is>
      </c>
      <c r="BF1839"/>
      <c r="BG1839" t="inlineStr">
        <is>
          <t>Reschedule</t>
        </is>
      </c>
      <c r="BH1839" t="inlineStr">
        <is>
          <t>Edward Hoo</t>
        </is>
      </c>
      <c r="BI1839" t="inlineStr">
        <is>
          <t>Property / Real Estate</t>
        </is>
      </c>
      <c r="BJ1839" s="4">
        <v>46144.75171296296</v>
      </c>
      <c r="BK1839" s="4">
        <v>45412.541921296295</v>
      </c>
      <c r="BL1839" t="inlineStr">
        <is>
          <t>0.0</t>
        </is>
      </c>
      <c r="BM1839" t="inlineStr">
        <is>
          <t>600.0</t>
        </is>
      </c>
      <c r="BN1839" t="inlineStr">
        <is>
          <t>View Company Page</t>
        </is>
      </c>
      <c r="BO1839" s="4">
        <v>45513.48349537037</v>
      </c>
      <c r="BP1839">
        <v>166812</v>
      </c>
      <c r="BQ1839">
        <v>69222</v>
      </c>
      <c r="BR1839" t="inlineStr">
        <is>
          <t>Online</t>
        </is>
      </c>
      <c r="BS1839"/>
      <c r="BT1839">
        <v>69222</v>
      </c>
      <c r="BU1839"/>
      <c r="BV1839">
        <v>2702723</v>
      </c>
      <c r="BW1839" t="inlineStr">
        <is>
          <t>No Answer : Voicemail - WA sent to customer</t>
        </is>
      </c>
      <c r="BX1839"/>
      <c r="BY1839"/>
      <c r="BZ1839" s="4"/>
      <c r="CA1839"/>
      <c r="CB1839"/>
      <c r="CC1839" s="4"/>
      <c r="CD1839" t="inlineStr">
        <is>
          <t>20</t>
        </is>
      </c>
      <c r="CE1839" t="inlineStr">
        <is>
          <t>0</t>
        </is>
      </c>
      <c r="CF1839" t="inlineStr">
        <is>
          <t>Q2-W02</t>
        </is>
      </c>
      <c r="CG1839"/>
      <c r="CH1839"/>
      <c r="CI1839"/>
      <c r="CJ1839" t="inlineStr">
        <is>
          <t>Paid</t>
        </is>
      </c>
      <c r="CK1839" t="inlineStr">
        <is>
          <t>Not Eligible</t>
        </is>
      </c>
      <c r="CL1839"/>
      <c r="CM1839"/>
    </row>
    <row r="1840" ht="25.5" customHeight="1">
      <c r="A1840" t="inlineStr">
        <is>
          <t>130483</t>
        </is>
      </c>
      <c r="B1840" s="2"/>
      <c r="C1840"/>
      <c r="D1840" s="3">
        <v>46125.666446759256</v>
      </c>
      <c r="E1840" t="inlineStr">
        <is>
          <t>Q2-W02</t>
        </is>
      </c>
      <c r="F1840" t="inlineStr">
        <is>
          <t>Clover</t>
        </is>
      </c>
      <c r="G1840" t="inlineStr">
        <is>
          <t>Customer</t>
        </is>
      </c>
      <c r="H1840" s="2" t="str">
        <f>=HYPERLINK("https://upbox.ajobthing.my/customer/130483", "https://upbox.ajobthing.my/customer/130483")</f>
        <v>https://upbox.ajobthing.my/customer/130483</v>
      </c>
      <c r="I1840" t="inlineStr">
        <is>
          <t>Ampco</t>
        </is>
      </c>
      <c r="J1840" t="inlineStr">
        <is>
          <t>Small Fish</t>
        </is>
      </c>
      <c r="K1840" t="inlineStr">
        <is>
          <t>Clover</t>
        </is>
      </c>
      <c r="L1840" s="4"/>
      <c r="M1840" s="4">
        <v>46125.671261574076</v>
      </c>
      <c r="N1840"/>
      <c r="O1840">
        <v>3888</v>
      </c>
      <c r="P1840" s="4"/>
      <c r="Q1840" s="4">
        <v>46121.8875</v>
      </c>
      <c r="R1840"/>
      <c r="S1840">
        <v>0</v>
      </c>
      <c r="T1840" s="4">
        <v>45093.52297453704</v>
      </c>
      <c r="U1840" s="4"/>
      <c r="V1840"/>
      <c r="W1840">
        <v>636</v>
      </c>
      <c r="X1840"/>
      <c r="Y1840" t="inlineStr">
        <is>
          <t>Pending Appointment</t>
        </is>
      </c>
      <c r="Z1840" t="inlineStr">
        <is>
          <t>Hiring Now</t>
        </is>
      </c>
      <c r="AA1840">
        <v>1</v>
      </c>
      <c r="AB1840" t="inlineStr">
        <is>
          <t>No Appointment Made</t>
        </is>
      </c>
      <c r="AC1840"/>
      <c r="AD1840" t="inlineStr">
        <is>
          <t>Contact - 6019-3213992 , prefer Email - amirah@amirahmpco.com , hire social media marketing x1, all races, lawyer firm, johor</t>
        </is>
      </c>
      <c r="AE1840"/>
      <c r="AF1840">
        <v>3000</v>
      </c>
      <c r="AG1840" s="4"/>
      <c r="AH1840" s="4"/>
      <c r="AI1840">
        <v>3000</v>
      </c>
      <c r="AJ1840">
        <v>1</v>
      </c>
      <c r="AK1840" t="inlineStr">
        <is>
          <t>No, but I want in future</t>
        </is>
      </c>
      <c r="AL1840">
        <v>1</v>
      </c>
      <c r="AM1840" t="inlineStr">
        <is>
          <t>No, but I want in future</t>
        </is>
      </c>
      <c r="AN1840"/>
      <c r="AO1840" t="inlineStr">
        <is>
          <t>No, but I want in future</t>
        </is>
      </c>
      <c r="AP1840" t="inlineStr">
        <is>
          <t>Twice a year (50%)</t>
        </is>
      </c>
      <c r="AQ1840">
        <v>1</v>
      </c>
      <c r="AR1840" t="inlineStr">
        <is>
          <t>Did not use any job portal</t>
        </is>
      </c>
      <c r="AS1840" t="inlineStr">
        <is>
          <t>- Headcount: 1
- Hiring Job Details: 1 social media marketing, lawyer firm (Johor), contact 6019-3213992, preferred email amirah@amirahmpco.com, all races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1840">
        <v>115</v>
      </c>
      <c r="AU1840" t="inlineStr">
        <is>
          <t>1.15</t>
        </is>
      </c>
      <c r="AV1840" t="inlineStr">
        <is>
          <t>15</t>
        </is>
      </c>
      <c r="AW1840" t="inlineStr">
        <is>
          <t>0</t>
        </is>
      </c>
      <c r="AX1840" t="inlineStr">
        <is>
          <t>Not Qualified</t>
        </is>
      </c>
      <c r="AY1840" s="4"/>
      <c r="AZ1840"/>
      <c r="BA1840"/>
      <c r="BB1840"/>
      <c r="BC1840" t="inlineStr">
        <is>
          <t>pending decision frm management</t>
        </is>
      </c>
      <c r="BD1840" s="4">
        <v>46133.692395833335</v>
      </c>
      <c r="BE1840" t="inlineStr">
        <is>
          <t>paid</t>
        </is>
      </c>
      <c r="BF1840"/>
      <c r="BG1840" t="inlineStr">
        <is>
          <t>Reschedule</t>
        </is>
      </c>
      <c r="BH1840" t="inlineStr">
        <is>
          <t>Reagen</t>
        </is>
      </c>
      <c r="BI1840" t="inlineStr">
        <is>
          <t>Law / Legal</t>
        </is>
      </c>
      <c r="BJ1840" s="4">
        <v>46144.750451388885</v>
      </c>
      <c r="BK1840" s="4">
        <v>44103.75766203704</v>
      </c>
      <c r="BL1840" t="inlineStr">
        <is>
          <t>0.0</t>
        </is>
      </c>
      <c r="BM1840" t="inlineStr">
        <is>
          <t>0.0</t>
        </is>
      </c>
      <c r="BN1840" t="inlineStr">
        <is>
          <t>View Company Page</t>
        </is>
      </c>
      <c r="BO1840" s="4">
        <v>46125.62782407407</v>
      </c>
      <c r="BP1840">
        <v>166817</v>
      </c>
      <c r="BQ1840">
        <v>121423</v>
      </c>
      <c r="BR1840" t="inlineStr">
        <is>
          <t>Proforma</t>
        </is>
      </c>
      <c r="BS1840" t="inlineStr">
        <is>
          <t>Free Part-Time Job</t>
        </is>
      </c>
      <c r="BT1840">
        <v>59698</v>
      </c>
      <c r="BU1840"/>
      <c r="BV1840">
        <v>2718861</v>
      </c>
      <c r="BW1840" t="inlineStr">
        <is>
          <t>Follow Up : Decision Pending</t>
        </is>
      </c>
      <c r="BX1840"/>
      <c r="BY1840"/>
      <c r="BZ1840" s="4"/>
      <c r="CA1840"/>
      <c r="CB1840"/>
      <c r="CC1840" s="4"/>
      <c r="CD1840" t="inlineStr">
        <is>
          <t>20</t>
        </is>
      </c>
      <c r="CE1840" t="inlineStr">
        <is>
          <t>0</t>
        </is>
      </c>
      <c r="CF1840" t="inlineStr">
        <is>
          <t>Q2-W02</t>
        </is>
      </c>
      <c r="CG1840" t="inlineStr">
        <is>
          <t>Q2-W01</t>
        </is>
      </c>
      <c r="CH1840"/>
      <c r="CI1840"/>
      <c r="CJ1840" t="inlineStr">
        <is>
          <t>Paid</t>
        </is>
      </c>
      <c r="CK1840" t="inlineStr">
        <is>
          <t>Not Eligible</t>
        </is>
      </c>
      <c r="CL1840"/>
      <c r="CM1840"/>
    </row>
    <row r="1841" ht="25.5" customHeight="1">
      <c r="A1841" t="inlineStr">
        <is>
          <t>202848</t>
        </is>
      </c>
      <c r="B1841" s="2"/>
      <c r="C1841"/>
      <c r="D1841" s="3">
        <v>46125.66768518519</v>
      </c>
      <c r="E1841" t="inlineStr">
        <is>
          <t>Q2-W02</t>
        </is>
      </c>
      <c r="F1841" t="inlineStr">
        <is>
          <t>Luqman</t>
        </is>
      </c>
      <c r="G1841" t="inlineStr">
        <is>
          <t>Customer</t>
        </is>
      </c>
      <c r="H1841" s="2" t="str">
        <f>=HYPERLINK("https://upbox.ajobthing.my/customer/202848", "https://upbox.ajobthing.my/customer/202848")</f>
        <v>https://upbox.ajobthing.my/customer/202848</v>
      </c>
      <c r="I1841" t="inlineStr">
        <is>
          <t>Yew Sow Wah</t>
        </is>
      </c>
      <c r="J1841" t="inlineStr">
        <is>
          <t>Small Fish</t>
        </is>
      </c>
      <c r="K1841" t="inlineStr">
        <is>
          <t>Luqman</t>
        </is>
      </c>
      <c r="L1841" s="4"/>
      <c r="M1841" s="4">
        <v>46121.45349537037</v>
      </c>
      <c r="N1841"/>
      <c r="O1841">
        <v>1512</v>
      </c>
      <c r="P1841" s="4"/>
      <c r="Q1841" s="4">
        <v>46140.39460648148</v>
      </c>
      <c r="R1841"/>
      <c r="S1841">
        <v>864</v>
      </c>
      <c r="T1841" s="4">
        <v>46140.39460648148</v>
      </c>
      <c r="U1841" s="4"/>
      <c r="V1841"/>
      <c r="W1841">
        <v>864</v>
      </c>
      <c r="X1841"/>
      <c r="Y1841" t="inlineStr">
        <is>
          <t>Pending Appointment</t>
        </is>
      </c>
      <c r="Z1841" t="inlineStr">
        <is>
          <t>Hiring Later</t>
        </is>
      </c>
      <c r="AA1841">
        <v>1</v>
      </c>
      <c r="AB1841" t="inlineStr">
        <is>
          <t>No Appointment Made</t>
        </is>
      </c>
      <c r="AC1841"/>
      <c r="AD1841" t="inlineStr">
        <is>
          <t xml:space="preserve">1. Driver </t>
        </is>
      </c>
      <c r="AE1841"/>
      <c r="AF1841">
        <v>800</v>
      </c>
      <c r="AG1841" s="4"/>
      <c r="AH1841" s="4"/>
      <c r="AI1841">
        <v>800</v>
      </c>
      <c r="AJ1841"/>
      <c r="AK1841" t="inlineStr">
        <is>
          <t>No, I don't need at all</t>
        </is>
      </c>
      <c r="AL1841">
        <v>1</v>
      </c>
      <c r="AM1841" t="inlineStr">
        <is>
          <t>No, I don't need at all</t>
        </is>
      </c>
      <c r="AN1841"/>
      <c r="AO1841" t="inlineStr">
        <is>
          <t>No, I don't need at all</t>
        </is>
      </c>
      <c r="AP1841" t="inlineStr">
        <is>
          <t>Once a year (25%)</t>
        </is>
      </c>
      <c r="AQ1841">
        <v>1</v>
      </c>
      <c r="AR1841" t="inlineStr">
        <is>
          <t>Did not use any job portal</t>
        </is>
      </c>
      <c r="AS1841" t="inlineStr">
        <is>
          <t>- Headcount: 1
- Hiring Job Details: 1 Driver
- Hiring Urgency: Hiring Later
- Number of outlets: Not provided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Did not use any job portal</t>
        </is>
      </c>
      <c r="AT1841">
        <v>110</v>
      </c>
      <c r="AU1841" t="inlineStr">
        <is>
          <t>1.10</t>
        </is>
      </c>
      <c r="AV1841" t="inlineStr">
        <is>
          <t>15</t>
        </is>
      </c>
      <c r="AW1841" t="inlineStr">
        <is>
          <t>0</t>
        </is>
      </c>
      <c r="AX1841" t="inlineStr">
        <is>
          <t>Not Qualified</t>
        </is>
      </c>
      <c r="AY1841" s="4"/>
      <c r="AZ1841"/>
      <c r="BA1841"/>
      <c r="BB1841"/>
      <c r="BC1841" t="inlineStr">
        <is>
          <t>Whatsapp video call navigating system interface</t>
        </is>
      </c>
      <c r="BD1841" s="4">
        <v>46142.39108796296</v>
      </c>
      <c r="BE1841" t="inlineStr">
        <is>
          <t>paid</t>
        </is>
      </c>
      <c r="BF1841" t="inlineStr">
        <is>
          <t>Q2-W04</t>
        </is>
      </c>
      <c r="BG1841" t="inlineStr">
        <is>
          <t>Reschedule</t>
        </is>
      </c>
      <c r="BH1841" t="inlineStr">
        <is>
          <t>Edward Hoo</t>
        </is>
      </c>
      <c r="BI1841"/>
      <c r="BJ1841" s="4">
        <v>46144.75414351852</v>
      </c>
      <c r="BK1841" s="4">
        <v>46118.51215277778</v>
      </c>
      <c r="BL1841" t="inlineStr">
        <is>
          <t>864.0</t>
        </is>
      </c>
      <c r="BM1841" t="inlineStr">
        <is>
          <t>0.0</t>
        </is>
      </c>
      <c r="BN1841" t="inlineStr">
        <is>
          <t>PA Visit - Job Card</t>
        </is>
      </c>
      <c r="BO1841" s="4">
        <v>46144.60306712963</v>
      </c>
      <c r="BP1841">
        <v>166124</v>
      </c>
      <c r="BQ1841">
        <v>94852</v>
      </c>
      <c r="BR1841" t="inlineStr">
        <is>
          <t>Online</t>
        </is>
      </c>
      <c r="BS1841"/>
      <c r="BT1841">
        <v>94852</v>
      </c>
      <c r="BU1841"/>
      <c r="BV1841">
        <v>2736459</v>
      </c>
      <c r="BW1841" t="inlineStr">
        <is>
          <t>Service / Technical : Help To Post Job</t>
        </is>
      </c>
      <c r="BX1841">
        <v>2</v>
      </c>
      <c r="BY1841">
        <v>0</v>
      </c>
      <c r="BZ1841" s="4">
        <v>46142.80459490741</v>
      </c>
      <c r="CA1841">
        <v>10</v>
      </c>
      <c r="CB1841">
        <v>10</v>
      </c>
      <c r="CC1841" s="4"/>
      <c r="CD1841" t="inlineStr">
        <is>
          <t>20</t>
        </is>
      </c>
      <c r="CE1841" t="inlineStr">
        <is>
          <t>0</t>
        </is>
      </c>
      <c r="CF1841" t="inlineStr">
        <is>
          <t>Q2-W01</t>
        </is>
      </c>
      <c r="CG1841" t="inlineStr">
        <is>
          <t>Q2-W04</t>
        </is>
      </c>
      <c r="CH1841" t="inlineStr">
        <is>
          <t>Q2-W04</t>
        </is>
      </c>
      <c r="CI1841"/>
      <c r="CJ1841" t="inlineStr">
        <is>
          <t>Paid</t>
        </is>
      </c>
      <c r="CK1841" t="inlineStr">
        <is>
          <t>Not Eligible</t>
        </is>
      </c>
      <c r="CL1841"/>
      <c r="CM1841"/>
    </row>
    <row r="1842" ht="25.5" customHeight="1">
      <c r="A1842" t="inlineStr">
        <is>
          <t>203176</t>
        </is>
      </c>
      <c r="B1842" s="2"/>
      <c r="C1842"/>
      <c r="D1842" s="3">
        <v>46125.689571759256</v>
      </c>
      <c r="E1842" t="inlineStr">
        <is>
          <t>Q2-W02</t>
        </is>
      </c>
      <c r="F1842" t="inlineStr">
        <is>
          <t>Keegan</t>
        </is>
      </c>
      <c r="G1842" t="inlineStr">
        <is>
          <t>Customer</t>
        </is>
      </c>
      <c r="H1842" s="2" t="str">
        <f>=HYPERLINK("https://upbox.ajobthing.my/customer/203176", "https://upbox.ajobthing.my/customer/203176")</f>
        <v>https://upbox.ajobthing.my/customer/203176</v>
      </c>
      <c r="I1842" t="inlineStr">
        <is>
          <t>Kobcard</t>
        </is>
      </c>
      <c r="J1842" t="inlineStr">
        <is>
          <t>Small Fish</t>
        </is>
      </c>
      <c r="K1842" t="inlineStr">
        <is>
          <t>Keegan</t>
        </is>
      </c>
      <c r="L1842" s="4"/>
      <c r="M1842" s="4">
        <v>46125.68975694444</v>
      </c>
      <c r="N1842"/>
      <c r="O1842">
        <v>4752</v>
      </c>
      <c r="P1842" s="4"/>
      <c r="Q1842" s="4">
        <v>46125.678298611114</v>
      </c>
      <c r="R1842"/>
      <c r="S1842">
        <v>0</v>
      </c>
      <c r="T1842" s="4"/>
      <c r="U1842" s="4"/>
      <c r="V1842"/>
      <c r="W1842"/>
      <c r="X1842"/>
      <c r="Y1842" t="inlineStr">
        <is>
          <t>Pending Appointment</t>
        </is>
      </c>
      <c r="Z1842" t="inlineStr">
        <is>
          <t>Continuous Hiring</t>
        </is>
      </c>
      <c r="AA1842">
        <v>1</v>
      </c>
      <c r="AB1842" t="inlineStr">
        <is>
          <t>No Appointment Made</t>
        </is>
      </c>
      <c r="AC1842"/>
      <c r="AD1842" t="inlineStr">
        <is>
          <t>1. Customer Service</t>
        </is>
      </c>
      <c r="AE1842"/>
      <c r="AF1842"/>
      <c r="AG1842" s="4"/>
      <c r="AH1842" s="4"/>
      <c r="AI1842"/>
      <c r="AJ1842">
        <v>1</v>
      </c>
      <c r="AK1842" t="inlineStr">
        <is>
          <t>No, I don't need at all</t>
        </is>
      </c>
      <c r="AL1842">
        <v>0</v>
      </c>
      <c r="AM1842" t="inlineStr">
        <is>
          <t>No, I don't need at all</t>
        </is>
      </c>
      <c r="AN1842"/>
      <c r="AO1842" t="inlineStr">
        <is>
          <t>No, I don't need at all</t>
        </is>
      </c>
      <c r="AP1842" t="inlineStr">
        <is>
          <t>Every month (100%)</t>
        </is>
      </c>
      <c r="AQ1842"/>
      <c r="AR1842" t="inlineStr">
        <is>
          <t>Did not use any job portal</t>
        </is>
      </c>
      <c r="AS1842" t="inlineStr">
        <is>
          <t>- Headcount: 1
- Hiring Job Details: 1 Customer Service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is>
      </c>
      <c r="AT1842">
        <v>95</v>
      </c>
      <c r="AU1842" t="inlineStr">
        <is>
          <t>0.95</t>
        </is>
      </c>
      <c r="AV1842" t="inlineStr">
        <is>
          <t>5</t>
        </is>
      </c>
      <c r="AW1842" t="inlineStr">
        <is>
          <t>0</t>
        </is>
      </c>
      <c r="AX1842" t="inlineStr">
        <is>
          <t>Not Qualified</t>
        </is>
      </c>
      <c r="AY1842" s="4"/>
      <c r="AZ1842"/>
      <c r="BA1842"/>
      <c r="BB1842"/>
      <c r="BC1842" t="inlineStr">
        <is>
          <t>Hiring plan postponed</t>
        </is>
      </c>
      <c r="BD1842" s="4">
        <v>46127.692708333336</v>
      </c>
      <c r="BE1842" t="inlineStr">
        <is>
          <t>paid</t>
        </is>
      </c>
      <c r="BF1842"/>
      <c r="BG1842" t="inlineStr">
        <is>
          <t>Reschedule</t>
        </is>
      </c>
      <c r="BH1842" t="inlineStr">
        <is>
          <t>Edward Hoo</t>
        </is>
      </c>
      <c r="BI1842"/>
      <c r="BJ1842" s="4">
        <v>46144.75423611111</v>
      </c>
      <c r="BK1842" s="4">
        <v>46125.6775</v>
      </c>
      <c r="BL1842" t="inlineStr">
        <is>
          <t>0.0</t>
        </is>
      </c>
      <c r="BM1842" t="inlineStr">
        <is>
          <t>0.0</t>
        </is>
      </c>
      <c r="BN1842" t="inlineStr">
        <is>
          <t>View Create Job Page V4</t>
        </is>
      </c>
      <c r="BO1842" s="4">
        <v>46125.68368055556</v>
      </c>
      <c r="BP1842">
        <v>166823</v>
      </c>
      <c r="BQ1842">
        <v>122065</v>
      </c>
      <c r="BR1842" t="inlineStr">
        <is>
          <t>Proforma</t>
        </is>
      </c>
      <c r="BS1842" t="inlineStr">
        <is>
          <t>Free Part-Time Job</t>
        </is>
      </c>
      <c r="BT1842"/>
      <c r="BU1842"/>
      <c r="BV1842">
        <v>2706608</v>
      </c>
      <c r="BW1842" t="inlineStr">
        <is>
          <t>Follow Up : Lost - Free Portal</t>
        </is>
      </c>
      <c r="BX1842"/>
      <c r="BY1842"/>
      <c r="BZ1842" s="4"/>
      <c r="CA1842"/>
      <c r="CB1842"/>
      <c r="CC1842" s="4"/>
      <c r="CD1842" t="inlineStr">
        <is>
          <t>5</t>
        </is>
      </c>
      <c r="CE1842" t="inlineStr">
        <is>
          <t>0</t>
        </is>
      </c>
      <c r="CF1842" t="inlineStr">
        <is>
          <t>Q2-W02</t>
        </is>
      </c>
      <c r="CG1842" t="inlineStr">
        <is>
          <t>Q2-W02</t>
        </is>
      </c>
      <c r="CH1842"/>
      <c r="CI1842"/>
      <c r="CJ1842" t="inlineStr">
        <is>
          <t>No Paid</t>
        </is>
      </c>
      <c r="CK1842" t="inlineStr">
        <is>
          <t>Not Eligible</t>
        </is>
      </c>
      <c r="CL1842"/>
      <c r="CM1842"/>
    </row>
    <row r="1843" ht="25.5" customHeight="1">
      <c r="A1843" t="inlineStr">
        <is>
          <t>4276939</t>
        </is>
      </c>
      <c r="B1843" s="2"/>
      <c r="C1843"/>
      <c r="D1843" s="3">
        <v>46125.69850694444</v>
      </c>
      <c r="E1843" t="inlineStr">
        <is>
          <t>Q2-W02</t>
        </is>
      </c>
      <c r="F1843" t="inlineStr">
        <is>
          <t>Carmen</t>
        </is>
      </c>
      <c r="G1843" t="inlineStr">
        <is>
          <t>Lead</t>
        </is>
      </c>
      <c r="H1843" s="2" t="str">
        <f>=HYPERLINK("https://upbox.ajobthing.my/leads/4276939", "https://upbox.ajobthing.my/leads/4276939")</f>
        <v>https://upbox.ajobthing.my/leads/4276939</v>
      </c>
      <c r="I1843" t="inlineStr">
        <is>
          <t>TY MANAGEMENT CONSULTANCY SOLUTION</t>
        </is>
      </c>
      <c r="J1843" t="inlineStr">
        <is>
          <t>Small Fish</t>
        </is>
      </c>
      <c r="K1843" t="inlineStr">
        <is>
          <t>Carmen</t>
        </is>
      </c>
      <c r="L1843" s="4"/>
      <c r="M1843" s="4">
        <v>46125.69865740741</v>
      </c>
      <c r="N1843"/>
      <c r="O1843">
        <v>3888</v>
      </c>
      <c r="P1843" s="4"/>
      <c r="Q1843" s="4"/>
      <c r="R1843"/>
      <c r="S1843"/>
      <c r="T1843" s="4"/>
      <c r="U1843" s="4"/>
      <c r="V1843"/>
      <c r="W1843"/>
      <c r="X1843"/>
      <c r="Y1843" t="inlineStr">
        <is>
          <t>Pending Appointment</t>
        </is>
      </c>
      <c r="Z1843" t="inlineStr">
        <is>
          <t>Hiring Later</t>
        </is>
      </c>
      <c r="AA1843">
        <v>3</v>
      </c>
      <c r="AB1843" t="inlineStr">
        <is>
          <t>No Appointment Made</t>
        </is>
      </c>
      <c r="AC1843"/>
      <c r="AD1843" t="inlineStr">
        <is>
          <t>3 telemarketer</t>
        </is>
      </c>
      <c r="AE1843"/>
      <c r="AF1843">
        <v>0</v>
      </c>
      <c r="AG1843" s="4"/>
      <c r="AH1843" s="4"/>
      <c r="AI1843"/>
      <c r="AJ1843"/>
      <c r="AK1843"/>
      <c r="AL1843"/>
      <c r="AM1843"/>
      <c r="AN1843"/>
      <c r="AO1843"/>
      <c r="AP1843"/>
      <c r="AQ1843"/>
      <c r="AR1843"/>
      <c r="AS1843" t="inlineStr">
        <is>
          <t>- Headcount: 3
- Hiring Job Details: 3 telemarketer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1843">
        <v>65</v>
      </c>
      <c r="AU1843" t="inlineStr">
        <is>
          <t>0.65</t>
        </is>
      </c>
      <c r="AV1843" t="inlineStr">
        <is>
          <t>15</t>
        </is>
      </c>
      <c r="AW1843" t="inlineStr">
        <is>
          <t>0</t>
        </is>
      </c>
      <c r="AX1843" t="inlineStr">
        <is>
          <t>Not Qualified</t>
        </is>
      </c>
      <c r="AY1843" s="4"/>
      <c r="AZ1843"/>
      <c r="BA1843"/>
      <c r="BB1843"/>
      <c r="BC1843"/>
      <c r="BD1843" s="4"/>
      <c r="BE1843"/>
      <c r="BF1843"/>
      <c r="BG1843" t="inlineStr">
        <is>
          <t>Reschedule</t>
        </is>
      </c>
      <c r="BH1843" t="inlineStr">
        <is>
          <t>Reagen</t>
        </is>
      </c>
      <c r="BI1843"/>
      <c r="BJ1843" s="4">
        <v>46144.75581018518</v>
      </c>
      <c r="BK1843" s="4">
        <v>46125.667916666665</v>
      </c>
      <c r="BL1843" t="inlineStr">
        <is>
          <t>0.0</t>
        </is>
      </c>
      <c r="BM1843" t="inlineStr">
        <is>
          <t>0.0</t>
        </is>
      </c>
      <c r="BN1843"/>
      <c r="BO1843" s="4"/>
      <c r="BP1843">
        <v>166828</v>
      </c>
      <c r="BQ1843"/>
      <c r="BR1843"/>
      <c r="BS1843"/>
      <c r="BT1843"/>
      <c r="BU1843"/>
      <c r="BV1843"/>
      <c r="BW1843"/>
      <c r="BX1843"/>
      <c r="BY1843"/>
      <c r="BZ1843" s="4"/>
      <c r="CA1843"/>
      <c r="CB1843"/>
      <c r="CC1843" s="4"/>
      <c r="CD1843" t="inlineStr">
        <is>
          <t>20</t>
        </is>
      </c>
      <c r="CE1843" t="inlineStr">
        <is>
          <t>0</t>
        </is>
      </c>
      <c r="CF1843" t="inlineStr">
        <is>
          <t>Q2-W02</t>
        </is>
      </c>
      <c r="CG1843"/>
      <c r="CH1843"/>
      <c r="CI1843"/>
      <c r="CJ1843" t="inlineStr">
        <is>
          <t>No Paid</t>
        </is>
      </c>
      <c r="CK1843" t="inlineStr">
        <is>
          <t>Not Eligible</t>
        </is>
      </c>
      <c r="CL1843"/>
      <c r="CM1843"/>
    </row>
    <row r="1844" ht="25.5" customHeight="1">
      <c r="A1844" t="inlineStr">
        <is>
          <t>203140</t>
        </is>
      </c>
      <c r="B1844" s="2"/>
      <c r="C1844"/>
      <c r="D1844" s="3">
        <v>46125.711539351854</v>
      </c>
      <c r="E1844" t="inlineStr">
        <is>
          <t>Q2-W02</t>
        </is>
      </c>
      <c r="F1844" t="inlineStr">
        <is>
          <t>Evan</t>
        </is>
      </c>
      <c r="G1844" t="inlineStr">
        <is>
          <t>Customer</t>
        </is>
      </c>
      <c r="H1844" s="2" t="str">
        <f>=HYPERLINK("https://upbox.ajobthing.my/customer/203140", "https://upbox.ajobthing.my/customer/203140")</f>
        <v>https://upbox.ajobthing.my/customer/203140</v>
      </c>
      <c r="I1844" t="inlineStr">
        <is>
          <t>Woodlands Pharmacy Bandar Utama</t>
        </is>
      </c>
      <c r="J1844" t="inlineStr">
        <is>
          <t>Small Fish</t>
        </is>
      </c>
      <c r="K1844" t="inlineStr">
        <is>
          <t>Evan</t>
        </is>
      </c>
      <c r="L1844" s="4"/>
      <c r="M1844" s="4">
        <v>46125.709085648145</v>
      </c>
      <c r="N1844"/>
      <c r="O1844">
        <v>3888</v>
      </c>
      <c r="P1844" s="4"/>
      <c r="Q1844" s="4">
        <v>46124.46226851852</v>
      </c>
      <c r="R1844"/>
      <c r="S1844">
        <v>0</v>
      </c>
      <c r="T1844" s="4"/>
      <c r="U1844" s="4"/>
      <c r="V1844"/>
      <c r="W1844"/>
      <c r="X1844"/>
      <c r="Y1844" t="inlineStr">
        <is>
          <t>Pending Appointment</t>
        </is>
      </c>
      <c r="Z1844" t="inlineStr">
        <is>
          <t>Hiring Now</t>
        </is>
      </c>
      <c r="AA1844">
        <v>1</v>
      </c>
      <c r="AB1844" t="inlineStr">
        <is>
          <t>No Appointment Made</t>
        </is>
      </c>
      <c r="AC1844"/>
      <c r="AD1844" t="inlineStr">
        <is>
          <t>1 dietician, all base in PJ</t>
        </is>
      </c>
      <c r="AE1844"/>
      <c r="AF1844">
        <v>1</v>
      </c>
      <c r="AG1844" s="4"/>
      <c r="AH1844" s="4"/>
      <c r="AI1844">
        <v>1</v>
      </c>
      <c r="AJ1844">
        <v>2</v>
      </c>
      <c r="AK1844" t="inlineStr">
        <is>
          <t>No, I don't need at all</t>
        </is>
      </c>
      <c r="AL1844">
        <v>0</v>
      </c>
      <c r="AM1844" t="inlineStr">
        <is>
          <t>No, I don't need at all</t>
        </is>
      </c>
      <c r="AN1844"/>
      <c r="AO1844" t="inlineStr">
        <is>
          <t>No, I don't need at all</t>
        </is>
      </c>
      <c r="AP1844" t="inlineStr">
        <is>
          <t>Once a year (25%)</t>
        </is>
      </c>
      <c r="AQ1844">
        <v>2</v>
      </c>
      <c r="AR1844" t="inlineStr">
        <is>
          <t>Did not use any job portal</t>
        </is>
      </c>
      <c r="AS1844" t="inlineStr">
        <is>
          <t>- Headcount: 1
- Hiring Job Details: 1 dietician, all base in PJ
- Hiring Urgency: Hiring Now
- Number of outlets: 2
- Have recruiter team: No, I don't need at all
- Number of recruiter in company: 0
- Have ATS system: No, I don't need at all
- Have career website: No, I don't need at all
- Current hiring budget: RM1.00
- Whole year budget: RM1.00
- Whole year number of vacancies: 2
- Hiring frequency: Once a year (25%)
- External job portal: Did not use any job portal</t>
        </is>
      </c>
      <c r="AT1844">
        <v>105</v>
      </c>
      <c r="AU1844" t="inlineStr">
        <is>
          <t>1.05</t>
        </is>
      </c>
      <c r="AV1844" t="inlineStr">
        <is>
          <t>15</t>
        </is>
      </c>
      <c r="AW1844" t="inlineStr">
        <is>
          <t>0</t>
        </is>
      </c>
      <c r="AX1844" t="inlineStr">
        <is>
          <t>Not Qualified</t>
        </is>
      </c>
      <c r="AY1844" s="4"/>
      <c r="AZ1844"/>
      <c r="BA1844"/>
      <c r="BB1844"/>
      <c r="BC1844" t="inlineStr">
        <is>
          <t>boss b next week</t>
        </is>
      </c>
      <c r="BD1844" s="4">
        <v>46134.61869212963</v>
      </c>
      <c r="BE1844" t="inlineStr">
        <is>
          <t>paid</t>
        </is>
      </c>
      <c r="BF1844"/>
      <c r="BG1844" t="inlineStr">
        <is>
          <t>Reschedule</t>
        </is>
      </c>
      <c r="BH1844" t="inlineStr">
        <is>
          <t>Edward Hoo</t>
        </is>
      </c>
      <c r="BI1844" t="inlineStr">
        <is>
          <t>Retail / Merchandise</t>
        </is>
      </c>
      <c r="BJ1844" s="4">
        <v>46144.75423611111</v>
      </c>
      <c r="BK1844" s="4">
        <v>46124.45574074074</v>
      </c>
      <c r="BL1844" t="inlineStr">
        <is>
          <t>0.0</t>
        </is>
      </c>
      <c r="BM1844" t="inlineStr">
        <is>
          <t>0.0</t>
        </is>
      </c>
      <c r="BN1844" t="inlineStr">
        <is>
          <t>View Jobmanager Page</t>
        </is>
      </c>
      <c r="BO1844" s="4">
        <v>46127.444247685184</v>
      </c>
      <c r="BP1844">
        <v>166835</v>
      </c>
      <c r="BQ1844">
        <v>121887</v>
      </c>
      <c r="BR1844" t="inlineStr">
        <is>
          <t>Proforma</t>
        </is>
      </c>
      <c r="BS1844" t="inlineStr">
        <is>
          <t>Free Part-Time Job</t>
        </is>
      </c>
      <c r="BT1844"/>
      <c r="BU1844"/>
      <c r="BV1844">
        <v>2720897</v>
      </c>
      <c r="BW1844" t="inlineStr">
        <is>
          <t>Follow Up : Decision Pending</t>
        </is>
      </c>
      <c r="BX1844"/>
      <c r="BY1844"/>
      <c r="BZ1844" s="4"/>
      <c r="CA1844"/>
      <c r="CB1844"/>
      <c r="CC1844" s="4"/>
      <c r="CD1844" t="inlineStr">
        <is>
          <t>20</t>
        </is>
      </c>
      <c r="CE1844" t="inlineStr">
        <is>
          <t>0</t>
        </is>
      </c>
      <c r="CF1844" t="inlineStr">
        <is>
          <t>Q2-W02</t>
        </is>
      </c>
      <c r="CG1844" t="inlineStr">
        <is>
          <t>Q2-W02</t>
        </is>
      </c>
      <c r="CH1844"/>
      <c r="CI1844"/>
      <c r="CJ1844" t="inlineStr">
        <is>
          <t>No Paid</t>
        </is>
      </c>
      <c r="CK1844" t="inlineStr">
        <is>
          <t>Not Eligible</t>
        </is>
      </c>
      <c r="CL1844"/>
      <c r="CM1844"/>
    </row>
    <row r="1845" ht="25.5" customHeight="1">
      <c r="A1845" t="inlineStr">
        <is>
          <t>12457</t>
        </is>
      </c>
      <c r="B1845" s="2"/>
      <c r="C1845"/>
      <c r="D1845" s="3">
        <v>46125.715</v>
      </c>
      <c r="E1845" t="inlineStr">
        <is>
          <t>Q2-W02</t>
        </is>
      </c>
      <c r="F1845" t="inlineStr">
        <is>
          <t>Lucas</t>
        </is>
      </c>
      <c r="G1845" t="inlineStr">
        <is>
          <t>Customer</t>
        </is>
      </c>
      <c r="H1845" s="2" t="str">
        <f>=HYPERLINK("https://upbox.ajobthing.my/customer/12457", "https://upbox.ajobthing.my/customer/12457")</f>
        <v>https://upbox.ajobthing.my/customer/12457</v>
      </c>
      <c r="I1845" t="inlineStr">
        <is>
          <t>Pusat Tuisyen Ara Didik Kreatif</t>
        </is>
      </c>
      <c r="J1845" t="inlineStr">
        <is>
          <t>Small Fish</t>
        </is>
      </c>
      <c r="K1845" t="inlineStr">
        <is>
          <t>Lucas</t>
        </is>
      </c>
      <c r="L1845" s="4"/>
      <c r="M1845" s="4">
        <v>46125.712476851855</v>
      </c>
      <c r="N1845"/>
      <c r="O1845">
        <v>3888</v>
      </c>
      <c r="P1845" s="4"/>
      <c r="Q1845" s="4">
        <v>45873.420590277776</v>
      </c>
      <c r="R1845"/>
      <c r="S1845">
        <v>648</v>
      </c>
      <c r="T1845" s="4">
        <v>45873.420590277776</v>
      </c>
      <c r="U1845" s="4"/>
      <c r="V1845"/>
      <c r="W1845">
        <v>648</v>
      </c>
      <c r="X1845"/>
      <c r="Y1845" t="inlineStr">
        <is>
          <t>Pending Appointment</t>
        </is>
      </c>
      <c r="Z1845" t="inlineStr">
        <is>
          <t>Hiring Now</t>
        </is>
      </c>
      <c r="AA1845">
        <v>3</v>
      </c>
      <c r="AB1845" t="inlineStr">
        <is>
          <t>No Appointment Made</t>
        </is>
      </c>
      <c r="AC1845"/>
      <c r="AD1845" t="inlineStr">
        <is>
          <t>1 teacher , 1 assistance , 1 admin</t>
        </is>
      </c>
      <c r="AE1845"/>
      <c r="AF1845">
        <v>0</v>
      </c>
      <c r="AG1845" s="4"/>
      <c r="AH1845" s="4"/>
      <c r="AI1845">
        <v>0</v>
      </c>
      <c r="AJ1845">
        <v>0</v>
      </c>
      <c r="AK1845" t="inlineStr">
        <is>
          <t>No, I don't need at all</t>
        </is>
      </c>
      <c r="AL1845">
        <v>0</v>
      </c>
      <c r="AM1845" t="inlineStr">
        <is>
          <t>No, I don't need at all</t>
        </is>
      </c>
      <c r="AN1845"/>
      <c r="AO1845" t="inlineStr">
        <is>
          <t>No, I don't need at all</t>
        </is>
      </c>
      <c r="AP1845" t="inlineStr">
        <is>
          <t>Once a year (25%)</t>
        </is>
      </c>
      <c r="AQ1845">
        <v>2</v>
      </c>
      <c r="AR1845" t="inlineStr">
        <is>
          <t>Did not use any job portal</t>
        </is>
      </c>
      <c r="AS1845" t="inlineStr">
        <is>
          <t>- Headcount: 3
- Hiring Job Details: 1 teacher, 1 assistant,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1845">
        <v>95</v>
      </c>
      <c r="AU1845" t="inlineStr">
        <is>
          <t>0.95</t>
        </is>
      </c>
      <c r="AV1845" t="inlineStr">
        <is>
          <t>15</t>
        </is>
      </c>
      <c r="AW1845" t="inlineStr">
        <is>
          <t>0</t>
        </is>
      </c>
      <c r="AX1845" t="inlineStr">
        <is>
          <t>Not Qualified</t>
        </is>
      </c>
      <c r="AY1845" s="4"/>
      <c r="AZ1845"/>
      <c r="BA1845"/>
      <c r="BB1845"/>
      <c r="BC1845" t="inlineStr">
        <is>
          <t>no feedback yet, anything will call me back</t>
        </is>
      </c>
      <c r="BD1845" s="4">
        <v>46129.49743055556</v>
      </c>
      <c r="BE1845" t="inlineStr">
        <is>
          <t>paid</t>
        </is>
      </c>
      <c r="BF1845"/>
      <c r="BG1845" t="inlineStr">
        <is>
          <t>Reschedule</t>
        </is>
      </c>
      <c r="BH1845" t="inlineStr">
        <is>
          <t>Yee Hang</t>
        </is>
      </c>
      <c r="BI1845" t="inlineStr">
        <is>
          <t>Education / Training</t>
        </is>
      </c>
      <c r="BJ1845" s="4">
        <v>46144.7503125</v>
      </c>
      <c r="BK1845" s="4">
        <v>42478.856527777774</v>
      </c>
      <c r="BL1845" t="inlineStr">
        <is>
          <t>648.0</t>
        </is>
      </c>
      <c r="BM1845" t="inlineStr">
        <is>
          <t>0.0</t>
        </is>
      </c>
      <c r="BN1845" t="inlineStr">
        <is>
          <t>View Company Page</t>
        </is>
      </c>
      <c r="BO1845" s="4">
        <v>46098.67732638889</v>
      </c>
      <c r="BP1845">
        <v>166836</v>
      </c>
      <c r="BQ1845">
        <v>81247</v>
      </c>
      <c r="BR1845" t="inlineStr">
        <is>
          <t>Online</t>
        </is>
      </c>
      <c r="BS1845"/>
      <c r="BT1845">
        <v>81247</v>
      </c>
      <c r="BU1845"/>
      <c r="BV1845">
        <v>2711697</v>
      </c>
      <c r="BW1845" t="inlineStr">
        <is>
          <t>Follow Up : Budget Concern</t>
        </is>
      </c>
      <c r="BX1845"/>
      <c r="BY1845"/>
      <c r="BZ1845" s="4"/>
      <c r="CA1845"/>
      <c r="CB1845"/>
      <c r="CC1845" s="4"/>
      <c r="CD1845" t="inlineStr">
        <is>
          <t>20</t>
        </is>
      </c>
      <c r="CE1845" t="inlineStr">
        <is>
          <t>0</t>
        </is>
      </c>
      <c r="CF1845" t="inlineStr">
        <is>
          <t>Q2-W02</t>
        </is>
      </c>
      <c r="CG1845"/>
      <c r="CH1845"/>
      <c r="CI1845"/>
      <c r="CJ1845" t="inlineStr">
        <is>
          <t>Paid</t>
        </is>
      </c>
      <c r="CK1845" t="inlineStr">
        <is>
          <t>Not Eligible</t>
        </is>
      </c>
      <c r="CL1845"/>
      <c r="CM1845"/>
    </row>
    <row r="1846" ht="25.5" customHeight="1">
      <c r="A1846" t="inlineStr">
        <is>
          <t>136003</t>
        </is>
      </c>
      <c r="B1846" s="2"/>
      <c r="C1846"/>
      <c r="D1846" s="3">
        <v>46125.72452546296</v>
      </c>
      <c r="E1846" t="inlineStr">
        <is>
          <t>Q2-W02</t>
        </is>
      </c>
      <c r="F1846" t="inlineStr">
        <is>
          <t>Jeff Lee</t>
        </is>
      </c>
      <c r="G1846" t="inlineStr">
        <is>
          <t>Customer</t>
        </is>
      </c>
      <c r="H1846" s="2" t="str">
        <f>=HYPERLINK("https://upbox.ajobthing.my/customer/136003", "https://upbox.ajobthing.my/customer/136003")</f>
        <v>https://upbox.ajobthing.my/customer/136003</v>
      </c>
      <c r="I1846" t="inlineStr">
        <is>
          <t>Broadway Power Sdn Bhd</t>
        </is>
      </c>
      <c r="J1846" t="inlineStr">
        <is>
          <t>Small Fish</t>
        </is>
      </c>
      <c r="K1846" t="inlineStr">
        <is>
          <t>Jeff Lee</t>
        </is>
      </c>
      <c r="L1846" s="4"/>
      <c r="M1846" s="4">
        <v>46135.45248842592</v>
      </c>
      <c r="N1846"/>
      <c r="O1846">
        <v>1296</v>
      </c>
      <c r="P1846" s="4"/>
      <c r="Q1846" s="4">
        <v>45726.71625</v>
      </c>
      <c r="R1846"/>
      <c r="S1846">
        <v>1080</v>
      </c>
      <c r="T1846" s="4"/>
      <c r="U1846" s="4"/>
      <c r="V1846"/>
      <c r="W1846"/>
      <c r="X1846"/>
      <c r="Y1846" t="inlineStr">
        <is>
          <t>Pending Appointment</t>
        </is>
      </c>
      <c r="Z1846" t="inlineStr">
        <is>
          <t>Hiring Now</t>
        </is>
      </c>
      <c r="AA1846">
        <v>1</v>
      </c>
      <c r="AB1846" t="inlineStr">
        <is>
          <t>No Appointment Made</t>
        </is>
      </c>
      <c r="AC1846"/>
      <c r="AD1846" t="inlineStr">
        <is>
          <t>1. General Clerk
2. 1 only</t>
        </is>
      </c>
      <c r="AE1846"/>
      <c r="AF1846">
        <v>0</v>
      </c>
      <c r="AG1846" s="4"/>
      <c r="AH1846" s="4"/>
      <c r="AI1846">
        <v>0</v>
      </c>
      <c r="AJ1846"/>
      <c r="AK1846" t="inlineStr">
        <is>
          <t>No, I don't need at all</t>
        </is>
      </c>
      <c r="AL1846">
        <v>0</v>
      </c>
      <c r="AM1846" t="inlineStr">
        <is>
          <t>No, I don't need at all</t>
        </is>
      </c>
      <c r="AN1846"/>
      <c r="AO1846" t="inlineStr">
        <is>
          <t>No, I don't need at all</t>
        </is>
      </c>
      <c r="AP1846" t="inlineStr">
        <is>
          <t>Once a year (25%)</t>
        </is>
      </c>
      <c r="AQ1846">
        <v>1</v>
      </c>
      <c r="AR1846" t="inlineStr">
        <is>
          <t>Free Job Portal</t>
        </is>
      </c>
      <c r="AS1846" t="inlineStr">
        <is>
          <t>- Headcount: 1
- Hiring Job Details: 1 General Clerk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1846">
        <v>105</v>
      </c>
      <c r="AU1846" t="inlineStr">
        <is>
          <t>1.05</t>
        </is>
      </c>
      <c r="AV1846" t="inlineStr">
        <is>
          <t>15</t>
        </is>
      </c>
      <c r="AW1846" t="inlineStr">
        <is>
          <t>0</t>
        </is>
      </c>
      <c r="AX1846" t="inlineStr">
        <is>
          <t>Not Qualified</t>
        </is>
      </c>
      <c r="AY1846" s="4"/>
      <c r="AZ1846"/>
      <c r="BA1846"/>
      <c r="BB1846"/>
      <c r="BC1846" t="inlineStr">
        <is>
          <t>na</t>
        </is>
      </c>
      <c r="BD1846" s="4">
        <v>46139.416979166665</v>
      </c>
      <c r="BE1846" t="inlineStr">
        <is>
          <t>pending</t>
        </is>
      </c>
      <c r="BF1846"/>
      <c r="BG1846" t="inlineStr">
        <is>
          <t>Reschedule</t>
        </is>
      </c>
      <c r="BH1846" t="inlineStr">
        <is>
          <t>Yee Hang</t>
        </is>
      </c>
      <c r="BI1846"/>
      <c r="BJ1846" s="4">
        <v>46144.750555555554</v>
      </c>
      <c r="BK1846" s="4">
        <v>44278.48774305556</v>
      </c>
      <c r="BL1846" t="inlineStr">
        <is>
          <t>0.0</t>
        </is>
      </c>
      <c r="BM1846" t="inlineStr">
        <is>
          <t>0.0</t>
        </is>
      </c>
      <c r="BN1846" t="inlineStr">
        <is>
          <t>View Create Job Page</t>
        </is>
      </c>
      <c r="BO1846" s="4">
        <v>45728.510717592595</v>
      </c>
      <c r="BP1846">
        <v>168479</v>
      </c>
      <c r="BQ1846">
        <v>101972</v>
      </c>
      <c r="BR1846" t="inlineStr">
        <is>
          <t>Proforma</t>
        </is>
      </c>
      <c r="BS1846" t="inlineStr">
        <is>
          <t>Ala Carte Single Plus</t>
        </is>
      </c>
      <c r="BT1846"/>
      <c r="BU1846"/>
      <c r="BV1846">
        <v>2728250</v>
      </c>
      <c r="BW1846" t="inlineStr">
        <is>
          <t>No Answer : Voicemail - WA sent to customer</t>
        </is>
      </c>
      <c r="BX1846"/>
      <c r="BY1846"/>
      <c r="BZ1846" s="4"/>
      <c r="CA1846"/>
      <c r="CB1846"/>
      <c r="CC1846" s="4"/>
      <c r="CD1846" t="inlineStr">
        <is>
          <t>20</t>
        </is>
      </c>
      <c r="CE1846" t="inlineStr">
        <is>
          <t>0</t>
        </is>
      </c>
      <c r="CF1846" t="inlineStr">
        <is>
          <t>Q2-W03</t>
        </is>
      </c>
      <c r="CG1846"/>
      <c r="CH1846"/>
      <c r="CI1846"/>
      <c r="CJ1846" t="inlineStr">
        <is>
          <t>No Paid</t>
        </is>
      </c>
      <c r="CK1846" t="inlineStr">
        <is>
          <t>Not Eligible</t>
        </is>
      </c>
      <c r="CL1846"/>
      <c r="CM1846"/>
    </row>
    <row r="1847" ht="25.5" customHeight="1">
      <c r="A1847" t="inlineStr">
        <is>
          <t>203132</t>
        </is>
      </c>
      <c r="B1847" s="2"/>
      <c r="C1847"/>
      <c r="D1847" s="3">
        <v>46125.72456018518</v>
      </c>
      <c r="E1847" t="inlineStr">
        <is>
          <t>Q2-W02</t>
        </is>
      </c>
      <c r="F1847" t="inlineStr">
        <is>
          <t>Janice Yap</t>
        </is>
      </c>
      <c r="G1847" t="inlineStr">
        <is>
          <t>Customer</t>
        </is>
      </c>
      <c r="H1847" s="2" t="str">
        <f>=HYPERLINK("https://upbox.ajobthing.my/customer/203132", "https://upbox.ajobthing.my/customer/203132")</f>
        <v>https://upbox.ajobthing.my/customer/203132</v>
      </c>
      <c r="I1847" t="inlineStr">
        <is>
          <t>Akish Enterprise</t>
        </is>
      </c>
      <c r="J1847" t="inlineStr">
        <is>
          <t>Small Fish</t>
        </is>
      </c>
      <c r="K1847" t="inlineStr">
        <is>
          <t>Janice</t>
        </is>
      </c>
      <c r="L1847" s="4"/>
      <c r="M1847" s="4">
        <v>46127.463692129626</v>
      </c>
      <c r="N1847"/>
      <c r="O1847">
        <v>1296</v>
      </c>
      <c r="P1847" s="4"/>
      <c r="Q1847" s="4"/>
      <c r="R1847"/>
      <c r="S1847"/>
      <c r="T1847" s="4"/>
      <c r="U1847" s="4"/>
      <c r="V1847"/>
      <c r="W1847"/>
      <c r="X1847"/>
      <c r="Y1847" t="inlineStr">
        <is>
          <t>Pending Appointment</t>
        </is>
      </c>
      <c r="Z1847" t="inlineStr">
        <is>
          <t>Hiring Now</t>
        </is>
      </c>
      <c r="AA1847">
        <v>3</v>
      </c>
      <c r="AB1847" t="inlineStr">
        <is>
          <t>No Appointment Made</t>
        </is>
      </c>
      <c r="AC1847"/>
      <c r="AD1847" t="inlineStr">
        <is>
          <t>assistant sales // crew // store staff</t>
        </is>
      </c>
      <c r="AE1847"/>
      <c r="AF1847">
        <v>0</v>
      </c>
      <c r="AG1847" s="4"/>
      <c r="AH1847" s="4"/>
      <c r="AI1847">
        <v>0</v>
      </c>
      <c r="AJ1847"/>
      <c r="AK1847" t="inlineStr">
        <is>
          <t>No, I don't need at all</t>
        </is>
      </c>
      <c r="AL1847">
        <v>0</v>
      </c>
      <c r="AM1847" t="inlineStr">
        <is>
          <t>No, I don't need at all</t>
        </is>
      </c>
      <c r="AN1847"/>
      <c r="AO1847" t="inlineStr">
        <is>
          <t>No, I don't need at all</t>
        </is>
      </c>
      <c r="AP1847" t="inlineStr">
        <is>
          <t>Once a year (25%)</t>
        </is>
      </c>
      <c r="AQ1847">
        <v>3</v>
      </c>
      <c r="AR1847" t="inlineStr">
        <is>
          <t>Did not use any job portal</t>
        </is>
      </c>
      <c r="AS1847" t="inlineStr">
        <is>
          <t>- Headcount: 3
- Hiring Job Details: assistant sales, crew, store staff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is>
      </c>
      <c r="AT1847">
        <v>95</v>
      </c>
      <c r="AU1847" t="inlineStr">
        <is>
          <t>0.95</t>
        </is>
      </c>
      <c r="AV1847" t="inlineStr">
        <is>
          <t>15</t>
        </is>
      </c>
      <c r="AW1847" t="inlineStr">
        <is>
          <t>0</t>
        </is>
      </c>
      <c r="AX1847" t="inlineStr">
        <is>
          <t>Not Qualified</t>
        </is>
      </c>
      <c r="AY1847" s="4"/>
      <c r="AZ1847"/>
      <c r="BA1847"/>
      <c r="BB1847"/>
      <c r="BC1847" t="inlineStr">
        <is>
          <t>Direct hang up call after verify name // lost</t>
        </is>
      </c>
      <c r="BD1847" s="4">
        <v>46129.575162037036</v>
      </c>
      <c r="BE1847"/>
      <c r="BF1847"/>
      <c r="BG1847" t="inlineStr">
        <is>
          <t>Reschedule</t>
        </is>
      </c>
      <c r="BH1847" t="inlineStr">
        <is>
          <t>Yee Hang</t>
        </is>
      </c>
      <c r="BI1847" t="inlineStr">
        <is>
          <t>Retail / Merchandise</t>
        </is>
      </c>
      <c r="BJ1847" s="4">
        <v>46144.75423611111</v>
      </c>
      <c r="BK1847" s="4">
        <v>46123.99978009259</v>
      </c>
      <c r="BL1847" t="inlineStr">
        <is>
          <t>0.0</t>
        </is>
      </c>
      <c r="BM1847" t="inlineStr">
        <is>
          <t>0.0</t>
        </is>
      </c>
      <c r="BN1847" t="inlineStr">
        <is>
          <t>View Company Page</t>
        </is>
      </c>
      <c r="BO1847" s="4">
        <v>46124.649050925924</v>
      </c>
      <c r="BP1847">
        <v>167138</v>
      </c>
      <c r="BQ1847"/>
      <c r="BR1847"/>
      <c r="BS1847"/>
      <c r="BT1847"/>
      <c r="BU1847"/>
      <c r="BV1847">
        <v>2711968</v>
      </c>
      <c r="BW1847" t="inlineStr">
        <is>
          <t>Follow Up : Lost - Free Portal</t>
        </is>
      </c>
      <c r="BX1847"/>
      <c r="BY1847"/>
      <c r="BZ1847" s="4"/>
      <c r="CA1847"/>
      <c r="CB1847"/>
      <c r="CC1847" s="4"/>
      <c r="CD1847" t="inlineStr">
        <is>
          <t>20</t>
        </is>
      </c>
      <c r="CE1847" t="inlineStr">
        <is>
          <t>0</t>
        </is>
      </c>
      <c r="CF1847" t="inlineStr">
        <is>
          <t>Q2-W02</t>
        </is>
      </c>
      <c r="CG1847"/>
      <c r="CH1847"/>
      <c r="CI1847"/>
      <c r="CJ1847" t="inlineStr">
        <is>
          <t>No Paid</t>
        </is>
      </c>
      <c r="CK1847" t="inlineStr">
        <is>
          <t>Not Eligible</t>
        </is>
      </c>
      <c r="CL1847"/>
      <c r="CM1847"/>
    </row>
    <row r="1848" ht="25.5" customHeight="1">
      <c r="A1848" t="inlineStr">
        <is>
          <t>4276809</t>
        </is>
      </c>
      <c r="B1848" s="2"/>
      <c r="C1848"/>
      <c r="D1848" s="3">
        <v>46125.72565972222</v>
      </c>
      <c r="E1848" t="inlineStr">
        <is>
          <t>Q2-W02</t>
        </is>
      </c>
      <c r="F1848" t="inlineStr">
        <is>
          <t>Evan</t>
        </is>
      </c>
      <c r="G1848" t="inlineStr">
        <is>
          <t>Lead</t>
        </is>
      </c>
      <c r="H1848" s="2" t="str">
        <f>=HYPERLINK("https://upbox.ajobthing.my/leads/4276809", "https://upbox.ajobthing.my/leads/4276809")</f>
        <v>https://upbox.ajobthing.my/leads/4276809</v>
      </c>
      <c r="I1848" t="inlineStr">
        <is>
          <t>rusdi global</t>
        </is>
      </c>
      <c r="J1848" t="inlineStr">
        <is>
          <t>Small Fish</t>
        </is>
      </c>
      <c r="K1848" t="inlineStr">
        <is>
          <t>Evan</t>
        </is>
      </c>
      <c r="L1848" s="4"/>
      <c r="M1848" s="4">
        <v>46125.72261574074</v>
      </c>
      <c r="N1848"/>
      <c r="O1848">
        <v>3888</v>
      </c>
      <c r="P1848" s="4"/>
      <c r="Q1848" s="4"/>
      <c r="R1848"/>
      <c r="S1848"/>
      <c r="T1848" s="4"/>
      <c r="U1848" s="4"/>
      <c r="V1848"/>
      <c r="W1848"/>
      <c r="X1848"/>
      <c r="Y1848" t="inlineStr">
        <is>
          <t>Pending Appointment</t>
        </is>
      </c>
      <c r="Z1848" t="inlineStr">
        <is>
          <t>Hiring Now</t>
        </is>
      </c>
      <c r="AA1848">
        <v>1</v>
      </c>
      <c r="AB1848" t="inlineStr">
        <is>
          <t>No Appointment Made</t>
        </is>
      </c>
      <c r="AC1848"/>
      <c r="AD1848" t="inlineStr">
        <is>
          <t>1 sales, all base in selangor</t>
        </is>
      </c>
      <c r="AE1848"/>
      <c r="AF1848">
        <v>1</v>
      </c>
      <c r="AG1848" s="4"/>
      <c r="AH1848" s="4"/>
      <c r="AI1848">
        <v>1</v>
      </c>
      <c r="AJ1848">
        <v>1</v>
      </c>
      <c r="AK1848" t="inlineStr">
        <is>
          <t>No, I don't need at all</t>
        </is>
      </c>
      <c r="AL1848">
        <v>0</v>
      </c>
      <c r="AM1848" t="inlineStr">
        <is>
          <t>No, I don't need at all</t>
        </is>
      </c>
      <c r="AN1848"/>
      <c r="AO1848" t="inlineStr">
        <is>
          <t>No, I don't need at all</t>
        </is>
      </c>
      <c r="AP1848" t="inlineStr">
        <is>
          <t>Once a year (25%)</t>
        </is>
      </c>
      <c r="AQ1848">
        <v>1</v>
      </c>
      <c r="AR1848" t="inlineStr">
        <is>
          <t>Did not use any job portal</t>
        </is>
      </c>
      <c r="AS1848" t="inlineStr">
        <is>
          <t>- Headcount: 1
- Hiring Job Details: 1 sales, all base in selangor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848">
        <v>115</v>
      </c>
      <c r="AU1848" t="inlineStr">
        <is>
          <t>1.15</t>
        </is>
      </c>
      <c r="AV1848" t="inlineStr">
        <is>
          <t>15</t>
        </is>
      </c>
      <c r="AW1848" t="inlineStr">
        <is>
          <t>0</t>
        </is>
      </c>
      <c r="AX1848" t="inlineStr">
        <is>
          <t>Not Qualified</t>
        </is>
      </c>
      <c r="AY1848" s="4"/>
      <c r="AZ1848"/>
      <c r="BA1848"/>
      <c r="BB1848"/>
      <c r="BC1848"/>
      <c r="BD1848" s="4"/>
      <c r="BE1848"/>
      <c r="BF1848"/>
      <c r="BG1848" t="inlineStr">
        <is>
          <t>Reschedule</t>
        </is>
      </c>
      <c r="BH1848" t="inlineStr">
        <is>
          <t>Edward Hoo</t>
        </is>
      </c>
      <c r="BI1848"/>
      <c r="BJ1848" s="4">
        <v>46144.75581018518</v>
      </c>
      <c r="BK1848" s="4">
        <v>46125.64134259259</v>
      </c>
      <c r="BL1848" t="inlineStr">
        <is>
          <t>0.0</t>
        </is>
      </c>
      <c r="BM1848" t="inlineStr">
        <is>
          <t>0.0</t>
        </is>
      </c>
      <c r="BN1848"/>
      <c r="BO1848" s="4"/>
      <c r="BP1848">
        <v>166842</v>
      </c>
      <c r="BQ1848"/>
      <c r="BR1848"/>
      <c r="BS1848"/>
      <c r="BT1848"/>
      <c r="BU1848"/>
      <c r="BV1848"/>
      <c r="BW1848"/>
      <c r="BX1848"/>
      <c r="BY1848"/>
      <c r="BZ1848" s="4"/>
      <c r="CA1848"/>
      <c r="CB1848"/>
      <c r="CC1848" s="4"/>
      <c r="CD1848" t="inlineStr">
        <is>
          <t>20</t>
        </is>
      </c>
      <c r="CE1848" t="inlineStr">
        <is>
          <t>0</t>
        </is>
      </c>
      <c r="CF1848" t="inlineStr">
        <is>
          <t>Q2-W02</t>
        </is>
      </c>
      <c r="CG1848"/>
      <c r="CH1848"/>
      <c r="CI1848"/>
      <c r="CJ1848" t="inlineStr">
        <is>
          <t>No Paid</t>
        </is>
      </c>
      <c r="CK1848" t="inlineStr">
        <is>
          <t>Not Eligible</t>
        </is>
      </c>
      <c r="CL1848"/>
      <c r="CM1848"/>
    </row>
    <row r="1849" ht="25.5" customHeight="1">
      <c r="A1849" t="inlineStr">
        <is>
          <t>136003</t>
        </is>
      </c>
      <c r="B1849" s="2"/>
      <c r="C1849"/>
      <c r="D1849" s="3">
        <v>46125.743993055556</v>
      </c>
      <c r="E1849" t="inlineStr">
        <is>
          <t>Q2-W02</t>
        </is>
      </c>
      <c r="F1849" t="inlineStr">
        <is>
          <t>Jeff Lee</t>
        </is>
      </c>
      <c r="G1849" t="inlineStr">
        <is>
          <t>Customer</t>
        </is>
      </c>
      <c r="H1849" s="2" t="str">
        <f>=HYPERLINK("https://upbox.ajobthing.my/customer/136003", "https://upbox.ajobthing.my/customer/136003")</f>
        <v>https://upbox.ajobthing.my/customer/136003</v>
      </c>
      <c r="I1849" t="inlineStr">
        <is>
          <t>Broadway Power Sdn Bhd</t>
        </is>
      </c>
      <c r="J1849" t="inlineStr">
        <is>
          <t>Small Fish</t>
        </is>
      </c>
      <c r="K1849" t="inlineStr">
        <is>
          <t>Jeff Lee</t>
        </is>
      </c>
      <c r="L1849" s="4"/>
      <c r="M1849" s="4">
        <v>46135.45248842592</v>
      </c>
      <c r="N1849"/>
      <c r="O1849">
        <v>1296</v>
      </c>
      <c r="P1849" s="4"/>
      <c r="Q1849" s="4">
        <v>45726.71625</v>
      </c>
      <c r="R1849"/>
      <c r="S1849">
        <v>1080</v>
      </c>
      <c r="T1849" s="4"/>
      <c r="U1849" s="4"/>
      <c r="V1849"/>
      <c r="W1849"/>
      <c r="X1849"/>
      <c r="Y1849" t="inlineStr">
        <is>
          <t>Pending Appointment</t>
        </is>
      </c>
      <c r="Z1849" t="inlineStr">
        <is>
          <t>Hiring Now</t>
        </is>
      </c>
      <c r="AA1849">
        <v>1</v>
      </c>
      <c r="AB1849" t="inlineStr">
        <is>
          <t>No Appointment Made</t>
        </is>
      </c>
      <c r="AC1849"/>
      <c r="AD1849" t="inlineStr">
        <is>
          <t>1. General Clerk
2. 1 only</t>
        </is>
      </c>
      <c r="AE1849"/>
      <c r="AF1849">
        <v>0</v>
      </c>
      <c r="AG1849" s="4"/>
      <c r="AH1849" s="4"/>
      <c r="AI1849">
        <v>0</v>
      </c>
      <c r="AJ1849">
        <v>0</v>
      </c>
      <c r="AK1849" t="inlineStr">
        <is>
          <t>No, I don't need at all</t>
        </is>
      </c>
      <c r="AL1849">
        <v>0</v>
      </c>
      <c r="AM1849" t="inlineStr">
        <is>
          <t>No, I don't need at all</t>
        </is>
      </c>
      <c r="AN1849"/>
      <c r="AO1849" t="inlineStr">
        <is>
          <t>No, I don't need at all</t>
        </is>
      </c>
      <c r="AP1849" t="inlineStr">
        <is>
          <t>Once a year (25%)</t>
        </is>
      </c>
      <c r="AQ1849">
        <v>2</v>
      </c>
      <c r="AR1849" t="inlineStr">
        <is>
          <t>Free Job Portal</t>
        </is>
      </c>
      <c r="AS1849" t="inlineStr">
        <is>
          <t>- Headcount: 1
- Hiring Job Details: 1 General Clerk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1849">
        <v>100</v>
      </c>
      <c r="AU1849" t="inlineStr">
        <is>
          <t>1.00</t>
        </is>
      </c>
      <c r="AV1849" t="inlineStr">
        <is>
          <t>15</t>
        </is>
      </c>
      <c r="AW1849" t="inlineStr">
        <is>
          <t>0</t>
        </is>
      </c>
      <c r="AX1849" t="inlineStr">
        <is>
          <t>Not Qualified</t>
        </is>
      </c>
      <c r="AY1849" s="4"/>
      <c r="AZ1849"/>
      <c r="BA1849"/>
      <c r="BB1849"/>
      <c r="BC1849" t="inlineStr">
        <is>
          <t>na</t>
        </is>
      </c>
      <c r="BD1849" s="4">
        <v>46139.416979166665</v>
      </c>
      <c r="BE1849" t="inlineStr">
        <is>
          <t>pending</t>
        </is>
      </c>
      <c r="BF1849"/>
      <c r="BG1849" t="inlineStr">
        <is>
          <t>Reschedule</t>
        </is>
      </c>
      <c r="BH1849" t="inlineStr">
        <is>
          <t>Yee Hang</t>
        </is>
      </c>
      <c r="BI1849"/>
      <c r="BJ1849" s="4">
        <v>46144.750555555554</v>
      </c>
      <c r="BK1849" s="4">
        <v>44278.48774305556</v>
      </c>
      <c r="BL1849" t="inlineStr">
        <is>
          <t>0.0</t>
        </is>
      </c>
      <c r="BM1849" t="inlineStr">
        <is>
          <t>0.0</t>
        </is>
      </c>
      <c r="BN1849" t="inlineStr">
        <is>
          <t>View Create Job Page</t>
        </is>
      </c>
      <c r="BO1849" s="4">
        <v>45728.510717592595</v>
      </c>
      <c r="BP1849">
        <v>168479</v>
      </c>
      <c r="BQ1849">
        <v>101972</v>
      </c>
      <c r="BR1849" t="inlineStr">
        <is>
          <t>Proforma</t>
        </is>
      </c>
      <c r="BS1849" t="inlineStr">
        <is>
          <t>Ala Carte Single Plus</t>
        </is>
      </c>
      <c r="BT1849"/>
      <c r="BU1849"/>
      <c r="BV1849">
        <v>2728250</v>
      </c>
      <c r="BW1849" t="inlineStr">
        <is>
          <t>No Answer : Voicemail - WA sent to customer</t>
        </is>
      </c>
      <c r="BX1849"/>
      <c r="BY1849"/>
      <c r="BZ1849" s="4"/>
      <c r="CA1849"/>
      <c r="CB1849"/>
      <c r="CC1849" s="4"/>
      <c r="CD1849" t="inlineStr">
        <is>
          <t>20</t>
        </is>
      </c>
      <c r="CE1849" t="inlineStr">
        <is>
          <t>0</t>
        </is>
      </c>
      <c r="CF1849" t="inlineStr">
        <is>
          <t>Q2-W03</t>
        </is>
      </c>
      <c r="CG1849"/>
      <c r="CH1849"/>
      <c r="CI1849"/>
      <c r="CJ1849" t="inlineStr">
        <is>
          <t>No Paid</t>
        </is>
      </c>
      <c r="CK1849" t="inlineStr">
        <is>
          <t>Not Eligible</t>
        </is>
      </c>
      <c r="CL1849"/>
      <c r="CM1849"/>
    </row>
    <row r="1850" ht="25.5" customHeight="1">
      <c r="A1850" t="inlineStr">
        <is>
          <t>201048</t>
        </is>
      </c>
      <c r="B1850" s="2"/>
      <c r="C1850"/>
      <c r="D1850" s="3">
        <v>46125.74878472222</v>
      </c>
      <c r="E1850" t="inlineStr">
        <is>
          <t>Q2-W02</t>
        </is>
      </c>
      <c r="F1850" t="inlineStr">
        <is>
          <t>Janice Yap</t>
        </is>
      </c>
      <c r="G1850" t="inlineStr">
        <is>
          <t>Customer</t>
        </is>
      </c>
      <c r="H1850" s="2" t="str">
        <f>=HYPERLINK("https://upbox.ajobthing.my/customer/201048", "https://upbox.ajobthing.my/customer/201048")</f>
        <v>https://upbox.ajobthing.my/customer/201048</v>
      </c>
      <c r="I1850" t="inlineStr">
        <is>
          <t>Choux Choux</t>
        </is>
      </c>
      <c r="J1850" t="inlineStr">
        <is>
          <t>Small Fish</t>
        </is>
      </c>
      <c r="K1850" t="inlineStr">
        <is>
          <t>Janice</t>
        </is>
      </c>
      <c r="L1850" s="4"/>
      <c r="M1850" s="4">
        <v>46125.749340277776</v>
      </c>
      <c r="N1850"/>
      <c r="O1850">
        <v>3888</v>
      </c>
      <c r="P1850" s="4"/>
      <c r="Q1850" s="4"/>
      <c r="R1850"/>
      <c r="S1850"/>
      <c r="T1850" s="4"/>
      <c r="U1850" s="4"/>
      <c r="V1850"/>
      <c r="W1850"/>
      <c r="X1850"/>
      <c r="Y1850" t="inlineStr">
        <is>
          <t>Pending Appointment</t>
        </is>
      </c>
      <c r="Z1850" t="inlineStr">
        <is>
          <t>Hiring Later</t>
        </is>
      </c>
      <c r="AA1850">
        <v>1</v>
      </c>
      <c r="AB1850" t="inlineStr">
        <is>
          <t>No Appointment Made</t>
        </is>
      </c>
      <c r="AC1850"/>
      <c r="AD1850" t="inlineStr">
        <is>
          <t>1 waiter</t>
        </is>
      </c>
      <c r="AE1850"/>
      <c r="AF1850">
        <v>0</v>
      </c>
      <c r="AG1850" s="4"/>
      <c r="AH1850" s="4"/>
      <c r="AI1850">
        <v>0</v>
      </c>
      <c r="AJ1850"/>
      <c r="AK1850" t="inlineStr">
        <is>
          <t>No, I don't need at all</t>
        </is>
      </c>
      <c r="AL1850">
        <v>0</v>
      </c>
      <c r="AM1850" t="inlineStr">
        <is>
          <t>No, I don't need at all</t>
        </is>
      </c>
      <c r="AN1850"/>
      <c r="AO1850" t="inlineStr">
        <is>
          <t>No, I don't need at all</t>
        </is>
      </c>
      <c r="AP1850" t="inlineStr">
        <is>
          <t>Once a year (25%)</t>
        </is>
      </c>
      <c r="AQ1850">
        <v>1</v>
      </c>
      <c r="AR1850" t="inlineStr">
        <is>
          <t>Free Job Portal</t>
        </is>
      </c>
      <c r="AS1850" t="inlineStr">
        <is>
          <t>- Headcount: 1
- Hiring Job Details: 1 waiter
- Hiring Urgency: Hiring Later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1850">
        <v>100</v>
      </c>
      <c r="AU1850" t="inlineStr">
        <is>
          <t>1.00</t>
        </is>
      </c>
      <c r="AV1850" t="inlineStr">
        <is>
          <t>15</t>
        </is>
      </c>
      <c r="AW1850" t="inlineStr">
        <is>
          <t>0</t>
        </is>
      </c>
      <c r="AX1850" t="inlineStr">
        <is>
          <t>Not Qualified</t>
        </is>
      </c>
      <c r="AY1850" s="4"/>
      <c r="AZ1850"/>
      <c r="BA1850"/>
      <c r="BB1850"/>
      <c r="BC1850" t="inlineStr">
        <is>
          <t>No answer</t>
        </is>
      </c>
      <c r="BD1850" s="4">
        <v>46127.43346064815</v>
      </c>
      <c r="BE1850"/>
      <c r="BF1850"/>
      <c r="BG1850" t="inlineStr">
        <is>
          <t>Reschedule</t>
        </is>
      </c>
      <c r="BH1850" t="inlineStr">
        <is>
          <t>Yee Hang</t>
        </is>
      </c>
      <c r="BI1850"/>
      <c r="BJ1850" s="4">
        <v>46144.753703703704</v>
      </c>
      <c r="BK1850" s="4">
        <v>46060.47945601852</v>
      </c>
      <c r="BL1850" t="inlineStr">
        <is>
          <t>0.0</t>
        </is>
      </c>
      <c r="BM1850" t="inlineStr">
        <is>
          <t>0.0</t>
        </is>
      </c>
      <c r="BN1850" t="inlineStr">
        <is>
          <t>View Create Job Page V4</t>
        </is>
      </c>
      <c r="BO1850" s="4">
        <v>46060.5243287037</v>
      </c>
      <c r="BP1850">
        <v>166853</v>
      </c>
      <c r="BQ1850"/>
      <c r="BR1850"/>
      <c r="BS1850"/>
      <c r="BT1850"/>
      <c r="BU1850"/>
      <c r="BV1850">
        <v>2705144</v>
      </c>
      <c r="BW1850" t="inlineStr">
        <is>
          <t>No Answer : Voicemail - WA sent to customer</t>
        </is>
      </c>
      <c r="BX1850"/>
      <c r="BY1850"/>
      <c r="BZ1850" s="4"/>
      <c r="CA1850"/>
      <c r="CB1850"/>
      <c r="CC1850" s="4"/>
      <c r="CD1850" t="inlineStr">
        <is>
          <t>20</t>
        </is>
      </c>
      <c r="CE1850" t="inlineStr">
        <is>
          <t>0</t>
        </is>
      </c>
      <c r="CF1850" t="inlineStr">
        <is>
          <t>Q2-W02</t>
        </is>
      </c>
      <c r="CG1850"/>
      <c r="CH1850"/>
      <c r="CI1850"/>
      <c r="CJ1850" t="inlineStr">
        <is>
          <t>No Paid</t>
        </is>
      </c>
      <c r="CK1850" t="inlineStr">
        <is>
          <t>Not Eligible</t>
        </is>
      </c>
      <c r="CL1850"/>
      <c r="CM1850"/>
    </row>
    <row r="1851" ht="25.5" customHeight="1">
      <c r="A1851" t="inlineStr">
        <is>
          <t>202563</t>
        </is>
      </c>
      <c r="B1851" s="2"/>
      <c r="C1851"/>
      <c r="D1851" s="3">
        <v>46125.756898148145</v>
      </c>
      <c r="E1851" t="inlineStr">
        <is>
          <t>Q2-W02</t>
        </is>
      </c>
      <c r="F1851" t="inlineStr">
        <is>
          <t>Jia Hui</t>
        </is>
      </c>
      <c r="G1851" t="inlineStr">
        <is>
          <t>Customer</t>
        </is>
      </c>
      <c r="H1851" s="2" t="str">
        <f>=HYPERLINK("https://upbox.ajobthing.my/customer/202563", "https://upbox.ajobthing.my/customer/202563")</f>
        <v>https://upbox.ajobthing.my/customer/202563</v>
      </c>
      <c r="I1851" t="inlineStr">
        <is>
          <t>Anakee Bina Sdn Bhd</t>
        </is>
      </c>
      <c r="J1851" t="inlineStr">
        <is>
          <t>Small Fish</t>
        </is>
      </c>
      <c r="K1851" t="inlineStr">
        <is>
          <t>Jia Hui</t>
        </is>
      </c>
      <c r="L1851" s="4"/>
      <c r="M1851" s="4">
        <v>46125.75697916667</v>
      </c>
      <c r="N1851"/>
      <c r="O1851">
        <v>3888</v>
      </c>
      <c r="P1851" s="4"/>
      <c r="Q1851" s="4"/>
      <c r="R1851"/>
      <c r="S1851"/>
      <c r="T1851" s="4"/>
      <c r="U1851" s="4"/>
      <c r="V1851"/>
      <c r="W1851"/>
      <c r="X1851"/>
      <c r="Y1851" t="inlineStr">
        <is>
          <t>Pending Appointment</t>
        </is>
      </c>
      <c r="Z1851" t="inlineStr">
        <is>
          <t>Hiring Now</t>
        </is>
      </c>
      <c r="AA1851">
        <v>1</v>
      </c>
      <c r="AB1851" t="inlineStr">
        <is>
          <t>No Appointment Made</t>
        </is>
      </c>
      <c r="AC1851"/>
      <c r="AD1851" t="inlineStr">
        <is>
          <t>1 admin</t>
        </is>
      </c>
      <c r="AE1851"/>
      <c r="AF1851">
        <v>500</v>
      </c>
      <c r="AG1851" s="4"/>
      <c r="AH1851" s="4"/>
      <c r="AI1851"/>
      <c r="AJ1851"/>
      <c r="AK1851" t="inlineStr">
        <is>
          <t>No, but I want in future</t>
        </is>
      </c>
      <c r="AL1851"/>
      <c r="AM1851"/>
      <c r="AN1851"/>
      <c r="AO1851"/>
      <c r="AP1851" t="inlineStr">
        <is>
          <t>Once a year (25%)</t>
        </is>
      </c>
      <c r="AQ1851"/>
      <c r="AR1851"/>
      <c r="AS1851" t="inlineStr">
        <is>
          <t>- Headcount: 1
- Hiring Job Details: 1 admin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851">
        <v>75</v>
      </c>
      <c r="AU1851" t="inlineStr">
        <is>
          <t>0.75</t>
        </is>
      </c>
      <c r="AV1851" t="inlineStr">
        <is>
          <t>15</t>
        </is>
      </c>
      <c r="AW1851" t="inlineStr">
        <is>
          <t>0</t>
        </is>
      </c>
      <c r="AX1851" t="inlineStr">
        <is>
          <t>Not Qualified</t>
        </is>
      </c>
      <c r="AY1851" s="4"/>
      <c r="AZ1851"/>
      <c r="BA1851"/>
      <c r="BB1851"/>
      <c r="BC1851" t="inlineStr">
        <is>
          <t>no hiring atm, already hired for admin, will let us know if needed</t>
        </is>
      </c>
      <c r="BD1851" s="4">
        <v>46142.67234953704</v>
      </c>
      <c r="BE1851"/>
      <c r="BF1851"/>
      <c r="BG1851" t="inlineStr">
        <is>
          <t>Reschedule</t>
        </is>
      </c>
      <c r="BH1851" t="inlineStr">
        <is>
          <t>Reagen</t>
        </is>
      </c>
      <c r="BI1851"/>
      <c r="BJ1851" s="4">
        <v>46144.75407407407</v>
      </c>
      <c r="BK1851" s="4">
        <v>46111.61152777778</v>
      </c>
      <c r="BL1851" t="inlineStr">
        <is>
          <t>0.0</t>
        </is>
      </c>
      <c r="BM1851" t="inlineStr">
        <is>
          <t>0.0</t>
        </is>
      </c>
      <c r="BN1851" t="inlineStr">
        <is>
          <t>View Create Job Page V4</t>
        </is>
      </c>
      <c r="BO1851" s="4">
        <v>46111.616006944445</v>
      </c>
      <c r="BP1851">
        <v>166855</v>
      </c>
      <c r="BQ1851"/>
      <c r="BR1851"/>
      <c r="BS1851"/>
      <c r="BT1851"/>
      <c r="BU1851"/>
      <c r="BV1851">
        <v>2738108</v>
      </c>
      <c r="BW1851" t="inlineStr">
        <is>
          <t>Inquire for Hiring Needs : No Hiring</t>
        </is>
      </c>
      <c r="BX1851"/>
      <c r="BY1851"/>
      <c r="BZ1851" s="4"/>
      <c r="CA1851"/>
      <c r="CB1851"/>
      <c r="CC1851" s="4"/>
      <c r="CD1851" t="inlineStr">
        <is>
          <t>20</t>
        </is>
      </c>
      <c r="CE1851" t="inlineStr">
        <is>
          <t>0</t>
        </is>
      </c>
      <c r="CF1851" t="inlineStr">
        <is>
          <t>Q2-W02</t>
        </is>
      </c>
      <c r="CG1851"/>
      <c r="CH1851"/>
      <c r="CI1851"/>
      <c r="CJ1851" t="inlineStr">
        <is>
          <t>No Paid</t>
        </is>
      </c>
      <c r="CK1851" t="inlineStr">
        <is>
          <t>Not Eligible</t>
        </is>
      </c>
      <c r="CL1851"/>
      <c r="CM1851"/>
    </row>
    <row r="1852" ht="25.5" customHeight="1">
      <c r="A1852" t="inlineStr">
        <is>
          <t>172286</t>
        </is>
      </c>
      <c r="B1852" s="2"/>
      <c r="C1852"/>
      <c r="D1852" s="3">
        <v>46125.78178240741</v>
      </c>
      <c r="E1852" t="inlineStr">
        <is>
          <t>Q2-W02</t>
        </is>
      </c>
      <c r="F1852" t="inlineStr">
        <is>
          <t>Dickson</t>
        </is>
      </c>
      <c r="G1852" t="inlineStr">
        <is>
          <t>Customer</t>
        </is>
      </c>
      <c r="H1852" s="2" t="str">
        <f>=HYPERLINK("https://upbox.ajobthing.my/customer/172286", "https://upbox.ajobthing.my/customer/172286")</f>
        <v>https://upbox.ajobthing.my/customer/172286</v>
      </c>
      <c r="I1852" t="inlineStr">
        <is>
          <t>Globus Castors (M) Sdn Bhd</t>
        </is>
      </c>
      <c r="J1852" t="inlineStr">
        <is>
          <t>Small Fish</t>
        </is>
      </c>
      <c r="K1852" t="inlineStr">
        <is>
          <t>Dickson</t>
        </is>
      </c>
      <c r="L1852" s="4"/>
      <c r="M1852" s="4">
        <v>46125.781863425924</v>
      </c>
      <c r="N1852"/>
      <c r="O1852">
        <v>6048</v>
      </c>
      <c r="P1852" s="4"/>
      <c r="Q1852" s="4">
        <v>45244.494166666664</v>
      </c>
      <c r="R1852"/>
      <c r="S1852">
        <v>636</v>
      </c>
      <c r="T1852" s="4">
        <v>45244.494166666664</v>
      </c>
      <c r="U1852" s="4"/>
      <c r="V1852"/>
      <c r="W1852">
        <v>636</v>
      </c>
      <c r="X1852"/>
      <c r="Y1852" t="inlineStr">
        <is>
          <t>Pending Appointment</t>
        </is>
      </c>
      <c r="Z1852" t="inlineStr">
        <is>
          <t>Hiring Now</t>
        </is>
      </c>
      <c r="AA1852">
        <v>5</v>
      </c>
      <c r="AB1852" t="inlineStr">
        <is>
          <t>No Appointment Made</t>
        </is>
      </c>
      <c r="AC1852"/>
      <c r="AD1852" t="inlineStr">
        <is>
          <t>hiring 3 outdoor sales, 1 technician, 1 engineer technician</t>
        </is>
      </c>
      <c r="AE1852"/>
      <c r="AF1852"/>
      <c r="AG1852" s="4"/>
      <c r="AH1852" s="4"/>
      <c r="AI1852"/>
      <c r="AJ1852">
        <v>1</v>
      </c>
      <c r="AK1852" t="inlineStr">
        <is>
          <t>No, I don't need at all</t>
        </is>
      </c>
      <c r="AL1852"/>
      <c r="AM1852" t="inlineStr">
        <is>
          <t>No, I don't need at all</t>
        </is>
      </c>
      <c r="AN1852"/>
      <c r="AO1852" t="inlineStr">
        <is>
          <t>No, I don't need at all</t>
        </is>
      </c>
      <c r="AP1852" t="inlineStr">
        <is>
          <t>Once per quarter (75%)</t>
        </is>
      </c>
      <c r="AQ1852"/>
      <c r="AR1852"/>
      <c r="AS1852" t="inlineStr">
        <is>
          <t>- Headcount: 5
- Hiring Job Details: 3 outdoor sales, 1 technician, 1 engineer technician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AT1852">
        <v>95</v>
      </c>
      <c r="AU1852" t="inlineStr">
        <is>
          <t>0.95</t>
        </is>
      </c>
      <c r="AV1852" t="inlineStr">
        <is>
          <t>10</t>
        </is>
      </c>
      <c r="AW1852" t="inlineStr">
        <is>
          <t>0</t>
        </is>
      </c>
      <c r="AX1852" t="inlineStr">
        <is>
          <t>Not Qualified</t>
        </is>
      </c>
      <c r="AY1852" s="4"/>
      <c r="AZ1852"/>
      <c r="BA1852"/>
      <c r="BB1852"/>
      <c r="BC1852" t="inlineStr">
        <is>
          <t>not planning to advertise</t>
        </is>
      </c>
      <c r="BD1852" s="4">
        <v>46140.66756944444</v>
      </c>
      <c r="BE1852" t="inlineStr">
        <is>
          <t>paid</t>
        </is>
      </c>
      <c r="BF1852"/>
      <c r="BG1852" t="inlineStr">
        <is>
          <t>Reschedule</t>
        </is>
      </c>
      <c r="BH1852" t="inlineStr">
        <is>
          <t>Edward Hoo</t>
        </is>
      </c>
      <c r="BI1852" t="inlineStr">
        <is>
          <t>Manufacturing / Production</t>
        </is>
      </c>
      <c r="BJ1852" s="4">
        <v>46144.75148148148</v>
      </c>
      <c r="BK1852" s="4">
        <v>45223.76634259259</v>
      </c>
      <c r="BL1852" t="inlineStr">
        <is>
          <t>0.0</t>
        </is>
      </c>
      <c r="BM1852" t="inlineStr">
        <is>
          <t>600.0</t>
        </is>
      </c>
      <c r="BN1852" t="inlineStr">
        <is>
          <t>View Company Page</t>
        </is>
      </c>
      <c r="BO1852" s="4">
        <v>45589.704513888886</v>
      </c>
      <c r="BP1852">
        <v>166858</v>
      </c>
      <c r="BQ1852">
        <v>63751</v>
      </c>
      <c r="BR1852" t="inlineStr">
        <is>
          <t>Online</t>
        </is>
      </c>
      <c r="BS1852"/>
      <c r="BT1852">
        <v>63751</v>
      </c>
      <c r="BU1852"/>
      <c r="BV1852">
        <v>2733310</v>
      </c>
      <c r="BW1852" t="inlineStr">
        <is>
          <t>Follow Up : Lost - Free Portal</t>
        </is>
      </c>
      <c r="BX1852"/>
      <c r="BY1852"/>
      <c r="BZ1852" s="4"/>
      <c r="CA1852"/>
      <c r="CB1852"/>
      <c r="CC1852" s="4"/>
      <c r="CD1852" t="inlineStr">
        <is>
          <t>15</t>
        </is>
      </c>
      <c r="CE1852" t="inlineStr">
        <is>
          <t>0</t>
        </is>
      </c>
      <c r="CF1852" t="inlineStr">
        <is>
          <t>Q2-W02</t>
        </is>
      </c>
      <c r="CG1852"/>
      <c r="CH1852"/>
      <c r="CI1852"/>
      <c r="CJ1852" t="inlineStr">
        <is>
          <t>Paid</t>
        </is>
      </c>
      <c r="CK1852" t="inlineStr">
        <is>
          <t>Not Eligible</t>
        </is>
      </c>
      <c r="CL1852"/>
      <c r="CM1852"/>
    </row>
    <row r="1853" ht="25.5" customHeight="1">
      <c r="A1853" t="inlineStr">
        <is>
          <t>4279843</t>
        </is>
      </c>
      <c r="B1853" s="2"/>
      <c r="C1853"/>
      <c r="D1853" s="3">
        <v>46126.407534722224</v>
      </c>
      <c r="E1853" t="inlineStr">
        <is>
          <t>Q2-W02</t>
        </is>
      </c>
      <c r="F1853" t="inlineStr">
        <is>
          <t>Janice Yap</t>
        </is>
      </c>
      <c r="G1853" t="inlineStr">
        <is>
          <t>Lead</t>
        </is>
      </c>
      <c r="H1853" s="2" t="str">
        <f>=HYPERLINK("https://upbox.ajobthing.my/leads/4279843", "https://upbox.ajobthing.my/leads/4279843")</f>
        <v>https://upbox.ajobthing.my/leads/4279843</v>
      </c>
      <c r="I1853" t="inlineStr">
        <is>
          <t>RSB SAFE SOLUTIONS</t>
        </is>
      </c>
      <c r="J1853" t="inlineStr">
        <is>
          <t>Small Fish</t>
        </is>
      </c>
      <c r="K1853" t="inlineStr">
        <is>
          <t>Janice</t>
        </is>
      </c>
      <c r="L1853" s="4"/>
      <c r="M1853" s="4">
        <v>46126.405636574076</v>
      </c>
      <c r="N1853"/>
      <c r="O1853">
        <v>3888</v>
      </c>
      <c r="P1853" s="4"/>
      <c r="Q1853" s="4"/>
      <c r="R1853"/>
      <c r="S1853"/>
      <c r="T1853" s="4"/>
      <c r="U1853" s="4"/>
      <c r="V1853"/>
      <c r="W1853"/>
      <c r="X1853"/>
      <c r="Y1853" t="inlineStr">
        <is>
          <t>Pending Appointment</t>
        </is>
      </c>
      <c r="Z1853" t="inlineStr">
        <is>
          <t>Hiring Now</t>
        </is>
      </c>
      <c r="AA1853">
        <v>2</v>
      </c>
      <c r="AB1853" t="inlineStr">
        <is>
          <t>No Appointment Made</t>
        </is>
      </c>
      <c r="AC1853"/>
      <c r="AD1853" t="inlineStr">
        <is>
          <t>2 internship</t>
        </is>
      </c>
      <c r="AE1853"/>
      <c r="AF1853">
        <v>0</v>
      </c>
      <c r="AG1853" s="4"/>
      <c r="AH1853" s="4"/>
      <c r="AI1853">
        <v>0</v>
      </c>
      <c r="AJ1853"/>
      <c r="AK1853" t="inlineStr">
        <is>
          <t>No, I don't need at all</t>
        </is>
      </c>
      <c r="AL1853">
        <v>0</v>
      </c>
      <c r="AM1853" t="inlineStr">
        <is>
          <t>No, I don't need at all</t>
        </is>
      </c>
      <c r="AN1853"/>
      <c r="AO1853" t="inlineStr">
        <is>
          <t>No, I don't need at all</t>
        </is>
      </c>
      <c r="AP1853" t="inlineStr">
        <is>
          <t>Once a year (25%)</t>
        </is>
      </c>
      <c r="AQ1853">
        <v>2</v>
      </c>
      <c r="AR1853" t="inlineStr">
        <is>
          <t>Jobstreet, Free Job Portal</t>
        </is>
      </c>
      <c r="AS1853" t="inlineStr">
        <is>
          <t>- Headcount: 2
- Hiring Job Details: 2 internship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Jobstreet,Free Job Portal</t>
        </is>
      </c>
      <c r="AT1853">
        <v>85</v>
      </c>
      <c r="AU1853" t="inlineStr">
        <is>
          <t>0.85</t>
        </is>
      </c>
      <c r="AV1853" t="inlineStr">
        <is>
          <t>15</t>
        </is>
      </c>
      <c r="AW1853" t="inlineStr">
        <is>
          <t>0</t>
        </is>
      </c>
      <c r="AX1853" t="inlineStr">
        <is>
          <t>Not Qualified</t>
        </is>
      </c>
      <c r="AY1853" s="4"/>
      <c r="AZ1853"/>
      <c r="BA1853"/>
      <c r="BB1853"/>
      <c r="BC1853"/>
      <c r="BD1853" s="4"/>
      <c r="BE1853"/>
      <c r="BF1853"/>
      <c r="BG1853" t="inlineStr">
        <is>
          <t>Reschedule</t>
        </is>
      </c>
      <c r="BH1853" t="inlineStr">
        <is>
          <t>Yee Hang</t>
        </is>
      </c>
      <c r="BI1853"/>
      <c r="BJ1853" s="4">
        <v>46144.75581018518</v>
      </c>
      <c r="BK1853" s="4">
        <v>46126.38543981482</v>
      </c>
      <c r="BL1853" t="inlineStr">
        <is>
          <t>0.0</t>
        </is>
      </c>
      <c r="BM1853" t="inlineStr">
        <is>
          <t>0.0</t>
        </is>
      </c>
      <c r="BN1853"/>
      <c r="BO1853" s="4"/>
      <c r="BP1853">
        <v>166862</v>
      </c>
      <c r="BQ1853"/>
      <c r="BR1853"/>
      <c r="BS1853"/>
      <c r="BT1853"/>
      <c r="BU1853"/>
      <c r="BV1853"/>
      <c r="BW1853"/>
      <c r="BX1853"/>
      <c r="BY1853"/>
      <c r="BZ1853" s="4"/>
      <c r="CA1853"/>
      <c r="CB1853"/>
      <c r="CC1853" s="4"/>
      <c r="CD1853" t="inlineStr">
        <is>
          <t>20</t>
        </is>
      </c>
      <c r="CE1853" t="inlineStr">
        <is>
          <t>0</t>
        </is>
      </c>
      <c r="CF1853" t="inlineStr">
        <is>
          <t>Q2-W02</t>
        </is>
      </c>
      <c r="CG1853"/>
      <c r="CH1853"/>
      <c r="CI1853"/>
      <c r="CJ1853" t="inlineStr">
        <is>
          <t>No Paid</t>
        </is>
      </c>
      <c r="CK1853" t="inlineStr">
        <is>
          <t>Not Eligible</t>
        </is>
      </c>
      <c r="CL1853"/>
      <c r="CM1853"/>
    </row>
    <row r="1854" ht="25.5" customHeight="1">
      <c r="A1854" t="inlineStr">
        <is>
          <t>203201</t>
        </is>
      </c>
      <c r="B1854" s="2"/>
      <c r="C1854"/>
      <c r="D1854" s="3">
        <v>46126.422581018516</v>
      </c>
      <c r="E1854" t="inlineStr">
        <is>
          <t>Q2-W02</t>
        </is>
      </c>
      <c r="F1854" t="inlineStr">
        <is>
          <t>Xin Quan</t>
        </is>
      </c>
      <c r="G1854" t="inlineStr">
        <is>
          <t>Customer</t>
        </is>
      </c>
      <c r="H1854" s="2" t="str">
        <f>=HYPERLINK("https://upbox.ajobthing.my/customer/203201", "https://upbox.ajobthing.my/customer/203201")</f>
        <v>https://upbox.ajobthing.my/customer/203201</v>
      </c>
      <c r="I1854" t="inlineStr">
        <is>
          <t>JIREH AUTOMATION SDN BHD</t>
        </is>
      </c>
      <c r="J1854" t="inlineStr">
        <is>
          <t>Small Fish</t>
        </is>
      </c>
      <c r="K1854" t="inlineStr">
        <is>
          <t>Xin Quan</t>
        </is>
      </c>
      <c r="L1854" s="4"/>
      <c r="M1854" s="4">
        <v>46126.42266203704</v>
      </c>
      <c r="N1854"/>
      <c r="O1854">
        <v>3888</v>
      </c>
      <c r="P1854" s="4"/>
      <c r="Q1854" s="4"/>
      <c r="R1854"/>
      <c r="S1854"/>
      <c r="T1854" s="4"/>
      <c r="U1854" s="4"/>
      <c r="V1854"/>
      <c r="W1854"/>
      <c r="X1854"/>
      <c r="Y1854" t="inlineStr">
        <is>
          <t>Pending Appointment</t>
        </is>
      </c>
      <c r="Z1854" t="inlineStr">
        <is>
          <t>Hiring Now</t>
        </is>
      </c>
      <c r="AA1854">
        <v>1</v>
      </c>
      <c r="AB1854" t="inlineStr">
        <is>
          <t>No Appointment Made</t>
        </is>
      </c>
      <c r="AC1854"/>
      <c r="AD1854" t="inlineStr">
        <is>
          <t>1 Engineer , Base in KL</t>
        </is>
      </c>
      <c r="AE1854"/>
      <c r="AF1854">
        <v>2000</v>
      </c>
      <c r="AG1854" s="4"/>
      <c r="AH1854" s="4"/>
      <c r="AI1854">
        <v>24000</v>
      </c>
      <c r="AJ1854">
        <v>1</v>
      </c>
      <c r="AK1854"/>
      <c r="AL1854"/>
      <c r="AM1854"/>
      <c r="AN1854"/>
      <c r="AO1854"/>
      <c r="AP1854"/>
      <c r="AQ1854">
        <v>1</v>
      </c>
      <c r="AR1854"/>
      <c r="AS1854" t="inlineStr">
        <is>
          <t>- Headcount: 1
- Hiring Job Details: 1 Engineer,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854">
        <v>95</v>
      </c>
      <c r="AU1854" t="inlineStr">
        <is>
          <t>0.95</t>
        </is>
      </c>
      <c r="AV1854" t="inlineStr">
        <is>
          <t>15</t>
        </is>
      </c>
      <c r="AW1854" t="inlineStr">
        <is>
          <t>0</t>
        </is>
      </c>
      <c r="AX1854" t="inlineStr">
        <is>
          <t>Not Qualified</t>
        </is>
      </c>
      <c r="AY1854" s="4"/>
      <c r="AZ1854"/>
      <c r="BA1854"/>
      <c r="BB1854"/>
      <c r="BC1854" t="inlineStr">
        <is>
          <t>MIA</t>
        </is>
      </c>
      <c r="BD1854" s="4">
        <v>46135.61817129629</v>
      </c>
      <c r="BE1854"/>
      <c r="BF1854"/>
      <c r="BG1854" t="inlineStr">
        <is>
          <t>Reschedule</t>
        </is>
      </c>
      <c r="BH1854" t="inlineStr">
        <is>
          <t>Edward Hoo</t>
        </is>
      </c>
      <c r="BI1854"/>
      <c r="BJ1854" s="4">
        <v>46144.75423611111</v>
      </c>
      <c r="BK1854" s="4">
        <v>46126.42115740741</v>
      </c>
      <c r="BL1854" t="inlineStr">
        <is>
          <t>0.0</t>
        </is>
      </c>
      <c r="BM1854" t="inlineStr">
        <is>
          <t>0.0</t>
        </is>
      </c>
      <c r="BN1854"/>
      <c r="BO1854" s="4"/>
      <c r="BP1854">
        <v>166868</v>
      </c>
      <c r="BQ1854"/>
      <c r="BR1854"/>
      <c r="BS1854"/>
      <c r="BT1854"/>
      <c r="BU1854"/>
      <c r="BV1854">
        <v>2723753</v>
      </c>
      <c r="BW1854" t="inlineStr">
        <is>
          <t>Inquire for Hiring Needs : No Hiring</t>
        </is>
      </c>
      <c r="BX1854"/>
      <c r="BY1854"/>
      <c r="BZ1854" s="4"/>
      <c r="CA1854"/>
      <c r="CB1854"/>
      <c r="CC1854" s="4"/>
      <c r="CD1854" t="inlineStr">
        <is>
          <t>20</t>
        </is>
      </c>
      <c r="CE1854" t="inlineStr">
        <is>
          <t>0</t>
        </is>
      </c>
      <c r="CF1854" t="inlineStr">
        <is>
          <t>Q2-W02</t>
        </is>
      </c>
      <c r="CG1854"/>
      <c r="CH1854"/>
      <c r="CI1854"/>
      <c r="CJ1854" t="inlineStr">
        <is>
          <t>No Paid</t>
        </is>
      </c>
      <c r="CK1854" t="inlineStr">
        <is>
          <t>Not Eligible</t>
        </is>
      </c>
      <c r="CL1854"/>
      <c r="CM1854"/>
    </row>
    <row r="1855" ht="25.5" customHeight="1">
      <c r="A1855" t="inlineStr">
        <is>
          <t>192218</t>
        </is>
      </c>
      <c r="B1855" s="2"/>
      <c r="C1855"/>
      <c r="D1855" s="3">
        <v>46126.4259375</v>
      </c>
      <c r="E1855" t="inlineStr">
        <is>
          <t>Q2-W02</t>
        </is>
      </c>
      <c r="F1855" t="inlineStr">
        <is>
          <t>Derek Lim</t>
        </is>
      </c>
      <c r="G1855" t="inlineStr">
        <is>
          <t>Customer</t>
        </is>
      </c>
      <c r="H1855" s="2" t="str">
        <f>=HYPERLINK("https://upbox.ajobthing.my/customer/192218", "https://upbox.ajobthing.my/customer/192218")</f>
        <v>https://upbox.ajobthing.my/customer/192218</v>
      </c>
      <c r="I1855" t="inlineStr">
        <is>
          <t>Alpine Legacy (m) Sdn Bhd</t>
        </is>
      </c>
      <c r="J1855" t="inlineStr">
        <is>
          <t>Small Fish</t>
        </is>
      </c>
      <c r="K1855" t="inlineStr">
        <is>
          <t>Derek Lim</t>
        </is>
      </c>
      <c r="L1855" s="4"/>
      <c r="M1855" s="4">
        <v>46126.426041666666</v>
      </c>
      <c r="N1855"/>
      <c r="O1855">
        <v>6048</v>
      </c>
      <c r="P1855" s="4"/>
      <c r="Q1855" s="4"/>
      <c r="R1855"/>
      <c r="S1855"/>
      <c r="T1855" s="4"/>
      <c r="U1855" s="4"/>
      <c r="V1855"/>
      <c r="W1855"/>
      <c r="X1855"/>
      <c r="Y1855" t="inlineStr">
        <is>
          <t>Pending Appointment</t>
        </is>
      </c>
      <c r="Z1855" t="inlineStr">
        <is>
          <t>Hiring Now</t>
        </is>
      </c>
      <c r="AA1855">
        <v>5</v>
      </c>
      <c r="AB1855" t="inlineStr">
        <is>
          <t>No Appointment Made</t>
        </is>
      </c>
      <c r="AC1855"/>
      <c r="AD1855" t="inlineStr">
        <is>
          <t>Front desk office - 2, housekeeper - 1, kitchen helper - 1, security guard</t>
        </is>
      </c>
      <c r="AE1855"/>
      <c r="AF1855">
        <v>1000</v>
      </c>
      <c r="AG1855" s="4"/>
      <c r="AH1855" s="4"/>
      <c r="AI1855">
        <v>2000</v>
      </c>
      <c r="AJ1855">
        <v>1</v>
      </c>
      <c r="AK1855" t="inlineStr">
        <is>
          <t>No, but I want in future</t>
        </is>
      </c>
      <c r="AL1855">
        <v>0</v>
      </c>
      <c r="AM1855" t="inlineStr">
        <is>
          <t>No, I don't need at all</t>
        </is>
      </c>
      <c r="AN1855"/>
      <c r="AO1855" t="inlineStr">
        <is>
          <t>No, but I want in future</t>
        </is>
      </c>
      <c r="AP1855" t="inlineStr">
        <is>
          <t>Twice a year (50%)</t>
        </is>
      </c>
      <c r="AQ1855">
        <v>3</v>
      </c>
      <c r="AR1855" t="inlineStr">
        <is>
          <t>Jobstreet</t>
        </is>
      </c>
      <c r="AS1855" t="inlineStr">
        <is>
          <t>- Headcount: 5
- Hiring Job Details: Front desk office - 2, housekeeper - 1, kitchen helper - 1, security guard
- Hiring Urgency: Hiring Now
- Number of outlets: 1
- Have recruiter team: No, but want in future
- Number of recruiter in company: 0
- Have ATS system: No, don't need at all
- Have career website: No, but want in future
- Current hiring budget: RM1,000
- Whole year budget: RM2,000.00
- Whole year number of vacancies: 3
- Hiring frequency: Twice a year (50%)
- External job portal: Jobstreet</t>
        </is>
      </c>
      <c r="AT1855">
        <v>95</v>
      </c>
      <c r="AU1855" t="inlineStr">
        <is>
          <t>0.95</t>
        </is>
      </c>
      <c r="AV1855" t="inlineStr">
        <is>
          <t>20</t>
        </is>
      </c>
      <c r="AW1855" t="inlineStr">
        <is>
          <t>0</t>
        </is>
      </c>
      <c r="AX1855" t="inlineStr">
        <is>
          <t>Not Qualified</t>
        </is>
      </c>
      <c r="AY1855" s="4"/>
      <c r="AZ1855"/>
      <c r="BA1855"/>
      <c r="BB1855"/>
      <c r="BC1855" t="inlineStr">
        <is>
          <t>SHE SAY NO BUDGET MAYBE NEXT MONTH WILL SEE HOW AGAIN SHE WILL HIGHLIGHT WITH HER MANAGEMENT. BECAUSE HOTEL BUSINESS NOT THAT GOOD</t>
        </is>
      </c>
      <c r="BD1855" s="4">
        <v>46128.61601851852</v>
      </c>
      <c r="BE1855"/>
      <c r="BF1855"/>
      <c r="BG1855" t="inlineStr">
        <is>
          <t>Reschedule</t>
        </is>
      </c>
      <c r="BH1855" t="inlineStr">
        <is>
          <t>Edward Hoo</t>
        </is>
      </c>
      <c r="BI1855" t="inlineStr">
        <is>
          <t>Property / Real Estate</t>
        </is>
      </c>
      <c r="BJ1855" s="4">
        <v>46144.752546296295</v>
      </c>
      <c r="BK1855" s="4">
        <v>45813.53761574074</v>
      </c>
      <c r="BL1855" t="inlineStr">
        <is>
          <t>0.0</t>
        </is>
      </c>
      <c r="BM1855" t="inlineStr">
        <is>
          <t>0.0</t>
        </is>
      </c>
      <c r="BN1855" t="inlineStr">
        <is>
          <t>View Company Page</t>
        </is>
      </c>
      <c r="BO1855" s="4">
        <v>45814.471296296295</v>
      </c>
      <c r="BP1855">
        <v>166870</v>
      </c>
      <c r="BQ1855"/>
      <c r="BR1855"/>
      <c r="BS1855"/>
      <c r="BT1855"/>
      <c r="BU1855"/>
      <c r="BV1855">
        <v>2709500</v>
      </c>
      <c r="BW1855" t="inlineStr">
        <is>
          <t>Follow Up : Budget Concern</t>
        </is>
      </c>
      <c r="BX1855"/>
      <c r="BY1855"/>
      <c r="BZ1855" s="4"/>
      <c r="CA1855"/>
      <c r="CB1855"/>
      <c r="CC1855" s="4"/>
      <c r="CD1855" t="inlineStr">
        <is>
          <t>30</t>
        </is>
      </c>
      <c r="CE1855" t="inlineStr">
        <is>
          <t>0</t>
        </is>
      </c>
      <c r="CF1855" t="inlineStr">
        <is>
          <t>Q2-W02</t>
        </is>
      </c>
      <c r="CG1855"/>
      <c r="CH1855"/>
      <c r="CI1855"/>
      <c r="CJ1855" t="inlineStr">
        <is>
          <t>No Paid</t>
        </is>
      </c>
      <c r="CK1855" t="inlineStr">
        <is>
          <t>Not Eligible</t>
        </is>
      </c>
      <c r="CL1855"/>
      <c r="CM1855"/>
    </row>
    <row r="1856" ht="25.5" customHeight="1">
      <c r="A1856" t="inlineStr">
        <is>
          <t>203195</t>
        </is>
      </c>
      <c r="B1856" s="2"/>
      <c r="C1856"/>
      <c r="D1856" s="3">
        <v>46126.426030092596</v>
      </c>
      <c r="E1856" t="inlineStr">
        <is>
          <t>Q2-W02</t>
        </is>
      </c>
      <c r="F1856" t="inlineStr">
        <is>
          <t>Keegan</t>
        </is>
      </c>
      <c r="G1856" t="inlineStr">
        <is>
          <t>Customer</t>
        </is>
      </c>
      <c r="H1856" s="2" t="str">
        <f>=HYPERLINK("https://upbox.ajobthing.my/customer/203195", "https://upbox.ajobthing.my/customer/203195")</f>
        <v>https://upbox.ajobthing.my/customer/203195</v>
      </c>
      <c r="I1856" t="inlineStr">
        <is>
          <t>Laundrybot Sdn Bhd</t>
        </is>
      </c>
      <c r="J1856" t="inlineStr">
        <is>
          <t>Small Fish</t>
        </is>
      </c>
      <c r="K1856" t="inlineStr">
        <is>
          <t>Keegan</t>
        </is>
      </c>
      <c r="L1856" s="4"/>
      <c r="M1856" s="4">
        <v>46126.426099537035</v>
      </c>
      <c r="N1856"/>
      <c r="O1856">
        <v>6048</v>
      </c>
      <c r="P1856" s="4"/>
      <c r="Q1856" s="4">
        <v>46126.02956018518</v>
      </c>
      <c r="R1856"/>
      <c r="S1856">
        <v>0</v>
      </c>
      <c r="T1856" s="4"/>
      <c r="U1856" s="4"/>
      <c r="V1856"/>
      <c r="W1856"/>
      <c r="X1856"/>
      <c r="Y1856" t="inlineStr">
        <is>
          <t>Pending Appointment</t>
        </is>
      </c>
      <c r="Z1856" t="inlineStr">
        <is>
          <t>Hiring Now</t>
        </is>
      </c>
      <c r="AA1856">
        <v>3</v>
      </c>
      <c r="AB1856" t="inlineStr">
        <is>
          <t>No Appointment Made</t>
        </is>
      </c>
      <c r="AC1856"/>
      <c r="AD1856" t="inlineStr">
        <is>
          <t xml:space="preserve">1. Admin
2. Sales 
3. Operator </t>
        </is>
      </c>
      <c r="AE1856"/>
      <c r="AF1856"/>
      <c r="AG1856" s="4"/>
      <c r="AH1856" s="4"/>
      <c r="AI1856"/>
      <c r="AJ1856">
        <v>1</v>
      </c>
      <c r="AK1856" t="inlineStr">
        <is>
          <t>No, I don't need at all</t>
        </is>
      </c>
      <c r="AL1856">
        <v>0</v>
      </c>
      <c r="AM1856" t="inlineStr">
        <is>
          <t>No, I don't need at all</t>
        </is>
      </c>
      <c r="AN1856"/>
      <c r="AO1856" t="inlineStr">
        <is>
          <t>No, I don't need at all</t>
        </is>
      </c>
      <c r="AP1856" t="inlineStr">
        <is>
          <t>Once per quarter (75%)</t>
        </is>
      </c>
      <c r="AQ1856"/>
      <c r="AR1856" t="inlineStr">
        <is>
          <t>Did not use any job portal</t>
        </is>
      </c>
      <c r="AS1856" t="inlineStr">
        <is>
          <t>- Headcount: 3
- Hiring Job Details: 1. Admin\n2. Sales\n3. Operator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56">
        <v>85</v>
      </c>
      <c r="AU1856" t="inlineStr">
        <is>
          <t>0.85</t>
        </is>
      </c>
      <c r="AV1856" t="inlineStr">
        <is>
          <t>5</t>
        </is>
      </c>
      <c r="AW1856" t="inlineStr">
        <is>
          <t>0</t>
        </is>
      </c>
      <c r="AX1856" t="inlineStr">
        <is>
          <t>Not Qualified</t>
        </is>
      </c>
      <c r="AY1856" s="4"/>
      <c r="AZ1856"/>
      <c r="BA1856"/>
      <c r="BB1856"/>
      <c r="BC1856" t="inlineStr">
        <is>
          <t>no decision yet</t>
        </is>
      </c>
      <c r="BD1856" s="4">
        <v>46142.711747685185</v>
      </c>
      <c r="BE1856" t="inlineStr">
        <is>
          <t>paid</t>
        </is>
      </c>
      <c r="BF1856"/>
      <c r="BG1856" t="inlineStr">
        <is>
          <t>Reschedule</t>
        </is>
      </c>
      <c r="BH1856" t="inlineStr">
        <is>
          <t>Edward Hoo</t>
        </is>
      </c>
      <c r="BI1856"/>
      <c r="BJ1856" s="4">
        <v>46144.75423611111</v>
      </c>
      <c r="BK1856" s="4">
        <v>46126.02630787037</v>
      </c>
      <c r="BL1856" t="inlineStr">
        <is>
          <t>0.0</t>
        </is>
      </c>
      <c r="BM1856" t="inlineStr">
        <is>
          <t>0.0</t>
        </is>
      </c>
      <c r="BN1856" t="inlineStr">
        <is>
          <t>View Account User</t>
        </is>
      </c>
      <c r="BO1856" s="4">
        <v>46126.03533564815</v>
      </c>
      <c r="BP1856">
        <v>166871</v>
      </c>
      <c r="BQ1856">
        <v>122118</v>
      </c>
      <c r="BR1856" t="inlineStr">
        <is>
          <t>Proforma</t>
        </is>
      </c>
      <c r="BS1856" t="inlineStr">
        <is>
          <t>Free Part-Time Job</t>
        </is>
      </c>
      <c r="BT1856"/>
      <c r="BU1856"/>
      <c r="BV1856">
        <v>2738306</v>
      </c>
      <c r="BW1856" t="inlineStr">
        <is>
          <t>Follow Up : Decision Pending</t>
        </is>
      </c>
      <c r="BX1856"/>
      <c r="BY1856"/>
      <c r="BZ1856" s="4"/>
      <c r="CA1856"/>
      <c r="CB1856"/>
      <c r="CC1856" s="4"/>
      <c r="CD1856" t="inlineStr">
        <is>
          <t>5</t>
        </is>
      </c>
      <c r="CE1856" t="inlineStr">
        <is>
          <t>0</t>
        </is>
      </c>
      <c r="CF1856" t="inlineStr">
        <is>
          <t>Q2-W02</t>
        </is>
      </c>
      <c r="CG1856" t="inlineStr">
        <is>
          <t>Q2-W02</t>
        </is>
      </c>
      <c r="CH1856"/>
      <c r="CI1856"/>
      <c r="CJ1856" t="inlineStr">
        <is>
          <t>No Paid</t>
        </is>
      </c>
      <c r="CK1856" t="inlineStr">
        <is>
          <t>Not Eligible</t>
        </is>
      </c>
      <c r="CL1856"/>
      <c r="CM1856"/>
    </row>
    <row r="1857" ht="25.5" customHeight="1">
      <c r="A1857" t="inlineStr">
        <is>
          <t>191974</t>
        </is>
      </c>
      <c r="B1857" s="2"/>
      <c r="C1857"/>
      <c r="D1857" s="3">
        <v>46126.42896990741</v>
      </c>
      <c r="E1857" t="inlineStr">
        <is>
          <t>Q2-W02</t>
        </is>
      </c>
      <c r="F1857" t="inlineStr">
        <is>
          <t>Jia Hui</t>
        </is>
      </c>
      <c r="G1857" t="inlineStr">
        <is>
          <t>Customer</t>
        </is>
      </c>
      <c r="H1857" s="2" t="str">
        <f>=HYPERLINK("https://upbox.ajobthing.my/customer/191974", "https://upbox.ajobthing.my/customer/191974")</f>
        <v>https://upbox.ajobthing.my/customer/191974</v>
      </c>
      <c r="I1857" t="inlineStr">
        <is>
          <t>IFA TRADING SDN BHD</t>
        </is>
      </c>
      <c r="J1857" t="inlineStr">
        <is>
          <t>Small Fish</t>
        </is>
      </c>
      <c r="K1857" t="inlineStr">
        <is>
          <t>Jia Hui</t>
        </is>
      </c>
      <c r="L1857" s="4"/>
      <c r="M1857" s="4">
        <v>46126.4290625</v>
      </c>
      <c r="N1857"/>
      <c r="O1857">
        <v>3888</v>
      </c>
      <c r="P1857" s="4"/>
      <c r="Q1857" s="4"/>
      <c r="R1857"/>
      <c r="S1857"/>
      <c r="T1857" s="4"/>
      <c r="U1857" s="4"/>
      <c r="V1857"/>
      <c r="W1857"/>
      <c r="X1857"/>
      <c r="Y1857" t="inlineStr">
        <is>
          <t>Pending Appointment</t>
        </is>
      </c>
      <c r="Z1857" t="inlineStr">
        <is>
          <t>Hiring Now</t>
        </is>
      </c>
      <c r="AA1857">
        <v>1</v>
      </c>
      <c r="AB1857" t="inlineStr">
        <is>
          <t>No Appointment Made</t>
        </is>
      </c>
      <c r="AC1857"/>
      <c r="AD1857" t="inlineStr">
        <is>
          <t>1 admin</t>
        </is>
      </c>
      <c r="AE1857"/>
      <c r="AF1857">
        <v>500</v>
      </c>
      <c r="AG1857" s="4"/>
      <c r="AH1857" s="4"/>
      <c r="AI1857"/>
      <c r="AJ1857"/>
      <c r="AK1857" t="inlineStr">
        <is>
          <t>No, but I want in future</t>
        </is>
      </c>
      <c r="AL1857"/>
      <c r="AM1857"/>
      <c r="AN1857"/>
      <c r="AO1857"/>
      <c r="AP1857" t="inlineStr">
        <is>
          <t>Once a year (25%)</t>
        </is>
      </c>
      <c r="AQ1857"/>
      <c r="AR1857"/>
      <c r="AS1857" t="inlineStr">
        <is>
          <t>- Headcount: 1
- Hiring Job Details: 1 admin
- Hiring Urgency: Hiring Now
- Number of outlets: Not specified
- Have recruiter team: No, but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1857">
        <v>65</v>
      </c>
      <c r="AU1857" t="inlineStr">
        <is>
          <t>0.65</t>
        </is>
      </c>
      <c r="AV1857" t="inlineStr">
        <is>
          <t>15</t>
        </is>
      </c>
      <c r="AW1857" t="inlineStr">
        <is>
          <t>0</t>
        </is>
      </c>
      <c r="AX1857" t="inlineStr">
        <is>
          <t>Not Qualified</t>
        </is>
      </c>
      <c r="AY1857" s="4"/>
      <c r="AZ1857"/>
      <c r="BA1857"/>
      <c r="BB1857"/>
      <c r="BC1857" t="inlineStr">
        <is>
          <t>no ans</t>
        </is>
      </c>
      <c r="BD1857" s="4">
        <v>46128.72788194445</v>
      </c>
      <c r="BE1857"/>
      <c r="BF1857"/>
      <c r="BG1857" t="inlineStr">
        <is>
          <t>Reschedule</t>
        </is>
      </c>
      <c r="BH1857" t="inlineStr">
        <is>
          <t>Reagen</t>
        </is>
      </c>
      <c r="BI1857"/>
      <c r="BJ1857" s="4">
        <v>46144.7524537037</v>
      </c>
      <c r="BK1857" s="4">
        <v>45806.62572916667</v>
      </c>
      <c r="BL1857" t="inlineStr">
        <is>
          <t>0.0</t>
        </is>
      </c>
      <c r="BM1857" t="inlineStr">
        <is>
          <t>0.0</t>
        </is>
      </c>
      <c r="BN1857"/>
      <c r="BO1857" s="4"/>
      <c r="BP1857">
        <v>166873</v>
      </c>
      <c r="BQ1857"/>
      <c r="BR1857"/>
      <c r="BS1857"/>
      <c r="BT1857"/>
      <c r="BU1857"/>
      <c r="BV1857">
        <v>2710497</v>
      </c>
      <c r="BW1857" t="inlineStr">
        <is>
          <t>No Answer : Voicemail - WA sent to customer</t>
        </is>
      </c>
      <c r="BX1857"/>
      <c r="BY1857"/>
      <c r="BZ1857" s="4"/>
      <c r="CA1857"/>
      <c r="CB1857"/>
      <c r="CC1857" s="4"/>
      <c r="CD1857" t="inlineStr">
        <is>
          <t>20</t>
        </is>
      </c>
      <c r="CE1857" t="inlineStr">
        <is>
          <t>0</t>
        </is>
      </c>
      <c r="CF1857" t="inlineStr">
        <is>
          <t>Q2-W02</t>
        </is>
      </c>
      <c r="CG1857"/>
      <c r="CH1857"/>
      <c r="CI1857"/>
      <c r="CJ1857" t="inlineStr">
        <is>
          <t>No Paid</t>
        </is>
      </c>
      <c r="CK1857" t="inlineStr">
        <is>
          <t>Not Eligible</t>
        </is>
      </c>
      <c r="CL1857"/>
      <c r="CM1857"/>
    </row>
    <row r="1858" ht="25.5" customHeight="1">
      <c r="A1858" t="inlineStr">
        <is>
          <t>200001</t>
        </is>
      </c>
      <c r="B1858" s="2"/>
      <c r="C1858"/>
      <c r="D1858" s="3">
        <v>46126.4434837963</v>
      </c>
      <c r="E1858" t="inlineStr">
        <is>
          <t>Q2-W02</t>
        </is>
      </c>
      <c r="F1858" t="inlineStr">
        <is>
          <t>Keegan</t>
        </is>
      </c>
      <c r="G1858" t="inlineStr">
        <is>
          <t>Customer</t>
        </is>
      </c>
      <c r="H1858" s="2" t="str">
        <f>=HYPERLINK("https://upbox.ajobthing.my/customer/200001", "https://upbox.ajobthing.my/customer/200001")</f>
        <v>https://upbox.ajobthing.my/customer/200001</v>
      </c>
      <c r="I1858" t="inlineStr">
        <is>
          <t>Law Recruitment</t>
        </is>
      </c>
      <c r="J1858" t="inlineStr">
        <is>
          <t>Small Fish</t>
        </is>
      </c>
      <c r="K1858" t="inlineStr">
        <is>
          <t>Keegan</t>
        </is>
      </c>
      <c r="L1858" s="4"/>
      <c r="M1858" s="4">
        <v>46126.44390046296</v>
      </c>
      <c r="N1858"/>
      <c r="O1858">
        <v>6048</v>
      </c>
      <c r="P1858" s="4"/>
      <c r="Q1858" s="4"/>
      <c r="R1858"/>
      <c r="S1858"/>
      <c r="T1858" s="4"/>
      <c r="U1858" s="4"/>
      <c r="V1858"/>
      <c r="W1858"/>
      <c r="X1858"/>
      <c r="Y1858" t="inlineStr">
        <is>
          <t>Pending Appointment</t>
        </is>
      </c>
      <c r="Z1858" t="inlineStr">
        <is>
          <t>Hiring Now</t>
        </is>
      </c>
      <c r="AA1858">
        <v>2</v>
      </c>
      <c r="AB1858" t="inlineStr">
        <is>
          <t>No Appointment Made</t>
        </is>
      </c>
      <c r="AC1858"/>
      <c r="AD1858" t="inlineStr">
        <is>
          <t xml:space="preserve">1. Admin
2. Recruiter </t>
        </is>
      </c>
      <c r="AE1858"/>
      <c r="AF1858"/>
      <c r="AG1858" s="4"/>
      <c r="AH1858" s="4"/>
      <c r="AI1858"/>
      <c r="AJ1858">
        <v>1</v>
      </c>
      <c r="AK1858" t="inlineStr">
        <is>
          <t>No, I don't need at all</t>
        </is>
      </c>
      <c r="AL1858">
        <v>0</v>
      </c>
      <c r="AM1858" t="inlineStr">
        <is>
          <t>No, I don't need at all</t>
        </is>
      </c>
      <c r="AN1858"/>
      <c r="AO1858" t="inlineStr">
        <is>
          <t>No, I don't need at all</t>
        </is>
      </c>
      <c r="AP1858" t="inlineStr">
        <is>
          <t>Once per quarter (75%)</t>
        </is>
      </c>
      <c r="AQ1858"/>
      <c r="AR1858" t="inlineStr">
        <is>
          <t>Did not use any job portal</t>
        </is>
      </c>
      <c r="AS1858" t="inlineStr">
        <is>
          <t>- Headcount: 2
- Hiring Job Details: 1. Admin\n2.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58">
        <v>75</v>
      </c>
      <c r="AU1858" t="inlineStr">
        <is>
          <t>0.75</t>
        </is>
      </c>
      <c r="AV1858" t="inlineStr">
        <is>
          <t>5</t>
        </is>
      </c>
      <c r="AW1858" t="inlineStr">
        <is>
          <t>0</t>
        </is>
      </c>
      <c r="AX1858" t="inlineStr">
        <is>
          <t>Not Qualified</t>
        </is>
      </c>
      <c r="AY1858" s="4"/>
      <c r="AZ1858"/>
      <c r="BA1858"/>
      <c r="BB1858"/>
      <c r="BC1858" t="inlineStr">
        <is>
          <t>- Headcount: 2
- Hiring Job Details: 1. Admin\n2. Recruiter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1858" s="4">
        <v>46126.45836805556</v>
      </c>
      <c r="BE1858"/>
      <c r="BF1858"/>
      <c r="BG1858" t="inlineStr">
        <is>
          <t>Reschedule</t>
        </is>
      </c>
      <c r="BH1858" t="inlineStr">
        <is>
          <t>Edward Hoo</t>
        </is>
      </c>
      <c r="BI1858"/>
      <c r="BJ1858" s="4">
        <v>46144.75344907407</v>
      </c>
      <c r="BK1858" s="4">
        <v>46028.58347222222</v>
      </c>
      <c r="BL1858" t="inlineStr">
        <is>
          <t>0.0</t>
        </is>
      </c>
      <c r="BM1858" t="inlineStr">
        <is>
          <t>0.0</t>
        </is>
      </c>
      <c r="BN1858" t="inlineStr">
        <is>
          <t>View Create Job Page V4</t>
        </is>
      </c>
      <c r="BO1858" s="4">
        <v>46028.61016203704</v>
      </c>
      <c r="BP1858">
        <v>166886</v>
      </c>
      <c r="BQ1858"/>
      <c r="BR1858"/>
      <c r="BS1858"/>
      <c r="BT1858"/>
      <c r="BU1858"/>
      <c r="BV1858">
        <v>2702807</v>
      </c>
      <c r="BW1858" t="inlineStr">
        <is>
          <t>Customer Inquiry</t>
        </is>
      </c>
      <c r="BX1858"/>
      <c r="BY1858"/>
      <c r="BZ1858" s="4"/>
      <c r="CA1858"/>
      <c r="CB1858"/>
      <c r="CC1858" s="4"/>
      <c r="CD1858" t="inlineStr">
        <is>
          <t>5</t>
        </is>
      </c>
      <c r="CE1858" t="inlineStr">
        <is>
          <t>0</t>
        </is>
      </c>
      <c r="CF1858" t="inlineStr">
        <is>
          <t>Q2-W02</t>
        </is>
      </c>
      <c r="CG1858"/>
      <c r="CH1858"/>
      <c r="CI1858"/>
      <c r="CJ1858" t="inlineStr">
        <is>
          <t>No Paid</t>
        </is>
      </c>
      <c r="CK1858" t="inlineStr">
        <is>
          <t>Not Eligible</t>
        </is>
      </c>
      <c r="CL1858"/>
      <c r="CM1858"/>
    </row>
    <row r="1859" ht="25.5" customHeight="1">
      <c r="A1859" t="inlineStr">
        <is>
          <t>4279754</t>
        </is>
      </c>
      <c r="B1859" s="2"/>
      <c r="C1859"/>
      <c r="D1859" s="3">
        <v>46126.44789351852</v>
      </c>
      <c r="E1859" t="inlineStr">
        <is>
          <t>Q2-W02</t>
        </is>
      </c>
      <c r="F1859" t="inlineStr">
        <is>
          <t>Jia Hui</t>
        </is>
      </c>
      <c r="G1859" t="inlineStr">
        <is>
          <t>Lead</t>
        </is>
      </c>
      <c r="H1859" s="2" t="str">
        <f>=HYPERLINK("https://upbox.ajobthing.my/leads/4279754", "https://upbox.ajobthing.my/leads/4279754")</f>
        <v>https://upbox.ajobthing.my/leads/4279754</v>
      </c>
      <c r="I1859" t="inlineStr">
        <is>
          <t>AJ Ocean Ventures</t>
        </is>
      </c>
      <c r="J1859" t="inlineStr">
        <is>
          <t>Small Fish</t>
        </is>
      </c>
      <c r="K1859" t="inlineStr">
        <is>
          <t>Jia Hui</t>
        </is>
      </c>
      <c r="L1859" s="4"/>
      <c r="M1859" s="4">
        <v>46126.44824074074</v>
      </c>
      <c r="N1859"/>
      <c r="O1859">
        <v>3888</v>
      </c>
      <c r="P1859" s="4"/>
      <c r="Q1859" s="4"/>
      <c r="R1859"/>
      <c r="S1859"/>
      <c r="T1859" s="4"/>
      <c r="U1859" s="4"/>
      <c r="V1859"/>
      <c r="W1859"/>
      <c r="X1859"/>
      <c r="Y1859" t="inlineStr">
        <is>
          <t>Pending Appointment</t>
        </is>
      </c>
      <c r="Z1859" t="inlineStr">
        <is>
          <t>Hiring Now</t>
        </is>
      </c>
      <c r="AA1859">
        <v>2</v>
      </c>
      <c r="AB1859" t="inlineStr">
        <is>
          <t>No Appointment Made</t>
        </is>
      </c>
      <c r="AC1859"/>
      <c r="AD1859" t="inlineStr">
        <is>
          <t>1 receptionist, 1 clinic assistant</t>
        </is>
      </c>
      <c r="AE1859"/>
      <c r="AF1859">
        <v>500</v>
      </c>
      <c r="AG1859" s="4"/>
      <c r="AH1859" s="4"/>
      <c r="AI1859"/>
      <c r="AJ1859"/>
      <c r="AK1859" t="inlineStr">
        <is>
          <t>No, but I want in future</t>
        </is>
      </c>
      <c r="AL1859"/>
      <c r="AM1859"/>
      <c r="AN1859"/>
      <c r="AO1859"/>
      <c r="AP1859" t="inlineStr">
        <is>
          <t>Once a year (25%)</t>
        </is>
      </c>
      <c r="AQ1859"/>
      <c r="AR1859"/>
      <c r="AS1859" t="inlineStr">
        <is>
          <t>- Headcount: 2
- Hiring Job Details: 1 receptionist, 1 clinic assistant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is>
      </c>
      <c r="AT1859">
        <v>75</v>
      </c>
      <c r="AU1859" t="inlineStr">
        <is>
          <t>0.75</t>
        </is>
      </c>
      <c r="AV1859" t="inlineStr">
        <is>
          <t>15</t>
        </is>
      </c>
      <c r="AW1859" t="inlineStr">
        <is>
          <t>0</t>
        </is>
      </c>
      <c r="AX1859" t="inlineStr">
        <is>
          <t>Not Qualified</t>
        </is>
      </c>
      <c r="AY1859" s="4"/>
      <c r="AZ1859"/>
      <c r="BA1859"/>
      <c r="BB1859"/>
      <c r="BC1859"/>
      <c r="BD1859" s="4"/>
      <c r="BE1859"/>
      <c r="BF1859"/>
      <c r="BG1859" t="inlineStr">
        <is>
          <t>Reschedule</t>
        </is>
      </c>
      <c r="BH1859" t="inlineStr">
        <is>
          <t>Reagen</t>
        </is>
      </c>
      <c r="BI1859"/>
      <c r="BJ1859" s="4">
        <v>46144.75581018518</v>
      </c>
      <c r="BK1859" s="4">
        <v>46126.373344907406</v>
      </c>
      <c r="BL1859" t="inlineStr">
        <is>
          <t>0.0</t>
        </is>
      </c>
      <c r="BM1859" t="inlineStr">
        <is>
          <t>0.0</t>
        </is>
      </c>
      <c r="BN1859"/>
      <c r="BO1859" s="4"/>
      <c r="BP1859">
        <v>166889</v>
      </c>
      <c r="BQ1859"/>
      <c r="BR1859"/>
      <c r="BS1859"/>
      <c r="BT1859"/>
      <c r="BU1859"/>
      <c r="BV1859"/>
      <c r="BW1859"/>
      <c r="BX1859"/>
      <c r="BY1859"/>
      <c r="BZ1859" s="4"/>
      <c r="CA1859"/>
      <c r="CB1859"/>
      <c r="CC1859" s="4"/>
      <c r="CD1859" t="inlineStr">
        <is>
          <t>20</t>
        </is>
      </c>
      <c r="CE1859" t="inlineStr">
        <is>
          <t>0</t>
        </is>
      </c>
      <c r="CF1859" t="inlineStr">
        <is>
          <t>Q2-W02</t>
        </is>
      </c>
      <c r="CG1859"/>
      <c r="CH1859"/>
      <c r="CI1859"/>
      <c r="CJ1859" t="inlineStr">
        <is>
          <t>No Paid</t>
        </is>
      </c>
      <c r="CK1859" t="inlineStr">
        <is>
          <t>Not Eligible</t>
        </is>
      </c>
      <c r="CL1859"/>
      <c r="CM1859"/>
    </row>
    <row r="1860" ht="25.5" customHeight="1">
      <c r="A1860" t="inlineStr">
        <is>
          <t>180468</t>
        </is>
      </c>
      <c r="B1860" s="2"/>
      <c r="C1860"/>
      <c r="D1860" s="3">
        <v>46126.46152777778</v>
      </c>
      <c r="E1860" t="inlineStr">
        <is>
          <t>Q2-W02</t>
        </is>
      </c>
      <c r="F1860" t="inlineStr">
        <is>
          <t>Jeff Lee</t>
        </is>
      </c>
      <c r="G1860" t="inlineStr">
        <is>
          <t>Customer</t>
        </is>
      </c>
      <c r="H1860" s="2" t="str">
        <f>=HYPERLINK("https://upbox.ajobthing.my/customer/180468", "https://upbox.ajobthing.my/customer/180468")</f>
        <v>https://upbox.ajobthing.my/customer/180468</v>
      </c>
      <c r="I1860" t="inlineStr">
        <is>
          <t xml:space="preserve">Savor Of Life Sdn Bhd </t>
        </is>
      </c>
      <c r="J1860" t="inlineStr">
        <is>
          <t>Small Fish</t>
        </is>
      </c>
      <c r="K1860" t="inlineStr">
        <is>
          <t>Jeff Lee</t>
        </is>
      </c>
      <c r="L1860" s="4"/>
      <c r="M1860" s="4">
        <v>46126.45701388889</v>
      </c>
      <c r="N1860"/>
      <c r="O1860">
        <v>3888</v>
      </c>
      <c r="P1860" s="4"/>
      <c r="Q1860" s="4"/>
      <c r="R1860"/>
      <c r="S1860"/>
      <c r="T1860" s="4"/>
      <c r="U1860" s="4"/>
      <c r="V1860"/>
      <c r="W1860"/>
      <c r="X1860"/>
      <c r="Y1860" t="inlineStr">
        <is>
          <t>Pending Appointment</t>
        </is>
      </c>
      <c r="Z1860" t="inlineStr">
        <is>
          <t>Hiring Now</t>
        </is>
      </c>
      <c r="AA1860">
        <v>3</v>
      </c>
      <c r="AB1860" t="inlineStr">
        <is>
          <t>No Appointment Made</t>
        </is>
      </c>
      <c r="AC1860"/>
      <c r="AD1860" t="inlineStr">
        <is>
          <t>1. Chef
2. 3</t>
        </is>
      </c>
      <c r="AE1860"/>
      <c r="AF1860">
        <v>0</v>
      </c>
      <c r="AG1860" s="4"/>
      <c r="AH1860" s="4"/>
      <c r="AI1860">
        <v>0</v>
      </c>
      <c r="AJ1860"/>
      <c r="AK1860" t="inlineStr">
        <is>
          <t>No, I don't need at all</t>
        </is>
      </c>
      <c r="AL1860">
        <v>0</v>
      </c>
      <c r="AM1860" t="inlineStr">
        <is>
          <t>No, I don't need at all</t>
        </is>
      </c>
      <c r="AN1860"/>
      <c r="AO1860" t="inlineStr">
        <is>
          <t>No, I don't need at all</t>
        </is>
      </c>
      <c r="AP1860" t="inlineStr">
        <is>
          <t>Twice a year (50%)</t>
        </is>
      </c>
      <c r="AQ1860">
        <v>3</v>
      </c>
      <c r="AR1860" t="inlineStr">
        <is>
          <t>Linkedin (Paid)</t>
        </is>
      </c>
      <c r="AS1860" t="inlineStr">
        <is>
          <t>- Headcount: 3
- Hiring Job Details: 1. Chef\n2. 3
- Hiring Urgency: Hiring Now
- Number of outlets: 
- Have recruiter team: No, I don't need at all
- Number of recruiter in company: 0
- Have ATS system: No, I don't need at all
- Have career website: No, I don't need at all
- Current hiring budget: RM0
- Whole year budget: RM0.00
- Whole year number of vacancies: 3
- Hiring frequency: Twice a year (50%)
- External job portal: Linkedin (Paid)</t>
        </is>
      </c>
      <c r="AT1860">
        <v>75</v>
      </c>
      <c r="AU1860" t="inlineStr">
        <is>
          <t>0.75</t>
        </is>
      </c>
      <c r="AV1860" t="inlineStr">
        <is>
          <t>15</t>
        </is>
      </c>
      <c r="AW1860" t="inlineStr">
        <is>
          <t>0</t>
        </is>
      </c>
      <c r="AX1860" t="inlineStr">
        <is>
          <t>Not Qualified</t>
        </is>
      </c>
      <c r="AY1860" s="4"/>
      <c r="AZ1860"/>
      <c r="BA1860"/>
      <c r="BB1860"/>
      <c r="BC1860" t="inlineStr">
        <is>
          <t>na</t>
        </is>
      </c>
      <c r="BD1860" s="4">
        <v>46141.42466435185</v>
      </c>
      <c r="BE1860"/>
      <c r="BF1860"/>
      <c r="BG1860" t="inlineStr">
        <is>
          <t>Reschedule</t>
        </is>
      </c>
      <c r="BH1860" t="inlineStr">
        <is>
          <t>Yee Hang</t>
        </is>
      </c>
      <c r="BI1860" t="inlineStr">
        <is>
          <t>Food / Beverage</t>
        </is>
      </c>
      <c r="BJ1860" s="4">
        <v>46144.75184027778</v>
      </c>
      <c r="BK1860" s="4">
        <v>45485.656643518516</v>
      </c>
      <c r="BL1860" t="inlineStr">
        <is>
          <t>0.0</t>
        </is>
      </c>
      <c r="BM1860" t="inlineStr">
        <is>
          <t>600.0</t>
        </is>
      </c>
      <c r="BN1860" t="inlineStr">
        <is>
          <t>View Candidate Search Page</t>
        </is>
      </c>
      <c r="BO1860" s="4">
        <v>45816.49334490741</v>
      </c>
      <c r="BP1860">
        <v>166892</v>
      </c>
      <c r="BQ1860"/>
      <c r="BR1860"/>
      <c r="BS1860"/>
      <c r="BT1860"/>
      <c r="BU1860"/>
      <c r="BV1860">
        <v>2734321</v>
      </c>
      <c r="BW1860" t="inlineStr">
        <is>
          <t>No Answer : Voicemail - WA sent to customer</t>
        </is>
      </c>
      <c r="BX1860"/>
      <c r="BY1860"/>
      <c r="BZ1860" s="4"/>
      <c r="CA1860"/>
      <c r="CB1860"/>
      <c r="CC1860" s="4"/>
      <c r="CD1860" t="inlineStr">
        <is>
          <t>20</t>
        </is>
      </c>
      <c r="CE1860" t="inlineStr">
        <is>
          <t>0</t>
        </is>
      </c>
      <c r="CF1860" t="inlineStr">
        <is>
          <t>Q2-W02</t>
        </is>
      </c>
      <c r="CG1860"/>
      <c r="CH1860"/>
      <c r="CI1860"/>
      <c r="CJ1860" t="inlineStr">
        <is>
          <t>No Paid</t>
        </is>
      </c>
      <c r="CK1860" t="inlineStr">
        <is>
          <t>Not Eligible</t>
        </is>
      </c>
      <c r="CL1860"/>
      <c r="CM1860"/>
    </row>
    <row r="1861" ht="25.5" customHeight="1">
      <c r="A1861" t="inlineStr">
        <is>
          <t>4265203</t>
        </is>
      </c>
      <c r="B1861" s="2"/>
      <c r="C1861"/>
      <c r="D1861" s="3">
        <v>46126.467997685184</v>
      </c>
      <c r="E1861" t="inlineStr">
        <is>
          <t>Q2-W02</t>
        </is>
      </c>
      <c r="F1861" t="inlineStr">
        <is>
          <t>Josh</t>
        </is>
      </c>
      <c r="G1861" t="inlineStr">
        <is>
          <t>Lead</t>
        </is>
      </c>
      <c r="H1861" s="2" t="str">
        <f>=HYPERLINK("https://upbox.ajobthing.my/leads/4265203", "https://upbox.ajobthing.my/leads/4265203")</f>
        <v>https://upbox.ajobthing.my/leads/4265203</v>
      </c>
      <c r="I1861" t="inlineStr">
        <is>
          <t>Empire Bison Logistics Sdn. Bhd.</t>
        </is>
      </c>
      <c r="J1861" t="inlineStr">
        <is>
          <t>Small Fish</t>
        </is>
      </c>
      <c r="K1861" t="inlineStr">
        <is>
          <t>Josh</t>
        </is>
      </c>
      <c r="L1861" s="4"/>
      <c r="M1861" s="4">
        <v>46122.455196759256</v>
      </c>
      <c r="N1861"/>
      <c r="O1861">
        <v>3672</v>
      </c>
      <c r="P1861" s="4"/>
      <c r="Q1861" s="4"/>
      <c r="R1861"/>
      <c r="S1861"/>
      <c r="T1861" s="4"/>
      <c r="U1861" s="4"/>
      <c r="V1861"/>
      <c r="W1861"/>
      <c r="X1861"/>
      <c r="Y1861" t="inlineStr">
        <is>
          <t>Pending Appointment</t>
        </is>
      </c>
      <c r="Z1861" t="inlineStr">
        <is>
          <t>Hiring Now</t>
        </is>
      </c>
      <c r="AA1861">
        <v>2</v>
      </c>
      <c r="AB1861" t="inlineStr">
        <is>
          <t>No Appointment Made</t>
        </is>
      </c>
      <c r="AC1861"/>
      <c r="AD1861" t="inlineStr">
        <is>
          <t xml:space="preserve">Overseas business development -1 
Air Export Documentation - 1 </t>
        </is>
      </c>
      <c r="AE1861"/>
      <c r="AF1861">
        <v>3000</v>
      </c>
      <c r="AG1861" s="4"/>
      <c r="AH1861" s="4"/>
      <c r="AI1861"/>
      <c r="AJ1861"/>
      <c r="AK1861" t="inlineStr">
        <is>
          <t>Yes, I have</t>
        </is>
      </c>
      <c r="AL1861"/>
      <c r="AM1861"/>
      <c r="AN1861"/>
      <c r="AO1861"/>
      <c r="AP1861" t="inlineStr">
        <is>
          <t>Once a year (25%)</t>
        </is>
      </c>
      <c r="AQ1861"/>
      <c r="AR1861"/>
      <c r="AS1861" t="inlineStr">
        <is>
          <t>- Headcount: 2
- Hiring Job Details: Overseas business development -1, Air Export Documentation -1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861">
        <v>95</v>
      </c>
      <c r="AU1861" t="inlineStr">
        <is>
          <t>0.95</t>
        </is>
      </c>
      <c r="AV1861" t="inlineStr">
        <is>
          <t>15</t>
        </is>
      </c>
      <c r="AW1861" t="inlineStr">
        <is>
          <t>0</t>
        </is>
      </c>
      <c r="AX1861" t="inlineStr">
        <is>
          <t>Not Qualified</t>
        </is>
      </c>
      <c r="AY1861" s="4"/>
      <c r="AZ1861"/>
      <c r="BA1861"/>
      <c r="BB1861"/>
      <c r="BC1861"/>
      <c r="BD1861" s="4"/>
      <c r="BE1861"/>
      <c r="BF1861"/>
      <c r="BG1861" t="inlineStr">
        <is>
          <t>Reschedule</t>
        </is>
      </c>
      <c r="BH1861" t="inlineStr">
        <is>
          <t>Fauziah Maharan</t>
        </is>
      </c>
      <c r="BI1861"/>
      <c r="BJ1861" s="4">
        <v>46144.75578703704</v>
      </c>
      <c r="BK1861" s="4">
        <v>46121.65324074074</v>
      </c>
      <c r="BL1861" t="inlineStr">
        <is>
          <t>0.0</t>
        </is>
      </c>
      <c r="BM1861" t="inlineStr">
        <is>
          <t>600.0</t>
        </is>
      </c>
      <c r="BN1861"/>
      <c r="BO1861" s="4"/>
      <c r="BP1861">
        <v>166368</v>
      </c>
      <c r="BQ1861"/>
      <c r="BR1861"/>
      <c r="BS1861"/>
      <c r="BT1861"/>
      <c r="BU1861"/>
      <c r="BV1861"/>
      <c r="BW1861"/>
      <c r="BX1861"/>
      <c r="BY1861"/>
      <c r="BZ1861" s="4"/>
      <c r="CA1861"/>
      <c r="CB1861"/>
      <c r="CC1861" s="4"/>
      <c r="CD1861" t="inlineStr">
        <is>
          <t>20</t>
        </is>
      </c>
      <c r="CE1861" t="inlineStr">
        <is>
          <t>0</t>
        </is>
      </c>
      <c r="CF1861" t="inlineStr">
        <is>
          <t>Q2-W02</t>
        </is>
      </c>
      <c r="CG1861"/>
      <c r="CH1861"/>
      <c r="CI1861"/>
      <c r="CJ1861" t="inlineStr">
        <is>
          <t>No Paid</t>
        </is>
      </c>
      <c r="CK1861" t="inlineStr">
        <is>
          <t>Not Eligible</t>
        </is>
      </c>
      <c r="CL1861"/>
      <c r="CM1861"/>
    </row>
    <row r="1862" ht="25.5" customHeight="1">
      <c r="A1862" t="inlineStr">
        <is>
          <t>203194</t>
        </is>
      </c>
      <c r="B1862" s="2"/>
      <c r="C1862"/>
      <c r="D1862" s="3">
        <v>46126.46873842592</v>
      </c>
      <c r="E1862" t="inlineStr">
        <is>
          <t>Q2-W02</t>
        </is>
      </c>
      <c r="F1862" t="inlineStr">
        <is>
          <t>Clover</t>
        </is>
      </c>
      <c r="G1862" t="inlineStr">
        <is>
          <t>Customer</t>
        </is>
      </c>
      <c r="H1862" s="2" t="str">
        <f>=HYPERLINK("https://upbox.ajobthing.my/customer/203194", "https://upbox.ajobthing.my/customer/203194")</f>
        <v>https://upbox.ajobthing.my/customer/203194</v>
      </c>
      <c r="I1862" t="inlineStr">
        <is>
          <t>Genstar Financing</t>
        </is>
      </c>
      <c r="J1862" t="inlineStr">
        <is>
          <t>Small Fish</t>
        </is>
      </c>
      <c r="K1862" t="inlineStr">
        <is>
          <t>Clover</t>
        </is>
      </c>
      <c r="L1862" s="4"/>
      <c r="M1862" s="4">
        <v>46126.46910879629</v>
      </c>
      <c r="N1862"/>
      <c r="O1862">
        <v>6048</v>
      </c>
      <c r="P1862" s="4"/>
      <c r="Q1862" s="4">
        <v>46126.01640046296</v>
      </c>
      <c r="R1862"/>
      <c r="S1862">
        <v>0</v>
      </c>
      <c r="T1862" s="4"/>
      <c r="U1862" s="4"/>
      <c r="V1862"/>
      <c r="W1862"/>
      <c r="X1862"/>
      <c r="Y1862" t="inlineStr">
        <is>
          <t>Pending Appointment</t>
        </is>
      </c>
      <c r="Z1862" t="inlineStr">
        <is>
          <t>Continuous Hiring</t>
        </is>
      </c>
      <c r="AA1862">
        <v>5</v>
      </c>
      <c r="AB1862" t="inlineStr">
        <is>
          <t>No Appointment Made</t>
        </is>
      </c>
      <c r="AC1862"/>
      <c r="AD1862" t="inlineStr">
        <is>
          <t>Have hiring, Financial Sales Consultant x3-5, fresh grads, prefer chi, PJ, future have hiring, suggest stand/pro</t>
        </is>
      </c>
      <c r="AE1862"/>
      <c r="AF1862">
        <v>3000</v>
      </c>
      <c r="AG1862" s="4"/>
      <c r="AH1862" s="4"/>
      <c r="AI1862">
        <v>3000</v>
      </c>
      <c r="AJ1862">
        <v>1</v>
      </c>
      <c r="AK1862" t="inlineStr">
        <is>
          <t>No, but I want in future</t>
        </is>
      </c>
      <c r="AL1862">
        <v>1</v>
      </c>
      <c r="AM1862" t="inlineStr">
        <is>
          <t>No, but I want in future</t>
        </is>
      </c>
      <c r="AN1862"/>
      <c r="AO1862" t="inlineStr">
        <is>
          <t>No, but I want in future</t>
        </is>
      </c>
      <c r="AP1862" t="inlineStr">
        <is>
          <t>Once per quarter (75%)</t>
        </is>
      </c>
      <c r="AQ1862">
        <v>5</v>
      </c>
      <c r="AR1862" t="inlineStr">
        <is>
          <t>Did not use any job portal</t>
        </is>
      </c>
      <c r="AS1862" t="inlineStr">
        <is>
          <t>- Headcount: 5
- Hiring Job Details: Financial Sales Consultant x3-5, fresh grads preferred (chi, PJ), have and future hiring, suggest stand/pro
- Hiring Urgency: Continuous Hiring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Once per quarter (75%)
- External job portal: None used</t>
        </is>
      </c>
      <c r="AT1862">
        <v>115</v>
      </c>
      <c r="AU1862" t="inlineStr">
        <is>
          <t>1.15</t>
        </is>
      </c>
      <c r="AV1862" t="inlineStr">
        <is>
          <t>20</t>
        </is>
      </c>
      <c r="AW1862" t="inlineStr">
        <is>
          <t>0</t>
        </is>
      </c>
      <c r="AX1862" t="inlineStr">
        <is>
          <t>Not Qualified</t>
        </is>
      </c>
      <c r="AY1862" s="4"/>
      <c r="AZ1862"/>
      <c r="BA1862"/>
      <c r="BB1862"/>
      <c r="BC1862" t="inlineStr">
        <is>
          <t>Still considering</t>
        </is>
      </c>
      <c r="BD1862" s="4">
        <v>46133.71037037037</v>
      </c>
      <c r="BE1862" t="inlineStr">
        <is>
          <t>paid</t>
        </is>
      </c>
      <c r="BF1862"/>
      <c r="BG1862" t="inlineStr">
        <is>
          <t>Reschedule</t>
        </is>
      </c>
      <c r="BH1862" t="inlineStr">
        <is>
          <t>Reagen</t>
        </is>
      </c>
      <c r="BI1862"/>
      <c r="BJ1862" s="4">
        <v>46144.75423611111</v>
      </c>
      <c r="BK1862" s="4">
        <v>46126.01278935185</v>
      </c>
      <c r="BL1862" t="inlineStr">
        <is>
          <t>0.0</t>
        </is>
      </c>
      <c r="BM1862" t="inlineStr">
        <is>
          <t>0.0</t>
        </is>
      </c>
      <c r="BN1862" t="inlineStr">
        <is>
          <t>View Candidate Search Page</t>
        </is>
      </c>
      <c r="BO1862" s="4">
        <v>46126.01604166667</v>
      </c>
      <c r="BP1862">
        <v>166900</v>
      </c>
      <c r="BQ1862">
        <v>122113</v>
      </c>
      <c r="BR1862" t="inlineStr">
        <is>
          <t>Proforma</t>
        </is>
      </c>
      <c r="BS1862" t="inlineStr">
        <is>
          <t>Free Internship Job</t>
        </is>
      </c>
      <c r="BT1862"/>
      <c r="BU1862"/>
      <c r="BV1862">
        <v>2718982</v>
      </c>
      <c r="BW1862" t="inlineStr">
        <is>
          <t>Follow Up : Decision Pending</t>
        </is>
      </c>
      <c r="BX1862"/>
      <c r="BY1862"/>
      <c r="BZ1862" s="4"/>
      <c r="CA1862"/>
      <c r="CB1862"/>
      <c r="CC1862" s="4"/>
      <c r="CD1862" t="inlineStr">
        <is>
          <t>30</t>
        </is>
      </c>
      <c r="CE1862" t="inlineStr">
        <is>
          <t>0</t>
        </is>
      </c>
      <c r="CF1862" t="inlineStr">
        <is>
          <t>Q2-W02</t>
        </is>
      </c>
      <c r="CG1862" t="inlineStr">
        <is>
          <t>Q2-W02</t>
        </is>
      </c>
      <c r="CH1862"/>
      <c r="CI1862"/>
      <c r="CJ1862" t="inlineStr">
        <is>
          <t>No Paid</t>
        </is>
      </c>
      <c r="CK1862" t="inlineStr">
        <is>
          <t>Not Eligible</t>
        </is>
      </c>
      <c r="CL1862"/>
      <c r="CM1862"/>
    </row>
    <row r="1863" ht="25.5" customHeight="1">
      <c r="A1863" t="inlineStr">
        <is>
          <t>203191</t>
        </is>
      </c>
      <c r="B1863" s="2"/>
      <c r="C1863"/>
      <c r="D1863" s="3">
        <v>46126.470972222225</v>
      </c>
      <c r="E1863" t="inlineStr">
        <is>
          <t>Q2-W02</t>
        </is>
      </c>
      <c r="F1863" t="inlineStr">
        <is>
          <t>Janice Yap</t>
        </is>
      </c>
      <c r="G1863" t="inlineStr">
        <is>
          <t>Customer</t>
        </is>
      </c>
      <c r="H1863" s="2" t="str">
        <f>=HYPERLINK("https://upbox.ajobthing.my/customer/203191", "https://upbox.ajobthing.my/customer/203191")</f>
        <v>https://upbox.ajobthing.my/customer/203191</v>
      </c>
      <c r="I1863" t="inlineStr">
        <is>
          <t>Headers</t>
        </is>
      </c>
      <c r="J1863" t="inlineStr">
        <is>
          <t>Small Fish</t>
        </is>
      </c>
      <c r="K1863" t="inlineStr">
        <is>
          <t>Janice</t>
        </is>
      </c>
      <c r="L1863" s="4"/>
      <c r="M1863" s="4">
        <v>46126.47009259259</v>
      </c>
      <c r="N1863"/>
      <c r="O1863">
        <v>3888</v>
      </c>
      <c r="P1863" s="4"/>
      <c r="Q1863" s="4">
        <v>46125.77768518519</v>
      </c>
      <c r="R1863"/>
      <c r="S1863">
        <v>0</v>
      </c>
      <c r="T1863" s="4"/>
      <c r="U1863" s="4"/>
      <c r="V1863"/>
      <c r="W1863"/>
      <c r="X1863"/>
      <c r="Y1863" t="inlineStr">
        <is>
          <t>Pending Appointment</t>
        </is>
      </c>
      <c r="Z1863" t="inlineStr">
        <is>
          <t>Hiring Now</t>
        </is>
      </c>
      <c r="AA1863">
        <v>2</v>
      </c>
      <c r="AB1863" t="inlineStr">
        <is>
          <t>No Appointment Made</t>
        </is>
      </c>
      <c r="AC1863"/>
      <c r="AD1863" t="inlineStr">
        <is>
          <t>2 retails assist</t>
        </is>
      </c>
      <c r="AE1863"/>
      <c r="AF1863">
        <v>0</v>
      </c>
      <c r="AG1863" s="4"/>
      <c r="AH1863" s="4"/>
      <c r="AI1863">
        <v>0</v>
      </c>
      <c r="AJ1863"/>
      <c r="AK1863" t="inlineStr">
        <is>
          <t>No, I don't need at all</t>
        </is>
      </c>
      <c r="AL1863">
        <v>0</v>
      </c>
      <c r="AM1863" t="inlineStr">
        <is>
          <t>No, I don't need at all</t>
        </is>
      </c>
      <c r="AN1863"/>
      <c r="AO1863" t="inlineStr">
        <is>
          <t>No, I don't need at all</t>
        </is>
      </c>
      <c r="AP1863" t="inlineStr">
        <is>
          <t>Once a year (25%)</t>
        </is>
      </c>
      <c r="AQ1863">
        <v>2</v>
      </c>
      <c r="AR1863" t="inlineStr">
        <is>
          <t>Free Job Portal</t>
        </is>
      </c>
      <c r="AS1863" t="inlineStr">
        <is>
          <t>- Headcount: 2
- Hiring Job Details: 2 retails assist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1863">
        <v>100</v>
      </c>
      <c r="AU1863" t="inlineStr">
        <is>
          <t>1.00</t>
        </is>
      </c>
      <c r="AV1863" t="inlineStr">
        <is>
          <t>15</t>
        </is>
      </c>
      <c r="AW1863" t="inlineStr">
        <is>
          <t>0</t>
        </is>
      </c>
      <c r="AX1863" t="inlineStr">
        <is>
          <t>Not Qualified</t>
        </is>
      </c>
      <c r="AY1863" s="4"/>
      <c r="AZ1863"/>
      <c r="BA1863"/>
      <c r="BB1863"/>
      <c r="BC1863" t="inlineStr">
        <is>
          <t>No need no need // reject to post job on AJT</t>
        </is>
      </c>
      <c r="BD1863" s="4">
        <v>46128.643587962964</v>
      </c>
      <c r="BE1863" t="inlineStr">
        <is>
          <t>paid</t>
        </is>
      </c>
      <c r="BF1863"/>
      <c r="BG1863" t="inlineStr">
        <is>
          <t>Reschedule</t>
        </is>
      </c>
      <c r="BH1863" t="inlineStr">
        <is>
          <t>Yee Hang</t>
        </is>
      </c>
      <c r="BI1863"/>
      <c r="BJ1863" s="4">
        <v>46144.75423611111</v>
      </c>
      <c r="BK1863" s="4">
        <v>46125.77725694444</v>
      </c>
      <c r="BL1863" t="inlineStr">
        <is>
          <t>0.0</t>
        </is>
      </c>
      <c r="BM1863" t="inlineStr">
        <is>
          <t>0.0</t>
        </is>
      </c>
      <c r="BN1863" t="inlineStr">
        <is>
          <t>View Create Job Page V4</t>
        </is>
      </c>
      <c r="BO1863" s="4">
        <v>46125.78283564815</v>
      </c>
      <c r="BP1863">
        <v>166901</v>
      </c>
      <c r="BQ1863">
        <v>122096</v>
      </c>
      <c r="BR1863" t="inlineStr">
        <is>
          <t>Proforma</t>
        </is>
      </c>
      <c r="BS1863" t="inlineStr">
        <is>
          <t>Free Internship Job</t>
        </is>
      </c>
      <c r="BT1863"/>
      <c r="BU1863"/>
      <c r="BV1863">
        <v>2709797</v>
      </c>
      <c r="BW1863" t="inlineStr">
        <is>
          <t>Follow Up : Budget Concern</t>
        </is>
      </c>
      <c r="BX1863"/>
      <c r="BY1863"/>
      <c r="BZ1863" s="4"/>
      <c r="CA1863"/>
      <c r="CB1863"/>
      <c r="CC1863" s="4"/>
      <c r="CD1863" t="inlineStr">
        <is>
          <t>20</t>
        </is>
      </c>
      <c r="CE1863" t="inlineStr">
        <is>
          <t>0</t>
        </is>
      </c>
      <c r="CF1863" t="inlineStr">
        <is>
          <t>Q2-W02</t>
        </is>
      </c>
      <c r="CG1863" t="inlineStr">
        <is>
          <t>Q2-W02</t>
        </is>
      </c>
      <c r="CH1863"/>
      <c r="CI1863"/>
      <c r="CJ1863" t="inlineStr">
        <is>
          <t>No Paid</t>
        </is>
      </c>
      <c r="CK1863" t="inlineStr">
        <is>
          <t>Not Eligible</t>
        </is>
      </c>
      <c r="CL1863"/>
      <c r="CM1863"/>
    </row>
    <row r="1864" ht="25.5" customHeight="1">
      <c r="A1864" t="inlineStr">
        <is>
          <t>203204</t>
        </is>
      </c>
      <c r="B1864" s="2"/>
      <c r="C1864"/>
      <c r="D1864" s="3">
        <v>46126.47274305556</v>
      </c>
      <c r="E1864" t="inlineStr">
        <is>
          <t>Q2-W02</t>
        </is>
      </c>
      <c r="F1864" t="inlineStr">
        <is>
          <t>Luqman</t>
        </is>
      </c>
      <c r="G1864" t="inlineStr">
        <is>
          <t>Customer</t>
        </is>
      </c>
      <c r="H1864" s="2" t="str">
        <f>=HYPERLINK("https://upbox.ajobthing.my/customer/203204", "https://upbox.ajobthing.my/customer/203204")</f>
        <v>https://upbox.ajobthing.my/customer/203204</v>
      </c>
      <c r="I1864" t="inlineStr">
        <is>
          <t>Saffronclub Tour Malaysia Sb</t>
        </is>
      </c>
      <c r="J1864" t="inlineStr">
        <is>
          <t>Small Fish</t>
        </is>
      </c>
      <c r="K1864" t="inlineStr">
        <is>
          <t>Luqman</t>
        </is>
      </c>
      <c r="L1864" s="4"/>
      <c r="M1864" s="4">
        <v>46126.473020833335</v>
      </c>
      <c r="N1864"/>
      <c r="O1864">
        <v>3888</v>
      </c>
      <c r="P1864" s="4"/>
      <c r="Q1864" s="4">
        <v>46126.458402777775</v>
      </c>
      <c r="R1864"/>
      <c r="S1864">
        <v>0</v>
      </c>
      <c r="T1864" s="4"/>
      <c r="U1864" s="4"/>
      <c r="V1864"/>
      <c r="W1864"/>
      <c r="X1864"/>
      <c r="Y1864" t="inlineStr">
        <is>
          <t>Pending Appointment</t>
        </is>
      </c>
      <c r="Z1864" t="inlineStr">
        <is>
          <t>Hiring Later</t>
        </is>
      </c>
      <c r="AA1864">
        <v>3</v>
      </c>
      <c r="AB1864" t="inlineStr">
        <is>
          <t>No Appointment Made</t>
        </is>
      </c>
      <c r="AC1864"/>
      <c r="AD1864" t="inlineStr">
        <is>
          <t xml:space="preserve">1. Frontdesk 2. Service 3. Admin </t>
        </is>
      </c>
      <c r="AE1864"/>
      <c r="AF1864">
        <v>3600</v>
      </c>
      <c r="AG1864" s="4"/>
      <c r="AH1864" s="4"/>
      <c r="AI1864">
        <v>3600</v>
      </c>
      <c r="AJ1864"/>
      <c r="AK1864" t="inlineStr">
        <is>
          <t>No, but I want in future</t>
        </is>
      </c>
      <c r="AL1864">
        <v>1</v>
      </c>
      <c r="AM1864" t="inlineStr">
        <is>
          <t>No, I don't need at all</t>
        </is>
      </c>
      <c r="AN1864"/>
      <c r="AO1864" t="inlineStr">
        <is>
          <t>No, I don't need at all</t>
        </is>
      </c>
      <c r="AP1864" t="inlineStr">
        <is>
          <t>Once a year (25%)</t>
        </is>
      </c>
      <c r="AQ1864">
        <v>3</v>
      </c>
      <c r="AR1864" t="inlineStr">
        <is>
          <t>Free Job Portal</t>
        </is>
      </c>
      <c r="AS1864" t="inlineStr">
        <is>
          <t>- Headcount: 3
- Hiring Job Details: 1. Frontdesk 2. Service 3. Admin
- Hiring Urgency: Hiring Later
- Number of outlets: Not specified
- Have recruiter team: No, but want in future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is>
      </c>
      <c r="AT1864">
        <v>95</v>
      </c>
      <c r="AU1864" t="inlineStr">
        <is>
          <t>0.95</t>
        </is>
      </c>
      <c r="AV1864" t="inlineStr">
        <is>
          <t>15</t>
        </is>
      </c>
      <c r="AW1864" t="inlineStr">
        <is>
          <t>0</t>
        </is>
      </c>
      <c r="AX1864" t="inlineStr">
        <is>
          <t>Not Qualified</t>
        </is>
      </c>
      <c r="AY1864" s="4"/>
      <c r="AZ1864"/>
      <c r="BA1864"/>
      <c r="BB1864"/>
      <c r="BC1864" t="inlineStr">
        <is>
          <t>NA Dropped a text via Whatsapp</t>
        </is>
      </c>
      <c r="BD1864" s="4">
        <v>46132.74359953704</v>
      </c>
      <c r="BE1864" t="inlineStr">
        <is>
          <t>paid</t>
        </is>
      </c>
      <c r="BF1864"/>
      <c r="BG1864" t="inlineStr">
        <is>
          <t>Reschedule</t>
        </is>
      </c>
      <c r="BH1864" t="inlineStr">
        <is>
          <t>Edward Hoo</t>
        </is>
      </c>
      <c r="BI1864"/>
      <c r="BJ1864" s="4">
        <v>46144.75425925926</v>
      </c>
      <c r="BK1864" s="4">
        <v>46126.457962962966</v>
      </c>
      <c r="BL1864" t="inlineStr">
        <is>
          <t>0.0</t>
        </is>
      </c>
      <c r="BM1864" t="inlineStr">
        <is>
          <t>0.0</t>
        </is>
      </c>
      <c r="BN1864" t="inlineStr">
        <is>
          <t>View Company Page</t>
        </is>
      </c>
      <c r="BO1864" s="4">
        <v>46126.472650462965</v>
      </c>
      <c r="BP1864">
        <v>166905</v>
      </c>
      <c r="BQ1864">
        <v>122181</v>
      </c>
      <c r="BR1864" t="inlineStr">
        <is>
          <t>Proforma</t>
        </is>
      </c>
      <c r="BS1864" t="inlineStr">
        <is>
          <t>Free High Pay Job</t>
        </is>
      </c>
      <c r="BT1864"/>
      <c r="BU1864"/>
      <c r="BV1864">
        <v>2716659</v>
      </c>
      <c r="BW1864" t="inlineStr">
        <is>
          <t>No Answer : Voicemail - WA sent to customer</t>
        </is>
      </c>
      <c r="BX1864"/>
      <c r="BY1864"/>
      <c r="BZ1864" s="4"/>
      <c r="CA1864"/>
      <c r="CB1864"/>
      <c r="CC1864" s="4"/>
      <c r="CD1864" t="inlineStr">
        <is>
          <t>20</t>
        </is>
      </c>
      <c r="CE1864" t="inlineStr">
        <is>
          <t>0</t>
        </is>
      </c>
      <c r="CF1864" t="inlineStr">
        <is>
          <t>Q2-W02</t>
        </is>
      </c>
      <c r="CG1864" t="inlineStr">
        <is>
          <t>Q2-W02</t>
        </is>
      </c>
      <c r="CH1864"/>
      <c r="CI1864"/>
      <c r="CJ1864" t="inlineStr">
        <is>
          <t>No Paid</t>
        </is>
      </c>
      <c r="CK1864" t="inlineStr">
        <is>
          <t>Not Eligible</t>
        </is>
      </c>
      <c r="CL1864"/>
      <c r="CM1864"/>
    </row>
    <row r="1865" ht="25.5" customHeight="1">
      <c r="A1865" t="inlineStr">
        <is>
          <t>200110</t>
        </is>
      </c>
      <c r="B1865" s="2"/>
      <c r="C1865"/>
      <c r="D1865" s="3">
        <v>46126.47450231481</v>
      </c>
      <c r="E1865" t="inlineStr">
        <is>
          <t>Q2-W02</t>
        </is>
      </c>
      <c r="F1865" t="inlineStr">
        <is>
          <t>Clover</t>
        </is>
      </c>
      <c r="G1865" t="inlineStr">
        <is>
          <t>Customer</t>
        </is>
      </c>
      <c r="H1865" s="2" t="str">
        <f>=HYPERLINK("https://upbox.ajobthing.my/customer/200110", "https://upbox.ajobthing.my/customer/200110")</f>
        <v>https://upbox.ajobthing.my/customer/200110</v>
      </c>
      <c r="I1865" t="inlineStr">
        <is>
          <t xml:space="preserve"> j k a  Technologies Sdn Bhd</t>
        </is>
      </c>
      <c r="J1865" t="inlineStr">
        <is>
          <t>Small Fish</t>
        </is>
      </c>
      <c r="K1865" t="inlineStr">
        <is>
          <t>Clover</t>
        </is>
      </c>
      <c r="L1865" s="4"/>
      <c r="M1865" s="4">
        <v>46126.47414351852</v>
      </c>
      <c r="N1865"/>
      <c r="O1865">
        <v>3888</v>
      </c>
      <c r="P1865" s="4"/>
      <c r="Q1865" s="4"/>
      <c r="R1865"/>
      <c r="S1865"/>
      <c r="T1865" s="4"/>
      <c r="U1865" s="4"/>
      <c r="V1865"/>
      <c r="W1865"/>
      <c r="X1865"/>
      <c r="Y1865" t="inlineStr">
        <is>
          <t>Pending Appointment</t>
        </is>
      </c>
      <c r="Z1865" t="inlineStr">
        <is>
          <t>Hiring Later</t>
        </is>
      </c>
      <c r="AA1865">
        <v>2</v>
      </c>
      <c r="AB1865" t="inlineStr">
        <is>
          <t>No Appointment Made</t>
        </is>
      </c>
      <c r="AC1865"/>
      <c r="AD1865" t="inlineStr">
        <is>
          <t xml:space="preserve"> Maybe future hiring for Technicianx2-3, electric wiring , kajang, start June, suggest stand</t>
        </is>
      </c>
      <c r="AE1865"/>
      <c r="AF1865">
        <v>3000</v>
      </c>
      <c r="AG1865" s="4"/>
      <c r="AH1865" s="4"/>
      <c r="AI1865">
        <v>3000</v>
      </c>
      <c r="AJ1865">
        <v>1</v>
      </c>
      <c r="AK1865" t="inlineStr">
        <is>
          <t>No, but I want in future</t>
        </is>
      </c>
      <c r="AL1865">
        <v>1</v>
      </c>
      <c r="AM1865" t="inlineStr">
        <is>
          <t>No, but I want in future</t>
        </is>
      </c>
      <c r="AN1865"/>
      <c r="AO1865" t="inlineStr">
        <is>
          <t>No, but I want in future</t>
        </is>
      </c>
      <c r="AP1865" t="inlineStr">
        <is>
          <t>Twice a year (50%)</t>
        </is>
      </c>
      <c r="AQ1865">
        <v>3</v>
      </c>
      <c r="AR1865" t="inlineStr">
        <is>
          <t>Did not use any job portal</t>
        </is>
      </c>
      <c r="AS1865" t="inlineStr">
        <is>
          <t>- Headcount: 2
- Hiring Job Details: Maybe future hiring for Technicianx2-3, electric wiring, kajang, start June,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 job portal</t>
        </is>
      </c>
      <c r="AT1865">
        <v>85</v>
      </c>
      <c r="AU1865" t="inlineStr">
        <is>
          <t>0.85</t>
        </is>
      </c>
      <c r="AV1865" t="inlineStr">
        <is>
          <t>15</t>
        </is>
      </c>
      <c r="AW1865" t="inlineStr">
        <is>
          <t>0</t>
        </is>
      </c>
      <c r="AX1865" t="inlineStr">
        <is>
          <t>Not Qualified</t>
        </is>
      </c>
      <c r="AY1865" s="4"/>
      <c r="AZ1865"/>
      <c r="BA1865"/>
      <c r="BB1865"/>
      <c r="BC1865" t="inlineStr">
        <is>
          <t>Call npu, wa fu</t>
        </is>
      </c>
      <c r="BD1865" s="4">
        <v>46136.77459490741</v>
      </c>
      <c r="BE1865"/>
      <c r="BF1865"/>
      <c r="BG1865" t="inlineStr">
        <is>
          <t>Reschedule</t>
        </is>
      </c>
      <c r="BH1865" t="inlineStr">
        <is>
          <t>Reagen</t>
        </is>
      </c>
      <c r="BI1865"/>
      <c r="BJ1865" s="4">
        <v>46144.75347222222</v>
      </c>
      <c r="BK1865" s="4">
        <v>46031.440625</v>
      </c>
      <c r="BL1865" t="inlineStr">
        <is>
          <t>0.0</t>
        </is>
      </c>
      <c r="BM1865" t="inlineStr">
        <is>
          <t>0.0</t>
        </is>
      </c>
      <c r="BN1865" t="inlineStr">
        <is>
          <t>View Jobmanager Page</t>
        </is>
      </c>
      <c r="BO1865" s="4">
        <v>46034.57832175926</v>
      </c>
      <c r="BP1865">
        <v>166906</v>
      </c>
      <c r="BQ1865"/>
      <c r="BR1865"/>
      <c r="BS1865"/>
      <c r="BT1865"/>
      <c r="BU1865"/>
      <c r="BV1865">
        <v>2727568</v>
      </c>
      <c r="BW1865" t="inlineStr">
        <is>
          <t>No Answer : Voicemail - WA sent to customer</t>
        </is>
      </c>
      <c r="BX1865"/>
      <c r="BY1865"/>
      <c r="BZ1865" s="4"/>
      <c r="CA1865"/>
      <c r="CB1865"/>
      <c r="CC1865" s="4"/>
      <c r="CD1865" t="inlineStr">
        <is>
          <t>20</t>
        </is>
      </c>
      <c r="CE1865" t="inlineStr">
        <is>
          <t>0</t>
        </is>
      </c>
      <c r="CF1865" t="inlineStr">
        <is>
          <t>Q2-W02</t>
        </is>
      </c>
      <c r="CG1865"/>
      <c r="CH1865"/>
      <c r="CI1865"/>
      <c r="CJ1865" t="inlineStr">
        <is>
          <t>No Paid</t>
        </is>
      </c>
      <c r="CK1865" t="inlineStr">
        <is>
          <t>Not Eligible</t>
        </is>
      </c>
      <c r="CL1865"/>
      <c r="CM1865"/>
    </row>
    <row r="1866" ht="25.5" customHeight="1">
      <c r="A1866" t="inlineStr">
        <is>
          <t>4088657</t>
        </is>
      </c>
      <c r="B1866" s="2"/>
      <c r="C1866"/>
      <c r="D1866" s="3">
        <v>46126.48131944444</v>
      </c>
      <c r="E1866" t="inlineStr">
        <is>
          <t>Q2-W02</t>
        </is>
      </c>
      <c r="F1866" t="inlineStr">
        <is>
          <t>Janice Yap</t>
        </is>
      </c>
      <c r="G1866" t="inlineStr">
        <is>
          <t>Lead</t>
        </is>
      </c>
      <c r="H1866" s="2" t="str">
        <f>=HYPERLINK("https://upbox.ajobthing.my/leads/4088657", "https://upbox.ajobthing.my/leads/4088657")</f>
        <v>https://upbox.ajobthing.my/leads/4088657</v>
      </c>
      <c r="I1866" t="inlineStr">
        <is>
          <t>AUTO RAYA TIMUR</t>
        </is>
      </c>
      <c r="J1866" t="inlineStr">
        <is>
          <t>Small Fish</t>
        </is>
      </c>
      <c r="K1866" t="inlineStr">
        <is>
          <t>Janice</t>
        </is>
      </c>
      <c r="L1866" s="4"/>
      <c r="M1866" s="4">
        <v>46126.47733796296</v>
      </c>
      <c r="N1866"/>
      <c r="O1866">
        <v>3888</v>
      </c>
      <c r="P1866" s="4"/>
      <c r="Q1866" s="4"/>
      <c r="R1866"/>
      <c r="S1866"/>
      <c r="T1866" s="4"/>
      <c r="U1866" s="4"/>
      <c r="V1866"/>
      <c r="W1866"/>
      <c r="X1866"/>
      <c r="Y1866" t="inlineStr">
        <is>
          <t>Pending Appointment</t>
        </is>
      </c>
      <c r="Z1866" t="inlineStr">
        <is>
          <t>Hiring Now</t>
        </is>
      </c>
      <c r="AA1866">
        <v>1</v>
      </c>
      <c r="AB1866" t="inlineStr">
        <is>
          <t>No Appointment Made</t>
        </is>
      </c>
      <c r="AC1866"/>
      <c r="AD1866" t="inlineStr">
        <is>
          <t>1 technician</t>
        </is>
      </c>
      <c r="AE1866"/>
      <c r="AF1866">
        <v>0</v>
      </c>
      <c r="AG1866" s="4"/>
      <c r="AH1866" s="4"/>
      <c r="AI1866">
        <v>0</v>
      </c>
      <c r="AJ1866"/>
      <c r="AK1866" t="inlineStr">
        <is>
          <t>No, I don't need at all</t>
        </is>
      </c>
      <c r="AL1866">
        <v>0</v>
      </c>
      <c r="AM1866" t="inlineStr">
        <is>
          <t>No, I don't need at all</t>
        </is>
      </c>
      <c r="AN1866"/>
      <c r="AO1866" t="inlineStr">
        <is>
          <t>No, I don't need at all</t>
        </is>
      </c>
      <c r="AP1866" t="inlineStr">
        <is>
          <t>Once a year (25%)</t>
        </is>
      </c>
      <c r="AQ1866">
        <v>1</v>
      </c>
      <c r="AR1866" t="inlineStr">
        <is>
          <t>Free Job Portal</t>
        </is>
      </c>
      <c r="AS1866" t="inlineStr">
        <is>
          <t>- Headcount: 1
- Hiring Job Details: 1 technician
- Hiring Urgency: Hiring Now
- Number of outlets: N/A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Free Job Portal</t>
        </is>
      </c>
      <c r="AT1866">
        <v>110</v>
      </c>
      <c r="AU1866" t="inlineStr">
        <is>
          <t>1.10</t>
        </is>
      </c>
      <c r="AV1866" t="inlineStr">
        <is>
          <t>15</t>
        </is>
      </c>
      <c r="AW1866" t="inlineStr">
        <is>
          <t>0</t>
        </is>
      </c>
      <c r="AX1866" t="inlineStr">
        <is>
          <t>Not Qualified</t>
        </is>
      </c>
      <c r="AY1866" s="4"/>
      <c r="AZ1866"/>
      <c r="BA1866"/>
      <c r="BB1866"/>
      <c r="BC1866"/>
      <c r="BD1866" s="4"/>
      <c r="BE1866"/>
      <c r="BF1866"/>
      <c r="BG1866" t="inlineStr">
        <is>
          <t>Reschedule</t>
        </is>
      </c>
      <c r="BH1866" t="inlineStr">
        <is>
          <t>Yee Hang</t>
        </is>
      </c>
      <c r="BI1866"/>
      <c r="BJ1866" s="4">
        <v>46144.755324074074</v>
      </c>
      <c r="BK1866" s="4">
        <v>46072.901666666665</v>
      </c>
      <c r="BL1866" t="inlineStr">
        <is>
          <t>0.0</t>
        </is>
      </c>
      <c r="BM1866" t="inlineStr">
        <is>
          <t>600.0</t>
        </is>
      </c>
      <c r="BN1866"/>
      <c r="BO1866" s="4"/>
      <c r="BP1866">
        <v>166910</v>
      </c>
      <c r="BQ1866"/>
      <c r="BR1866"/>
      <c r="BS1866"/>
      <c r="BT1866"/>
      <c r="BU1866"/>
      <c r="BV1866"/>
      <c r="BW1866"/>
      <c r="BX1866"/>
      <c r="BY1866"/>
      <c r="BZ1866" s="4"/>
      <c r="CA1866"/>
      <c r="CB1866"/>
      <c r="CC1866" s="4"/>
      <c r="CD1866" t="inlineStr">
        <is>
          <t>20</t>
        </is>
      </c>
      <c r="CE1866" t="inlineStr">
        <is>
          <t>0</t>
        </is>
      </c>
      <c r="CF1866" t="inlineStr">
        <is>
          <t>Q2-W02</t>
        </is>
      </c>
      <c r="CG1866"/>
      <c r="CH1866"/>
      <c r="CI1866"/>
      <c r="CJ1866" t="inlineStr">
        <is>
          <t>No Paid</t>
        </is>
      </c>
      <c r="CK1866" t="inlineStr">
        <is>
          <t>Not Eligible</t>
        </is>
      </c>
      <c r="CL1866"/>
      <c r="CM1866"/>
    </row>
    <row r="1867" ht="25.5" customHeight="1">
      <c r="A1867" t="inlineStr">
        <is>
          <t>203188</t>
        </is>
      </c>
      <c r="B1867" s="2"/>
      <c r="C1867"/>
      <c r="D1867" s="3">
        <v>46126.48153935185</v>
      </c>
      <c r="E1867" t="inlineStr">
        <is>
          <t>Q2-W02</t>
        </is>
      </c>
      <c r="F1867" t="inlineStr">
        <is>
          <t>Clover</t>
        </is>
      </c>
      <c r="G1867" t="inlineStr">
        <is>
          <t>Customer</t>
        </is>
      </c>
      <c r="H1867" s="2" t="str">
        <f>=HYPERLINK("https://upbox.ajobthing.my/customer/203188", "https://upbox.ajobthing.my/customer/203188")</f>
        <v>https://upbox.ajobthing.my/customer/203188</v>
      </c>
      <c r="I1867" t="inlineStr">
        <is>
          <t>ATHAR VENTURE SDN BHD</t>
        </is>
      </c>
      <c r="J1867" t="inlineStr">
        <is>
          <t>Small Fish</t>
        </is>
      </c>
      <c r="K1867" t="inlineStr">
        <is>
          <t>Clover</t>
        </is>
      </c>
      <c r="L1867" s="4"/>
      <c r="M1867" s="4">
        <v>46126.481770833336</v>
      </c>
      <c r="N1867"/>
      <c r="O1867">
        <v>3888</v>
      </c>
      <c r="P1867" s="4"/>
      <c r="Q1867" s="4"/>
      <c r="R1867"/>
      <c r="S1867"/>
      <c r="T1867" s="4"/>
      <c r="U1867" s="4"/>
      <c r="V1867"/>
      <c r="W1867"/>
      <c r="X1867"/>
      <c r="Y1867" t="inlineStr">
        <is>
          <t>Pending Appointment</t>
        </is>
      </c>
      <c r="Z1867" t="inlineStr">
        <is>
          <t>Hiring Now</t>
        </is>
      </c>
      <c r="AA1867">
        <v>1</v>
      </c>
      <c r="AB1867" t="inlineStr">
        <is>
          <t>No Appointment Made</t>
        </is>
      </c>
      <c r="AC1867"/>
      <c r="AD1867" t="inlineStr">
        <is>
          <t>Hire Site supervisor x1, all races, construction,  June start project, penang, future maybe need admin exec x1-2 if have new project, suggest stand</t>
        </is>
      </c>
      <c r="AE1867"/>
      <c r="AF1867">
        <v>3000</v>
      </c>
      <c r="AG1867" s="4"/>
      <c r="AH1867" s="4"/>
      <c r="AI1867">
        <v>3000</v>
      </c>
      <c r="AJ1867">
        <v>1</v>
      </c>
      <c r="AK1867" t="inlineStr">
        <is>
          <t>No, but I want in future</t>
        </is>
      </c>
      <c r="AL1867">
        <v>1</v>
      </c>
      <c r="AM1867" t="inlineStr">
        <is>
          <t>No, but I want in future</t>
        </is>
      </c>
      <c r="AN1867"/>
      <c r="AO1867" t="inlineStr">
        <is>
          <t>No, but I want in future</t>
        </is>
      </c>
      <c r="AP1867" t="inlineStr">
        <is>
          <t>Twice a year (50%)</t>
        </is>
      </c>
      <c r="AQ1867">
        <v>3</v>
      </c>
      <c r="AR1867" t="inlineStr">
        <is>
          <t>Did not use any job portal</t>
        </is>
      </c>
      <c r="AS1867" t="inlineStr">
        <is>
          <t>- Headcount: 1
- Hiring Job Details: 1 site supervisor (construction, Penang, June project start); potential 1-2 admin execs for new projects;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t>
        </is>
      </c>
      <c r="AT1867">
        <v>95</v>
      </c>
      <c r="AU1867" t="inlineStr">
        <is>
          <t>0.95</t>
        </is>
      </c>
      <c r="AV1867" t="inlineStr">
        <is>
          <t>15</t>
        </is>
      </c>
      <c r="AW1867" t="inlineStr">
        <is>
          <t>0</t>
        </is>
      </c>
      <c r="AX1867" t="inlineStr">
        <is>
          <t>Not Qualified</t>
        </is>
      </c>
      <c r="AY1867" s="4"/>
      <c r="AZ1867"/>
      <c r="BA1867"/>
      <c r="BB1867"/>
      <c r="BC1867" t="inlineStr">
        <is>
          <t>Call npu, wa fu</t>
        </is>
      </c>
      <c r="BD1867" s="4">
        <v>46136.77564814815</v>
      </c>
      <c r="BE1867"/>
      <c r="BF1867"/>
      <c r="BG1867" t="inlineStr">
        <is>
          <t>Reschedule</t>
        </is>
      </c>
      <c r="BH1867" t="inlineStr">
        <is>
          <t>Reagen</t>
        </is>
      </c>
      <c r="BI1867"/>
      <c r="BJ1867" s="4">
        <v>46144.75423611111</v>
      </c>
      <c r="BK1867" s="4">
        <v>46125.739224537036</v>
      </c>
      <c r="BL1867" t="inlineStr">
        <is>
          <t>0.0</t>
        </is>
      </c>
      <c r="BM1867" t="inlineStr">
        <is>
          <t>0.0</t>
        </is>
      </c>
      <c r="BN1867" t="inlineStr">
        <is>
          <t>User Visit(Logged In)</t>
        </is>
      </c>
      <c r="BO1867" s="4">
        <v>46125.74009259259</v>
      </c>
      <c r="BP1867">
        <v>166914</v>
      </c>
      <c r="BQ1867"/>
      <c r="BR1867"/>
      <c r="BS1867"/>
      <c r="BT1867"/>
      <c r="BU1867"/>
      <c r="BV1867">
        <v>2727569</v>
      </c>
      <c r="BW1867" t="inlineStr">
        <is>
          <t>No Answer : Voicemail - WA sent to customer</t>
        </is>
      </c>
      <c r="BX1867"/>
      <c r="BY1867"/>
      <c r="BZ1867" s="4"/>
      <c r="CA1867"/>
      <c r="CB1867"/>
      <c r="CC1867" s="4"/>
      <c r="CD1867" t="inlineStr">
        <is>
          <t>20</t>
        </is>
      </c>
      <c r="CE1867" t="inlineStr">
        <is>
          <t>0</t>
        </is>
      </c>
      <c r="CF1867" t="inlineStr">
        <is>
          <t>Q2-W02</t>
        </is>
      </c>
      <c r="CG1867"/>
      <c r="CH1867"/>
      <c r="CI1867"/>
      <c r="CJ1867" t="inlineStr">
        <is>
          <t>No Paid</t>
        </is>
      </c>
      <c r="CK1867" t="inlineStr">
        <is>
          <t>Not Eligible</t>
        </is>
      </c>
      <c r="CL1867"/>
      <c r="CM1867"/>
    </row>
    <row r="1868" ht="25.5" customHeight="1">
      <c r="A1868" t="inlineStr">
        <is>
          <t>137478</t>
        </is>
      </c>
      <c r="B1868" s="2"/>
      <c r="C1868"/>
      <c r="D1868" s="3">
        <v>46126.493252314816</v>
      </c>
      <c r="E1868" t="inlineStr">
        <is>
          <t>Q2-W02</t>
        </is>
      </c>
      <c r="F1868" t="inlineStr">
        <is>
          <t>Keegan</t>
        </is>
      </c>
      <c r="G1868" t="inlineStr">
        <is>
          <t>Customer</t>
        </is>
      </c>
      <c r="H1868" s="2" t="str">
        <f>=HYPERLINK("https://upbox.ajobthing.my/customer/137478", "https://upbox.ajobthing.my/customer/137478")</f>
        <v>https://upbox.ajobthing.my/customer/137478</v>
      </c>
      <c r="I1868" t="inlineStr">
        <is>
          <t>Stanny CL Global</t>
        </is>
      </c>
      <c r="J1868" t="inlineStr">
        <is>
          <t>Small Fish</t>
        </is>
      </c>
      <c r="K1868" t="inlineStr">
        <is>
          <t>Keegan</t>
        </is>
      </c>
      <c r="L1868" s="4"/>
      <c r="M1868" s="4">
        <v>46126.49340277778</v>
      </c>
      <c r="N1868"/>
      <c r="O1868">
        <v>6048</v>
      </c>
      <c r="P1868" s="4"/>
      <c r="Q1868" s="4"/>
      <c r="R1868"/>
      <c r="S1868"/>
      <c r="T1868" s="4"/>
      <c r="U1868" s="4"/>
      <c r="V1868"/>
      <c r="W1868"/>
      <c r="X1868"/>
      <c r="Y1868" t="inlineStr">
        <is>
          <t>Pending Appointment</t>
        </is>
      </c>
      <c r="Z1868" t="inlineStr">
        <is>
          <t>Hiring Now</t>
        </is>
      </c>
      <c r="AA1868">
        <v>2</v>
      </c>
      <c r="AB1868" t="inlineStr">
        <is>
          <t>No Appointment Made</t>
        </is>
      </c>
      <c r="AC1868"/>
      <c r="AD1868" t="inlineStr">
        <is>
          <t xml:space="preserve">1. Admin 
2. Sales </t>
        </is>
      </c>
      <c r="AE1868"/>
      <c r="AF1868"/>
      <c r="AG1868" s="4"/>
      <c r="AH1868" s="4"/>
      <c r="AI1868"/>
      <c r="AJ1868">
        <v>1</v>
      </c>
      <c r="AK1868" t="inlineStr">
        <is>
          <t>No, I don't need at all</t>
        </is>
      </c>
      <c r="AL1868">
        <v>0</v>
      </c>
      <c r="AM1868" t="inlineStr">
        <is>
          <t>No, I don't need at all</t>
        </is>
      </c>
      <c r="AN1868"/>
      <c r="AO1868" t="inlineStr">
        <is>
          <t>No, I don't need at all</t>
        </is>
      </c>
      <c r="AP1868" t="inlineStr">
        <is>
          <t>Once per quarter (75%)</t>
        </is>
      </c>
      <c r="AQ1868"/>
      <c r="AR1868" t="inlineStr">
        <is>
          <t>Did not use any job portal</t>
        </is>
      </c>
      <c r="AS1868" t="inlineStr">
        <is>
          <t>- Headcount: 2
- Hiring Job Details: 1. Admin\n2.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68">
        <v>75</v>
      </c>
      <c r="AU1868" t="inlineStr">
        <is>
          <t>0.75</t>
        </is>
      </c>
      <c r="AV1868" t="inlineStr">
        <is>
          <t>5</t>
        </is>
      </c>
      <c r="AW1868" t="inlineStr">
        <is>
          <t>0</t>
        </is>
      </c>
      <c r="AX1868" t="inlineStr">
        <is>
          <t>Not Qualified</t>
        </is>
      </c>
      <c r="AY1868" s="4"/>
      <c r="AZ1868"/>
      <c r="BA1868"/>
      <c r="BB1868"/>
      <c r="BC1868" t="inlineStr">
        <is>
          <t>still pending decision from management</t>
        </is>
      </c>
      <c r="BD1868" s="4">
        <v>46135.45230324074</v>
      </c>
      <c r="BE1868"/>
      <c r="BF1868"/>
      <c r="BG1868" t="inlineStr">
        <is>
          <t>Reschedule</t>
        </is>
      </c>
      <c r="BH1868" t="inlineStr">
        <is>
          <t>Edward Hoo</t>
        </is>
      </c>
      <c r="BI1868"/>
      <c r="BJ1868" s="4">
        <v>46144.750613425924</v>
      </c>
      <c r="BK1868" s="4">
        <v>44309.40636574074</v>
      </c>
      <c r="BL1868" t="inlineStr">
        <is>
          <t>0.0</t>
        </is>
      </c>
      <c r="BM1868" t="inlineStr">
        <is>
          <t>0.0</t>
        </is>
      </c>
      <c r="BN1868" t="inlineStr">
        <is>
          <t>View Job Applicants Page</t>
        </is>
      </c>
      <c r="BO1868" s="4">
        <v>44315.534525462965</v>
      </c>
      <c r="BP1868">
        <v>166921</v>
      </c>
      <c r="BQ1868"/>
      <c r="BR1868"/>
      <c r="BS1868"/>
      <c r="BT1868"/>
      <c r="BU1868"/>
      <c r="BV1868">
        <v>2722628</v>
      </c>
      <c r="BW1868" t="inlineStr">
        <is>
          <t>Follow Up : Decision Pending</t>
        </is>
      </c>
      <c r="BX1868"/>
      <c r="BY1868"/>
      <c r="BZ1868" s="4"/>
      <c r="CA1868"/>
      <c r="CB1868"/>
      <c r="CC1868" s="4"/>
      <c r="CD1868" t="inlineStr">
        <is>
          <t>5</t>
        </is>
      </c>
      <c r="CE1868" t="inlineStr">
        <is>
          <t>0</t>
        </is>
      </c>
      <c r="CF1868" t="inlineStr">
        <is>
          <t>Q2-W02</t>
        </is>
      </c>
      <c r="CG1868"/>
      <c r="CH1868"/>
      <c r="CI1868"/>
      <c r="CJ1868" t="inlineStr">
        <is>
          <t>No Paid</t>
        </is>
      </c>
      <c r="CK1868" t="inlineStr">
        <is>
          <t>Not Eligible</t>
        </is>
      </c>
      <c r="CL1868"/>
      <c r="CM1868"/>
    </row>
    <row r="1869" ht="25.5" customHeight="1">
      <c r="A1869" t="inlineStr">
        <is>
          <t>203194</t>
        </is>
      </c>
      <c r="B1869" s="2"/>
      <c r="C1869"/>
      <c r="D1869" s="3">
        <v>46126.495671296296</v>
      </c>
      <c r="E1869" t="inlineStr">
        <is>
          <t>Q2-W02</t>
        </is>
      </c>
      <c r="F1869" t="inlineStr">
        <is>
          <t>Clover</t>
        </is>
      </c>
      <c r="G1869" t="inlineStr">
        <is>
          <t>Customer</t>
        </is>
      </c>
      <c r="H1869" s="2" t="str">
        <f>=HYPERLINK("https://upbox.ajobthing.my/customer/203194", "https://upbox.ajobthing.my/customer/203194")</f>
        <v>https://upbox.ajobthing.my/customer/203194</v>
      </c>
      <c r="I1869" t="inlineStr">
        <is>
          <t>Genstar Financing</t>
        </is>
      </c>
      <c r="J1869" t="inlineStr">
        <is>
          <t>Small Fish</t>
        </is>
      </c>
      <c r="K1869" t="inlineStr">
        <is>
          <t>Clover</t>
        </is>
      </c>
      <c r="L1869" s="4"/>
      <c r="M1869" s="4">
        <v>46126.46910879629</v>
      </c>
      <c r="N1869"/>
      <c r="O1869">
        <v>6048</v>
      </c>
      <c r="P1869" s="4"/>
      <c r="Q1869" s="4">
        <v>46126.01640046296</v>
      </c>
      <c r="R1869"/>
      <c r="S1869">
        <v>0</v>
      </c>
      <c r="T1869" s="4"/>
      <c r="U1869" s="4"/>
      <c r="V1869"/>
      <c r="W1869"/>
      <c r="X1869"/>
      <c r="Y1869" t="inlineStr">
        <is>
          <t>Pending Appointment</t>
        </is>
      </c>
      <c r="Z1869" t="inlineStr">
        <is>
          <t>Hiring Now</t>
        </is>
      </c>
      <c r="AA1869">
        <v>5</v>
      </c>
      <c r="AB1869" t="inlineStr">
        <is>
          <t>No Appointment Made</t>
        </is>
      </c>
      <c r="AC1869"/>
      <c r="AD1869" t="inlineStr">
        <is>
          <t>Have hiring, Financial Sales Consultant x3-5, fresh grads, prefer chi, PJ, try FB, future have hiring, suggest stand/pro</t>
        </is>
      </c>
      <c r="AE1869"/>
      <c r="AF1869">
        <v>3000</v>
      </c>
      <c r="AG1869" s="4"/>
      <c r="AH1869" s="4"/>
      <c r="AI1869">
        <v>3000</v>
      </c>
      <c r="AJ1869">
        <v>1</v>
      </c>
      <c r="AK1869" t="inlineStr">
        <is>
          <t>No, but I want in future</t>
        </is>
      </c>
      <c r="AL1869">
        <v>1</v>
      </c>
      <c r="AM1869" t="inlineStr">
        <is>
          <t>No, but I want in future</t>
        </is>
      </c>
      <c r="AN1869"/>
      <c r="AO1869" t="inlineStr">
        <is>
          <t>No, but I want in future</t>
        </is>
      </c>
      <c r="AP1869" t="inlineStr">
        <is>
          <t>Once per quarter (75%)</t>
        </is>
      </c>
      <c r="AQ1869">
        <v>5</v>
      </c>
      <c r="AR1869" t="inlineStr">
        <is>
          <t>Did not use any job portal</t>
        </is>
      </c>
      <c r="AS1869" t="inlineStr">
        <is>
          <t>- Headcount: 5
- Hiring Job Details: Financial Sales Consultant x3-5, fresh grads preferred (chi, PJ), try FB, future hiring planned, suggest stand/pro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Once per quarter (75%)
- External job portal: Did not use any</t>
        </is>
      </c>
      <c r="AT1869">
        <v>115</v>
      </c>
      <c r="AU1869" t="inlineStr">
        <is>
          <t>1.15</t>
        </is>
      </c>
      <c r="AV1869" t="inlineStr">
        <is>
          <t>20</t>
        </is>
      </c>
      <c r="AW1869" t="inlineStr">
        <is>
          <t>0</t>
        </is>
      </c>
      <c r="AX1869" t="inlineStr">
        <is>
          <t>Not Qualified</t>
        </is>
      </c>
      <c r="AY1869" s="4"/>
      <c r="AZ1869"/>
      <c r="BA1869"/>
      <c r="BB1869"/>
      <c r="BC1869" t="inlineStr">
        <is>
          <t>Still considering</t>
        </is>
      </c>
      <c r="BD1869" s="4">
        <v>46133.71037037037</v>
      </c>
      <c r="BE1869" t="inlineStr">
        <is>
          <t>paid</t>
        </is>
      </c>
      <c r="BF1869"/>
      <c r="BG1869" t="inlineStr">
        <is>
          <t>Reschedule</t>
        </is>
      </c>
      <c r="BH1869" t="inlineStr">
        <is>
          <t>Reagen</t>
        </is>
      </c>
      <c r="BI1869"/>
      <c r="BJ1869" s="4">
        <v>46144.75423611111</v>
      </c>
      <c r="BK1869" s="4">
        <v>46126.01278935185</v>
      </c>
      <c r="BL1869" t="inlineStr">
        <is>
          <t>0.0</t>
        </is>
      </c>
      <c r="BM1869" t="inlineStr">
        <is>
          <t>0.0</t>
        </is>
      </c>
      <c r="BN1869" t="inlineStr">
        <is>
          <t>View Candidate Search Page</t>
        </is>
      </c>
      <c r="BO1869" s="4">
        <v>46126.01604166667</v>
      </c>
      <c r="BP1869">
        <v>166900</v>
      </c>
      <c r="BQ1869">
        <v>122113</v>
      </c>
      <c r="BR1869" t="inlineStr">
        <is>
          <t>Proforma</t>
        </is>
      </c>
      <c r="BS1869" t="inlineStr">
        <is>
          <t>Free Internship Job</t>
        </is>
      </c>
      <c r="BT1869"/>
      <c r="BU1869"/>
      <c r="BV1869">
        <v>2718982</v>
      </c>
      <c r="BW1869" t="inlineStr">
        <is>
          <t>Follow Up : Decision Pending</t>
        </is>
      </c>
      <c r="BX1869"/>
      <c r="BY1869"/>
      <c r="BZ1869" s="4"/>
      <c r="CA1869"/>
      <c r="CB1869"/>
      <c r="CC1869" s="4"/>
      <c r="CD1869" t="inlineStr">
        <is>
          <t>30</t>
        </is>
      </c>
      <c r="CE1869" t="inlineStr">
        <is>
          <t>0</t>
        </is>
      </c>
      <c r="CF1869" t="inlineStr">
        <is>
          <t>Q2-W02</t>
        </is>
      </c>
      <c r="CG1869" t="inlineStr">
        <is>
          <t>Q2-W02</t>
        </is>
      </c>
      <c r="CH1869"/>
      <c r="CI1869"/>
      <c r="CJ1869" t="inlineStr">
        <is>
          <t>No Paid</t>
        </is>
      </c>
      <c r="CK1869" t="inlineStr">
        <is>
          <t>Not Eligible</t>
        </is>
      </c>
      <c r="CL1869"/>
      <c r="CM1869"/>
    </row>
    <row r="1870" ht="25.5" customHeight="1">
      <c r="A1870" t="inlineStr">
        <is>
          <t>200110</t>
        </is>
      </c>
      <c r="B1870" s="2"/>
      <c r="C1870"/>
      <c r="D1870" s="3">
        <v>46126.49616898148</v>
      </c>
      <c r="E1870" t="inlineStr">
        <is>
          <t>Q2-W02</t>
        </is>
      </c>
      <c r="F1870" t="inlineStr">
        <is>
          <t>Clover</t>
        </is>
      </c>
      <c r="G1870" t="inlineStr">
        <is>
          <t>Customer</t>
        </is>
      </c>
      <c r="H1870" s="2" t="str">
        <f>=HYPERLINK("https://upbox.ajobthing.my/customer/200110", "https://upbox.ajobthing.my/customer/200110")</f>
        <v>https://upbox.ajobthing.my/customer/200110</v>
      </c>
      <c r="I1870" t="inlineStr">
        <is>
          <t xml:space="preserve"> j k a  Technologies Sdn Bhd</t>
        </is>
      </c>
      <c r="J1870" t="inlineStr">
        <is>
          <t>Small Fish</t>
        </is>
      </c>
      <c r="K1870" t="inlineStr">
        <is>
          <t>Clover</t>
        </is>
      </c>
      <c r="L1870" s="4"/>
      <c r="M1870" s="4">
        <v>46126.47414351852</v>
      </c>
      <c r="N1870"/>
      <c r="O1870">
        <v>3888</v>
      </c>
      <c r="P1870" s="4"/>
      <c r="Q1870" s="4"/>
      <c r="R1870"/>
      <c r="S1870"/>
      <c r="T1870" s="4"/>
      <c r="U1870" s="4"/>
      <c r="V1870"/>
      <c r="W1870"/>
      <c r="X1870"/>
      <c r="Y1870" t="inlineStr">
        <is>
          <t>Pending Appointment</t>
        </is>
      </c>
      <c r="Z1870" t="inlineStr">
        <is>
          <t>Hiring Later</t>
        </is>
      </c>
      <c r="AA1870">
        <v>2.5</v>
      </c>
      <c r="AB1870" t="inlineStr">
        <is>
          <t>No Appointment Made</t>
        </is>
      </c>
      <c r="AC1870"/>
      <c r="AD1870" t="inlineStr">
        <is>
          <t>Maybe future hiring for Technicianx2-3, electric wiring , kajang, start June, suggest stand</t>
        </is>
      </c>
      <c r="AE1870"/>
      <c r="AF1870">
        <v>3000</v>
      </c>
      <c r="AG1870" s="4"/>
      <c r="AH1870" s="4"/>
      <c r="AI1870">
        <v>3000</v>
      </c>
      <c r="AJ1870">
        <v>1</v>
      </c>
      <c r="AK1870" t="inlineStr">
        <is>
          <t>No, but I want in future</t>
        </is>
      </c>
      <c r="AL1870">
        <v>1</v>
      </c>
      <c r="AM1870" t="inlineStr">
        <is>
          <t>No, but I want in future</t>
        </is>
      </c>
      <c r="AN1870"/>
      <c r="AO1870" t="inlineStr">
        <is>
          <t>No, but I want in future</t>
        </is>
      </c>
      <c r="AP1870" t="inlineStr">
        <is>
          <t>Twice a year (50%)</t>
        </is>
      </c>
      <c r="AQ1870">
        <v>3</v>
      </c>
      <c r="AR1870" t="inlineStr">
        <is>
          <t>Did not use any job portal</t>
        </is>
      </c>
      <c r="AS1870" t="inlineStr">
        <is>
          <t>- Headcount: 2
- Hiring Job Details: Maybe future hiring for Technicianx2-3, electric wiring, kajang, start June,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 job portal</t>
        </is>
      </c>
      <c r="AT1870">
        <v>95</v>
      </c>
      <c r="AU1870" t="inlineStr">
        <is>
          <t>0.95</t>
        </is>
      </c>
      <c r="AV1870" t="inlineStr">
        <is>
          <t>15</t>
        </is>
      </c>
      <c r="AW1870" t="inlineStr">
        <is>
          <t>0</t>
        </is>
      </c>
      <c r="AX1870" t="inlineStr">
        <is>
          <t>Not Qualified</t>
        </is>
      </c>
      <c r="AY1870" s="4"/>
      <c r="AZ1870"/>
      <c r="BA1870"/>
      <c r="BB1870"/>
      <c r="BC1870" t="inlineStr">
        <is>
          <t>Call npu, wa fu</t>
        </is>
      </c>
      <c r="BD1870" s="4">
        <v>46136.77459490741</v>
      </c>
      <c r="BE1870"/>
      <c r="BF1870"/>
      <c r="BG1870" t="inlineStr">
        <is>
          <t>Reschedule</t>
        </is>
      </c>
      <c r="BH1870" t="inlineStr">
        <is>
          <t>Reagen</t>
        </is>
      </c>
      <c r="BI1870"/>
      <c r="BJ1870" s="4">
        <v>46144.75347222222</v>
      </c>
      <c r="BK1870" s="4">
        <v>46031.440625</v>
      </c>
      <c r="BL1870" t="inlineStr">
        <is>
          <t>0.0</t>
        </is>
      </c>
      <c r="BM1870" t="inlineStr">
        <is>
          <t>0.0</t>
        </is>
      </c>
      <c r="BN1870" t="inlineStr">
        <is>
          <t>View Jobmanager Page</t>
        </is>
      </c>
      <c r="BO1870" s="4">
        <v>46034.57832175926</v>
      </c>
      <c r="BP1870">
        <v>166906</v>
      </c>
      <c r="BQ1870"/>
      <c r="BR1870"/>
      <c r="BS1870"/>
      <c r="BT1870"/>
      <c r="BU1870"/>
      <c r="BV1870">
        <v>2727568</v>
      </c>
      <c r="BW1870" t="inlineStr">
        <is>
          <t>No Answer : Voicemail - WA sent to customer</t>
        </is>
      </c>
      <c r="BX1870"/>
      <c r="BY1870"/>
      <c r="BZ1870" s="4"/>
      <c r="CA1870"/>
      <c r="CB1870"/>
      <c r="CC1870" s="4"/>
      <c r="CD1870" t="inlineStr">
        <is>
          <t>20</t>
        </is>
      </c>
      <c r="CE1870" t="inlineStr">
        <is>
          <t>0</t>
        </is>
      </c>
      <c r="CF1870" t="inlineStr">
        <is>
          <t>Q2-W02</t>
        </is>
      </c>
      <c r="CG1870"/>
      <c r="CH1870"/>
      <c r="CI1870"/>
      <c r="CJ1870" t="inlineStr">
        <is>
          <t>No Paid</t>
        </is>
      </c>
      <c r="CK1870" t="inlineStr">
        <is>
          <t>Not Eligible</t>
        </is>
      </c>
      <c r="CL1870"/>
      <c r="CM1870"/>
    </row>
    <row r="1871" ht="25.5" customHeight="1">
      <c r="A1871" t="inlineStr">
        <is>
          <t>203188</t>
        </is>
      </c>
      <c r="B1871" s="2"/>
      <c r="C1871"/>
      <c r="D1871" s="3">
        <v>46126.4966087963</v>
      </c>
      <c r="E1871" t="inlineStr">
        <is>
          <t>Q2-W02</t>
        </is>
      </c>
      <c r="F1871" t="inlineStr">
        <is>
          <t>Clover</t>
        </is>
      </c>
      <c r="G1871" t="inlineStr">
        <is>
          <t>Customer</t>
        </is>
      </c>
      <c r="H1871" s="2" t="str">
        <f>=HYPERLINK("https://upbox.ajobthing.my/customer/203188", "https://upbox.ajobthing.my/customer/203188")</f>
        <v>https://upbox.ajobthing.my/customer/203188</v>
      </c>
      <c r="I1871" t="inlineStr">
        <is>
          <t>ATHAR VENTURE SDN BHD</t>
        </is>
      </c>
      <c r="J1871" t="inlineStr">
        <is>
          <t>Small Fish</t>
        </is>
      </c>
      <c r="K1871" t="inlineStr">
        <is>
          <t>Clover</t>
        </is>
      </c>
      <c r="L1871" s="4"/>
      <c r="M1871" s="4">
        <v>46126.481770833336</v>
      </c>
      <c r="N1871"/>
      <c r="O1871">
        <v>3888</v>
      </c>
      <c r="P1871" s="4"/>
      <c r="Q1871" s="4"/>
      <c r="R1871"/>
      <c r="S1871"/>
      <c r="T1871" s="4"/>
      <c r="U1871" s="4"/>
      <c r="V1871"/>
      <c r="W1871"/>
      <c r="X1871"/>
      <c r="Y1871" t="inlineStr">
        <is>
          <t>Pending Appointment</t>
        </is>
      </c>
      <c r="Z1871" t="inlineStr">
        <is>
          <t>Hiring Now</t>
        </is>
      </c>
      <c r="AA1871">
        <v>1</v>
      </c>
      <c r="AB1871" t="inlineStr">
        <is>
          <t>No Appointment Made</t>
        </is>
      </c>
      <c r="AC1871"/>
      <c r="AD1871" t="inlineStr">
        <is>
          <t>Hire Site supervisor x1, all races, construction, June start project, penang, future maybe need admin exec x1-2 if have new project, suggest stand</t>
        </is>
      </c>
      <c r="AE1871"/>
      <c r="AF1871">
        <v>3000</v>
      </c>
      <c r="AG1871" s="4"/>
      <c r="AH1871" s="4"/>
      <c r="AI1871">
        <v>3000</v>
      </c>
      <c r="AJ1871">
        <v>1</v>
      </c>
      <c r="AK1871" t="inlineStr">
        <is>
          <t>No, but I want in future</t>
        </is>
      </c>
      <c r="AL1871">
        <v>1</v>
      </c>
      <c r="AM1871" t="inlineStr">
        <is>
          <t>No, but I want in future</t>
        </is>
      </c>
      <c r="AN1871"/>
      <c r="AO1871" t="inlineStr">
        <is>
          <t>No, but I want in future</t>
        </is>
      </c>
      <c r="AP1871" t="inlineStr">
        <is>
          <t>Twice a year (50%)</t>
        </is>
      </c>
      <c r="AQ1871">
        <v>3</v>
      </c>
      <c r="AR1871" t="inlineStr">
        <is>
          <t>Did not use any job portal</t>
        </is>
      </c>
      <c r="AS1871" t="inlineStr">
        <is>
          <t>- Headcount: 1
- Hiring Job Details: 1 site supervisor (construction, Penang, June project start; potential 1-2 admin execs for new projects; suggest stand), all races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None used</t>
        </is>
      </c>
      <c r="AT1871">
        <v>105</v>
      </c>
      <c r="AU1871" t="inlineStr">
        <is>
          <t>1.05</t>
        </is>
      </c>
      <c r="AV1871" t="inlineStr">
        <is>
          <t>15</t>
        </is>
      </c>
      <c r="AW1871" t="inlineStr">
        <is>
          <t>0</t>
        </is>
      </c>
      <c r="AX1871" t="inlineStr">
        <is>
          <t>Not Qualified</t>
        </is>
      </c>
      <c r="AY1871" s="4"/>
      <c r="AZ1871"/>
      <c r="BA1871"/>
      <c r="BB1871"/>
      <c r="BC1871" t="inlineStr">
        <is>
          <t>Call npu, wa fu</t>
        </is>
      </c>
      <c r="BD1871" s="4">
        <v>46136.77564814815</v>
      </c>
      <c r="BE1871"/>
      <c r="BF1871"/>
      <c r="BG1871" t="inlineStr">
        <is>
          <t>Reschedule</t>
        </is>
      </c>
      <c r="BH1871" t="inlineStr">
        <is>
          <t>Reagen</t>
        </is>
      </c>
      <c r="BI1871"/>
      <c r="BJ1871" s="4">
        <v>46144.75423611111</v>
      </c>
      <c r="BK1871" s="4">
        <v>46125.739224537036</v>
      </c>
      <c r="BL1871" t="inlineStr">
        <is>
          <t>0.0</t>
        </is>
      </c>
      <c r="BM1871" t="inlineStr">
        <is>
          <t>0.0</t>
        </is>
      </c>
      <c r="BN1871" t="inlineStr">
        <is>
          <t>User Visit(Logged In)</t>
        </is>
      </c>
      <c r="BO1871" s="4">
        <v>46125.74009259259</v>
      </c>
      <c r="BP1871">
        <v>166914</v>
      </c>
      <c r="BQ1871"/>
      <c r="BR1871"/>
      <c r="BS1871"/>
      <c r="BT1871"/>
      <c r="BU1871"/>
      <c r="BV1871">
        <v>2727569</v>
      </c>
      <c r="BW1871" t="inlineStr">
        <is>
          <t>No Answer : Voicemail - WA sent to customer</t>
        </is>
      </c>
      <c r="BX1871"/>
      <c r="BY1871"/>
      <c r="BZ1871" s="4"/>
      <c r="CA1871"/>
      <c r="CB1871"/>
      <c r="CC1871" s="4"/>
      <c r="CD1871" t="inlineStr">
        <is>
          <t>20</t>
        </is>
      </c>
      <c r="CE1871" t="inlineStr">
        <is>
          <t>0</t>
        </is>
      </c>
      <c r="CF1871" t="inlineStr">
        <is>
          <t>Q2-W02</t>
        </is>
      </c>
      <c r="CG1871"/>
      <c r="CH1871"/>
      <c r="CI1871"/>
      <c r="CJ1871" t="inlineStr">
        <is>
          <t>No Paid</t>
        </is>
      </c>
      <c r="CK1871" t="inlineStr">
        <is>
          <t>Not Eligible</t>
        </is>
      </c>
      <c r="CL1871"/>
      <c r="CM1871"/>
    </row>
    <row r="1872" ht="25.5" customHeight="1">
      <c r="A1872" t="inlineStr">
        <is>
          <t>163032</t>
        </is>
      </c>
      <c r="B1872" s="2"/>
      <c r="C1872"/>
      <c r="D1872" s="3">
        <v>46126.49670138889</v>
      </c>
      <c r="E1872" t="inlineStr">
        <is>
          <t>Q2-W02</t>
        </is>
      </c>
      <c r="F1872" t="inlineStr">
        <is>
          <t>Xin Quan</t>
        </is>
      </c>
      <c r="G1872" t="inlineStr">
        <is>
          <t>Customer</t>
        </is>
      </c>
      <c r="H1872" s="2" t="str">
        <f>=HYPERLINK("https://upbox.ajobthing.my/customer/163032", "https://upbox.ajobthing.my/customer/163032")</f>
        <v>https://upbox.ajobthing.my/customer/163032</v>
      </c>
      <c r="I1872" t="inlineStr">
        <is>
          <t>XOF Solutions Sdn Bhd</t>
        </is>
      </c>
      <c r="J1872" t="inlineStr">
        <is>
          <t>Small Fish</t>
        </is>
      </c>
      <c r="K1872" t="inlineStr">
        <is>
          <t>Xin Quan</t>
        </is>
      </c>
      <c r="L1872" s="4"/>
      <c r="M1872" s="4">
        <v>46126.49684027778</v>
      </c>
      <c r="N1872"/>
      <c r="O1872">
        <v>1296</v>
      </c>
      <c r="P1872" s="4"/>
      <c r="Q1872" s="4"/>
      <c r="R1872"/>
      <c r="S1872"/>
      <c r="T1872" s="4"/>
      <c r="U1872" s="4"/>
      <c r="V1872"/>
      <c r="W1872"/>
      <c r="X1872"/>
      <c r="Y1872" t="inlineStr">
        <is>
          <t>Pending Appointment</t>
        </is>
      </c>
      <c r="Z1872" t="inlineStr">
        <is>
          <t>Hiring Now</t>
        </is>
      </c>
      <c r="AA1872">
        <v>1</v>
      </c>
      <c r="AB1872" t="inlineStr">
        <is>
          <t>No Appointment Made</t>
        </is>
      </c>
      <c r="AC1872"/>
      <c r="AD1872" t="inlineStr">
        <is>
          <t>1 Sales , Base in KL</t>
        </is>
      </c>
      <c r="AE1872"/>
      <c r="AF1872">
        <v>2000</v>
      </c>
      <c r="AG1872" s="4"/>
      <c r="AH1872" s="4"/>
      <c r="AI1872">
        <v>24000</v>
      </c>
      <c r="AJ1872">
        <v>1</v>
      </c>
      <c r="AK1872"/>
      <c r="AL1872"/>
      <c r="AM1872"/>
      <c r="AN1872"/>
      <c r="AO1872"/>
      <c r="AP1872"/>
      <c r="AQ1872">
        <v>1</v>
      </c>
      <c r="AR1872"/>
      <c r="AS1872" t="inlineStr">
        <is>
          <t>- Headcount: 1
- Hiring Job Details: 1 Sales,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1872">
        <v>100</v>
      </c>
      <c r="AU1872" t="inlineStr">
        <is>
          <t>1.00</t>
        </is>
      </c>
      <c r="AV1872" t="inlineStr">
        <is>
          <t>15</t>
        </is>
      </c>
      <c r="AW1872" t="inlineStr">
        <is>
          <t>0</t>
        </is>
      </c>
      <c r="AX1872" t="inlineStr">
        <is>
          <t>Not Qualified</t>
        </is>
      </c>
      <c r="AY1872" s="4"/>
      <c r="AZ1872"/>
      <c r="BA1872"/>
      <c r="BB1872"/>
      <c r="BC1872" t="inlineStr">
        <is>
          <t>NA</t>
        </is>
      </c>
      <c r="BD1872" s="4">
        <v>46140.4516087963</v>
      </c>
      <c r="BE1872"/>
      <c r="BF1872"/>
      <c r="BG1872" t="inlineStr">
        <is>
          <t>Reschedule</t>
        </is>
      </c>
      <c r="BH1872" t="inlineStr">
        <is>
          <t>Edward Hoo</t>
        </is>
      </c>
      <c r="BI1872" t="inlineStr">
        <is>
          <t>IT / Hardware</t>
        </is>
      </c>
      <c r="BJ1872" s="4">
        <v>46144.751180555555</v>
      </c>
      <c r="BK1872" s="4">
        <v>44914.73179398148</v>
      </c>
      <c r="BL1872" t="inlineStr">
        <is>
          <t>0.0</t>
        </is>
      </c>
      <c r="BM1872" t="inlineStr">
        <is>
          <t>0.0</t>
        </is>
      </c>
      <c r="BN1872" t="inlineStr">
        <is>
          <t>View Create Job Page</t>
        </is>
      </c>
      <c r="BO1872" s="4">
        <v>45714.37082175926</v>
      </c>
      <c r="BP1872">
        <v>166926</v>
      </c>
      <c r="BQ1872"/>
      <c r="BR1872"/>
      <c r="BS1872"/>
      <c r="BT1872"/>
      <c r="BU1872"/>
      <c r="BV1872">
        <v>2731950</v>
      </c>
      <c r="BW1872" t="inlineStr">
        <is>
          <t>No Answer : Voicemail - WA sent to customer</t>
        </is>
      </c>
      <c r="BX1872"/>
      <c r="BY1872"/>
      <c r="BZ1872" s="4"/>
      <c r="CA1872"/>
      <c r="CB1872"/>
      <c r="CC1872" s="4"/>
      <c r="CD1872" t="inlineStr">
        <is>
          <t>20</t>
        </is>
      </c>
      <c r="CE1872" t="inlineStr">
        <is>
          <t>0</t>
        </is>
      </c>
      <c r="CF1872" t="inlineStr">
        <is>
          <t>Q2-W02</t>
        </is>
      </c>
      <c r="CG1872"/>
      <c r="CH1872"/>
      <c r="CI1872"/>
      <c r="CJ1872" t="inlineStr">
        <is>
          <t>No Paid</t>
        </is>
      </c>
      <c r="CK1872" t="inlineStr">
        <is>
          <t>Not Eligible</t>
        </is>
      </c>
      <c r="CL1872"/>
      <c r="CM1872"/>
    </row>
    <row r="1873" ht="25.5" customHeight="1">
      <c r="A1873" t="inlineStr">
        <is>
          <t>4279701</t>
        </is>
      </c>
      <c r="B1873" s="2"/>
      <c r="C1873"/>
      <c r="D1873" s="3">
        <v>46126.50005787037</v>
      </c>
      <c r="E1873" t="inlineStr">
        <is>
          <t>Q2-W02</t>
        </is>
      </c>
      <c r="F1873" t="inlineStr">
        <is>
          <t>Carmen</t>
        </is>
      </c>
      <c r="G1873" t="inlineStr">
        <is>
          <t>Lead</t>
        </is>
      </c>
      <c r="H1873" s="2" t="str">
        <f>=HYPERLINK("https://upbox.ajobthing.my/leads/4279701", "https://upbox.ajobthing.my/leads/4279701")</f>
        <v>https://upbox.ajobthing.my/leads/4279701</v>
      </c>
      <c r="I1873" t="inlineStr">
        <is>
          <t>AmanVille Recreational Sdn Bhd</t>
        </is>
      </c>
      <c r="J1873" t="inlineStr">
        <is>
          <t>Small Fish</t>
        </is>
      </c>
      <c r="K1873" t="inlineStr">
        <is>
          <t>Carmen</t>
        </is>
      </c>
      <c r="L1873" s="4"/>
      <c r="M1873" s="4">
        <v>46126.500706018516</v>
      </c>
      <c r="N1873"/>
      <c r="O1873">
        <v>3888</v>
      </c>
      <c r="P1873" s="4"/>
      <c r="Q1873" s="4"/>
      <c r="R1873"/>
      <c r="S1873"/>
      <c r="T1873" s="4"/>
      <c r="U1873" s="4"/>
      <c r="V1873"/>
      <c r="W1873"/>
      <c r="X1873"/>
      <c r="Y1873" t="inlineStr">
        <is>
          <t>Pending Appointment</t>
        </is>
      </c>
      <c r="Z1873" t="inlineStr">
        <is>
          <t>Continuous Hiring</t>
        </is>
      </c>
      <c r="AA1873">
        <v>5</v>
      </c>
      <c r="AB1873" t="inlineStr">
        <is>
          <t>No Appointment Made</t>
        </is>
      </c>
      <c r="AC1873"/>
      <c r="AD1873" t="inlineStr">
        <is>
          <t>2 baristar ; 2 playground supervisor ; 1 manager</t>
        </is>
      </c>
      <c r="AE1873"/>
      <c r="AF1873">
        <v>3000</v>
      </c>
      <c r="AG1873" s="4"/>
      <c r="AH1873" s="4"/>
      <c r="AI1873"/>
      <c r="AJ1873"/>
      <c r="AK1873"/>
      <c r="AL1873"/>
      <c r="AM1873"/>
      <c r="AN1873"/>
      <c r="AO1873"/>
      <c r="AP1873" t="inlineStr">
        <is>
          <t>Once per quarter (75%)</t>
        </is>
      </c>
      <c r="AQ1873"/>
      <c r="AR1873"/>
      <c r="AS1873" t="inlineStr">
        <is>
          <t>- Headcount: 5
- Hiring Job Details: 2 barista; 2 playground supervisor; 1 manager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per quarter (75%)
- External job portal: Not available</t>
        </is>
      </c>
      <c r="AT1873">
        <v>75</v>
      </c>
      <c r="AU1873" t="inlineStr">
        <is>
          <t>0.75</t>
        </is>
      </c>
      <c r="AV1873" t="inlineStr">
        <is>
          <t>20</t>
        </is>
      </c>
      <c r="AW1873" t="inlineStr">
        <is>
          <t>0</t>
        </is>
      </c>
      <c r="AX1873" t="inlineStr">
        <is>
          <t>Not Qualified</t>
        </is>
      </c>
      <c r="AY1873" s="4"/>
      <c r="AZ1873"/>
      <c r="BA1873"/>
      <c r="BB1873"/>
      <c r="BC1873"/>
      <c r="BD1873" s="4"/>
      <c r="BE1873"/>
      <c r="BF1873"/>
      <c r="BG1873" t="inlineStr">
        <is>
          <t>Reschedule</t>
        </is>
      </c>
      <c r="BH1873" t="inlineStr">
        <is>
          <t>Reagen</t>
        </is>
      </c>
      <c r="BI1873"/>
      <c r="BJ1873" s="4">
        <v>46144.75581018518</v>
      </c>
      <c r="BK1873" s="4">
        <v>46126.36368055556</v>
      </c>
      <c r="BL1873" t="inlineStr">
        <is>
          <t>0.0</t>
        </is>
      </c>
      <c r="BM1873" t="inlineStr">
        <is>
          <t>0.0</t>
        </is>
      </c>
      <c r="BN1873"/>
      <c r="BO1873" s="4"/>
      <c r="BP1873">
        <v>166930</v>
      </c>
      <c r="BQ1873"/>
      <c r="BR1873"/>
      <c r="BS1873"/>
      <c r="BT1873"/>
      <c r="BU1873"/>
      <c r="BV1873"/>
      <c r="BW1873"/>
      <c r="BX1873"/>
      <c r="BY1873"/>
      <c r="BZ1873" s="4"/>
      <c r="CA1873"/>
      <c r="CB1873"/>
      <c r="CC1873" s="4"/>
      <c r="CD1873" t="inlineStr">
        <is>
          <t>30</t>
        </is>
      </c>
      <c r="CE1873" t="inlineStr">
        <is>
          <t>0</t>
        </is>
      </c>
      <c r="CF1873" t="inlineStr">
        <is>
          <t>Q2-W02</t>
        </is>
      </c>
      <c r="CG1873"/>
      <c r="CH1873"/>
      <c r="CI1873"/>
      <c r="CJ1873" t="inlineStr">
        <is>
          <t>No Paid</t>
        </is>
      </c>
      <c r="CK1873" t="inlineStr">
        <is>
          <t>Not Eligible</t>
        </is>
      </c>
      <c r="CL1873"/>
      <c r="CM1873"/>
    </row>
    <row r="1874" ht="25.5" customHeight="1">
      <c r="A1874" t="inlineStr">
        <is>
          <t>4280108</t>
        </is>
      </c>
      <c r="B1874" s="2"/>
      <c r="C1874"/>
      <c r="D1874" s="3">
        <v>46126.50027777778</v>
      </c>
      <c r="E1874" t="inlineStr">
        <is>
          <t>Q2-W02</t>
        </is>
      </c>
      <c r="F1874" t="inlineStr">
        <is>
          <t>Alan KY</t>
        </is>
      </c>
      <c r="G1874" t="inlineStr">
        <is>
          <t>Lead</t>
        </is>
      </c>
      <c r="H1874" s="2" t="str">
        <f>=HYPERLINK("https://upbox.ajobthing.my/leads/4280108", "https://upbox.ajobthing.my/leads/4280108")</f>
        <v>https://upbox.ajobthing.my/leads/4280108</v>
      </c>
      <c r="I1874" t="inlineStr">
        <is>
          <t>UD Trucks Malaysia Sdn Bhd</t>
        </is>
      </c>
      <c r="J1874" t="inlineStr">
        <is>
          <t>Small Fish</t>
        </is>
      </c>
      <c r="K1874" t="inlineStr">
        <is>
          <t>Alan KY</t>
        </is>
      </c>
      <c r="L1874" s="4"/>
      <c r="M1874" s="4">
        <v>46126.499386574076</v>
      </c>
      <c r="N1874"/>
      <c r="O1874">
        <v>3888</v>
      </c>
      <c r="P1874" s="4"/>
      <c r="Q1874" s="4"/>
      <c r="R1874"/>
      <c r="S1874"/>
      <c r="T1874" s="4"/>
      <c r="U1874" s="4"/>
      <c r="V1874"/>
      <c r="W1874"/>
      <c r="X1874"/>
      <c r="Y1874" t="inlineStr">
        <is>
          <t>Pending Appointment</t>
        </is>
      </c>
      <c r="Z1874" t="inlineStr">
        <is>
          <t>Hiring Now</t>
        </is>
      </c>
      <c r="AA1874">
        <v>3</v>
      </c>
      <c r="AB1874" t="inlineStr">
        <is>
          <t>No Appointment Made</t>
        </is>
      </c>
      <c r="AC1874"/>
      <c r="AD1874" t="inlineStr">
        <is>
          <t xml:space="preserve">Mainly hiring intern only 
after sales technician 2 
service sales support - intern Based in Shah Alam </t>
        </is>
      </c>
      <c r="AE1874"/>
      <c r="AF1874"/>
      <c r="AG1874" s="4"/>
      <c r="AH1874" s="4"/>
      <c r="AI1874"/>
      <c r="AJ1874"/>
      <c r="AK1874" t="inlineStr">
        <is>
          <t>No, I don't need at all</t>
        </is>
      </c>
      <c r="AL1874"/>
      <c r="AM1874" t="inlineStr">
        <is>
          <t>No, I don't need at all</t>
        </is>
      </c>
      <c r="AN1874"/>
      <c r="AO1874" t="inlineStr">
        <is>
          <t>No, I don't need at all</t>
        </is>
      </c>
      <c r="AP1874" t="inlineStr">
        <is>
          <t>Once per quarter (75%)</t>
        </is>
      </c>
      <c r="AQ1874"/>
      <c r="AR1874" t="inlineStr">
        <is>
          <t>Linkedin (Paid), Indeed (Paid)</t>
        </is>
      </c>
      <c r="AS1874" t="inlineStr">
        <is>
          <t>- Headcount: 3
- Hiring Job Details: Mainly hiring intern only; after sales technician 2; service sales support - intern Based in Shah Alam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Linkedin (Paid), Indeed (Paid)</t>
        </is>
      </c>
      <c r="AT1874">
        <v>50</v>
      </c>
      <c r="AU1874" t="inlineStr">
        <is>
          <t>0.50</t>
        </is>
      </c>
      <c r="AV1874" t="inlineStr">
        <is>
          <t>5</t>
        </is>
      </c>
      <c r="AW1874" t="inlineStr">
        <is>
          <t>0</t>
        </is>
      </c>
      <c r="AX1874" t="inlineStr">
        <is>
          <t>Not Qualified</t>
        </is>
      </c>
      <c r="AY1874" s="4"/>
      <c r="AZ1874"/>
      <c r="BA1874"/>
      <c r="BB1874"/>
      <c r="BC1874"/>
      <c r="BD1874" s="4"/>
      <c r="BE1874"/>
      <c r="BF1874"/>
      <c r="BG1874" t="inlineStr">
        <is>
          <t>Reschedule</t>
        </is>
      </c>
      <c r="BH1874" t="inlineStr">
        <is>
          <t>Reagen</t>
        </is>
      </c>
      <c r="BI1874"/>
      <c r="BJ1874" s="4">
        <v>46144.75581018518</v>
      </c>
      <c r="BK1874" s="4">
        <v>46126.42387731482</v>
      </c>
      <c r="BL1874" t="inlineStr">
        <is>
          <t>0.0</t>
        </is>
      </c>
      <c r="BM1874" t="inlineStr">
        <is>
          <t>300.0</t>
        </is>
      </c>
      <c r="BN1874"/>
      <c r="BO1874" s="4"/>
      <c r="BP1874">
        <v>166928</v>
      </c>
      <c r="BQ1874"/>
      <c r="BR1874"/>
      <c r="BS1874"/>
      <c r="BT1874"/>
      <c r="BU1874"/>
      <c r="BV1874"/>
      <c r="BW1874"/>
      <c r="BX1874"/>
      <c r="BY1874"/>
      <c r="BZ1874" s="4"/>
      <c r="CA1874"/>
      <c r="CB1874"/>
      <c r="CC1874" s="4"/>
      <c r="CD1874" t="inlineStr">
        <is>
          <t>5</t>
        </is>
      </c>
      <c r="CE1874" t="inlineStr">
        <is>
          <t>0</t>
        </is>
      </c>
      <c r="CF1874" t="inlineStr">
        <is>
          <t>Q2-W02</t>
        </is>
      </c>
      <c r="CG1874"/>
      <c r="CH1874"/>
      <c r="CI1874"/>
      <c r="CJ1874" t="inlineStr">
        <is>
          <t>No Paid</t>
        </is>
      </c>
      <c r="CK1874" t="inlineStr">
        <is>
          <t>Not Eligible</t>
        </is>
      </c>
      <c r="CL1874"/>
      <c r="CM1874"/>
    </row>
    <row r="1875" ht="25.5" customHeight="1">
      <c r="A1875" t="inlineStr">
        <is>
          <t>203211</t>
        </is>
      </c>
      <c r="B1875" s="2"/>
      <c r="C1875"/>
      <c r="D1875" s="3">
        <v>46126.557754629626</v>
      </c>
      <c r="E1875" t="inlineStr">
        <is>
          <t>Q2-W02</t>
        </is>
      </c>
      <c r="F1875" t="inlineStr">
        <is>
          <t>Lucas</t>
        </is>
      </c>
      <c r="G1875" t="inlineStr">
        <is>
          <t>Customer</t>
        </is>
      </c>
      <c r="H1875" s="2" t="str">
        <f>=HYPERLINK("https://upbox.ajobthing.my/customer/203211", "https://upbox.ajobthing.my/customer/203211")</f>
        <v>https://upbox.ajobthing.my/customer/203211</v>
      </c>
      <c r="I1875" t="inlineStr">
        <is>
          <t>Ego Technologies  sdn.bhd.</t>
        </is>
      </c>
      <c r="J1875" t="inlineStr">
        <is>
          <t>Small Fish</t>
        </is>
      </c>
      <c r="K1875" t="inlineStr">
        <is>
          <t>Lucas</t>
        </is>
      </c>
      <c r="L1875" s="4"/>
      <c r="M1875" s="4">
        <v>46126.55568287037</v>
      </c>
      <c r="N1875"/>
      <c r="O1875">
        <v>3888</v>
      </c>
      <c r="P1875" s="4"/>
      <c r="Q1875" s="4"/>
      <c r="R1875"/>
      <c r="S1875"/>
      <c r="T1875" s="4"/>
      <c r="U1875" s="4"/>
      <c r="V1875"/>
      <c r="W1875"/>
      <c r="X1875"/>
      <c r="Y1875" t="inlineStr">
        <is>
          <t>Pending Appointment</t>
        </is>
      </c>
      <c r="Z1875" t="inlineStr">
        <is>
          <t>Hiring Now</t>
        </is>
      </c>
      <c r="AA1875">
        <v>1</v>
      </c>
      <c r="AB1875" t="inlineStr">
        <is>
          <t>No Appointment Made</t>
        </is>
      </c>
      <c r="AC1875"/>
      <c r="AD1875" t="inlineStr">
        <is>
          <t xml:space="preserve">1 mechanical design engineer </t>
        </is>
      </c>
      <c r="AE1875"/>
      <c r="AF1875">
        <v>0</v>
      </c>
      <c r="AG1875" s="4"/>
      <c r="AH1875" s="4"/>
      <c r="AI1875">
        <v>0</v>
      </c>
      <c r="AJ1875">
        <v>0</v>
      </c>
      <c r="AK1875" t="inlineStr">
        <is>
          <t>No, I don't need at all</t>
        </is>
      </c>
      <c r="AL1875">
        <v>0</v>
      </c>
      <c r="AM1875" t="inlineStr">
        <is>
          <t>No, I don't need at all</t>
        </is>
      </c>
      <c r="AN1875"/>
      <c r="AO1875" t="inlineStr">
        <is>
          <t>No, I don't need at all</t>
        </is>
      </c>
      <c r="AP1875" t="inlineStr">
        <is>
          <t>Once a year (25%)</t>
        </is>
      </c>
      <c r="AQ1875">
        <v>1</v>
      </c>
      <c r="AR1875" t="inlineStr">
        <is>
          <t>Did not use any job portal</t>
        </is>
      </c>
      <c r="AS1875" t="inlineStr">
        <is>
          <t>- Headcount: 1
- Hiring Job Details: 1 mechanical design engineer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1875">
        <v>110</v>
      </c>
      <c r="AU1875" t="inlineStr">
        <is>
          <t>1.10</t>
        </is>
      </c>
      <c r="AV1875" t="inlineStr">
        <is>
          <t>15</t>
        </is>
      </c>
      <c r="AW1875" t="inlineStr">
        <is>
          <t>0</t>
        </is>
      </c>
      <c r="AX1875" t="inlineStr">
        <is>
          <t>Not Qualified</t>
        </is>
      </c>
      <c r="AY1875" s="4"/>
      <c r="AZ1875"/>
      <c r="BA1875"/>
      <c r="BB1875"/>
      <c r="BC1875" t="inlineStr">
        <is>
          <t>reject , on hold now</t>
        </is>
      </c>
      <c r="BD1875" s="4">
        <v>46133.61635416667</v>
      </c>
      <c r="BE1875"/>
      <c r="BF1875"/>
      <c r="BG1875" t="inlineStr">
        <is>
          <t>Reschedule</t>
        </is>
      </c>
      <c r="BH1875" t="inlineStr">
        <is>
          <t>Yee Hang</t>
        </is>
      </c>
      <c r="BI1875"/>
      <c r="BJ1875" s="4">
        <v>46144.75425925926</v>
      </c>
      <c r="BK1875" s="4">
        <v>46126.511041666665</v>
      </c>
      <c r="BL1875" t="inlineStr">
        <is>
          <t>0.0</t>
        </is>
      </c>
      <c r="BM1875" t="inlineStr">
        <is>
          <t>0.0</t>
        </is>
      </c>
      <c r="BN1875" t="inlineStr">
        <is>
          <t>View Company Page</t>
        </is>
      </c>
      <c r="BO1875" s="4">
        <v>46126.51175925926</v>
      </c>
      <c r="BP1875">
        <v>166933</v>
      </c>
      <c r="BQ1875"/>
      <c r="BR1875"/>
      <c r="BS1875"/>
      <c r="BT1875"/>
      <c r="BU1875"/>
      <c r="BV1875">
        <v>2718352</v>
      </c>
      <c r="BW1875" t="inlineStr">
        <is>
          <t>Follow Up : Lost - Free Portal</t>
        </is>
      </c>
      <c r="BX1875"/>
      <c r="BY1875"/>
      <c r="BZ1875" s="4"/>
      <c r="CA1875"/>
      <c r="CB1875"/>
      <c r="CC1875" s="4"/>
      <c r="CD1875" t="inlineStr">
        <is>
          <t>20</t>
        </is>
      </c>
      <c r="CE1875" t="inlineStr">
        <is>
          <t>0</t>
        </is>
      </c>
      <c r="CF1875" t="inlineStr">
        <is>
          <t>Q2-W02</t>
        </is>
      </c>
      <c r="CG1875"/>
      <c r="CH1875"/>
      <c r="CI1875"/>
      <c r="CJ1875" t="inlineStr">
        <is>
          <t>No Paid</t>
        </is>
      </c>
      <c r="CK1875" t="inlineStr">
        <is>
          <t>Not Eligible</t>
        </is>
      </c>
      <c r="CL1875"/>
      <c r="CM1875"/>
    </row>
    <row r="1876" ht="25.5" customHeight="1">
      <c r="A1876" t="inlineStr">
        <is>
          <t>203163</t>
        </is>
      </c>
      <c r="B1876" s="2"/>
      <c r="C1876"/>
      <c r="D1876" s="3">
        <v>46126.57642361111</v>
      </c>
      <c r="E1876" t="inlineStr">
        <is>
          <t>Q2-W02</t>
        </is>
      </c>
      <c r="F1876" t="inlineStr">
        <is>
          <t>Janice Yap</t>
        </is>
      </c>
      <c r="G1876" t="inlineStr">
        <is>
          <t>Customer</t>
        </is>
      </c>
      <c r="H1876" s="2" t="str">
        <f>=HYPERLINK("https://upbox.ajobthing.my/customer/203163", "https://upbox.ajobthing.my/customer/203163")</f>
        <v>https://upbox.ajobthing.my/customer/203163</v>
      </c>
      <c r="I1876" t="inlineStr">
        <is>
          <t>Hui Zai Sdn Bhd</t>
        </is>
      </c>
      <c r="J1876" t="inlineStr">
        <is>
          <t>Small Fish</t>
        </is>
      </c>
      <c r="K1876" t="inlineStr">
        <is>
          <t>Janice</t>
        </is>
      </c>
      <c r="L1876" s="4"/>
      <c r="M1876" s="4">
        <v>46126.57445601852</v>
      </c>
      <c r="N1876"/>
      <c r="O1876">
        <v>3888</v>
      </c>
      <c r="P1876" s="4"/>
      <c r="Q1876" s="4"/>
      <c r="R1876"/>
      <c r="S1876"/>
      <c r="T1876" s="4"/>
      <c r="U1876" s="4"/>
      <c r="V1876"/>
      <c r="W1876"/>
      <c r="X1876"/>
      <c r="Y1876" t="inlineStr">
        <is>
          <t>Pending Appointment</t>
        </is>
      </c>
      <c r="Z1876" t="inlineStr">
        <is>
          <t>Hiring Now</t>
        </is>
      </c>
      <c r="AA1876">
        <v>3</v>
      </c>
      <c r="AB1876" t="inlineStr">
        <is>
          <t>No Appointment Made</t>
        </is>
      </c>
      <c r="AC1876"/>
      <c r="AD1876" t="inlineStr">
        <is>
          <t>3 live host</t>
        </is>
      </c>
      <c r="AE1876"/>
      <c r="AF1876">
        <v>0</v>
      </c>
      <c r="AG1876" s="4"/>
      <c r="AH1876" s="4"/>
      <c r="AI1876">
        <v>0</v>
      </c>
      <c r="AJ1876"/>
      <c r="AK1876" t="inlineStr">
        <is>
          <t>No, I don't need at all</t>
        </is>
      </c>
      <c r="AL1876">
        <v>0</v>
      </c>
      <c r="AM1876" t="inlineStr">
        <is>
          <t>No, I don't need at all</t>
        </is>
      </c>
      <c r="AN1876"/>
      <c r="AO1876" t="inlineStr">
        <is>
          <t>No, I don't need at all</t>
        </is>
      </c>
      <c r="AP1876" t="inlineStr">
        <is>
          <t>Once a year (25%)</t>
        </is>
      </c>
      <c r="AQ1876">
        <v>3</v>
      </c>
      <c r="AR1876" t="inlineStr">
        <is>
          <t>Free Job Portal</t>
        </is>
      </c>
      <c r="AS1876" t="inlineStr">
        <is>
          <t>- Headcount: 3
- Hiring Job Details: 3 live host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Free Job Portal</t>
        </is>
      </c>
      <c r="AT1876">
        <v>105</v>
      </c>
      <c r="AU1876" t="inlineStr">
        <is>
          <t>1.05</t>
        </is>
      </c>
      <c r="AV1876" t="inlineStr">
        <is>
          <t>15</t>
        </is>
      </c>
      <c r="AW1876" t="inlineStr">
        <is>
          <t>0</t>
        </is>
      </c>
      <c r="AX1876" t="inlineStr">
        <is>
          <t>Not Qualified</t>
        </is>
      </c>
      <c r="AY1876" s="4"/>
      <c r="AZ1876"/>
      <c r="BA1876"/>
      <c r="BB1876"/>
      <c r="BC1876" t="inlineStr">
        <is>
          <t>PIC mentioned no need // lost</t>
        </is>
      </c>
      <c r="BD1876" s="4">
        <v>46128.58146990741</v>
      </c>
      <c r="BE1876"/>
      <c r="BF1876"/>
      <c r="BG1876" t="inlineStr">
        <is>
          <t>Reschedule</t>
        </is>
      </c>
      <c r="BH1876" t="inlineStr">
        <is>
          <t>Yee Hang</t>
        </is>
      </c>
      <c r="BI1876"/>
      <c r="BJ1876" s="4">
        <v>46144.75423611111</v>
      </c>
      <c r="BK1876" s="4">
        <v>46125.57163194445</v>
      </c>
      <c r="BL1876" t="inlineStr">
        <is>
          <t>0.0</t>
        </is>
      </c>
      <c r="BM1876" t="inlineStr">
        <is>
          <t>0.0</t>
        </is>
      </c>
      <c r="BN1876" t="inlineStr">
        <is>
          <t>View Company Page</t>
        </is>
      </c>
      <c r="BO1876" s="4">
        <v>46125.57232638889</v>
      </c>
      <c r="BP1876">
        <v>166937</v>
      </c>
      <c r="BQ1876"/>
      <c r="BR1876"/>
      <c r="BS1876"/>
      <c r="BT1876"/>
      <c r="BU1876"/>
      <c r="BV1876">
        <v>2709236</v>
      </c>
      <c r="BW1876" t="inlineStr">
        <is>
          <t>Follow Up : Budget Concern</t>
        </is>
      </c>
      <c r="BX1876"/>
      <c r="BY1876"/>
      <c r="BZ1876" s="4"/>
      <c r="CA1876"/>
      <c r="CB1876"/>
      <c r="CC1876" s="4"/>
      <c r="CD1876" t="inlineStr">
        <is>
          <t>20</t>
        </is>
      </c>
      <c r="CE1876" t="inlineStr">
        <is>
          <t>0</t>
        </is>
      </c>
      <c r="CF1876" t="inlineStr">
        <is>
          <t>Q2-W02</t>
        </is>
      </c>
      <c r="CG1876"/>
      <c r="CH1876"/>
      <c r="CI1876"/>
      <c r="CJ1876" t="inlineStr">
        <is>
          <t>No Paid</t>
        </is>
      </c>
      <c r="CK1876" t="inlineStr">
        <is>
          <t>Not Eligible</t>
        </is>
      </c>
      <c r="CL1876"/>
      <c r="CM1876"/>
    </row>
    <row r="1877" ht="25.5" customHeight="1">
      <c r="A1877" t="inlineStr">
        <is>
          <t>4280232</t>
        </is>
      </c>
      <c r="B1877" s="2"/>
      <c r="C1877"/>
      <c r="D1877" s="3">
        <v>46126.579189814816</v>
      </c>
      <c r="E1877" t="inlineStr">
        <is>
          <t>Q2-W02</t>
        </is>
      </c>
      <c r="F1877" t="inlineStr">
        <is>
          <t>Lucas</t>
        </is>
      </c>
      <c r="G1877" t="inlineStr">
        <is>
          <t>Lead</t>
        </is>
      </c>
      <c r="H1877" s="2" t="str">
        <f>=HYPERLINK("https://upbox.ajobthing.my/leads/4280232", "https://upbox.ajobthing.my/leads/4280232")</f>
        <v>https://upbox.ajobthing.my/leads/4280232</v>
      </c>
      <c r="I1877" t="inlineStr">
        <is>
          <t>LW Worldwide</t>
        </is>
      </c>
      <c r="J1877" t="inlineStr">
        <is>
          <t>Small Fish</t>
        </is>
      </c>
      <c r="K1877" t="inlineStr">
        <is>
          <t>Lucas</t>
        </is>
      </c>
      <c r="L1877" s="4"/>
      <c r="M1877" s="4">
        <v>46126.577627314815</v>
      </c>
      <c r="N1877"/>
      <c r="O1877">
        <v>3888</v>
      </c>
      <c r="P1877" s="4"/>
      <c r="Q1877" s="4"/>
      <c r="R1877"/>
      <c r="S1877"/>
      <c r="T1877" s="4"/>
      <c r="U1877" s="4"/>
      <c r="V1877"/>
      <c r="W1877"/>
      <c r="X1877"/>
      <c r="Y1877" t="inlineStr">
        <is>
          <t>Pending Appointment</t>
        </is>
      </c>
      <c r="Z1877" t="inlineStr">
        <is>
          <t>Hiring Now</t>
        </is>
      </c>
      <c r="AA1877">
        <v>1</v>
      </c>
      <c r="AB1877" t="inlineStr">
        <is>
          <t>No Appointment Made</t>
        </is>
      </c>
      <c r="AC1877"/>
      <c r="AD1877" t="inlineStr">
        <is>
          <t>1 e-commerce marketing</t>
        </is>
      </c>
      <c r="AE1877"/>
      <c r="AF1877">
        <v>0</v>
      </c>
      <c r="AG1877" s="4"/>
      <c r="AH1877" s="4"/>
      <c r="AI1877">
        <v>0</v>
      </c>
      <c r="AJ1877">
        <v>0</v>
      </c>
      <c r="AK1877" t="inlineStr">
        <is>
          <t>No, I don't need at all</t>
        </is>
      </c>
      <c r="AL1877">
        <v>0</v>
      </c>
      <c r="AM1877" t="inlineStr">
        <is>
          <t>No, I don't need at all</t>
        </is>
      </c>
      <c r="AN1877"/>
      <c r="AO1877" t="inlineStr">
        <is>
          <t>No, I don't need at all</t>
        </is>
      </c>
      <c r="AP1877" t="inlineStr">
        <is>
          <t>Once a year (25%)</t>
        </is>
      </c>
      <c r="AQ1877">
        <v>1</v>
      </c>
      <c r="AR1877" t="inlineStr">
        <is>
          <t>Jobstreet</t>
        </is>
      </c>
      <c r="AS1877" t="inlineStr">
        <is>
          <t>- Headcount: 1
- Hiring Job Details: 1 e-commerce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1877">
        <v>100</v>
      </c>
      <c r="AU1877" t="inlineStr">
        <is>
          <t>1.00</t>
        </is>
      </c>
      <c r="AV1877" t="inlineStr">
        <is>
          <t>15</t>
        </is>
      </c>
      <c r="AW1877" t="inlineStr">
        <is>
          <t>0</t>
        </is>
      </c>
      <c r="AX1877" t="inlineStr">
        <is>
          <t>Not Qualified</t>
        </is>
      </c>
      <c r="AY1877" s="4"/>
      <c r="AZ1877"/>
      <c r="BA1877"/>
      <c r="BB1877"/>
      <c r="BC1877"/>
      <c r="BD1877" s="4"/>
      <c r="BE1877"/>
      <c r="BF1877"/>
      <c r="BG1877" t="inlineStr">
        <is>
          <t>Reschedule</t>
        </is>
      </c>
      <c r="BH1877" t="inlineStr">
        <is>
          <t>Yee Hang</t>
        </is>
      </c>
      <c r="BI1877"/>
      <c r="BJ1877" s="4">
        <v>46144.75581018518</v>
      </c>
      <c r="BK1877" s="4">
        <v>46126.44652777778</v>
      </c>
      <c r="BL1877" t="inlineStr">
        <is>
          <t>0.0</t>
        </is>
      </c>
      <c r="BM1877" t="inlineStr">
        <is>
          <t>0.0</t>
        </is>
      </c>
      <c r="BN1877"/>
      <c r="BO1877" s="4"/>
      <c r="BP1877">
        <v>166942</v>
      </c>
      <c r="BQ1877"/>
      <c r="BR1877"/>
      <c r="BS1877"/>
      <c r="BT1877"/>
      <c r="BU1877"/>
      <c r="BV1877"/>
      <c r="BW1877"/>
      <c r="BX1877"/>
      <c r="BY1877"/>
      <c r="BZ1877" s="4"/>
      <c r="CA1877"/>
      <c r="CB1877"/>
      <c r="CC1877" s="4"/>
      <c r="CD1877" t="inlineStr">
        <is>
          <t>20</t>
        </is>
      </c>
      <c r="CE1877" t="inlineStr">
        <is>
          <t>0</t>
        </is>
      </c>
      <c r="CF1877" t="inlineStr">
        <is>
          <t>Q2-W02</t>
        </is>
      </c>
      <c r="CG1877"/>
      <c r="CH1877"/>
      <c r="CI1877"/>
      <c r="CJ1877" t="inlineStr">
        <is>
          <t>No Paid</t>
        </is>
      </c>
      <c r="CK1877" t="inlineStr">
        <is>
          <t>Not Eligible</t>
        </is>
      </c>
      <c r="CL1877"/>
      <c r="CM1877"/>
    </row>
    <row r="1878" ht="25.5" customHeight="1">
      <c r="A1878" t="inlineStr">
        <is>
          <t>203212</t>
        </is>
      </c>
      <c r="B1878" s="2"/>
      <c r="C1878"/>
      <c r="D1878" s="3">
        <v>46126.58099537037</v>
      </c>
      <c r="E1878" t="inlineStr">
        <is>
          <t>Q2-W02</t>
        </is>
      </c>
      <c r="F1878" t="inlineStr">
        <is>
          <t>Evan</t>
        </is>
      </c>
      <c r="G1878" t="inlineStr">
        <is>
          <t>Customer</t>
        </is>
      </c>
      <c r="H1878" s="2" t="str">
        <f>=HYPERLINK("https://upbox.ajobthing.my/customer/203212", "https://upbox.ajobthing.my/customer/203212")</f>
        <v>https://upbox.ajobthing.my/customer/203212</v>
      </c>
      <c r="I1878" t="inlineStr">
        <is>
          <t>Akma Spa</t>
        </is>
      </c>
      <c r="J1878" t="inlineStr">
        <is>
          <t>Small Fish</t>
        </is>
      </c>
      <c r="K1878" t="inlineStr">
        <is>
          <t>Evan</t>
        </is>
      </c>
      <c r="L1878" s="4"/>
      <c r="M1878" s="4">
        <v>46126.58048611111</v>
      </c>
      <c r="N1878"/>
      <c r="O1878">
        <v>3888</v>
      </c>
      <c r="P1878" s="4"/>
      <c r="Q1878" s="4"/>
      <c r="R1878"/>
      <c r="S1878"/>
      <c r="T1878" s="4"/>
      <c r="U1878" s="4"/>
      <c r="V1878"/>
      <c r="W1878"/>
      <c r="X1878"/>
      <c r="Y1878" t="inlineStr">
        <is>
          <t>Pending Appointment</t>
        </is>
      </c>
      <c r="Z1878" t="inlineStr">
        <is>
          <t>Hiring Now</t>
        </is>
      </c>
      <c r="AA1878">
        <v>2</v>
      </c>
      <c r="AB1878" t="inlineStr">
        <is>
          <t>No Appointment Made</t>
        </is>
      </c>
      <c r="AC1878"/>
      <c r="AD1878" t="inlineStr">
        <is>
          <t>2 therapist, all base in Cyberjaya</t>
        </is>
      </c>
      <c r="AE1878"/>
      <c r="AF1878">
        <v>1</v>
      </c>
      <c r="AG1878" s="4"/>
      <c r="AH1878" s="4"/>
      <c r="AI1878">
        <v>2</v>
      </c>
      <c r="AJ1878">
        <v>5</v>
      </c>
      <c r="AK1878" t="inlineStr">
        <is>
          <t>No, I don't need at all</t>
        </is>
      </c>
      <c r="AL1878">
        <v>0</v>
      </c>
      <c r="AM1878" t="inlineStr">
        <is>
          <t>No, I don't need at all</t>
        </is>
      </c>
      <c r="AN1878"/>
      <c r="AO1878" t="inlineStr">
        <is>
          <t>No, I don't need at all</t>
        </is>
      </c>
      <c r="AP1878" t="inlineStr">
        <is>
          <t>Once a year (25%)</t>
        </is>
      </c>
      <c r="AQ1878">
        <v>2</v>
      </c>
      <c r="AR1878" t="inlineStr">
        <is>
          <t>Did not use any job portal</t>
        </is>
      </c>
      <c r="AS1878" t="inlineStr">
        <is>
          <t>- Headcount: 2
- Hiring Job Details: 2 therapist, all base in Cyberjaya
- Hiring Urgency: Hiring Now
- Number of outlets: 5
- Have recruiter team: No, I don't need at all
- Number of recruiter in company: 0
- Have ATS system: No, I don't need at all
- Have career website: No, I don't need at all
- Current hiring budget: RM1.00
- Whole year budget: RM2.00
- Whole year number of vacancies: 2
- Hiring frequency: Once a year (25%)
- External job portal: Did not use any job portal</t>
        </is>
      </c>
      <c r="AT1878">
        <v>110</v>
      </c>
      <c r="AU1878" t="inlineStr">
        <is>
          <t>1.10</t>
        </is>
      </c>
      <c r="AV1878" t="inlineStr">
        <is>
          <t>15</t>
        </is>
      </c>
      <c r="AW1878" t="inlineStr">
        <is>
          <t>0</t>
        </is>
      </c>
      <c r="AX1878" t="inlineStr">
        <is>
          <t>Not Qualified</t>
        </is>
      </c>
      <c r="AY1878" s="4"/>
      <c r="AZ1878"/>
      <c r="BA1878"/>
      <c r="BB1878"/>
      <c r="BC1878" t="inlineStr">
        <is>
          <t>repost</t>
        </is>
      </c>
      <c r="BD1878" s="4">
        <v>46126.58520833333</v>
      </c>
      <c r="BE1878"/>
      <c r="BF1878"/>
      <c r="BG1878" t="inlineStr">
        <is>
          <t>Reschedule</t>
        </is>
      </c>
      <c r="BH1878" t="inlineStr">
        <is>
          <t>Edward Hoo</t>
        </is>
      </c>
      <c r="BI1878"/>
      <c r="BJ1878" s="4">
        <v>46144.75425925926</v>
      </c>
      <c r="BK1878" s="4">
        <v>46126.52583333333</v>
      </c>
      <c r="BL1878" t="inlineStr">
        <is>
          <t>0.0</t>
        </is>
      </c>
      <c r="BM1878" t="inlineStr">
        <is>
          <t>0.0</t>
        </is>
      </c>
      <c r="BN1878" t="inlineStr">
        <is>
          <t>View Company Page</t>
        </is>
      </c>
      <c r="BO1878" s="4">
        <v>46126.536469907405</v>
      </c>
      <c r="BP1878">
        <v>166944</v>
      </c>
      <c r="BQ1878"/>
      <c r="BR1878"/>
      <c r="BS1878"/>
      <c r="BT1878"/>
      <c r="BU1878"/>
      <c r="BV1878">
        <v>2703539</v>
      </c>
      <c r="BW1878" t="inlineStr">
        <is>
          <t>Inquire for Hiring Needs : Quotation Sent 50%</t>
        </is>
      </c>
      <c r="BX1878"/>
      <c r="BY1878"/>
      <c r="BZ1878" s="4"/>
      <c r="CA1878"/>
      <c r="CB1878"/>
      <c r="CC1878" s="4"/>
      <c r="CD1878" t="inlineStr">
        <is>
          <t>20</t>
        </is>
      </c>
      <c r="CE1878" t="inlineStr">
        <is>
          <t>0</t>
        </is>
      </c>
      <c r="CF1878" t="inlineStr">
        <is>
          <t>Q2-W02</t>
        </is>
      </c>
      <c r="CG1878"/>
      <c r="CH1878"/>
      <c r="CI1878"/>
      <c r="CJ1878" t="inlineStr">
        <is>
          <t>No Paid</t>
        </is>
      </c>
      <c r="CK1878" t="inlineStr">
        <is>
          <t>Not Eligible</t>
        </is>
      </c>
      <c r="CL1878"/>
      <c r="CM1878"/>
    </row>
    <row r="1879" ht="25.5" customHeight="1">
      <c r="A1879" t="inlineStr">
        <is>
          <t>22626</t>
        </is>
      </c>
      <c r="B1879" s="2"/>
      <c r="C1879"/>
      <c r="D1879" s="3">
        <v>46126.58226851852</v>
      </c>
      <c r="E1879" t="inlineStr">
        <is>
          <t>Q2-W02</t>
        </is>
      </c>
      <c r="F1879" t="inlineStr">
        <is>
          <t>Xin Quan</t>
        </is>
      </c>
      <c r="G1879" t="inlineStr">
        <is>
          <t>Customer</t>
        </is>
      </c>
      <c r="H1879" s="2" t="str">
        <f>=HYPERLINK("https://upbox.ajobthing.my/customer/22626", "https://upbox.ajobthing.my/customer/22626")</f>
        <v>https://upbox.ajobthing.my/customer/22626</v>
      </c>
      <c r="I1879" t="inlineStr">
        <is>
          <t>Pusat Tuisyen Inspirasi</t>
        </is>
      </c>
      <c r="J1879" t="inlineStr">
        <is>
          <t>Small Fish</t>
        </is>
      </c>
      <c r="K1879" t="inlineStr">
        <is>
          <t>Xin Quan</t>
        </is>
      </c>
      <c r="L1879" s="4"/>
      <c r="M1879" s="4">
        <v>46126.5825462963</v>
      </c>
      <c r="N1879"/>
      <c r="O1879">
        <v>864</v>
      </c>
      <c r="P1879" s="4"/>
      <c r="Q1879" s="4">
        <v>43381.01820601852</v>
      </c>
      <c r="R1879"/>
      <c r="S1879">
        <v>530</v>
      </c>
      <c r="T1879" s="4">
        <v>43381.01820601852</v>
      </c>
      <c r="U1879" s="4"/>
      <c r="V1879"/>
      <c r="W1879">
        <v>530</v>
      </c>
      <c r="X1879"/>
      <c r="Y1879" t="inlineStr">
        <is>
          <t>Pending Appointment</t>
        </is>
      </c>
      <c r="Z1879" t="inlineStr">
        <is>
          <t>Hiring Now</t>
        </is>
      </c>
      <c r="AA1879">
        <v>1</v>
      </c>
      <c r="AB1879" t="inlineStr">
        <is>
          <t>No Appointment Made</t>
        </is>
      </c>
      <c r="AC1879"/>
      <c r="AD1879" t="inlineStr">
        <is>
          <t>1 Teacher , Base in KL</t>
        </is>
      </c>
      <c r="AE1879"/>
      <c r="AF1879">
        <v>1700</v>
      </c>
      <c r="AG1879" s="4"/>
      <c r="AH1879" s="4"/>
      <c r="AI1879">
        <v>20400</v>
      </c>
      <c r="AJ1879">
        <v>1</v>
      </c>
      <c r="AK1879"/>
      <c r="AL1879"/>
      <c r="AM1879"/>
      <c r="AN1879"/>
      <c r="AO1879"/>
      <c r="AP1879"/>
      <c r="AQ1879">
        <v>1</v>
      </c>
      <c r="AR1879"/>
      <c r="AS1879" t="inlineStr">
        <is>
          <t>- Headcount: 1
- Hiring Job Details: 1 Teacher, Base in KL
- Hiring Urgency: Hiring Now
- Number of outlets: 1
- Have recruiter team: Not specified
- Number of recruiter in company: Not specified
- Have ATS system: Not specified
- Have career website: Not specified
- Current hiring budget: RM1,700
- Whole year budget: RM20,400.00
- Whole year number of vacancies: 1
- Hiring frequency: Not specified
- External job portal: Not specified</t>
        </is>
      </c>
      <c r="AT1879">
        <v>105</v>
      </c>
      <c r="AU1879" t="inlineStr">
        <is>
          <t>1.05</t>
        </is>
      </c>
      <c r="AV1879" t="inlineStr">
        <is>
          <t>15</t>
        </is>
      </c>
      <c r="AW1879" t="inlineStr">
        <is>
          <t>0</t>
        </is>
      </c>
      <c r="AX1879" t="inlineStr">
        <is>
          <t>Not Qualified</t>
        </is>
      </c>
      <c r="AY1879" s="4"/>
      <c r="AZ1879"/>
      <c r="BA1879"/>
      <c r="BB1879"/>
      <c r="BC1879" t="inlineStr">
        <is>
          <t>800 Also over budget</t>
        </is>
      </c>
      <c r="BD1879" s="4">
        <v>46129.45914351852</v>
      </c>
      <c r="BE1879" t="inlineStr">
        <is>
          <t>paid</t>
        </is>
      </c>
      <c r="BF1879"/>
      <c r="BG1879" t="inlineStr">
        <is>
          <t>Reschedule</t>
        </is>
      </c>
      <c r="BH1879" t="inlineStr">
        <is>
          <t>Edward Hoo</t>
        </is>
      </c>
      <c r="BI1879" t="inlineStr">
        <is>
          <t>Education / Training</t>
        </is>
      </c>
      <c r="BJ1879" s="4">
        <v>46144.75444444444</v>
      </c>
      <c r="BK1879" s="4">
        <v>42496.91701388889</v>
      </c>
      <c r="BL1879" t="inlineStr">
        <is>
          <t>0.0</t>
        </is>
      </c>
      <c r="BM1879" t="inlineStr">
        <is>
          <t>0.0</t>
        </is>
      </c>
      <c r="BN1879" t="inlineStr">
        <is>
          <t>User Visit(Logged In)</t>
        </is>
      </c>
      <c r="BO1879" s="4">
        <v>46113.90903935185</v>
      </c>
      <c r="BP1879">
        <v>166947</v>
      </c>
      <c r="BQ1879">
        <v>14481</v>
      </c>
      <c r="BR1879" t="inlineStr">
        <is>
          <t>Online</t>
        </is>
      </c>
      <c r="BS1879"/>
      <c r="BT1879">
        <v>14481</v>
      </c>
      <c r="BU1879"/>
      <c r="BV1879">
        <v>2711385</v>
      </c>
      <c r="BW1879" t="inlineStr">
        <is>
          <t>Inquire for Hiring Needs : Budget Concern</t>
        </is>
      </c>
      <c r="BX1879"/>
      <c r="BY1879"/>
      <c r="BZ1879" s="4"/>
      <c r="CA1879"/>
      <c r="CB1879"/>
      <c r="CC1879" s="4"/>
      <c r="CD1879" t="inlineStr">
        <is>
          <t>20</t>
        </is>
      </c>
      <c r="CE1879" t="inlineStr">
        <is>
          <t>0</t>
        </is>
      </c>
      <c r="CF1879" t="inlineStr">
        <is>
          <t>Q2-W02</t>
        </is>
      </c>
      <c r="CG1879"/>
      <c r="CH1879"/>
      <c r="CI1879"/>
      <c r="CJ1879" t="inlineStr">
        <is>
          <t>Paid</t>
        </is>
      </c>
      <c r="CK1879" t="inlineStr">
        <is>
          <t>Not Eligible</t>
        </is>
      </c>
      <c r="CL1879"/>
      <c r="CM1879"/>
    </row>
    <row r="1880" ht="25.5" customHeight="1">
      <c r="A1880" t="inlineStr">
        <is>
          <t>136980</t>
        </is>
      </c>
      <c r="B1880" s="2"/>
      <c r="C1880"/>
      <c r="D1880" s="3">
        <v>46126.58627314815</v>
      </c>
      <c r="E1880" t="inlineStr">
        <is>
          <t>Q2-W02</t>
        </is>
      </c>
      <c r="F1880" t="inlineStr">
        <is>
          <t>Dickson</t>
        </is>
      </c>
      <c r="G1880" t="inlineStr">
        <is>
          <t>Customer</t>
        </is>
      </c>
      <c r="H1880" s="2" t="str">
        <f>=HYPERLINK("https://upbox.ajobthing.my/customer/136980", "https://upbox.ajobthing.my/customer/136980")</f>
        <v>https://upbox.ajobthing.my/customer/136980</v>
      </c>
      <c r="I1880" t="inlineStr">
        <is>
          <t>In-Situ Maintenance Services Sdn Bhd</t>
        </is>
      </c>
      <c r="J1880" t="inlineStr">
        <is>
          <t>Small Fish</t>
        </is>
      </c>
      <c r="K1880" t="inlineStr">
        <is>
          <t>Dickson</t>
        </is>
      </c>
      <c r="L1880" s="4"/>
      <c r="M1880" s="4">
        <v>46126.586435185185</v>
      </c>
      <c r="N1880"/>
      <c r="O1880">
        <v>3456</v>
      </c>
      <c r="P1880" s="4"/>
      <c r="Q1880" s="4">
        <v>45874.68483796297</v>
      </c>
      <c r="R1880"/>
      <c r="S1880">
        <v>648</v>
      </c>
      <c r="T1880" s="4">
        <v>45874.68483796297</v>
      </c>
      <c r="U1880" s="4"/>
      <c r="V1880"/>
      <c r="W1880">
        <v>648</v>
      </c>
      <c r="X1880"/>
      <c r="Y1880" t="inlineStr">
        <is>
          <t>Pending Appointment</t>
        </is>
      </c>
      <c r="Z1880" t="inlineStr">
        <is>
          <t>Hiring Now</t>
        </is>
      </c>
      <c r="AA1880">
        <v>0</v>
      </c>
      <c r="AB1880" t="inlineStr">
        <is>
          <t>No Appointment Made</t>
        </is>
      </c>
      <c r="AC1880"/>
      <c r="AD1880" t="inlineStr">
        <is>
          <t>hiring but customer is interested in candidate search package</t>
        </is>
      </c>
      <c r="AE1880"/>
      <c r="AF1880"/>
      <c r="AG1880" s="4"/>
      <c r="AH1880" s="4"/>
      <c r="AI1880"/>
      <c r="AJ1880">
        <v>1</v>
      </c>
      <c r="AK1880" t="inlineStr">
        <is>
          <t>No, I don't need at all</t>
        </is>
      </c>
      <c r="AL1880"/>
      <c r="AM1880" t="inlineStr">
        <is>
          <t>No, I don't need at all</t>
        </is>
      </c>
      <c r="AN1880"/>
      <c r="AO1880" t="inlineStr">
        <is>
          <t>No, I don't need at all</t>
        </is>
      </c>
      <c r="AP1880" t="inlineStr">
        <is>
          <t>Once per quarter (75%)</t>
        </is>
      </c>
      <c r="AQ1880"/>
      <c r="AR1880"/>
      <c r="AS1880" t="inlineStr">
        <is>
          <t>- Headcount: 0
- Hiring Job Details: hiring but customer is interested in candidate search package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1880">
        <v>35</v>
      </c>
      <c r="AU1880" t="inlineStr">
        <is>
          <t>0.35</t>
        </is>
      </c>
      <c r="AV1880" t="inlineStr">
        <is>
          <t>5</t>
        </is>
      </c>
      <c r="AW1880" t="inlineStr">
        <is>
          <t>0</t>
        </is>
      </c>
      <c r="AX1880" t="inlineStr">
        <is>
          <t>Not Qualified</t>
        </is>
      </c>
      <c r="AY1880" s="4"/>
      <c r="AZ1880"/>
      <c r="BA1880"/>
      <c r="BB1880"/>
      <c r="BC1880" t="inlineStr">
        <is>
          <t>cust went with JS</t>
        </is>
      </c>
      <c r="BD1880" s="4">
        <v>46142.439259259256</v>
      </c>
      <c r="BE1880" t="inlineStr">
        <is>
          <t>paid</t>
        </is>
      </c>
      <c r="BF1880"/>
      <c r="BG1880" t="inlineStr">
        <is>
          <t>Reschedule</t>
        </is>
      </c>
      <c r="BH1880" t="inlineStr">
        <is>
          <t>Edward Hoo</t>
        </is>
      </c>
      <c r="BI1880" t="inlineStr">
        <is>
          <t>Oil / Gas / Petroleum</t>
        </is>
      </c>
      <c r="BJ1880" s="4">
        <v>46144.75059027778</v>
      </c>
      <c r="BK1880" s="4">
        <v>44299.40678240741</v>
      </c>
      <c r="BL1880" t="inlineStr">
        <is>
          <t>648.0</t>
        </is>
      </c>
      <c r="BM1880" t="inlineStr">
        <is>
          <t>0.0</t>
        </is>
      </c>
      <c r="BN1880" t="inlineStr">
        <is>
          <t>View Jobmanager Page</t>
        </is>
      </c>
      <c r="BO1880" s="4">
        <v>45980.51503472222</v>
      </c>
      <c r="BP1880">
        <v>166950</v>
      </c>
      <c r="BQ1880">
        <v>81308</v>
      </c>
      <c r="BR1880" t="inlineStr">
        <is>
          <t>Online</t>
        </is>
      </c>
      <c r="BS1880"/>
      <c r="BT1880">
        <v>81308</v>
      </c>
      <c r="BU1880"/>
      <c r="BV1880">
        <v>2736788</v>
      </c>
      <c r="BW1880" t="inlineStr">
        <is>
          <t>Follow Up : Lost - Paid Portal</t>
        </is>
      </c>
      <c r="BX1880"/>
      <c r="BY1880"/>
      <c r="BZ1880" s="4"/>
      <c r="CA1880"/>
      <c r="CB1880"/>
      <c r="CC1880" s="4"/>
      <c r="CD1880" t="inlineStr">
        <is>
          <t>5</t>
        </is>
      </c>
      <c r="CE1880" t="inlineStr">
        <is>
          <t>0</t>
        </is>
      </c>
      <c r="CF1880" t="inlineStr">
        <is>
          <t>Q2-W02</t>
        </is>
      </c>
      <c r="CG1880"/>
      <c r="CH1880"/>
      <c r="CI1880"/>
      <c r="CJ1880" t="inlineStr">
        <is>
          <t>Paid</t>
        </is>
      </c>
      <c r="CK1880" t="inlineStr">
        <is>
          <t>Not Eligible</t>
        </is>
      </c>
      <c r="CL1880"/>
      <c r="CM1880"/>
    </row>
    <row r="1881" ht="25.5" customHeight="1">
      <c r="A1881" t="inlineStr">
        <is>
          <t>190929</t>
        </is>
      </c>
      <c r="B1881" s="2"/>
      <c r="C1881"/>
      <c r="D1881" s="3">
        <v>46126.587789351855</v>
      </c>
      <c r="E1881" t="inlineStr">
        <is>
          <t>Q2-W02</t>
        </is>
      </c>
      <c r="F1881" t="inlineStr">
        <is>
          <t>Xin Quan</t>
        </is>
      </c>
      <c r="G1881" t="inlineStr">
        <is>
          <t>Customer</t>
        </is>
      </c>
      <c r="H1881" s="2" t="str">
        <f>=HYPERLINK("https://upbox.ajobthing.my/customer/190929", "https://upbox.ajobthing.my/customer/190929")</f>
        <v>https://upbox.ajobthing.my/customer/190929</v>
      </c>
      <c r="I1881" t="inlineStr">
        <is>
          <t>Precious Ritz Sdn Bhd</t>
        </is>
      </c>
      <c r="J1881" t="inlineStr">
        <is>
          <t>Small Fish</t>
        </is>
      </c>
      <c r="K1881" t="inlineStr">
        <is>
          <t>Xin Quan</t>
        </is>
      </c>
      <c r="L1881" s="4"/>
      <c r="M1881" s="4">
        <v>46126.588113425925</v>
      </c>
      <c r="N1881"/>
      <c r="O1881">
        <v>3888</v>
      </c>
      <c r="P1881" s="4"/>
      <c r="Q1881" s="4"/>
      <c r="R1881"/>
      <c r="S1881"/>
      <c r="T1881" s="4"/>
      <c r="U1881" s="4"/>
      <c r="V1881"/>
      <c r="W1881"/>
      <c r="X1881"/>
      <c r="Y1881" t="inlineStr">
        <is>
          <t>Pending Appointment</t>
        </is>
      </c>
      <c r="Z1881" t="inlineStr">
        <is>
          <t>Hiring Now</t>
        </is>
      </c>
      <c r="AA1881">
        <v>2</v>
      </c>
      <c r="AB1881" t="inlineStr">
        <is>
          <t>No Appointment Made</t>
        </is>
      </c>
      <c r="AC1881"/>
      <c r="AD1881" t="inlineStr">
        <is>
          <t>1 Sales marketing 1 Office admin , Base in KL</t>
        </is>
      </c>
      <c r="AE1881"/>
      <c r="AF1881">
        <v>4000</v>
      </c>
      <c r="AG1881" s="4"/>
      <c r="AH1881" s="4"/>
      <c r="AI1881">
        <v>48000</v>
      </c>
      <c r="AJ1881">
        <v>1</v>
      </c>
      <c r="AK1881"/>
      <c r="AL1881"/>
      <c r="AM1881"/>
      <c r="AN1881"/>
      <c r="AO1881"/>
      <c r="AP1881"/>
      <c r="AQ1881">
        <v>2</v>
      </c>
      <c r="AR1881"/>
      <c r="AS1881" t="inlineStr">
        <is>
          <t>- Headcount: 2
- Hiring Job Details: 1 Sales marketing, 1 Office admin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1881">
        <v>95</v>
      </c>
      <c r="AU1881" t="inlineStr">
        <is>
          <t>0.95</t>
        </is>
      </c>
      <c r="AV1881" t="inlineStr">
        <is>
          <t>15</t>
        </is>
      </c>
      <c r="AW1881" t="inlineStr">
        <is>
          <t>0</t>
        </is>
      </c>
      <c r="AX1881" t="inlineStr">
        <is>
          <t>Not Qualified</t>
        </is>
      </c>
      <c r="AY1881" s="4"/>
      <c r="AZ1881"/>
      <c r="BA1881"/>
      <c r="BB1881"/>
      <c r="BC1881" t="inlineStr">
        <is>
          <t>- Headcount: 2
- Hiring Job Details: 1 Sales marketing, 1 Office admin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BD1881" s="4">
        <v>46126.62503472222</v>
      </c>
      <c r="BE1881"/>
      <c r="BF1881"/>
      <c r="BG1881" t="inlineStr">
        <is>
          <t>Reschedule</t>
        </is>
      </c>
      <c r="BH1881" t="inlineStr">
        <is>
          <t>Edward Hoo</t>
        </is>
      </c>
      <c r="BI1881"/>
      <c r="BJ1881" s="4">
        <v>46144.75239583333</v>
      </c>
      <c r="BK1881" s="4">
        <v>45784.4675</v>
      </c>
      <c r="BL1881" t="inlineStr">
        <is>
          <t>0.0</t>
        </is>
      </c>
      <c r="BM1881" t="inlineStr">
        <is>
          <t>0.0</t>
        </is>
      </c>
      <c r="BN1881" t="inlineStr">
        <is>
          <t>User Visit(Logged In)</t>
        </is>
      </c>
      <c r="BO1881" s="4">
        <v>45784.467523148145</v>
      </c>
      <c r="BP1881">
        <v>166951</v>
      </c>
      <c r="BQ1881"/>
      <c r="BR1881"/>
      <c r="BS1881"/>
      <c r="BT1881"/>
      <c r="BU1881"/>
      <c r="BV1881">
        <v>2703790</v>
      </c>
      <c r="BW1881" t="inlineStr">
        <is>
          <t>Customer Inquiry</t>
        </is>
      </c>
      <c r="BX1881"/>
      <c r="BY1881"/>
      <c r="BZ1881" s="4"/>
      <c r="CA1881"/>
      <c r="CB1881"/>
      <c r="CC1881" s="4"/>
      <c r="CD1881" t="inlineStr">
        <is>
          <t>20</t>
        </is>
      </c>
      <c r="CE1881" t="inlineStr">
        <is>
          <t>0</t>
        </is>
      </c>
      <c r="CF1881" t="inlineStr">
        <is>
          <t>Q2-W02</t>
        </is>
      </c>
      <c r="CG1881"/>
      <c r="CH1881"/>
      <c r="CI1881"/>
      <c r="CJ1881" t="inlineStr">
        <is>
          <t>No Paid</t>
        </is>
      </c>
      <c r="CK1881" t="inlineStr">
        <is>
          <t>Not Eligible</t>
        </is>
      </c>
      <c r="CL1881"/>
      <c r="CM1881"/>
    </row>
    <row r="1882" ht="25.5" customHeight="1">
      <c r="A1882" t="inlineStr">
        <is>
          <t>180557</t>
        </is>
      </c>
      <c r="B1882" s="2"/>
      <c r="C1882"/>
      <c r="D1882" s="3">
        <v>46126.59556712963</v>
      </c>
      <c r="E1882" t="inlineStr">
        <is>
          <t>Q2-W02</t>
        </is>
      </c>
      <c r="F1882" t="inlineStr">
        <is>
          <t>Carmen</t>
        </is>
      </c>
      <c r="G1882" t="inlineStr">
        <is>
          <t>Customer</t>
        </is>
      </c>
      <c r="H1882" s="2" t="str">
        <f>=HYPERLINK("https://upbox.ajobthing.my/customer/180557", "https://upbox.ajobthing.my/customer/180557")</f>
        <v>https://upbox.ajobthing.my/customer/180557</v>
      </c>
      <c r="I1882" t="inlineStr">
        <is>
          <t>Everest Hotel &amp; Restaurant Supplies Sdn Bhd</t>
        </is>
      </c>
      <c r="J1882" t="inlineStr">
        <is>
          <t>Small Fish</t>
        </is>
      </c>
      <c r="K1882" t="inlineStr">
        <is>
          <t>Carmen</t>
        </is>
      </c>
      <c r="L1882" s="4"/>
      <c r="M1882" s="4">
        <v>46126.59570601852</v>
      </c>
      <c r="N1882"/>
      <c r="O1882">
        <v>1296</v>
      </c>
      <c r="P1882" s="4"/>
      <c r="Q1882" s="4">
        <v>46140.67023148148</v>
      </c>
      <c r="R1882"/>
      <c r="S1882">
        <v>1296</v>
      </c>
      <c r="T1882" s="4">
        <v>45489.57488425926</v>
      </c>
      <c r="U1882" s="4"/>
      <c r="V1882"/>
      <c r="W1882">
        <v>648</v>
      </c>
      <c r="X1882"/>
      <c r="Y1882" t="inlineStr">
        <is>
          <t>Pending Appointment</t>
        </is>
      </c>
      <c r="Z1882" t="inlineStr">
        <is>
          <t>Hiring Now</t>
        </is>
      </c>
      <c r="AA1882">
        <v>1</v>
      </c>
      <c r="AB1882" t="inlineStr">
        <is>
          <t>No Appointment Made</t>
        </is>
      </c>
      <c r="AC1882"/>
      <c r="AD1882" t="inlineStr">
        <is>
          <t>1x sales and executive</t>
        </is>
      </c>
      <c r="AE1882"/>
      <c r="AF1882">
        <v>0</v>
      </c>
      <c r="AG1882" s="4"/>
      <c r="AH1882" s="4"/>
      <c r="AI1882"/>
      <c r="AJ1882"/>
      <c r="AK1882"/>
      <c r="AL1882"/>
      <c r="AM1882"/>
      <c r="AN1882"/>
      <c r="AO1882"/>
      <c r="AP1882" t="inlineStr">
        <is>
          <t>Once per quarter (75%)</t>
        </is>
      </c>
      <c r="AQ1882"/>
      <c r="AR1882"/>
      <c r="AS1882" t="inlineStr">
        <is>
          <t>- Headcount: 1
- Hiring Job Details: 1x sales and executive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per quarter (75%)
- External job portal: Not available</t>
        </is>
      </c>
      <c r="AT1882">
        <v>70</v>
      </c>
      <c r="AU1882" t="inlineStr">
        <is>
          <t>0.70</t>
        </is>
      </c>
      <c r="AV1882" t="inlineStr">
        <is>
          <t>15</t>
        </is>
      </c>
      <c r="AW1882" t="inlineStr">
        <is>
          <t>0</t>
        </is>
      </c>
      <c r="AX1882" t="inlineStr">
        <is>
          <t>Not Qualified</t>
        </is>
      </c>
      <c r="AY1882" s="4"/>
      <c r="AZ1882"/>
      <c r="BA1882"/>
      <c r="BB1882"/>
      <c r="BC1882" t="inlineStr">
        <is>
          <t>share inv</t>
        </is>
      </c>
      <c r="BD1882" s="4">
        <v>46140.67150462963</v>
      </c>
      <c r="BE1882" t="inlineStr">
        <is>
          <t>pending</t>
        </is>
      </c>
      <c r="BF1882"/>
      <c r="BG1882" t="inlineStr">
        <is>
          <t>Reschedule</t>
        </is>
      </c>
      <c r="BH1882" t="inlineStr">
        <is>
          <t>Reagen</t>
        </is>
      </c>
      <c r="BI1882" t="inlineStr">
        <is>
          <t>General / Wholesale Trading</t>
        </is>
      </c>
      <c r="BJ1882" s="4">
        <v>46144.75184027778</v>
      </c>
      <c r="BK1882" s="4">
        <v>45489.406018518515</v>
      </c>
      <c r="BL1882" t="inlineStr">
        <is>
          <t>0.0</t>
        </is>
      </c>
      <c r="BM1882" t="inlineStr">
        <is>
          <t>0.0</t>
        </is>
      </c>
      <c r="BN1882" t="inlineStr">
        <is>
          <t>View Company Page</t>
        </is>
      </c>
      <c r="BO1882" s="4">
        <v>45679.72877314815</v>
      </c>
      <c r="BP1882">
        <v>166959</v>
      </c>
      <c r="BQ1882">
        <v>123939</v>
      </c>
      <c r="BR1882" t="inlineStr">
        <is>
          <t>Proforma</t>
        </is>
      </c>
      <c r="BS1882" t="inlineStr">
        <is>
          <t>AI Ala Carte (Jan 26) Plus</t>
        </is>
      </c>
      <c r="BT1882">
        <v>71076</v>
      </c>
      <c r="BU1882"/>
      <c r="BV1882">
        <v>2733337</v>
      </c>
      <c r="BW1882" t="inlineStr">
        <is>
          <t>Follow Up : Invoice Sent 75%</t>
        </is>
      </c>
      <c r="BX1882"/>
      <c r="BY1882"/>
      <c r="BZ1882" s="4"/>
      <c r="CA1882"/>
      <c r="CB1882"/>
      <c r="CC1882" s="4"/>
      <c r="CD1882" t="inlineStr">
        <is>
          <t>20</t>
        </is>
      </c>
      <c r="CE1882" t="inlineStr">
        <is>
          <t>0</t>
        </is>
      </c>
      <c r="CF1882" t="inlineStr">
        <is>
          <t>Q2-W02</t>
        </is>
      </c>
      <c r="CG1882" t="inlineStr">
        <is>
          <t>Q2-W04</t>
        </is>
      </c>
      <c r="CH1882"/>
      <c r="CI1882"/>
      <c r="CJ1882" t="inlineStr">
        <is>
          <t>Paid</t>
        </is>
      </c>
      <c r="CK1882" t="inlineStr">
        <is>
          <t>Not Eligible</t>
        </is>
      </c>
      <c r="CL1882"/>
      <c r="CM1882"/>
    </row>
    <row r="1883" ht="25.5" customHeight="1">
      <c r="A1883" t="inlineStr">
        <is>
          <t>203192</t>
        </is>
      </c>
      <c r="B1883" s="2"/>
      <c r="C1883"/>
      <c r="D1883" s="3">
        <v>46126.59875</v>
      </c>
      <c r="E1883" t="inlineStr">
        <is>
          <t>Q2-W02</t>
        </is>
      </c>
      <c r="F1883" t="inlineStr">
        <is>
          <t>Angel  Low</t>
        </is>
      </c>
      <c r="G1883" t="inlineStr">
        <is>
          <t>Customer</t>
        </is>
      </c>
      <c r="H1883" s="2" t="str">
        <f>=HYPERLINK("https://upbox.ajobthing.my/customer/203192", "https://upbox.ajobthing.my/customer/203192")</f>
        <v>https://upbox.ajobthing.my/customer/203192</v>
      </c>
      <c r="I1883" t="inlineStr">
        <is>
          <t xml:space="preserve">Ctrv Engineering Sdn Bhd </t>
        </is>
      </c>
      <c r="J1883" t="inlineStr">
        <is>
          <t>Small Fish</t>
        </is>
      </c>
      <c r="K1883" t="inlineStr">
        <is>
          <t>Angel Low</t>
        </is>
      </c>
      <c r="L1883" s="4"/>
      <c r="M1883" s="4">
        <v>46126.60052083333</v>
      </c>
      <c r="N1883"/>
      <c r="O1883">
        <v>3672</v>
      </c>
      <c r="P1883" s="4"/>
      <c r="Q1883" s="4"/>
      <c r="R1883"/>
      <c r="S1883"/>
      <c r="T1883" s="4"/>
      <c r="U1883" s="4"/>
      <c r="V1883"/>
      <c r="W1883"/>
      <c r="X1883"/>
      <c r="Y1883" t="inlineStr">
        <is>
          <t>Pending Appointment</t>
        </is>
      </c>
      <c r="Z1883"/>
      <c r="AA1883">
        <v>1</v>
      </c>
      <c r="AB1883" t="inlineStr">
        <is>
          <t>No Appointment Made</t>
        </is>
      </c>
      <c r="AC1883"/>
      <c r="AD1883" t="inlineStr">
        <is>
          <t xml:space="preserve">general clerk </t>
        </is>
      </c>
      <c r="AE1883"/>
      <c r="AF1883"/>
      <c r="AG1883" s="4"/>
      <c r="AH1883" s="4"/>
      <c r="AI1883"/>
      <c r="AJ1883"/>
      <c r="AK1883"/>
      <c r="AL1883"/>
      <c r="AM1883"/>
      <c r="AN1883"/>
      <c r="AO1883"/>
      <c r="AP1883"/>
      <c r="AQ1883"/>
      <c r="AR1883"/>
      <c r="AS1883" t="inlineStr">
        <is>
          <t>- Headcount: 1
- Hiring Job Details: general clerk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883">
        <v>60</v>
      </c>
      <c r="AU1883" t="inlineStr">
        <is>
          <t>0.60</t>
        </is>
      </c>
      <c r="AV1883" t="inlineStr">
        <is>
          <t>5</t>
        </is>
      </c>
      <c r="AW1883" t="inlineStr">
        <is>
          <t>0</t>
        </is>
      </c>
      <c r="AX1883" t="inlineStr">
        <is>
          <t>Not Qualified</t>
        </is>
      </c>
      <c r="AY1883" s="4"/>
      <c r="AZ1883"/>
      <c r="BA1883"/>
      <c r="BB1883"/>
      <c r="BC1883" t="inlineStr">
        <is>
          <t>- Headcount: 1
- Hiring Job Details: general clerk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1883" s="4">
        <v>46126.62503472222</v>
      </c>
      <c r="BE1883"/>
      <c r="BF1883"/>
      <c r="BG1883" t="inlineStr">
        <is>
          <t>Reschedule</t>
        </is>
      </c>
      <c r="BH1883" t="inlineStr">
        <is>
          <t>Fauziah Maharan</t>
        </is>
      </c>
      <c r="BI1883" t="inlineStr">
        <is>
          <t>Electrical / Electronics</t>
        </is>
      </c>
      <c r="BJ1883" s="4">
        <v>46144.75423611111</v>
      </c>
      <c r="BK1883" s="4">
        <v>46125.90201388889</v>
      </c>
      <c r="BL1883" t="inlineStr">
        <is>
          <t>0.0</t>
        </is>
      </c>
      <c r="BM1883" t="inlineStr">
        <is>
          <t>0.0</t>
        </is>
      </c>
      <c r="BN1883" t="inlineStr">
        <is>
          <t>View Company Page</t>
        </is>
      </c>
      <c r="BO1883" s="4">
        <v>46125.912094907406</v>
      </c>
      <c r="BP1883">
        <v>166963</v>
      </c>
      <c r="BQ1883"/>
      <c r="BR1883"/>
      <c r="BS1883"/>
      <c r="BT1883"/>
      <c r="BU1883"/>
      <c r="BV1883">
        <v>2703797</v>
      </c>
      <c r="BW1883" t="inlineStr">
        <is>
          <t>Customer Inquiry</t>
        </is>
      </c>
      <c r="BX1883"/>
      <c r="BY1883"/>
      <c r="BZ1883" s="4"/>
      <c r="CA1883"/>
      <c r="CB1883"/>
      <c r="CC1883" s="4"/>
      <c r="CD1883" t="inlineStr">
        <is>
          <t>5</t>
        </is>
      </c>
      <c r="CE1883" t="inlineStr">
        <is>
          <t>0</t>
        </is>
      </c>
      <c r="CF1883" t="inlineStr">
        <is>
          <t>Q2-W02</t>
        </is>
      </c>
      <c r="CG1883"/>
      <c r="CH1883"/>
      <c r="CI1883"/>
      <c r="CJ1883" t="inlineStr">
        <is>
          <t>No Paid</t>
        </is>
      </c>
      <c r="CK1883" t="inlineStr">
        <is>
          <t>Not Eligible</t>
        </is>
      </c>
      <c r="CL1883"/>
      <c r="CM1883"/>
    </row>
    <row r="1884" ht="25.5" customHeight="1">
      <c r="A1884" t="inlineStr">
        <is>
          <t>203213</t>
        </is>
      </c>
      <c r="B1884" s="2"/>
      <c r="C1884"/>
      <c r="D1884" s="3">
        <v>46126.59923611111</v>
      </c>
      <c r="E1884" t="inlineStr">
        <is>
          <t>Q2-W02</t>
        </is>
      </c>
      <c r="F1884" t="inlineStr">
        <is>
          <t>Clover</t>
        </is>
      </c>
      <c r="G1884" t="inlineStr">
        <is>
          <t>Customer</t>
        </is>
      </c>
      <c r="H1884" s="2" t="str">
        <f>=HYPERLINK("https://upbox.ajobthing.my/customer/203213", "https://upbox.ajobthing.my/customer/203213")</f>
        <v>https://upbox.ajobthing.my/customer/203213</v>
      </c>
      <c r="I1884" t="inlineStr">
        <is>
          <t xml:space="preserve">Jl Affluent </t>
        </is>
      </c>
      <c r="J1884" t="inlineStr">
        <is>
          <t>Small Fish</t>
        </is>
      </c>
      <c r="K1884" t="inlineStr">
        <is>
          <t>Clover</t>
        </is>
      </c>
      <c r="L1884" s="4"/>
      <c r="M1884" s="4">
        <v>46126.599583333336</v>
      </c>
      <c r="N1884"/>
      <c r="O1884">
        <v>6048</v>
      </c>
      <c r="P1884" s="4"/>
      <c r="Q1884" s="4">
        <v>46126.5727662037</v>
      </c>
      <c r="R1884"/>
      <c r="S1884">
        <v>432</v>
      </c>
      <c r="T1884" s="4">
        <v>46126.5727662037</v>
      </c>
      <c r="U1884" s="4"/>
      <c r="V1884"/>
      <c r="W1884">
        <v>432</v>
      </c>
      <c r="X1884"/>
      <c r="Y1884" t="inlineStr">
        <is>
          <t>Pending Appointment</t>
        </is>
      </c>
      <c r="Z1884" t="inlineStr">
        <is>
          <t>Hiring Now</t>
        </is>
      </c>
      <c r="AA1884">
        <v>4</v>
      </c>
      <c r="AB1884" t="inlineStr">
        <is>
          <t>No Appointment Made</t>
        </is>
      </c>
      <c r="AC1884"/>
      <c r="AD1884" t="inlineStr">
        <is>
          <t>Hire live host x2-3, all races, property agent 2-3, property, setapak KL, new project,  continuous hiring,  suggest stand/pro</t>
        </is>
      </c>
      <c r="AE1884"/>
      <c r="AF1884">
        <v>3000</v>
      </c>
      <c r="AG1884" s="4"/>
      <c r="AH1884" s="4"/>
      <c r="AI1884">
        <v>3000</v>
      </c>
      <c r="AJ1884">
        <v>1</v>
      </c>
      <c r="AK1884" t="inlineStr">
        <is>
          <t>No, but I want in future</t>
        </is>
      </c>
      <c r="AL1884">
        <v>1</v>
      </c>
      <c r="AM1884" t="inlineStr">
        <is>
          <t>No, but I want in future</t>
        </is>
      </c>
      <c r="AN1884"/>
      <c r="AO1884" t="inlineStr">
        <is>
          <t>No, but I want in future</t>
        </is>
      </c>
      <c r="AP1884" t="inlineStr">
        <is>
          <t>Once per quarter (75%)</t>
        </is>
      </c>
      <c r="AQ1884">
        <v>6</v>
      </c>
      <c r="AR1884" t="inlineStr">
        <is>
          <t>Jobstreet</t>
        </is>
      </c>
      <c r="AS1884" t="inlineStr">
        <is>
          <t>- Headcount: 4
- Hiring Job Details: Hire live host x2-3 (all races), property agent 2-3 (Setapak KL new project), continuous hiring, suggest stand/pro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6
- Hiring frequency: Once per quarter (75%)
- External job portal: Jobstreet</t>
        </is>
      </c>
      <c r="AT1884">
        <v>105</v>
      </c>
      <c r="AU1884" t="inlineStr">
        <is>
          <t>1.05</t>
        </is>
      </c>
      <c r="AV1884" t="inlineStr">
        <is>
          <t>15</t>
        </is>
      </c>
      <c r="AW1884" t="inlineStr">
        <is>
          <t>0</t>
        </is>
      </c>
      <c r="AX1884" t="inlineStr">
        <is>
          <t>Not Qualified</t>
        </is>
      </c>
      <c r="AY1884" s="4"/>
      <c r="AZ1884"/>
      <c r="BA1884"/>
      <c r="BB1884"/>
      <c r="BC1884" t="inlineStr">
        <is>
          <t>Using free ad part time live host add on booster, test result first, dw subscribe plan first</t>
        </is>
      </c>
      <c r="BD1884" s="4">
        <v>46133.71534722222</v>
      </c>
      <c r="BE1884" t="inlineStr">
        <is>
          <t>paid</t>
        </is>
      </c>
      <c r="BF1884" t="inlineStr">
        <is>
          <t>Q2-W02</t>
        </is>
      </c>
      <c r="BG1884" t="inlineStr">
        <is>
          <t>Reschedule</t>
        </is>
      </c>
      <c r="BH1884" t="inlineStr">
        <is>
          <t>Reagen</t>
        </is>
      </c>
      <c r="BI1884"/>
      <c r="BJ1884" s="4">
        <v>46144.75425925926</v>
      </c>
      <c r="BK1884" s="4">
        <v>46126.545011574075</v>
      </c>
      <c r="BL1884" t="inlineStr">
        <is>
          <t>432.0</t>
        </is>
      </c>
      <c r="BM1884" t="inlineStr">
        <is>
          <t>0.0</t>
        </is>
      </c>
      <c r="BN1884" t="inlineStr">
        <is>
          <t>User Visit(Logged In)</t>
        </is>
      </c>
      <c r="BO1884" s="4">
        <v>46144.652280092596</v>
      </c>
      <c r="BP1884">
        <v>166961</v>
      </c>
      <c r="BQ1884">
        <v>93366</v>
      </c>
      <c r="BR1884" t="inlineStr">
        <is>
          <t>Online</t>
        </is>
      </c>
      <c r="BS1884"/>
      <c r="BT1884">
        <v>93366</v>
      </c>
      <c r="BU1884"/>
      <c r="BV1884">
        <v>2719000</v>
      </c>
      <c r="BW1884" t="inlineStr">
        <is>
          <t>Follow Up : Lost - Free Portal</t>
        </is>
      </c>
      <c r="BX1884"/>
      <c r="BY1884"/>
      <c r="BZ1884" s="4"/>
      <c r="CA1884"/>
      <c r="CB1884"/>
      <c r="CC1884" s="4"/>
      <c r="CD1884" t="inlineStr">
        <is>
          <t>20</t>
        </is>
      </c>
      <c r="CE1884" t="inlineStr">
        <is>
          <t>0</t>
        </is>
      </c>
      <c r="CF1884" t="inlineStr">
        <is>
          <t>Q2-W02</t>
        </is>
      </c>
      <c r="CG1884" t="inlineStr">
        <is>
          <t>Q2-W02</t>
        </is>
      </c>
      <c r="CH1884" t="inlineStr">
        <is>
          <t>Q2-W02</t>
        </is>
      </c>
      <c r="CI1884"/>
      <c r="CJ1884" t="inlineStr">
        <is>
          <t>Paid</t>
        </is>
      </c>
      <c r="CK1884" t="inlineStr">
        <is>
          <t>Not Eligible</t>
        </is>
      </c>
      <c r="CL1884"/>
      <c r="CM1884"/>
    </row>
    <row r="1885" ht="25.5" customHeight="1">
      <c r="A1885" t="inlineStr">
        <is>
          <t>203214</t>
        </is>
      </c>
      <c r="B1885" s="2"/>
      <c r="C1885"/>
      <c r="D1885" s="3">
        <v>46126.608773148146</v>
      </c>
      <c r="E1885" t="inlineStr">
        <is>
          <t>Q2-W02</t>
        </is>
      </c>
      <c r="F1885" t="inlineStr">
        <is>
          <t>Jia Hui</t>
        </is>
      </c>
      <c r="G1885" t="inlineStr">
        <is>
          <t>Customer</t>
        </is>
      </c>
      <c r="H1885" s="2" t="str">
        <f>=HYPERLINK("https://upbox.ajobthing.my/customer/203214", "https://upbox.ajobthing.my/customer/203214")</f>
        <v>https://upbox.ajobthing.my/customer/203214</v>
      </c>
      <c r="I1885" t="inlineStr">
        <is>
          <t>Eyemeditech Sdn Bhd</t>
        </is>
      </c>
      <c r="J1885" t="inlineStr">
        <is>
          <t>Small Fish</t>
        </is>
      </c>
      <c r="K1885" t="inlineStr">
        <is>
          <t>Jia Hui</t>
        </is>
      </c>
      <c r="L1885" s="4"/>
      <c r="M1885" s="4">
        <v>46126.608877314815</v>
      </c>
      <c r="N1885"/>
      <c r="O1885">
        <v>3888</v>
      </c>
      <c r="P1885" s="4"/>
      <c r="Q1885" s="4">
        <v>46126.56384259259</v>
      </c>
      <c r="R1885"/>
      <c r="S1885">
        <v>0</v>
      </c>
      <c r="T1885" s="4"/>
      <c r="U1885" s="4"/>
      <c r="V1885"/>
      <c r="W1885"/>
      <c r="X1885"/>
      <c r="Y1885" t="inlineStr">
        <is>
          <t>Pending Appointment</t>
        </is>
      </c>
      <c r="Z1885" t="inlineStr">
        <is>
          <t>Hiring Now</t>
        </is>
      </c>
      <c r="AA1885">
        <v>2.5</v>
      </c>
      <c r="AB1885" t="inlineStr">
        <is>
          <t>No Appointment Made</t>
        </is>
      </c>
      <c r="AC1885"/>
      <c r="AD1885" t="inlineStr">
        <is>
          <t xml:space="preserve">2-3 sales </t>
        </is>
      </c>
      <c r="AE1885"/>
      <c r="AF1885">
        <v>500</v>
      </c>
      <c r="AG1885" s="4"/>
      <c r="AH1885" s="4"/>
      <c r="AI1885"/>
      <c r="AJ1885"/>
      <c r="AK1885" t="inlineStr">
        <is>
          <t>No, but I want in future</t>
        </is>
      </c>
      <c r="AL1885"/>
      <c r="AM1885"/>
      <c r="AN1885"/>
      <c r="AO1885"/>
      <c r="AP1885" t="inlineStr">
        <is>
          <t>Once a year (25%)</t>
        </is>
      </c>
      <c r="AQ1885"/>
      <c r="AR1885"/>
      <c r="AS1885" t="inlineStr">
        <is>
          <t>- Headcount: 2
- Hiring Job Details: 2-3 sales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
- Hiring Urgency: Hiring Now</t>
        </is>
      </c>
      <c r="AT1885">
        <v>75</v>
      </c>
      <c r="AU1885" t="inlineStr">
        <is>
          <t>0.75</t>
        </is>
      </c>
      <c r="AV1885" t="inlineStr">
        <is>
          <t>15</t>
        </is>
      </c>
      <c r="AW1885" t="inlineStr">
        <is>
          <t>0</t>
        </is>
      </c>
      <c r="AX1885" t="inlineStr">
        <is>
          <t>Not Qualified</t>
        </is>
      </c>
      <c r="AY1885" s="4"/>
      <c r="AZ1885"/>
      <c r="BA1885"/>
      <c r="BB1885"/>
      <c r="BC1885" t="inlineStr">
        <is>
          <t>no hire for now, plan after 2 mths only hire</t>
        </is>
      </c>
      <c r="BD1885" s="4">
        <v>46128.75277777778</v>
      </c>
      <c r="BE1885" t="inlineStr">
        <is>
          <t>paid</t>
        </is>
      </c>
      <c r="BF1885"/>
      <c r="BG1885" t="inlineStr">
        <is>
          <t>Reschedule</t>
        </is>
      </c>
      <c r="BH1885" t="inlineStr">
        <is>
          <t>Reagen</t>
        </is>
      </c>
      <c r="BI1885" t="inlineStr">
        <is>
          <t>Consumer Products / FMCG</t>
        </is>
      </c>
      <c r="BJ1885" s="4">
        <v>46144.75425925926</v>
      </c>
      <c r="BK1885" s="4">
        <v>46126.56348379629</v>
      </c>
      <c r="BL1885" t="inlineStr">
        <is>
          <t>0.0</t>
        </is>
      </c>
      <c r="BM1885" t="inlineStr">
        <is>
          <t>0.0</t>
        </is>
      </c>
      <c r="BN1885" t="inlineStr">
        <is>
          <t>View Company Page</t>
        </is>
      </c>
      <c r="BO1885" s="4">
        <v>46126.57927083333</v>
      </c>
      <c r="BP1885">
        <v>166966</v>
      </c>
      <c r="BQ1885">
        <v>122236</v>
      </c>
      <c r="BR1885" t="inlineStr">
        <is>
          <t>Proforma</t>
        </is>
      </c>
      <c r="BS1885" t="inlineStr">
        <is>
          <t>Free High Pay Job</t>
        </is>
      </c>
      <c r="BT1885"/>
      <c r="BU1885"/>
      <c r="BV1885">
        <v>2710686</v>
      </c>
      <c r="BW1885" t="inlineStr">
        <is>
          <t>Follow Up : Budget Concern</t>
        </is>
      </c>
      <c r="BX1885"/>
      <c r="BY1885"/>
      <c r="BZ1885" s="4"/>
      <c r="CA1885"/>
      <c r="CB1885"/>
      <c r="CC1885" s="4"/>
      <c r="CD1885" t="inlineStr">
        <is>
          <t>20</t>
        </is>
      </c>
      <c r="CE1885" t="inlineStr">
        <is>
          <t>0</t>
        </is>
      </c>
      <c r="CF1885" t="inlineStr">
        <is>
          <t>Q2-W02</t>
        </is>
      </c>
      <c r="CG1885" t="inlineStr">
        <is>
          <t>Q2-W02</t>
        </is>
      </c>
      <c r="CH1885"/>
      <c r="CI1885"/>
      <c r="CJ1885" t="inlineStr">
        <is>
          <t>No Paid</t>
        </is>
      </c>
      <c r="CK1885" t="inlineStr">
        <is>
          <t>Not Eligible</t>
        </is>
      </c>
      <c r="CL1885"/>
      <c r="CM1885"/>
    </row>
    <row r="1886" ht="25.5" customHeight="1">
      <c r="A1886" t="inlineStr">
        <is>
          <t>203222</t>
        </is>
      </c>
      <c r="B1886" s="2"/>
      <c r="C1886"/>
      <c r="D1886" s="3">
        <v>46126.61539351852</v>
      </c>
      <c r="E1886" t="inlineStr">
        <is>
          <t>Q2-W02</t>
        </is>
      </c>
      <c r="F1886" t="inlineStr">
        <is>
          <t>Keegan</t>
        </is>
      </c>
      <c r="G1886" t="inlineStr">
        <is>
          <t>Customer</t>
        </is>
      </c>
      <c r="H1886" s="2" t="str">
        <f>=HYPERLINK("https://upbox.ajobthing.my/customer/203222", "https://upbox.ajobthing.my/customer/203222")</f>
        <v>https://upbox.ajobthing.my/customer/203222</v>
      </c>
      <c r="I1886" t="inlineStr">
        <is>
          <t>Sivaruben &amp; Co</t>
        </is>
      </c>
      <c r="J1886" t="inlineStr">
        <is>
          <t>Small Fish</t>
        </is>
      </c>
      <c r="K1886" t="inlineStr">
        <is>
          <t>Keegan</t>
        </is>
      </c>
      <c r="L1886" s="4"/>
      <c r="M1886" s="4">
        <v>46126.61561342593</v>
      </c>
      <c r="N1886"/>
      <c r="O1886">
        <v>864</v>
      </c>
      <c r="P1886" s="4"/>
      <c r="Q1886" s="4"/>
      <c r="R1886"/>
      <c r="S1886"/>
      <c r="T1886" s="4"/>
      <c r="U1886" s="4"/>
      <c r="V1886"/>
      <c r="W1886"/>
      <c r="X1886"/>
      <c r="Y1886" t="inlineStr">
        <is>
          <t>Pending Appointment</t>
        </is>
      </c>
      <c r="Z1886" t="inlineStr">
        <is>
          <t>Hiring Now</t>
        </is>
      </c>
      <c r="AA1886">
        <v>1</v>
      </c>
      <c r="AB1886" t="inlineStr">
        <is>
          <t>No Appointment Made</t>
        </is>
      </c>
      <c r="AC1886"/>
      <c r="AD1886" t="inlineStr">
        <is>
          <t xml:space="preserve">1. Admin </t>
        </is>
      </c>
      <c r="AE1886"/>
      <c r="AF1886"/>
      <c r="AG1886" s="4"/>
      <c r="AH1886" s="4"/>
      <c r="AI1886"/>
      <c r="AJ1886">
        <v>1</v>
      </c>
      <c r="AK1886" t="inlineStr">
        <is>
          <t>No, I don't need at all</t>
        </is>
      </c>
      <c r="AL1886">
        <v>0</v>
      </c>
      <c r="AM1886" t="inlineStr">
        <is>
          <t>No, I don't need at all</t>
        </is>
      </c>
      <c r="AN1886"/>
      <c r="AO1886" t="inlineStr">
        <is>
          <t>No, I don't need at all</t>
        </is>
      </c>
      <c r="AP1886" t="inlineStr">
        <is>
          <t>Once per quarter (75%)</t>
        </is>
      </c>
      <c r="AQ1886"/>
      <c r="AR1886" t="inlineStr">
        <is>
          <t>Did not use any job portal</t>
        </is>
      </c>
      <c r="AS1886"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86">
        <v>100</v>
      </c>
      <c r="AU1886" t="inlineStr">
        <is>
          <t>1.00</t>
        </is>
      </c>
      <c r="AV1886" t="inlineStr">
        <is>
          <t>5</t>
        </is>
      </c>
      <c r="AW1886" t="inlineStr">
        <is>
          <t>0</t>
        </is>
      </c>
      <c r="AX1886" t="inlineStr">
        <is>
          <t>Not Qualified</t>
        </is>
      </c>
      <c r="AY1886" s="4"/>
      <c r="AZ1886"/>
      <c r="BA1886"/>
      <c r="BB1886"/>
      <c r="BC1886" t="inlineStr">
        <is>
          <t>Hiring plan on hold until further notice</t>
        </is>
      </c>
      <c r="BD1886" s="4">
        <v>46128.705104166664</v>
      </c>
      <c r="BE1886"/>
      <c r="BF1886"/>
      <c r="BG1886" t="inlineStr">
        <is>
          <t>Reschedule</t>
        </is>
      </c>
      <c r="BH1886" t="inlineStr">
        <is>
          <t>Edward Hoo</t>
        </is>
      </c>
      <c r="BI1886"/>
      <c r="BJ1886" s="4">
        <v>46144.75425925926</v>
      </c>
      <c r="BK1886" s="4">
        <v>46126.6140625</v>
      </c>
      <c r="BL1886" t="inlineStr">
        <is>
          <t>0.0</t>
        </is>
      </c>
      <c r="BM1886" t="inlineStr">
        <is>
          <t>0.0</t>
        </is>
      </c>
      <c r="BN1886"/>
      <c r="BO1886" s="4"/>
      <c r="BP1886">
        <v>166967</v>
      </c>
      <c r="BQ1886"/>
      <c r="BR1886"/>
      <c r="BS1886"/>
      <c r="BT1886"/>
      <c r="BU1886"/>
      <c r="BV1886">
        <v>2710327</v>
      </c>
      <c r="BW1886" t="inlineStr">
        <is>
          <t>Follow Up : Lost - Free Portal</t>
        </is>
      </c>
      <c r="BX1886"/>
      <c r="BY1886"/>
      <c r="BZ1886" s="4"/>
      <c r="CA1886"/>
      <c r="CB1886"/>
      <c r="CC1886" s="4"/>
      <c r="CD1886" t="inlineStr">
        <is>
          <t>5</t>
        </is>
      </c>
      <c r="CE1886" t="inlineStr">
        <is>
          <t>0</t>
        </is>
      </c>
      <c r="CF1886" t="inlineStr">
        <is>
          <t>Q2-W02</t>
        </is>
      </c>
      <c r="CG1886"/>
      <c r="CH1886"/>
      <c r="CI1886"/>
      <c r="CJ1886" t="inlineStr">
        <is>
          <t>No Paid</t>
        </is>
      </c>
      <c r="CK1886" t="inlineStr">
        <is>
          <t>Not Eligible</t>
        </is>
      </c>
      <c r="CL1886"/>
      <c r="CM1886"/>
    </row>
    <row r="1887" ht="25.5" customHeight="1">
      <c r="A1887" t="inlineStr">
        <is>
          <t>203217</t>
        </is>
      </c>
      <c r="B1887" s="2"/>
      <c r="C1887"/>
      <c r="D1887" s="3">
        <v>46126.61954861111</v>
      </c>
      <c r="E1887" t="inlineStr">
        <is>
          <t>Q2-W02</t>
        </is>
      </c>
      <c r="F1887" t="inlineStr">
        <is>
          <t>Carmen</t>
        </is>
      </c>
      <c r="G1887" t="inlineStr">
        <is>
          <t>Customer</t>
        </is>
      </c>
      <c r="H1887" s="2" t="str">
        <f>=HYPERLINK("https://upbox.ajobthing.my/customer/203217", "https://upbox.ajobthing.my/customer/203217")</f>
        <v>https://upbox.ajobthing.my/customer/203217</v>
      </c>
      <c r="I1887" t="inlineStr">
        <is>
          <t>Acts Consulting Team</t>
        </is>
      </c>
      <c r="J1887" t="inlineStr">
        <is>
          <t>Small Fish</t>
        </is>
      </c>
      <c r="K1887" t="inlineStr">
        <is>
          <t>Carmen</t>
        </is>
      </c>
      <c r="L1887" s="4"/>
      <c r="M1887" s="4">
        <v>46126.63243055555</v>
      </c>
      <c r="N1887"/>
      <c r="O1887">
        <v>3672</v>
      </c>
      <c r="P1887" s="4"/>
      <c r="Q1887" s="4"/>
      <c r="R1887"/>
      <c r="S1887"/>
      <c r="T1887" s="4"/>
      <c r="U1887" s="4"/>
      <c r="V1887"/>
      <c r="W1887"/>
      <c r="X1887"/>
      <c r="Y1887" t="inlineStr">
        <is>
          <t>Pending Appointment</t>
        </is>
      </c>
      <c r="Z1887" t="inlineStr">
        <is>
          <t>Hiring Now</t>
        </is>
      </c>
      <c r="AA1887">
        <v>2</v>
      </c>
      <c r="AB1887" t="inlineStr">
        <is>
          <t>No Appointment Made</t>
        </is>
      </c>
      <c r="AC1887"/>
      <c r="AD1887" t="inlineStr">
        <is>
          <t xml:space="preserve">2 property consultant </t>
        </is>
      </c>
      <c r="AE1887"/>
      <c r="AF1887">
        <v>100</v>
      </c>
      <c r="AG1887" s="4"/>
      <c r="AH1887" s="4"/>
      <c r="AI1887"/>
      <c r="AJ1887"/>
      <c r="AK1887"/>
      <c r="AL1887"/>
      <c r="AM1887"/>
      <c r="AN1887"/>
      <c r="AO1887"/>
      <c r="AP1887" t="inlineStr">
        <is>
          <t>Once per quarter (75%)</t>
        </is>
      </c>
      <c r="AQ1887"/>
      <c r="AR1887"/>
      <c r="AS1887" t="inlineStr">
        <is>
          <t>- Headcount: 2
- Hiring Job Details: 2 property consultant
- Hiring Urgency: Hiring Now
- Number of outlets: Not available
- Have recruiter team: Not available
- Number of recruiter in company: Not available
- Have ATS system: Not available
- Have career website: Not available
- Current hiring budget: RM100.00
- Whole year budget: Not available
- Whole year number of vacancies: Not available
- Hiring frequency: Once per quarter (75%)
- External job portal: Not available</t>
        </is>
      </c>
      <c r="AT1887">
        <v>85</v>
      </c>
      <c r="AU1887" t="inlineStr">
        <is>
          <t>0.85</t>
        </is>
      </c>
      <c r="AV1887" t="inlineStr">
        <is>
          <t>15</t>
        </is>
      </c>
      <c r="AW1887" t="inlineStr">
        <is>
          <t>0</t>
        </is>
      </c>
      <c r="AX1887" t="inlineStr">
        <is>
          <t>Not Qualified</t>
        </is>
      </c>
      <c r="AY1887" s="4"/>
      <c r="AZ1887"/>
      <c r="BA1887"/>
      <c r="BB1887"/>
      <c r="BC1887" t="inlineStr">
        <is>
          <t>npu wa nr</t>
        </is>
      </c>
      <c r="BD1887" s="4">
        <v>46134.734918981485</v>
      </c>
      <c r="BE1887"/>
      <c r="BF1887"/>
      <c r="BG1887" t="inlineStr">
        <is>
          <t>Reschedule</t>
        </is>
      </c>
      <c r="BH1887" t="inlineStr">
        <is>
          <t>Reagen</t>
        </is>
      </c>
      <c r="BI1887"/>
      <c r="BJ1887" s="4">
        <v>46144.75425925926</v>
      </c>
      <c r="BK1887" s="4">
        <v>46126.59091435185</v>
      </c>
      <c r="BL1887" t="inlineStr">
        <is>
          <t>0.0</t>
        </is>
      </c>
      <c r="BM1887" t="inlineStr">
        <is>
          <t>0.0</t>
        </is>
      </c>
      <c r="BN1887" t="inlineStr">
        <is>
          <t>View Notifications</t>
        </is>
      </c>
      <c r="BO1887" s="4">
        <v>46126.6184375</v>
      </c>
      <c r="BP1887">
        <v>166977</v>
      </c>
      <c r="BQ1887"/>
      <c r="BR1887"/>
      <c r="BS1887"/>
      <c r="BT1887"/>
      <c r="BU1887"/>
      <c r="BV1887">
        <v>2721938</v>
      </c>
      <c r="BW1887" t="inlineStr">
        <is>
          <t>No Answer : Voicemail - WA sent to customer</t>
        </is>
      </c>
      <c r="BX1887"/>
      <c r="BY1887"/>
      <c r="BZ1887" s="4"/>
      <c r="CA1887"/>
      <c r="CB1887"/>
      <c r="CC1887" s="4"/>
      <c r="CD1887" t="inlineStr">
        <is>
          <t>20</t>
        </is>
      </c>
      <c r="CE1887" t="inlineStr">
        <is>
          <t>0</t>
        </is>
      </c>
      <c r="CF1887" t="inlineStr">
        <is>
          <t>Q2-W02</t>
        </is>
      </c>
      <c r="CG1887"/>
      <c r="CH1887"/>
      <c r="CI1887"/>
      <c r="CJ1887" t="inlineStr">
        <is>
          <t>No Paid</t>
        </is>
      </c>
      <c r="CK1887" t="inlineStr">
        <is>
          <t>Not Eligible</t>
        </is>
      </c>
      <c r="CL1887"/>
      <c r="CM1887"/>
    </row>
    <row r="1888" ht="25.5" customHeight="1">
      <c r="A1888" t="inlineStr">
        <is>
          <t>166159</t>
        </is>
      </c>
      <c r="B1888" s="2"/>
      <c r="C1888"/>
      <c r="D1888" s="3">
        <v>46126.623923611114</v>
      </c>
      <c r="E1888" t="inlineStr">
        <is>
          <t>Q2-W02</t>
        </is>
      </c>
      <c r="F1888" t="inlineStr">
        <is>
          <t>Jia Hui</t>
        </is>
      </c>
      <c r="G1888" t="inlineStr">
        <is>
          <t>Customer</t>
        </is>
      </c>
      <c r="H1888" s="2" t="str">
        <f>=HYPERLINK("https://upbox.ajobthing.my/customer/166159", "https://upbox.ajobthing.my/customer/166159")</f>
        <v>https://upbox.ajobthing.my/customer/166159</v>
      </c>
      <c r="I1888" t="inlineStr">
        <is>
          <t>Grand Oriental M&amp;E Enterprise Sdn Bhd</t>
        </is>
      </c>
      <c r="J1888" t="inlineStr">
        <is>
          <t>Small Fish</t>
        </is>
      </c>
      <c r="K1888" t="inlineStr">
        <is>
          <t>Jia Hui</t>
        </is>
      </c>
      <c r="L1888" s="4"/>
      <c r="M1888" s="4">
        <v>46126.624027777776</v>
      </c>
      <c r="N1888"/>
      <c r="O1888">
        <v>6048</v>
      </c>
      <c r="P1888" s="4"/>
      <c r="Q1888" s="4">
        <v>45027.233310185184</v>
      </c>
      <c r="R1888"/>
      <c r="S1888">
        <v>636</v>
      </c>
      <c r="T1888" s="4">
        <v>45027.00001157408</v>
      </c>
      <c r="U1888" s="4"/>
      <c r="V1888"/>
      <c r="W1888">
        <v>636</v>
      </c>
      <c r="X1888"/>
      <c r="Y1888" t="inlineStr">
        <is>
          <t>Pending Appointment</t>
        </is>
      </c>
      <c r="Z1888" t="inlineStr">
        <is>
          <t>Hiring Now</t>
        </is>
      </c>
      <c r="AA1888">
        <v>5</v>
      </c>
      <c r="AB1888" t="inlineStr">
        <is>
          <t>No Appointment Made</t>
        </is>
      </c>
      <c r="AC1888"/>
      <c r="AD1888" t="inlineStr">
        <is>
          <t>1 sales, 1 admin, 1 account, 1 HR, 1 lorry driver</t>
        </is>
      </c>
      <c r="AE1888"/>
      <c r="AF1888">
        <v>500</v>
      </c>
      <c r="AG1888" s="4"/>
      <c r="AH1888" s="4"/>
      <c r="AI1888"/>
      <c r="AJ1888"/>
      <c r="AK1888" t="inlineStr">
        <is>
          <t>Yes, I have</t>
        </is>
      </c>
      <c r="AL1888"/>
      <c r="AM1888"/>
      <c r="AN1888"/>
      <c r="AO1888"/>
      <c r="AP1888" t="inlineStr">
        <is>
          <t>Twice a year (50%)</t>
        </is>
      </c>
      <c r="AQ1888"/>
      <c r="AR1888"/>
      <c r="AS1888" t="inlineStr">
        <is>
          <t>- Headcount: 5
- Hiring Job Details: 1 sales, 1 admin, 1 account, 1 HR, 1 lorry driver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is>
      </c>
      <c r="AT1888">
        <v>95</v>
      </c>
      <c r="AU1888" t="inlineStr">
        <is>
          <t>0.95</t>
        </is>
      </c>
      <c r="AV1888" t="inlineStr">
        <is>
          <t>20</t>
        </is>
      </c>
      <c r="AW1888" t="inlineStr">
        <is>
          <t>0</t>
        </is>
      </c>
      <c r="AX1888" t="inlineStr">
        <is>
          <t>Not Qualified</t>
        </is>
      </c>
      <c r="AY1888" s="4"/>
      <c r="AZ1888"/>
      <c r="BA1888"/>
      <c r="BB1888"/>
      <c r="BC1888" t="inlineStr">
        <is>
          <t>boss might using fb to hire now, no feedback yet, update the latest promo</t>
        </is>
      </c>
      <c r="BD1888" s="4">
        <v>46142.680451388886</v>
      </c>
      <c r="BE1888" t="inlineStr">
        <is>
          <t>paid</t>
        </is>
      </c>
      <c r="BF1888"/>
      <c r="BG1888" t="inlineStr">
        <is>
          <t>Reschedule</t>
        </is>
      </c>
      <c r="BH1888" t="inlineStr">
        <is>
          <t>Reagen</t>
        </is>
      </c>
      <c r="BI1888" t="inlineStr">
        <is>
          <t>Electrical / Electronics</t>
        </is>
      </c>
      <c r="BJ1888" s="4">
        <v>46144.751296296294</v>
      </c>
      <c r="BK1888" s="4">
        <v>45027.55809027778</v>
      </c>
      <c r="BL1888" t="inlineStr">
        <is>
          <t>0.0</t>
        </is>
      </c>
      <c r="BM1888" t="inlineStr">
        <is>
          <t>0.0</t>
        </is>
      </c>
      <c r="BN1888" t="inlineStr">
        <is>
          <t>View Applicant Page</t>
        </is>
      </c>
      <c r="BO1888" s="4">
        <v>45087.43599537037</v>
      </c>
      <c r="BP1888">
        <v>166970</v>
      </c>
      <c r="BQ1888">
        <v>74684</v>
      </c>
      <c r="BR1888" t="inlineStr">
        <is>
          <t>Proforma</t>
        </is>
      </c>
      <c r="BS1888" t="inlineStr">
        <is>
          <t>Raya Promo - Beginner Package</t>
        </is>
      </c>
      <c r="BT1888">
        <v>57547</v>
      </c>
      <c r="BU1888"/>
      <c r="BV1888">
        <v>2738150</v>
      </c>
      <c r="BW1888" t="inlineStr">
        <is>
          <t>Follow Up : Decision Pending</t>
        </is>
      </c>
      <c r="BX1888"/>
      <c r="BY1888"/>
      <c r="BZ1888" s="4"/>
      <c r="CA1888"/>
      <c r="CB1888"/>
      <c r="CC1888" s="4"/>
      <c r="CD1888" t="inlineStr">
        <is>
          <t>30</t>
        </is>
      </c>
      <c r="CE1888" t="inlineStr">
        <is>
          <t>0</t>
        </is>
      </c>
      <c r="CF1888" t="inlineStr">
        <is>
          <t>Q2-W02</t>
        </is>
      </c>
      <c r="CG1888"/>
      <c r="CH1888"/>
      <c r="CI1888"/>
      <c r="CJ1888" t="inlineStr">
        <is>
          <t>Paid</t>
        </is>
      </c>
      <c r="CK1888" t="inlineStr">
        <is>
          <t>Not Eligible</t>
        </is>
      </c>
      <c r="CL1888"/>
      <c r="CM1888"/>
    </row>
    <row r="1889" ht="25.5" customHeight="1">
      <c r="A1889" t="inlineStr">
        <is>
          <t>203224</t>
        </is>
      </c>
      <c r="B1889" s="2"/>
      <c r="C1889"/>
      <c r="D1889" s="3">
        <v>46126.62767361111</v>
      </c>
      <c r="E1889" t="inlineStr">
        <is>
          <t>Q2-W02</t>
        </is>
      </c>
      <c r="F1889" t="inlineStr">
        <is>
          <t>Keegan</t>
        </is>
      </c>
      <c r="G1889" t="inlineStr">
        <is>
          <t>Customer</t>
        </is>
      </c>
      <c r="H1889" s="2" t="str">
        <f>=HYPERLINK("https://upbox.ajobthing.my/customer/203224", "https://upbox.ajobthing.my/customer/203224")</f>
        <v>https://upbox.ajobthing.my/customer/203224</v>
      </c>
      <c r="I1889" t="inlineStr">
        <is>
          <t>Vanguard International Sdn Bhd</t>
        </is>
      </c>
      <c r="J1889" t="inlineStr">
        <is>
          <t>Small Fish</t>
        </is>
      </c>
      <c r="K1889" t="inlineStr">
        <is>
          <t>Keegan</t>
        </is>
      </c>
      <c r="L1889" s="4"/>
      <c r="M1889" s="4">
        <v>46126.62774305556</v>
      </c>
      <c r="N1889"/>
      <c r="O1889">
        <v>6048</v>
      </c>
      <c r="P1889" s="4"/>
      <c r="Q1889" s="4"/>
      <c r="R1889"/>
      <c r="S1889"/>
      <c r="T1889" s="4"/>
      <c r="U1889" s="4"/>
      <c r="V1889"/>
      <c r="W1889"/>
      <c r="X1889"/>
      <c r="Y1889" t="inlineStr">
        <is>
          <t>Pending Appointment</t>
        </is>
      </c>
      <c r="Z1889" t="inlineStr">
        <is>
          <t>Hiring Now</t>
        </is>
      </c>
      <c r="AA1889">
        <v>2</v>
      </c>
      <c r="AB1889" t="inlineStr">
        <is>
          <t>No Appointment Made</t>
        </is>
      </c>
      <c r="AC1889"/>
      <c r="AD1889" t="inlineStr">
        <is>
          <t xml:space="preserve">1. Sales 
2. Admin </t>
        </is>
      </c>
      <c r="AE1889"/>
      <c r="AF1889"/>
      <c r="AG1889" s="4"/>
      <c r="AH1889" s="4"/>
      <c r="AI1889"/>
      <c r="AJ1889">
        <v>1</v>
      </c>
      <c r="AK1889" t="inlineStr">
        <is>
          <t>No, I don't need at all</t>
        </is>
      </c>
      <c r="AL1889">
        <v>0</v>
      </c>
      <c r="AM1889" t="inlineStr">
        <is>
          <t>No, I don't need at all</t>
        </is>
      </c>
      <c r="AN1889"/>
      <c r="AO1889" t="inlineStr">
        <is>
          <t>No, I don't need at all</t>
        </is>
      </c>
      <c r="AP1889" t="inlineStr">
        <is>
          <t>Once per quarter (75%)</t>
        </is>
      </c>
      <c r="AQ1889"/>
      <c r="AR1889" t="inlineStr">
        <is>
          <t>Did not use any job portal</t>
        </is>
      </c>
      <c r="AS1889" t="inlineStr">
        <is>
          <t>- Headcount: 2
- Hiring Job Details: 1. Sales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89">
        <v>75</v>
      </c>
      <c r="AU1889" t="inlineStr">
        <is>
          <t>0.75</t>
        </is>
      </c>
      <c r="AV1889" t="inlineStr">
        <is>
          <t>5</t>
        </is>
      </c>
      <c r="AW1889" t="inlineStr">
        <is>
          <t>0</t>
        </is>
      </c>
      <c r="AX1889" t="inlineStr">
        <is>
          <t>Not Qualified</t>
        </is>
      </c>
      <c r="AY1889" s="4"/>
      <c r="AZ1889"/>
      <c r="BA1889"/>
      <c r="BB1889"/>
      <c r="BC1889" t="inlineStr">
        <is>
          <t>Will postpone until further noticed</t>
        </is>
      </c>
      <c r="BD1889" s="4">
        <v>46129.74012731481</v>
      </c>
      <c r="BE1889"/>
      <c r="BF1889"/>
      <c r="BG1889" t="inlineStr">
        <is>
          <t>Reschedule</t>
        </is>
      </c>
      <c r="BH1889" t="inlineStr">
        <is>
          <t>Edward Hoo</t>
        </is>
      </c>
      <c r="BI1889"/>
      <c r="BJ1889" s="4">
        <v>46144.75425925926</v>
      </c>
      <c r="BK1889" s="4">
        <v>46126.62663194445</v>
      </c>
      <c r="BL1889" t="inlineStr">
        <is>
          <t>0.0</t>
        </is>
      </c>
      <c r="BM1889" t="inlineStr">
        <is>
          <t>0.0</t>
        </is>
      </c>
      <c r="BN1889"/>
      <c r="BO1889" s="4"/>
      <c r="BP1889">
        <v>166973</v>
      </c>
      <c r="BQ1889"/>
      <c r="BR1889"/>
      <c r="BS1889"/>
      <c r="BT1889"/>
      <c r="BU1889"/>
      <c r="BV1889">
        <v>2713774</v>
      </c>
      <c r="BW1889" t="inlineStr">
        <is>
          <t>Follow Up : Lost - Free Portal</t>
        </is>
      </c>
      <c r="BX1889"/>
      <c r="BY1889"/>
      <c r="BZ1889" s="4"/>
      <c r="CA1889"/>
      <c r="CB1889"/>
      <c r="CC1889" s="4"/>
      <c r="CD1889" t="inlineStr">
        <is>
          <t>5</t>
        </is>
      </c>
      <c r="CE1889" t="inlineStr">
        <is>
          <t>0</t>
        </is>
      </c>
      <c r="CF1889" t="inlineStr">
        <is>
          <t>Q2-W02</t>
        </is>
      </c>
      <c r="CG1889"/>
      <c r="CH1889"/>
      <c r="CI1889"/>
      <c r="CJ1889" t="inlineStr">
        <is>
          <t>No Paid</t>
        </is>
      </c>
      <c r="CK1889" t="inlineStr">
        <is>
          <t>Not Eligible</t>
        </is>
      </c>
      <c r="CL1889"/>
      <c r="CM1889"/>
    </row>
    <row r="1890" ht="25.5" customHeight="1">
      <c r="A1890" t="inlineStr">
        <is>
          <t>156182</t>
        </is>
      </c>
      <c r="B1890" s="2"/>
      <c r="C1890"/>
      <c r="D1890" s="3">
        <v>46126.629594907405</v>
      </c>
      <c r="E1890" t="inlineStr">
        <is>
          <t>Q2-W02</t>
        </is>
      </c>
      <c r="F1890" t="inlineStr">
        <is>
          <t>Jeff Lee</t>
        </is>
      </c>
      <c r="G1890" t="inlineStr">
        <is>
          <t>Customer</t>
        </is>
      </c>
      <c r="H1890" s="2" t="str">
        <f>=HYPERLINK("https://upbox.ajobthing.my/customer/156182", "https://upbox.ajobthing.my/customer/156182")</f>
        <v>https://upbox.ajobthing.my/customer/156182</v>
      </c>
      <c r="I1890" t="inlineStr">
        <is>
          <t>Armani Entertainment Sdn Bhd</t>
        </is>
      </c>
      <c r="J1890" t="inlineStr">
        <is>
          <t>Small Fish</t>
        </is>
      </c>
      <c r="K1890" t="inlineStr">
        <is>
          <t>Jeff Lee</t>
        </is>
      </c>
      <c r="L1890" s="4"/>
      <c r="M1890" s="4">
        <v>46126.62488425926</v>
      </c>
      <c r="N1890"/>
      <c r="O1890">
        <v>6048</v>
      </c>
      <c r="P1890" s="4"/>
      <c r="Q1890" s="4">
        <v>46122.00203703704</v>
      </c>
      <c r="R1890"/>
      <c r="S1890">
        <v>0</v>
      </c>
      <c r="T1890" s="4">
        <v>44739.49385416666</v>
      </c>
      <c r="U1890" s="4"/>
      <c r="V1890"/>
      <c r="W1890">
        <v>636</v>
      </c>
      <c r="X1890"/>
      <c r="Y1890" t="inlineStr">
        <is>
          <t>Pending Appointment</t>
        </is>
      </c>
      <c r="Z1890" t="inlineStr">
        <is>
          <t>Hiring Now</t>
        </is>
      </c>
      <c r="AA1890">
        <v>4</v>
      </c>
      <c r="AB1890" t="inlineStr">
        <is>
          <t>No Appointment Made</t>
        </is>
      </c>
      <c r="AC1890"/>
      <c r="AD1890" t="inlineStr">
        <is>
          <t xml:space="preserve">1) Sales Exec (Selling brand nomination Award), Personal Assistant to Managing Director,  Videographer and Account Executive
2) 4 vacancy </t>
        </is>
      </c>
      <c r="AE1890"/>
      <c r="AF1890">
        <v>0</v>
      </c>
      <c r="AG1890" s="4"/>
      <c r="AH1890" s="4"/>
      <c r="AI1890">
        <v>0</v>
      </c>
      <c r="AJ1890">
        <v>0</v>
      </c>
      <c r="AK1890" t="inlineStr">
        <is>
          <t>No, I don't need at all</t>
        </is>
      </c>
      <c r="AL1890">
        <v>0</v>
      </c>
      <c r="AM1890" t="inlineStr">
        <is>
          <t>No, I don't need at all</t>
        </is>
      </c>
      <c r="AN1890"/>
      <c r="AO1890" t="inlineStr">
        <is>
          <t>No, I don't need at all</t>
        </is>
      </c>
      <c r="AP1890" t="inlineStr">
        <is>
          <t>Twice a year (50%)</t>
        </is>
      </c>
      <c r="AQ1890">
        <v>4</v>
      </c>
      <c r="AR1890" t="inlineStr">
        <is>
          <t>Did not use any job portal</t>
        </is>
      </c>
      <c r="AS1890" t="inlineStr">
        <is>
          <t>- Headcount: 4
- Hiring Job Details: 4 vacancies including Sales Exec (Selling brand nomination Award), Personal Assistant to Managing Director, Videographer and Account Executive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Twice a year (50%)
- External job portal: Did not use any job portal</t>
        </is>
      </c>
      <c r="AT1890">
        <v>75</v>
      </c>
      <c r="AU1890" t="inlineStr">
        <is>
          <t>0.75</t>
        </is>
      </c>
      <c r="AV1890" t="inlineStr">
        <is>
          <t>15</t>
        </is>
      </c>
      <c r="AW1890" t="inlineStr">
        <is>
          <t>0</t>
        </is>
      </c>
      <c r="AX1890" t="inlineStr">
        <is>
          <t>Not Qualified</t>
        </is>
      </c>
      <c r="AY1890" s="4"/>
      <c r="AZ1890"/>
      <c r="BA1890"/>
      <c r="BB1890"/>
      <c r="BC1890" t="inlineStr">
        <is>
          <t>she got another company handle by other AM</t>
        </is>
      </c>
      <c r="BD1890" s="4">
        <v>46133.4705787037</v>
      </c>
      <c r="BE1890" t="inlineStr">
        <is>
          <t>paid</t>
        </is>
      </c>
      <c r="BF1890"/>
      <c r="BG1890" t="inlineStr">
        <is>
          <t>Reschedule</t>
        </is>
      </c>
      <c r="BH1890" t="inlineStr">
        <is>
          <t>Yee Hang</t>
        </is>
      </c>
      <c r="BI1890" t="inlineStr">
        <is>
          <t>Entertainment / Media</t>
        </is>
      </c>
      <c r="BJ1890" s="4">
        <v>46144.75099537037</v>
      </c>
      <c r="BK1890" s="4">
        <v>44736.514131944445</v>
      </c>
      <c r="BL1890" t="inlineStr">
        <is>
          <t>0.0</t>
        </is>
      </c>
      <c r="BM1890" t="inlineStr">
        <is>
          <t>0.0</t>
        </is>
      </c>
      <c r="BN1890" t="inlineStr">
        <is>
          <t>View Company Page</t>
        </is>
      </c>
      <c r="BO1890" s="4">
        <v>46128.49015046296</v>
      </c>
      <c r="BP1890">
        <v>166971</v>
      </c>
      <c r="BQ1890">
        <v>121449</v>
      </c>
      <c r="BR1890" t="inlineStr">
        <is>
          <t>Proforma</t>
        </is>
      </c>
      <c r="BS1890" t="inlineStr">
        <is>
          <t>Free Internship Job</t>
        </is>
      </c>
      <c r="BT1890">
        <v>46922</v>
      </c>
      <c r="BU1890"/>
      <c r="BV1890">
        <v>2717385</v>
      </c>
      <c r="BW1890" t="inlineStr">
        <is>
          <t>Follow Up : Budget Concern</t>
        </is>
      </c>
      <c r="BX1890"/>
      <c r="BY1890"/>
      <c r="BZ1890" s="4"/>
      <c r="CA1890"/>
      <c r="CB1890"/>
      <c r="CC1890" s="4"/>
      <c r="CD1890" t="inlineStr">
        <is>
          <t>20</t>
        </is>
      </c>
      <c r="CE1890" t="inlineStr">
        <is>
          <t>0</t>
        </is>
      </c>
      <c r="CF1890" t="inlineStr">
        <is>
          <t>Q2-W02</t>
        </is>
      </c>
      <c r="CG1890" t="inlineStr">
        <is>
          <t>Q2-W02</t>
        </is>
      </c>
      <c r="CH1890"/>
      <c r="CI1890"/>
      <c r="CJ1890" t="inlineStr">
        <is>
          <t>Paid</t>
        </is>
      </c>
      <c r="CK1890" t="inlineStr">
        <is>
          <t>Not Eligible</t>
        </is>
      </c>
      <c r="CL1890"/>
      <c r="CM1890"/>
    </row>
    <row r="1891" ht="25.5" customHeight="1">
      <c r="A1891" t="inlineStr">
        <is>
          <t>185044</t>
        </is>
      </c>
      <c r="B1891" s="2"/>
      <c r="C1891"/>
      <c r="D1891" s="3">
        <v>46126.63011574074</v>
      </c>
      <c r="E1891" t="inlineStr">
        <is>
          <t>Q2-W02</t>
        </is>
      </c>
      <c r="F1891" t="inlineStr">
        <is>
          <t>Luqman</t>
        </is>
      </c>
      <c r="G1891" t="inlineStr">
        <is>
          <t>Customer</t>
        </is>
      </c>
      <c r="H1891" s="2" t="str">
        <f>=HYPERLINK("https://upbox.ajobthing.my/customer/185044", "https://upbox.ajobthing.my/customer/185044")</f>
        <v>https://upbox.ajobthing.my/customer/185044</v>
      </c>
      <c r="I1891" t="inlineStr">
        <is>
          <t>Meta Revo Sdn Bhd</t>
        </is>
      </c>
      <c r="J1891" t="inlineStr">
        <is>
          <t>Small Fish</t>
        </is>
      </c>
      <c r="K1891" t="inlineStr">
        <is>
          <t>Luqman</t>
        </is>
      </c>
      <c r="L1891" s="4"/>
      <c r="M1891" s="4">
        <v>46141.60530092593</v>
      </c>
      <c r="N1891"/>
      <c r="O1891">
        <v>1296</v>
      </c>
      <c r="P1891" s="4"/>
      <c r="Q1891" s="4">
        <v>45779.5640625</v>
      </c>
      <c r="R1891"/>
      <c r="S1891">
        <v>648</v>
      </c>
      <c r="T1891" s="4">
        <v>45621.7277662037</v>
      </c>
      <c r="U1891" s="4"/>
      <c r="V1891"/>
      <c r="W1891">
        <v>972</v>
      </c>
      <c r="X1891"/>
      <c r="Y1891" t="inlineStr">
        <is>
          <t>Pending Appointment</t>
        </is>
      </c>
      <c r="Z1891" t="inlineStr">
        <is>
          <t>Hiring Later</t>
        </is>
      </c>
      <c r="AA1891">
        <v>1</v>
      </c>
      <c r="AB1891" t="inlineStr">
        <is>
          <t>No Appointment Made</t>
        </is>
      </c>
      <c r="AC1891"/>
      <c r="AD1891" t="inlineStr">
        <is>
          <t>1. Digital Marketing Specialist</t>
        </is>
      </c>
      <c r="AE1891"/>
      <c r="AF1891">
        <v>3600</v>
      </c>
      <c r="AG1891" s="4"/>
      <c r="AH1891" s="4"/>
      <c r="AI1891">
        <v>3600</v>
      </c>
      <c r="AJ1891"/>
      <c r="AK1891" t="inlineStr">
        <is>
          <t>No, I don't need at all</t>
        </is>
      </c>
      <c r="AL1891">
        <v>1</v>
      </c>
      <c r="AM1891" t="inlineStr">
        <is>
          <t>No, I don't need at all</t>
        </is>
      </c>
      <c r="AN1891"/>
      <c r="AO1891" t="inlineStr">
        <is>
          <t>No, I don't need at all</t>
        </is>
      </c>
      <c r="AP1891" t="inlineStr">
        <is>
          <t>Once a year (25%)</t>
        </is>
      </c>
      <c r="AQ1891">
        <v>1</v>
      </c>
      <c r="AR1891" t="inlineStr">
        <is>
          <t>Free Job Portal</t>
        </is>
      </c>
      <c r="AS1891" t="inlineStr">
        <is>
          <t>- Headcount: 1
- Hiring Job Details: 1 Digital Marketing Specialist
- Hiring Urgency: Hiring Later
- Number of outlets: N/A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AT1891">
        <v>115</v>
      </c>
      <c r="AU1891" t="inlineStr">
        <is>
          <t>1.15</t>
        </is>
      </c>
      <c r="AV1891" t="inlineStr">
        <is>
          <t>15</t>
        </is>
      </c>
      <c r="AW1891" t="inlineStr">
        <is>
          <t>0</t>
        </is>
      </c>
      <c r="AX1891" t="inlineStr">
        <is>
          <t>Not Qualified</t>
        </is>
      </c>
      <c r="AY1891" s="4"/>
      <c r="AZ1891"/>
      <c r="BA1891"/>
      <c r="BB1891"/>
      <c r="BC1891" t="inlineStr">
        <is>
          <t>Proposed lower tiering</t>
        </is>
      </c>
      <c r="BD1891" s="4">
        <v>46141.60575231481</v>
      </c>
      <c r="BE1891" t="inlineStr">
        <is>
          <t>pending</t>
        </is>
      </c>
      <c r="BF1891"/>
      <c r="BG1891" t="inlineStr">
        <is>
          <t>Reschedule</t>
        </is>
      </c>
      <c r="BH1891" t="inlineStr">
        <is>
          <t>Edward Hoo</t>
        </is>
      </c>
      <c r="BI1891" t="inlineStr">
        <is>
          <t>Business / Mgmt Consulting</t>
        </is>
      </c>
      <c r="BJ1891" s="4">
        <v>46144.75204861111</v>
      </c>
      <c r="BK1891" s="4">
        <v>45616.72424768518</v>
      </c>
      <c r="BL1891" t="inlineStr">
        <is>
          <t>0.0</t>
        </is>
      </c>
      <c r="BM1891" t="inlineStr">
        <is>
          <t>0.0</t>
        </is>
      </c>
      <c r="BN1891" t="inlineStr">
        <is>
          <t>View Company Page</t>
        </is>
      </c>
      <c r="BO1891" s="4">
        <v>45785.62287037037</v>
      </c>
      <c r="BP1891">
        <v>169509</v>
      </c>
      <c r="BQ1891">
        <v>104017</v>
      </c>
      <c r="BR1891" t="inlineStr">
        <is>
          <t>Proforma</t>
        </is>
      </c>
      <c r="BS1891" t="inlineStr">
        <is>
          <t>Ala Carte Single</t>
        </is>
      </c>
      <c r="BT1891">
        <v>74903</v>
      </c>
      <c r="BU1891"/>
      <c r="BV1891">
        <v>2735336</v>
      </c>
      <c r="BW1891" t="inlineStr">
        <is>
          <t>Follow Up : Quotation Sent 50%</t>
        </is>
      </c>
      <c r="BX1891"/>
      <c r="BY1891"/>
      <c r="BZ1891" s="4"/>
      <c r="CA1891"/>
      <c r="CB1891"/>
      <c r="CC1891" s="4"/>
      <c r="CD1891" t="inlineStr">
        <is>
          <t>20</t>
        </is>
      </c>
      <c r="CE1891" t="inlineStr">
        <is>
          <t>0</t>
        </is>
      </c>
      <c r="CF1891" t="inlineStr">
        <is>
          <t>Q2-W04</t>
        </is>
      </c>
      <c r="CG1891"/>
      <c r="CH1891"/>
      <c r="CI1891"/>
      <c r="CJ1891" t="inlineStr">
        <is>
          <t>Paid</t>
        </is>
      </c>
      <c r="CK1891" t="inlineStr">
        <is>
          <t>Not Eligible</t>
        </is>
      </c>
      <c r="CL1891"/>
      <c r="CM1891"/>
    </row>
    <row r="1892" ht="25.5" customHeight="1">
      <c r="A1892" t="inlineStr">
        <is>
          <t>157131</t>
        </is>
      </c>
      <c r="B1892" s="2"/>
      <c r="C1892"/>
      <c r="D1892" s="3">
        <v>46126.63631944444</v>
      </c>
      <c r="E1892" t="inlineStr">
        <is>
          <t>Q2-W02</t>
        </is>
      </c>
      <c r="F1892" t="inlineStr">
        <is>
          <t>Alan KY</t>
        </is>
      </c>
      <c r="G1892" t="inlineStr">
        <is>
          <t>Customer</t>
        </is>
      </c>
      <c r="H1892" s="2" t="str">
        <f>=HYPERLINK("https://upbox.ajobthing.my/customer/157131", "https://upbox.ajobthing.my/customer/157131")</f>
        <v>https://upbox.ajobthing.my/customer/157131</v>
      </c>
      <c r="I1892" t="inlineStr">
        <is>
          <t>Abu Saed Transport Sdn Bhd</t>
        </is>
      </c>
      <c r="J1892" t="inlineStr">
        <is>
          <t>Small Fish</t>
        </is>
      </c>
      <c r="K1892" t="inlineStr">
        <is>
          <t>Alan KY</t>
        </is>
      </c>
      <c r="L1892" s="4"/>
      <c r="M1892" s="4">
        <v>46126.63439814815</v>
      </c>
      <c r="N1892"/>
      <c r="O1892">
        <v>6048</v>
      </c>
      <c r="P1892" s="4"/>
      <c r="Q1892" s="4">
        <v>45547.440983796296</v>
      </c>
      <c r="R1892"/>
      <c r="S1892">
        <v>756</v>
      </c>
      <c r="T1892" s="4">
        <v>45547.440983796296</v>
      </c>
      <c r="U1892" s="4"/>
      <c r="V1892"/>
      <c r="W1892">
        <v>756</v>
      </c>
      <c r="X1892"/>
      <c r="Y1892" t="inlineStr">
        <is>
          <t>Pending Appointment</t>
        </is>
      </c>
      <c r="Z1892" t="inlineStr">
        <is>
          <t>Hiring Now</t>
        </is>
      </c>
      <c r="AA1892">
        <v>2</v>
      </c>
      <c r="AB1892" t="inlineStr">
        <is>
          <t>No Appointment Made</t>
        </is>
      </c>
      <c r="AC1892"/>
      <c r="AD1892" t="inlineStr">
        <is>
          <t xml:space="preserve">1 Assistant Finance manager, 1 finance executive, in Selangor &amp; Melaka </t>
        </is>
      </c>
      <c r="AE1892"/>
      <c r="AF1892"/>
      <c r="AG1892" s="4"/>
      <c r="AH1892" s="4"/>
      <c r="AI1892"/>
      <c r="AJ1892">
        <v>2</v>
      </c>
      <c r="AK1892" t="inlineStr">
        <is>
          <t>No, I don't need at all</t>
        </is>
      </c>
      <c r="AL1892"/>
      <c r="AM1892" t="inlineStr">
        <is>
          <t>No, I don't need at all</t>
        </is>
      </c>
      <c r="AN1892"/>
      <c r="AO1892" t="inlineStr">
        <is>
          <t>No, I don't need at all</t>
        </is>
      </c>
      <c r="AP1892" t="inlineStr">
        <is>
          <t>Twice a year (50%)</t>
        </is>
      </c>
      <c r="AQ1892"/>
      <c r="AR1892" t="inlineStr">
        <is>
          <t>Jobstreet, Hiredly</t>
        </is>
      </c>
      <c r="AS1892" t="inlineStr">
        <is>
          <t>- Headcount: 2
- Hiring Job Details: 1 Assistant Finance manager, 1 finance executive, in Selangor &amp; Melaka
- Hiring Urgency: Hiring Now
- Number of outlets: 2
- Have recruiter team: No, I don't need at all
- Number of recruiter in company: N/A
- Have ATS system: No, I don't need at all
- Have career website: No, I don't need at all
- Current hiring budget: N/A
- Whole year budget: N/A
- Whole year number of vacancies: N/A
- Hiring frequency: Twice a year (50%)
- External job portal: Jobstreet, Hiredly</t>
        </is>
      </c>
      <c r="AT1892">
        <v>100</v>
      </c>
      <c r="AU1892" t="inlineStr">
        <is>
          <t>1.00</t>
        </is>
      </c>
      <c r="AV1892" t="inlineStr">
        <is>
          <t>5</t>
        </is>
      </c>
      <c r="AW1892" t="inlineStr">
        <is>
          <t>0</t>
        </is>
      </c>
      <c r="AX1892" t="inlineStr">
        <is>
          <t>Not Qualified</t>
        </is>
      </c>
      <c r="AY1892" s="4"/>
      <c r="AZ1892"/>
      <c r="BA1892"/>
      <c r="BB1892"/>
      <c r="BC1892" t="inlineStr">
        <is>
          <t>Will KIV first as still have credit with other platform. Will reconsider after used up</t>
        </is>
      </c>
      <c r="BD1892" s="4">
        <v>46140.696076388886</v>
      </c>
      <c r="BE1892" t="inlineStr">
        <is>
          <t>paid</t>
        </is>
      </c>
      <c r="BF1892"/>
      <c r="BG1892" t="inlineStr">
        <is>
          <t>Reschedule</t>
        </is>
      </c>
      <c r="BH1892" t="inlineStr">
        <is>
          <t>Reagen</t>
        </is>
      </c>
      <c r="BI1892" t="inlineStr">
        <is>
          <t>Transportation / Logistics</t>
        </is>
      </c>
      <c r="BJ1892" s="4">
        <v>46144.75101851852</v>
      </c>
      <c r="BK1892" s="4">
        <v>44756.67221064815</v>
      </c>
      <c r="BL1892" t="inlineStr">
        <is>
          <t>0.0</t>
        </is>
      </c>
      <c r="BM1892" t="inlineStr">
        <is>
          <t>0.0</t>
        </is>
      </c>
      <c r="BN1892" t="inlineStr">
        <is>
          <t>PA Email CTA Click</t>
        </is>
      </c>
      <c r="BO1892" s="4">
        <v>45624.36519675926</v>
      </c>
      <c r="BP1892">
        <v>166980</v>
      </c>
      <c r="BQ1892">
        <v>72961</v>
      </c>
      <c r="BR1892" t="inlineStr">
        <is>
          <t>Online</t>
        </is>
      </c>
      <c r="BS1892"/>
      <c r="BT1892">
        <v>72961</v>
      </c>
      <c r="BU1892"/>
      <c r="BV1892">
        <v>2733534</v>
      </c>
      <c r="BW1892" t="inlineStr">
        <is>
          <t>Follow Up : Budget Concern</t>
        </is>
      </c>
      <c r="BX1892"/>
      <c r="BY1892"/>
      <c r="BZ1892" s="4"/>
      <c r="CA1892"/>
      <c r="CB1892"/>
      <c r="CC1892" s="4"/>
      <c r="CD1892" t="inlineStr">
        <is>
          <t>5</t>
        </is>
      </c>
      <c r="CE1892" t="inlineStr">
        <is>
          <t>0</t>
        </is>
      </c>
      <c r="CF1892" t="inlineStr">
        <is>
          <t>Q2-W02</t>
        </is>
      </c>
      <c r="CG1892"/>
      <c r="CH1892"/>
      <c r="CI1892"/>
      <c r="CJ1892" t="inlineStr">
        <is>
          <t>Paid</t>
        </is>
      </c>
      <c r="CK1892" t="inlineStr">
        <is>
          <t>Not Eligible</t>
        </is>
      </c>
      <c r="CL1892"/>
      <c r="CM1892"/>
    </row>
    <row r="1893" ht="25.5" customHeight="1">
      <c r="A1893" t="inlineStr">
        <is>
          <t>203190</t>
        </is>
      </c>
      <c r="B1893" s="2"/>
      <c r="C1893"/>
      <c r="D1893" s="3">
        <v>46126.63854166667</v>
      </c>
      <c r="E1893" t="inlineStr">
        <is>
          <t>Q2-W02</t>
        </is>
      </c>
      <c r="F1893" t="inlineStr">
        <is>
          <t>Josh</t>
        </is>
      </c>
      <c r="G1893" t="inlineStr">
        <is>
          <t>Customer</t>
        </is>
      </c>
      <c r="H1893" s="2" t="str">
        <f>=HYPERLINK("https://upbox.ajobthing.my/customer/203190", "https://upbox.ajobthing.my/customer/203190")</f>
        <v>https://upbox.ajobthing.my/customer/203190</v>
      </c>
      <c r="I1893" t="inlineStr">
        <is>
          <t>Sanair Engineering Sdn. Bhd.</t>
        </is>
      </c>
      <c r="J1893" t="inlineStr">
        <is>
          <t>Small Fish</t>
        </is>
      </c>
      <c r="K1893" t="inlineStr">
        <is>
          <t>Josh</t>
        </is>
      </c>
      <c r="L1893" s="4"/>
      <c r="M1893" s="4">
        <v>46126.639398148145</v>
      </c>
      <c r="N1893"/>
      <c r="O1893">
        <v>3672</v>
      </c>
      <c r="P1893" s="4"/>
      <c r="Q1893" s="4"/>
      <c r="R1893"/>
      <c r="S1893"/>
      <c r="T1893" s="4"/>
      <c r="U1893" s="4"/>
      <c r="V1893"/>
      <c r="W1893"/>
      <c r="X1893"/>
      <c r="Y1893" t="inlineStr">
        <is>
          <t>Pending Appointment</t>
        </is>
      </c>
      <c r="Z1893" t="inlineStr">
        <is>
          <t>Hiring Now</t>
        </is>
      </c>
      <c r="AA1893">
        <v>1</v>
      </c>
      <c r="AB1893" t="inlineStr">
        <is>
          <t>No Appointment Made</t>
        </is>
      </c>
      <c r="AC1893"/>
      <c r="AD1893" t="inlineStr">
        <is>
          <t xml:space="preserve">1 Technician </t>
        </is>
      </c>
      <c r="AE1893"/>
      <c r="AF1893">
        <v>3000</v>
      </c>
      <c r="AG1893" s="4"/>
      <c r="AH1893" s="4"/>
      <c r="AI1893"/>
      <c r="AJ1893"/>
      <c r="AK1893" t="inlineStr">
        <is>
          <t>Yes, I have</t>
        </is>
      </c>
      <c r="AL1893"/>
      <c r="AM1893"/>
      <c r="AN1893"/>
      <c r="AO1893"/>
      <c r="AP1893" t="inlineStr">
        <is>
          <t>Once a year (25%)</t>
        </is>
      </c>
      <c r="AQ1893"/>
      <c r="AR1893"/>
      <c r="AS1893" t="inlineStr">
        <is>
          <t>- Headcount: 1
- Hiring Job Details: 1 Technician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893">
        <v>95</v>
      </c>
      <c r="AU1893" t="inlineStr">
        <is>
          <t>0.95</t>
        </is>
      </c>
      <c r="AV1893" t="inlineStr">
        <is>
          <t>15</t>
        </is>
      </c>
      <c r="AW1893" t="inlineStr">
        <is>
          <t>0</t>
        </is>
      </c>
      <c r="AX1893" t="inlineStr">
        <is>
          <t>Not Qualified</t>
        </is>
      </c>
      <c r="AY1893" s="4"/>
      <c r="AZ1893"/>
      <c r="BA1893"/>
      <c r="BB1893"/>
      <c r="BC1893" t="inlineStr">
        <is>
          <t>will use free first</t>
        </is>
      </c>
      <c r="BD1893" s="4">
        <v>46132.60089120371</v>
      </c>
      <c r="BE1893"/>
      <c r="BF1893"/>
      <c r="BG1893" t="inlineStr">
        <is>
          <t>Reschedule</t>
        </is>
      </c>
      <c r="BH1893" t="inlineStr">
        <is>
          <t>Fauziah Maharan</t>
        </is>
      </c>
      <c r="BI1893"/>
      <c r="BJ1893" s="4">
        <v>46144.75423611111</v>
      </c>
      <c r="BK1893" s="4">
        <v>46125.7725462963</v>
      </c>
      <c r="BL1893" t="inlineStr">
        <is>
          <t>0.0</t>
        </is>
      </c>
      <c r="BM1893" t="inlineStr">
        <is>
          <t>0.0</t>
        </is>
      </c>
      <c r="BN1893" t="inlineStr">
        <is>
          <t>View Company Page</t>
        </is>
      </c>
      <c r="BO1893" s="4">
        <v>46125.7893287037</v>
      </c>
      <c r="BP1893">
        <v>166986</v>
      </c>
      <c r="BQ1893"/>
      <c r="BR1893"/>
      <c r="BS1893"/>
      <c r="BT1893"/>
      <c r="BU1893"/>
      <c r="BV1893">
        <v>2715721</v>
      </c>
      <c r="BW1893" t="inlineStr">
        <is>
          <t>Follow Up : Lost - Free Portal</t>
        </is>
      </c>
      <c r="BX1893"/>
      <c r="BY1893"/>
      <c r="BZ1893" s="4"/>
      <c r="CA1893"/>
      <c r="CB1893"/>
      <c r="CC1893" s="4"/>
      <c r="CD1893" t="inlineStr">
        <is>
          <t>20</t>
        </is>
      </c>
      <c r="CE1893" t="inlineStr">
        <is>
          <t>0</t>
        </is>
      </c>
      <c r="CF1893" t="inlineStr">
        <is>
          <t>Q2-W02</t>
        </is>
      </c>
      <c r="CG1893"/>
      <c r="CH1893"/>
      <c r="CI1893"/>
      <c r="CJ1893" t="inlineStr">
        <is>
          <t>No Paid</t>
        </is>
      </c>
      <c r="CK1893" t="inlineStr">
        <is>
          <t>Not Eligible</t>
        </is>
      </c>
      <c r="CL1893"/>
      <c r="CM1893"/>
    </row>
    <row r="1894" ht="25.5" customHeight="1">
      <c r="A1894" t="inlineStr">
        <is>
          <t>26613</t>
        </is>
      </c>
      <c r="B1894" s="2"/>
      <c r="C1894"/>
      <c r="D1894" s="3">
        <v>46126.63880787037</v>
      </c>
      <c r="E1894" t="inlineStr">
        <is>
          <t>Q2-W02</t>
        </is>
      </c>
      <c r="F1894" t="inlineStr">
        <is>
          <t>Janice Yap</t>
        </is>
      </c>
      <c r="G1894" t="inlineStr">
        <is>
          <t>Customer</t>
        </is>
      </c>
      <c r="H1894" s="2" t="str">
        <f>=HYPERLINK("https://upbox.ajobthing.my/customer/26613", "https://upbox.ajobthing.my/customer/26613")</f>
        <v>https://upbox.ajobthing.my/customer/26613</v>
      </c>
      <c r="I1894" t="inlineStr">
        <is>
          <t>Uroko Japanese Cuisine Sdn Bhd</t>
        </is>
      </c>
      <c r="J1894" t="inlineStr">
        <is>
          <t>Small Fish</t>
        </is>
      </c>
      <c r="K1894" t="inlineStr">
        <is>
          <t>Janice</t>
        </is>
      </c>
      <c r="L1894" s="4"/>
      <c r="M1894" s="4">
        <v>46126.637511574074</v>
      </c>
      <c r="N1894"/>
      <c r="O1894">
        <v>3888</v>
      </c>
      <c r="P1894" s="4"/>
      <c r="Q1894" s="4">
        <v>44280.54809027778</v>
      </c>
      <c r="R1894"/>
      <c r="S1894">
        <v>132.5</v>
      </c>
      <c r="T1894" s="4">
        <v>44280.54809027778</v>
      </c>
      <c r="U1894" s="4"/>
      <c r="V1894"/>
      <c r="W1894">
        <v>132.5</v>
      </c>
      <c r="X1894"/>
      <c r="Y1894" t="inlineStr">
        <is>
          <t>Pending Appointment</t>
        </is>
      </c>
      <c r="Z1894" t="inlineStr">
        <is>
          <t>Hiring Now</t>
        </is>
      </c>
      <c r="AA1894">
        <v>2</v>
      </c>
      <c r="AB1894" t="inlineStr">
        <is>
          <t>No Appointment Made</t>
        </is>
      </c>
      <c r="AC1894"/>
      <c r="AD1894" t="inlineStr">
        <is>
          <t>1 service crew // 1 kitchen assist</t>
        </is>
      </c>
      <c r="AE1894"/>
      <c r="AF1894">
        <v>0</v>
      </c>
      <c r="AG1894" s="4"/>
      <c r="AH1894" s="4"/>
      <c r="AI1894">
        <v>0</v>
      </c>
      <c r="AJ1894"/>
      <c r="AK1894" t="inlineStr">
        <is>
          <t>No, I don't need at all</t>
        </is>
      </c>
      <c r="AL1894">
        <v>0</v>
      </c>
      <c r="AM1894" t="inlineStr">
        <is>
          <t>No, I don't need at all</t>
        </is>
      </c>
      <c r="AN1894"/>
      <c r="AO1894" t="inlineStr">
        <is>
          <t>No, I don't need at all</t>
        </is>
      </c>
      <c r="AP1894" t="inlineStr">
        <is>
          <t>Once a year (25%)</t>
        </is>
      </c>
      <c r="AQ1894">
        <v>2</v>
      </c>
      <c r="AR1894" t="inlineStr">
        <is>
          <t>Indeed (Paid)</t>
        </is>
      </c>
      <c r="AS1894" t="inlineStr">
        <is>
          <t>- Headcount: 2 (1 service crew, 1 kitchen assist).
- Hiring Job Details: 1 service crew // 1 kitchen assist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Indeed (Paid)</t>
        </is>
      </c>
      <c r="AT1894">
        <v>100</v>
      </c>
      <c r="AU1894" t="inlineStr">
        <is>
          <t>1.00</t>
        </is>
      </c>
      <c r="AV1894" t="inlineStr">
        <is>
          <t>15</t>
        </is>
      </c>
      <c r="AW1894" t="inlineStr">
        <is>
          <t>0</t>
        </is>
      </c>
      <c r="AX1894" t="inlineStr">
        <is>
          <t>Not Qualified</t>
        </is>
      </c>
      <c r="AY1894" s="4"/>
      <c r="AZ1894"/>
      <c r="BA1894"/>
      <c r="BB1894"/>
      <c r="BC1894" t="inlineStr">
        <is>
          <t>Called Ms Lyndi 0122136208 // no need to post job atm // if need will contact me</t>
        </is>
      </c>
      <c r="BD1894" s="4">
        <v>46129.498252314814</v>
      </c>
      <c r="BE1894" t="inlineStr">
        <is>
          <t>paid</t>
        </is>
      </c>
      <c r="BF1894"/>
      <c r="BG1894" t="inlineStr">
        <is>
          <t>Reschedule</t>
        </is>
      </c>
      <c r="BH1894" t="inlineStr">
        <is>
          <t>Yee Hang</t>
        </is>
      </c>
      <c r="BI1894" t="inlineStr">
        <is>
          <t>Food / Beverage</t>
        </is>
      </c>
      <c r="BJ1894" s="4">
        <v>46144.75449074074</v>
      </c>
      <c r="BK1894" s="4">
        <v>42584.54625</v>
      </c>
      <c r="BL1894" t="inlineStr">
        <is>
          <t>0.0</t>
        </is>
      </c>
      <c r="BM1894" t="inlineStr">
        <is>
          <t>0.0</t>
        </is>
      </c>
      <c r="BN1894" t="inlineStr">
        <is>
          <t>View Company Page</t>
        </is>
      </c>
      <c r="BO1894" s="4">
        <v>46088.41107638889</v>
      </c>
      <c r="BP1894">
        <v>166984</v>
      </c>
      <c r="BQ1894">
        <v>31665</v>
      </c>
      <c r="BR1894" t="inlineStr">
        <is>
          <t>Online</t>
        </is>
      </c>
      <c r="BS1894"/>
      <c r="BT1894">
        <v>31665</v>
      </c>
      <c r="BU1894"/>
      <c r="BV1894">
        <v>2711704</v>
      </c>
      <c r="BW1894" t="inlineStr">
        <is>
          <t>Follow Up : Lost - Free Portal</t>
        </is>
      </c>
      <c r="BX1894"/>
      <c r="BY1894"/>
      <c r="BZ1894" s="4"/>
      <c r="CA1894"/>
      <c r="CB1894"/>
      <c r="CC1894" s="4"/>
      <c r="CD1894" t="inlineStr">
        <is>
          <t>20</t>
        </is>
      </c>
      <c r="CE1894" t="inlineStr">
        <is>
          <t>0</t>
        </is>
      </c>
      <c r="CF1894" t="inlineStr">
        <is>
          <t>Q2-W02</t>
        </is>
      </c>
      <c r="CG1894"/>
      <c r="CH1894"/>
      <c r="CI1894"/>
      <c r="CJ1894" t="inlineStr">
        <is>
          <t>Paid</t>
        </is>
      </c>
      <c r="CK1894" t="inlineStr">
        <is>
          <t>Not Eligible</t>
        </is>
      </c>
      <c r="CL1894"/>
      <c r="CM1894"/>
    </row>
    <row r="1895" ht="25.5" customHeight="1">
      <c r="A1895" t="inlineStr">
        <is>
          <t>184420</t>
        </is>
      </c>
      <c r="B1895" s="2"/>
      <c r="C1895"/>
      <c r="D1895" s="3">
        <v>46126.6403125</v>
      </c>
      <c r="E1895" t="inlineStr">
        <is>
          <t>Q2-W02</t>
        </is>
      </c>
      <c r="F1895" t="inlineStr">
        <is>
          <t>Luqman</t>
        </is>
      </c>
      <c r="G1895" t="inlineStr">
        <is>
          <t>Customer</t>
        </is>
      </c>
      <c r="H1895" s="2" t="str">
        <f>=HYPERLINK("https://upbox.ajobthing.my/customer/184420", "https://upbox.ajobthing.my/customer/184420")</f>
        <v>https://upbox.ajobthing.my/customer/184420</v>
      </c>
      <c r="I1895" t="inlineStr">
        <is>
          <t>The Heroes Legacy</t>
        </is>
      </c>
      <c r="J1895" t="inlineStr">
        <is>
          <t>Small Fish</t>
        </is>
      </c>
      <c r="K1895" t="inlineStr">
        <is>
          <t>Luqman</t>
        </is>
      </c>
      <c r="L1895" s="4"/>
      <c r="M1895" s="4">
        <v>46126.64052083333</v>
      </c>
      <c r="N1895"/>
      <c r="O1895">
        <v>1512</v>
      </c>
      <c r="P1895" s="4"/>
      <c r="Q1895" s="4">
        <v>45599.64643518518</v>
      </c>
      <c r="R1895"/>
      <c r="S1895">
        <v>972</v>
      </c>
      <c r="T1895" s="4">
        <v>45599.64643518518</v>
      </c>
      <c r="U1895" s="4"/>
      <c r="V1895"/>
      <c r="W1895">
        <v>972</v>
      </c>
      <c r="X1895"/>
      <c r="Y1895" t="inlineStr">
        <is>
          <t>Pending Appointment</t>
        </is>
      </c>
      <c r="Z1895" t="inlineStr">
        <is>
          <t>Hiring Later</t>
        </is>
      </c>
      <c r="AA1895">
        <v>1</v>
      </c>
      <c r="AB1895" t="inlineStr">
        <is>
          <t>No Appointment Made</t>
        </is>
      </c>
      <c r="AC1895"/>
      <c r="AD1895" t="inlineStr">
        <is>
          <t xml:space="preserve">1. Frontdesk </t>
        </is>
      </c>
      <c r="AE1895"/>
      <c r="AF1895">
        <v>1200</v>
      </c>
      <c r="AG1895" s="4"/>
      <c r="AH1895" s="4"/>
      <c r="AI1895">
        <v>1200</v>
      </c>
      <c r="AJ1895"/>
      <c r="AK1895" t="inlineStr">
        <is>
          <t>No, I don't need at all</t>
        </is>
      </c>
      <c r="AL1895">
        <v>1</v>
      </c>
      <c r="AM1895" t="inlineStr">
        <is>
          <t>No, I don't need at all</t>
        </is>
      </c>
      <c r="AN1895"/>
      <c r="AO1895" t="inlineStr">
        <is>
          <t>No, I don't need at all</t>
        </is>
      </c>
      <c r="AP1895" t="inlineStr">
        <is>
          <t>Once a year (25%)</t>
        </is>
      </c>
      <c r="AQ1895">
        <v>1</v>
      </c>
      <c r="AR1895" t="inlineStr">
        <is>
          <t>Free Job Portal</t>
        </is>
      </c>
      <c r="AS1895" t="inlineStr">
        <is>
          <t>- Headcount: 1
- Hiring Job Details: 1 Frontdesk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1895">
        <v>115</v>
      </c>
      <c r="AU1895" t="inlineStr">
        <is>
          <t>1.15</t>
        </is>
      </c>
      <c r="AV1895" t="inlineStr">
        <is>
          <t>15</t>
        </is>
      </c>
      <c r="AW1895" t="inlineStr">
        <is>
          <t>0</t>
        </is>
      </c>
      <c r="AX1895" t="inlineStr">
        <is>
          <t>Not Qualified</t>
        </is>
      </c>
      <c r="AY1895" s="4"/>
      <c r="AZ1895"/>
      <c r="BA1895"/>
      <c r="BB1895"/>
      <c r="BC1895" t="inlineStr">
        <is>
          <t>Business utilize free portal. - Lost</t>
        </is>
      </c>
      <c r="BD1895" s="4">
        <v>46128.56136574074</v>
      </c>
      <c r="BE1895" t="inlineStr">
        <is>
          <t>paid</t>
        </is>
      </c>
      <c r="BF1895"/>
      <c r="BG1895" t="inlineStr">
        <is>
          <t>Reschedule</t>
        </is>
      </c>
      <c r="BH1895" t="inlineStr">
        <is>
          <t>Edward Hoo</t>
        </is>
      </c>
      <c r="BI1895" t="inlineStr">
        <is>
          <t>Telecommunication</t>
        </is>
      </c>
      <c r="BJ1895" s="4">
        <v>46144.75199074074</v>
      </c>
      <c r="BK1895" s="4">
        <v>45599.625601851854</v>
      </c>
      <c r="BL1895" t="inlineStr">
        <is>
          <t>0.0</t>
        </is>
      </c>
      <c r="BM1895" t="inlineStr">
        <is>
          <t>0.0</t>
        </is>
      </c>
      <c r="BN1895" t="inlineStr">
        <is>
          <t>View Jobmanager Page</t>
        </is>
      </c>
      <c r="BO1895" s="4">
        <v>45651.36275462963</v>
      </c>
      <c r="BP1895">
        <v>166988</v>
      </c>
      <c r="BQ1895">
        <v>74320</v>
      </c>
      <c r="BR1895" t="inlineStr">
        <is>
          <t>Online</t>
        </is>
      </c>
      <c r="BS1895"/>
      <c r="BT1895">
        <v>74320</v>
      </c>
      <c r="BU1895"/>
      <c r="BV1895">
        <v>2709106</v>
      </c>
      <c r="BW1895" t="inlineStr">
        <is>
          <t>Follow Up : Lost - Free Portal</t>
        </is>
      </c>
      <c r="BX1895"/>
      <c r="BY1895"/>
      <c r="BZ1895" s="4"/>
      <c r="CA1895"/>
      <c r="CB1895"/>
      <c r="CC1895" s="4"/>
      <c r="CD1895" t="inlineStr">
        <is>
          <t>20</t>
        </is>
      </c>
      <c r="CE1895" t="inlineStr">
        <is>
          <t>0</t>
        </is>
      </c>
      <c r="CF1895" t="inlineStr">
        <is>
          <t>Q2-W02</t>
        </is>
      </c>
      <c r="CG1895"/>
      <c r="CH1895"/>
      <c r="CI1895"/>
      <c r="CJ1895" t="inlineStr">
        <is>
          <t>Paid</t>
        </is>
      </c>
      <c r="CK1895" t="inlineStr">
        <is>
          <t>Not Eligible</t>
        </is>
      </c>
      <c r="CL1895"/>
      <c r="CM1895"/>
    </row>
    <row r="1896" ht="25.5" customHeight="1">
      <c r="A1896" t="inlineStr">
        <is>
          <t>203225</t>
        </is>
      </c>
      <c r="B1896" s="2"/>
      <c r="C1896"/>
      <c r="D1896" s="3">
        <v>46126.645</v>
      </c>
      <c r="E1896" t="inlineStr">
        <is>
          <t>Q2-W02</t>
        </is>
      </c>
      <c r="F1896" t="inlineStr">
        <is>
          <t>Clover</t>
        </is>
      </c>
      <c r="G1896" t="inlineStr">
        <is>
          <t>Customer</t>
        </is>
      </c>
      <c r="H1896" s="2" t="str">
        <f>=HYPERLINK("https://upbox.ajobthing.my/customer/203225", "https://upbox.ajobthing.my/customer/203225")</f>
        <v>https://upbox.ajobthing.my/customer/203225</v>
      </c>
      <c r="I1896" t="inlineStr">
        <is>
          <t>Perfection Supply Chain (malaysia) Sdn. Bhd.</t>
        </is>
      </c>
      <c r="J1896" t="inlineStr">
        <is>
          <t>Small Fish</t>
        </is>
      </c>
      <c r="K1896" t="inlineStr">
        <is>
          <t>Clover</t>
        </is>
      </c>
      <c r="L1896" s="4"/>
      <c r="M1896" s="4">
        <v>46126.645324074074</v>
      </c>
      <c r="N1896"/>
      <c r="O1896">
        <v>3888</v>
      </c>
      <c r="P1896" s="4"/>
      <c r="Q1896" s="4"/>
      <c r="R1896"/>
      <c r="S1896"/>
      <c r="T1896" s="4"/>
      <c r="U1896" s="4"/>
      <c r="V1896"/>
      <c r="W1896"/>
      <c r="X1896"/>
      <c r="Y1896" t="inlineStr">
        <is>
          <t>Pending Appointment</t>
        </is>
      </c>
      <c r="Z1896" t="inlineStr">
        <is>
          <t>Hiring Now</t>
        </is>
      </c>
      <c r="AA1896">
        <v>2</v>
      </c>
      <c r="AB1896" t="inlineStr">
        <is>
          <t>No Appointment Made</t>
        </is>
      </c>
      <c r="AC1896"/>
      <c r="AD1896" t="inlineStr">
        <is>
          <t>Hire logistic operation x1-2 chi, fresh grads, logistic, puchong PFCC,  previous try indeed, linked in, suggest stand</t>
        </is>
      </c>
      <c r="AE1896"/>
      <c r="AF1896">
        <v>3000</v>
      </c>
      <c r="AG1896" s="4"/>
      <c r="AH1896" s="4"/>
      <c r="AI1896">
        <v>3000</v>
      </c>
      <c r="AJ1896">
        <v>1</v>
      </c>
      <c r="AK1896" t="inlineStr">
        <is>
          <t>No, but I want in future</t>
        </is>
      </c>
      <c r="AL1896">
        <v>1</v>
      </c>
      <c r="AM1896" t="inlineStr">
        <is>
          <t>No, but I want in future</t>
        </is>
      </c>
      <c r="AN1896"/>
      <c r="AO1896" t="inlineStr">
        <is>
          <t>No, but I want in future</t>
        </is>
      </c>
      <c r="AP1896" t="inlineStr">
        <is>
          <t>Twice a year (50%)</t>
        </is>
      </c>
      <c r="AQ1896">
        <v>2</v>
      </c>
      <c r="AR1896" t="inlineStr">
        <is>
          <t>Jobstreet</t>
        </is>
      </c>
      <c r="AS1896" t="inlineStr">
        <is>
          <t>- Headcount: 2
- Hiring Job Details: Hire logistic operation x1-2 chi, fresh grads, logistic, puchong PFCC, previous try indeed, linked in,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t>
        </is>
      </c>
      <c r="AT1896">
        <v>115</v>
      </c>
      <c r="AU1896" t="inlineStr">
        <is>
          <t>1.15</t>
        </is>
      </c>
      <c r="AV1896" t="inlineStr">
        <is>
          <t>15</t>
        </is>
      </c>
      <c r="AW1896" t="inlineStr">
        <is>
          <t>0</t>
        </is>
      </c>
      <c r="AX1896" t="inlineStr">
        <is>
          <t>Not Qualified</t>
        </is>
      </c>
      <c r="AY1896" s="4"/>
      <c r="AZ1896"/>
      <c r="BA1896"/>
      <c r="BB1896"/>
      <c r="BC1896" t="inlineStr">
        <is>
          <t>Still considering</t>
        </is>
      </c>
      <c r="BD1896" s="4">
        <v>46133.72052083333</v>
      </c>
      <c r="BE1896"/>
      <c r="BF1896"/>
      <c r="BG1896" t="inlineStr">
        <is>
          <t>Reschedule</t>
        </is>
      </c>
      <c r="BH1896" t="inlineStr">
        <is>
          <t>Reagen</t>
        </is>
      </c>
      <c r="BI1896" t="inlineStr">
        <is>
          <t>Transportation / Logistics</t>
        </is>
      </c>
      <c r="BJ1896" s="4">
        <v>46144.75425925926</v>
      </c>
      <c r="BK1896" s="4">
        <v>46126.627592592595</v>
      </c>
      <c r="BL1896" t="inlineStr">
        <is>
          <t>0.0</t>
        </is>
      </c>
      <c r="BM1896" t="inlineStr">
        <is>
          <t>0.0</t>
        </is>
      </c>
      <c r="BN1896" t="inlineStr">
        <is>
          <t>View Account User</t>
        </is>
      </c>
      <c r="BO1896" s="4">
        <v>46126.64219907407</v>
      </c>
      <c r="BP1896">
        <v>166989</v>
      </c>
      <c r="BQ1896"/>
      <c r="BR1896"/>
      <c r="BS1896"/>
      <c r="BT1896"/>
      <c r="BU1896"/>
      <c r="BV1896">
        <v>2719040</v>
      </c>
      <c r="BW1896" t="inlineStr">
        <is>
          <t>Follow Up : Decision Pending</t>
        </is>
      </c>
      <c r="BX1896"/>
      <c r="BY1896"/>
      <c r="BZ1896" s="4"/>
      <c r="CA1896"/>
      <c r="CB1896"/>
      <c r="CC1896" s="4"/>
      <c r="CD1896" t="inlineStr">
        <is>
          <t>20</t>
        </is>
      </c>
      <c r="CE1896" t="inlineStr">
        <is>
          <t>0</t>
        </is>
      </c>
      <c r="CF1896" t="inlineStr">
        <is>
          <t>Q2-W02</t>
        </is>
      </c>
      <c r="CG1896"/>
      <c r="CH1896"/>
      <c r="CI1896"/>
      <c r="CJ1896" t="inlineStr">
        <is>
          <t>No Paid</t>
        </is>
      </c>
      <c r="CK1896" t="inlineStr">
        <is>
          <t>Not Eligible</t>
        </is>
      </c>
      <c r="CL1896"/>
      <c r="CM1896"/>
    </row>
    <row r="1897" ht="25.5" customHeight="1">
      <c r="A1897" t="inlineStr">
        <is>
          <t>4281201</t>
        </is>
      </c>
      <c r="B1897" s="2"/>
      <c r="C1897"/>
      <c r="D1897" s="3">
        <v>46126.64571759259</v>
      </c>
      <c r="E1897" t="inlineStr">
        <is>
          <t>Q2-W02</t>
        </is>
      </c>
      <c r="F1897" t="inlineStr">
        <is>
          <t>Jia Hui</t>
        </is>
      </c>
      <c r="G1897" t="inlineStr">
        <is>
          <t>Lead</t>
        </is>
      </c>
      <c r="H1897" s="2" t="str">
        <f>=HYPERLINK("https://upbox.ajobthing.my/leads/4281201", "https://upbox.ajobthing.my/leads/4281201")</f>
        <v>https://upbox.ajobthing.my/leads/4281201</v>
      </c>
      <c r="I1897" t="inlineStr">
        <is>
          <t>SOLARITE SDN BHD</t>
        </is>
      </c>
      <c r="J1897" t="inlineStr">
        <is>
          <t>Small Fish</t>
        </is>
      </c>
      <c r="K1897" t="inlineStr">
        <is>
          <t>Jia Hui</t>
        </is>
      </c>
      <c r="L1897" s="4"/>
      <c r="M1897" s="4">
        <v>46128.635659722226</v>
      </c>
      <c r="N1897"/>
      <c r="O1897">
        <v>1296</v>
      </c>
      <c r="P1897" s="4"/>
      <c r="Q1897" s="4"/>
      <c r="R1897"/>
      <c r="S1897"/>
      <c r="T1897" s="4"/>
      <c r="U1897" s="4"/>
      <c r="V1897"/>
      <c r="W1897"/>
      <c r="X1897"/>
      <c r="Y1897" t="inlineStr">
        <is>
          <t>Pending Appointment</t>
        </is>
      </c>
      <c r="Z1897" t="inlineStr">
        <is>
          <t>Hiring Now</t>
        </is>
      </c>
      <c r="AA1897">
        <v>1</v>
      </c>
      <c r="AB1897" t="inlineStr">
        <is>
          <t>No Appointment Made</t>
        </is>
      </c>
      <c r="AC1897"/>
      <c r="AD1897" t="inlineStr">
        <is>
          <t>1 technician</t>
        </is>
      </c>
      <c r="AE1897"/>
      <c r="AF1897">
        <v>500</v>
      </c>
      <c r="AG1897" s="4"/>
      <c r="AH1897" s="4"/>
      <c r="AI1897"/>
      <c r="AJ1897"/>
      <c r="AK1897" t="inlineStr">
        <is>
          <t>No, but I want in future</t>
        </is>
      </c>
      <c r="AL1897"/>
      <c r="AM1897"/>
      <c r="AN1897"/>
      <c r="AO1897"/>
      <c r="AP1897" t="inlineStr">
        <is>
          <t>Once a year (25%)</t>
        </is>
      </c>
      <c r="AQ1897"/>
      <c r="AR1897"/>
      <c r="AS1897" t="inlineStr">
        <is>
          <t>- Headcount: 1
- Hiring Job Details: 1 technician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897">
        <v>75</v>
      </c>
      <c r="AU1897" t="inlineStr">
        <is>
          <t>0.75</t>
        </is>
      </c>
      <c r="AV1897" t="inlineStr">
        <is>
          <t>15</t>
        </is>
      </c>
      <c r="AW1897" t="inlineStr">
        <is>
          <t>0</t>
        </is>
      </c>
      <c r="AX1897" t="inlineStr">
        <is>
          <t>Not Qualified</t>
        </is>
      </c>
      <c r="AY1897" s="4"/>
      <c r="AZ1897"/>
      <c r="BA1897"/>
      <c r="BB1897"/>
      <c r="BC1897"/>
      <c r="BD1897" s="4"/>
      <c r="BE1897"/>
      <c r="BF1897"/>
      <c r="BG1897" t="inlineStr">
        <is>
          <t>Reschedule</t>
        </is>
      </c>
      <c r="BH1897" t="inlineStr">
        <is>
          <t>Reagen</t>
        </is>
      </c>
      <c r="BI1897"/>
      <c r="BJ1897" s="4">
        <v>46144.755833333336</v>
      </c>
      <c r="BK1897" s="4">
        <v>46126.60267361111</v>
      </c>
      <c r="BL1897" t="inlineStr">
        <is>
          <t>0.0</t>
        </is>
      </c>
      <c r="BM1897" t="inlineStr">
        <is>
          <t>0.0</t>
        </is>
      </c>
      <c r="BN1897"/>
      <c r="BO1897" s="4"/>
      <c r="BP1897">
        <v>167432</v>
      </c>
      <c r="BQ1897"/>
      <c r="BR1897"/>
      <c r="BS1897"/>
      <c r="BT1897"/>
      <c r="BU1897"/>
      <c r="BV1897"/>
      <c r="BW1897"/>
      <c r="BX1897"/>
      <c r="BY1897"/>
      <c r="BZ1897" s="4"/>
      <c r="CA1897"/>
      <c r="CB1897"/>
      <c r="CC1897" s="4"/>
      <c r="CD1897" t="inlineStr">
        <is>
          <t>20</t>
        </is>
      </c>
      <c r="CE1897" t="inlineStr">
        <is>
          <t>0</t>
        </is>
      </c>
      <c r="CF1897" t="inlineStr">
        <is>
          <t>Q2-W02</t>
        </is>
      </c>
      <c r="CG1897"/>
      <c r="CH1897"/>
      <c r="CI1897"/>
      <c r="CJ1897" t="inlineStr">
        <is>
          <t>No Paid</t>
        </is>
      </c>
      <c r="CK1897" t="inlineStr">
        <is>
          <t>Not Eligible</t>
        </is>
      </c>
      <c r="CL1897"/>
      <c r="CM1897"/>
    </row>
    <row r="1898" ht="25.5" customHeight="1">
      <c r="A1898" t="inlineStr">
        <is>
          <t>203186</t>
        </is>
      </c>
      <c r="B1898" s="2"/>
      <c r="C1898"/>
      <c r="D1898" s="3">
        <v>46126.64659722222</v>
      </c>
      <c r="E1898" t="inlineStr">
        <is>
          <t>Q2-W02</t>
        </is>
      </c>
      <c r="F1898" t="inlineStr">
        <is>
          <t>Carmen</t>
        </is>
      </c>
      <c r="G1898" t="inlineStr">
        <is>
          <t>Customer</t>
        </is>
      </c>
      <c r="H1898" s="2" t="str">
        <f>=HYPERLINK("https://upbox.ajobthing.my/customer/203186", "https://upbox.ajobthing.my/customer/203186")</f>
        <v>https://upbox.ajobthing.my/customer/203186</v>
      </c>
      <c r="I1898" t="inlineStr">
        <is>
          <t>Double Strength Sdn. Bhd.</t>
        </is>
      </c>
      <c r="J1898" t="inlineStr">
        <is>
          <t>Small Fish</t>
        </is>
      </c>
      <c r="K1898" t="inlineStr">
        <is>
          <t>Carmen</t>
        </is>
      </c>
      <c r="L1898" s="4"/>
      <c r="M1898" s="4">
        <v>46126.64747685185</v>
      </c>
      <c r="N1898"/>
      <c r="O1898">
        <v>3672</v>
      </c>
      <c r="P1898" s="4"/>
      <c r="Q1898" s="4">
        <v>46127.56123842593</v>
      </c>
      <c r="R1898"/>
      <c r="S1898">
        <v>3672</v>
      </c>
      <c r="T1898" s="4"/>
      <c r="U1898" s="4"/>
      <c r="V1898"/>
      <c r="W1898"/>
      <c r="X1898"/>
      <c r="Y1898" t="inlineStr">
        <is>
          <t>Pending Appointment</t>
        </is>
      </c>
      <c r="Z1898" t="inlineStr">
        <is>
          <t>Continuous Hiring</t>
        </is>
      </c>
      <c r="AA1898">
        <v>2</v>
      </c>
      <c r="AB1898" t="inlineStr">
        <is>
          <t>No Appointment Made</t>
        </is>
      </c>
      <c r="AC1898"/>
      <c r="AD1898" t="inlineStr">
        <is>
          <t>2 ecommerce cs</t>
        </is>
      </c>
      <c r="AE1898"/>
      <c r="AF1898">
        <v>0</v>
      </c>
      <c r="AG1898" s="4"/>
      <c r="AH1898" s="4"/>
      <c r="AI1898"/>
      <c r="AJ1898"/>
      <c r="AK1898"/>
      <c r="AL1898"/>
      <c r="AM1898"/>
      <c r="AN1898"/>
      <c r="AO1898"/>
      <c r="AP1898" t="inlineStr">
        <is>
          <t>Once per quarter (75%)</t>
        </is>
      </c>
      <c r="AQ1898"/>
      <c r="AR1898"/>
      <c r="AS1898" t="inlineStr">
        <is>
          <t>- Headcount: 2
- Hiring Job Details: 2 ecommerce cs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per quarter (75%)
- External job portal: Not available</t>
        </is>
      </c>
      <c r="AT1898">
        <v>75</v>
      </c>
      <c r="AU1898" t="inlineStr">
        <is>
          <t>0.75</t>
        </is>
      </c>
      <c r="AV1898" t="inlineStr">
        <is>
          <t>15</t>
        </is>
      </c>
      <c r="AW1898" t="inlineStr">
        <is>
          <t>0</t>
        </is>
      </c>
      <c r="AX1898" t="inlineStr">
        <is>
          <t>Not Qualified</t>
        </is>
      </c>
      <c r="AY1898" s="4"/>
      <c r="AZ1898"/>
      <c r="BA1898"/>
      <c r="BB1898"/>
      <c r="BC1898" t="inlineStr">
        <is>
          <t>see her ssm ready or not</t>
        </is>
      </c>
      <c r="BD1898" s="4">
        <v>46133.588692129626</v>
      </c>
      <c r="BE1898" t="inlineStr">
        <is>
          <t>pending</t>
        </is>
      </c>
      <c r="BF1898"/>
      <c r="BG1898" t="inlineStr">
        <is>
          <t>Reschedule</t>
        </is>
      </c>
      <c r="BH1898" t="inlineStr">
        <is>
          <t>Reagen</t>
        </is>
      </c>
      <c r="BI1898"/>
      <c r="BJ1898" s="4">
        <v>46144.75423611111</v>
      </c>
      <c r="BK1898" s="4">
        <v>46125.717465277776</v>
      </c>
      <c r="BL1898" t="inlineStr">
        <is>
          <t>0.0</t>
        </is>
      </c>
      <c r="BM1898" t="inlineStr">
        <is>
          <t>0.0</t>
        </is>
      </c>
      <c r="BN1898" t="inlineStr">
        <is>
          <t>View Company Page</t>
        </is>
      </c>
      <c r="BO1898" s="4">
        <v>46126.607986111114</v>
      </c>
      <c r="BP1898">
        <v>166992</v>
      </c>
      <c r="BQ1898">
        <v>7633</v>
      </c>
      <c r="BR1898" t="inlineStr">
        <is>
          <t>Manual</t>
        </is>
      </c>
      <c r="BS1898"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New Company Special Discount RM200 valid until 17th April 2026</t>
        </is>
      </c>
      <c r="BT1898"/>
      <c r="BU1898"/>
      <c r="BV1898">
        <v>2718186</v>
      </c>
      <c r="BW1898" t="inlineStr">
        <is>
          <t>Follow Up : Payment Pending</t>
        </is>
      </c>
      <c r="BX1898"/>
      <c r="BY1898"/>
      <c r="BZ1898" s="4"/>
      <c r="CA1898"/>
      <c r="CB1898"/>
      <c r="CC1898" s="4"/>
      <c r="CD1898" t="inlineStr">
        <is>
          <t>20</t>
        </is>
      </c>
      <c r="CE1898" t="inlineStr">
        <is>
          <t>0</t>
        </is>
      </c>
      <c r="CF1898" t="inlineStr">
        <is>
          <t>Q2-W02</t>
        </is>
      </c>
      <c r="CG1898" t="inlineStr">
        <is>
          <t>Q2-W02</t>
        </is>
      </c>
      <c r="CH1898"/>
      <c r="CI1898"/>
      <c r="CJ1898" t="inlineStr">
        <is>
          <t>No Paid</t>
        </is>
      </c>
      <c r="CK1898" t="inlineStr">
        <is>
          <t>Not Eligible</t>
        </is>
      </c>
      <c r="CL1898"/>
      <c r="CM1898"/>
    </row>
    <row r="1899" ht="25.5" customHeight="1">
      <c r="A1899" t="inlineStr">
        <is>
          <t>203227</t>
        </is>
      </c>
      <c r="B1899" s="2"/>
      <c r="C1899"/>
      <c r="D1899" s="3">
        <v>46126.65362268518</v>
      </c>
      <c r="E1899" t="inlineStr">
        <is>
          <t>Q2-W02</t>
        </is>
      </c>
      <c r="F1899" t="inlineStr">
        <is>
          <t>Keegan</t>
        </is>
      </c>
      <c r="G1899" t="inlineStr">
        <is>
          <t>Customer</t>
        </is>
      </c>
      <c r="H1899" s="2" t="str">
        <f>=HYPERLINK("https://upbox.ajobthing.my/customer/203227", "https://upbox.ajobthing.my/customer/203227")</f>
        <v>https://upbox.ajobthing.my/customer/203227</v>
      </c>
      <c r="I1899" t="inlineStr">
        <is>
          <t>Synergy Alliance Sdn Bhd</t>
        </is>
      </c>
      <c r="J1899" t="inlineStr">
        <is>
          <t>Small Fish</t>
        </is>
      </c>
      <c r="K1899" t="inlineStr">
        <is>
          <t>Keegan</t>
        </is>
      </c>
      <c r="L1899" s="4"/>
      <c r="M1899" s="4">
        <v>46126.6537962963</v>
      </c>
      <c r="N1899"/>
      <c r="O1899">
        <v>6048</v>
      </c>
      <c r="P1899" s="4"/>
      <c r="Q1899" s="4"/>
      <c r="R1899"/>
      <c r="S1899"/>
      <c r="T1899" s="4"/>
      <c r="U1899" s="4"/>
      <c r="V1899"/>
      <c r="W1899"/>
      <c r="X1899"/>
      <c r="Y1899" t="inlineStr">
        <is>
          <t>Pending Appointment</t>
        </is>
      </c>
      <c r="Z1899" t="inlineStr">
        <is>
          <t>Hiring Now</t>
        </is>
      </c>
      <c r="AA1899">
        <v>3</v>
      </c>
      <c r="AB1899" t="inlineStr">
        <is>
          <t>No Appointment Made</t>
        </is>
      </c>
      <c r="AC1899"/>
      <c r="AD1899" t="inlineStr">
        <is>
          <t xml:space="preserve">1. Sales 
2. Marketing 
3. Admin </t>
        </is>
      </c>
      <c r="AE1899"/>
      <c r="AF1899"/>
      <c r="AG1899" s="4"/>
      <c r="AH1899" s="4"/>
      <c r="AI1899"/>
      <c r="AJ1899">
        <v>1</v>
      </c>
      <c r="AK1899" t="inlineStr">
        <is>
          <t>No, I don't need at all</t>
        </is>
      </c>
      <c r="AL1899">
        <v>0</v>
      </c>
      <c r="AM1899" t="inlineStr">
        <is>
          <t>No, I don't need at all</t>
        </is>
      </c>
      <c r="AN1899"/>
      <c r="AO1899" t="inlineStr">
        <is>
          <t>No, I don't need at all</t>
        </is>
      </c>
      <c r="AP1899" t="inlineStr">
        <is>
          <t>Once per quarter (75%)</t>
        </is>
      </c>
      <c r="AQ1899"/>
      <c r="AR1899" t="inlineStr">
        <is>
          <t>Did not use any job portal</t>
        </is>
      </c>
      <c r="AS1899" t="inlineStr">
        <is>
          <t>- Headcount: 3
- Hiring Job Details: 1. Sales 2.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899">
        <v>75</v>
      </c>
      <c r="AU1899" t="inlineStr">
        <is>
          <t>0.75</t>
        </is>
      </c>
      <c r="AV1899" t="inlineStr">
        <is>
          <t>5</t>
        </is>
      </c>
      <c r="AW1899" t="inlineStr">
        <is>
          <t>0</t>
        </is>
      </c>
      <c r="AX1899" t="inlineStr">
        <is>
          <t>Not Qualified</t>
        </is>
      </c>
      <c r="AY1899" s="4"/>
      <c r="AZ1899"/>
      <c r="BA1899"/>
      <c r="BB1899"/>
      <c r="BC1899" t="inlineStr">
        <is>
          <t>f/up on next week</t>
        </is>
      </c>
      <c r="BD1899" s="4">
        <v>46128.66206018518</v>
      </c>
      <c r="BE1899"/>
      <c r="BF1899"/>
      <c r="BG1899" t="inlineStr">
        <is>
          <t>Reschedule</t>
        </is>
      </c>
      <c r="BH1899" t="inlineStr">
        <is>
          <t>Edward Hoo</t>
        </is>
      </c>
      <c r="BI1899"/>
      <c r="BJ1899" s="4">
        <v>46144.75425925926</v>
      </c>
      <c r="BK1899" s="4">
        <v>46126.650358796294</v>
      </c>
      <c r="BL1899" t="inlineStr">
        <is>
          <t>0.0</t>
        </is>
      </c>
      <c r="BM1899" t="inlineStr">
        <is>
          <t>0.0</t>
        </is>
      </c>
      <c r="BN1899"/>
      <c r="BO1899" s="4"/>
      <c r="BP1899">
        <v>166997</v>
      </c>
      <c r="BQ1899"/>
      <c r="BR1899"/>
      <c r="BS1899"/>
      <c r="BT1899"/>
      <c r="BU1899"/>
      <c r="BV1899">
        <v>2709973</v>
      </c>
      <c r="BW1899" t="inlineStr">
        <is>
          <t>Follow Up : Decision Pending</t>
        </is>
      </c>
      <c r="BX1899"/>
      <c r="BY1899"/>
      <c r="BZ1899" s="4"/>
      <c r="CA1899"/>
      <c r="CB1899"/>
      <c r="CC1899" s="4"/>
      <c r="CD1899" t="inlineStr">
        <is>
          <t>5</t>
        </is>
      </c>
      <c r="CE1899" t="inlineStr">
        <is>
          <t>0</t>
        </is>
      </c>
      <c r="CF1899" t="inlineStr">
        <is>
          <t>Q2-W02</t>
        </is>
      </c>
      <c r="CG1899"/>
      <c r="CH1899"/>
      <c r="CI1899"/>
      <c r="CJ1899" t="inlineStr">
        <is>
          <t>No Paid</t>
        </is>
      </c>
      <c r="CK1899" t="inlineStr">
        <is>
          <t>Not Eligible</t>
        </is>
      </c>
      <c r="CL1899"/>
      <c r="CM1899"/>
    </row>
    <row r="1900" ht="25.5" customHeight="1">
      <c r="A1900" t="inlineStr">
        <is>
          <t>199795</t>
        </is>
      </c>
      <c r="B1900" s="2"/>
      <c r="C1900"/>
      <c r="D1900" s="3">
        <v>46126.65626157408</v>
      </c>
      <c r="E1900" t="inlineStr">
        <is>
          <t>Q2-W02</t>
        </is>
      </c>
      <c r="F1900" t="inlineStr">
        <is>
          <t>Evan</t>
        </is>
      </c>
      <c r="G1900" t="inlineStr">
        <is>
          <t>Customer</t>
        </is>
      </c>
      <c r="H1900" s="2" t="str">
        <f>=HYPERLINK("https://upbox.ajobthing.my/customer/199795", "https://upbox.ajobthing.my/customer/199795")</f>
        <v>https://upbox.ajobthing.my/customer/199795</v>
      </c>
      <c r="I1900" t="inlineStr">
        <is>
          <t>Steamy Kitchen Foods</t>
        </is>
      </c>
      <c r="J1900" t="inlineStr">
        <is>
          <t>Small Fish</t>
        </is>
      </c>
      <c r="K1900" t="inlineStr">
        <is>
          <t>Evan</t>
        </is>
      </c>
      <c r="L1900" s="4"/>
      <c r="M1900" s="4">
        <v>46126.65584490741</v>
      </c>
      <c r="N1900"/>
      <c r="O1900">
        <v>6048</v>
      </c>
      <c r="P1900" s="4"/>
      <c r="Q1900" s="4"/>
      <c r="R1900"/>
      <c r="S1900"/>
      <c r="T1900" s="4"/>
      <c r="U1900" s="4"/>
      <c r="V1900"/>
      <c r="W1900"/>
      <c r="X1900"/>
      <c r="Y1900" t="inlineStr">
        <is>
          <t>Pending Appointment</t>
        </is>
      </c>
      <c r="Z1900" t="inlineStr">
        <is>
          <t>Hiring Now</t>
        </is>
      </c>
      <c r="AA1900">
        <v>1</v>
      </c>
      <c r="AB1900" t="inlineStr">
        <is>
          <t>No Appointment Made</t>
        </is>
      </c>
      <c r="AC1900"/>
      <c r="AD1900" t="inlineStr">
        <is>
          <t>1 breadmaker, all base in KL</t>
        </is>
      </c>
      <c r="AE1900"/>
      <c r="AF1900">
        <v>1</v>
      </c>
      <c r="AG1900" s="4"/>
      <c r="AH1900" s="4"/>
      <c r="AI1900">
        <v>1</v>
      </c>
      <c r="AJ1900">
        <v>1</v>
      </c>
      <c r="AK1900" t="inlineStr">
        <is>
          <t>No, I don't need at all</t>
        </is>
      </c>
      <c r="AL1900">
        <v>0</v>
      </c>
      <c r="AM1900" t="inlineStr">
        <is>
          <t>No, I don't need at all</t>
        </is>
      </c>
      <c r="AN1900"/>
      <c r="AO1900" t="inlineStr">
        <is>
          <t>No, I don't need at all</t>
        </is>
      </c>
      <c r="AP1900" t="inlineStr">
        <is>
          <t>Once a year (25%)</t>
        </is>
      </c>
      <c r="AQ1900">
        <v>1</v>
      </c>
      <c r="AR1900" t="inlineStr">
        <is>
          <t>Did not use any job portal</t>
        </is>
      </c>
      <c r="AS1900" t="inlineStr">
        <is>
          <t>- Headcount: 1
- Hiring Job Details: 1 breadmaker, all based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1900">
        <v>115</v>
      </c>
      <c r="AU1900" t="inlineStr">
        <is>
          <t>1.15</t>
        </is>
      </c>
      <c r="AV1900" t="inlineStr">
        <is>
          <t>15</t>
        </is>
      </c>
      <c r="AW1900" t="inlineStr">
        <is>
          <t>0</t>
        </is>
      </c>
      <c r="AX1900" t="inlineStr">
        <is>
          <t>Not Qualified</t>
        </is>
      </c>
      <c r="AY1900" s="4"/>
      <c r="AZ1900"/>
      <c r="BA1900"/>
      <c r="BB1900"/>
      <c r="BC1900" t="inlineStr">
        <is>
          <t>- Headcount: 1
- Hiring Job Details: 1 breadmaker, all based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1900" s="4">
        <v>46126.666712962964</v>
      </c>
      <c r="BE1900"/>
      <c r="BF1900"/>
      <c r="BG1900" t="inlineStr">
        <is>
          <t>Reschedule</t>
        </is>
      </c>
      <c r="BH1900" t="inlineStr">
        <is>
          <t>Edward Hoo</t>
        </is>
      </c>
      <c r="BI1900" t="inlineStr">
        <is>
          <t>Food / Beverage</t>
        </is>
      </c>
      <c r="BJ1900" s="4">
        <v>46144.7533912037</v>
      </c>
      <c r="BK1900" s="4">
        <v>46019.651412037034</v>
      </c>
      <c r="BL1900" t="inlineStr">
        <is>
          <t>0.0</t>
        </is>
      </c>
      <c r="BM1900" t="inlineStr">
        <is>
          <t>0.0</t>
        </is>
      </c>
      <c r="BN1900" t="inlineStr">
        <is>
          <t>View Candidate Search Page</t>
        </is>
      </c>
      <c r="BO1900" s="4">
        <v>46111.86237268519</v>
      </c>
      <c r="BP1900">
        <v>166999</v>
      </c>
      <c r="BQ1900"/>
      <c r="BR1900"/>
      <c r="BS1900"/>
      <c r="BT1900"/>
      <c r="BU1900"/>
      <c r="BV1900">
        <v>2704084</v>
      </c>
      <c r="BW1900" t="inlineStr">
        <is>
          <t>Customer Inquiry</t>
        </is>
      </c>
      <c r="BX1900"/>
      <c r="BY1900"/>
      <c r="BZ1900" s="4"/>
      <c r="CA1900"/>
      <c r="CB1900"/>
      <c r="CC1900" s="4"/>
      <c r="CD1900" t="inlineStr">
        <is>
          <t>20</t>
        </is>
      </c>
      <c r="CE1900" t="inlineStr">
        <is>
          <t>0</t>
        </is>
      </c>
      <c r="CF1900" t="inlineStr">
        <is>
          <t>Q2-W02</t>
        </is>
      </c>
      <c r="CG1900"/>
      <c r="CH1900"/>
      <c r="CI1900"/>
      <c r="CJ1900" t="inlineStr">
        <is>
          <t>No Paid</t>
        </is>
      </c>
      <c r="CK1900" t="inlineStr">
        <is>
          <t>Not Eligible</t>
        </is>
      </c>
      <c r="CL1900"/>
      <c r="CM1900"/>
    </row>
    <row r="1901" ht="25.5" customHeight="1">
      <c r="A1901" t="inlineStr">
        <is>
          <t>126702</t>
        </is>
      </c>
      <c r="B1901" s="2"/>
      <c r="C1901"/>
      <c r="D1901" s="3">
        <v>46126.66386574074</v>
      </c>
      <c r="E1901" t="inlineStr">
        <is>
          <t>Q2-W02</t>
        </is>
      </c>
      <c r="F1901" t="inlineStr">
        <is>
          <t>Josh</t>
        </is>
      </c>
      <c r="G1901" t="inlineStr">
        <is>
          <t>Customer</t>
        </is>
      </c>
      <c r="H1901" s="2" t="str">
        <f>=HYPERLINK("https://upbox.ajobthing.my/customer/126702", "https://upbox.ajobthing.my/customer/126702")</f>
        <v>https://upbox.ajobthing.my/customer/126702</v>
      </c>
      <c r="I1901" t="inlineStr">
        <is>
          <t>Argo Engineering Sdn Bhd</t>
        </is>
      </c>
      <c r="J1901" t="inlineStr">
        <is>
          <t>Small Fish</t>
        </is>
      </c>
      <c r="K1901" t="inlineStr">
        <is>
          <t>Josh</t>
        </is>
      </c>
      <c r="L1901" s="4"/>
      <c r="M1901" s="4">
        <v>46126.66395833333</v>
      </c>
      <c r="N1901"/>
      <c r="O1901">
        <v>3888</v>
      </c>
      <c r="P1901" s="4"/>
      <c r="Q1901" s="4"/>
      <c r="R1901"/>
      <c r="S1901"/>
      <c r="T1901" s="4"/>
      <c r="U1901" s="4"/>
      <c r="V1901"/>
      <c r="W1901"/>
      <c r="X1901"/>
      <c r="Y1901" t="inlineStr">
        <is>
          <t>Pending Appointment</t>
        </is>
      </c>
      <c r="Z1901" t="inlineStr">
        <is>
          <t>Hiring Now</t>
        </is>
      </c>
      <c r="AA1901">
        <v>1</v>
      </c>
      <c r="AB1901" t="inlineStr">
        <is>
          <t>No Appointment Made</t>
        </is>
      </c>
      <c r="AC1901"/>
      <c r="AD1901" t="inlineStr">
        <is>
          <t xml:space="preserve">1 sales </t>
        </is>
      </c>
      <c r="AE1901"/>
      <c r="AF1901">
        <v>3000</v>
      </c>
      <c r="AG1901" s="4"/>
      <c r="AH1901" s="4"/>
      <c r="AI1901"/>
      <c r="AJ1901"/>
      <c r="AK1901" t="inlineStr">
        <is>
          <t>Yes, I have</t>
        </is>
      </c>
      <c r="AL1901">
        <v>1</v>
      </c>
      <c r="AM1901"/>
      <c r="AN1901"/>
      <c r="AO1901"/>
      <c r="AP1901" t="inlineStr">
        <is>
          <t>Once a year (25%)</t>
        </is>
      </c>
      <c r="AQ1901"/>
      <c r="AR1901"/>
      <c r="AS1901" t="inlineStr">
        <is>
          <t>- Headcount: 1
- Hiring Job Details: 1 sales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AT1901">
        <v>75</v>
      </c>
      <c r="AU1901" t="inlineStr">
        <is>
          <t>0.75</t>
        </is>
      </c>
      <c r="AV1901" t="inlineStr">
        <is>
          <t>15</t>
        </is>
      </c>
      <c r="AW1901" t="inlineStr">
        <is>
          <t>0</t>
        </is>
      </c>
      <c r="AX1901" t="inlineStr">
        <is>
          <t>Not Qualified</t>
        </is>
      </c>
      <c r="AY1901" s="4"/>
      <c r="AZ1901"/>
      <c r="BA1901"/>
      <c r="BB1901"/>
      <c r="BC1901" t="inlineStr">
        <is>
          <t>- Headcount: 1
- Hiring Job Details: 1 sales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BD1901" s="4">
        <v>46126.666712962964</v>
      </c>
      <c r="BE1901"/>
      <c r="BF1901"/>
      <c r="BG1901" t="inlineStr">
        <is>
          <t>Reschedule</t>
        </is>
      </c>
      <c r="BH1901" t="inlineStr">
        <is>
          <t>Fauziah Maharan</t>
        </is>
      </c>
      <c r="BI1901" t="inlineStr">
        <is>
          <t>Engineering / Technical Consulting</t>
        </is>
      </c>
      <c r="BJ1901" s="4">
        <v>46144.75037037037</v>
      </c>
      <c r="BK1901" s="4">
        <v>43983.443449074075</v>
      </c>
      <c r="BL1901" t="inlineStr">
        <is>
          <t>0.0</t>
        </is>
      </c>
      <c r="BM1901" t="inlineStr">
        <is>
          <t>0.0</t>
        </is>
      </c>
      <c r="BN1901" t="inlineStr">
        <is>
          <t>View Company Page</t>
        </is>
      </c>
      <c r="BO1901" s="4">
        <v>46063.59707175926</v>
      </c>
      <c r="BP1901">
        <v>167004</v>
      </c>
      <c r="BQ1901"/>
      <c r="BR1901"/>
      <c r="BS1901"/>
      <c r="BT1901"/>
      <c r="BU1901"/>
      <c r="BV1901">
        <v>2704087</v>
      </c>
      <c r="BW1901" t="inlineStr">
        <is>
          <t>Customer Inquiry</t>
        </is>
      </c>
      <c r="BX1901"/>
      <c r="BY1901"/>
      <c r="BZ1901" s="4"/>
      <c r="CA1901"/>
      <c r="CB1901"/>
      <c r="CC1901" s="4"/>
      <c r="CD1901" t="inlineStr">
        <is>
          <t>20</t>
        </is>
      </c>
      <c r="CE1901" t="inlineStr">
        <is>
          <t>0</t>
        </is>
      </c>
      <c r="CF1901" t="inlineStr">
        <is>
          <t>Q2-W02</t>
        </is>
      </c>
      <c r="CG1901"/>
      <c r="CH1901"/>
      <c r="CI1901"/>
      <c r="CJ1901" t="inlineStr">
        <is>
          <t>No Paid</t>
        </is>
      </c>
      <c r="CK1901" t="inlineStr">
        <is>
          <t>Not Eligible</t>
        </is>
      </c>
      <c r="CL1901"/>
      <c r="CM1901"/>
    </row>
    <row r="1902" ht="25.5" customHeight="1">
      <c r="A1902" t="inlineStr">
        <is>
          <t>52483</t>
        </is>
      </c>
      <c r="B1902" s="2"/>
      <c r="C1902"/>
      <c r="D1902" s="3">
        <v>46126.66844907407</v>
      </c>
      <c r="E1902" t="inlineStr">
        <is>
          <t>Q2-W02</t>
        </is>
      </c>
      <c r="F1902" t="inlineStr">
        <is>
          <t>Fariz</t>
        </is>
      </c>
      <c r="G1902" t="inlineStr">
        <is>
          <t>Customer</t>
        </is>
      </c>
      <c r="H1902" s="2" t="str">
        <f>=HYPERLINK("https://upbox.ajobthing.my/customer/52483", "https://upbox.ajobthing.my/customer/52483")</f>
        <v>https://upbox.ajobthing.my/customer/52483</v>
      </c>
      <c r="I1902" t="inlineStr">
        <is>
          <t>Agensi Pekerjaan Noor Setia Resources</t>
        </is>
      </c>
      <c r="J1902" t="inlineStr">
        <is>
          <t>Small Fish</t>
        </is>
      </c>
      <c r="K1902" t="inlineStr">
        <is>
          <t>Fariz</t>
        </is>
      </c>
      <c r="L1902" s="4"/>
      <c r="M1902" s="4">
        <v>46126.66918981481</v>
      </c>
      <c r="N1902"/>
      <c r="O1902">
        <v>6048</v>
      </c>
      <c r="P1902" s="4"/>
      <c r="Q1902" s="4"/>
      <c r="R1902"/>
      <c r="S1902"/>
      <c r="T1902" s="4"/>
      <c r="U1902" s="4"/>
      <c r="V1902"/>
      <c r="W1902"/>
      <c r="X1902"/>
      <c r="Y1902" t="inlineStr">
        <is>
          <t>Pending Appointment</t>
        </is>
      </c>
      <c r="Z1902" t="inlineStr">
        <is>
          <t>Hiring Later</t>
        </is>
      </c>
      <c r="AA1902">
        <v>10</v>
      </c>
      <c r="AB1902" t="inlineStr">
        <is>
          <t>No Appointment Made</t>
        </is>
      </c>
      <c r="AC1902"/>
      <c r="AD1902" t="inlineStr">
        <is>
          <t>10 operator</t>
        </is>
      </c>
      <c r="AE1902"/>
      <c r="AF1902">
        <v>5600</v>
      </c>
      <c r="AG1902" s="4"/>
      <c r="AH1902" s="4"/>
      <c r="AI1902">
        <v>6000</v>
      </c>
      <c r="AJ1902"/>
      <c r="AK1902" t="inlineStr">
        <is>
          <t>Yes, I have</t>
        </is>
      </c>
      <c r="AL1902">
        <v>1</v>
      </c>
      <c r="AM1902" t="inlineStr">
        <is>
          <t>No, but I want in future</t>
        </is>
      </c>
      <c r="AN1902"/>
      <c r="AO1902" t="inlineStr">
        <is>
          <t>No, but I want in future</t>
        </is>
      </c>
      <c r="AP1902" t="inlineStr">
        <is>
          <t>Twice a year (50%)</t>
        </is>
      </c>
      <c r="AQ1902">
        <v>10</v>
      </c>
      <c r="AR1902" t="inlineStr">
        <is>
          <t>Free Job Portal</t>
        </is>
      </c>
      <c r="AS1902" t="inlineStr">
        <is>
          <t>- Headcount: 10
- Hiring Job Details: 10 operator
- Hiring Urgency: Hiring Later
- Number of outlets: None
- Have recruiter team: Yes
- Number of recruiter in company: 1
- Have ATS system: No, but want in future
- Have career website: No, but want in future
- Current hiring budget: RM5,600
- Whole year budget: RM6,000.00
- Whole year number of vacancies: 10
- Hiring frequency: Twice a year (50%)
- External job portal: Free Job Portal</t>
        </is>
      </c>
      <c r="AT1902">
        <v>115</v>
      </c>
      <c r="AU1902" t="inlineStr">
        <is>
          <t>1.15</t>
        </is>
      </c>
      <c r="AV1902" t="inlineStr">
        <is>
          <t>20</t>
        </is>
      </c>
      <c r="AW1902" t="inlineStr">
        <is>
          <t>0</t>
        </is>
      </c>
      <c r="AX1902" t="inlineStr">
        <is>
          <t>Not Qualified</t>
        </is>
      </c>
      <c r="AY1902" s="4"/>
      <c r="AZ1902"/>
      <c r="BA1902"/>
      <c r="BB1902"/>
      <c r="BC1902" t="inlineStr">
        <is>
          <t>NA  - send follow up ws</t>
        </is>
      </c>
      <c r="BD1902" s="4">
        <v>46141.48306712963</v>
      </c>
      <c r="BE1902"/>
      <c r="BF1902"/>
      <c r="BG1902" t="inlineStr">
        <is>
          <t>Reschedule</t>
        </is>
      </c>
      <c r="BH1902" t="inlineStr">
        <is>
          <t>Edward Hoo</t>
        </is>
      </c>
      <c r="BI1902" t="inlineStr">
        <is>
          <t>Business / Mgmt Consulting</t>
        </is>
      </c>
      <c r="BJ1902" s="4">
        <v>46144.756064814814</v>
      </c>
      <c r="BK1902" s="4">
        <v>43320.594664351855</v>
      </c>
      <c r="BL1902" t="inlineStr">
        <is>
          <t>0.0</t>
        </is>
      </c>
      <c r="BM1902" t="inlineStr">
        <is>
          <t>0.0</t>
        </is>
      </c>
      <c r="BN1902" t="inlineStr">
        <is>
          <t>View Create Job Page</t>
        </is>
      </c>
      <c r="BO1902" s="4">
        <v>45731.92637731481</v>
      </c>
      <c r="BP1902">
        <v>167009</v>
      </c>
      <c r="BQ1902"/>
      <c r="BR1902"/>
      <c r="BS1902"/>
      <c r="BT1902"/>
      <c r="BU1902"/>
      <c r="BV1902">
        <v>2734755</v>
      </c>
      <c r="BW1902" t="inlineStr">
        <is>
          <t>No Answer : Voicemail - WA sent to customer</t>
        </is>
      </c>
      <c r="BX1902"/>
      <c r="BY1902"/>
      <c r="BZ1902" s="4"/>
      <c r="CA1902"/>
      <c r="CB1902"/>
      <c r="CC1902" s="4"/>
      <c r="CD1902" t="inlineStr">
        <is>
          <t>30</t>
        </is>
      </c>
      <c r="CE1902" t="inlineStr">
        <is>
          <t>0</t>
        </is>
      </c>
      <c r="CF1902" t="inlineStr">
        <is>
          <t>Q2-W02</t>
        </is>
      </c>
      <c r="CG1902"/>
      <c r="CH1902"/>
      <c r="CI1902"/>
      <c r="CJ1902" t="inlineStr">
        <is>
          <t>No Paid</t>
        </is>
      </c>
      <c r="CK1902" t="inlineStr">
        <is>
          <t>Eligible</t>
        </is>
      </c>
      <c r="CL1902"/>
      <c r="CM1902"/>
    </row>
    <row r="1903" ht="25.5" customHeight="1">
      <c r="A1903" t="inlineStr">
        <is>
          <t>4261178</t>
        </is>
      </c>
      <c r="B1903" s="2"/>
      <c r="C1903"/>
      <c r="D1903" s="3">
        <v>46126.68048611111</v>
      </c>
      <c r="E1903" t="inlineStr">
        <is>
          <t>Q2-W02</t>
        </is>
      </c>
      <c r="F1903" t="inlineStr">
        <is>
          <t>Josh</t>
        </is>
      </c>
      <c r="G1903" t="inlineStr">
        <is>
          <t>Lead</t>
        </is>
      </c>
      <c r="H1903" s="2" t="str">
        <f>=HYPERLINK("https://upbox.ajobthing.my/leads/4261178", "https://upbox.ajobthing.my/leads/4261178")</f>
        <v>https://upbox.ajobthing.my/leads/4261178</v>
      </c>
      <c r="I1903" t="inlineStr">
        <is>
          <t>WORLD CLASS MEDICARE GROUP SDN BHD</t>
        </is>
      </c>
      <c r="J1903" t="inlineStr">
        <is>
          <t>Small Fish</t>
        </is>
      </c>
      <c r="K1903" t="inlineStr">
        <is>
          <t>Josh</t>
        </is>
      </c>
      <c r="L1903" s="4"/>
      <c r="M1903" s="4">
        <v>46126.68168981482</v>
      </c>
      <c r="N1903"/>
      <c r="O1903">
        <v>864</v>
      </c>
      <c r="P1903" s="4"/>
      <c r="Q1903" s="4"/>
      <c r="R1903"/>
      <c r="S1903"/>
      <c r="T1903" s="4"/>
      <c r="U1903" s="4"/>
      <c r="V1903"/>
      <c r="W1903"/>
      <c r="X1903"/>
      <c r="Y1903" t="inlineStr">
        <is>
          <t>Pending Appointment</t>
        </is>
      </c>
      <c r="Z1903" t="inlineStr">
        <is>
          <t>Hiring Now</t>
        </is>
      </c>
      <c r="AA1903">
        <v>1</v>
      </c>
      <c r="AB1903" t="inlineStr">
        <is>
          <t>No Appointment Made</t>
        </is>
      </c>
      <c r="AC1903"/>
      <c r="AD1903" t="inlineStr">
        <is>
          <t xml:space="preserve">1 clinic assistant </t>
        </is>
      </c>
      <c r="AE1903"/>
      <c r="AF1903">
        <v>1000</v>
      </c>
      <c r="AG1903" s="4"/>
      <c r="AH1903" s="4"/>
      <c r="AI1903"/>
      <c r="AJ1903"/>
      <c r="AK1903" t="inlineStr">
        <is>
          <t>Yes, I have</t>
        </is>
      </c>
      <c r="AL1903">
        <v>1</v>
      </c>
      <c r="AM1903"/>
      <c r="AN1903"/>
      <c r="AO1903"/>
      <c r="AP1903" t="inlineStr">
        <is>
          <t>Once a year (25%)</t>
        </is>
      </c>
      <c r="AQ1903"/>
      <c r="AR1903"/>
      <c r="AS1903" t="inlineStr">
        <is>
          <t>- Headcount: 1
- Hiring Job Details: 1 clinic assistant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is>
      </c>
      <c r="AT1903">
        <v>95</v>
      </c>
      <c r="AU1903" t="inlineStr">
        <is>
          <t>0.95</t>
        </is>
      </c>
      <c r="AV1903" t="inlineStr">
        <is>
          <t>15</t>
        </is>
      </c>
      <c r="AW1903" t="inlineStr">
        <is>
          <t>0</t>
        </is>
      </c>
      <c r="AX1903" t="inlineStr">
        <is>
          <t>Not Qualified</t>
        </is>
      </c>
      <c r="AY1903" s="4"/>
      <c r="AZ1903"/>
      <c r="BA1903"/>
      <c r="BB1903"/>
      <c r="BC1903"/>
      <c r="BD1903" s="4"/>
      <c r="BE1903"/>
      <c r="BF1903"/>
      <c r="BG1903" t="inlineStr">
        <is>
          <t>Reschedule</t>
        </is>
      </c>
      <c r="BH1903" t="inlineStr">
        <is>
          <t>Fauziah Maharan</t>
        </is>
      </c>
      <c r="BI1903"/>
      <c r="BJ1903" s="4">
        <v>46144.75576388889</v>
      </c>
      <c r="BK1903" s="4">
        <v>46120.69715277778</v>
      </c>
      <c r="BL1903" t="inlineStr">
        <is>
          <t>0.0</t>
        </is>
      </c>
      <c r="BM1903" t="inlineStr">
        <is>
          <t>0.0</t>
        </is>
      </c>
      <c r="BN1903"/>
      <c r="BO1903" s="4"/>
      <c r="BP1903">
        <v>167021</v>
      </c>
      <c r="BQ1903"/>
      <c r="BR1903"/>
      <c r="BS1903"/>
      <c r="BT1903"/>
      <c r="BU1903"/>
      <c r="BV1903"/>
      <c r="BW1903"/>
      <c r="BX1903"/>
      <c r="BY1903"/>
      <c r="BZ1903" s="4"/>
      <c r="CA1903"/>
      <c r="CB1903"/>
      <c r="CC1903" s="4"/>
      <c r="CD1903" t="inlineStr">
        <is>
          <t>20</t>
        </is>
      </c>
      <c r="CE1903" t="inlineStr">
        <is>
          <t>0</t>
        </is>
      </c>
      <c r="CF1903" t="inlineStr">
        <is>
          <t>Q2-W02</t>
        </is>
      </c>
      <c r="CG1903"/>
      <c r="CH1903"/>
      <c r="CI1903"/>
      <c r="CJ1903" t="inlineStr">
        <is>
          <t>No Paid</t>
        </is>
      </c>
      <c r="CK1903" t="inlineStr">
        <is>
          <t>Not Eligible</t>
        </is>
      </c>
      <c r="CL1903"/>
      <c r="CM1903"/>
    </row>
    <row r="1904" ht="25.5" customHeight="1">
      <c r="A1904" t="inlineStr">
        <is>
          <t>4130834</t>
        </is>
      </c>
      <c r="B1904" s="2"/>
      <c r="C1904"/>
      <c r="D1904" s="3">
        <v>46126.68319444444</v>
      </c>
      <c r="E1904" t="inlineStr">
        <is>
          <t>Q2-W02</t>
        </is>
      </c>
      <c r="F1904" t="inlineStr">
        <is>
          <t>Evan</t>
        </is>
      </c>
      <c r="G1904" t="inlineStr">
        <is>
          <t>Lead</t>
        </is>
      </c>
      <c r="H1904" s="2" t="str">
        <f>=HYPERLINK("https://upbox.ajobthing.my/leads/4130834", "https://upbox.ajobthing.my/leads/4130834")</f>
        <v>https://upbox.ajobthing.my/leads/4130834</v>
      </c>
      <c r="I1904" t="inlineStr">
        <is>
          <t>RACC</t>
        </is>
      </c>
      <c r="J1904" t="inlineStr">
        <is>
          <t>Small Fish</t>
        </is>
      </c>
      <c r="K1904" t="inlineStr">
        <is>
          <t>Evan</t>
        </is>
      </c>
      <c r="L1904" s="4"/>
      <c r="M1904" s="4">
        <v>46126.68407407407</v>
      </c>
      <c r="N1904"/>
      <c r="O1904">
        <v>6048</v>
      </c>
      <c r="P1904" s="4"/>
      <c r="Q1904" s="4"/>
      <c r="R1904"/>
      <c r="S1904"/>
      <c r="T1904" s="4"/>
      <c r="U1904" s="4"/>
      <c r="V1904"/>
      <c r="W1904"/>
      <c r="X1904"/>
      <c r="Y1904" t="inlineStr">
        <is>
          <t>Pending Appointment</t>
        </is>
      </c>
      <c r="Z1904" t="inlineStr">
        <is>
          <t>Hiring Now</t>
        </is>
      </c>
      <c r="AA1904">
        <v>10</v>
      </c>
      <c r="AB1904" t="inlineStr">
        <is>
          <t>No Appointment Made</t>
        </is>
      </c>
      <c r="AC1904"/>
      <c r="AD1904" t="inlineStr">
        <is>
          <t>10 agent, all base in Malaysia</t>
        </is>
      </c>
      <c r="AE1904"/>
      <c r="AF1904">
        <v>1</v>
      </c>
      <c r="AG1904" s="4"/>
      <c r="AH1904" s="4"/>
      <c r="AI1904">
        <v>1</v>
      </c>
      <c r="AJ1904">
        <v>1</v>
      </c>
      <c r="AK1904" t="inlineStr">
        <is>
          <t>No, I don't need at all</t>
        </is>
      </c>
      <c r="AL1904">
        <v>0</v>
      </c>
      <c r="AM1904" t="inlineStr">
        <is>
          <t>No, I don't need at all</t>
        </is>
      </c>
      <c r="AN1904"/>
      <c r="AO1904" t="inlineStr">
        <is>
          <t>No, I don't need at all</t>
        </is>
      </c>
      <c r="AP1904" t="inlineStr">
        <is>
          <t>Once a year (25%)</t>
        </is>
      </c>
      <c r="AQ1904">
        <v>10</v>
      </c>
      <c r="AR1904" t="inlineStr">
        <is>
          <t>Jobstreet</t>
        </is>
      </c>
      <c r="AS1904" t="inlineStr">
        <is>
          <t>- Headcount: 10
- Hiring Job Details: 10 agents, all based in Malaysia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10
- Hiring frequency: Once a year (25%)
- External job portal: Jobstreet</t>
        </is>
      </c>
      <c r="AT1904">
        <v>115</v>
      </c>
      <c r="AU1904" t="inlineStr">
        <is>
          <t>1.15</t>
        </is>
      </c>
      <c r="AV1904" t="inlineStr">
        <is>
          <t>20</t>
        </is>
      </c>
      <c r="AW1904" t="inlineStr">
        <is>
          <t>0</t>
        </is>
      </c>
      <c r="AX1904" t="inlineStr">
        <is>
          <t>Not Qualified</t>
        </is>
      </c>
      <c r="AY1904" s="4"/>
      <c r="AZ1904"/>
      <c r="BA1904"/>
      <c r="BB1904"/>
      <c r="BC1904"/>
      <c r="BD1904" s="4"/>
      <c r="BE1904"/>
      <c r="BF1904"/>
      <c r="BG1904" t="inlineStr">
        <is>
          <t>Reschedule</t>
        </is>
      </c>
      <c r="BH1904" t="inlineStr">
        <is>
          <t>Edward Hoo</t>
        </is>
      </c>
      <c r="BI1904"/>
      <c r="BJ1904" s="4">
        <v>46144.75543981481</v>
      </c>
      <c r="BK1904" s="4">
        <v>46086.52086805556</v>
      </c>
      <c r="BL1904" t="inlineStr">
        <is>
          <t>0.0</t>
        </is>
      </c>
      <c r="BM1904" t="inlineStr">
        <is>
          <t>0.0</t>
        </is>
      </c>
      <c r="BN1904"/>
      <c r="BO1904" s="4"/>
      <c r="BP1904">
        <v>167022</v>
      </c>
      <c r="BQ1904"/>
      <c r="BR1904"/>
      <c r="BS1904"/>
      <c r="BT1904"/>
      <c r="BU1904"/>
      <c r="BV1904"/>
      <c r="BW1904"/>
      <c r="BX1904"/>
      <c r="BY1904"/>
      <c r="BZ1904" s="4"/>
      <c r="CA1904"/>
      <c r="CB1904"/>
      <c r="CC1904" s="4"/>
      <c r="CD1904" t="inlineStr">
        <is>
          <t>30</t>
        </is>
      </c>
      <c r="CE1904" t="inlineStr">
        <is>
          <t>0</t>
        </is>
      </c>
      <c r="CF1904" t="inlineStr">
        <is>
          <t>Q2-W02</t>
        </is>
      </c>
      <c r="CG1904"/>
      <c r="CH1904"/>
      <c r="CI1904"/>
      <c r="CJ1904" t="inlineStr">
        <is>
          <t>No Paid</t>
        </is>
      </c>
      <c r="CK1904" t="inlineStr">
        <is>
          <t>Eligible</t>
        </is>
      </c>
      <c r="CL1904"/>
      <c r="CM1904"/>
    </row>
    <row r="1905" ht="25.5" customHeight="1">
      <c r="A1905" t="inlineStr">
        <is>
          <t>193823</t>
        </is>
      </c>
      <c r="B1905" s="2"/>
      <c r="C1905"/>
      <c r="D1905" s="3">
        <v>46126.69394675926</v>
      </c>
      <c r="E1905" t="inlineStr">
        <is>
          <t>Q2-W02</t>
        </is>
      </c>
      <c r="F1905" t="inlineStr">
        <is>
          <t>Lucas</t>
        </is>
      </c>
      <c r="G1905" t="inlineStr">
        <is>
          <t>Customer</t>
        </is>
      </c>
      <c r="H1905" s="2" t="str">
        <f>=HYPERLINK("https://upbox.ajobthing.my/customer/193823", "https://upbox.ajobthing.my/customer/193823")</f>
        <v>https://upbox.ajobthing.my/customer/193823</v>
      </c>
      <c r="I1905" t="inlineStr">
        <is>
          <t>Itware Technology</t>
        </is>
      </c>
      <c r="J1905" t="inlineStr">
        <is>
          <t>Small Fish</t>
        </is>
      </c>
      <c r="K1905" t="inlineStr">
        <is>
          <t>Lucas</t>
        </is>
      </c>
      <c r="L1905" s="4"/>
      <c r="M1905" s="4">
        <v>46126.694074074076</v>
      </c>
      <c r="N1905"/>
      <c r="O1905">
        <v>6048</v>
      </c>
      <c r="P1905" s="4"/>
      <c r="Q1905" s="4"/>
      <c r="R1905"/>
      <c r="S1905"/>
      <c r="T1905" s="4"/>
      <c r="U1905" s="4"/>
      <c r="V1905"/>
      <c r="W1905"/>
      <c r="X1905"/>
      <c r="Y1905" t="inlineStr">
        <is>
          <t>Pending Appointment</t>
        </is>
      </c>
      <c r="Z1905" t="inlineStr">
        <is>
          <t>Hiring Later</t>
        </is>
      </c>
      <c r="AA1905">
        <v>1</v>
      </c>
      <c r="AB1905" t="inlineStr">
        <is>
          <t>No Appointment Made</t>
        </is>
      </c>
      <c r="AC1905"/>
      <c r="AD1905" t="inlineStr">
        <is>
          <t xml:space="preserve">1 technician </t>
        </is>
      </c>
      <c r="AE1905"/>
      <c r="AF1905">
        <v>0</v>
      </c>
      <c r="AG1905" s="4"/>
      <c r="AH1905" s="4"/>
      <c r="AI1905">
        <v>0</v>
      </c>
      <c r="AJ1905">
        <v>0</v>
      </c>
      <c r="AK1905" t="inlineStr">
        <is>
          <t>No, I don't need at all</t>
        </is>
      </c>
      <c r="AL1905">
        <v>0</v>
      </c>
      <c r="AM1905" t="inlineStr">
        <is>
          <t>No, I don't need at all</t>
        </is>
      </c>
      <c r="AN1905"/>
      <c r="AO1905" t="inlineStr">
        <is>
          <t>No, I don't need at all</t>
        </is>
      </c>
      <c r="AP1905" t="inlineStr">
        <is>
          <t>Twice a year (50%)</t>
        </is>
      </c>
      <c r="AQ1905">
        <v>1</v>
      </c>
      <c r="AR1905" t="inlineStr">
        <is>
          <t>Did not use any job portal</t>
        </is>
      </c>
      <c r="AS1905" t="inlineStr">
        <is>
          <t>- Headcount: 1
- Hiring Job Details: 1 technician
- Hiring Urgency: Hiring Later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Twice a year (50%)
- External job portal: Did not use any job portal</t>
        </is>
      </c>
      <c r="AT1905">
        <v>100</v>
      </c>
      <c r="AU1905" t="inlineStr">
        <is>
          <t>1.00</t>
        </is>
      </c>
      <c r="AV1905" t="inlineStr">
        <is>
          <t>15</t>
        </is>
      </c>
      <c r="AW1905" t="inlineStr">
        <is>
          <t>0</t>
        </is>
      </c>
      <c r="AX1905" t="inlineStr">
        <is>
          <t>Not Qualified</t>
        </is>
      </c>
      <c r="AY1905" s="4"/>
      <c r="AZ1905"/>
      <c r="BA1905"/>
      <c r="BB1905"/>
      <c r="BC1905" t="inlineStr">
        <is>
          <t>nh</t>
        </is>
      </c>
      <c r="BD1905" s="4">
        <v>46129.61157407407</v>
      </c>
      <c r="BE1905"/>
      <c r="BF1905"/>
      <c r="BG1905" t="inlineStr">
        <is>
          <t>Reschedule</t>
        </is>
      </c>
      <c r="BH1905" t="inlineStr">
        <is>
          <t>Yee Hang</t>
        </is>
      </c>
      <c r="BI1905"/>
      <c r="BJ1905" s="4">
        <v>46144.75263888889</v>
      </c>
      <c r="BK1905" s="4">
        <v>45854.44734953704</v>
      </c>
      <c r="BL1905" t="inlineStr">
        <is>
          <t>0.0</t>
        </is>
      </c>
      <c r="BM1905" t="inlineStr">
        <is>
          <t>0.0</t>
        </is>
      </c>
      <c r="BN1905" t="inlineStr">
        <is>
          <t>View Create Job Page</t>
        </is>
      </c>
      <c r="BO1905" s="4">
        <v>45854.45496527778</v>
      </c>
      <c r="BP1905">
        <v>167029</v>
      </c>
      <c r="BQ1905"/>
      <c r="BR1905"/>
      <c r="BS1905"/>
      <c r="BT1905"/>
      <c r="BU1905"/>
      <c r="BV1905">
        <v>2712214</v>
      </c>
      <c r="BW1905" t="inlineStr">
        <is>
          <t>Follow Up : Budget Concern</t>
        </is>
      </c>
      <c r="BX1905"/>
      <c r="BY1905"/>
      <c r="BZ1905" s="4"/>
      <c r="CA1905"/>
      <c r="CB1905"/>
      <c r="CC1905" s="4"/>
      <c r="CD1905" t="inlineStr">
        <is>
          <t>20</t>
        </is>
      </c>
      <c r="CE1905" t="inlineStr">
        <is>
          <t>0</t>
        </is>
      </c>
      <c r="CF1905" t="inlineStr">
        <is>
          <t>Q2-W02</t>
        </is>
      </c>
      <c r="CG1905"/>
      <c r="CH1905"/>
      <c r="CI1905"/>
      <c r="CJ1905" t="inlineStr">
        <is>
          <t>No Paid</t>
        </is>
      </c>
      <c r="CK1905" t="inlineStr">
        <is>
          <t>Not Eligible</t>
        </is>
      </c>
      <c r="CL1905"/>
      <c r="CM1905"/>
    </row>
    <row r="1906" ht="25.5" customHeight="1">
      <c r="A1906" t="inlineStr">
        <is>
          <t>203226</t>
        </is>
      </c>
      <c r="B1906" s="2"/>
      <c r="C1906"/>
      <c r="D1906" s="3">
        <v>46126.6959375</v>
      </c>
      <c r="E1906" t="inlineStr">
        <is>
          <t>Q2-W02</t>
        </is>
      </c>
      <c r="F1906" t="inlineStr">
        <is>
          <t>Carmen</t>
        </is>
      </c>
      <c r="G1906" t="inlineStr">
        <is>
          <t>Customer</t>
        </is>
      </c>
      <c r="H1906" s="2" t="str">
        <f>=HYPERLINK("https://upbox.ajobthing.my/customer/203226", "https://upbox.ajobthing.my/customer/203226")</f>
        <v>https://upbox.ajobthing.my/customer/203226</v>
      </c>
      <c r="I1906" t="inlineStr">
        <is>
          <t>Vigorrise Sdn Bhd</t>
        </is>
      </c>
      <c r="J1906" t="inlineStr">
        <is>
          <t>Small Fish</t>
        </is>
      </c>
      <c r="K1906" t="inlineStr">
        <is>
          <t>Carmen</t>
        </is>
      </c>
      <c r="L1906" s="4"/>
      <c r="M1906" s="4">
        <v>46126.69675925926</v>
      </c>
      <c r="N1906"/>
      <c r="O1906">
        <v>3888</v>
      </c>
      <c r="P1906" s="4"/>
      <c r="Q1906" s="4"/>
      <c r="R1906"/>
      <c r="S1906"/>
      <c r="T1906" s="4"/>
      <c r="U1906" s="4"/>
      <c r="V1906"/>
      <c r="W1906"/>
      <c r="X1906"/>
      <c r="Y1906" t="inlineStr">
        <is>
          <t>Pending Appointment</t>
        </is>
      </c>
      <c r="Z1906" t="inlineStr">
        <is>
          <t>Continuous Hiring</t>
        </is>
      </c>
      <c r="AA1906">
        <v>10</v>
      </c>
      <c r="AB1906" t="inlineStr">
        <is>
          <t>No Appointment Made</t>
        </is>
      </c>
      <c r="AC1906"/>
      <c r="AD1906" t="inlineStr">
        <is>
          <t>10 parttimers</t>
        </is>
      </c>
      <c r="AE1906"/>
      <c r="AF1906">
        <v>0</v>
      </c>
      <c r="AG1906" s="4"/>
      <c r="AH1906" s="4"/>
      <c r="AI1906"/>
      <c r="AJ1906"/>
      <c r="AK1906"/>
      <c r="AL1906"/>
      <c r="AM1906"/>
      <c r="AN1906"/>
      <c r="AO1906"/>
      <c r="AP1906" t="inlineStr">
        <is>
          <t>Once per quarter (75%)</t>
        </is>
      </c>
      <c r="AQ1906"/>
      <c r="AR1906"/>
      <c r="AS1906" t="inlineStr">
        <is>
          <t>- Headcount: 10
- Hiring Job Details: 10 parttimers
- Hiring Urgency: Continuous Hiring
- Number of outlets: N/A
- Have recruiter team: N/A
- Number of recruiter in company: N/A
- Have ATS system: N/A
- Have career website: N/A
- Current hiring budget: RM0.00
- Whole year budget: N/A
- Whole year number of vacancies: N/A
- Hiring frequency: Once per quarter (75%)
- External job portal: N/A</t>
        </is>
      </c>
      <c r="AT1906">
        <v>70</v>
      </c>
      <c r="AU1906" t="inlineStr">
        <is>
          <t>0.70</t>
        </is>
      </c>
      <c r="AV1906" t="inlineStr">
        <is>
          <t>20</t>
        </is>
      </c>
      <c r="AW1906" t="inlineStr">
        <is>
          <t>0</t>
        </is>
      </c>
      <c r="AX1906" t="inlineStr">
        <is>
          <t>Not Qualified</t>
        </is>
      </c>
      <c r="AY1906" s="4"/>
      <c r="AZ1906"/>
      <c r="BA1906"/>
      <c r="BB1906"/>
      <c r="BC1906" t="inlineStr">
        <is>
          <t>npu</t>
        </is>
      </c>
      <c r="BD1906" s="4">
        <v>46134.73841435185</v>
      </c>
      <c r="BE1906"/>
      <c r="BF1906"/>
      <c r="BG1906" t="inlineStr">
        <is>
          <t>Reschedule</t>
        </is>
      </c>
      <c r="BH1906" t="inlineStr">
        <is>
          <t>Reagen</t>
        </is>
      </c>
      <c r="BI1906"/>
      <c r="BJ1906" s="4">
        <v>46144.75425925926</v>
      </c>
      <c r="BK1906" s="4">
        <v>46126.64202546296</v>
      </c>
      <c r="BL1906" t="inlineStr">
        <is>
          <t>0.0</t>
        </is>
      </c>
      <c r="BM1906" t="inlineStr">
        <is>
          <t>0.0</t>
        </is>
      </c>
      <c r="BN1906" t="inlineStr">
        <is>
          <t>View Company Page</t>
        </is>
      </c>
      <c r="BO1906" s="4">
        <v>46126.64815972222</v>
      </c>
      <c r="BP1906">
        <v>167031</v>
      </c>
      <c r="BQ1906"/>
      <c r="BR1906"/>
      <c r="BS1906"/>
      <c r="BT1906"/>
      <c r="BU1906"/>
      <c r="BV1906">
        <v>2721965</v>
      </c>
      <c r="BW1906" t="inlineStr">
        <is>
          <t>No Answer : Voicemail - WA sent to customer</t>
        </is>
      </c>
      <c r="BX1906"/>
      <c r="BY1906"/>
      <c r="BZ1906" s="4"/>
      <c r="CA1906"/>
      <c r="CB1906"/>
      <c r="CC1906" s="4"/>
      <c r="CD1906" t="inlineStr">
        <is>
          <t>30</t>
        </is>
      </c>
      <c r="CE1906" t="inlineStr">
        <is>
          <t>0</t>
        </is>
      </c>
      <c r="CF1906" t="inlineStr">
        <is>
          <t>Q2-W02</t>
        </is>
      </c>
      <c r="CG1906"/>
      <c r="CH1906"/>
      <c r="CI1906"/>
      <c r="CJ1906" t="inlineStr">
        <is>
          <t>No Paid</t>
        </is>
      </c>
      <c r="CK1906" t="inlineStr">
        <is>
          <t>Eligible</t>
        </is>
      </c>
      <c r="CL1906"/>
      <c r="CM1906"/>
    </row>
    <row r="1907" ht="25.5" customHeight="1">
      <c r="A1907" t="inlineStr">
        <is>
          <t>193156</t>
        </is>
      </c>
      <c r="B1907" s="2"/>
      <c r="C1907"/>
      <c r="D1907" s="3">
        <v>46126.69872685185</v>
      </c>
      <c r="E1907" t="inlineStr">
        <is>
          <t>Q2-W02</t>
        </is>
      </c>
      <c r="F1907" t="inlineStr">
        <is>
          <t>Janice Yap</t>
        </is>
      </c>
      <c r="G1907" t="inlineStr">
        <is>
          <t>Customer</t>
        </is>
      </c>
      <c r="H1907" s="2" t="str">
        <f>=HYPERLINK("https://upbox.ajobthing.my/customer/193156", "https://upbox.ajobthing.my/customer/193156")</f>
        <v>https://upbox.ajobthing.my/customer/193156</v>
      </c>
      <c r="I1907" t="inlineStr">
        <is>
          <t>Faizah Textile Sdn Bhd</t>
        </is>
      </c>
      <c r="J1907" t="inlineStr">
        <is>
          <t>Small Fish</t>
        </is>
      </c>
      <c r="K1907" t="inlineStr">
        <is>
          <t>Janice</t>
        </is>
      </c>
      <c r="L1907" s="4"/>
      <c r="M1907" s="4">
        <v>46126.69761574074</v>
      </c>
      <c r="N1907"/>
      <c r="O1907">
        <v>3888</v>
      </c>
      <c r="P1907" s="4"/>
      <c r="Q1907" s="4"/>
      <c r="R1907"/>
      <c r="S1907"/>
      <c r="T1907" s="4"/>
      <c r="U1907" s="4"/>
      <c r="V1907"/>
      <c r="W1907"/>
      <c r="X1907"/>
      <c r="Y1907" t="inlineStr">
        <is>
          <t>Pending Appointment</t>
        </is>
      </c>
      <c r="Z1907" t="inlineStr">
        <is>
          <t>Hiring Now</t>
        </is>
      </c>
      <c r="AA1907">
        <v>2</v>
      </c>
      <c r="AB1907" t="inlineStr">
        <is>
          <t>No Appointment Made</t>
        </is>
      </c>
      <c r="AC1907"/>
      <c r="AD1907" t="inlineStr">
        <is>
          <t>2 live host</t>
        </is>
      </c>
      <c r="AE1907"/>
      <c r="AF1907">
        <v>0</v>
      </c>
      <c r="AG1907" s="4"/>
      <c r="AH1907" s="4"/>
      <c r="AI1907">
        <v>0</v>
      </c>
      <c r="AJ1907"/>
      <c r="AK1907" t="inlineStr">
        <is>
          <t>No, I don't need at all</t>
        </is>
      </c>
      <c r="AL1907">
        <v>0</v>
      </c>
      <c r="AM1907" t="inlineStr">
        <is>
          <t>No, I don't need at all</t>
        </is>
      </c>
      <c r="AN1907"/>
      <c r="AO1907" t="inlineStr">
        <is>
          <t>No, I don't need at all</t>
        </is>
      </c>
      <c r="AP1907" t="inlineStr">
        <is>
          <t>Once a year (25%)</t>
        </is>
      </c>
      <c r="AQ1907">
        <v>2</v>
      </c>
      <c r="AR1907" t="inlineStr">
        <is>
          <t>Free Job Portal</t>
        </is>
      </c>
      <c r="AS1907" t="inlineStr">
        <is>
          <t>- Headcount: 2
- Hiring Job Details: 2 live host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1907">
        <v>105</v>
      </c>
      <c r="AU1907" t="inlineStr">
        <is>
          <t>1.05</t>
        </is>
      </c>
      <c r="AV1907" t="inlineStr">
        <is>
          <t>15</t>
        </is>
      </c>
      <c r="AW1907" t="inlineStr">
        <is>
          <t>0</t>
        </is>
      </c>
      <c r="AX1907" t="inlineStr">
        <is>
          <t>Not Qualified</t>
        </is>
      </c>
      <c r="AY1907" s="4"/>
      <c r="AZ1907"/>
      <c r="BA1907"/>
      <c r="BB1907"/>
      <c r="BC1907" t="inlineStr">
        <is>
          <t>No need to post atm // on hold // lost</t>
        </is>
      </c>
      <c r="BD1907" s="4">
        <v>46128.6258912037</v>
      </c>
      <c r="BE1907"/>
      <c r="BF1907"/>
      <c r="BG1907" t="inlineStr">
        <is>
          <t>Reschedule</t>
        </is>
      </c>
      <c r="BH1907" t="inlineStr">
        <is>
          <t>Yee Hang</t>
        </is>
      </c>
      <c r="BI1907"/>
      <c r="BJ1907" s="4">
        <v>46144.75261574074</v>
      </c>
      <c r="BK1907" s="4">
        <v>45836.75376157407</v>
      </c>
      <c r="BL1907" t="inlineStr">
        <is>
          <t>0.0</t>
        </is>
      </c>
      <c r="BM1907" t="inlineStr">
        <is>
          <t>0.0</t>
        </is>
      </c>
      <c r="BN1907" t="inlineStr">
        <is>
          <t>View Create Job Page</t>
        </is>
      </c>
      <c r="BO1907" s="4">
        <v>45836.766493055555</v>
      </c>
      <c r="BP1907">
        <v>167032</v>
      </c>
      <c r="BQ1907"/>
      <c r="BR1907"/>
      <c r="BS1907"/>
      <c r="BT1907"/>
      <c r="BU1907"/>
      <c r="BV1907">
        <v>2709638</v>
      </c>
      <c r="BW1907" t="inlineStr">
        <is>
          <t>Follow Up : Lost - Free Portal</t>
        </is>
      </c>
      <c r="BX1907"/>
      <c r="BY1907"/>
      <c r="BZ1907" s="4"/>
      <c r="CA1907"/>
      <c r="CB1907"/>
      <c r="CC1907" s="4"/>
      <c r="CD1907" t="inlineStr">
        <is>
          <t>20</t>
        </is>
      </c>
      <c r="CE1907" t="inlineStr">
        <is>
          <t>0</t>
        </is>
      </c>
      <c r="CF1907" t="inlineStr">
        <is>
          <t>Q2-W02</t>
        </is>
      </c>
      <c r="CG1907"/>
      <c r="CH1907"/>
      <c r="CI1907"/>
      <c r="CJ1907" t="inlineStr">
        <is>
          <t>No Paid</t>
        </is>
      </c>
      <c r="CK1907" t="inlineStr">
        <is>
          <t>Not Eligible</t>
        </is>
      </c>
      <c r="CL1907"/>
      <c r="CM1907"/>
    </row>
    <row r="1908" ht="25.5" customHeight="1">
      <c r="A1908" t="inlineStr">
        <is>
          <t>201029</t>
        </is>
      </c>
      <c r="B1908" s="2"/>
      <c r="C1908"/>
      <c r="D1908" s="3">
        <v>46126.71328703704</v>
      </c>
      <c r="E1908" t="inlineStr">
        <is>
          <t>Q2-W02</t>
        </is>
      </c>
      <c r="F1908" t="inlineStr">
        <is>
          <t>Jia Hui</t>
        </is>
      </c>
      <c r="G1908" t="inlineStr">
        <is>
          <t>Customer</t>
        </is>
      </c>
      <c r="H1908" s="2" t="str">
        <f>=HYPERLINK("https://upbox.ajobthing.my/customer/201029", "https://upbox.ajobthing.my/customer/201029")</f>
        <v>https://upbox.ajobthing.my/customer/201029</v>
      </c>
      <c r="I1908" t="inlineStr">
        <is>
          <t>Bloomsvale Eatery Sdn Bhd</t>
        </is>
      </c>
      <c r="J1908" t="inlineStr">
        <is>
          <t>Small Fish</t>
        </is>
      </c>
      <c r="K1908" t="inlineStr">
        <is>
          <t>Jia Hui</t>
        </is>
      </c>
      <c r="L1908" s="4"/>
      <c r="M1908" s="4">
        <v>46126.710810185185</v>
      </c>
      <c r="N1908"/>
      <c r="O1908">
        <v>3888</v>
      </c>
      <c r="P1908" s="4"/>
      <c r="Q1908" s="4"/>
      <c r="R1908"/>
      <c r="S1908"/>
      <c r="T1908" s="4"/>
      <c r="U1908" s="4"/>
      <c r="V1908"/>
      <c r="W1908"/>
      <c r="X1908"/>
      <c r="Y1908" t="inlineStr">
        <is>
          <t>Pending Appointment</t>
        </is>
      </c>
      <c r="Z1908" t="inlineStr">
        <is>
          <t>Hiring Now</t>
        </is>
      </c>
      <c r="AA1908">
        <v>1</v>
      </c>
      <c r="AB1908" t="inlineStr">
        <is>
          <t>No Appointment Made</t>
        </is>
      </c>
      <c r="AC1908"/>
      <c r="AD1908" t="inlineStr">
        <is>
          <t>1 acc executive</t>
        </is>
      </c>
      <c r="AE1908"/>
      <c r="AF1908">
        <v>500</v>
      </c>
      <c r="AG1908" s="4"/>
      <c r="AH1908" s="4"/>
      <c r="AI1908"/>
      <c r="AJ1908"/>
      <c r="AK1908" t="inlineStr">
        <is>
          <t>No, but I want in future</t>
        </is>
      </c>
      <c r="AL1908"/>
      <c r="AM1908"/>
      <c r="AN1908"/>
      <c r="AO1908"/>
      <c r="AP1908" t="inlineStr">
        <is>
          <t>Once a year (25%)</t>
        </is>
      </c>
      <c r="AQ1908"/>
      <c r="AR1908"/>
      <c r="AS1908" t="inlineStr">
        <is>
          <t>- Headcount: 1
- Hiring Job Details: 1 acc executive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908">
        <v>75</v>
      </c>
      <c r="AU1908" t="inlineStr">
        <is>
          <t>0.75</t>
        </is>
      </c>
      <c r="AV1908" t="inlineStr">
        <is>
          <t>15</t>
        </is>
      </c>
      <c r="AW1908" t="inlineStr">
        <is>
          <t>0</t>
        </is>
      </c>
      <c r="AX1908" t="inlineStr">
        <is>
          <t>Not Qualified</t>
        </is>
      </c>
      <c r="AY1908" s="4"/>
      <c r="AZ1908"/>
      <c r="BA1908"/>
      <c r="BB1908"/>
      <c r="BC1908" t="inlineStr">
        <is>
          <t>not interested</t>
        </is>
      </c>
      <c r="BD1908" s="4">
        <v>46129.4431712963</v>
      </c>
      <c r="BE1908"/>
      <c r="BF1908"/>
      <c r="BG1908" t="inlineStr">
        <is>
          <t>Reschedule</t>
        </is>
      </c>
      <c r="BH1908" t="inlineStr">
        <is>
          <t>Reagen</t>
        </is>
      </c>
      <c r="BI1908"/>
      <c r="BJ1908" s="4">
        <v>46144.753703703704</v>
      </c>
      <c r="BK1908" s="4">
        <v>46059.598715277774</v>
      </c>
      <c r="BL1908" t="inlineStr">
        <is>
          <t>0.0</t>
        </is>
      </c>
      <c r="BM1908" t="inlineStr">
        <is>
          <t>0.0</t>
        </is>
      </c>
      <c r="BN1908"/>
      <c r="BO1908" s="4"/>
      <c r="BP1908">
        <v>167040</v>
      </c>
      <c r="BQ1908"/>
      <c r="BR1908"/>
      <c r="BS1908"/>
      <c r="BT1908"/>
      <c r="BU1908"/>
      <c r="BV1908">
        <v>2711237</v>
      </c>
      <c r="BW1908" t="inlineStr">
        <is>
          <t>Follow Up : Budget Concern</t>
        </is>
      </c>
      <c r="BX1908"/>
      <c r="BY1908"/>
      <c r="BZ1908" s="4"/>
      <c r="CA1908"/>
      <c r="CB1908"/>
      <c r="CC1908" s="4"/>
      <c r="CD1908" t="inlineStr">
        <is>
          <t>20</t>
        </is>
      </c>
      <c r="CE1908" t="inlineStr">
        <is>
          <t>0</t>
        </is>
      </c>
      <c r="CF1908" t="inlineStr">
        <is>
          <t>Q2-W02</t>
        </is>
      </c>
      <c r="CG1908"/>
      <c r="CH1908"/>
      <c r="CI1908"/>
      <c r="CJ1908" t="inlineStr">
        <is>
          <t>No Paid</t>
        </is>
      </c>
      <c r="CK1908" t="inlineStr">
        <is>
          <t>Not Eligible</t>
        </is>
      </c>
      <c r="CL1908"/>
      <c r="CM1908"/>
    </row>
    <row r="1909" ht="25.5" customHeight="1">
      <c r="A1909" t="inlineStr">
        <is>
          <t>52611</t>
        </is>
      </c>
      <c r="B1909" s="2"/>
      <c r="C1909"/>
      <c r="D1909" s="3">
        <v>46126.72142361111</v>
      </c>
      <c r="E1909" t="inlineStr">
        <is>
          <t>Q2-W02</t>
        </is>
      </c>
      <c r="F1909" t="inlineStr">
        <is>
          <t>Fariz</t>
        </is>
      </c>
      <c r="G1909" t="inlineStr">
        <is>
          <t>Customer</t>
        </is>
      </c>
      <c r="H1909" s="2" t="str">
        <f>=HYPERLINK("https://upbox.ajobthing.my/customer/52611", "https://upbox.ajobthing.my/customer/52611")</f>
        <v>https://upbox.ajobthing.my/customer/52611</v>
      </c>
      <c r="I1909" t="inlineStr">
        <is>
          <t>Ifresh Beverage Equipment Sdn Bhd</t>
        </is>
      </c>
      <c r="J1909" t="inlineStr">
        <is>
          <t>Small Fish</t>
        </is>
      </c>
      <c r="K1909" t="inlineStr">
        <is>
          <t>Fariz</t>
        </is>
      </c>
      <c r="L1909" s="4"/>
      <c r="M1909" s="4">
        <v>46126.72178240741</v>
      </c>
      <c r="N1909"/>
      <c r="O1909">
        <v>3888</v>
      </c>
      <c r="P1909" s="4"/>
      <c r="Q1909" s="4"/>
      <c r="R1909"/>
      <c r="S1909"/>
      <c r="T1909" s="4"/>
      <c r="U1909" s="4"/>
      <c r="V1909"/>
      <c r="W1909"/>
      <c r="X1909"/>
      <c r="Y1909" t="inlineStr">
        <is>
          <t>Pending Appointment</t>
        </is>
      </c>
      <c r="Z1909" t="inlineStr">
        <is>
          <t>Hiring Later</t>
        </is>
      </c>
      <c r="AA1909">
        <v>2</v>
      </c>
      <c r="AB1909" t="inlineStr">
        <is>
          <t>No Appointment Made</t>
        </is>
      </c>
      <c r="AC1909"/>
      <c r="AD1909" t="inlineStr">
        <is>
          <t>1 admin, 1 inside sales</t>
        </is>
      </c>
      <c r="AE1909"/>
      <c r="AF1909">
        <v>3600</v>
      </c>
      <c r="AG1909" s="4"/>
      <c r="AH1909" s="4"/>
      <c r="AI1909">
        <v>3600</v>
      </c>
      <c r="AJ1909"/>
      <c r="AK1909" t="inlineStr">
        <is>
          <t>No, but I want in future</t>
        </is>
      </c>
      <c r="AL1909">
        <v>1</v>
      </c>
      <c r="AM1909" t="inlineStr">
        <is>
          <t>No, I don't need at all</t>
        </is>
      </c>
      <c r="AN1909"/>
      <c r="AO1909" t="inlineStr">
        <is>
          <t>No, but I want in future</t>
        </is>
      </c>
      <c r="AP1909" t="inlineStr">
        <is>
          <t>Once a year (25%)</t>
        </is>
      </c>
      <c r="AQ1909">
        <v>2</v>
      </c>
      <c r="AR1909" t="inlineStr">
        <is>
          <t>Jobstreet, Free Job Portal</t>
        </is>
      </c>
      <c r="AS1909" t="inlineStr">
        <is>
          <t>- Headcount: 2
- Hiring Job Details: 1 admin, 1 inside sales
- Hiring Urgency: Hiring Later
- Number of outlets: N/A
- Have recruiter team: No, but want in future
- Number of recruiter in company: 1
- Have ATS system: No, don't need at all
- Have career website: No, but want in future
- Current hiring budget: RM3,600
- Whole year budget: RM3,600.00
- Whole year number of vacancies: 2
- Hiring frequency: Once a year (25%)
- External job portal: Jobstreet, Free Job Portal</t>
        </is>
      </c>
      <c r="AT1909">
        <v>110</v>
      </c>
      <c r="AU1909" t="inlineStr">
        <is>
          <t>1.10</t>
        </is>
      </c>
      <c r="AV1909" t="inlineStr">
        <is>
          <t>15</t>
        </is>
      </c>
      <c r="AW1909" t="inlineStr">
        <is>
          <t>0</t>
        </is>
      </c>
      <c r="AX1909" t="inlineStr">
        <is>
          <t>Not Qualified</t>
        </is>
      </c>
      <c r="AY1909" s="4"/>
      <c r="AZ1909"/>
      <c r="BA1909"/>
      <c r="BB1909"/>
      <c r="BC1909" t="inlineStr">
        <is>
          <t>Miss Sim Call ask if they can get cheaper plan with booster. already convince her RM3312 yearly plan after discount. benefit and value, why choose yearly rather than ala carte plus. call back after lunch</t>
        </is>
      </c>
      <c r="BD1909" s="4">
        <v>46142.484618055554</v>
      </c>
      <c r="BE1909"/>
      <c r="BF1909"/>
      <c r="BG1909" t="inlineStr">
        <is>
          <t>Reschedule</t>
        </is>
      </c>
      <c r="BH1909" t="inlineStr">
        <is>
          <t>Edward Hoo</t>
        </is>
      </c>
      <c r="BI1909" t="inlineStr">
        <is>
          <t>Retail / Merchandise</t>
        </is>
      </c>
      <c r="BJ1909" s="4">
        <v>46144.756064814814</v>
      </c>
      <c r="BK1909" s="4">
        <v>43321.60625</v>
      </c>
      <c r="BL1909" t="inlineStr">
        <is>
          <t>0.0</t>
        </is>
      </c>
      <c r="BM1909" t="inlineStr">
        <is>
          <t>0.0</t>
        </is>
      </c>
      <c r="BN1909" t="inlineStr">
        <is>
          <t>View Create Job Page</t>
        </is>
      </c>
      <c r="BO1909" s="4">
        <v>45705.661099537036</v>
      </c>
      <c r="BP1909">
        <v>167047</v>
      </c>
      <c r="BQ1909"/>
      <c r="BR1909"/>
      <c r="BS1909"/>
      <c r="BT1909"/>
      <c r="BU1909"/>
      <c r="BV1909">
        <v>2737186</v>
      </c>
      <c r="BW1909" t="inlineStr">
        <is>
          <t>Follow Up : Budget Concern</t>
        </is>
      </c>
      <c r="BX1909"/>
      <c r="BY1909"/>
      <c r="BZ1909" s="4"/>
      <c r="CA1909"/>
      <c r="CB1909"/>
      <c r="CC1909" s="4"/>
      <c r="CD1909" t="inlineStr">
        <is>
          <t>20</t>
        </is>
      </c>
      <c r="CE1909" t="inlineStr">
        <is>
          <t>0</t>
        </is>
      </c>
      <c r="CF1909" t="inlineStr">
        <is>
          <t>Q2-W02</t>
        </is>
      </c>
      <c r="CG1909"/>
      <c r="CH1909"/>
      <c r="CI1909"/>
      <c r="CJ1909" t="inlineStr">
        <is>
          <t>No Paid</t>
        </is>
      </c>
      <c r="CK1909" t="inlineStr">
        <is>
          <t>Not Eligible</t>
        </is>
      </c>
      <c r="CL1909"/>
      <c r="CM1909"/>
    </row>
    <row r="1910" ht="25.5" customHeight="1">
      <c r="A1910" t="inlineStr">
        <is>
          <t>203126</t>
        </is>
      </c>
      <c r="B1910" s="2"/>
      <c r="C1910"/>
      <c r="D1910" s="3">
        <v>46126.72282407407</v>
      </c>
      <c r="E1910" t="inlineStr">
        <is>
          <t>Q2-W02</t>
        </is>
      </c>
      <c r="F1910" t="inlineStr">
        <is>
          <t>Evan</t>
        </is>
      </c>
      <c r="G1910" t="inlineStr">
        <is>
          <t>Customer</t>
        </is>
      </c>
      <c r="H1910" s="2" t="str">
        <f>=HYPERLINK("https://upbox.ajobthing.my/customer/203126", "https://upbox.ajobthing.my/customer/203126")</f>
        <v>https://upbox.ajobthing.my/customer/203126</v>
      </c>
      <c r="I1910" t="inlineStr">
        <is>
          <t>Maa &amp; Co.</t>
        </is>
      </c>
      <c r="J1910" t="inlineStr">
        <is>
          <t>Small Fish</t>
        </is>
      </c>
      <c r="K1910" t="inlineStr">
        <is>
          <t>Evan</t>
        </is>
      </c>
      <c r="L1910" s="4"/>
      <c r="M1910" s="4">
        <v>46126.72237268519</v>
      </c>
      <c r="N1910"/>
      <c r="O1910">
        <v>6048</v>
      </c>
      <c r="P1910" s="4"/>
      <c r="Q1910" s="4"/>
      <c r="R1910"/>
      <c r="S1910"/>
      <c r="T1910" s="4"/>
      <c r="U1910" s="4"/>
      <c r="V1910"/>
      <c r="W1910"/>
      <c r="X1910"/>
      <c r="Y1910" t="inlineStr">
        <is>
          <t>Pending Appointment</t>
        </is>
      </c>
      <c r="Z1910" t="inlineStr">
        <is>
          <t>Hiring Now</t>
        </is>
      </c>
      <c r="AA1910">
        <v>1</v>
      </c>
      <c r="AB1910" t="inlineStr">
        <is>
          <t>No Appointment Made</t>
        </is>
      </c>
      <c r="AC1910"/>
      <c r="AD1910" t="inlineStr">
        <is>
          <t>1 admin, all base in KL</t>
        </is>
      </c>
      <c r="AE1910"/>
      <c r="AF1910">
        <v>1</v>
      </c>
      <c r="AG1910" s="4"/>
      <c r="AH1910" s="4"/>
      <c r="AI1910">
        <v>1</v>
      </c>
      <c r="AJ1910">
        <v>1</v>
      </c>
      <c r="AK1910" t="inlineStr">
        <is>
          <t>No, I don't need at all</t>
        </is>
      </c>
      <c r="AL1910">
        <v>1</v>
      </c>
      <c r="AM1910" t="inlineStr">
        <is>
          <t>No, I don't need at all</t>
        </is>
      </c>
      <c r="AN1910"/>
      <c r="AO1910" t="inlineStr">
        <is>
          <t>No, I don't need at all</t>
        </is>
      </c>
      <c r="AP1910" t="inlineStr">
        <is>
          <t>Once a year (25%)</t>
        </is>
      </c>
      <c r="AQ1910">
        <v>1</v>
      </c>
      <c r="AR1910" t="inlineStr">
        <is>
          <t>Did not use any job portal</t>
        </is>
      </c>
      <c r="AS1910" t="inlineStr">
        <is>
          <t>- Headcount: 1
- Hiring Job Details: 1 admin,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AT1910">
        <v>115</v>
      </c>
      <c r="AU1910" t="inlineStr">
        <is>
          <t>1.15</t>
        </is>
      </c>
      <c r="AV1910" t="inlineStr">
        <is>
          <t>15</t>
        </is>
      </c>
      <c r="AW1910" t="inlineStr">
        <is>
          <t>0</t>
        </is>
      </c>
      <c r="AX1910" t="inlineStr">
        <is>
          <t>Not Qualified</t>
        </is>
      </c>
      <c r="AY1910" s="4"/>
      <c r="AZ1910"/>
      <c r="BA1910"/>
      <c r="BB1910"/>
      <c r="BC1910" t="inlineStr">
        <is>
          <t>team will go thru</t>
        </is>
      </c>
      <c r="BD1910" s="4">
        <v>46127.431921296295</v>
      </c>
      <c r="BE1910"/>
      <c r="BF1910"/>
      <c r="BG1910" t="inlineStr">
        <is>
          <t>Reschedule</t>
        </is>
      </c>
      <c r="BH1910" t="inlineStr">
        <is>
          <t>Edward Hoo</t>
        </is>
      </c>
      <c r="BI1910" t="inlineStr">
        <is>
          <t>Accounting / Tax Services</t>
        </is>
      </c>
      <c r="BJ1910" s="4">
        <v>46144.75423611111</v>
      </c>
      <c r="BK1910" s="4">
        <v>46123.606886574074</v>
      </c>
      <c r="BL1910" t="inlineStr">
        <is>
          <t>0.0</t>
        </is>
      </c>
      <c r="BM1910" t="inlineStr">
        <is>
          <t>0.0</t>
        </is>
      </c>
      <c r="BN1910" t="inlineStr">
        <is>
          <t>View Company Page</t>
        </is>
      </c>
      <c r="BO1910" s="4">
        <v>46140.42564814815</v>
      </c>
      <c r="BP1910">
        <v>167048</v>
      </c>
      <c r="BQ1910"/>
      <c r="BR1910"/>
      <c r="BS1910"/>
      <c r="BT1910"/>
      <c r="BU1910"/>
      <c r="BV1910">
        <v>2705140</v>
      </c>
      <c r="BW1910" t="inlineStr">
        <is>
          <t>Follow Up : Decision Pending</t>
        </is>
      </c>
      <c r="BX1910"/>
      <c r="BY1910"/>
      <c r="BZ1910" s="4"/>
      <c r="CA1910"/>
      <c r="CB1910"/>
      <c r="CC1910" s="4"/>
      <c r="CD1910" t="inlineStr">
        <is>
          <t>20</t>
        </is>
      </c>
      <c r="CE1910" t="inlineStr">
        <is>
          <t>0</t>
        </is>
      </c>
      <c r="CF1910" t="inlineStr">
        <is>
          <t>Q2-W02</t>
        </is>
      </c>
      <c r="CG1910"/>
      <c r="CH1910"/>
      <c r="CI1910"/>
      <c r="CJ1910" t="inlineStr">
        <is>
          <t>No Paid</t>
        </is>
      </c>
      <c r="CK1910" t="inlineStr">
        <is>
          <t>Not Eligible</t>
        </is>
      </c>
      <c r="CL1910"/>
      <c r="CM1910"/>
    </row>
    <row r="1911" ht="25.5" customHeight="1">
      <c r="A1911" t="inlineStr">
        <is>
          <t>169036</t>
        </is>
      </c>
      <c r="B1911" s="2"/>
      <c r="C1911"/>
      <c r="D1911" s="3">
        <v>46126.72398148148</v>
      </c>
      <c r="E1911" t="inlineStr">
        <is>
          <t>Q2-W02</t>
        </is>
      </c>
      <c r="F1911" t="inlineStr">
        <is>
          <t>Dickson</t>
        </is>
      </c>
      <c r="G1911" t="inlineStr">
        <is>
          <t>Customer</t>
        </is>
      </c>
      <c r="H1911" s="2" t="str">
        <f>=HYPERLINK("https://upbox.ajobthing.my/customer/169036", "https://upbox.ajobthing.my/customer/169036")</f>
        <v>https://upbox.ajobthing.my/customer/169036</v>
      </c>
      <c r="I1911" t="inlineStr">
        <is>
          <t>Top Connection Consultancy</t>
        </is>
      </c>
      <c r="J1911" t="inlineStr">
        <is>
          <t>Small Fish</t>
        </is>
      </c>
      <c r="K1911" t="inlineStr">
        <is>
          <t>Dickson</t>
        </is>
      </c>
      <c r="L1911" s="4"/>
      <c r="M1911" s="4">
        <v>46126.72412037037</v>
      </c>
      <c r="N1911"/>
      <c r="O1911">
        <v>3888</v>
      </c>
      <c r="P1911" s="4"/>
      <c r="Q1911" s="4">
        <v>45117.30106481481</v>
      </c>
      <c r="R1911"/>
      <c r="S1911">
        <v>954</v>
      </c>
      <c r="T1911" s="4">
        <v>45117.00001157408</v>
      </c>
      <c r="U1911" s="4"/>
      <c r="V1911"/>
      <c r="W1911">
        <v>954</v>
      </c>
      <c r="X1911"/>
      <c r="Y1911" t="inlineStr">
        <is>
          <t>Pending Appointment</t>
        </is>
      </c>
      <c r="Z1911" t="inlineStr">
        <is>
          <t>Hiring Now</t>
        </is>
      </c>
      <c r="AA1911">
        <v>7</v>
      </c>
      <c r="AB1911" t="inlineStr">
        <is>
          <t>No Appointment Made</t>
        </is>
      </c>
      <c r="AC1911"/>
      <c r="AD1911" t="inlineStr">
        <is>
          <t>3-5 sales executive, 1 accountant executive, 1 internship</t>
        </is>
      </c>
      <c r="AE1911"/>
      <c r="AF1911"/>
      <c r="AG1911" s="4"/>
      <c r="AH1911" s="4"/>
      <c r="AI1911"/>
      <c r="AJ1911">
        <v>1</v>
      </c>
      <c r="AK1911" t="inlineStr">
        <is>
          <t>No, I don't need at all</t>
        </is>
      </c>
      <c r="AL1911"/>
      <c r="AM1911" t="inlineStr">
        <is>
          <t>No, I don't need at all</t>
        </is>
      </c>
      <c r="AN1911"/>
      <c r="AO1911" t="inlineStr">
        <is>
          <t>No, I don't need at all</t>
        </is>
      </c>
      <c r="AP1911" t="inlineStr">
        <is>
          <t>Once per quarter (75%)</t>
        </is>
      </c>
      <c r="AQ1911"/>
      <c r="AR1911" t="inlineStr">
        <is>
          <t>Jobstreet</t>
        </is>
      </c>
      <c r="AS1911" t="inlineStr">
        <is>
          <t>- Headcount: 7
- Hiring Job Details: 3-5 sales executive, 1 accountant executive, 1 internship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911">
        <v>95</v>
      </c>
      <c r="AU1911" t="inlineStr">
        <is>
          <t>0.95</t>
        </is>
      </c>
      <c r="AV1911" t="inlineStr">
        <is>
          <t>10</t>
        </is>
      </c>
      <c r="AW1911" t="inlineStr">
        <is>
          <t>0</t>
        </is>
      </c>
      <c r="AX1911" t="inlineStr">
        <is>
          <t>Not Qualified</t>
        </is>
      </c>
      <c r="AY1911" s="4"/>
      <c r="AZ1911"/>
      <c r="BA1911"/>
      <c r="BB1911"/>
      <c r="BC1911" t="inlineStr">
        <is>
          <t>dont wish to proceed</t>
        </is>
      </c>
      <c r="BD1911" s="4">
        <v>46141.712476851855</v>
      </c>
      <c r="BE1911" t="inlineStr">
        <is>
          <t>paid</t>
        </is>
      </c>
      <c r="BF1911"/>
      <c r="BG1911" t="inlineStr">
        <is>
          <t>Reschedule</t>
        </is>
      </c>
      <c r="BH1911" t="inlineStr">
        <is>
          <t>Edward Hoo</t>
        </is>
      </c>
      <c r="BI1911" t="inlineStr">
        <is>
          <t>Telecommunication</t>
        </is>
      </c>
      <c r="BJ1911" s="4">
        <v>46144.75136574074</v>
      </c>
      <c r="BK1911" s="4">
        <v>45117.63123842593</v>
      </c>
      <c r="BL1911" t="inlineStr">
        <is>
          <t>0.0</t>
        </is>
      </c>
      <c r="BM1911" t="inlineStr">
        <is>
          <t>600.0</t>
        </is>
      </c>
      <c r="BN1911" t="inlineStr">
        <is>
          <t>View Jobmanager Page</t>
        </is>
      </c>
      <c r="BO1911" s="4">
        <v>45315.51346064815</v>
      </c>
      <c r="BP1911">
        <v>167050</v>
      </c>
      <c r="BQ1911">
        <v>77978</v>
      </c>
      <c r="BR1911" t="inlineStr">
        <is>
          <t>Proforma</t>
        </is>
      </c>
      <c r="BS1911" t="inlineStr">
        <is>
          <t>Instant Job Ad - Beginner PLUS Package</t>
        </is>
      </c>
      <c r="BT1911">
        <v>60400</v>
      </c>
      <c r="BU1911"/>
      <c r="BV1911">
        <v>2736099</v>
      </c>
      <c r="BW1911" t="inlineStr">
        <is>
          <t>Follow Up : Lost - Paid Portal</t>
        </is>
      </c>
      <c r="BX1911"/>
      <c r="BY1911"/>
      <c r="BZ1911" s="4"/>
      <c r="CA1911"/>
      <c r="CB1911"/>
      <c r="CC1911" s="4"/>
      <c r="CD1911" t="inlineStr">
        <is>
          <t>15</t>
        </is>
      </c>
      <c r="CE1911" t="inlineStr">
        <is>
          <t>0</t>
        </is>
      </c>
      <c r="CF1911" t="inlineStr">
        <is>
          <t>Q2-W02</t>
        </is>
      </c>
      <c r="CG1911"/>
      <c r="CH1911"/>
      <c r="CI1911"/>
      <c r="CJ1911" t="inlineStr">
        <is>
          <t>Paid</t>
        </is>
      </c>
      <c r="CK1911" t="inlineStr">
        <is>
          <t>Not Eligible</t>
        </is>
      </c>
      <c r="CL1911"/>
      <c r="CM1911"/>
    </row>
    <row r="1912" ht="25.5" customHeight="1">
      <c r="A1912" t="inlineStr">
        <is>
          <t>203197</t>
        </is>
      </c>
      <c r="B1912" s="2"/>
      <c r="C1912"/>
      <c r="D1912" s="3">
        <v>46126.733402777776</v>
      </c>
      <c r="E1912" t="inlineStr">
        <is>
          <t>Q2-W02</t>
        </is>
      </c>
      <c r="F1912" t="inlineStr">
        <is>
          <t>Evan</t>
        </is>
      </c>
      <c r="G1912" t="inlineStr">
        <is>
          <t>Customer</t>
        </is>
      </c>
      <c r="H1912" s="2" t="str">
        <f>=HYPERLINK("https://upbox.ajobthing.my/customer/203197", "https://upbox.ajobthing.my/customer/203197")</f>
        <v>https://upbox.ajobthing.my/customer/203197</v>
      </c>
      <c r="I1912" t="inlineStr">
        <is>
          <t>Sports We Play Sdn. Bhd.</t>
        </is>
      </c>
      <c r="J1912" t="inlineStr">
        <is>
          <t>Small Fish</t>
        </is>
      </c>
      <c r="K1912" t="inlineStr">
        <is>
          <t>Evan</t>
        </is>
      </c>
      <c r="L1912" s="4"/>
      <c r="M1912" s="4">
        <v>46134.610671296294</v>
      </c>
      <c r="N1912"/>
      <c r="O1912">
        <v>5832</v>
      </c>
      <c r="P1912" s="4"/>
      <c r="Q1912" s="4">
        <v>46142.80472222222</v>
      </c>
      <c r="R1912"/>
      <c r="S1912">
        <v>3576.96</v>
      </c>
      <c r="T1912" s="4"/>
      <c r="U1912" s="4"/>
      <c r="V1912"/>
      <c r="W1912"/>
      <c r="X1912"/>
      <c r="Y1912" t="inlineStr">
        <is>
          <t>Pending Appointment</t>
        </is>
      </c>
      <c r="Z1912" t="inlineStr">
        <is>
          <t>Hiring Now</t>
        </is>
      </c>
      <c r="AA1912">
        <v>1</v>
      </c>
      <c r="AB1912" t="inlineStr">
        <is>
          <t>No Appointment Made</t>
        </is>
      </c>
      <c r="AC1912"/>
      <c r="AD1912" t="inlineStr">
        <is>
          <t>1 sales, all base in KL</t>
        </is>
      </c>
      <c r="AE1912"/>
      <c r="AF1912">
        <v>1</v>
      </c>
      <c r="AG1912" s="4"/>
      <c r="AH1912" s="4"/>
      <c r="AI1912">
        <v>1</v>
      </c>
      <c r="AJ1912">
        <v>1</v>
      </c>
      <c r="AK1912" t="inlineStr">
        <is>
          <t>No, I don't need at all</t>
        </is>
      </c>
      <c r="AL1912">
        <v>1</v>
      </c>
      <c r="AM1912" t="inlineStr">
        <is>
          <t>No, I don't need at all</t>
        </is>
      </c>
      <c r="AN1912"/>
      <c r="AO1912" t="inlineStr">
        <is>
          <t>No, I don't need at all</t>
        </is>
      </c>
      <c r="AP1912" t="inlineStr">
        <is>
          <t>Once a year (25%)</t>
        </is>
      </c>
      <c r="AQ1912">
        <v>1</v>
      </c>
      <c r="AR1912" t="inlineStr">
        <is>
          <t>Did not use any job portal</t>
        </is>
      </c>
      <c r="AS1912" t="inlineStr">
        <is>
          <t>- Headcount: 1
- Hiring Job Details: 1 sales,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AT1912">
        <v>115</v>
      </c>
      <c r="AU1912" t="inlineStr">
        <is>
          <t>1.15</t>
        </is>
      </c>
      <c r="AV1912" t="inlineStr">
        <is>
          <t>15</t>
        </is>
      </c>
      <c r="AW1912" t="inlineStr">
        <is>
          <t>0</t>
        </is>
      </c>
      <c r="AX1912" t="inlineStr">
        <is>
          <t>Not Qualified</t>
        </is>
      </c>
      <c r="AY1912" s="4"/>
      <c r="AZ1912"/>
      <c r="BA1912"/>
      <c r="BB1912"/>
      <c r="BC1912" t="inlineStr">
        <is>
          <t>inv standard</t>
        </is>
      </c>
      <c r="BD1912" s="4">
        <v>46142.814884259256</v>
      </c>
      <c r="BE1912" t="inlineStr">
        <is>
          <t>pending</t>
        </is>
      </c>
      <c r="BF1912"/>
      <c r="BG1912" t="inlineStr">
        <is>
          <t>Reschedule</t>
        </is>
      </c>
      <c r="BH1912" t="inlineStr">
        <is>
          <t>Edward Hoo</t>
        </is>
      </c>
      <c r="BI1912" t="inlineStr">
        <is>
          <t>Sports</t>
        </is>
      </c>
      <c r="BJ1912" s="4">
        <v>46144.75423611111</v>
      </c>
      <c r="BK1912" s="4">
        <v>46126.36829861111</v>
      </c>
      <c r="BL1912" t="inlineStr">
        <is>
          <t>0.0</t>
        </is>
      </c>
      <c r="BM1912" t="inlineStr">
        <is>
          <t>0.0</t>
        </is>
      </c>
      <c r="BN1912" t="inlineStr">
        <is>
          <t>View Candidate Search Page</t>
        </is>
      </c>
      <c r="BO1912" s="4">
        <v>46128.392164351855</v>
      </c>
      <c r="BP1912">
        <v>168316</v>
      </c>
      <c r="BQ1912">
        <v>124225</v>
      </c>
      <c r="BR1912" t="inlineStr">
        <is>
          <t>Proforma</t>
        </is>
      </c>
      <c r="BS1912" t="inlineStr">
        <is>
          <t>AI Yearly Standard Plan (Jan 26)</t>
        </is>
      </c>
      <c r="BT1912"/>
      <c r="BU1912"/>
      <c r="BV1912">
        <v>2738566</v>
      </c>
      <c r="BW1912" t="inlineStr">
        <is>
          <t>Follow Up : Invoice Sent 75%</t>
        </is>
      </c>
      <c r="BX1912"/>
      <c r="BY1912"/>
      <c r="BZ1912" s="4"/>
      <c r="CA1912"/>
      <c r="CB1912"/>
      <c r="CC1912" s="4"/>
      <c r="CD1912" t="inlineStr">
        <is>
          <t>20</t>
        </is>
      </c>
      <c r="CE1912" t="inlineStr">
        <is>
          <t>0</t>
        </is>
      </c>
      <c r="CF1912" t="inlineStr">
        <is>
          <t>Q2-W03</t>
        </is>
      </c>
      <c r="CG1912" t="inlineStr">
        <is>
          <t>Q2-W04</t>
        </is>
      </c>
      <c r="CH1912"/>
      <c r="CI1912"/>
      <c r="CJ1912" t="inlineStr">
        <is>
          <t>No Paid</t>
        </is>
      </c>
      <c r="CK1912" t="inlineStr">
        <is>
          <t>Not Eligible</t>
        </is>
      </c>
      <c r="CL1912"/>
      <c r="CM1912"/>
    </row>
    <row r="1913" ht="25.5" customHeight="1">
      <c r="A1913" t="inlineStr">
        <is>
          <t>178003</t>
        </is>
      </c>
      <c r="B1913" s="2"/>
      <c r="C1913"/>
      <c r="D1913" s="3">
        <v>46126.74133101852</v>
      </c>
      <c r="E1913" t="inlineStr">
        <is>
          <t>Q2-W02</t>
        </is>
      </c>
      <c r="F1913" t="inlineStr">
        <is>
          <t>Xin Hui</t>
        </is>
      </c>
      <c r="G1913" t="inlineStr">
        <is>
          <t>Customer</t>
        </is>
      </c>
      <c r="H1913" s="2" t="str">
        <f>=HYPERLINK("https://upbox.ajobthing.my/customer/178003", "https://upbox.ajobthing.my/customer/178003")</f>
        <v>https://upbox.ajobthing.my/customer/178003</v>
      </c>
      <c r="I1913" t="inlineStr">
        <is>
          <t>Czm Holding (m) Sdn Bhd</t>
        </is>
      </c>
      <c r="J1913" t="inlineStr">
        <is>
          <t>Small Fish</t>
        </is>
      </c>
      <c r="K1913" t="inlineStr">
        <is>
          <t>Xin Hui</t>
        </is>
      </c>
      <c r="L1913" s="4"/>
      <c r="M1913" s="4">
        <v>46126.73775462963</v>
      </c>
      <c r="N1913"/>
      <c r="O1913">
        <v>6048</v>
      </c>
      <c r="P1913" s="4"/>
      <c r="Q1913" s="4"/>
      <c r="R1913"/>
      <c r="S1913"/>
      <c r="T1913" s="4"/>
      <c r="U1913" s="4"/>
      <c r="V1913"/>
      <c r="W1913"/>
      <c r="X1913"/>
      <c r="Y1913" t="inlineStr">
        <is>
          <t>Pending Appointment</t>
        </is>
      </c>
      <c r="Z1913" t="inlineStr">
        <is>
          <t>Hiring Now</t>
        </is>
      </c>
      <c r="AA1913">
        <v>9</v>
      </c>
      <c r="AB1913" t="inlineStr">
        <is>
          <t>No Appointment Made</t>
        </is>
      </c>
      <c r="AC1913"/>
      <c r="AD1913" t="inlineStr">
        <is>
          <t>company expanding (kota kinabalu) // hiring now // assistant manager (kk)/ supervisor (papar) /customer service( kk) / kitchen crew (kk) / cashier (kk/)/  tearista(kk) // housekeeping(kk) //account clerk (mandarin speaker)// hr clerk (mandarin speaker)</t>
        </is>
      </c>
      <c r="AE1913"/>
      <c r="AF1913">
        <v>0</v>
      </c>
      <c r="AG1913" s="4"/>
      <c r="AH1913" s="4"/>
      <c r="AI1913"/>
      <c r="AJ1913"/>
      <c r="AK1913" t="inlineStr">
        <is>
          <t>No, I don't need at all</t>
        </is>
      </c>
      <c r="AL1913"/>
      <c r="AM1913" t="inlineStr">
        <is>
          <t>No, I don't need at all</t>
        </is>
      </c>
      <c r="AN1913"/>
      <c r="AO1913" t="inlineStr">
        <is>
          <t>No, I don't need at all</t>
        </is>
      </c>
      <c r="AP1913" t="inlineStr">
        <is>
          <t>Once a year (25%)</t>
        </is>
      </c>
      <c r="AQ1913"/>
      <c r="AR1913" t="inlineStr">
        <is>
          <t>Free Job Portal</t>
        </is>
      </c>
      <c r="AS1913" t="inlineStr">
        <is>
          <t>- Headcount: 9
- Hiring Job Details: company expanding (kota kinabalu); hiring now; roles include assistant manager (kk), supervisor (papar), customer service (kk), etc., plus mandarin-speaking account/HR clerks
- Hiring Urgency: Hiring Now
- Number of outlets: N/A
- Have recruiter team: No, I don't need at all
- Number of recruiter in company: N/A
- Have ATS system: No, I don't need at all
- Have career website: No, I don't need at all
- Current hiring budget: RM0.00
- Whole year budget: N/A
- Whole year number of vacancies: N/A
- Hiring frequency: Once a year (25%)
- External job portal: Free Job Portal</t>
        </is>
      </c>
      <c r="AT1913">
        <v>55</v>
      </c>
      <c r="AU1913" t="inlineStr">
        <is>
          <t>0.55</t>
        </is>
      </c>
      <c r="AV1913" t="inlineStr">
        <is>
          <t>20</t>
        </is>
      </c>
      <c r="AW1913" t="inlineStr">
        <is>
          <t>0</t>
        </is>
      </c>
      <c r="AX1913" t="inlineStr">
        <is>
          <t>Not Qualified</t>
        </is>
      </c>
      <c r="AY1913" s="4"/>
      <c r="AZ1913"/>
      <c r="BA1913"/>
      <c r="BB1913"/>
      <c r="BC1913" t="inlineStr">
        <is>
          <t>NA</t>
        </is>
      </c>
      <c r="BD1913" s="4">
        <v>46141.60259259259</v>
      </c>
      <c r="BE1913"/>
      <c r="BF1913"/>
      <c r="BG1913" t="inlineStr">
        <is>
          <t>Reschedule</t>
        </is>
      </c>
      <c r="BH1913" t="inlineStr">
        <is>
          <t>Yee Hang</t>
        </is>
      </c>
      <c r="BI1913" t="inlineStr">
        <is>
          <t>Entertainment / Media</t>
        </is>
      </c>
      <c r="BJ1913" s="4">
        <v>46144.75171296296</v>
      </c>
      <c r="BK1913" s="4">
        <v>45417.09767361111</v>
      </c>
      <c r="BL1913" t="inlineStr">
        <is>
          <t>0.0</t>
        </is>
      </c>
      <c r="BM1913" t="inlineStr">
        <is>
          <t>0.0</t>
        </is>
      </c>
      <c r="BN1913" t="inlineStr">
        <is>
          <t>View Notifications</t>
        </is>
      </c>
      <c r="BO1913" s="4">
        <v>45819.72366898148</v>
      </c>
      <c r="BP1913">
        <v>167055</v>
      </c>
      <c r="BQ1913"/>
      <c r="BR1913"/>
      <c r="BS1913"/>
      <c r="BT1913"/>
      <c r="BU1913"/>
      <c r="BV1913">
        <v>2735314</v>
      </c>
      <c r="BW1913" t="inlineStr">
        <is>
          <t>No Answer : Voicemail - WA sent to customer</t>
        </is>
      </c>
      <c r="BX1913"/>
      <c r="BY1913"/>
      <c r="BZ1913" s="4"/>
      <c r="CA1913"/>
      <c r="CB1913"/>
      <c r="CC1913" s="4"/>
      <c r="CD1913" t="inlineStr">
        <is>
          <t>30</t>
        </is>
      </c>
      <c r="CE1913" t="inlineStr">
        <is>
          <t>0</t>
        </is>
      </c>
      <c r="CF1913" t="inlineStr">
        <is>
          <t>Q2-W02</t>
        </is>
      </c>
      <c r="CG1913"/>
      <c r="CH1913"/>
      <c r="CI1913"/>
      <c r="CJ1913" t="inlineStr">
        <is>
          <t>No Paid</t>
        </is>
      </c>
      <c r="CK1913" t="inlineStr">
        <is>
          <t>Eligible</t>
        </is>
      </c>
      <c r="CL1913"/>
      <c r="CM1913"/>
    </row>
    <row r="1914" ht="25.5" customHeight="1">
      <c r="A1914" t="inlineStr">
        <is>
          <t>202564</t>
        </is>
      </c>
      <c r="B1914" s="2"/>
      <c r="C1914"/>
      <c r="D1914" s="3">
        <v>46126.74232638889</v>
      </c>
      <c r="E1914" t="inlineStr">
        <is>
          <t>Q2-W02</t>
        </is>
      </c>
      <c r="F1914" t="inlineStr">
        <is>
          <t>Clover</t>
        </is>
      </c>
      <c r="G1914" t="inlineStr">
        <is>
          <t>Customer</t>
        </is>
      </c>
      <c r="H1914" s="2" t="str">
        <f>=HYPERLINK("https://upbox.ajobthing.my/customer/202564", "https://upbox.ajobthing.my/customer/202564")</f>
        <v>https://upbox.ajobthing.my/customer/202564</v>
      </c>
      <c r="I1914" t="inlineStr">
        <is>
          <t>Miga K</t>
        </is>
      </c>
      <c r="J1914" t="inlineStr">
        <is>
          <t>Small Fish</t>
        </is>
      </c>
      <c r="K1914" t="inlineStr">
        <is>
          <t>Clover</t>
        </is>
      </c>
      <c r="L1914" s="4"/>
      <c r="M1914" s="4">
        <v>46126.74259259259</v>
      </c>
      <c r="N1914"/>
      <c r="O1914">
        <v>3888</v>
      </c>
      <c r="P1914" s="4"/>
      <c r="Q1914" s="4">
        <v>46111.66981481481</v>
      </c>
      <c r="R1914"/>
      <c r="S1914">
        <v>0</v>
      </c>
      <c r="T1914" s="4"/>
      <c r="U1914" s="4"/>
      <c r="V1914"/>
      <c r="W1914"/>
      <c r="X1914"/>
      <c r="Y1914" t="inlineStr">
        <is>
          <t>Pending Appointment</t>
        </is>
      </c>
      <c r="Z1914" t="inlineStr">
        <is>
          <t>Hiring Now</t>
        </is>
      </c>
      <c r="AA1914">
        <v>2</v>
      </c>
      <c r="AB1914" t="inlineStr">
        <is>
          <t>No Appointment Made</t>
        </is>
      </c>
      <c r="AC1914"/>
      <c r="AD1914" t="inlineStr">
        <is>
          <t>Call office 04-611 0712 ,   ,  call PIC Ms Suzy again hire HR exec x1 , kitchen crew x1,  prefer malay only, wa Ms Suzy / 0174312217 Mr Chris, bos is korean</t>
        </is>
      </c>
      <c r="AE1914"/>
      <c r="AF1914">
        <v>3000</v>
      </c>
      <c r="AG1914" s="4"/>
      <c r="AH1914" s="4"/>
      <c r="AI1914">
        <v>3000</v>
      </c>
      <c r="AJ1914">
        <v>1</v>
      </c>
      <c r="AK1914" t="inlineStr">
        <is>
          <t>No, but I want in future</t>
        </is>
      </c>
      <c r="AL1914">
        <v>1</v>
      </c>
      <c r="AM1914" t="inlineStr">
        <is>
          <t>No, but I want in future</t>
        </is>
      </c>
      <c r="AN1914"/>
      <c r="AO1914" t="inlineStr">
        <is>
          <t>No, but I want in future</t>
        </is>
      </c>
      <c r="AP1914" t="inlineStr">
        <is>
          <t>Twice a year (50%)</t>
        </is>
      </c>
      <c r="AQ1914">
        <v>2</v>
      </c>
      <c r="AR1914" t="inlineStr">
        <is>
          <t>Did not use any job portal</t>
        </is>
      </c>
      <c r="AS1914" t="inlineStr">
        <is>
          <t>- Headcount: 2
- Hiring Job Details: 1 HR exec, 1 kitchen crew (prefer Malay only); contact 04-611 0712, Ms Suzy (WA 0174312217) or Mr Chris; boss is Korean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is>
      </c>
      <c r="AT1914">
        <v>115</v>
      </c>
      <c r="AU1914" t="inlineStr">
        <is>
          <t>1.15</t>
        </is>
      </c>
      <c r="AV1914" t="inlineStr">
        <is>
          <t>15</t>
        </is>
      </c>
      <c r="AW1914" t="inlineStr">
        <is>
          <t>0</t>
        </is>
      </c>
      <c r="AX1914" t="inlineStr">
        <is>
          <t>Not Qualified</t>
        </is>
      </c>
      <c r="AY1914" s="4"/>
      <c r="AZ1914"/>
      <c r="BA1914"/>
      <c r="BB1914"/>
      <c r="BC1914" t="inlineStr">
        <is>
          <t>Call npu, wa</t>
        </is>
      </c>
      <c r="BD1914" s="4">
        <v>46133.723020833335</v>
      </c>
      <c r="BE1914" t="inlineStr">
        <is>
          <t>paid</t>
        </is>
      </c>
      <c r="BF1914"/>
      <c r="BG1914" t="inlineStr">
        <is>
          <t>Reschedule</t>
        </is>
      </c>
      <c r="BH1914" t="inlineStr">
        <is>
          <t>Reagen</t>
        </is>
      </c>
      <c r="BI1914"/>
      <c r="BJ1914" s="4">
        <v>46144.75407407407</v>
      </c>
      <c r="BK1914" s="4">
        <v>46111.61813657408</v>
      </c>
      <c r="BL1914" t="inlineStr">
        <is>
          <t>0.0</t>
        </is>
      </c>
      <c r="BM1914" t="inlineStr">
        <is>
          <t>0.0</t>
        </is>
      </c>
      <c r="BN1914" t="inlineStr">
        <is>
          <t>View Company Page</t>
        </is>
      </c>
      <c r="BO1914" s="4">
        <v>46116.30275462963</v>
      </c>
      <c r="BP1914">
        <v>167056</v>
      </c>
      <c r="BQ1914">
        <v>118606</v>
      </c>
      <c r="BR1914" t="inlineStr">
        <is>
          <t>Proforma</t>
        </is>
      </c>
      <c r="BS1914" t="inlineStr">
        <is>
          <t>Free Part-Time Job</t>
        </is>
      </c>
      <c r="BT1914"/>
      <c r="BU1914"/>
      <c r="BV1914">
        <v>2719067</v>
      </c>
      <c r="BW1914" t="inlineStr">
        <is>
          <t>No Answer : Voicemail - WA sent to customer</t>
        </is>
      </c>
      <c r="BX1914"/>
      <c r="BY1914"/>
      <c r="BZ1914" s="4"/>
      <c r="CA1914"/>
      <c r="CB1914"/>
      <c r="CC1914" s="4"/>
      <c r="CD1914" t="inlineStr">
        <is>
          <t>20</t>
        </is>
      </c>
      <c r="CE1914" t="inlineStr">
        <is>
          <t>0</t>
        </is>
      </c>
      <c r="CF1914" t="inlineStr">
        <is>
          <t>Q2-W02</t>
        </is>
      </c>
      <c r="CG1914" t="inlineStr">
        <is>
          <t>Q1-W13</t>
        </is>
      </c>
      <c r="CH1914"/>
      <c r="CI1914"/>
      <c r="CJ1914" t="inlineStr">
        <is>
          <t>No Paid</t>
        </is>
      </c>
      <c r="CK1914" t="inlineStr">
        <is>
          <t>Not Eligible</t>
        </is>
      </c>
      <c r="CL1914"/>
      <c r="CM1914"/>
    </row>
    <row r="1915" ht="25.5" customHeight="1">
      <c r="A1915" t="inlineStr">
        <is>
          <t>202564</t>
        </is>
      </c>
      <c r="B1915" s="2"/>
      <c r="C1915"/>
      <c r="D1915" s="3">
        <v>46126.74431712963</v>
      </c>
      <c r="E1915" t="inlineStr">
        <is>
          <t>Q2-W02</t>
        </is>
      </c>
      <c r="F1915" t="inlineStr">
        <is>
          <t>Clover</t>
        </is>
      </c>
      <c r="G1915" t="inlineStr">
        <is>
          <t>Customer</t>
        </is>
      </c>
      <c r="H1915" s="2" t="str">
        <f>=HYPERLINK("https://upbox.ajobthing.my/customer/202564", "https://upbox.ajobthing.my/customer/202564")</f>
        <v>https://upbox.ajobthing.my/customer/202564</v>
      </c>
      <c r="I1915" t="inlineStr">
        <is>
          <t>Miga K</t>
        </is>
      </c>
      <c r="J1915" t="inlineStr">
        <is>
          <t>Small Fish</t>
        </is>
      </c>
      <c r="K1915" t="inlineStr">
        <is>
          <t>Clover</t>
        </is>
      </c>
      <c r="L1915" s="4"/>
      <c r="M1915" s="4">
        <v>46126.74259259259</v>
      </c>
      <c r="N1915"/>
      <c r="O1915">
        <v>3888</v>
      </c>
      <c r="P1915" s="4"/>
      <c r="Q1915" s="4">
        <v>46111.66981481481</v>
      </c>
      <c r="R1915"/>
      <c r="S1915">
        <v>0</v>
      </c>
      <c r="T1915" s="4"/>
      <c r="U1915" s="4"/>
      <c r="V1915"/>
      <c r="W1915"/>
      <c r="X1915"/>
      <c r="Y1915" t="inlineStr">
        <is>
          <t>Pending Appointment</t>
        </is>
      </c>
      <c r="Z1915" t="inlineStr">
        <is>
          <t>Hiring Now</t>
        </is>
      </c>
      <c r="AA1915">
        <v>2</v>
      </c>
      <c r="AB1915" t="inlineStr">
        <is>
          <t>No Appointment Made</t>
        </is>
      </c>
      <c r="AC1915"/>
      <c r="AD1915" t="inlineStr">
        <is>
          <t>Call office 04-611 0712 , , call PIC Ms Suzy again hire HR exec x1 , kitchen crew x1, prefer malay only, wa Ms Suzy / 0174312217 Mr Chris, bos is korean, sunway velocity</t>
        </is>
      </c>
      <c r="AE1915"/>
      <c r="AF1915">
        <v>3000</v>
      </c>
      <c r="AG1915" s="4"/>
      <c r="AH1915" s="4"/>
      <c r="AI1915">
        <v>300</v>
      </c>
      <c r="AJ1915">
        <v>1</v>
      </c>
      <c r="AK1915" t="inlineStr">
        <is>
          <t>No, but I want in future</t>
        </is>
      </c>
      <c r="AL1915">
        <v>1</v>
      </c>
      <c r="AM1915" t="inlineStr">
        <is>
          <t>No, but I want in future</t>
        </is>
      </c>
      <c r="AN1915"/>
      <c r="AO1915" t="inlineStr">
        <is>
          <t>No, but I want in future</t>
        </is>
      </c>
      <c r="AP1915" t="inlineStr">
        <is>
          <t>Twice a year (50%)</t>
        </is>
      </c>
      <c r="AQ1915">
        <v>2</v>
      </c>
      <c r="AR1915" t="inlineStr">
        <is>
          <t>Did not use any job portal</t>
        </is>
      </c>
      <c r="AS1915" t="inlineStr">
        <is>
          <t>- Headcount: 2
- Hiring Job Details: 1 HR exec, 1 kitchen crew (prefer Malay only); contact 04-611 0712/Ms Suzy (WA 0174312217)/Mr Chris; Korean boss; Sunway Velocity
- Hiring Urgency: Hiring Now
- Number of outlets: 1
- Have recruiter team: No, but want in future
- Number of recruiter in company: 1
- Have ATS system: No, but want in future
- Have career website: No, but want in future
- Current hiring budget: RM3,000.00
- Whole year budget: RM300.00
- Whole year number of vacancies: 2
- Hiring frequency: Twice a year (50%)
- External job portal: Did not use any</t>
        </is>
      </c>
      <c r="AT1915">
        <v>110</v>
      </c>
      <c r="AU1915" t="inlineStr">
        <is>
          <t>1.10</t>
        </is>
      </c>
      <c r="AV1915" t="inlineStr">
        <is>
          <t>15</t>
        </is>
      </c>
      <c r="AW1915" t="inlineStr">
        <is>
          <t>0</t>
        </is>
      </c>
      <c r="AX1915" t="inlineStr">
        <is>
          <t>Not Qualified</t>
        </is>
      </c>
      <c r="AY1915" s="4"/>
      <c r="AZ1915"/>
      <c r="BA1915"/>
      <c r="BB1915"/>
      <c r="BC1915" t="inlineStr">
        <is>
          <t>Call npu, wa</t>
        </is>
      </c>
      <c r="BD1915" s="4">
        <v>46133.723020833335</v>
      </c>
      <c r="BE1915" t="inlineStr">
        <is>
          <t>paid</t>
        </is>
      </c>
      <c r="BF1915"/>
      <c r="BG1915" t="inlineStr">
        <is>
          <t>Reschedule</t>
        </is>
      </c>
      <c r="BH1915" t="inlineStr">
        <is>
          <t>Reagen</t>
        </is>
      </c>
      <c r="BI1915"/>
      <c r="BJ1915" s="4">
        <v>46144.75407407407</v>
      </c>
      <c r="BK1915" s="4">
        <v>46111.61813657408</v>
      </c>
      <c r="BL1915" t="inlineStr">
        <is>
          <t>0.0</t>
        </is>
      </c>
      <c r="BM1915" t="inlineStr">
        <is>
          <t>0.0</t>
        </is>
      </c>
      <c r="BN1915" t="inlineStr">
        <is>
          <t>View Company Page</t>
        </is>
      </c>
      <c r="BO1915" s="4">
        <v>46116.30275462963</v>
      </c>
      <c r="BP1915">
        <v>167056</v>
      </c>
      <c r="BQ1915">
        <v>118606</v>
      </c>
      <c r="BR1915" t="inlineStr">
        <is>
          <t>Proforma</t>
        </is>
      </c>
      <c r="BS1915" t="inlineStr">
        <is>
          <t>Free Part-Time Job</t>
        </is>
      </c>
      <c r="BT1915"/>
      <c r="BU1915"/>
      <c r="BV1915">
        <v>2719067</v>
      </c>
      <c r="BW1915" t="inlineStr">
        <is>
          <t>No Answer : Voicemail - WA sent to customer</t>
        </is>
      </c>
      <c r="BX1915"/>
      <c r="BY1915"/>
      <c r="BZ1915" s="4"/>
      <c r="CA1915"/>
      <c r="CB1915"/>
      <c r="CC1915" s="4"/>
      <c r="CD1915" t="inlineStr">
        <is>
          <t>20</t>
        </is>
      </c>
      <c r="CE1915" t="inlineStr">
        <is>
          <t>0</t>
        </is>
      </c>
      <c r="CF1915" t="inlineStr">
        <is>
          <t>Q2-W02</t>
        </is>
      </c>
      <c r="CG1915" t="inlineStr">
        <is>
          <t>Q1-W13</t>
        </is>
      </c>
      <c r="CH1915"/>
      <c r="CI1915"/>
      <c r="CJ1915" t="inlineStr">
        <is>
          <t>No Paid</t>
        </is>
      </c>
      <c r="CK1915" t="inlineStr">
        <is>
          <t>Not Eligible</t>
        </is>
      </c>
      <c r="CL1915"/>
      <c r="CM1915"/>
    </row>
    <row r="1916" ht="25.5" customHeight="1">
      <c r="A1916" t="inlineStr">
        <is>
          <t>203240</t>
        </is>
      </c>
      <c r="B1916" s="2"/>
      <c r="C1916"/>
      <c r="D1916" s="3">
        <v>46127.405706018515</v>
      </c>
      <c r="E1916" t="inlineStr">
        <is>
          <t>Q2-W02</t>
        </is>
      </c>
      <c r="F1916" t="inlineStr">
        <is>
          <t>Keegan</t>
        </is>
      </c>
      <c r="G1916" t="inlineStr">
        <is>
          <t>Customer</t>
        </is>
      </c>
      <c r="H1916" s="2" t="str">
        <f>=HYPERLINK("https://upbox.ajobthing.my/customer/203240", "https://upbox.ajobthing.my/customer/203240")</f>
        <v>https://upbox.ajobthing.my/customer/203240</v>
      </c>
      <c r="I1916" t="inlineStr">
        <is>
          <t>Northern Euro bw Sdn. Bhd.</t>
        </is>
      </c>
      <c r="J1916" t="inlineStr">
        <is>
          <t>Small Fish</t>
        </is>
      </c>
      <c r="K1916" t="inlineStr">
        <is>
          <t>Keegan</t>
        </is>
      </c>
      <c r="L1916" s="4"/>
      <c r="M1916" s="4">
        <v>46127.40591435185</v>
      </c>
      <c r="N1916"/>
      <c r="O1916">
        <v>3672</v>
      </c>
      <c r="P1916" s="4"/>
      <c r="Q1916" s="4"/>
      <c r="R1916"/>
      <c r="S1916"/>
      <c r="T1916" s="4"/>
      <c r="U1916" s="4"/>
      <c r="V1916"/>
      <c r="W1916"/>
      <c r="X1916"/>
      <c r="Y1916" t="inlineStr">
        <is>
          <t>Pending Appointment</t>
        </is>
      </c>
      <c r="Z1916" t="inlineStr">
        <is>
          <t>Hiring Now</t>
        </is>
      </c>
      <c r="AA1916">
        <v>1</v>
      </c>
      <c r="AB1916" t="inlineStr">
        <is>
          <t>No Appointment Made</t>
        </is>
      </c>
      <c r="AC1916"/>
      <c r="AD1916" t="inlineStr">
        <is>
          <t xml:space="preserve">1. Store Assistant </t>
        </is>
      </c>
      <c r="AE1916"/>
      <c r="AF1916"/>
      <c r="AG1916" s="4"/>
      <c r="AH1916" s="4"/>
      <c r="AI1916"/>
      <c r="AJ1916">
        <v>1</v>
      </c>
      <c r="AK1916" t="inlineStr">
        <is>
          <t>No, I don't need at all</t>
        </is>
      </c>
      <c r="AL1916">
        <v>0</v>
      </c>
      <c r="AM1916" t="inlineStr">
        <is>
          <t>No, I don't need at all</t>
        </is>
      </c>
      <c r="AN1916"/>
      <c r="AO1916" t="inlineStr">
        <is>
          <t>No, I don't need at all</t>
        </is>
      </c>
      <c r="AP1916" t="inlineStr">
        <is>
          <t>Once per quarter (75%)</t>
        </is>
      </c>
      <c r="AQ1916"/>
      <c r="AR1916" t="inlineStr">
        <is>
          <t>Did not use any job portal</t>
        </is>
      </c>
      <c r="AS1916" t="inlineStr">
        <is>
          <t>- Headcount: 1
- Hiring Job Details: 1 Store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916">
        <v>95</v>
      </c>
      <c r="AU1916" t="inlineStr">
        <is>
          <t>0.95</t>
        </is>
      </c>
      <c r="AV1916" t="inlineStr">
        <is>
          <t>5</t>
        </is>
      </c>
      <c r="AW1916" t="inlineStr">
        <is>
          <t>0</t>
        </is>
      </c>
      <c r="AX1916" t="inlineStr">
        <is>
          <t>Not Qualified</t>
        </is>
      </c>
      <c r="AY1916" s="4"/>
      <c r="AZ1916"/>
      <c r="BA1916"/>
      <c r="BB1916"/>
      <c r="BC1916" t="inlineStr">
        <is>
          <t>Lost due to hiring postponed</t>
        </is>
      </c>
      <c r="BD1916" s="4">
        <v>46129.4608912037</v>
      </c>
      <c r="BE1916"/>
      <c r="BF1916"/>
      <c r="BG1916" t="inlineStr">
        <is>
          <t>Reschedule</t>
        </is>
      </c>
      <c r="BH1916" t="inlineStr">
        <is>
          <t>Edward Hoo</t>
        </is>
      </c>
      <c r="BI1916"/>
      <c r="BJ1916" s="4">
        <v>46144.75425925926</v>
      </c>
      <c r="BK1916" s="4">
        <v>46127.3894212963</v>
      </c>
      <c r="BL1916" t="inlineStr">
        <is>
          <t>0.0</t>
        </is>
      </c>
      <c r="BM1916" t="inlineStr">
        <is>
          <t>0.0</t>
        </is>
      </c>
      <c r="BN1916" t="inlineStr">
        <is>
          <t>View Company Page</t>
        </is>
      </c>
      <c r="BO1916" s="4">
        <v>46127.38949074074</v>
      </c>
      <c r="BP1916">
        <v>167071</v>
      </c>
      <c r="BQ1916"/>
      <c r="BR1916"/>
      <c r="BS1916"/>
      <c r="BT1916"/>
      <c r="BU1916"/>
      <c r="BV1916">
        <v>2711397</v>
      </c>
      <c r="BW1916" t="inlineStr">
        <is>
          <t>Follow Up : Lost - Free Portal</t>
        </is>
      </c>
      <c r="BX1916"/>
      <c r="BY1916"/>
      <c r="BZ1916" s="4"/>
      <c r="CA1916"/>
      <c r="CB1916"/>
      <c r="CC1916" s="4"/>
      <c r="CD1916" t="inlineStr">
        <is>
          <t>5</t>
        </is>
      </c>
      <c r="CE1916" t="inlineStr">
        <is>
          <t>0</t>
        </is>
      </c>
      <c r="CF1916" t="inlineStr">
        <is>
          <t>Q2-W02</t>
        </is>
      </c>
      <c r="CG1916"/>
      <c r="CH1916"/>
      <c r="CI1916"/>
      <c r="CJ1916" t="inlineStr">
        <is>
          <t>No Paid</t>
        </is>
      </c>
      <c r="CK1916" t="inlineStr">
        <is>
          <t>Not Eligible</t>
        </is>
      </c>
      <c r="CL1916"/>
      <c r="CM1916"/>
    </row>
    <row r="1917" ht="25.5" customHeight="1">
      <c r="A1917" t="inlineStr">
        <is>
          <t>203245</t>
        </is>
      </c>
      <c r="B1917" s="2"/>
      <c r="C1917"/>
      <c r="D1917" s="3">
        <v>46127.41616898148</v>
      </c>
      <c r="E1917" t="inlineStr">
        <is>
          <t>Q2-W02</t>
        </is>
      </c>
      <c r="F1917" t="inlineStr">
        <is>
          <t>Keegan</t>
        </is>
      </c>
      <c r="G1917" t="inlineStr">
        <is>
          <t>Customer</t>
        </is>
      </c>
      <c r="H1917" s="2" t="str">
        <f>=HYPERLINK("https://upbox.ajobthing.my/customer/203245", "https://upbox.ajobthing.my/customer/203245")</f>
        <v>https://upbox.ajobthing.my/customer/203245</v>
      </c>
      <c r="I1917" t="inlineStr">
        <is>
          <t>Yi Li Food Based Industries Sdn Bhd</t>
        </is>
      </c>
      <c r="J1917" t="inlineStr">
        <is>
          <t>Small Fish</t>
        </is>
      </c>
      <c r="K1917" t="inlineStr">
        <is>
          <t>Keegan</t>
        </is>
      </c>
      <c r="L1917" s="4"/>
      <c r="M1917" s="4">
        <v>46127.416712962964</v>
      </c>
      <c r="N1917"/>
      <c r="O1917">
        <v>6048</v>
      </c>
      <c r="P1917" s="4"/>
      <c r="Q1917" s="4"/>
      <c r="R1917"/>
      <c r="S1917"/>
      <c r="T1917" s="4"/>
      <c r="U1917" s="4"/>
      <c r="V1917"/>
      <c r="W1917"/>
      <c r="X1917"/>
      <c r="Y1917" t="inlineStr">
        <is>
          <t>Pending Appointment</t>
        </is>
      </c>
      <c r="Z1917" t="inlineStr">
        <is>
          <t>Hiring Now</t>
        </is>
      </c>
      <c r="AA1917">
        <v>1</v>
      </c>
      <c r="AB1917" t="inlineStr">
        <is>
          <t>No Appointment Made</t>
        </is>
      </c>
      <c r="AC1917"/>
      <c r="AD1917" t="inlineStr">
        <is>
          <t xml:space="preserve">1. Admin </t>
        </is>
      </c>
      <c r="AE1917"/>
      <c r="AF1917"/>
      <c r="AG1917" s="4"/>
      <c r="AH1917" s="4"/>
      <c r="AI1917"/>
      <c r="AJ1917">
        <v>1</v>
      </c>
      <c r="AK1917" t="inlineStr">
        <is>
          <t>No, I don't need at all</t>
        </is>
      </c>
      <c r="AL1917">
        <v>0</v>
      </c>
      <c r="AM1917" t="inlineStr">
        <is>
          <t>No, I don't need at all</t>
        </is>
      </c>
      <c r="AN1917"/>
      <c r="AO1917" t="inlineStr">
        <is>
          <t>No, I don't need at all</t>
        </is>
      </c>
      <c r="AP1917" t="inlineStr">
        <is>
          <t>Once per quarter (75%)</t>
        </is>
      </c>
      <c r="AQ1917"/>
      <c r="AR1917" t="inlineStr">
        <is>
          <t>Did not use any job portal</t>
        </is>
      </c>
      <c r="AS1917" t="inlineStr">
        <is>
          <t>- Headcount: 1
- Hiring Job Details: 1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917">
        <v>100</v>
      </c>
      <c r="AU1917" t="inlineStr">
        <is>
          <t>1.00</t>
        </is>
      </c>
      <c r="AV1917" t="inlineStr">
        <is>
          <t>5</t>
        </is>
      </c>
      <c r="AW1917" t="inlineStr">
        <is>
          <t>0</t>
        </is>
      </c>
      <c r="AX1917" t="inlineStr">
        <is>
          <t>Not Qualified</t>
        </is>
      </c>
      <c r="AY1917" s="4"/>
      <c r="AZ1917"/>
      <c r="BA1917"/>
      <c r="BB1917"/>
      <c r="BC1917" t="inlineStr">
        <is>
          <t>1 position and quotation sent</t>
        </is>
      </c>
      <c r="BD1917" s="4">
        <v>46127.41756944444</v>
      </c>
      <c r="BE1917"/>
      <c r="BF1917"/>
      <c r="BG1917" t="inlineStr">
        <is>
          <t>Reschedule</t>
        </is>
      </c>
      <c r="BH1917" t="inlineStr">
        <is>
          <t>Edward Hoo</t>
        </is>
      </c>
      <c r="BI1917"/>
      <c r="BJ1917" s="4">
        <v>46144.75425925926</v>
      </c>
      <c r="BK1917" s="4">
        <v>46127.415555555555</v>
      </c>
      <c r="BL1917" t="inlineStr">
        <is>
          <t>0.0</t>
        </is>
      </c>
      <c r="BM1917" t="inlineStr">
        <is>
          <t>0.0</t>
        </is>
      </c>
      <c r="BN1917"/>
      <c r="BO1917" s="4"/>
      <c r="BP1917">
        <v>167075</v>
      </c>
      <c r="BQ1917"/>
      <c r="BR1917"/>
      <c r="BS1917"/>
      <c r="BT1917"/>
      <c r="BU1917"/>
      <c r="BV1917">
        <v>2705041</v>
      </c>
      <c r="BW1917" t="inlineStr">
        <is>
          <t>Inquire for Hiring Needs : Quotation Sent 50%</t>
        </is>
      </c>
      <c r="BX1917"/>
      <c r="BY1917"/>
      <c r="BZ1917" s="4"/>
      <c r="CA1917"/>
      <c r="CB1917"/>
      <c r="CC1917" s="4"/>
      <c r="CD1917" t="inlineStr">
        <is>
          <t>5</t>
        </is>
      </c>
      <c r="CE1917" t="inlineStr">
        <is>
          <t>0</t>
        </is>
      </c>
      <c r="CF1917" t="inlineStr">
        <is>
          <t>Q2-W02</t>
        </is>
      </c>
      <c r="CG1917"/>
      <c r="CH1917"/>
      <c r="CI1917"/>
      <c r="CJ1917" t="inlineStr">
        <is>
          <t>No Paid</t>
        </is>
      </c>
      <c r="CK1917" t="inlineStr">
        <is>
          <t>Not Eligible</t>
        </is>
      </c>
      <c r="CL1917"/>
      <c r="CM1917"/>
    </row>
    <row r="1918" ht="25.5" customHeight="1">
      <c r="A1918" t="inlineStr">
        <is>
          <t>203249</t>
        </is>
      </c>
      <c r="B1918" s="2"/>
      <c r="C1918"/>
      <c r="D1918" s="3">
        <v>46127.43135416666</v>
      </c>
      <c r="E1918" t="inlineStr">
        <is>
          <t>Q2-W02</t>
        </is>
      </c>
      <c r="F1918" t="inlineStr">
        <is>
          <t>Xin Quan</t>
        </is>
      </c>
      <c r="G1918" t="inlineStr">
        <is>
          <t>Customer</t>
        </is>
      </c>
      <c r="H1918" s="2" t="str">
        <f>=HYPERLINK("https://upbox.ajobthing.my/customer/203249", "https://upbox.ajobthing.my/customer/203249")</f>
        <v>https://upbox.ajobthing.my/customer/203249</v>
      </c>
      <c r="I1918" t="inlineStr">
        <is>
          <t>LITREON ENTERPRISE</t>
        </is>
      </c>
      <c r="J1918" t="inlineStr">
        <is>
          <t>Small Fish</t>
        </is>
      </c>
      <c r="K1918" t="inlineStr">
        <is>
          <t>Xin Quan</t>
        </is>
      </c>
      <c r="L1918" s="4"/>
      <c r="M1918" s="4">
        <v>46127.431446759256</v>
      </c>
      <c r="N1918"/>
      <c r="O1918">
        <v>3888</v>
      </c>
      <c r="P1918" s="4"/>
      <c r="Q1918" s="4"/>
      <c r="R1918"/>
      <c r="S1918"/>
      <c r="T1918" s="4"/>
      <c r="U1918" s="4"/>
      <c r="V1918"/>
      <c r="W1918"/>
      <c r="X1918"/>
      <c r="Y1918" t="inlineStr">
        <is>
          <t>Pending Appointment</t>
        </is>
      </c>
      <c r="Z1918" t="inlineStr">
        <is>
          <t>Hiring Now</t>
        </is>
      </c>
      <c r="AA1918">
        <v>1</v>
      </c>
      <c r="AB1918" t="inlineStr">
        <is>
          <t>No Appointment Made</t>
        </is>
      </c>
      <c r="AC1918"/>
      <c r="AD1918" t="inlineStr">
        <is>
          <t>1 Deliveryman , Base in KL</t>
        </is>
      </c>
      <c r="AE1918"/>
      <c r="AF1918">
        <v>2000</v>
      </c>
      <c r="AG1918" s="4"/>
      <c r="AH1918" s="4"/>
      <c r="AI1918">
        <v>24000</v>
      </c>
      <c r="AJ1918">
        <v>1</v>
      </c>
      <c r="AK1918" t="inlineStr">
        <is>
          <t>No, I don't need at all</t>
        </is>
      </c>
      <c r="AL1918">
        <v>1</v>
      </c>
      <c r="AM1918" t="inlineStr">
        <is>
          <t>No, I don't need at all</t>
        </is>
      </c>
      <c r="AN1918"/>
      <c r="AO1918" t="inlineStr">
        <is>
          <t>No, I don't need at all</t>
        </is>
      </c>
      <c r="AP1918" t="inlineStr">
        <is>
          <t>Once a year (25%)</t>
        </is>
      </c>
      <c r="AQ1918">
        <v>1</v>
      </c>
      <c r="AR1918"/>
      <c r="AS1918" t="inlineStr">
        <is>
          <t>- Headcount: 1
- Hiring Job Details: 1 Deliveryman,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1918">
        <v>115</v>
      </c>
      <c r="AU1918" t="inlineStr">
        <is>
          <t>1.15</t>
        </is>
      </c>
      <c r="AV1918" t="inlineStr">
        <is>
          <t>15</t>
        </is>
      </c>
      <c r="AW1918" t="inlineStr">
        <is>
          <t>0</t>
        </is>
      </c>
      <c r="AX1918" t="inlineStr">
        <is>
          <t>Not Qualified</t>
        </is>
      </c>
      <c r="AY1918" s="4"/>
      <c r="AZ1918"/>
      <c r="BA1918"/>
      <c r="BB1918"/>
      <c r="BC1918" t="inlineStr">
        <is>
          <t>NH , RTT</t>
        </is>
      </c>
      <c r="BD1918" s="4">
        <v>46135.50934027778</v>
      </c>
      <c r="BE1918"/>
      <c r="BF1918"/>
      <c r="BG1918" t="inlineStr">
        <is>
          <t>Reschedule</t>
        </is>
      </c>
      <c r="BH1918" t="inlineStr">
        <is>
          <t>Edward Hoo</t>
        </is>
      </c>
      <c r="BI1918"/>
      <c r="BJ1918" s="4">
        <v>46144.75425925926</v>
      </c>
      <c r="BK1918" s="4">
        <v>46127.42984953704</v>
      </c>
      <c r="BL1918" t="inlineStr">
        <is>
          <t>0.0</t>
        </is>
      </c>
      <c r="BM1918" t="inlineStr">
        <is>
          <t>0.0</t>
        </is>
      </c>
      <c r="BN1918"/>
      <c r="BO1918" s="4"/>
      <c r="BP1918">
        <v>167077</v>
      </c>
      <c r="BQ1918"/>
      <c r="BR1918"/>
      <c r="BS1918"/>
      <c r="BT1918"/>
      <c r="BU1918"/>
      <c r="BV1918">
        <v>2723079</v>
      </c>
      <c r="BW1918" t="inlineStr">
        <is>
          <t>Inquire for Hiring Needs : No Hiring</t>
        </is>
      </c>
      <c r="BX1918"/>
      <c r="BY1918"/>
      <c r="BZ1918" s="4"/>
      <c r="CA1918"/>
      <c r="CB1918"/>
      <c r="CC1918" s="4"/>
      <c r="CD1918" t="inlineStr">
        <is>
          <t>20</t>
        </is>
      </c>
      <c r="CE1918" t="inlineStr">
        <is>
          <t>0</t>
        </is>
      </c>
      <c r="CF1918" t="inlineStr">
        <is>
          <t>Q2-W02</t>
        </is>
      </c>
      <c r="CG1918"/>
      <c r="CH1918"/>
      <c r="CI1918"/>
      <c r="CJ1918" t="inlineStr">
        <is>
          <t>No Paid</t>
        </is>
      </c>
      <c r="CK1918" t="inlineStr">
        <is>
          <t>Not Eligible</t>
        </is>
      </c>
      <c r="CL1918"/>
      <c r="CM1918"/>
    </row>
    <row r="1919" ht="25.5" customHeight="1">
      <c r="A1919" t="inlineStr">
        <is>
          <t>4275819</t>
        </is>
      </c>
      <c r="B1919" s="2"/>
      <c r="C1919"/>
      <c r="D1919" s="3">
        <v>46127.43457175926</v>
      </c>
      <c r="E1919" t="inlineStr">
        <is>
          <t>Q2-W02</t>
        </is>
      </c>
      <c r="F1919" t="inlineStr">
        <is>
          <t>Lucas</t>
        </is>
      </c>
      <c r="G1919" t="inlineStr">
        <is>
          <t>Lead</t>
        </is>
      </c>
      <c r="H1919" s="2" t="str">
        <f>=HYPERLINK("https://upbox.ajobthing.my/leads/4275819", "https://upbox.ajobthing.my/leads/4275819")</f>
        <v>https://upbox.ajobthing.my/leads/4275819</v>
      </c>
      <c r="I1919" t="inlineStr">
        <is>
          <t>HATIN A.G BRIDAL</t>
        </is>
      </c>
      <c r="J1919" t="inlineStr">
        <is>
          <t>Small Fish</t>
        </is>
      </c>
      <c r="K1919" t="inlineStr">
        <is>
          <t>Lucas</t>
        </is>
      </c>
      <c r="L1919" s="4"/>
      <c r="M1919" s="4">
        <v>46127.43131944445</v>
      </c>
      <c r="N1919"/>
      <c r="O1919">
        <v>6048</v>
      </c>
      <c r="P1919" s="4"/>
      <c r="Q1919" s="4"/>
      <c r="R1919"/>
      <c r="S1919"/>
      <c r="T1919" s="4"/>
      <c r="U1919" s="4"/>
      <c r="V1919"/>
      <c r="W1919"/>
      <c r="X1919"/>
      <c r="Y1919" t="inlineStr">
        <is>
          <t>Pending Appointment</t>
        </is>
      </c>
      <c r="Z1919" t="inlineStr">
        <is>
          <t>Hiring Now</t>
        </is>
      </c>
      <c r="AA1919">
        <v>4</v>
      </c>
      <c r="AB1919" t="inlineStr">
        <is>
          <t>No Appointment Made</t>
        </is>
      </c>
      <c r="AC1919"/>
      <c r="AD1919" t="inlineStr">
        <is>
          <t>2 makeup  artis , 2 bride assistance</t>
        </is>
      </c>
      <c r="AE1919"/>
      <c r="AF1919">
        <v>0</v>
      </c>
      <c r="AG1919" s="4"/>
      <c r="AH1919" s="4"/>
      <c r="AI1919">
        <v>0</v>
      </c>
      <c r="AJ1919">
        <v>0</v>
      </c>
      <c r="AK1919" t="inlineStr">
        <is>
          <t>No, I don't need at all</t>
        </is>
      </c>
      <c r="AL1919">
        <v>0</v>
      </c>
      <c r="AM1919" t="inlineStr">
        <is>
          <t>No, I don't need at all</t>
        </is>
      </c>
      <c r="AN1919"/>
      <c r="AO1919" t="inlineStr">
        <is>
          <t>No, I don't need at all</t>
        </is>
      </c>
      <c r="AP1919" t="inlineStr">
        <is>
          <t>Once a year (25%)</t>
        </is>
      </c>
      <c r="AQ1919">
        <v>3</v>
      </c>
      <c r="AR1919" t="inlineStr">
        <is>
          <t>Did not use any job portal</t>
        </is>
      </c>
      <c r="AS1919" t="inlineStr">
        <is>
          <t>- Headcount: 4
- Hiring Job Details: 2 makeup artists, 2 bride assistance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is>
      </c>
      <c r="AT1919">
        <v>95</v>
      </c>
      <c r="AU1919" t="inlineStr">
        <is>
          <t>0.95</t>
        </is>
      </c>
      <c r="AV1919" t="inlineStr">
        <is>
          <t>15</t>
        </is>
      </c>
      <c r="AW1919" t="inlineStr">
        <is>
          <t>0</t>
        </is>
      </c>
      <c r="AX1919" t="inlineStr">
        <is>
          <t>Not Qualified</t>
        </is>
      </c>
      <c r="AY1919" s="4"/>
      <c r="AZ1919"/>
      <c r="BA1919"/>
      <c r="BB1919"/>
      <c r="BC1919"/>
      <c r="BD1919" s="4"/>
      <c r="BE1919"/>
      <c r="BF1919"/>
      <c r="BG1919" t="inlineStr">
        <is>
          <t>Reschedule</t>
        </is>
      </c>
      <c r="BH1919" t="inlineStr">
        <is>
          <t>Yee Hang</t>
        </is>
      </c>
      <c r="BI1919"/>
      <c r="BJ1919" s="4">
        <v>46144.75581018518</v>
      </c>
      <c r="BK1919" s="4">
        <v>46125.46959490741</v>
      </c>
      <c r="BL1919" t="inlineStr">
        <is>
          <t>0.0</t>
        </is>
      </c>
      <c r="BM1919" t="inlineStr">
        <is>
          <t>0.0</t>
        </is>
      </c>
      <c r="BN1919"/>
      <c r="BO1919" s="4"/>
      <c r="BP1919">
        <v>167076</v>
      </c>
      <c r="BQ1919"/>
      <c r="BR1919"/>
      <c r="BS1919"/>
      <c r="BT1919"/>
      <c r="BU1919"/>
      <c r="BV1919"/>
      <c r="BW1919"/>
      <c r="BX1919"/>
      <c r="BY1919"/>
      <c r="BZ1919" s="4"/>
      <c r="CA1919"/>
      <c r="CB1919"/>
      <c r="CC1919" s="4"/>
      <c r="CD1919" t="inlineStr">
        <is>
          <t>20</t>
        </is>
      </c>
      <c r="CE1919" t="inlineStr">
        <is>
          <t>0</t>
        </is>
      </c>
      <c r="CF1919" t="inlineStr">
        <is>
          <t>Q2-W02</t>
        </is>
      </c>
      <c r="CG1919"/>
      <c r="CH1919"/>
      <c r="CI1919"/>
      <c r="CJ1919" t="inlineStr">
        <is>
          <t>No Paid</t>
        </is>
      </c>
      <c r="CK1919" t="inlineStr">
        <is>
          <t>Not Eligible</t>
        </is>
      </c>
      <c r="CL1919"/>
      <c r="CM1919"/>
    </row>
    <row r="1920" ht="25.5" customHeight="1">
      <c r="A1920" t="inlineStr">
        <is>
          <t>203241</t>
        </is>
      </c>
      <c r="B1920" s="2"/>
      <c r="C1920"/>
      <c r="D1920" s="3">
        <v>46127.46145833333</v>
      </c>
      <c r="E1920" t="inlineStr">
        <is>
          <t>Q2-W02</t>
        </is>
      </c>
      <c r="F1920" t="inlineStr">
        <is>
          <t>Xin Quan</t>
        </is>
      </c>
      <c r="G1920" t="inlineStr">
        <is>
          <t>Customer</t>
        </is>
      </c>
      <c r="H1920" s="2" t="str">
        <f>=HYPERLINK("https://upbox.ajobthing.my/customer/203241", "https://upbox.ajobthing.my/customer/203241")</f>
        <v>https://upbox.ajobthing.my/customer/203241</v>
      </c>
      <c r="I1920" t="inlineStr">
        <is>
          <t>Ib Dynamic Sdn Bhd</t>
        </is>
      </c>
      <c r="J1920" t="inlineStr">
        <is>
          <t>Small Fish</t>
        </is>
      </c>
      <c r="K1920" t="inlineStr">
        <is>
          <t>Xin Quan</t>
        </is>
      </c>
      <c r="L1920" s="4"/>
      <c r="M1920" s="4">
        <v>46127.46162037037</v>
      </c>
      <c r="N1920"/>
      <c r="O1920">
        <v>3888</v>
      </c>
      <c r="P1920" s="4"/>
      <c r="Q1920" s="4"/>
      <c r="R1920"/>
      <c r="S1920"/>
      <c r="T1920" s="4"/>
      <c r="U1920" s="4"/>
      <c r="V1920"/>
      <c r="W1920"/>
      <c r="X1920"/>
      <c r="Y1920" t="inlineStr">
        <is>
          <t>Pending Appointment</t>
        </is>
      </c>
      <c r="Z1920" t="inlineStr">
        <is>
          <t>Hiring Now</t>
        </is>
      </c>
      <c r="AA1920">
        <v>1</v>
      </c>
      <c r="AB1920" t="inlineStr">
        <is>
          <t>No Appointment Made</t>
        </is>
      </c>
      <c r="AC1920"/>
      <c r="AD1920" t="inlineStr">
        <is>
          <t>1Admin , Base in KL</t>
        </is>
      </c>
      <c r="AE1920"/>
      <c r="AF1920">
        <v>2000</v>
      </c>
      <c r="AG1920" s="4"/>
      <c r="AH1920" s="4"/>
      <c r="AI1920">
        <v>24000</v>
      </c>
      <c r="AJ1920">
        <v>1</v>
      </c>
      <c r="AK1920" t="inlineStr">
        <is>
          <t>No, I don't need at all</t>
        </is>
      </c>
      <c r="AL1920">
        <v>1</v>
      </c>
      <c r="AM1920" t="inlineStr">
        <is>
          <t>No, I don't need at all</t>
        </is>
      </c>
      <c r="AN1920"/>
      <c r="AO1920" t="inlineStr">
        <is>
          <t>No, I don't need at all</t>
        </is>
      </c>
      <c r="AP1920" t="inlineStr">
        <is>
          <t>Once a year (25%)</t>
        </is>
      </c>
      <c r="AQ1920">
        <v>1</v>
      </c>
      <c r="AR1920"/>
      <c r="AS1920" t="inlineStr">
        <is>
          <t>- Headcount: 1
- Hiring Job Details: 1 Admin, Base in KL
- Hiring Urgency: Hiring Now
- Number of outlets: 1
- Have recruiter team: No, I don't need at all
- Number of recruiter in company: 1
- Have ATS system: No, I don't need at all
- Have career website: No, I don't need at all
- Current hiring budget: RM2,000
- Whole year budget: RM24,000.00
- Whole year number of vacancies: 1
- Hiring frequency: Once a year (25%)
- External job portal: None</t>
        </is>
      </c>
      <c r="AT1920">
        <v>115</v>
      </c>
      <c r="AU1920" t="inlineStr">
        <is>
          <t>1.15</t>
        </is>
      </c>
      <c r="AV1920" t="inlineStr">
        <is>
          <t>15</t>
        </is>
      </c>
      <c r="AW1920" t="inlineStr">
        <is>
          <t>0</t>
        </is>
      </c>
      <c r="AX1920" t="inlineStr">
        <is>
          <t>Not Qualified</t>
        </is>
      </c>
      <c r="AY1920" s="4"/>
      <c r="AZ1920"/>
      <c r="BA1920"/>
      <c r="BB1920"/>
      <c r="BC1920" t="inlineStr">
        <is>
          <t>Sendiri cari , No need</t>
        </is>
      </c>
      <c r="BD1920" s="4">
        <v>46129.43420138889</v>
      </c>
      <c r="BE1920"/>
      <c r="BF1920"/>
      <c r="BG1920" t="inlineStr">
        <is>
          <t>Reschedule</t>
        </is>
      </c>
      <c r="BH1920" t="inlineStr">
        <is>
          <t>Edward Hoo</t>
        </is>
      </c>
      <c r="BI1920"/>
      <c r="BJ1920" s="4">
        <v>46144.75425925926</v>
      </c>
      <c r="BK1920" s="4">
        <v>46127.39013888889</v>
      </c>
      <c r="BL1920" t="inlineStr">
        <is>
          <t>0.0</t>
        </is>
      </c>
      <c r="BM1920" t="inlineStr">
        <is>
          <t>0.0</t>
        </is>
      </c>
      <c r="BN1920" t="inlineStr">
        <is>
          <t>View Company Page</t>
        </is>
      </c>
      <c r="BO1920" s="4">
        <v>46127.46465277778</v>
      </c>
      <c r="BP1920">
        <v>167134</v>
      </c>
      <c r="BQ1920"/>
      <c r="BR1920"/>
      <c r="BS1920"/>
      <c r="BT1920"/>
      <c r="BU1920"/>
      <c r="BV1920">
        <v>2711151</v>
      </c>
      <c r="BW1920" t="inlineStr">
        <is>
          <t>Inquire for Hiring Needs : Budget Concern</t>
        </is>
      </c>
      <c r="BX1920"/>
      <c r="BY1920"/>
      <c r="BZ1920" s="4"/>
      <c r="CA1920"/>
      <c r="CB1920"/>
      <c r="CC1920" s="4"/>
      <c r="CD1920" t="inlineStr">
        <is>
          <t>20</t>
        </is>
      </c>
      <c r="CE1920" t="inlineStr">
        <is>
          <t>0</t>
        </is>
      </c>
      <c r="CF1920" t="inlineStr">
        <is>
          <t>Q2-W02</t>
        </is>
      </c>
      <c r="CG1920"/>
      <c r="CH1920"/>
      <c r="CI1920"/>
      <c r="CJ1920" t="inlineStr">
        <is>
          <t>No Paid</t>
        </is>
      </c>
      <c r="CK1920" t="inlineStr">
        <is>
          <t>Not Eligible</t>
        </is>
      </c>
      <c r="CL1920"/>
      <c r="CM1920"/>
    </row>
    <row r="1921" ht="25.5" customHeight="1">
      <c r="A1921" t="inlineStr">
        <is>
          <t>4281189</t>
        </is>
      </c>
      <c r="B1921" s="2"/>
      <c r="C1921"/>
      <c r="D1921" s="3">
        <v>46127.46412037037</v>
      </c>
      <c r="E1921" t="inlineStr">
        <is>
          <t>Q2-W02</t>
        </is>
      </c>
      <c r="F1921" t="inlineStr">
        <is>
          <t>Lucas</t>
        </is>
      </c>
      <c r="G1921" t="inlineStr">
        <is>
          <t>Lead</t>
        </is>
      </c>
      <c r="H1921" s="2" t="str">
        <f>=HYPERLINK("https://upbox.ajobthing.my/leads/4281189", "https://upbox.ajobthing.my/leads/4281189")</f>
        <v>https://upbox.ajobthing.my/leads/4281189</v>
      </c>
      <c r="I1921" t="inlineStr">
        <is>
          <t>MAJU MECH ENGINEERING SDN. BHD.</t>
        </is>
      </c>
      <c r="J1921" t="inlineStr">
        <is>
          <t>Small Fish</t>
        </is>
      </c>
      <c r="K1921" t="inlineStr">
        <is>
          <t>Lucas</t>
        </is>
      </c>
      <c r="L1921" s="4"/>
      <c r="M1921" s="4">
        <v>46127.4603125</v>
      </c>
      <c r="N1921"/>
      <c r="O1921">
        <v>3888</v>
      </c>
      <c r="P1921" s="4"/>
      <c r="Q1921" s="4"/>
      <c r="R1921"/>
      <c r="S1921"/>
      <c r="T1921" s="4"/>
      <c r="U1921" s="4"/>
      <c r="V1921"/>
      <c r="W1921"/>
      <c r="X1921"/>
      <c r="Y1921" t="inlineStr">
        <is>
          <t>Pending Appointment</t>
        </is>
      </c>
      <c r="Z1921" t="inlineStr">
        <is>
          <t>Hiring Now</t>
        </is>
      </c>
      <c r="AA1921">
        <v>3</v>
      </c>
      <c r="AB1921" t="inlineStr">
        <is>
          <t>No Appointment Made</t>
        </is>
      </c>
      <c r="AC1921"/>
      <c r="AD1921" t="inlineStr">
        <is>
          <t>3 lorry driver</t>
        </is>
      </c>
      <c r="AE1921"/>
      <c r="AF1921">
        <v>0</v>
      </c>
      <c r="AG1921" s="4"/>
      <c r="AH1921" s="4"/>
      <c r="AI1921">
        <v>0</v>
      </c>
      <c r="AJ1921">
        <v>0</v>
      </c>
      <c r="AK1921" t="inlineStr">
        <is>
          <t>No, I don't need at all</t>
        </is>
      </c>
      <c r="AL1921">
        <v>0</v>
      </c>
      <c r="AM1921" t="inlineStr">
        <is>
          <t>No, I don't need at all</t>
        </is>
      </c>
      <c r="AN1921"/>
      <c r="AO1921" t="inlineStr">
        <is>
          <t>No, I don't need at all</t>
        </is>
      </c>
      <c r="AP1921" t="inlineStr">
        <is>
          <t>Once a year (25%)</t>
        </is>
      </c>
      <c r="AQ1921">
        <v>3</v>
      </c>
      <c r="AR1921" t="inlineStr">
        <is>
          <t>Did not use any job portal</t>
        </is>
      </c>
      <c r="AS1921" t="inlineStr">
        <is>
          <t>- Headcount: 3
- Hiring Job Details: 3 lorry driver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is>
      </c>
      <c r="AT1921">
        <v>115</v>
      </c>
      <c r="AU1921" t="inlineStr">
        <is>
          <t>1.15</t>
        </is>
      </c>
      <c r="AV1921" t="inlineStr">
        <is>
          <t>15</t>
        </is>
      </c>
      <c r="AW1921" t="inlineStr">
        <is>
          <t>0</t>
        </is>
      </c>
      <c r="AX1921" t="inlineStr">
        <is>
          <t>Not Qualified</t>
        </is>
      </c>
      <c r="AY1921" s="4"/>
      <c r="AZ1921"/>
      <c r="BA1921"/>
      <c r="BB1921"/>
      <c r="BC1921"/>
      <c r="BD1921" s="4"/>
      <c r="BE1921"/>
      <c r="BF1921"/>
      <c r="BG1921" t="inlineStr">
        <is>
          <t>Reschedule</t>
        </is>
      </c>
      <c r="BH1921" t="inlineStr">
        <is>
          <t>Yee Hang</t>
        </is>
      </c>
      <c r="BI1921"/>
      <c r="BJ1921" s="4">
        <v>46144.75581018518</v>
      </c>
      <c r="BK1921" s="4">
        <v>46126.601481481484</v>
      </c>
      <c r="BL1921" t="inlineStr">
        <is>
          <t>0.0</t>
        </is>
      </c>
      <c r="BM1921" t="inlineStr">
        <is>
          <t>0.0</t>
        </is>
      </c>
      <c r="BN1921"/>
      <c r="BO1921" s="4"/>
      <c r="BP1921">
        <v>167131</v>
      </c>
      <c r="BQ1921"/>
      <c r="BR1921"/>
      <c r="BS1921"/>
      <c r="BT1921"/>
      <c r="BU1921"/>
      <c r="BV1921"/>
      <c r="BW1921"/>
      <c r="BX1921"/>
      <c r="BY1921"/>
      <c r="BZ1921" s="4"/>
      <c r="CA1921"/>
      <c r="CB1921"/>
      <c r="CC1921" s="4"/>
      <c r="CD1921" t="inlineStr">
        <is>
          <t>20</t>
        </is>
      </c>
      <c r="CE1921" t="inlineStr">
        <is>
          <t>0</t>
        </is>
      </c>
      <c r="CF1921" t="inlineStr">
        <is>
          <t>Q2-W02</t>
        </is>
      </c>
      <c r="CG1921"/>
      <c r="CH1921"/>
      <c r="CI1921"/>
      <c r="CJ1921" t="inlineStr">
        <is>
          <t>No Paid</t>
        </is>
      </c>
      <c r="CK1921" t="inlineStr">
        <is>
          <t>Not Eligible</t>
        </is>
      </c>
      <c r="CL1921"/>
      <c r="CM1921"/>
    </row>
    <row r="1922" ht="25.5" customHeight="1">
      <c r="A1922" t="inlineStr">
        <is>
          <t>203039</t>
        </is>
      </c>
      <c r="B1922" s="2"/>
      <c r="C1922"/>
      <c r="D1922" s="3">
        <v>46127.47430555556</v>
      </c>
      <c r="E1922" t="inlineStr">
        <is>
          <t>Q2-W02</t>
        </is>
      </c>
      <c r="F1922" t="inlineStr">
        <is>
          <t>Xin Quan</t>
        </is>
      </c>
      <c r="G1922" t="inlineStr">
        <is>
          <t>Customer</t>
        </is>
      </c>
      <c r="H1922" s="2" t="str">
        <f>=HYPERLINK("https://upbox.ajobthing.my/customer/203039", "https://upbox.ajobthing.my/customer/203039")</f>
        <v>https://upbox.ajobthing.my/customer/203039</v>
      </c>
      <c r="I1922" t="inlineStr">
        <is>
          <t>J&amp;T EXRPESS</t>
        </is>
      </c>
      <c r="J1922" t="inlineStr">
        <is>
          <t>Small Fish</t>
        </is>
      </c>
      <c r="K1922" t="inlineStr">
        <is>
          <t>Xin Quan</t>
        </is>
      </c>
      <c r="L1922" s="4"/>
      <c r="M1922" s="4">
        <v>46127.47445601852</v>
      </c>
      <c r="N1922"/>
      <c r="O1922">
        <v>864</v>
      </c>
      <c r="P1922" s="4"/>
      <c r="Q1922" s="4"/>
      <c r="R1922"/>
      <c r="S1922"/>
      <c r="T1922" s="4"/>
      <c r="U1922" s="4"/>
      <c r="V1922"/>
      <c r="W1922"/>
      <c r="X1922"/>
      <c r="Y1922" t="inlineStr">
        <is>
          <t>Pending Appointment</t>
        </is>
      </c>
      <c r="Z1922" t="inlineStr">
        <is>
          <t>Hiring Now</t>
        </is>
      </c>
      <c r="AA1922">
        <v>1</v>
      </c>
      <c r="AB1922" t="inlineStr">
        <is>
          <t>No Appointment Made</t>
        </is>
      </c>
      <c r="AC1922"/>
      <c r="AD1922" t="inlineStr">
        <is>
          <t>1 Driver , Base in PENANG</t>
        </is>
      </c>
      <c r="AE1922"/>
      <c r="AF1922">
        <v>2000</v>
      </c>
      <c r="AG1922" s="4"/>
      <c r="AH1922" s="4"/>
      <c r="AI1922">
        <v>2000</v>
      </c>
      <c r="AJ1922">
        <v>1</v>
      </c>
      <c r="AK1922" t="inlineStr">
        <is>
          <t>No, I don't need at all</t>
        </is>
      </c>
      <c r="AL1922">
        <v>1</v>
      </c>
      <c r="AM1922" t="inlineStr">
        <is>
          <t>No, I don't need at all</t>
        </is>
      </c>
      <c r="AN1922"/>
      <c r="AO1922" t="inlineStr">
        <is>
          <t>No, I don't need at all</t>
        </is>
      </c>
      <c r="AP1922" t="inlineStr">
        <is>
          <t>Once a year (25%)</t>
        </is>
      </c>
      <c r="AQ1922">
        <v>24000</v>
      </c>
      <c r="AR1922"/>
      <c r="AS1922" t="inlineStr">
        <is>
          <t>- Headcount: 1
- Hiring Job Details: 1 Driver, Base in PENANG
- Hiring Urgency: Hiring Now
- Number of outlets: 1
- Have recruiter team: No, I don't need at all
- Number of recruiter in company: 1
- Have ATS system: No, I don't need at all
- Have career website: No, I don't need at all
- Current hiring budget: RM2,000
- Whole year budget: RM2,000.00
- Whole year number of vacancies: 24000
- Hiring frequency: Once a year (25%)
- External job portal: None</t>
        </is>
      </c>
      <c r="AT1922">
        <v>95</v>
      </c>
      <c r="AU1922" t="inlineStr">
        <is>
          <t>0.95</t>
        </is>
      </c>
      <c r="AV1922" t="inlineStr">
        <is>
          <t>15</t>
        </is>
      </c>
      <c r="AW1922" t="inlineStr">
        <is>
          <t>0</t>
        </is>
      </c>
      <c r="AX1922" t="inlineStr">
        <is>
          <t>Not Qualified</t>
        </is>
      </c>
      <c r="AY1922" s="4"/>
      <c r="AZ1922"/>
      <c r="BA1922"/>
      <c r="BB1922"/>
      <c r="BC1922" t="inlineStr">
        <is>
          <t>MIA</t>
        </is>
      </c>
      <c r="BD1922" s="4">
        <v>46135.59722222222</v>
      </c>
      <c r="BE1922"/>
      <c r="BF1922"/>
      <c r="BG1922" t="inlineStr">
        <is>
          <t>Reschedule</t>
        </is>
      </c>
      <c r="BH1922" t="inlineStr">
        <is>
          <t>Edward Hoo</t>
        </is>
      </c>
      <c r="BI1922"/>
      <c r="BJ1922" s="4">
        <v>46144.75418981481</v>
      </c>
      <c r="BK1922" s="4">
        <v>46121.486863425926</v>
      </c>
      <c r="BL1922" t="inlineStr">
        <is>
          <t>0.0</t>
        </is>
      </c>
      <c r="BM1922" t="inlineStr">
        <is>
          <t>0.0</t>
        </is>
      </c>
      <c r="BN1922" t="inlineStr">
        <is>
          <t>View Create Job Page V4</t>
        </is>
      </c>
      <c r="BO1922" s="4">
        <v>46121.51917824074</v>
      </c>
      <c r="BP1922">
        <v>167147</v>
      </c>
      <c r="BQ1922"/>
      <c r="BR1922"/>
      <c r="BS1922"/>
      <c r="BT1922"/>
      <c r="BU1922"/>
      <c r="BV1922">
        <v>2723392</v>
      </c>
      <c r="BW1922" t="inlineStr">
        <is>
          <t>Inquire for Hiring Needs : No Hiring</t>
        </is>
      </c>
      <c r="BX1922"/>
      <c r="BY1922"/>
      <c r="BZ1922" s="4"/>
      <c r="CA1922"/>
      <c r="CB1922"/>
      <c r="CC1922" s="4"/>
      <c r="CD1922" t="inlineStr">
        <is>
          <t>20</t>
        </is>
      </c>
      <c r="CE1922" t="inlineStr">
        <is>
          <t>0</t>
        </is>
      </c>
      <c r="CF1922" t="inlineStr">
        <is>
          <t>Q2-W02</t>
        </is>
      </c>
      <c r="CG1922"/>
      <c r="CH1922"/>
      <c r="CI1922"/>
      <c r="CJ1922" t="inlineStr">
        <is>
          <t>No Paid</t>
        </is>
      </c>
      <c r="CK1922" t="inlineStr">
        <is>
          <t>Not Eligible</t>
        </is>
      </c>
      <c r="CL1922"/>
      <c r="CM1922"/>
    </row>
    <row r="1923" ht="25.5" customHeight="1">
      <c r="A1923" t="inlineStr">
        <is>
          <t>4284738</t>
        </is>
      </c>
      <c r="B1923" s="2"/>
      <c r="C1923"/>
      <c r="D1923" s="3">
        <v>46127.47678240741</v>
      </c>
      <c r="E1923" t="inlineStr">
        <is>
          <t>Q2-W02</t>
        </is>
      </c>
      <c r="F1923" t="inlineStr">
        <is>
          <t>Eugene</t>
        </is>
      </c>
      <c r="G1923" t="inlineStr">
        <is>
          <t>Lead</t>
        </is>
      </c>
      <c r="H1923" s="2" t="str">
        <f>=HYPERLINK("https://upbox.ajobthing.my/leads/4284738", "https://upbox.ajobthing.my/leads/4284738")</f>
        <v>https://upbox.ajobthing.my/leads/4284738</v>
      </c>
      <c r="I1923" t="inlineStr">
        <is>
          <t>Azhar Station</t>
        </is>
      </c>
      <c r="J1923" t="inlineStr">
        <is>
          <t>Small Fish</t>
        </is>
      </c>
      <c r="K1923" t="inlineStr">
        <is>
          <t>Eugene</t>
        </is>
      </c>
      <c r="L1923" s="4"/>
      <c r="M1923" s="4">
        <v>46127.47696759259</v>
      </c>
      <c r="N1923"/>
      <c r="O1923">
        <v>3888</v>
      </c>
      <c r="P1923" s="4"/>
      <c r="Q1923" s="4"/>
      <c r="R1923"/>
      <c r="S1923"/>
      <c r="T1923" s="4"/>
      <c r="U1923" s="4"/>
      <c r="V1923"/>
      <c r="W1923"/>
      <c r="X1923"/>
      <c r="Y1923" t="inlineStr">
        <is>
          <t>Pending Appointment</t>
        </is>
      </c>
      <c r="Z1923" t="inlineStr">
        <is>
          <t>Hiring Now</t>
        </is>
      </c>
      <c r="AA1923">
        <v>3</v>
      </c>
      <c r="AB1923" t="inlineStr">
        <is>
          <t>No Appointment Made</t>
        </is>
      </c>
      <c r="AC1923"/>
      <c r="AD1923" t="inlineStr">
        <is>
          <t>3 positions, based in KL</t>
        </is>
      </c>
      <c r="AE1923"/>
      <c r="AF1923">
        <v>3000</v>
      </c>
      <c r="AG1923" s="4"/>
      <c r="AH1923" s="4"/>
      <c r="AI1923">
        <v>3000</v>
      </c>
      <c r="AJ1923">
        <v>1</v>
      </c>
      <c r="AK1923" t="inlineStr">
        <is>
          <t>No, I don't need at all</t>
        </is>
      </c>
      <c r="AL1923">
        <v>1</v>
      </c>
      <c r="AM1923" t="inlineStr">
        <is>
          <t>No, I don't need at all</t>
        </is>
      </c>
      <c r="AN1923"/>
      <c r="AO1923" t="inlineStr">
        <is>
          <t>No, I don't need at all</t>
        </is>
      </c>
      <c r="AP1923" t="inlineStr">
        <is>
          <t>Twice a year (50%)</t>
        </is>
      </c>
      <c r="AQ1923">
        <v>5</v>
      </c>
      <c r="AR1923" t="inlineStr">
        <is>
          <t>Free Job Portal</t>
        </is>
      </c>
      <c r="AS1923" t="inlineStr">
        <is>
          <t>- Headcount: 3
- Hiring Job Details: 3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5
- Hiring frequency: Twice a year (50%)
- External job portal: Free Job Portal</t>
        </is>
      </c>
      <c r="AT1923">
        <v>95</v>
      </c>
      <c r="AU1923" t="inlineStr">
        <is>
          <t>0.95</t>
        </is>
      </c>
      <c r="AV1923" t="inlineStr">
        <is>
          <t>15</t>
        </is>
      </c>
      <c r="AW1923" t="inlineStr">
        <is>
          <t>0</t>
        </is>
      </c>
      <c r="AX1923" t="inlineStr">
        <is>
          <t>Not Qualified</t>
        </is>
      </c>
      <c r="AY1923" s="4"/>
      <c r="AZ1923"/>
      <c r="BA1923"/>
      <c r="BB1923"/>
      <c r="BC1923"/>
      <c r="BD1923" s="4"/>
      <c r="BE1923"/>
      <c r="BF1923"/>
      <c r="BG1923" t="inlineStr">
        <is>
          <t>Reschedule</t>
        </is>
      </c>
      <c r="BH1923" t="inlineStr">
        <is>
          <t>Edward Hoo</t>
        </is>
      </c>
      <c r="BI1923"/>
      <c r="BJ1923" s="4">
        <v>46144.755833333336</v>
      </c>
      <c r="BK1923" s="4">
        <v>46127.47006944445</v>
      </c>
      <c r="BL1923" t="inlineStr">
        <is>
          <t>0.0</t>
        </is>
      </c>
      <c r="BM1923" t="inlineStr">
        <is>
          <t>0.0</t>
        </is>
      </c>
      <c r="BN1923"/>
      <c r="BO1923" s="4"/>
      <c r="BP1923">
        <v>167151</v>
      </c>
      <c r="BQ1923"/>
      <c r="BR1923"/>
      <c r="BS1923"/>
      <c r="BT1923"/>
      <c r="BU1923"/>
      <c r="BV1923"/>
      <c r="BW1923"/>
      <c r="BX1923"/>
      <c r="BY1923"/>
      <c r="BZ1923" s="4"/>
      <c r="CA1923"/>
      <c r="CB1923"/>
      <c r="CC1923" s="4"/>
      <c r="CD1923" t="inlineStr">
        <is>
          <t>20</t>
        </is>
      </c>
      <c r="CE1923" t="inlineStr">
        <is>
          <t>0</t>
        </is>
      </c>
      <c r="CF1923" t="inlineStr">
        <is>
          <t>Q2-W02</t>
        </is>
      </c>
      <c r="CG1923"/>
      <c r="CH1923"/>
      <c r="CI1923"/>
      <c r="CJ1923" t="inlineStr">
        <is>
          <t>No Paid</t>
        </is>
      </c>
      <c r="CK1923" t="inlineStr">
        <is>
          <t>Not Eligible</t>
        </is>
      </c>
      <c r="CL1923"/>
      <c r="CM1923"/>
    </row>
    <row r="1924" ht="25.5" customHeight="1">
      <c r="A1924" t="inlineStr">
        <is>
          <t>4281960</t>
        </is>
      </c>
      <c r="B1924" s="2"/>
      <c r="C1924"/>
      <c r="D1924" s="3">
        <v>46127.48045138889</v>
      </c>
      <c r="E1924" t="inlineStr">
        <is>
          <t>Q2-W02</t>
        </is>
      </c>
      <c r="F1924" t="inlineStr">
        <is>
          <t>Janice Yap</t>
        </is>
      </c>
      <c r="G1924" t="inlineStr">
        <is>
          <t>Lead</t>
        </is>
      </c>
      <c r="H1924" s="2" t="str">
        <f>=HYPERLINK("https://upbox.ajobthing.my/leads/4281960", "https://upbox.ajobthing.my/leads/4281960")</f>
        <v>https://upbox.ajobthing.my/leads/4281960</v>
      </c>
      <c r="I1924" t="inlineStr">
        <is>
          <t>Zat Teguh Global (M) Sdn Bhd</t>
        </is>
      </c>
      <c r="J1924" t="inlineStr">
        <is>
          <t>Small Fish</t>
        </is>
      </c>
      <c r="K1924" t="inlineStr">
        <is>
          <t>Janice</t>
        </is>
      </c>
      <c r="L1924" s="4"/>
      <c r="M1924" s="4">
        <v>46127.4777662037</v>
      </c>
      <c r="N1924"/>
      <c r="O1924">
        <v>3888</v>
      </c>
      <c r="P1924" s="4"/>
      <c r="Q1924" s="4"/>
      <c r="R1924"/>
      <c r="S1924"/>
      <c r="T1924" s="4"/>
      <c r="U1924" s="4"/>
      <c r="V1924"/>
      <c r="W1924"/>
      <c r="X1924"/>
      <c r="Y1924" t="inlineStr">
        <is>
          <t>Pending Appointment</t>
        </is>
      </c>
      <c r="Z1924" t="inlineStr">
        <is>
          <t>Hiring Now</t>
        </is>
      </c>
      <c r="AA1924">
        <v>1</v>
      </c>
      <c r="AB1924" t="inlineStr">
        <is>
          <t>No Appointment Made</t>
        </is>
      </c>
      <c r="AC1924"/>
      <c r="AD1924" t="inlineStr">
        <is>
          <t>1 site supervisor</t>
        </is>
      </c>
      <c r="AE1924"/>
      <c r="AF1924">
        <v>0</v>
      </c>
      <c r="AG1924" s="4"/>
      <c r="AH1924" s="4"/>
      <c r="AI1924">
        <v>0</v>
      </c>
      <c r="AJ1924"/>
      <c r="AK1924" t="inlineStr">
        <is>
          <t>No, I don't need at all</t>
        </is>
      </c>
      <c r="AL1924">
        <v>0</v>
      </c>
      <c r="AM1924" t="inlineStr">
        <is>
          <t>No, I don't need at all</t>
        </is>
      </c>
      <c r="AN1924"/>
      <c r="AO1924" t="inlineStr">
        <is>
          <t>No, I don't need at all</t>
        </is>
      </c>
      <c r="AP1924" t="inlineStr">
        <is>
          <t>Once a year (25%)</t>
        </is>
      </c>
      <c r="AQ1924">
        <v>1</v>
      </c>
      <c r="AR1924" t="inlineStr">
        <is>
          <t>Did not use any job portal</t>
        </is>
      </c>
      <c r="AS1924" t="inlineStr">
        <is>
          <t>- Headcount: 1
- Hiring Job Details: 1 site supervisor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1924">
        <v>115</v>
      </c>
      <c r="AU1924" t="inlineStr">
        <is>
          <t>1.15</t>
        </is>
      </c>
      <c r="AV1924" t="inlineStr">
        <is>
          <t>15</t>
        </is>
      </c>
      <c r="AW1924" t="inlineStr">
        <is>
          <t>0</t>
        </is>
      </c>
      <c r="AX1924" t="inlineStr">
        <is>
          <t>Not Qualified</t>
        </is>
      </c>
      <c r="AY1924" s="4"/>
      <c r="AZ1924"/>
      <c r="BA1924"/>
      <c r="BB1924"/>
      <c r="BC1924"/>
      <c r="BD1924" s="4"/>
      <c r="BE1924"/>
      <c r="BF1924"/>
      <c r="BG1924" t="inlineStr">
        <is>
          <t>Reschedule</t>
        </is>
      </c>
      <c r="BH1924" t="inlineStr">
        <is>
          <t>Yee Hang</t>
        </is>
      </c>
      <c r="BI1924"/>
      <c r="BJ1924" s="4">
        <v>46144.755833333336</v>
      </c>
      <c r="BK1924" s="4">
        <v>46126.73707175926</v>
      </c>
      <c r="BL1924" t="inlineStr">
        <is>
          <t>0.0</t>
        </is>
      </c>
      <c r="BM1924" t="inlineStr">
        <is>
          <t>0.0</t>
        </is>
      </c>
      <c r="BN1924"/>
      <c r="BO1924" s="4"/>
      <c r="BP1924">
        <v>167152</v>
      </c>
      <c r="BQ1924"/>
      <c r="BR1924"/>
      <c r="BS1924"/>
      <c r="BT1924"/>
      <c r="BU1924"/>
      <c r="BV1924"/>
      <c r="BW1924"/>
      <c r="BX1924"/>
      <c r="BY1924"/>
      <c r="BZ1924" s="4"/>
      <c r="CA1924"/>
      <c r="CB1924"/>
      <c r="CC1924" s="4"/>
      <c r="CD1924" t="inlineStr">
        <is>
          <t>20</t>
        </is>
      </c>
      <c r="CE1924" t="inlineStr">
        <is>
          <t>0</t>
        </is>
      </c>
      <c r="CF1924" t="inlineStr">
        <is>
          <t>Q2-W02</t>
        </is>
      </c>
      <c r="CG1924"/>
      <c r="CH1924"/>
      <c r="CI1924"/>
      <c r="CJ1924" t="inlineStr">
        <is>
          <t>No Paid</t>
        </is>
      </c>
      <c r="CK1924" t="inlineStr">
        <is>
          <t>Not Eligible</t>
        </is>
      </c>
      <c r="CL1924"/>
      <c r="CM1924"/>
    </row>
    <row r="1925" ht="25.5" customHeight="1">
      <c r="A1925" t="inlineStr">
        <is>
          <t>4284634</t>
        </is>
      </c>
      <c r="B1925" s="2"/>
      <c r="C1925"/>
      <c r="D1925" s="3">
        <v>46127.482569444444</v>
      </c>
      <c r="E1925" t="inlineStr">
        <is>
          <t>Q2-W02</t>
        </is>
      </c>
      <c r="F1925" t="inlineStr">
        <is>
          <t>Fariz</t>
        </is>
      </c>
      <c r="G1925" t="inlineStr">
        <is>
          <t>Lead</t>
        </is>
      </c>
      <c r="H1925" s="2" t="str">
        <f>=HYPERLINK("https://upbox.ajobthing.my/leads/4284634", "https://upbox.ajobthing.my/leads/4284634")</f>
        <v>https://upbox.ajobthing.my/leads/4284634</v>
      </c>
      <c r="I1925" t="inlineStr">
        <is>
          <t>CEYLON GREEN RPW INTERNATIONAL SDN BHD</t>
        </is>
      </c>
      <c r="J1925" t="inlineStr">
        <is>
          <t>Small Fish</t>
        </is>
      </c>
      <c r="K1925" t="inlineStr">
        <is>
          <t>Fariz</t>
        </is>
      </c>
      <c r="L1925" s="4"/>
      <c r="M1925" s="4">
        <v>46127.48630787037</v>
      </c>
      <c r="N1925"/>
      <c r="O1925">
        <v>3888</v>
      </c>
      <c r="P1925" s="4"/>
      <c r="Q1925" s="4"/>
      <c r="R1925"/>
      <c r="S1925"/>
      <c r="T1925" s="4"/>
      <c r="U1925" s="4"/>
      <c r="V1925"/>
      <c r="W1925"/>
      <c r="X1925"/>
      <c r="Y1925" t="inlineStr">
        <is>
          <t>Pending Appointment</t>
        </is>
      </c>
      <c r="Z1925" t="inlineStr">
        <is>
          <t>Hiring Now</t>
        </is>
      </c>
      <c r="AA1925">
        <v>2</v>
      </c>
      <c r="AB1925" t="inlineStr">
        <is>
          <t>No Appointment Made</t>
        </is>
      </c>
      <c r="AC1925"/>
      <c r="AD1925" t="inlineStr">
        <is>
          <t>1. admin 2.operation</t>
        </is>
      </c>
      <c r="AE1925"/>
      <c r="AF1925">
        <v>3600</v>
      </c>
      <c r="AG1925" s="4"/>
      <c r="AH1925" s="4"/>
      <c r="AI1925">
        <v>3600</v>
      </c>
      <c r="AJ1925"/>
      <c r="AK1925" t="inlineStr">
        <is>
          <t>No, but I want in future</t>
        </is>
      </c>
      <c r="AL1925">
        <v>1</v>
      </c>
      <c r="AM1925" t="inlineStr">
        <is>
          <t>No, I don't need at all</t>
        </is>
      </c>
      <c r="AN1925"/>
      <c r="AO1925" t="inlineStr">
        <is>
          <t>No, but I want in future</t>
        </is>
      </c>
      <c r="AP1925" t="inlineStr">
        <is>
          <t>Twice a year (50%)</t>
        </is>
      </c>
      <c r="AQ1925">
        <v>2</v>
      </c>
      <c r="AR1925" t="inlineStr">
        <is>
          <t>Jobstreet, Free Job Portal</t>
        </is>
      </c>
      <c r="AS1925" t="inlineStr">
        <is>
          <t>- Headcount: 2
- Hiring Job Details: 1 admin, 2 operation
- Number of outlets: Not provided
- Have recruiter team: No, but want in future
- Number of recruiter in company: 1
- Have ATS system: No, don't need at all
- Have career website: No, but want in future
- Current hiring budget: RM3,600
- Whole year budget: RM3,600.00
- Whole year number of vacancies: 2
- Hiring frequency: Twice a year (50%)
- External job portal: Jobstreet, Free Job Portal
- Hiring Urgency: Hiring Now</t>
        </is>
      </c>
      <c r="AT1925">
        <v>105</v>
      </c>
      <c r="AU1925" t="inlineStr">
        <is>
          <t>1.05</t>
        </is>
      </c>
      <c r="AV1925" t="inlineStr">
        <is>
          <t>15</t>
        </is>
      </c>
      <c r="AW1925" t="inlineStr">
        <is>
          <t>0</t>
        </is>
      </c>
      <c r="AX1925" t="inlineStr">
        <is>
          <t>Not Qualified</t>
        </is>
      </c>
      <c r="AY1925" s="4"/>
      <c r="AZ1925"/>
      <c r="BA1925"/>
      <c r="BB1925"/>
      <c r="BC1925"/>
      <c r="BD1925" s="4"/>
      <c r="BE1925"/>
      <c r="BF1925"/>
      <c r="BG1925" t="inlineStr">
        <is>
          <t>Reschedule</t>
        </is>
      </c>
      <c r="BH1925" t="inlineStr">
        <is>
          <t>Edward Hoo</t>
        </is>
      </c>
      <c r="BI1925"/>
      <c r="BJ1925" s="4">
        <v>46144.755833333336</v>
      </c>
      <c r="BK1925" s="4">
        <v>46127.45711805556</v>
      </c>
      <c r="BL1925" t="inlineStr">
        <is>
          <t>0.0</t>
        </is>
      </c>
      <c r="BM1925" t="inlineStr">
        <is>
          <t>0.0</t>
        </is>
      </c>
      <c r="BN1925"/>
      <c r="BO1925" s="4"/>
      <c r="BP1925">
        <v>167157</v>
      </c>
      <c r="BQ1925"/>
      <c r="BR1925"/>
      <c r="BS1925"/>
      <c r="BT1925"/>
      <c r="BU1925"/>
      <c r="BV1925"/>
      <c r="BW1925"/>
      <c r="BX1925"/>
      <c r="BY1925"/>
      <c r="BZ1925" s="4"/>
      <c r="CA1925"/>
      <c r="CB1925"/>
      <c r="CC1925" s="4"/>
      <c r="CD1925" t="inlineStr">
        <is>
          <t>20</t>
        </is>
      </c>
      <c r="CE1925" t="inlineStr">
        <is>
          <t>0</t>
        </is>
      </c>
      <c r="CF1925" t="inlineStr">
        <is>
          <t>Q2-W02</t>
        </is>
      </c>
      <c r="CG1925"/>
      <c r="CH1925"/>
      <c r="CI1925"/>
      <c r="CJ1925" t="inlineStr">
        <is>
          <t>No Paid</t>
        </is>
      </c>
      <c r="CK1925" t="inlineStr">
        <is>
          <t>Not Eligible</t>
        </is>
      </c>
      <c r="CL1925"/>
      <c r="CM1925"/>
    </row>
    <row r="1926" ht="25.5" customHeight="1">
      <c r="A1926" t="inlineStr">
        <is>
          <t>125249</t>
        </is>
      </c>
      <c r="B1926" s="2"/>
      <c r="C1926"/>
      <c r="D1926" s="3">
        <v>46127.486608796295</v>
      </c>
      <c r="E1926" t="inlineStr">
        <is>
          <t>Q2-W02</t>
        </is>
      </c>
      <c r="F1926" t="inlineStr">
        <is>
          <t>Lucas</t>
        </is>
      </c>
      <c r="G1926" t="inlineStr">
        <is>
          <t>Customer</t>
        </is>
      </c>
      <c r="H1926" s="2" t="str">
        <f>=HYPERLINK("https://upbox.ajobthing.my/customer/125249", "https://upbox.ajobthing.my/customer/125249")</f>
        <v>https://upbox.ajobthing.my/customer/125249</v>
      </c>
      <c r="I1926" t="inlineStr">
        <is>
          <t>MC Print</t>
        </is>
      </c>
      <c r="J1926" t="inlineStr">
        <is>
          <t>Small Fish</t>
        </is>
      </c>
      <c r="K1926" t="inlineStr">
        <is>
          <t>Lucas</t>
        </is>
      </c>
      <c r="L1926" s="4"/>
      <c r="M1926" s="4">
        <v>46140.6821875</v>
      </c>
      <c r="N1926"/>
      <c r="O1926">
        <v>3576.96</v>
      </c>
      <c r="P1926" s="4"/>
      <c r="Q1926" s="4">
        <v>44548.94960648148</v>
      </c>
      <c r="R1926"/>
      <c r="S1926">
        <v>583</v>
      </c>
      <c r="T1926" s="4">
        <v>44548.94960648148</v>
      </c>
      <c r="U1926" s="4"/>
      <c r="V1926"/>
      <c r="W1926">
        <v>583</v>
      </c>
      <c r="X1926"/>
      <c r="Y1926" t="inlineStr">
        <is>
          <t>Pending Appointment</t>
        </is>
      </c>
      <c r="Z1926" t="inlineStr">
        <is>
          <t>Hiring Now</t>
        </is>
      </c>
      <c r="AA1926">
        <v>2</v>
      </c>
      <c r="AB1926" t="inlineStr">
        <is>
          <t>No Appointment Made</t>
        </is>
      </c>
      <c r="AC1926"/>
      <c r="AD1926" t="inlineStr">
        <is>
          <t xml:space="preserve">2 designer </t>
        </is>
      </c>
      <c r="AE1926"/>
      <c r="AF1926">
        <v>0</v>
      </c>
      <c r="AG1926" s="4"/>
      <c r="AH1926" s="4"/>
      <c r="AI1926">
        <v>0</v>
      </c>
      <c r="AJ1926">
        <v>0</v>
      </c>
      <c r="AK1926" t="inlineStr">
        <is>
          <t>No, I don't need at all</t>
        </is>
      </c>
      <c r="AL1926">
        <v>0</v>
      </c>
      <c r="AM1926" t="inlineStr">
        <is>
          <t>No, I don't need at all</t>
        </is>
      </c>
      <c r="AN1926"/>
      <c r="AO1926" t="inlineStr">
        <is>
          <t>No, I don't need at all</t>
        </is>
      </c>
      <c r="AP1926" t="inlineStr">
        <is>
          <t>Once a year (25%)</t>
        </is>
      </c>
      <c r="AQ1926">
        <v>2</v>
      </c>
      <c r="AR1926" t="inlineStr">
        <is>
          <t>Did not use any job portal</t>
        </is>
      </c>
      <c r="AS1926" t="inlineStr">
        <is>
          <t>- Headcount: 2
- Hiring Job Details: 2 designer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1926">
        <v>110</v>
      </c>
      <c r="AU1926" t="inlineStr">
        <is>
          <t>1.10</t>
        </is>
      </c>
      <c r="AV1926" t="inlineStr">
        <is>
          <t>15</t>
        </is>
      </c>
      <c r="AW1926" t="inlineStr">
        <is>
          <t>0</t>
        </is>
      </c>
      <c r="AX1926" t="inlineStr">
        <is>
          <t>Not Qualified</t>
        </is>
      </c>
      <c r="AY1926" s="4"/>
      <c r="AZ1926"/>
      <c r="BA1926"/>
      <c r="BB1926"/>
      <c r="BC1926" t="inlineStr">
        <is>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1926" s="4">
        <v>46140.70853009259</v>
      </c>
      <c r="BE1926" t="inlineStr">
        <is>
          <t>paid</t>
        </is>
      </c>
      <c r="BF1926"/>
      <c r="BG1926" t="inlineStr">
        <is>
          <t>Reschedule</t>
        </is>
      </c>
      <c r="BH1926" t="inlineStr">
        <is>
          <t>Yee Hang</t>
        </is>
      </c>
      <c r="BI1926" t="inlineStr">
        <is>
          <t>Advertising / Marketing</t>
        </is>
      </c>
      <c r="BJ1926" s="4">
        <v>46144.75033564815</v>
      </c>
      <c r="BK1926" s="4">
        <v>43876.602743055555</v>
      </c>
      <c r="BL1926" t="inlineStr">
        <is>
          <t>0.0</t>
        </is>
      </c>
      <c r="BM1926" t="inlineStr">
        <is>
          <t>0.0</t>
        </is>
      </c>
      <c r="BN1926" t="inlineStr">
        <is>
          <t>View Company Page</t>
        </is>
      </c>
      <c r="BO1926" s="4">
        <v>46126.59347222222</v>
      </c>
      <c r="BP1926">
        <v>169324</v>
      </c>
      <c r="BQ1926">
        <v>38868</v>
      </c>
      <c r="BR1926" t="inlineStr">
        <is>
          <t>Online</t>
        </is>
      </c>
      <c r="BS1926"/>
      <c r="BT1926">
        <v>38868</v>
      </c>
      <c r="BU1926"/>
      <c r="BV1926">
        <v>2733668</v>
      </c>
      <c r="BW1926" t="inlineStr">
        <is>
          <t>Customer Inquiry</t>
        </is>
      </c>
      <c r="BX1926"/>
      <c r="BY1926"/>
      <c r="BZ1926" s="4"/>
      <c r="CA1926"/>
      <c r="CB1926"/>
      <c r="CC1926" s="4"/>
      <c r="CD1926" t="inlineStr">
        <is>
          <t>20</t>
        </is>
      </c>
      <c r="CE1926" t="inlineStr">
        <is>
          <t>0</t>
        </is>
      </c>
      <c r="CF1926" t="inlineStr">
        <is>
          <t>Q2-W04</t>
        </is>
      </c>
      <c r="CG1926"/>
      <c r="CH1926"/>
      <c r="CI1926"/>
      <c r="CJ1926" t="inlineStr">
        <is>
          <t>Paid</t>
        </is>
      </c>
      <c r="CK1926" t="inlineStr">
        <is>
          <t>Not Eligible</t>
        </is>
      </c>
      <c r="CL1926"/>
      <c r="CM1926"/>
    </row>
    <row r="1927" ht="25.5" customHeight="1">
      <c r="A1927" t="inlineStr">
        <is>
          <t>203261</t>
        </is>
      </c>
      <c r="B1927" s="2"/>
      <c r="C1927"/>
      <c r="D1927" s="3">
        <v>46127.57511574074</v>
      </c>
      <c r="E1927" t="inlineStr">
        <is>
          <t>Q2-W02</t>
        </is>
      </c>
      <c r="F1927" t="inlineStr">
        <is>
          <t>Fariz</t>
        </is>
      </c>
      <c r="G1927" t="inlineStr">
        <is>
          <t>Customer</t>
        </is>
      </c>
      <c r="H1927" s="2" t="str">
        <f>=HYPERLINK("https://upbox.ajobthing.my/customer/203261", "https://upbox.ajobthing.my/customer/203261")</f>
        <v>https://upbox.ajobthing.my/customer/203261</v>
      </c>
      <c r="I1927" t="inlineStr">
        <is>
          <t>vtrue capital</t>
        </is>
      </c>
      <c r="J1927" t="inlineStr">
        <is>
          <t>Small Fish</t>
        </is>
      </c>
      <c r="K1927" t="inlineStr">
        <is>
          <t>Fariz</t>
        </is>
      </c>
      <c r="L1927" s="4"/>
      <c r="M1927" s="4">
        <v>46127.57561342593</v>
      </c>
      <c r="N1927"/>
      <c r="O1927">
        <v>1296</v>
      </c>
      <c r="P1927" s="4"/>
      <c r="Q1927" s="4">
        <v>46141.43640046296</v>
      </c>
      <c r="R1927"/>
      <c r="S1927">
        <v>864</v>
      </c>
      <c r="T1927" s="4"/>
      <c r="U1927" s="4"/>
      <c r="V1927"/>
      <c r="W1927"/>
      <c r="X1927"/>
      <c r="Y1927" t="inlineStr">
        <is>
          <t>Pending Appointment</t>
        </is>
      </c>
      <c r="Z1927" t="inlineStr">
        <is>
          <t>Hiring Now</t>
        </is>
      </c>
      <c r="AA1927">
        <v>1</v>
      </c>
      <c r="AB1927" t="inlineStr">
        <is>
          <t>No Appointment Made</t>
        </is>
      </c>
      <c r="AC1927"/>
      <c r="AD1927" t="inlineStr">
        <is>
          <t>1.admin</t>
        </is>
      </c>
      <c r="AE1927"/>
      <c r="AF1927">
        <v>1200</v>
      </c>
      <c r="AG1927" s="4"/>
      <c r="AH1927" s="4"/>
      <c r="AI1927">
        <v>1200</v>
      </c>
      <c r="AJ1927"/>
      <c r="AK1927" t="inlineStr">
        <is>
          <t>No, I don't need at all</t>
        </is>
      </c>
      <c r="AL1927">
        <v>1</v>
      </c>
      <c r="AM1927" t="inlineStr">
        <is>
          <t>No, I don't need at all</t>
        </is>
      </c>
      <c r="AN1927"/>
      <c r="AO1927" t="inlineStr">
        <is>
          <t>No, but I want in future</t>
        </is>
      </c>
      <c r="AP1927" t="inlineStr">
        <is>
          <t>Once a year (25%)</t>
        </is>
      </c>
      <c r="AQ1927">
        <v>1</v>
      </c>
      <c r="AR1927" t="inlineStr">
        <is>
          <t>Jobstreet</t>
        </is>
      </c>
      <c r="AS1927" t="inlineStr">
        <is>
          <t>- Headcount: 1
- Hiring Job Details: 1 admin
- Hiring Urgency: Hiring Now
- Number of outlets: Not provided
- Have recruiter team: No, I don't need at all
- Number of recruiter in company: 1
- Have ATS system: No, I don't need at all
- Have career website: No, but I want in future
- Current hiring budget: RM1,200
- Whole year budget: RM1,200.00
- Whole year number of vacancies: 1
- Hiring frequency: Once a year (25%)
- External job portal: Jobstreet</t>
        </is>
      </c>
      <c r="AT1927">
        <v>115</v>
      </c>
      <c r="AU1927" t="inlineStr">
        <is>
          <t>1.15</t>
        </is>
      </c>
      <c r="AV1927" t="inlineStr">
        <is>
          <t>15</t>
        </is>
      </c>
      <c r="AW1927" t="inlineStr">
        <is>
          <t>0</t>
        </is>
      </c>
      <c r="AX1927" t="inlineStr">
        <is>
          <t>Not Qualified</t>
        </is>
      </c>
      <c r="AY1927" s="4"/>
      <c r="AZ1927"/>
      <c r="BA1927"/>
      <c r="BB1927"/>
      <c r="BC1927" t="inlineStr">
        <is>
          <t>ala carte basic invoice</t>
        </is>
      </c>
      <c r="BD1927" s="4">
        <v>46141.44136574074</v>
      </c>
      <c r="BE1927" t="inlineStr">
        <is>
          <t>pending</t>
        </is>
      </c>
      <c r="BF1927"/>
      <c r="BG1927" t="inlineStr">
        <is>
          <t>Reschedule</t>
        </is>
      </c>
      <c r="BH1927" t="inlineStr">
        <is>
          <t>Edward Hoo</t>
        </is>
      </c>
      <c r="BI1927"/>
      <c r="BJ1927" s="4">
        <v>46144.75425925926</v>
      </c>
      <c r="BK1927" s="4">
        <v>46127.572743055556</v>
      </c>
      <c r="BL1927" t="inlineStr">
        <is>
          <t>0.0</t>
        </is>
      </c>
      <c r="BM1927" t="inlineStr">
        <is>
          <t>0.0</t>
        </is>
      </c>
      <c r="BN1927"/>
      <c r="BO1927" s="4"/>
      <c r="BP1927">
        <v>167173</v>
      </c>
      <c r="BQ1927">
        <v>124028</v>
      </c>
      <c r="BR1927" t="inlineStr">
        <is>
          <t>Proforma</t>
        </is>
      </c>
      <c r="BS1927" t="inlineStr">
        <is>
          <t>AI Ala Carte (Jan 26)</t>
        </is>
      </c>
      <c r="BT1927"/>
      <c r="BU1927"/>
      <c r="BV1927">
        <v>2734464</v>
      </c>
      <c r="BW1927" t="inlineStr">
        <is>
          <t>Follow Up : Invoice Sent 75%</t>
        </is>
      </c>
      <c r="BX1927"/>
      <c r="BY1927"/>
      <c r="BZ1927" s="4"/>
      <c r="CA1927"/>
      <c r="CB1927"/>
      <c r="CC1927" s="4"/>
      <c r="CD1927" t="inlineStr">
        <is>
          <t>20</t>
        </is>
      </c>
      <c r="CE1927" t="inlineStr">
        <is>
          <t>0</t>
        </is>
      </c>
      <c r="CF1927" t="inlineStr">
        <is>
          <t>Q2-W02</t>
        </is>
      </c>
      <c r="CG1927" t="inlineStr">
        <is>
          <t>Q2-W04</t>
        </is>
      </c>
      <c r="CH1927"/>
      <c r="CI1927"/>
      <c r="CJ1927" t="inlineStr">
        <is>
          <t>No Paid</t>
        </is>
      </c>
      <c r="CK1927" t="inlineStr">
        <is>
          <t>Not Eligible</t>
        </is>
      </c>
      <c r="CL1927"/>
      <c r="CM1927"/>
    </row>
    <row r="1928" ht="25.5" customHeight="1">
      <c r="A1928" t="inlineStr">
        <is>
          <t>128311</t>
        </is>
      </c>
      <c r="B1928" s="2"/>
      <c r="C1928"/>
      <c r="D1928" s="3">
        <v>46127.58415509259</v>
      </c>
      <c r="E1928" t="inlineStr">
        <is>
          <t>Q2-W02</t>
        </is>
      </c>
      <c r="F1928" t="inlineStr">
        <is>
          <t>Lucas</t>
        </is>
      </c>
      <c r="G1928" t="inlineStr">
        <is>
          <t>Customer</t>
        </is>
      </c>
      <c r="H1928" s="2" t="str">
        <f>=HYPERLINK("https://upbox.ajobthing.my/customer/128311", "https://upbox.ajobthing.my/customer/128311")</f>
        <v>https://upbox.ajobthing.my/customer/128311</v>
      </c>
      <c r="I1928" t="inlineStr">
        <is>
          <t>Archiland Development Sdn Bhd</t>
        </is>
      </c>
      <c r="J1928" t="inlineStr">
        <is>
          <t>Small Fish</t>
        </is>
      </c>
      <c r="K1928" t="inlineStr">
        <is>
          <t>Lucas</t>
        </is>
      </c>
      <c r="L1928" s="4"/>
      <c r="M1928" s="4">
        <v>46134.607037037036</v>
      </c>
      <c r="N1928"/>
      <c r="O1928">
        <v>3888</v>
      </c>
      <c r="P1928" s="4"/>
      <c r="Q1928" s="4">
        <v>44643.46425925926</v>
      </c>
      <c r="R1928"/>
      <c r="S1928">
        <v>636</v>
      </c>
      <c r="T1928" s="4">
        <v>44643.46425925926</v>
      </c>
      <c r="U1928" s="4"/>
      <c r="V1928"/>
      <c r="W1928">
        <v>636</v>
      </c>
      <c r="X1928"/>
      <c r="Y1928" t="inlineStr">
        <is>
          <t>Pending Appointment</t>
        </is>
      </c>
      <c r="Z1928" t="inlineStr">
        <is>
          <t>Hiring Now</t>
        </is>
      </c>
      <c r="AA1928">
        <v>3</v>
      </c>
      <c r="AB1928" t="inlineStr">
        <is>
          <t>No Appointment Made</t>
        </is>
      </c>
      <c r="AC1928"/>
      <c r="AD1928" t="inlineStr">
        <is>
          <t>1 id, 
1 graphic design
1 accountant cum admin
1 qs</t>
        </is>
      </c>
      <c r="AE1928"/>
      <c r="AF1928">
        <v>0</v>
      </c>
      <c r="AG1928" s="4"/>
      <c r="AH1928" s="4"/>
      <c r="AI1928">
        <v>0</v>
      </c>
      <c r="AJ1928">
        <v>0</v>
      </c>
      <c r="AK1928" t="inlineStr">
        <is>
          <t>No, I don't need at all</t>
        </is>
      </c>
      <c r="AL1928">
        <v>0</v>
      </c>
      <c r="AM1928" t="inlineStr">
        <is>
          <t>No, I don't need at all</t>
        </is>
      </c>
      <c r="AN1928"/>
      <c r="AO1928" t="inlineStr">
        <is>
          <t>No, I don't need at all</t>
        </is>
      </c>
      <c r="AP1928" t="inlineStr">
        <is>
          <t>Once a year (25%)</t>
        </is>
      </c>
      <c r="AQ1928">
        <v>4</v>
      </c>
      <c r="AR1928" t="inlineStr">
        <is>
          <t>Jobstreet</t>
        </is>
      </c>
      <c r="AS1928" t="inlineStr">
        <is>
          <t>- Headcount: 3
- Hiring Job Details: 1 id, 1 graphic design, 1 accountant cum admin, 1 qs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Jobstreet</t>
        </is>
      </c>
      <c r="AT1928">
        <v>75</v>
      </c>
      <c r="AU1928" t="inlineStr">
        <is>
          <t>0.75</t>
        </is>
      </c>
      <c r="AV1928" t="inlineStr">
        <is>
          <t>15</t>
        </is>
      </c>
      <c r="AW1928" t="inlineStr">
        <is>
          <t>0</t>
        </is>
      </c>
      <c r="AX1928" t="inlineStr">
        <is>
          <t>Not Qualified</t>
        </is>
      </c>
      <c r="AY1928" s="4"/>
      <c r="AZ1928"/>
      <c r="BA1928"/>
      <c r="BB1928"/>
      <c r="BC1928" t="inlineStr">
        <is>
          <t>nr , FU1</t>
        </is>
      </c>
      <c r="BD1928" s="4">
        <v>46142.61708333333</v>
      </c>
      <c r="BE1928" t="inlineStr">
        <is>
          <t>paid</t>
        </is>
      </c>
      <c r="BF1928"/>
      <c r="BG1928" t="inlineStr">
        <is>
          <t>Reschedule</t>
        </is>
      </c>
      <c r="BH1928" t="inlineStr">
        <is>
          <t>Yee Hang</t>
        </is>
      </c>
      <c r="BI1928" t="inlineStr">
        <is>
          <t>Architecture / Interior Design</t>
        </is>
      </c>
      <c r="BJ1928" s="4">
        <v>46144.75042824074</v>
      </c>
      <c r="BK1928" s="4">
        <v>44054.67811342593</v>
      </c>
      <c r="BL1928" t="inlineStr">
        <is>
          <t>0.0</t>
        </is>
      </c>
      <c r="BM1928" t="inlineStr">
        <is>
          <t>0.0</t>
        </is>
      </c>
      <c r="BN1928" t="inlineStr">
        <is>
          <t>User Login</t>
        </is>
      </c>
      <c r="BO1928" s="4">
        <v>44643.464733796296</v>
      </c>
      <c r="BP1928">
        <v>168312</v>
      </c>
      <c r="BQ1928">
        <v>42474</v>
      </c>
      <c r="BR1928" t="inlineStr">
        <is>
          <t>Online</t>
        </is>
      </c>
      <c r="BS1928"/>
      <c r="BT1928">
        <v>42474</v>
      </c>
      <c r="BU1928"/>
      <c r="BV1928">
        <v>2737798</v>
      </c>
      <c r="BW1928" t="inlineStr">
        <is>
          <t>No Answer : Voicemail - WA sent to customer</t>
        </is>
      </c>
      <c r="BX1928"/>
      <c r="BY1928"/>
      <c r="BZ1928" s="4"/>
      <c r="CA1928"/>
      <c r="CB1928"/>
      <c r="CC1928" s="4"/>
      <c r="CD1928" t="inlineStr">
        <is>
          <t>20</t>
        </is>
      </c>
      <c r="CE1928" t="inlineStr">
        <is>
          <t>0</t>
        </is>
      </c>
      <c r="CF1928" t="inlineStr">
        <is>
          <t>Q2-W03</t>
        </is>
      </c>
      <c r="CG1928"/>
      <c r="CH1928"/>
      <c r="CI1928"/>
      <c r="CJ1928" t="inlineStr">
        <is>
          <t>Paid</t>
        </is>
      </c>
      <c r="CK1928" t="inlineStr">
        <is>
          <t>Not Eligible</t>
        </is>
      </c>
      <c r="CL1928"/>
      <c r="CM1928"/>
    </row>
    <row r="1929" ht="25.5" customHeight="1">
      <c r="A1929" t="inlineStr">
        <is>
          <t>116636</t>
        </is>
      </c>
      <c r="B1929" s="2"/>
      <c r="C1929"/>
      <c r="D1929" s="3">
        <v>46127.59208333334</v>
      </c>
      <c r="E1929" t="inlineStr">
        <is>
          <t>Q2-W02</t>
        </is>
      </c>
      <c r="F1929" t="inlineStr">
        <is>
          <t>Fariz</t>
        </is>
      </c>
      <c r="G1929" t="inlineStr">
        <is>
          <t>Customer</t>
        </is>
      </c>
      <c r="H1929" s="2" t="str">
        <f>=HYPERLINK("https://upbox.ajobthing.my/customer/116636", "https://upbox.ajobthing.my/customer/116636")</f>
        <v>https://upbox.ajobthing.my/customer/116636</v>
      </c>
      <c r="I1929" t="inlineStr">
        <is>
          <t xml:space="preserve">Aseptik Solusi </t>
        </is>
      </c>
      <c r="J1929" t="inlineStr">
        <is>
          <t>Small Fish</t>
        </is>
      </c>
      <c r="K1929" t="inlineStr">
        <is>
          <t>Fariz</t>
        </is>
      </c>
      <c r="L1929" s="4"/>
      <c r="M1929" s="4">
        <v>46127.59228009259</v>
      </c>
      <c r="N1929"/>
      <c r="O1929">
        <v>1296</v>
      </c>
      <c r="P1929" s="4"/>
      <c r="Q1929" s="4"/>
      <c r="R1929"/>
      <c r="S1929"/>
      <c r="T1929" s="4"/>
      <c r="U1929" s="4"/>
      <c r="V1929"/>
      <c r="W1929"/>
      <c r="X1929"/>
      <c r="Y1929" t="inlineStr">
        <is>
          <t>Pending Appointment</t>
        </is>
      </c>
      <c r="Z1929" t="inlineStr">
        <is>
          <t>Hiring Later</t>
        </is>
      </c>
      <c r="AA1929">
        <v>1</v>
      </c>
      <c r="AB1929" t="inlineStr">
        <is>
          <t>No Appointment Made</t>
        </is>
      </c>
      <c r="AC1929"/>
      <c r="AD1929" t="inlineStr">
        <is>
          <t>1. sales</t>
        </is>
      </c>
      <c r="AE1929"/>
      <c r="AF1929">
        <v>1200</v>
      </c>
      <c r="AG1929" s="4"/>
      <c r="AH1929" s="4"/>
      <c r="AI1929">
        <v>1200</v>
      </c>
      <c r="AJ1929"/>
      <c r="AK1929" t="inlineStr">
        <is>
          <t>No, I don't need at all</t>
        </is>
      </c>
      <c r="AL1929">
        <v>1</v>
      </c>
      <c r="AM1929" t="inlineStr">
        <is>
          <t>No, I don't need at all</t>
        </is>
      </c>
      <c r="AN1929"/>
      <c r="AO1929" t="inlineStr">
        <is>
          <t>No, I don't need at all</t>
        </is>
      </c>
      <c r="AP1929" t="inlineStr">
        <is>
          <t>Once a year (25%)</t>
        </is>
      </c>
      <c r="AQ1929">
        <v>1</v>
      </c>
      <c r="AR1929" t="inlineStr">
        <is>
          <t>Jobstreet</t>
        </is>
      </c>
      <c r="AS1929" t="inlineStr">
        <is>
          <t>- Headcount: 1
- Hiring Job Details: 1 sales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is>
      </c>
      <c r="AT1929">
        <v>110</v>
      </c>
      <c r="AU1929" t="inlineStr">
        <is>
          <t>1.10</t>
        </is>
      </c>
      <c r="AV1929" t="inlineStr">
        <is>
          <t>15</t>
        </is>
      </c>
      <c r="AW1929" t="inlineStr">
        <is>
          <t>0</t>
        </is>
      </c>
      <c r="AX1929" t="inlineStr">
        <is>
          <t>Not Qualified</t>
        </is>
      </c>
      <c r="AY1929" s="4"/>
      <c r="AZ1929"/>
      <c r="BA1929"/>
      <c r="BB1929"/>
      <c r="BC1929" t="inlineStr">
        <is>
          <t>said over budget, try to ask their budget and suggest Ala care basic</t>
        </is>
      </c>
      <c r="BD1929" s="4">
        <v>46141.580717592595</v>
      </c>
      <c r="BE1929"/>
      <c r="BF1929"/>
      <c r="BG1929" t="inlineStr">
        <is>
          <t>Reschedule</t>
        </is>
      </c>
      <c r="BH1929" t="inlineStr">
        <is>
          <t>Edward Hoo</t>
        </is>
      </c>
      <c r="BI1929" t="inlineStr">
        <is>
          <t>Healthcare / Medical</t>
        </is>
      </c>
      <c r="BJ1929" s="4">
        <v>46144.75016203704</v>
      </c>
      <c r="BK1929" s="4">
        <v>43535.57366898148</v>
      </c>
      <c r="BL1929" t="inlineStr">
        <is>
          <t>0.0</t>
        </is>
      </c>
      <c r="BM1929" t="inlineStr">
        <is>
          <t>0.0</t>
        </is>
      </c>
      <c r="BN1929" t="inlineStr">
        <is>
          <t>View Company Page</t>
        </is>
      </c>
      <c r="BO1929" s="4">
        <v>45778.386041666665</v>
      </c>
      <c r="BP1929">
        <v>167180</v>
      </c>
      <c r="BQ1929"/>
      <c r="BR1929"/>
      <c r="BS1929"/>
      <c r="BT1929"/>
      <c r="BU1929"/>
      <c r="BV1929">
        <v>2735148</v>
      </c>
      <c r="BW1929" t="inlineStr">
        <is>
          <t>Follow Up : Budget Concern</t>
        </is>
      </c>
      <c r="BX1929"/>
      <c r="BY1929"/>
      <c r="BZ1929" s="4"/>
      <c r="CA1929"/>
      <c r="CB1929"/>
      <c r="CC1929" s="4"/>
      <c r="CD1929" t="inlineStr">
        <is>
          <t>20</t>
        </is>
      </c>
      <c r="CE1929" t="inlineStr">
        <is>
          <t>0</t>
        </is>
      </c>
      <c r="CF1929" t="inlineStr">
        <is>
          <t>Q2-W02</t>
        </is>
      </c>
      <c r="CG1929"/>
      <c r="CH1929"/>
      <c r="CI1929"/>
      <c r="CJ1929" t="inlineStr">
        <is>
          <t>No Paid</t>
        </is>
      </c>
      <c r="CK1929" t="inlineStr">
        <is>
          <t>Not Eligible</t>
        </is>
      </c>
      <c r="CL1929"/>
      <c r="CM1929"/>
    </row>
    <row r="1930" ht="25.5" customHeight="1">
      <c r="A1930" t="inlineStr">
        <is>
          <t>203139</t>
        </is>
      </c>
      <c r="B1930" s="2"/>
      <c r="C1930"/>
      <c r="D1930" s="3">
        <v>46127.59469907408</v>
      </c>
      <c r="E1930" t="inlineStr">
        <is>
          <t>Q2-W02</t>
        </is>
      </c>
      <c r="F1930" t="inlineStr">
        <is>
          <t>Lucas</t>
        </is>
      </c>
      <c r="G1930" t="inlineStr">
        <is>
          <t>Customer</t>
        </is>
      </c>
      <c r="H1930" s="2" t="str">
        <f>=HYPERLINK("https://upbox.ajobthing.my/customer/203139", "https://upbox.ajobthing.my/customer/203139")</f>
        <v>https://upbox.ajobthing.my/customer/203139</v>
      </c>
      <c r="I1930" t="inlineStr">
        <is>
          <t>Asterra Global</t>
        </is>
      </c>
      <c r="J1930" t="inlineStr">
        <is>
          <t>Small Fish</t>
        </is>
      </c>
      <c r="K1930" t="inlineStr">
        <is>
          <t>Lucas</t>
        </is>
      </c>
      <c r="L1930" s="4"/>
      <c r="M1930" s="4">
        <v>46127.59280092592</v>
      </c>
      <c r="N1930"/>
      <c r="O1930">
        <v>3888</v>
      </c>
      <c r="P1930" s="4"/>
      <c r="Q1930" s="4">
        <v>46124.4555787037</v>
      </c>
      <c r="R1930"/>
      <c r="S1930">
        <v>0</v>
      </c>
      <c r="T1930" s="4"/>
      <c r="U1930" s="4"/>
      <c r="V1930"/>
      <c r="W1930"/>
      <c r="X1930"/>
      <c r="Y1930" t="inlineStr">
        <is>
          <t>Pending Appointment</t>
        </is>
      </c>
      <c r="Z1930" t="inlineStr">
        <is>
          <t>Hiring Now</t>
        </is>
      </c>
      <c r="AA1930">
        <v>2</v>
      </c>
      <c r="AB1930" t="inlineStr">
        <is>
          <t>No Appointment Made</t>
        </is>
      </c>
      <c r="AC1930"/>
      <c r="AD1930" t="inlineStr">
        <is>
          <t xml:space="preserve">1 admin , 1 accountant </t>
        </is>
      </c>
      <c r="AE1930"/>
      <c r="AF1930">
        <v>0</v>
      </c>
      <c r="AG1930" s="4"/>
      <c r="AH1930" s="4"/>
      <c r="AI1930">
        <v>0</v>
      </c>
      <c r="AJ1930">
        <v>0</v>
      </c>
      <c r="AK1930" t="inlineStr">
        <is>
          <t>No, I don't need at all</t>
        </is>
      </c>
      <c r="AL1930">
        <v>0</v>
      </c>
      <c r="AM1930" t="inlineStr">
        <is>
          <t>No, I don't need at all</t>
        </is>
      </c>
      <c r="AN1930"/>
      <c r="AO1930" t="inlineStr">
        <is>
          <t>No, I don't need at all</t>
        </is>
      </c>
      <c r="AP1930" t="inlineStr">
        <is>
          <t>Once a year (25%)</t>
        </is>
      </c>
      <c r="AQ1930">
        <v>2</v>
      </c>
      <c r="AR1930" t="inlineStr">
        <is>
          <t>Did not use any job portal</t>
        </is>
      </c>
      <c r="AS1930" t="inlineStr">
        <is>
          <t>- Headcount: 2
- Hiring Job Details: 1 admin,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930">
        <v>100</v>
      </c>
      <c r="AU1930" t="inlineStr">
        <is>
          <t>1.00</t>
        </is>
      </c>
      <c r="AV1930" t="inlineStr">
        <is>
          <t>15</t>
        </is>
      </c>
      <c r="AW1930" t="inlineStr">
        <is>
          <t>0</t>
        </is>
      </c>
      <c r="AX1930" t="inlineStr">
        <is>
          <t>Not Qualified</t>
        </is>
      </c>
      <c r="AY1930" s="4"/>
      <c r="AZ1930"/>
      <c r="BA1930"/>
      <c r="BB1930"/>
      <c r="BC1930" t="inlineStr">
        <is>
          <t>anything will call us back</t>
        </is>
      </c>
      <c r="BD1930" s="4">
        <v>46134.49638888889</v>
      </c>
      <c r="BE1930" t="inlineStr">
        <is>
          <t>paid</t>
        </is>
      </c>
      <c r="BF1930"/>
      <c r="BG1930" t="inlineStr">
        <is>
          <t>Reschedule</t>
        </is>
      </c>
      <c r="BH1930" t="inlineStr">
        <is>
          <t>Yee Hang</t>
        </is>
      </c>
      <c r="BI1930"/>
      <c r="BJ1930" s="4">
        <v>46144.75423611111</v>
      </c>
      <c r="BK1930" s="4">
        <v>46124.45512731482</v>
      </c>
      <c r="BL1930" t="inlineStr">
        <is>
          <t>0.0</t>
        </is>
      </c>
      <c r="BM1930" t="inlineStr">
        <is>
          <t>0.0</t>
        </is>
      </c>
      <c r="BN1930" t="inlineStr">
        <is>
          <t>View Company Page</t>
        </is>
      </c>
      <c r="BO1930" s="4">
        <v>46124.45618055556</v>
      </c>
      <c r="BP1930">
        <v>167181</v>
      </c>
      <c r="BQ1930">
        <v>121881</v>
      </c>
      <c r="BR1930" t="inlineStr">
        <is>
          <t>Proforma</t>
        </is>
      </c>
      <c r="BS1930" t="inlineStr">
        <is>
          <t>Free Part-Time Job</t>
        </is>
      </c>
      <c r="BT1930"/>
      <c r="BU1930"/>
      <c r="BV1930">
        <v>2720171</v>
      </c>
      <c r="BW1930" t="inlineStr">
        <is>
          <t>Follow Up : Lost - Free Portal</t>
        </is>
      </c>
      <c r="BX1930"/>
      <c r="BY1930"/>
      <c r="BZ1930" s="4"/>
      <c r="CA1930"/>
      <c r="CB1930"/>
      <c r="CC1930" s="4"/>
      <c r="CD1930" t="inlineStr">
        <is>
          <t>20</t>
        </is>
      </c>
      <c r="CE1930" t="inlineStr">
        <is>
          <t>0</t>
        </is>
      </c>
      <c r="CF1930" t="inlineStr">
        <is>
          <t>Q2-W02</t>
        </is>
      </c>
      <c r="CG1930" t="inlineStr">
        <is>
          <t>Q2-W02</t>
        </is>
      </c>
      <c r="CH1930"/>
      <c r="CI1930"/>
      <c r="CJ1930" t="inlineStr">
        <is>
          <t>No Paid</t>
        </is>
      </c>
      <c r="CK1930" t="inlineStr">
        <is>
          <t>Not Eligible</t>
        </is>
      </c>
      <c r="CL1930"/>
      <c r="CM1930"/>
    </row>
    <row r="1931" ht="25.5" customHeight="1">
      <c r="A1931" t="inlineStr">
        <is>
          <t>203238</t>
        </is>
      </c>
      <c r="B1931" s="2"/>
      <c r="C1931"/>
      <c r="D1931" s="3">
        <v>46127.59881944444</v>
      </c>
      <c r="E1931" t="inlineStr">
        <is>
          <t>Q2-W02</t>
        </is>
      </c>
      <c r="F1931" t="inlineStr">
        <is>
          <t>Luqman</t>
        </is>
      </c>
      <c r="G1931" t="inlineStr">
        <is>
          <t>Customer</t>
        </is>
      </c>
      <c r="H1931" s="2" t="str">
        <f>=HYPERLINK("https://upbox.ajobthing.my/customer/203238", "https://upbox.ajobthing.my/customer/203238")</f>
        <v>https://upbox.ajobthing.my/customer/203238</v>
      </c>
      <c r="I1931" t="inlineStr">
        <is>
          <t>NUSUKI SDN BHD</t>
        </is>
      </c>
      <c r="J1931" t="inlineStr">
        <is>
          <t>Small Fish</t>
        </is>
      </c>
      <c r="K1931" t="inlineStr">
        <is>
          <t>Luqman</t>
        </is>
      </c>
      <c r="L1931" s="4"/>
      <c r="M1931" s="4">
        <v>46127.59961805555</v>
      </c>
      <c r="N1931"/>
      <c r="O1931">
        <v>3576.96</v>
      </c>
      <c r="P1931" s="4"/>
      <c r="Q1931" s="4"/>
      <c r="R1931"/>
      <c r="S1931"/>
      <c r="T1931" s="4"/>
      <c r="U1931" s="4"/>
      <c r="V1931"/>
      <c r="W1931"/>
      <c r="X1931" t="inlineStr">
        <is>
          <t>Luqman</t>
        </is>
      </c>
      <c r="Y1931" t="inlineStr">
        <is>
          <t>Done Appointment</t>
        </is>
      </c>
      <c r="Z1931" t="inlineStr">
        <is>
          <t>Hiring Now</t>
        </is>
      </c>
      <c r="AA1931">
        <v>4</v>
      </c>
      <c r="AB1931" t="inlineStr">
        <is>
          <t>Appointment Made</t>
        </is>
      </c>
      <c r="AC1931" t="inlineStr">
        <is>
          <t>SME (&lt;50 employees)</t>
        </is>
      </c>
      <c r="AD1931" t="inlineStr">
        <is>
          <t>1. Graphic Designer 2. Digital Marketing 3. Video Editor 4. Operation Exec</t>
        </is>
      </c>
      <c r="AE1931" t="inlineStr">
        <is>
          <t>HR Manager / Talent Manager</t>
        </is>
      </c>
      <c r="AF1931">
        <v>3600</v>
      </c>
      <c r="AG1931" s="4">
        <v>46127.583333333336</v>
      </c>
      <c r="AH1931" s="4">
        <v>46127.597916666666</v>
      </c>
      <c r="AI1931">
        <v>3600</v>
      </c>
      <c r="AJ1931"/>
      <c r="AK1931" t="inlineStr">
        <is>
          <t>No, I don't need at all</t>
        </is>
      </c>
      <c r="AL1931">
        <v>1</v>
      </c>
      <c r="AM1931" t="inlineStr">
        <is>
          <t>No, I don't need at all</t>
        </is>
      </c>
      <c r="AN1931"/>
      <c r="AO1931" t="inlineStr">
        <is>
          <t>Yes, I have</t>
        </is>
      </c>
      <c r="AP1931" t="inlineStr">
        <is>
          <t>Once a year (25%)</t>
        </is>
      </c>
      <c r="AQ1931">
        <v>4</v>
      </c>
      <c r="AR1931" t="inlineStr">
        <is>
          <t>Indeed (Paid)</t>
        </is>
      </c>
      <c r="AS1931" t="inlineStr">
        <is>
          <t>- Headcount: 4
- Hiring Job Details: 1. Graphic Designer 2. Digital Marketing 3. Video Editor 4. Operation Exec
- Hiring Urgency: Hiring Now
- Number of outlets: 
- Have recruiter team: No, I don't need at all
- Number of recruiter in company: 1
- Have ATS system: No, I don't need at all
- Have career website: Yes, I have
- Current hiring budget: RM3,600
- Whole year budget: RM3,600.00
- Whole year number of vacancies: 4
- Hiring frequency: Once a year (25%)
- External job portal: Indeed (Paid)</t>
        </is>
      </c>
      <c r="AT1931">
        <v>95</v>
      </c>
      <c r="AU1931" t="inlineStr">
        <is>
          <t>0.95</t>
        </is>
      </c>
      <c r="AV1931" t="inlineStr">
        <is>
          <t>30</t>
        </is>
      </c>
      <c r="AW1931" t="inlineStr">
        <is>
          <t>0</t>
        </is>
      </c>
      <c r="AX1931" t="inlineStr">
        <is>
          <t>Not Qualified</t>
        </is>
      </c>
      <c r="AY1931" s="4">
        <v>46133.74927083333</v>
      </c>
      <c r="AZ1931" t="inlineStr">
        <is>
          <t>Edward Hoo</t>
        </is>
      </c>
      <c r="BA1931"/>
      <c r="BB1931"/>
      <c r="BC1931" t="inlineStr">
        <is>
          <t>Lost - No feedback</t>
        </is>
      </c>
      <c r="BD1931" s="4">
        <v>46141.59675925926</v>
      </c>
      <c r="BE1931"/>
      <c r="BF1931"/>
      <c r="BG1931" t="inlineStr">
        <is>
          <t>Reschedule</t>
        </is>
      </c>
      <c r="BH1931" t="inlineStr">
        <is>
          <t>Edward Hoo</t>
        </is>
      </c>
      <c r="BI1931"/>
      <c r="BJ1931" s="4">
        <v>46144.75425925926</v>
      </c>
      <c r="BK1931" s="4">
        <v>46126.90893518519</v>
      </c>
      <c r="BL1931" t="inlineStr">
        <is>
          <t>0.0</t>
        </is>
      </c>
      <c r="BM1931" t="inlineStr">
        <is>
          <t>0.0</t>
        </is>
      </c>
      <c r="BN1931"/>
      <c r="BO1931" s="4"/>
      <c r="BP1931">
        <v>167185</v>
      </c>
      <c r="BQ1931"/>
      <c r="BR1931"/>
      <c r="BS1931"/>
      <c r="BT1931"/>
      <c r="BU1931"/>
      <c r="BV1931">
        <v>2735256</v>
      </c>
      <c r="BW1931" t="inlineStr">
        <is>
          <t>Follow Up : Lost - Free Portal</t>
        </is>
      </c>
      <c r="BX1931"/>
      <c r="BY1931"/>
      <c r="BZ1931" s="4"/>
      <c r="CA1931"/>
      <c r="CB1931"/>
      <c r="CC1931" s="4"/>
      <c r="CD1931" t="inlineStr">
        <is>
          <t>40</t>
        </is>
      </c>
      <c r="CE1931" t="inlineStr">
        <is>
          <t>0.5</t>
        </is>
      </c>
      <c r="CF1931" t="inlineStr">
        <is>
          <t>Q2-W02</t>
        </is>
      </c>
      <c r="CG1931"/>
      <c r="CH1931"/>
      <c r="CI1931" t="inlineStr">
        <is>
          <t>Q2-W03</t>
        </is>
      </c>
      <c r="CJ1931" t="inlineStr">
        <is>
          <t>No Paid</t>
        </is>
      </c>
      <c r="CK1931" t="inlineStr">
        <is>
          <t>Not Eligible</t>
        </is>
      </c>
      <c r="CL1931"/>
      <c r="CM1931" t="inlineStr">
        <is>
          <t>Q2-W03</t>
        </is>
      </c>
    </row>
    <row r="1932" ht="25.5" customHeight="1">
      <c r="A1932" t="inlineStr">
        <is>
          <t>4285466</t>
        </is>
      </c>
      <c r="B1932" s="2"/>
      <c r="C1932"/>
      <c r="D1932" s="3">
        <v>46127.61699074074</v>
      </c>
      <c r="E1932" t="inlineStr">
        <is>
          <t>Q2-W02</t>
        </is>
      </c>
      <c r="F1932" t="inlineStr">
        <is>
          <t>Angel  Low</t>
        </is>
      </c>
      <c r="G1932" t="inlineStr">
        <is>
          <t>Lead</t>
        </is>
      </c>
      <c r="H1932" s="2" t="str">
        <f>=HYPERLINK("https://upbox.ajobthing.my/leads/4285466", "https://upbox.ajobthing.my/leads/4285466")</f>
        <v>https://upbox.ajobthing.my/leads/4285466</v>
      </c>
      <c r="I1932" t="inlineStr">
        <is>
          <t>SKSS SMARTLAND ENTERPRISE</t>
        </is>
      </c>
      <c r="J1932" t="inlineStr">
        <is>
          <t>Small Fish</t>
        </is>
      </c>
      <c r="K1932" t="inlineStr">
        <is>
          <t>Angel Low</t>
        </is>
      </c>
      <c r="L1932" s="4"/>
      <c r="M1932" s="4">
        <v>46127.617800925924</v>
      </c>
      <c r="N1932"/>
      <c r="O1932">
        <v>3888</v>
      </c>
      <c r="P1932" s="4"/>
      <c r="Q1932" s="4"/>
      <c r="R1932"/>
      <c r="S1932"/>
      <c r="T1932" s="4"/>
      <c r="U1932" s="4"/>
      <c r="V1932"/>
      <c r="W1932"/>
      <c r="X1932"/>
      <c r="Y1932" t="inlineStr">
        <is>
          <t>Pending Appointment</t>
        </is>
      </c>
      <c r="Z1932"/>
      <c r="AA1932">
        <v>1</v>
      </c>
      <c r="AB1932" t="inlineStr">
        <is>
          <t>No Appointment Made</t>
        </is>
      </c>
      <c r="AC1932"/>
      <c r="AD1932" t="inlineStr">
        <is>
          <t xml:space="preserve">1 lorry driver johor </t>
        </is>
      </c>
      <c r="AE1932"/>
      <c r="AF1932"/>
      <c r="AG1932" s="4"/>
      <c r="AH1932" s="4"/>
      <c r="AI1932"/>
      <c r="AJ1932"/>
      <c r="AK1932"/>
      <c r="AL1932"/>
      <c r="AM1932"/>
      <c r="AN1932"/>
      <c r="AO1932"/>
      <c r="AP1932"/>
      <c r="AQ1932"/>
      <c r="AR1932"/>
      <c r="AS1932" t="inlineStr">
        <is>
          <t>- Headcount: 1
- Hiring Job Details: 1 lorry driver johor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932">
        <v>65</v>
      </c>
      <c r="AU1932" t="inlineStr">
        <is>
          <t>0.65</t>
        </is>
      </c>
      <c r="AV1932" t="inlineStr">
        <is>
          <t>5</t>
        </is>
      </c>
      <c r="AW1932" t="inlineStr">
        <is>
          <t>0</t>
        </is>
      </c>
      <c r="AX1932" t="inlineStr">
        <is>
          <t>Not Qualified</t>
        </is>
      </c>
      <c r="AY1932" s="4"/>
      <c r="AZ1932"/>
      <c r="BA1932"/>
      <c r="BB1932"/>
      <c r="BC1932"/>
      <c r="BD1932" s="4"/>
      <c r="BE1932"/>
      <c r="BF1932"/>
      <c r="BG1932" t="inlineStr">
        <is>
          <t>Reschedule</t>
        </is>
      </c>
      <c r="BH1932" t="inlineStr">
        <is>
          <t>Fauziah Maharan</t>
        </is>
      </c>
      <c r="BI1932"/>
      <c r="BJ1932" s="4">
        <v>46144.755833333336</v>
      </c>
      <c r="BK1932" s="4">
        <v>46127.60259259259</v>
      </c>
      <c r="BL1932" t="inlineStr">
        <is>
          <t>0.0</t>
        </is>
      </c>
      <c r="BM1932" t="inlineStr">
        <is>
          <t>0.0</t>
        </is>
      </c>
      <c r="BN1932"/>
      <c r="BO1932" s="4"/>
      <c r="BP1932">
        <v>167192</v>
      </c>
      <c r="BQ1932"/>
      <c r="BR1932"/>
      <c r="BS1932"/>
      <c r="BT1932"/>
      <c r="BU1932"/>
      <c r="BV1932"/>
      <c r="BW1932"/>
      <c r="BX1932"/>
      <c r="BY1932"/>
      <c r="BZ1932" s="4"/>
      <c r="CA1932"/>
      <c r="CB1932"/>
      <c r="CC1932" s="4"/>
      <c r="CD1932" t="inlineStr">
        <is>
          <t>5</t>
        </is>
      </c>
      <c r="CE1932" t="inlineStr">
        <is>
          <t>0</t>
        </is>
      </c>
      <c r="CF1932" t="inlineStr">
        <is>
          <t>Q2-W02</t>
        </is>
      </c>
      <c r="CG1932"/>
      <c r="CH1932"/>
      <c r="CI1932"/>
      <c r="CJ1932" t="inlineStr">
        <is>
          <t>No Paid</t>
        </is>
      </c>
      <c r="CK1932" t="inlineStr">
        <is>
          <t>Not Eligible</t>
        </is>
      </c>
      <c r="CL1932"/>
      <c r="CM1932"/>
    </row>
    <row r="1933" ht="25.5" customHeight="1">
      <c r="A1933" t="inlineStr">
        <is>
          <t>171676</t>
        </is>
      </c>
      <c r="B1933" s="2"/>
      <c r="C1933"/>
      <c r="D1933" s="3">
        <v>46127.617210648146</v>
      </c>
      <c r="E1933" t="inlineStr">
        <is>
          <t>Q2-W02</t>
        </is>
      </c>
      <c r="F1933" t="inlineStr">
        <is>
          <t>Janice Yap</t>
        </is>
      </c>
      <c r="G1933" t="inlineStr">
        <is>
          <t>Customer</t>
        </is>
      </c>
      <c r="H1933" s="2" t="str">
        <f>=HYPERLINK("https://upbox.ajobthing.my/customer/171676", "https://upbox.ajobthing.my/customer/171676")</f>
        <v>https://upbox.ajobthing.my/customer/171676</v>
      </c>
      <c r="I1933" t="inlineStr">
        <is>
          <t>WG Food Sdn Bhd</t>
        </is>
      </c>
      <c r="J1933" t="inlineStr">
        <is>
          <t>Small Fish</t>
        </is>
      </c>
      <c r="K1933" t="inlineStr">
        <is>
          <t>Janice</t>
        </is>
      </c>
      <c r="L1933" s="4"/>
      <c r="M1933" s="4">
        <v>46127.61394675926</v>
      </c>
      <c r="N1933"/>
      <c r="O1933">
        <v>6048</v>
      </c>
      <c r="P1933" s="4"/>
      <c r="Q1933" s="4"/>
      <c r="R1933"/>
      <c r="S1933"/>
      <c r="T1933" s="4"/>
      <c r="U1933" s="4"/>
      <c r="V1933"/>
      <c r="W1933"/>
      <c r="X1933"/>
      <c r="Y1933" t="inlineStr">
        <is>
          <t>Pending Appointment</t>
        </is>
      </c>
      <c r="Z1933" t="inlineStr">
        <is>
          <t>Hiring Now</t>
        </is>
      </c>
      <c r="AA1933">
        <v>1</v>
      </c>
      <c r="AB1933" t="inlineStr">
        <is>
          <t>No Appointment Made</t>
        </is>
      </c>
      <c r="AC1933"/>
      <c r="AD1933" t="inlineStr">
        <is>
          <t>1 QC</t>
        </is>
      </c>
      <c r="AE1933"/>
      <c r="AF1933">
        <v>0</v>
      </c>
      <c r="AG1933" s="4"/>
      <c r="AH1933" s="4"/>
      <c r="AI1933">
        <v>0</v>
      </c>
      <c r="AJ1933"/>
      <c r="AK1933" t="inlineStr">
        <is>
          <t>No, I don't need at all</t>
        </is>
      </c>
      <c r="AL1933">
        <v>0</v>
      </c>
      <c r="AM1933" t="inlineStr">
        <is>
          <t>No, I don't need at all</t>
        </is>
      </c>
      <c r="AN1933"/>
      <c r="AO1933" t="inlineStr">
        <is>
          <t>No, I don't need at all</t>
        </is>
      </c>
      <c r="AP1933" t="inlineStr">
        <is>
          <t>Once a year (25%)</t>
        </is>
      </c>
      <c r="AQ1933">
        <v>5</v>
      </c>
      <c r="AR1933" t="inlineStr">
        <is>
          <t>Did not use any job portal</t>
        </is>
      </c>
      <c r="AS1933" t="inlineStr">
        <is>
          <t>- Headcount: Not provided
- Hiring Job Details: 1 QC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t>
        </is>
      </c>
      <c r="AT1933">
        <v>105</v>
      </c>
      <c r="AU1933" t="inlineStr">
        <is>
          <t>1.05</t>
        </is>
      </c>
      <c r="AV1933" t="inlineStr">
        <is>
          <t>15</t>
        </is>
      </c>
      <c r="AW1933" t="inlineStr">
        <is>
          <t>0</t>
        </is>
      </c>
      <c r="AX1933" t="inlineStr">
        <is>
          <t>Not Qualified</t>
        </is>
      </c>
      <c r="AY1933" s="4"/>
      <c r="AZ1933"/>
      <c r="BA1933"/>
      <c r="BB1933"/>
      <c r="BC1933" t="inlineStr">
        <is>
          <t>- Headcount: Not provided
- Hiring Job Details: 1 QC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t>
        </is>
      </c>
      <c r="BD1933" s="4">
        <v>46127.62503472222</v>
      </c>
      <c r="BE1933"/>
      <c r="BF1933"/>
      <c r="BG1933" t="inlineStr">
        <is>
          <t>Reschedule</t>
        </is>
      </c>
      <c r="BH1933" t="inlineStr">
        <is>
          <t>Yee Hang</t>
        </is>
      </c>
      <c r="BI1933" t="inlineStr">
        <is>
          <t>Food / Beverage</t>
        </is>
      </c>
      <c r="BJ1933" s="4">
        <v>46144.75144675926</v>
      </c>
      <c r="BK1933" s="4">
        <v>45204.448425925926</v>
      </c>
      <c r="BL1933" t="inlineStr">
        <is>
          <t>0.0</t>
        </is>
      </c>
      <c r="BM1933" t="inlineStr">
        <is>
          <t>0.0</t>
        </is>
      </c>
      <c r="BN1933" t="inlineStr">
        <is>
          <t>View Create Job Page V4</t>
        </is>
      </c>
      <c r="BO1933" s="4">
        <v>46120.426145833335</v>
      </c>
      <c r="BP1933">
        <v>167191</v>
      </c>
      <c r="BQ1933"/>
      <c r="BR1933"/>
      <c r="BS1933"/>
      <c r="BT1933"/>
      <c r="BU1933"/>
      <c r="BV1933">
        <v>2706120</v>
      </c>
      <c r="BW1933" t="inlineStr">
        <is>
          <t>Customer Inquiry</t>
        </is>
      </c>
      <c r="BX1933"/>
      <c r="BY1933"/>
      <c r="BZ1933" s="4"/>
      <c r="CA1933"/>
      <c r="CB1933"/>
      <c r="CC1933" s="4"/>
      <c r="CD1933" t="inlineStr">
        <is>
          <t>20</t>
        </is>
      </c>
      <c r="CE1933" t="inlineStr">
        <is>
          <t>0</t>
        </is>
      </c>
      <c r="CF1933" t="inlineStr">
        <is>
          <t>Q2-W02</t>
        </is>
      </c>
      <c r="CG1933"/>
      <c r="CH1933"/>
      <c r="CI1933"/>
      <c r="CJ1933" t="inlineStr">
        <is>
          <t>No Paid</t>
        </is>
      </c>
      <c r="CK1933" t="inlineStr">
        <is>
          <t>Not Eligible</t>
        </is>
      </c>
      <c r="CL1933"/>
      <c r="CM1933"/>
    </row>
    <row r="1934" ht="25.5" customHeight="1">
      <c r="A1934" t="inlineStr">
        <is>
          <t>25247</t>
        </is>
      </c>
      <c r="B1934" s="2"/>
      <c r="C1934"/>
      <c r="D1934" s="3">
        <v>46127.61766203704</v>
      </c>
      <c r="E1934" t="inlineStr">
        <is>
          <t>Q2-W02</t>
        </is>
      </c>
      <c r="F1934" t="inlineStr">
        <is>
          <t>Clover</t>
        </is>
      </c>
      <c r="G1934" t="inlineStr">
        <is>
          <t>Customer</t>
        </is>
      </c>
      <c r="H1934" s="2" t="str">
        <f>=HYPERLINK("https://upbox.ajobthing.my/customer/25247", "https://upbox.ajobthing.my/customer/25247")</f>
        <v>https://upbox.ajobthing.my/customer/25247</v>
      </c>
      <c r="I1934" t="inlineStr">
        <is>
          <t>Cloud Nation Sdn Bhd</t>
        </is>
      </c>
      <c r="J1934" t="inlineStr">
        <is>
          <t>Small Fish</t>
        </is>
      </c>
      <c r="K1934" t="inlineStr">
        <is>
          <t>Clover</t>
        </is>
      </c>
      <c r="L1934" s="4"/>
      <c r="M1934" s="4">
        <v>46127.61855324074</v>
      </c>
      <c r="N1934"/>
      <c r="O1934">
        <v>3888</v>
      </c>
      <c r="P1934" s="4"/>
      <c r="Q1934" s="4"/>
      <c r="R1934"/>
      <c r="S1934"/>
      <c r="T1934" s="4"/>
      <c r="U1934" s="4"/>
      <c r="V1934"/>
      <c r="W1934"/>
      <c r="X1934"/>
      <c r="Y1934" t="inlineStr">
        <is>
          <t>Pending Appointment</t>
        </is>
      </c>
      <c r="Z1934" t="inlineStr">
        <is>
          <t>Hiring Now</t>
        </is>
      </c>
      <c r="AA1934">
        <v>2</v>
      </c>
      <c r="AB1934" t="inlineStr">
        <is>
          <t>No Appointment Made</t>
        </is>
      </c>
      <c r="AC1934"/>
      <c r="AD1934" t="inlineStr">
        <is>
          <t>Hire indoor / outdoor sales exec x1-2,  all races, IT consulting,  B2B, technician lingo, fresh grads, training, long term hire internship, urgent, previous JS no suitable too mature, prefer email - rizlanshah@cloudnation.com</t>
        </is>
      </c>
      <c r="AE1934"/>
      <c r="AF1934">
        <v>3000</v>
      </c>
      <c r="AG1934" s="4"/>
      <c r="AH1934" s="4"/>
      <c r="AI1934">
        <v>3000</v>
      </c>
      <c r="AJ1934">
        <v>1</v>
      </c>
      <c r="AK1934" t="inlineStr">
        <is>
          <t>No, but I want in future</t>
        </is>
      </c>
      <c r="AL1934">
        <v>1</v>
      </c>
      <c r="AM1934" t="inlineStr">
        <is>
          <t>No, but I want in future</t>
        </is>
      </c>
      <c r="AN1934"/>
      <c r="AO1934" t="inlineStr">
        <is>
          <t>No, but I want in future</t>
        </is>
      </c>
      <c r="AP1934" t="inlineStr">
        <is>
          <t>Twice a year (50%)</t>
        </is>
      </c>
      <c r="AQ1934">
        <v>2</v>
      </c>
      <c r="AR1934" t="inlineStr">
        <is>
          <t>Jobstreet</t>
        </is>
      </c>
      <c r="AS1934" t="inlineStr">
        <is>
          <t>- Headcount: 2
- Hiring Job Details: Hire 1-2 indoor/outdoor sales execs (IT consulting, B2B, technician lingo, fresh grads preferred, training provided, long-term internship/hire, urgent, no mature JS candidates, email rizlanshah@cloudnation.com)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t>
        </is>
      </c>
      <c r="AT1934">
        <v>115</v>
      </c>
      <c r="AU1934" t="inlineStr">
        <is>
          <t>1.15</t>
        </is>
      </c>
      <c r="AV1934" t="inlineStr">
        <is>
          <t>15</t>
        </is>
      </c>
      <c r="AW1934" t="inlineStr">
        <is>
          <t>0</t>
        </is>
      </c>
      <c r="AX1934" t="inlineStr">
        <is>
          <t>Not Qualified</t>
        </is>
      </c>
      <c r="AY1934" s="4"/>
      <c r="AZ1934"/>
      <c r="BA1934"/>
      <c r="BB1934"/>
      <c r="BC1934" t="inlineStr">
        <is>
          <t>prefer js 600, budget concern</t>
        </is>
      </c>
      <c r="BD1934" s="4">
        <v>46133.74123842592</v>
      </c>
      <c r="BE1934"/>
      <c r="BF1934"/>
      <c r="BG1934" t="inlineStr">
        <is>
          <t>Reschedule</t>
        </is>
      </c>
      <c r="BH1934" t="inlineStr">
        <is>
          <t>Reagen</t>
        </is>
      </c>
      <c r="BI1934" t="inlineStr">
        <is>
          <t>IT / Hardware</t>
        </is>
      </c>
      <c r="BJ1934" s="4">
        <v>46144.75446759259</v>
      </c>
      <c r="BK1934" s="4">
        <v>42545.96082175926</v>
      </c>
      <c r="BL1934" t="inlineStr">
        <is>
          <t>0.0</t>
        </is>
      </c>
      <c r="BM1934" t="inlineStr">
        <is>
          <t>0.0</t>
        </is>
      </c>
      <c r="BN1934"/>
      <c r="BO1934" s="4"/>
      <c r="BP1934">
        <v>167193</v>
      </c>
      <c r="BQ1934"/>
      <c r="BR1934"/>
      <c r="BS1934"/>
      <c r="BT1934"/>
      <c r="BU1934"/>
      <c r="BV1934">
        <v>2719149</v>
      </c>
      <c r="BW1934" t="inlineStr">
        <is>
          <t>Follow Up : Lost - Paid Portal</t>
        </is>
      </c>
      <c r="BX1934"/>
      <c r="BY1934"/>
      <c r="BZ1934" s="4"/>
      <c r="CA1934"/>
      <c r="CB1934"/>
      <c r="CC1934" s="4"/>
      <c r="CD1934" t="inlineStr">
        <is>
          <t>20</t>
        </is>
      </c>
      <c r="CE1934" t="inlineStr">
        <is>
          <t>0</t>
        </is>
      </c>
      <c r="CF1934" t="inlineStr">
        <is>
          <t>Q2-W02</t>
        </is>
      </c>
      <c r="CG1934"/>
      <c r="CH1934"/>
      <c r="CI1934"/>
      <c r="CJ1934" t="inlineStr">
        <is>
          <t>No Paid</t>
        </is>
      </c>
      <c r="CK1934" t="inlineStr">
        <is>
          <t>Not Eligible</t>
        </is>
      </c>
      <c r="CL1934"/>
      <c r="CM1934"/>
    </row>
    <row r="1935" ht="25.5" customHeight="1">
      <c r="A1935" t="inlineStr">
        <is>
          <t>203264</t>
        </is>
      </c>
      <c r="B1935" s="2"/>
      <c r="C1935"/>
      <c r="D1935" s="3">
        <v>46127.62584490741</v>
      </c>
      <c r="E1935" t="inlineStr">
        <is>
          <t>Q2-W02</t>
        </is>
      </c>
      <c r="F1935" t="inlineStr">
        <is>
          <t>Eugene</t>
        </is>
      </c>
      <c r="G1935" t="inlineStr">
        <is>
          <t>Customer</t>
        </is>
      </c>
      <c r="H1935" s="2" t="str">
        <f>=HYPERLINK("https://upbox.ajobthing.my/customer/203264", "https://upbox.ajobthing.my/customer/203264")</f>
        <v>https://upbox.ajobthing.my/customer/203264</v>
      </c>
      <c r="I1935" t="inlineStr">
        <is>
          <t>Csii Development (malaysia) Sdn Bhd</t>
        </is>
      </c>
      <c r="J1935" t="inlineStr">
        <is>
          <t>Small Fish</t>
        </is>
      </c>
      <c r="K1935" t="inlineStr">
        <is>
          <t>Eugene</t>
        </is>
      </c>
      <c r="L1935" s="4"/>
      <c r="M1935" s="4">
        <v>46135.67849537037</v>
      </c>
      <c r="N1935"/>
      <c r="O1935">
        <v>3888</v>
      </c>
      <c r="P1935" s="4"/>
      <c r="Q1935" s="4"/>
      <c r="R1935"/>
      <c r="S1935"/>
      <c r="T1935" s="4"/>
      <c r="U1935" s="4"/>
      <c r="V1935"/>
      <c r="W1935"/>
      <c r="X1935"/>
      <c r="Y1935" t="inlineStr">
        <is>
          <t>Pending Appointment</t>
        </is>
      </c>
      <c r="Z1935" t="inlineStr">
        <is>
          <t>Hiring Now</t>
        </is>
      </c>
      <c r="AA1935">
        <v>9</v>
      </c>
      <c r="AB1935" t="inlineStr">
        <is>
          <t>No Appointment Made</t>
        </is>
      </c>
      <c r="AC1935"/>
      <c r="AD1935" t="inlineStr">
        <is>
          <t>9 positions, based in Selangor</t>
        </is>
      </c>
      <c r="AE1935"/>
      <c r="AF1935">
        <v>10000</v>
      </c>
      <c r="AG1935" s="4"/>
      <c r="AH1935" s="4"/>
      <c r="AI1935">
        <v>10000</v>
      </c>
      <c r="AJ1935">
        <v>1</v>
      </c>
      <c r="AK1935" t="inlineStr">
        <is>
          <t>No, I don't need at all</t>
        </is>
      </c>
      <c r="AL1935">
        <v>1</v>
      </c>
      <c r="AM1935" t="inlineStr">
        <is>
          <t>No, I don't need at all</t>
        </is>
      </c>
      <c r="AN1935"/>
      <c r="AO1935" t="inlineStr">
        <is>
          <t>No, I don't need at all</t>
        </is>
      </c>
      <c r="AP1935" t="inlineStr">
        <is>
          <t>Once per quarter (75%)</t>
        </is>
      </c>
      <c r="AQ1935">
        <v>12</v>
      </c>
      <c r="AR1935" t="inlineStr">
        <is>
          <t>Free Job Portal, Jobstreet</t>
        </is>
      </c>
      <c r="AS1935" t="inlineStr">
        <is>
          <t>- Headcount: 9
- Hiring Job Details: 9 positions, based in Selangor
- Hiring Urgency: Hiring Now
- Number of outlets: 1
- Have recruiter team: No, I don't need at all
- Number of recruiter in company: 1
- Have ATS system: No, I don't need at all
- Have career website: No, I don't need at all
- Current hiring budget: RM10,000
- Whole year budget: RM10,000.00
- Whole year number of vacancies: 12
- Hiring frequency: Once per quarter (75%)
- External job portal: Free Job Portal,Jobstreet</t>
        </is>
      </c>
      <c r="AT1935">
        <v>95</v>
      </c>
      <c r="AU1935" t="inlineStr">
        <is>
          <t>0.95</t>
        </is>
      </c>
      <c r="AV1935" t="inlineStr">
        <is>
          <t>20</t>
        </is>
      </c>
      <c r="AW1935" t="inlineStr">
        <is>
          <t>0</t>
        </is>
      </c>
      <c r="AX1935" t="inlineStr">
        <is>
          <t>Not Qualified</t>
        </is>
      </c>
      <c r="AY1935" s="4"/>
      <c r="AZ1935"/>
      <c r="BA1935"/>
      <c r="BB1935"/>
      <c r="BC1935" t="inlineStr">
        <is>
          <t>proceed with JS // +60 12-355 2598 Ms Ong</t>
        </is>
      </c>
      <c r="BD1935" s="4">
        <v>46135.67932870371</v>
      </c>
      <c r="BE1935"/>
      <c r="BF1935"/>
      <c r="BG1935" t="inlineStr">
        <is>
          <t>Reschedule</t>
        </is>
      </c>
      <c r="BH1935" t="inlineStr">
        <is>
          <t>Edward Hoo</t>
        </is>
      </c>
      <c r="BI1935"/>
      <c r="BJ1935" s="4">
        <v>46144.75425925926</v>
      </c>
      <c r="BK1935" s="4">
        <v>46127.60805555555</v>
      </c>
      <c r="BL1935" t="inlineStr">
        <is>
          <t>0.0</t>
        </is>
      </c>
      <c r="BM1935" t="inlineStr">
        <is>
          <t>0.0</t>
        </is>
      </c>
      <c r="BN1935" t="inlineStr">
        <is>
          <t>View Company Page</t>
        </is>
      </c>
      <c r="BO1935" s="4">
        <v>46127.61071759259</v>
      </c>
      <c r="BP1935">
        <v>168620</v>
      </c>
      <c r="BQ1935"/>
      <c r="BR1935"/>
      <c r="BS1935"/>
      <c r="BT1935"/>
      <c r="BU1935"/>
      <c r="BV1935">
        <v>2724730</v>
      </c>
      <c r="BW1935" t="inlineStr">
        <is>
          <t>Follow Up : Lost - Paid Portal</t>
        </is>
      </c>
      <c r="BX1935"/>
      <c r="BY1935"/>
      <c r="BZ1935" s="4"/>
      <c r="CA1935"/>
      <c r="CB1935"/>
      <c r="CC1935" s="4"/>
      <c r="CD1935" t="inlineStr">
        <is>
          <t>30</t>
        </is>
      </c>
      <c r="CE1935" t="inlineStr">
        <is>
          <t>0</t>
        </is>
      </c>
      <c r="CF1935" t="inlineStr">
        <is>
          <t>Q2-W03</t>
        </is>
      </c>
      <c r="CG1935"/>
      <c r="CH1935"/>
      <c r="CI1935"/>
      <c r="CJ1935" t="inlineStr">
        <is>
          <t>No Paid</t>
        </is>
      </c>
      <c r="CK1935" t="inlineStr">
        <is>
          <t>Eligible</t>
        </is>
      </c>
      <c r="CL1935"/>
      <c r="CM1935"/>
    </row>
    <row r="1936" ht="25.5" customHeight="1">
      <c r="A1936" t="inlineStr">
        <is>
          <t>190435</t>
        </is>
      </c>
      <c r="B1936" s="2"/>
      <c r="C1936"/>
      <c r="D1936" s="3">
        <v>46127.629166666666</v>
      </c>
      <c r="E1936" t="inlineStr">
        <is>
          <t>Q2-W02</t>
        </is>
      </c>
      <c r="F1936" t="inlineStr">
        <is>
          <t>Fariz</t>
        </is>
      </c>
      <c r="G1936" t="inlineStr">
        <is>
          <t>Customer</t>
        </is>
      </c>
      <c r="H1936" s="2" t="str">
        <f>=HYPERLINK("https://upbox.ajobthing.my/customer/190435", "https://upbox.ajobthing.my/customer/190435")</f>
        <v>https://upbox.ajobthing.my/customer/190435</v>
      </c>
      <c r="I1936" t="inlineStr">
        <is>
          <t xml:space="preserve">Blakart Sdn. Bhd. </t>
        </is>
      </c>
      <c r="J1936" t="inlineStr">
        <is>
          <t>Small Fish</t>
        </is>
      </c>
      <c r="K1936" t="inlineStr">
        <is>
          <t>Fariz</t>
        </is>
      </c>
      <c r="L1936" s="4"/>
      <c r="M1936" s="4">
        <v>46127.62950231481</v>
      </c>
      <c r="N1936"/>
      <c r="O1936">
        <v>1296</v>
      </c>
      <c r="P1936" s="4"/>
      <c r="Q1936" s="4"/>
      <c r="R1936"/>
      <c r="S1936"/>
      <c r="T1936" s="4"/>
      <c r="U1936" s="4"/>
      <c r="V1936"/>
      <c r="W1936"/>
      <c r="X1936"/>
      <c r="Y1936" t="inlineStr">
        <is>
          <t>Pending Appointment</t>
        </is>
      </c>
      <c r="Z1936" t="inlineStr">
        <is>
          <t>Hiring Later</t>
        </is>
      </c>
      <c r="AA1936">
        <v>1</v>
      </c>
      <c r="AB1936" t="inlineStr">
        <is>
          <t>No Appointment Made</t>
        </is>
      </c>
      <c r="AC1936"/>
      <c r="AD1936" t="inlineStr">
        <is>
          <t>1. admin</t>
        </is>
      </c>
      <c r="AE1936"/>
      <c r="AF1936">
        <v>1000</v>
      </c>
      <c r="AG1936" s="4"/>
      <c r="AH1936" s="4"/>
      <c r="AI1936">
        <v>1000</v>
      </c>
      <c r="AJ1936"/>
      <c r="AK1936" t="inlineStr">
        <is>
          <t>No, I don't need at all</t>
        </is>
      </c>
      <c r="AL1936">
        <v>1</v>
      </c>
      <c r="AM1936" t="inlineStr">
        <is>
          <t>No, I don't need at all</t>
        </is>
      </c>
      <c r="AN1936"/>
      <c r="AO1936" t="inlineStr">
        <is>
          <t>No, I don't need at all</t>
        </is>
      </c>
      <c r="AP1936" t="inlineStr">
        <is>
          <t>Once a year (25%)</t>
        </is>
      </c>
      <c r="AQ1936">
        <v>1</v>
      </c>
      <c r="AR1936" t="inlineStr">
        <is>
          <t>Free Job Portal</t>
        </is>
      </c>
      <c r="AS1936" t="inlineStr">
        <is>
          <t>- Headcount: 1
- Hiring Job Details: 1 admin
- Hiring Urgency: Hiring Later
- Number of outlets: Not provided
- Have recruiter team: No, I don't need at all
- Number of recruiter in company: 1
- Have ATS system: No, I don't need at all
- Have career website: No, I don't need at all
- Current hiring budget: RM1,000
- Whole year budget: RM1,000.00
- Whole year number of vacancies: 1
- Hiring frequency: Once a year (25%)
- External job portal: Free Job Portal</t>
        </is>
      </c>
      <c r="AT1936">
        <v>110</v>
      </c>
      <c r="AU1936" t="inlineStr">
        <is>
          <t>1.10</t>
        </is>
      </c>
      <c r="AV1936" t="inlineStr">
        <is>
          <t>15</t>
        </is>
      </c>
      <c r="AW1936" t="inlineStr">
        <is>
          <t>0</t>
        </is>
      </c>
      <c r="AX1936" t="inlineStr">
        <is>
          <t>Not Qualified</t>
        </is>
      </c>
      <c r="AY1936" s="4"/>
      <c r="AZ1936"/>
      <c r="BA1936"/>
      <c r="BB1936"/>
      <c r="BC1936" t="inlineStr">
        <is>
          <t>FU - Na</t>
        </is>
      </c>
      <c r="BD1936" s="4">
        <v>46142.71886574074</v>
      </c>
      <c r="BE1936"/>
      <c r="BF1936"/>
      <c r="BG1936" t="inlineStr">
        <is>
          <t>Reschedule</t>
        </is>
      </c>
      <c r="BH1936" t="inlineStr">
        <is>
          <t>Edward Hoo</t>
        </is>
      </c>
      <c r="BI1936"/>
      <c r="BJ1936" s="4">
        <v>46144.75237268519</v>
      </c>
      <c r="BK1936" s="4">
        <v>45770.55173611111</v>
      </c>
      <c r="BL1936" t="inlineStr">
        <is>
          <t>0.0</t>
        </is>
      </c>
      <c r="BM1936" t="inlineStr">
        <is>
          <t>0.0</t>
        </is>
      </c>
      <c r="BN1936" t="inlineStr">
        <is>
          <t>View Account User</t>
        </is>
      </c>
      <c r="BO1936" s="4">
        <v>45770.55773148148</v>
      </c>
      <c r="BP1936">
        <v>167200</v>
      </c>
      <c r="BQ1936"/>
      <c r="BR1936"/>
      <c r="BS1936"/>
      <c r="BT1936"/>
      <c r="BU1936"/>
      <c r="BV1936">
        <v>2738342</v>
      </c>
      <c r="BW1936" t="inlineStr">
        <is>
          <t>No Answer : Voicemail - WA sent to customer</t>
        </is>
      </c>
      <c r="BX1936"/>
      <c r="BY1936"/>
      <c r="BZ1936" s="4"/>
      <c r="CA1936"/>
      <c r="CB1936"/>
      <c r="CC1936" s="4"/>
      <c r="CD1936" t="inlineStr">
        <is>
          <t>20</t>
        </is>
      </c>
      <c r="CE1936" t="inlineStr">
        <is>
          <t>0</t>
        </is>
      </c>
      <c r="CF1936" t="inlineStr">
        <is>
          <t>Q2-W02</t>
        </is>
      </c>
      <c r="CG1936"/>
      <c r="CH1936"/>
      <c r="CI1936"/>
      <c r="CJ1936" t="inlineStr">
        <is>
          <t>No Paid</t>
        </is>
      </c>
      <c r="CK1936" t="inlineStr">
        <is>
          <t>Not Eligible</t>
        </is>
      </c>
      <c r="CL1936"/>
      <c r="CM1936"/>
    </row>
    <row r="1937" ht="25.5" customHeight="1">
      <c r="A1937" t="inlineStr">
        <is>
          <t>194746</t>
        </is>
      </c>
      <c r="B1937" s="2"/>
      <c r="C1937"/>
      <c r="D1937" s="3">
        <v>46127.632372685184</v>
      </c>
      <c r="E1937" t="inlineStr">
        <is>
          <t>Q2-W02</t>
        </is>
      </c>
      <c r="F1937" t="inlineStr">
        <is>
          <t>Josh</t>
        </is>
      </c>
      <c r="G1937" t="inlineStr">
        <is>
          <t>Customer</t>
        </is>
      </c>
      <c r="H1937" s="2" t="str">
        <f>=HYPERLINK("https://upbox.ajobthing.my/customer/194746", "https://upbox.ajobthing.my/customer/194746")</f>
        <v>https://upbox.ajobthing.my/customer/194746</v>
      </c>
      <c r="I1937" t="inlineStr">
        <is>
          <t>Qaizi Empire Sdn Bhd</t>
        </is>
      </c>
      <c r="J1937" t="inlineStr">
        <is>
          <t>Small Fish</t>
        </is>
      </c>
      <c r="K1937" t="inlineStr">
        <is>
          <t>Josh</t>
        </is>
      </c>
      <c r="L1937" s="4"/>
      <c r="M1937" s="4">
        <v>46127.63251157408</v>
      </c>
      <c r="N1937"/>
      <c r="O1937">
        <v>3888</v>
      </c>
      <c r="P1937" s="4"/>
      <c r="Q1937" s="4"/>
      <c r="R1937"/>
      <c r="S1937"/>
      <c r="T1937" s="4"/>
      <c r="U1937" s="4"/>
      <c r="V1937"/>
      <c r="W1937"/>
      <c r="X1937"/>
      <c r="Y1937" t="inlineStr">
        <is>
          <t>Pending Appointment</t>
        </is>
      </c>
      <c r="Z1937" t="inlineStr">
        <is>
          <t>Hiring Later</t>
        </is>
      </c>
      <c r="AA1937">
        <v>1</v>
      </c>
      <c r="AB1937" t="inlineStr">
        <is>
          <t>No Appointment Made</t>
        </is>
      </c>
      <c r="AC1937"/>
      <c r="AD1937" t="inlineStr">
        <is>
          <t xml:space="preserve">1 admin </t>
        </is>
      </c>
      <c r="AE1937"/>
      <c r="AF1937">
        <v>3000</v>
      </c>
      <c r="AG1937" s="4"/>
      <c r="AH1937" s="4"/>
      <c r="AI1937"/>
      <c r="AJ1937"/>
      <c r="AK1937" t="inlineStr">
        <is>
          <t>Yes, I have</t>
        </is>
      </c>
      <c r="AL1937"/>
      <c r="AM1937"/>
      <c r="AN1937"/>
      <c r="AO1937"/>
      <c r="AP1937" t="inlineStr">
        <is>
          <t>Once a year (25%)</t>
        </is>
      </c>
      <c r="AQ1937"/>
      <c r="AR1937"/>
      <c r="AS1937" t="inlineStr">
        <is>
          <t>- Headcount: 1
- Hiring Job Details: 1 admin
- Hiring Urgency: Hiring Later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1937">
        <v>75</v>
      </c>
      <c r="AU1937" t="inlineStr">
        <is>
          <t>0.75</t>
        </is>
      </c>
      <c r="AV1937" t="inlineStr">
        <is>
          <t>15</t>
        </is>
      </c>
      <c r="AW1937" t="inlineStr">
        <is>
          <t>0</t>
        </is>
      </c>
      <c r="AX1937" t="inlineStr">
        <is>
          <t>Not Qualified</t>
        </is>
      </c>
      <c r="AY1937" s="4"/>
      <c r="AZ1937"/>
      <c r="BA1937"/>
      <c r="BB1937"/>
      <c r="BC1937" t="inlineStr">
        <is>
          <t>- Headcount: 1
- Hiring Job Details: 1 admin
- Hiring Urgency: Hiring Later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BD1937" s="4">
        <v>46127.666817129626</v>
      </c>
      <c r="BE1937"/>
      <c r="BF1937"/>
      <c r="BG1937" t="inlineStr">
        <is>
          <t>Reschedule</t>
        </is>
      </c>
      <c r="BH1937" t="inlineStr">
        <is>
          <t>Fauziah Maharan</t>
        </is>
      </c>
      <c r="BI1937"/>
      <c r="BJ1937" s="4">
        <v>46144.75271990741</v>
      </c>
      <c r="BK1937" s="4">
        <v>45877.48813657407</v>
      </c>
      <c r="BL1937" t="inlineStr">
        <is>
          <t>0.0</t>
        </is>
      </c>
      <c r="BM1937" t="inlineStr">
        <is>
          <t>0.0</t>
        </is>
      </c>
      <c r="BN1937" t="inlineStr">
        <is>
          <t>User Visit(Logged In)</t>
        </is>
      </c>
      <c r="BO1937" s="4">
        <v>45877.5000462963</v>
      </c>
      <c r="BP1937">
        <v>167203</v>
      </c>
      <c r="BQ1937"/>
      <c r="BR1937"/>
      <c r="BS1937"/>
      <c r="BT1937"/>
      <c r="BU1937"/>
      <c r="BV1937">
        <v>2706396</v>
      </c>
      <c r="BW1937" t="inlineStr">
        <is>
          <t>Customer Inquiry</t>
        </is>
      </c>
      <c r="BX1937"/>
      <c r="BY1937"/>
      <c r="BZ1937" s="4"/>
      <c r="CA1937"/>
      <c r="CB1937"/>
      <c r="CC1937" s="4"/>
      <c r="CD1937" t="inlineStr">
        <is>
          <t>20</t>
        </is>
      </c>
      <c r="CE1937" t="inlineStr">
        <is>
          <t>0</t>
        </is>
      </c>
      <c r="CF1937" t="inlineStr">
        <is>
          <t>Q2-W02</t>
        </is>
      </c>
      <c r="CG1937"/>
      <c r="CH1937"/>
      <c r="CI1937"/>
      <c r="CJ1937" t="inlineStr">
        <is>
          <t>No Paid</t>
        </is>
      </c>
      <c r="CK1937" t="inlineStr">
        <is>
          <t>Not Eligible</t>
        </is>
      </c>
      <c r="CL1937"/>
      <c r="CM1937"/>
    </row>
    <row r="1938" ht="25.5" customHeight="1">
      <c r="A1938" t="inlineStr">
        <is>
          <t>4284895</t>
        </is>
      </c>
      <c r="B1938" s="2"/>
      <c r="C1938"/>
      <c r="D1938" s="3">
        <v>46127.63266203704</v>
      </c>
      <c r="E1938" t="inlineStr">
        <is>
          <t>Q2-W02</t>
        </is>
      </c>
      <c r="F1938" t="inlineStr">
        <is>
          <t>Evan</t>
        </is>
      </c>
      <c r="G1938" t="inlineStr">
        <is>
          <t>Lead</t>
        </is>
      </c>
      <c r="H1938" s="2" t="str">
        <f>=HYPERLINK("https://upbox.ajobthing.my/leads/4284895", "https://upbox.ajobthing.my/leads/4284895")</f>
        <v>https://upbox.ajobthing.my/leads/4284895</v>
      </c>
      <c r="I1938" t="inlineStr">
        <is>
          <t>Datumstruct Group</t>
        </is>
      </c>
      <c r="J1938" t="inlineStr">
        <is>
          <t>Small Fish</t>
        </is>
      </c>
      <c r="K1938" t="inlineStr">
        <is>
          <t>Evan</t>
        </is>
      </c>
      <c r="L1938" s="4"/>
      <c r="M1938" s="4">
        <v>46127.63076388889</v>
      </c>
      <c r="N1938"/>
      <c r="O1938">
        <v>4968</v>
      </c>
      <c r="P1938" s="4"/>
      <c r="Q1938" s="4"/>
      <c r="R1938"/>
      <c r="S1938"/>
      <c r="T1938" s="4"/>
      <c r="U1938" s="4"/>
      <c r="V1938"/>
      <c r="W1938"/>
      <c r="X1938"/>
      <c r="Y1938" t="inlineStr">
        <is>
          <t>Pending Appointment</t>
        </is>
      </c>
      <c r="Z1938" t="inlineStr">
        <is>
          <t>Hiring Now</t>
        </is>
      </c>
      <c r="AA1938">
        <v>1</v>
      </c>
      <c r="AB1938" t="inlineStr">
        <is>
          <t>No Appointment Made</t>
        </is>
      </c>
      <c r="AC1938"/>
      <c r="AD1938" t="inlineStr">
        <is>
          <t>1 project, all base in KL</t>
        </is>
      </c>
      <c r="AE1938"/>
      <c r="AF1938">
        <v>1</v>
      </c>
      <c r="AG1938" s="4"/>
      <c r="AH1938" s="4"/>
      <c r="AI1938">
        <v>1</v>
      </c>
      <c r="AJ1938">
        <v>1</v>
      </c>
      <c r="AK1938" t="inlineStr">
        <is>
          <t>No, I don't need at all</t>
        </is>
      </c>
      <c r="AL1938">
        <v>1</v>
      </c>
      <c r="AM1938" t="inlineStr">
        <is>
          <t>No, I don't need at all</t>
        </is>
      </c>
      <c r="AN1938"/>
      <c r="AO1938" t="inlineStr">
        <is>
          <t>No, I don't need at all</t>
        </is>
      </c>
      <c r="AP1938" t="inlineStr">
        <is>
          <t>Once a year (25%)</t>
        </is>
      </c>
      <c r="AQ1938">
        <v>1</v>
      </c>
      <c r="AR1938" t="inlineStr">
        <is>
          <t>Did not use any job portal</t>
        </is>
      </c>
      <c r="AS1938" t="inlineStr">
        <is>
          <t>- Headcount: 1
- Hiring Job Details: 1 project, all base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Did not use any job portal</t>
        </is>
      </c>
      <c r="AT1938">
        <v>90</v>
      </c>
      <c r="AU1938" t="inlineStr">
        <is>
          <t>0.90</t>
        </is>
      </c>
      <c r="AV1938" t="inlineStr">
        <is>
          <t>15</t>
        </is>
      </c>
      <c r="AW1938" t="inlineStr">
        <is>
          <t>0</t>
        </is>
      </c>
      <c r="AX1938" t="inlineStr">
        <is>
          <t>Not Qualified</t>
        </is>
      </c>
      <c r="AY1938" s="4"/>
      <c r="AZ1938"/>
      <c r="BA1938"/>
      <c r="BB1938"/>
      <c r="BC1938"/>
      <c r="BD1938" s="4"/>
      <c r="BE1938"/>
      <c r="BF1938"/>
      <c r="BG1938" t="inlineStr">
        <is>
          <t>Reschedule</t>
        </is>
      </c>
      <c r="BH1938" t="inlineStr">
        <is>
          <t>Edward Hoo</t>
        </is>
      </c>
      <c r="BI1938"/>
      <c r="BJ1938" s="4">
        <v>46144.755833333336</v>
      </c>
      <c r="BK1938" s="4">
        <v>46127.494155092594</v>
      </c>
      <c r="BL1938" t="inlineStr">
        <is>
          <t>0.0</t>
        </is>
      </c>
      <c r="BM1938" t="inlineStr">
        <is>
          <t>0.0</t>
        </is>
      </c>
      <c r="BN1938"/>
      <c r="BO1938" s="4"/>
      <c r="BP1938">
        <v>167201</v>
      </c>
      <c r="BQ1938"/>
      <c r="BR1938"/>
      <c r="BS1938"/>
      <c r="BT1938"/>
      <c r="BU1938"/>
      <c r="BV1938"/>
      <c r="BW1938"/>
      <c r="BX1938"/>
      <c r="BY1938"/>
      <c r="BZ1938" s="4"/>
      <c r="CA1938"/>
      <c r="CB1938"/>
      <c r="CC1938" s="4"/>
      <c r="CD1938" t="inlineStr">
        <is>
          <t>20</t>
        </is>
      </c>
      <c r="CE1938" t="inlineStr">
        <is>
          <t>0</t>
        </is>
      </c>
      <c r="CF1938" t="inlineStr">
        <is>
          <t>Q2-W02</t>
        </is>
      </c>
      <c r="CG1938"/>
      <c r="CH1938"/>
      <c r="CI1938"/>
      <c r="CJ1938" t="inlineStr">
        <is>
          <t>No Paid</t>
        </is>
      </c>
      <c r="CK1938" t="inlineStr">
        <is>
          <t>Not Eligible</t>
        </is>
      </c>
      <c r="CL1938"/>
      <c r="CM1938"/>
    </row>
    <row r="1939" ht="25.5" customHeight="1">
      <c r="A1939" t="inlineStr">
        <is>
          <t>159465</t>
        </is>
      </c>
      <c r="B1939" s="2"/>
      <c r="C1939"/>
      <c r="D1939" s="3">
        <v>46127.63377314815</v>
      </c>
      <c r="E1939" t="inlineStr">
        <is>
          <t>Q2-W02</t>
        </is>
      </c>
      <c r="F1939" t="inlineStr">
        <is>
          <t>Lucas</t>
        </is>
      </c>
      <c r="G1939" t="inlineStr">
        <is>
          <t>Customer</t>
        </is>
      </c>
      <c r="H1939" s="2" t="str">
        <f>=HYPERLINK("https://upbox.ajobthing.my/customer/159465", "https://upbox.ajobthing.my/customer/159465")</f>
        <v>https://upbox.ajobthing.my/customer/159465</v>
      </c>
      <c r="I1939" t="inlineStr">
        <is>
          <t>Edumet Child</t>
        </is>
      </c>
      <c r="J1939" t="inlineStr">
        <is>
          <t>Small Fish</t>
        </is>
      </c>
      <c r="K1939" t="inlineStr">
        <is>
          <t>Lucas</t>
        </is>
      </c>
      <c r="L1939" s="4"/>
      <c r="M1939" s="4">
        <v>46127.630902777775</v>
      </c>
      <c r="N1939"/>
      <c r="O1939">
        <v>3888</v>
      </c>
      <c r="P1939" s="4"/>
      <c r="Q1939" s="4">
        <v>46113.667962962965</v>
      </c>
      <c r="R1939"/>
      <c r="S1939">
        <v>0</v>
      </c>
      <c r="T1939" s="4">
        <v>44824.64853009259</v>
      </c>
      <c r="U1939" s="4"/>
      <c r="V1939"/>
      <c r="W1939">
        <v>636</v>
      </c>
      <c r="X1939"/>
      <c r="Y1939" t="inlineStr">
        <is>
          <t>Pending Appointment</t>
        </is>
      </c>
      <c r="Z1939" t="inlineStr">
        <is>
          <t>Hiring Now</t>
        </is>
      </c>
      <c r="AA1939">
        <v>2</v>
      </c>
      <c r="AB1939" t="inlineStr">
        <is>
          <t>No Appointment Made</t>
        </is>
      </c>
      <c r="AC1939"/>
      <c r="AD1939" t="inlineStr">
        <is>
          <t xml:space="preserve">1 preschool teacher ,  1 terapiest(basic)+ teacher for special kids </t>
        </is>
      </c>
      <c r="AE1939"/>
      <c r="AF1939">
        <v>0</v>
      </c>
      <c r="AG1939" s="4"/>
      <c r="AH1939" s="4"/>
      <c r="AI1939">
        <v>0</v>
      </c>
      <c r="AJ1939">
        <v>0</v>
      </c>
      <c r="AK1939" t="inlineStr">
        <is>
          <t>No, I don't need at all</t>
        </is>
      </c>
      <c r="AL1939">
        <v>0</v>
      </c>
      <c r="AM1939" t="inlineStr">
        <is>
          <t>No, I don't need at all</t>
        </is>
      </c>
      <c r="AN1939"/>
      <c r="AO1939" t="inlineStr">
        <is>
          <t>No, I don't need at all</t>
        </is>
      </c>
      <c r="AP1939" t="inlineStr">
        <is>
          <t>Once a year (25%)</t>
        </is>
      </c>
      <c r="AQ1939">
        <v>2</v>
      </c>
      <c r="AR1939" t="inlineStr">
        <is>
          <t>Did not use any job portal</t>
        </is>
      </c>
      <c r="AS1939" t="inlineStr">
        <is>
          <t>- Headcount: 2
- Hiring Job Details: 1 preschool teacher, 1 therapist(basic)+ teacher for special kids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939">
        <v>95</v>
      </c>
      <c r="AU1939" t="inlineStr">
        <is>
          <t>0.95</t>
        </is>
      </c>
      <c r="AV1939" t="inlineStr">
        <is>
          <t>15</t>
        </is>
      </c>
      <c r="AW1939" t="inlineStr">
        <is>
          <t>0</t>
        </is>
      </c>
      <c r="AX1939" t="inlineStr">
        <is>
          <t>Not Qualified</t>
        </is>
      </c>
      <c r="AY1939" s="4"/>
      <c r="AZ1939"/>
      <c r="BA1939"/>
      <c r="BB1939"/>
      <c r="BC1939" t="inlineStr">
        <is>
          <t>budget only RM200 for job ads</t>
        </is>
      </c>
      <c r="BD1939" s="4">
        <v>46133.62633101852</v>
      </c>
      <c r="BE1939" t="inlineStr">
        <is>
          <t>paid</t>
        </is>
      </c>
      <c r="BF1939"/>
      <c r="BG1939" t="inlineStr">
        <is>
          <t>Reschedule</t>
        </is>
      </c>
      <c r="BH1939" t="inlineStr">
        <is>
          <t>Yee Hang</t>
        </is>
      </c>
      <c r="BI1939"/>
      <c r="BJ1939" s="4">
        <v>46144.751064814816</v>
      </c>
      <c r="BK1939" s="4">
        <v>44810.74071759259</v>
      </c>
      <c r="BL1939" t="inlineStr">
        <is>
          <t>0.0</t>
        </is>
      </c>
      <c r="BM1939" t="inlineStr">
        <is>
          <t>0.0</t>
        </is>
      </c>
      <c r="BN1939" t="inlineStr">
        <is>
          <t>User Login</t>
        </is>
      </c>
      <c r="BO1939" s="4">
        <v>44871.37832175926</v>
      </c>
      <c r="BP1939">
        <v>167202</v>
      </c>
      <c r="BQ1939">
        <v>119341</v>
      </c>
      <c r="BR1939" t="inlineStr">
        <is>
          <t>Proforma</t>
        </is>
      </c>
      <c r="BS1939" t="inlineStr">
        <is>
          <t>Free Part-Time Job</t>
        </is>
      </c>
      <c r="BT1939">
        <v>50710</v>
      </c>
      <c r="BU1939"/>
      <c r="BV1939">
        <v>2718433</v>
      </c>
      <c r="BW1939" t="inlineStr">
        <is>
          <t>Follow Up : Budget Concern</t>
        </is>
      </c>
      <c r="BX1939"/>
      <c r="BY1939"/>
      <c r="BZ1939" s="4"/>
      <c r="CA1939"/>
      <c r="CB1939"/>
      <c r="CC1939" s="4"/>
      <c r="CD1939" t="inlineStr">
        <is>
          <t>20</t>
        </is>
      </c>
      <c r="CE1939" t="inlineStr">
        <is>
          <t>0</t>
        </is>
      </c>
      <c r="CF1939" t="inlineStr">
        <is>
          <t>Q2-W02</t>
        </is>
      </c>
      <c r="CG1939" t="inlineStr">
        <is>
          <t>Q1-W13</t>
        </is>
      </c>
      <c r="CH1939"/>
      <c r="CI1939"/>
      <c r="CJ1939" t="inlineStr">
        <is>
          <t>Paid</t>
        </is>
      </c>
      <c r="CK1939" t="inlineStr">
        <is>
          <t>Not Eligible</t>
        </is>
      </c>
      <c r="CL1939"/>
      <c r="CM1939"/>
    </row>
    <row r="1940" ht="25.5" customHeight="1">
      <c r="A1940" t="inlineStr">
        <is>
          <t>4285484</t>
        </is>
      </c>
      <c r="B1940" s="2"/>
      <c r="C1940"/>
      <c r="D1940" s="3">
        <v>46127.637766203705</v>
      </c>
      <c r="E1940" t="inlineStr">
        <is>
          <t>Q2-W02</t>
        </is>
      </c>
      <c r="F1940" t="inlineStr">
        <is>
          <t>Clover</t>
        </is>
      </c>
      <c r="G1940" t="inlineStr">
        <is>
          <t>Lead</t>
        </is>
      </c>
      <c r="H1940" s="2" t="str">
        <f>=HYPERLINK("https://upbox.ajobthing.my/leads/4285484", "https://upbox.ajobthing.my/leads/4285484")</f>
        <v>https://upbox.ajobthing.my/leads/4285484</v>
      </c>
      <c r="I1940" t="inlineStr">
        <is>
          <t>We Clean Service</t>
        </is>
      </c>
      <c r="J1940" t="inlineStr">
        <is>
          <t>Small Fish</t>
        </is>
      </c>
      <c r="K1940" t="inlineStr">
        <is>
          <t>Clover</t>
        </is>
      </c>
      <c r="L1940" s="4"/>
      <c r="M1940" s="4">
        <v>46127.638136574074</v>
      </c>
      <c r="N1940"/>
      <c r="O1940">
        <v>3888</v>
      </c>
      <c r="P1940" s="4"/>
      <c r="Q1940" s="4"/>
      <c r="R1940"/>
      <c r="S1940"/>
      <c r="T1940" s="4"/>
      <c r="U1940" s="4"/>
      <c r="V1940"/>
      <c r="W1940"/>
      <c r="X1940"/>
      <c r="Y1940" t="inlineStr">
        <is>
          <t>Pending Appointment</t>
        </is>
      </c>
      <c r="Z1940" t="inlineStr">
        <is>
          <t>Hiring Now</t>
        </is>
      </c>
      <c r="AA1940">
        <v>2</v>
      </c>
      <c r="AB1940" t="inlineStr">
        <is>
          <t>No Appointment Made</t>
        </is>
      </c>
      <c r="AC1940"/>
      <c r="AD1940" t="inlineStr">
        <is>
          <t>Hire cleaner x1-2, all races, previous hire JS so far, house cleaning KL, Encik Shukor</t>
        </is>
      </c>
      <c r="AE1940"/>
      <c r="AF1940">
        <v>3000</v>
      </c>
      <c r="AG1940" s="4"/>
      <c r="AH1940" s="4"/>
      <c r="AI1940">
        <v>3000</v>
      </c>
      <c r="AJ1940">
        <v>1</v>
      </c>
      <c r="AK1940" t="inlineStr">
        <is>
          <t>No, but I want in future</t>
        </is>
      </c>
      <c r="AL1940">
        <v>1</v>
      </c>
      <c r="AM1940" t="inlineStr">
        <is>
          <t>No, but I want in future</t>
        </is>
      </c>
      <c r="AN1940"/>
      <c r="AO1940" t="inlineStr">
        <is>
          <t>No, but I want in future</t>
        </is>
      </c>
      <c r="AP1940" t="inlineStr">
        <is>
          <t>Twice a year (50%)</t>
        </is>
      </c>
      <c r="AQ1940">
        <v>2</v>
      </c>
      <c r="AR1940" t="inlineStr">
        <is>
          <t>Jobstreet</t>
        </is>
      </c>
      <c r="AS1940" t="inlineStr">
        <is>
          <t>- Headcount: 2
- Hiring Job Details: Hire cleaner x1-2, all races, previous hire JS so far, house cleaning KL, Encik Shukor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t>
        </is>
      </c>
      <c r="AT1940">
        <v>115</v>
      </c>
      <c r="AU1940" t="inlineStr">
        <is>
          <t>1.15</t>
        </is>
      </c>
      <c r="AV1940" t="inlineStr">
        <is>
          <t>15</t>
        </is>
      </c>
      <c r="AW1940" t="inlineStr">
        <is>
          <t>0</t>
        </is>
      </c>
      <c r="AX1940" t="inlineStr">
        <is>
          <t>Not Qualified</t>
        </is>
      </c>
      <c r="AY1940" s="4"/>
      <c r="AZ1940"/>
      <c r="BA1940"/>
      <c r="BB1940"/>
      <c r="BC1940"/>
      <c r="BD1940" s="4"/>
      <c r="BE1940"/>
      <c r="BF1940"/>
      <c r="BG1940" t="inlineStr">
        <is>
          <t>Reschedule</t>
        </is>
      </c>
      <c r="BH1940" t="inlineStr">
        <is>
          <t>Reagen</t>
        </is>
      </c>
      <c r="BI1940"/>
      <c r="BJ1940" s="4">
        <v>46144.755833333336</v>
      </c>
      <c r="BK1940" s="4">
        <v>46127.60476851852</v>
      </c>
      <c r="BL1940" t="inlineStr">
        <is>
          <t>0.0</t>
        </is>
      </c>
      <c r="BM1940" t="inlineStr">
        <is>
          <t>0.0</t>
        </is>
      </c>
      <c r="BN1940"/>
      <c r="BO1940" s="4"/>
      <c r="BP1940">
        <v>167205</v>
      </c>
      <c r="BQ1940"/>
      <c r="BR1940"/>
      <c r="BS1940"/>
      <c r="BT1940"/>
      <c r="BU1940"/>
      <c r="BV1940"/>
      <c r="BW1940"/>
      <c r="BX1940"/>
      <c r="BY1940"/>
      <c r="BZ1940" s="4"/>
      <c r="CA1940"/>
      <c r="CB1940"/>
      <c r="CC1940" s="4"/>
      <c r="CD1940" t="inlineStr">
        <is>
          <t>20</t>
        </is>
      </c>
      <c r="CE1940" t="inlineStr">
        <is>
          <t>0</t>
        </is>
      </c>
      <c r="CF1940" t="inlineStr">
        <is>
          <t>Q2-W02</t>
        </is>
      </c>
      <c r="CG1940"/>
      <c r="CH1940"/>
      <c r="CI1940"/>
      <c r="CJ1940" t="inlineStr">
        <is>
          <t>No Paid</t>
        </is>
      </c>
      <c r="CK1940" t="inlineStr">
        <is>
          <t>Not Eligible</t>
        </is>
      </c>
      <c r="CL1940"/>
      <c r="CM1940"/>
    </row>
    <row r="1941" ht="25.5" customHeight="1">
      <c r="A1941" t="inlineStr">
        <is>
          <t>182150</t>
        </is>
      </c>
      <c r="B1941" s="2"/>
      <c r="C1941"/>
      <c r="D1941" s="3">
        <v>46127.644895833335</v>
      </c>
      <c r="E1941" t="inlineStr">
        <is>
          <t>Q2-W02</t>
        </is>
      </c>
      <c r="F1941" t="inlineStr">
        <is>
          <t>Clover</t>
        </is>
      </c>
      <c r="G1941" t="inlineStr">
        <is>
          <t>Customer</t>
        </is>
      </c>
      <c r="H1941" s="2" t="str">
        <f>=HYPERLINK("https://upbox.ajobthing.my/customer/182150", "https://upbox.ajobthing.my/customer/182150")</f>
        <v>https://upbox.ajobthing.my/customer/182150</v>
      </c>
      <c r="I1941" t="inlineStr">
        <is>
          <t>Aristo Cracy Logistics</t>
        </is>
      </c>
      <c r="J1941" t="inlineStr">
        <is>
          <t>Small Fish</t>
        </is>
      </c>
      <c r="K1941" t="inlineStr">
        <is>
          <t>Clover</t>
        </is>
      </c>
      <c r="L1941" s="4"/>
      <c r="M1941" s="4">
        <v>46127.64443287037</v>
      </c>
      <c r="N1941"/>
      <c r="O1941">
        <v>3888</v>
      </c>
      <c r="P1941" s="4"/>
      <c r="Q1941" s="4"/>
      <c r="R1941"/>
      <c r="S1941"/>
      <c r="T1941" s="4"/>
      <c r="U1941" s="4"/>
      <c r="V1941"/>
      <c r="W1941"/>
      <c r="X1941"/>
      <c r="Y1941" t="inlineStr">
        <is>
          <t>Pending Appointment</t>
        </is>
      </c>
      <c r="Z1941" t="inlineStr">
        <is>
          <t>Hiring Now</t>
        </is>
      </c>
      <c r="AA1941">
        <v>2</v>
      </c>
      <c r="AB1941" t="inlineStr">
        <is>
          <t>No Appointment Made</t>
        </is>
      </c>
      <c r="AC1941"/>
      <c r="AD1941" t="inlineStr">
        <is>
          <t>hiring lorry driver x1-2 GDL, logistic Johor, suggest stand</t>
        </is>
      </c>
      <c r="AE1941"/>
      <c r="AF1941">
        <v>3000</v>
      </c>
      <c r="AG1941" s="4"/>
      <c r="AH1941" s="4"/>
      <c r="AI1941">
        <v>3000</v>
      </c>
      <c r="AJ1941">
        <v>1</v>
      </c>
      <c r="AK1941" t="inlineStr">
        <is>
          <t>No, but I want in future</t>
        </is>
      </c>
      <c r="AL1941">
        <v>2</v>
      </c>
      <c r="AM1941" t="inlineStr">
        <is>
          <t>No, but I want in future</t>
        </is>
      </c>
      <c r="AN1941"/>
      <c r="AO1941" t="inlineStr">
        <is>
          <t>No, but I want in future</t>
        </is>
      </c>
      <c r="AP1941" t="inlineStr">
        <is>
          <t>Twice a year (50%)</t>
        </is>
      </c>
      <c r="AQ1941">
        <v>2</v>
      </c>
      <c r="AR1941" t="inlineStr">
        <is>
          <t>Did not use any job portal</t>
        </is>
      </c>
      <c r="AS1941" t="inlineStr">
        <is>
          <t>- Headcount: 2
- Hiring Job Details: hiring lorry driver x1-2 GDL, logistic Johor, suggest stand
- Hiring Urgency: Hiring Now
- Number of outlets: 1
- Have recruiter team: No, but want in future
- Number of recruiter in company: 2
- Have ATS system: No, but want in future
- Have career website: No, but want in future
- Current hiring budget: RM3,000
- Whole year budget: RM3,000.00
- Whole year number of vacancies: 2
- Hiring frequency: Twice a year (50%)
- External job portal: Did not use any</t>
        </is>
      </c>
      <c r="AT1941">
        <v>105</v>
      </c>
      <c r="AU1941" t="inlineStr">
        <is>
          <t>1.05</t>
        </is>
      </c>
      <c r="AV1941" t="inlineStr">
        <is>
          <t>15</t>
        </is>
      </c>
      <c r="AW1941" t="inlineStr">
        <is>
          <t>0</t>
        </is>
      </c>
      <c r="AX1941" t="inlineStr">
        <is>
          <t>Not Qualified</t>
        </is>
      </c>
      <c r="AY1941" s="4"/>
      <c r="AZ1941"/>
      <c r="BA1941"/>
      <c r="BB1941"/>
      <c r="BC1941" t="inlineStr">
        <is>
          <t>Not yet go through</t>
        </is>
      </c>
      <c r="BD1941" s="4">
        <v>46133.75475694444</v>
      </c>
      <c r="BE1941"/>
      <c r="BF1941"/>
      <c r="BG1941" t="inlineStr">
        <is>
          <t>Reschedule</t>
        </is>
      </c>
      <c r="BH1941" t="inlineStr">
        <is>
          <t>Reagen</t>
        </is>
      </c>
      <c r="BI1941" t="inlineStr">
        <is>
          <t>Transportation / Logistics</t>
        </is>
      </c>
      <c r="BJ1941" s="4">
        <v>46144.751921296294</v>
      </c>
      <c r="BK1941" s="4">
        <v>45532.67215277778</v>
      </c>
      <c r="BL1941" t="inlineStr">
        <is>
          <t>0.0</t>
        </is>
      </c>
      <c r="BM1941" t="inlineStr">
        <is>
          <t>0.0</t>
        </is>
      </c>
      <c r="BN1941" t="inlineStr">
        <is>
          <t>View Company Page</t>
        </is>
      </c>
      <c r="BO1941" s="4">
        <v>45532.68287037037</v>
      </c>
      <c r="BP1941">
        <v>167215</v>
      </c>
      <c r="BQ1941"/>
      <c r="BR1941"/>
      <c r="BS1941"/>
      <c r="BT1941"/>
      <c r="BU1941"/>
      <c r="BV1941">
        <v>2719219</v>
      </c>
      <c r="BW1941" t="inlineStr">
        <is>
          <t>Follow Up : Decision Pending</t>
        </is>
      </c>
      <c r="BX1941"/>
      <c r="BY1941"/>
      <c r="BZ1941" s="4"/>
      <c r="CA1941"/>
      <c r="CB1941"/>
      <c r="CC1941" s="4"/>
      <c r="CD1941" t="inlineStr">
        <is>
          <t>20</t>
        </is>
      </c>
      <c r="CE1941" t="inlineStr">
        <is>
          <t>0</t>
        </is>
      </c>
      <c r="CF1941" t="inlineStr">
        <is>
          <t>Q2-W02</t>
        </is>
      </c>
      <c r="CG1941"/>
      <c r="CH1941"/>
      <c r="CI1941"/>
      <c r="CJ1941" t="inlineStr">
        <is>
          <t>No Paid</t>
        </is>
      </c>
      <c r="CK1941" t="inlineStr">
        <is>
          <t>Not Eligible</t>
        </is>
      </c>
      <c r="CL1941"/>
      <c r="CM1941"/>
    </row>
    <row r="1942" ht="25.5" customHeight="1">
      <c r="A1942" t="inlineStr">
        <is>
          <t>151842</t>
        </is>
      </c>
      <c r="B1942" s="2"/>
      <c r="C1942"/>
      <c r="D1942" s="3">
        <v>46127.644953703704</v>
      </c>
      <c r="E1942" t="inlineStr">
        <is>
          <t>Q2-W02</t>
        </is>
      </c>
      <c r="F1942" t="inlineStr">
        <is>
          <t>Dickson</t>
        </is>
      </c>
      <c r="G1942" t="inlineStr">
        <is>
          <t>Customer</t>
        </is>
      </c>
      <c r="H1942" s="2" t="str">
        <f>=HYPERLINK("https://upbox.ajobthing.my/customer/151842", "https://upbox.ajobthing.my/customer/151842")</f>
        <v>https://upbox.ajobthing.my/customer/151842</v>
      </c>
      <c r="I1942" t="inlineStr">
        <is>
          <t>SMA Industries Sdn Bhd</t>
        </is>
      </c>
      <c r="J1942" t="inlineStr">
        <is>
          <t>Small Fish</t>
        </is>
      </c>
      <c r="K1942" t="inlineStr">
        <is>
          <t>Dickson</t>
        </is>
      </c>
      <c r="L1942" s="4"/>
      <c r="M1942" s="4">
        <v>46127.6450462963</v>
      </c>
      <c r="N1942"/>
      <c r="O1942">
        <v>3888</v>
      </c>
      <c r="P1942" s="4"/>
      <c r="Q1942" s="4">
        <v>44697.67037037037</v>
      </c>
      <c r="R1942"/>
      <c r="S1942">
        <v>424</v>
      </c>
      <c r="T1942" s="4">
        <v>44697.67037037037</v>
      </c>
      <c r="U1942" s="4"/>
      <c r="V1942"/>
      <c r="W1942">
        <v>424</v>
      </c>
      <c r="X1942"/>
      <c r="Y1942" t="inlineStr">
        <is>
          <t>Pending Appointment</t>
        </is>
      </c>
      <c r="Z1942" t="inlineStr">
        <is>
          <t>Hiring Later</t>
        </is>
      </c>
      <c r="AA1942">
        <v>2</v>
      </c>
      <c r="AB1942" t="inlineStr">
        <is>
          <t>No Appointment Made</t>
        </is>
      </c>
      <c r="AC1942"/>
      <c r="AD1942" t="inlineStr">
        <is>
          <t>1 admin executive, 1 accountant assistant</t>
        </is>
      </c>
      <c r="AE1942"/>
      <c r="AF1942"/>
      <c r="AG1942" s="4"/>
      <c r="AH1942" s="4"/>
      <c r="AI1942"/>
      <c r="AJ1942">
        <v>1</v>
      </c>
      <c r="AK1942" t="inlineStr">
        <is>
          <t>No, I don't need at all</t>
        </is>
      </c>
      <c r="AL1942"/>
      <c r="AM1942" t="inlineStr">
        <is>
          <t>No, I don't need at all</t>
        </is>
      </c>
      <c r="AN1942"/>
      <c r="AO1942" t="inlineStr">
        <is>
          <t>No, I don't need at all</t>
        </is>
      </c>
      <c r="AP1942" t="inlineStr">
        <is>
          <t>Once per quarter (75%)</t>
        </is>
      </c>
      <c r="AQ1942"/>
      <c r="AR1942" t="inlineStr">
        <is>
          <t>Jobstreet</t>
        </is>
      </c>
      <c r="AS1942" t="inlineStr">
        <is>
          <t>- Headcount: 2
- Hiring Job Details: 1 admin executive, 1 accountant assistant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942">
        <v>95</v>
      </c>
      <c r="AU1942" t="inlineStr">
        <is>
          <t>0.95</t>
        </is>
      </c>
      <c r="AV1942" t="inlineStr">
        <is>
          <t>5</t>
        </is>
      </c>
      <c r="AW1942" t="inlineStr">
        <is>
          <t>0</t>
        </is>
      </c>
      <c r="AX1942" t="inlineStr">
        <is>
          <t>Not Qualified</t>
        </is>
      </c>
      <c r="AY1942" s="4"/>
      <c r="AZ1942"/>
      <c r="BA1942"/>
      <c r="BB1942"/>
      <c r="BC1942" t="inlineStr">
        <is>
          <t>Ms Lee busy</t>
        </is>
      </c>
      <c r="BD1942" s="4">
        <v>46142.4121875</v>
      </c>
      <c r="BE1942" t="inlineStr">
        <is>
          <t>paid</t>
        </is>
      </c>
      <c r="BF1942"/>
      <c r="BG1942" t="inlineStr">
        <is>
          <t>Reschedule</t>
        </is>
      </c>
      <c r="BH1942" t="inlineStr">
        <is>
          <t>Edward Hoo</t>
        </is>
      </c>
      <c r="BI1942" t="inlineStr">
        <is>
          <t>Manufacturing / Production</t>
        </is>
      </c>
      <c r="BJ1942" s="4">
        <v>46144.75087962963</v>
      </c>
      <c r="BK1942" s="4">
        <v>44658.668807870374</v>
      </c>
      <c r="BL1942" t="inlineStr">
        <is>
          <t>0.0</t>
        </is>
      </c>
      <c r="BM1942" t="inlineStr">
        <is>
          <t>600.0</t>
        </is>
      </c>
      <c r="BN1942" t="inlineStr">
        <is>
          <t>View Jobmanager Page</t>
        </is>
      </c>
      <c r="BO1942" s="4">
        <v>44865.57334490741</v>
      </c>
      <c r="BP1942">
        <v>167216</v>
      </c>
      <c r="BQ1942">
        <v>44920</v>
      </c>
      <c r="BR1942" t="inlineStr">
        <is>
          <t>Online</t>
        </is>
      </c>
      <c r="BS1942"/>
      <c r="BT1942">
        <v>44920</v>
      </c>
      <c r="BU1942"/>
      <c r="BV1942">
        <v>2736599</v>
      </c>
      <c r="BW1942" t="inlineStr">
        <is>
          <t>Follow Up : Callback Request</t>
        </is>
      </c>
      <c r="BX1942"/>
      <c r="BY1942"/>
      <c r="BZ1942" s="4"/>
      <c r="CA1942"/>
      <c r="CB1942"/>
      <c r="CC1942" s="4"/>
      <c r="CD1942" t="inlineStr">
        <is>
          <t>5</t>
        </is>
      </c>
      <c r="CE1942" t="inlineStr">
        <is>
          <t>0</t>
        </is>
      </c>
      <c r="CF1942" t="inlineStr">
        <is>
          <t>Q2-W02</t>
        </is>
      </c>
      <c r="CG1942"/>
      <c r="CH1942"/>
      <c r="CI1942"/>
      <c r="CJ1942" t="inlineStr">
        <is>
          <t>Paid</t>
        </is>
      </c>
      <c r="CK1942" t="inlineStr">
        <is>
          <t>Not Eligible</t>
        </is>
      </c>
      <c r="CL1942"/>
      <c r="CM1942"/>
    </row>
    <row r="1943" ht="25.5" customHeight="1">
      <c r="A1943" t="inlineStr">
        <is>
          <t>164932</t>
        </is>
      </c>
      <c r="B1943" s="2"/>
      <c r="C1943"/>
      <c r="D1943" s="3">
        <v>46127.655011574076</v>
      </c>
      <c r="E1943" t="inlineStr">
        <is>
          <t>Q2-W02</t>
        </is>
      </c>
      <c r="F1943" t="inlineStr">
        <is>
          <t>Lucas</t>
        </is>
      </c>
      <c r="G1943" t="inlineStr">
        <is>
          <t>Customer</t>
        </is>
      </c>
      <c r="H1943" s="2" t="str">
        <f>=HYPERLINK("https://upbox.ajobthing.my/customer/164932", "https://upbox.ajobthing.my/customer/164932")</f>
        <v>https://upbox.ajobthing.my/customer/164932</v>
      </c>
      <c r="I1943" t="inlineStr">
        <is>
          <t>Jimz Management Sdn Bhd</t>
        </is>
      </c>
      <c r="J1943" t="inlineStr">
        <is>
          <t>Small Fish</t>
        </is>
      </c>
      <c r="K1943" t="inlineStr">
        <is>
          <t>Lucas</t>
        </is>
      </c>
      <c r="L1943" s="4"/>
      <c r="M1943" s="4">
        <v>46127.653819444444</v>
      </c>
      <c r="N1943"/>
      <c r="O1943">
        <v>3888</v>
      </c>
      <c r="P1943" s="4"/>
      <c r="Q1943" s="4"/>
      <c r="R1943"/>
      <c r="S1943"/>
      <c r="T1943" s="4"/>
      <c r="U1943" s="4"/>
      <c r="V1943"/>
      <c r="W1943"/>
      <c r="X1943"/>
      <c r="Y1943" t="inlineStr">
        <is>
          <t>Pending Appointment</t>
        </is>
      </c>
      <c r="Z1943" t="inlineStr">
        <is>
          <t>Hiring Now</t>
        </is>
      </c>
      <c r="AA1943">
        <v>2</v>
      </c>
      <c r="AB1943" t="inlineStr">
        <is>
          <t>No Appointment Made</t>
        </is>
      </c>
      <c r="AC1943"/>
      <c r="AD1943" t="inlineStr">
        <is>
          <t xml:space="preserve">1 operator manager, 1 admin clerk </t>
        </is>
      </c>
      <c r="AE1943"/>
      <c r="AF1943">
        <v>0</v>
      </c>
      <c r="AG1943" s="4"/>
      <c r="AH1943" s="4"/>
      <c r="AI1943">
        <v>0</v>
      </c>
      <c r="AJ1943"/>
      <c r="AK1943" t="inlineStr">
        <is>
          <t>No, I don't need at all</t>
        </is>
      </c>
      <c r="AL1943">
        <v>0</v>
      </c>
      <c r="AM1943" t="inlineStr">
        <is>
          <t>No, I don't need at all</t>
        </is>
      </c>
      <c r="AN1943"/>
      <c r="AO1943" t="inlineStr">
        <is>
          <t>No, I don't need at all</t>
        </is>
      </c>
      <c r="AP1943" t="inlineStr">
        <is>
          <t>Once a year (25%)</t>
        </is>
      </c>
      <c r="AQ1943">
        <v>2</v>
      </c>
      <c r="AR1943" t="inlineStr">
        <is>
          <t>Did not use any job portal</t>
        </is>
      </c>
      <c r="AS1943" t="inlineStr">
        <is>
          <t>- Headcount: 2
- Hiring Job Details: 1 operator manager, 1 admin clerk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1943">
        <v>100</v>
      </c>
      <c r="AU1943" t="inlineStr">
        <is>
          <t>1.00</t>
        </is>
      </c>
      <c r="AV1943" t="inlineStr">
        <is>
          <t>15</t>
        </is>
      </c>
      <c r="AW1943" t="inlineStr">
        <is>
          <t>0</t>
        </is>
      </c>
      <c r="AX1943" t="inlineStr">
        <is>
          <t>Not Qualified</t>
        </is>
      </c>
      <c r="AY1943" s="4"/>
      <c r="AZ1943"/>
      <c r="BA1943"/>
      <c r="BB1943"/>
      <c r="BC1943" t="inlineStr">
        <is>
          <t>nr</t>
        </is>
      </c>
      <c r="BD1943" s="4">
        <v>46134.681863425925</v>
      </c>
      <c r="BE1943"/>
      <c r="BF1943"/>
      <c r="BG1943" t="inlineStr">
        <is>
          <t>Reschedule</t>
        </is>
      </c>
      <c r="BH1943" t="inlineStr">
        <is>
          <t>Yee Hang</t>
        </is>
      </c>
      <c r="BI1943"/>
      <c r="BJ1943" s="4">
        <v>46144.751226851855</v>
      </c>
      <c r="BK1943" s="4">
        <v>44985.78319444445</v>
      </c>
      <c r="BL1943" t="inlineStr">
        <is>
          <t>0.0</t>
        </is>
      </c>
      <c r="BM1943" t="inlineStr">
        <is>
          <t>0.0</t>
        </is>
      </c>
      <c r="BN1943" t="inlineStr">
        <is>
          <t>View Create Job Page</t>
        </is>
      </c>
      <c r="BO1943" s="4">
        <v>44985.78344907407</v>
      </c>
      <c r="BP1943">
        <v>167217</v>
      </c>
      <c r="BQ1943"/>
      <c r="BR1943"/>
      <c r="BS1943"/>
      <c r="BT1943"/>
      <c r="BU1943"/>
      <c r="BV1943">
        <v>2721443</v>
      </c>
      <c r="BW1943" t="inlineStr">
        <is>
          <t>No Answer : Voicemail - WA sent to customer</t>
        </is>
      </c>
      <c r="BX1943"/>
      <c r="BY1943"/>
      <c r="BZ1943" s="4"/>
      <c r="CA1943"/>
      <c r="CB1943"/>
      <c r="CC1943" s="4"/>
      <c r="CD1943" t="inlineStr">
        <is>
          <t>20</t>
        </is>
      </c>
      <c r="CE1943" t="inlineStr">
        <is>
          <t>0</t>
        </is>
      </c>
      <c r="CF1943" t="inlineStr">
        <is>
          <t>Q2-W02</t>
        </is>
      </c>
      <c r="CG1943"/>
      <c r="CH1943"/>
      <c r="CI1943"/>
      <c r="CJ1943" t="inlineStr">
        <is>
          <t>No Paid</t>
        </is>
      </c>
      <c r="CK1943" t="inlineStr">
        <is>
          <t>Not Eligible</t>
        </is>
      </c>
      <c r="CL1943"/>
      <c r="CM1943"/>
    </row>
    <row r="1944" ht="25.5" customHeight="1">
      <c r="A1944" t="inlineStr">
        <is>
          <t>203273</t>
        </is>
      </c>
      <c r="B1944" s="2"/>
      <c r="C1944"/>
      <c r="D1944" s="3">
        <v>46127.65561342592</v>
      </c>
      <c r="E1944" t="inlineStr">
        <is>
          <t>Q2-W02</t>
        </is>
      </c>
      <c r="F1944" t="inlineStr">
        <is>
          <t>Clover</t>
        </is>
      </c>
      <c r="G1944" t="inlineStr">
        <is>
          <t>Customer</t>
        </is>
      </c>
      <c r="H1944" s="2" t="str">
        <f>=HYPERLINK("https://upbox.ajobthing.my/customer/203273", "https://upbox.ajobthing.my/customer/203273")</f>
        <v>https://upbox.ajobthing.my/customer/203273</v>
      </c>
      <c r="I1944" t="inlineStr">
        <is>
          <t>DATACRYPTIC TECHNOLOGIES SDN BHD</t>
        </is>
      </c>
      <c r="J1944" t="inlineStr">
        <is>
          <t>Small Fish</t>
        </is>
      </c>
      <c r="K1944" t="inlineStr">
        <is>
          <t>Clover</t>
        </is>
      </c>
      <c r="L1944" s="4"/>
      <c r="M1944" s="4">
        <v>46127.655810185184</v>
      </c>
      <c r="N1944"/>
      <c r="O1944">
        <v>3888</v>
      </c>
      <c r="P1944" s="4"/>
      <c r="Q1944" s="4">
        <v>46127.91850694444</v>
      </c>
      <c r="R1944"/>
      <c r="S1944">
        <v>0</v>
      </c>
      <c r="T1944" s="4"/>
      <c r="U1944" s="4"/>
      <c r="V1944"/>
      <c r="W1944"/>
      <c r="X1944"/>
      <c r="Y1944" t="inlineStr">
        <is>
          <t>Pending Appointment</t>
        </is>
      </c>
      <c r="Z1944" t="inlineStr">
        <is>
          <t>Hiring Later</t>
        </is>
      </c>
      <c r="AA1944">
        <v>2</v>
      </c>
      <c r="AB1944" t="inlineStr">
        <is>
          <t>No Appointment Made</t>
        </is>
      </c>
      <c r="AC1944"/>
      <c r="AD1944" t="inlineStr">
        <is>
          <t>Future start hiring, maybe june, IT exec 1-2, IT solution, subang, suggest stand</t>
        </is>
      </c>
      <c r="AE1944"/>
      <c r="AF1944">
        <v>3000</v>
      </c>
      <c r="AG1944" s="4"/>
      <c r="AH1944" s="4"/>
      <c r="AI1944">
        <v>3000</v>
      </c>
      <c r="AJ1944"/>
      <c r="AK1944" t="inlineStr">
        <is>
          <t>No, but I want in future</t>
        </is>
      </c>
      <c r="AL1944">
        <v>1</v>
      </c>
      <c r="AM1944" t="inlineStr">
        <is>
          <t>No, but I want in future</t>
        </is>
      </c>
      <c r="AN1944"/>
      <c r="AO1944" t="inlineStr">
        <is>
          <t>No, but I want in future</t>
        </is>
      </c>
      <c r="AP1944" t="inlineStr">
        <is>
          <t>Twice a year (50%)</t>
        </is>
      </c>
      <c r="AQ1944">
        <v>2</v>
      </c>
      <c r="AR1944" t="inlineStr">
        <is>
          <t>Did not use any job portal</t>
        </is>
      </c>
      <c r="AS1944" t="inlineStr">
        <is>
          <t>- Headcount: 2
- Hiring Job Details: Future start hiring, maybe june, IT exec 1-2, IT solution, subang, suggest stand
- Hiring Urgency: Hiring Later
- Number of outlets: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1944">
        <v>85</v>
      </c>
      <c r="AU1944" t="inlineStr">
        <is>
          <t>0.85</t>
        </is>
      </c>
      <c r="AV1944" t="inlineStr">
        <is>
          <t>15</t>
        </is>
      </c>
      <c r="AW1944" t="inlineStr">
        <is>
          <t>0</t>
        </is>
      </c>
      <c r="AX1944" t="inlineStr">
        <is>
          <t>Not Qualified</t>
        </is>
      </c>
      <c r="AY1944" s="4"/>
      <c r="AZ1944"/>
      <c r="BA1944"/>
      <c r="BB1944"/>
      <c r="BC1944" t="inlineStr">
        <is>
          <t>npu, wa fu</t>
        </is>
      </c>
      <c r="BD1944" s="4">
        <v>46136.77679398148</v>
      </c>
      <c r="BE1944" t="inlineStr">
        <is>
          <t>paid</t>
        </is>
      </c>
      <c r="BF1944"/>
      <c r="BG1944" t="inlineStr">
        <is>
          <t>Reschedule</t>
        </is>
      </c>
      <c r="BH1944" t="inlineStr">
        <is>
          <t>Reagen</t>
        </is>
      </c>
      <c r="BI1944"/>
      <c r="BJ1944" s="4">
        <v>46144.75425925926</v>
      </c>
      <c r="BK1944" s="4">
        <v>46127.65201388889</v>
      </c>
      <c r="BL1944" t="inlineStr">
        <is>
          <t>0.0</t>
        </is>
      </c>
      <c r="BM1944" t="inlineStr">
        <is>
          <t>600.0</t>
        </is>
      </c>
      <c r="BN1944"/>
      <c r="BO1944" s="4"/>
      <c r="BP1944">
        <v>167223</v>
      </c>
      <c r="BQ1944">
        <v>122606</v>
      </c>
      <c r="BR1944" t="inlineStr">
        <is>
          <t>Proforma</t>
        </is>
      </c>
      <c r="BS1944" t="inlineStr">
        <is>
          <t>Free Internship Job</t>
        </is>
      </c>
      <c r="BT1944"/>
      <c r="BU1944"/>
      <c r="BV1944">
        <v>2727570</v>
      </c>
      <c r="BW1944" t="inlineStr">
        <is>
          <t>No Answer : Voicemail - WA sent to customer</t>
        </is>
      </c>
      <c r="BX1944"/>
      <c r="BY1944"/>
      <c r="BZ1944" s="4"/>
      <c r="CA1944"/>
      <c r="CB1944"/>
      <c r="CC1944" s="4"/>
      <c r="CD1944" t="inlineStr">
        <is>
          <t>20</t>
        </is>
      </c>
      <c r="CE1944" t="inlineStr">
        <is>
          <t>0</t>
        </is>
      </c>
      <c r="CF1944" t="inlineStr">
        <is>
          <t>Q2-W02</t>
        </is>
      </c>
      <c r="CG1944" t="inlineStr">
        <is>
          <t>Q2-W02</t>
        </is>
      </c>
      <c r="CH1944"/>
      <c r="CI1944"/>
      <c r="CJ1944" t="inlineStr">
        <is>
          <t>No Paid</t>
        </is>
      </c>
      <c r="CK1944" t="inlineStr">
        <is>
          <t>Not Eligible</t>
        </is>
      </c>
      <c r="CL1944"/>
      <c r="CM1944"/>
    </row>
    <row r="1945" ht="25.5" customHeight="1">
      <c r="A1945" t="inlineStr">
        <is>
          <t>4285698</t>
        </is>
      </c>
      <c r="B1945" s="2"/>
      <c r="C1945"/>
      <c r="D1945" s="3">
        <v>46127.661099537036</v>
      </c>
      <c r="E1945" t="inlineStr">
        <is>
          <t>Q2-W02</t>
        </is>
      </c>
      <c r="F1945" t="inlineStr">
        <is>
          <t>Jia Hui</t>
        </is>
      </c>
      <c r="G1945" t="inlineStr">
        <is>
          <t>Lead</t>
        </is>
      </c>
      <c r="H1945" s="2" t="str">
        <f>=HYPERLINK("https://upbox.ajobthing.my/leads/4285698", "https://upbox.ajobthing.my/leads/4285698")</f>
        <v>https://upbox.ajobthing.my/leads/4285698</v>
      </c>
      <c r="I1945" t="inlineStr">
        <is>
          <t>Pusat Tuisyen Didik Ceria</t>
        </is>
      </c>
      <c r="J1945" t="inlineStr">
        <is>
          <t>Small Fish</t>
        </is>
      </c>
      <c r="K1945" t="inlineStr">
        <is>
          <t>Jia Hui</t>
        </is>
      </c>
      <c r="L1945" s="4"/>
      <c r="M1945" s="4">
        <v>46127.66134259259</v>
      </c>
      <c r="N1945"/>
      <c r="O1945">
        <v>3888</v>
      </c>
      <c r="P1945" s="4"/>
      <c r="Q1945" s="4"/>
      <c r="R1945"/>
      <c r="S1945"/>
      <c r="T1945" s="4"/>
      <c r="U1945" s="4"/>
      <c r="V1945"/>
      <c r="W1945"/>
      <c r="X1945"/>
      <c r="Y1945" t="inlineStr">
        <is>
          <t>Pending Appointment</t>
        </is>
      </c>
      <c r="Z1945" t="inlineStr">
        <is>
          <t>Hiring Now</t>
        </is>
      </c>
      <c r="AA1945">
        <v>2</v>
      </c>
      <c r="AB1945" t="inlineStr">
        <is>
          <t>No Appointment Made</t>
        </is>
      </c>
      <c r="AC1945"/>
      <c r="AD1945" t="inlineStr">
        <is>
          <t>1 teacher, 1 admin</t>
        </is>
      </c>
      <c r="AE1945"/>
      <c r="AF1945">
        <v>500</v>
      </c>
      <c r="AG1945" s="4"/>
      <c r="AH1945" s="4"/>
      <c r="AI1945"/>
      <c r="AJ1945"/>
      <c r="AK1945" t="inlineStr">
        <is>
          <t>No, but I want in future</t>
        </is>
      </c>
      <c r="AL1945"/>
      <c r="AM1945"/>
      <c r="AN1945"/>
      <c r="AO1945"/>
      <c r="AP1945" t="inlineStr">
        <is>
          <t>Twice a year (50%)</t>
        </is>
      </c>
      <c r="AQ1945"/>
      <c r="AR1945"/>
      <c r="AS1945" t="inlineStr">
        <is>
          <t>- Headcount: 2
- Hiring Job Details: 1 teacher, 1 admin
- Hiring Urgency: Hiring Now
- Number of outlets: N/A
- Have recruiter team: No, but want in future
- Number of recruiter in company: N/A
- Have ATS system: N/A
- Have career website: N/A
- Current hiring budget: RM500.00
- Whole year budget: N/A
- Whole year number of vacancies: N/A
- Hiring frequency: Twice a year (50%)
- External job portal: N/A</t>
        </is>
      </c>
      <c r="AT1945">
        <v>75</v>
      </c>
      <c r="AU1945" t="inlineStr">
        <is>
          <t>0.75</t>
        </is>
      </c>
      <c r="AV1945" t="inlineStr">
        <is>
          <t>15</t>
        </is>
      </c>
      <c r="AW1945" t="inlineStr">
        <is>
          <t>0</t>
        </is>
      </c>
      <c r="AX1945" t="inlineStr">
        <is>
          <t>Not Qualified</t>
        </is>
      </c>
      <c r="AY1945" s="4"/>
      <c r="AZ1945"/>
      <c r="BA1945"/>
      <c r="BB1945"/>
      <c r="BC1945"/>
      <c r="BD1945" s="4"/>
      <c r="BE1945"/>
      <c r="BF1945"/>
      <c r="BG1945" t="inlineStr">
        <is>
          <t>Reschedule</t>
        </is>
      </c>
      <c r="BH1945" t="inlineStr">
        <is>
          <t>Reagen</t>
        </is>
      </c>
      <c r="BI1945"/>
      <c r="BJ1945" s="4">
        <v>46144.755833333336</v>
      </c>
      <c r="BK1945" s="4">
        <v>46127.64613425926</v>
      </c>
      <c r="BL1945" t="inlineStr">
        <is>
          <t>0.0</t>
        </is>
      </c>
      <c r="BM1945" t="inlineStr">
        <is>
          <t>0.0</t>
        </is>
      </c>
      <c r="BN1945"/>
      <c r="BO1945" s="4"/>
      <c r="BP1945">
        <v>167229</v>
      </c>
      <c r="BQ1945"/>
      <c r="BR1945"/>
      <c r="BS1945"/>
      <c r="BT1945"/>
      <c r="BU1945"/>
      <c r="BV1945"/>
      <c r="BW1945"/>
      <c r="BX1945"/>
      <c r="BY1945"/>
      <c r="BZ1945" s="4"/>
      <c r="CA1945"/>
      <c r="CB1945"/>
      <c r="CC1945" s="4"/>
      <c r="CD1945" t="inlineStr">
        <is>
          <t>20</t>
        </is>
      </c>
      <c r="CE1945" t="inlineStr">
        <is>
          <t>0</t>
        </is>
      </c>
      <c r="CF1945" t="inlineStr">
        <is>
          <t>Q2-W02</t>
        </is>
      </c>
      <c r="CG1945"/>
      <c r="CH1945"/>
      <c r="CI1945"/>
      <c r="CJ1945" t="inlineStr">
        <is>
          <t>No Paid</t>
        </is>
      </c>
      <c r="CK1945" t="inlineStr">
        <is>
          <t>Not Eligible</t>
        </is>
      </c>
      <c r="CL1945"/>
      <c r="CM1945"/>
    </row>
    <row r="1946" ht="25.5" customHeight="1">
      <c r="A1946" t="inlineStr">
        <is>
          <t>203081</t>
        </is>
      </c>
      <c r="B1946" s="2"/>
      <c r="C1946"/>
      <c r="D1946" s="3">
        <v>46127.66950231481</v>
      </c>
      <c r="E1946" t="inlineStr">
        <is>
          <t>Q2-W02</t>
        </is>
      </c>
      <c r="F1946" t="inlineStr">
        <is>
          <t>Eugene</t>
        </is>
      </c>
      <c r="G1946" t="inlineStr">
        <is>
          <t>Customer</t>
        </is>
      </c>
      <c r="H1946" s="2" t="str">
        <f>=HYPERLINK("https://upbox.ajobthing.my/customer/203081", "https://upbox.ajobthing.my/customer/203081")</f>
        <v>https://upbox.ajobthing.my/customer/203081</v>
      </c>
      <c r="I1946" t="inlineStr">
        <is>
          <t>Jtm Turbo Sdn Bhd</t>
        </is>
      </c>
      <c r="J1946" t="inlineStr">
        <is>
          <t>Small Fish</t>
        </is>
      </c>
      <c r="K1946" t="inlineStr">
        <is>
          <t>Eugene</t>
        </is>
      </c>
      <c r="L1946" s="4"/>
      <c r="M1946" s="4">
        <v>46127.691354166665</v>
      </c>
      <c r="N1946"/>
      <c r="O1946">
        <v>864</v>
      </c>
      <c r="P1946" s="4"/>
      <c r="Q1946" s="4"/>
      <c r="R1946"/>
      <c r="S1946"/>
      <c r="T1946" s="4"/>
      <c r="U1946" s="4"/>
      <c r="V1946"/>
      <c r="W1946"/>
      <c r="X1946"/>
      <c r="Y1946" t="inlineStr">
        <is>
          <t>Pending Appointment</t>
        </is>
      </c>
      <c r="Z1946" t="inlineStr">
        <is>
          <t>Hiring Now</t>
        </is>
      </c>
      <c r="AA1946">
        <v>1</v>
      </c>
      <c r="AB1946" t="inlineStr">
        <is>
          <t>No Appointment Made</t>
        </is>
      </c>
      <c r="AC1946"/>
      <c r="AD1946" t="inlineStr">
        <is>
          <t>1 position, based in Johor</t>
        </is>
      </c>
      <c r="AE1946"/>
      <c r="AF1946">
        <v>3000</v>
      </c>
      <c r="AG1946" s="4"/>
      <c r="AH1946" s="4"/>
      <c r="AI1946">
        <v>3000</v>
      </c>
      <c r="AJ1946">
        <v>1</v>
      </c>
      <c r="AK1946" t="inlineStr">
        <is>
          <t>No, I don't need at all</t>
        </is>
      </c>
      <c r="AL1946">
        <v>1</v>
      </c>
      <c r="AM1946" t="inlineStr">
        <is>
          <t>No, I don't need at all</t>
        </is>
      </c>
      <c r="AN1946"/>
      <c r="AO1946" t="inlineStr">
        <is>
          <t>No, I don't need at all</t>
        </is>
      </c>
      <c r="AP1946" t="inlineStr">
        <is>
          <t>Once a year (25%)</t>
        </is>
      </c>
      <c r="AQ1946">
        <v>2</v>
      </c>
      <c r="AR1946" t="inlineStr">
        <is>
          <t>Free Job Portal</t>
        </is>
      </c>
      <c r="AS1946" t="inlineStr">
        <is>
          <t>- Headcount: 1
- Hiring Job Details: 1 position, based in Johor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AT1946">
        <v>95</v>
      </c>
      <c r="AU1946" t="inlineStr">
        <is>
          <t>0.95</t>
        </is>
      </c>
      <c r="AV1946" t="inlineStr">
        <is>
          <t>15</t>
        </is>
      </c>
      <c r="AW1946" t="inlineStr">
        <is>
          <t>0</t>
        </is>
      </c>
      <c r="AX1946" t="inlineStr">
        <is>
          <t>Not Qualified</t>
        </is>
      </c>
      <c r="AY1946" s="4"/>
      <c r="AZ1946"/>
      <c r="BA1946"/>
      <c r="BB1946"/>
      <c r="BC1946" t="inlineStr">
        <is>
          <t>pending</t>
        </is>
      </c>
      <c r="BD1946" s="4">
        <v>46141.47775462963</v>
      </c>
      <c r="BE1946"/>
      <c r="BF1946"/>
      <c r="BG1946" t="inlineStr">
        <is>
          <t>Reschedule</t>
        </is>
      </c>
      <c r="BH1946" t="inlineStr">
        <is>
          <t>Edward Hoo</t>
        </is>
      </c>
      <c r="BI1946"/>
      <c r="BJ1946" s="4">
        <v>46144.754212962966</v>
      </c>
      <c r="BK1946" s="4">
        <v>46122.49269675926</v>
      </c>
      <c r="BL1946" t="inlineStr">
        <is>
          <t>0.0</t>
        </is>
      </c>
      <c r="BM1946" t="inlineStr">
        <is>
          <t>0.0</t>
        </is>
      </c>
      <c r="BN1946" t="inlineStr">
        <is>
          <t>User Visit(Logged In)</t>
        </is>
      </c>
      <c r="BO1946" s="4">
        <v>46122.589050925926</v>
      </c>
      <c r="BP1946">
        <v>167240</v>
      </c>
      <c r="BQ1946"/>
      <c r="BR1946"/>
      <c r="BS1946"/>
      <c r="BT1946"/>
      <c r="BU1946"/>
      <c r="BV1946">
        <v>2734728</v>
      </c>
      <c r="BW1946" t="inlineStr">
        <is>
          <t>Follow Up : Decision Pending</t>
        </is>
      </c>
      <c r="BX1946"/>
      <c r="BY1946"/>
      <c r="BZ1946" s="4"/>
      <c r="CA1946"/>
      <c r="CB1946"/>
      <c r="CC1946" s="4"/>
      <c r="CD1946" t="inlineStr">
        <is>
          <t>20</t>
        </is>
      </c>
      <c r="CE1946" t="inlineStr">
        <is>
          <t>0</t>
        </is>
      </c>
      <c r="CF1946" t="inlineStr">
        <is>
          <t>Q2-W02</t>
        </is>
      </c>
      <c r="CG1946"/>
      <c r="CH1946"/>
      <c r="CI1946"/>
      <c r="CJ1946" t="inlineStr">
        <is>
          <t>No Paid</t>
        </is>
      </c>
      <c r="CK1946" t="inlineStr">
        <is>
          <t>Not Eligible</t>
        </is>
      </c>
      <c r="CL1946"/>
      <c r="CM1946"/>
    </row>
    <row r="1947" ht="25.5" customHeight="1">
      <c r="A1947" t="inlineStr">
        <is>
          <t>166980</t>
        </is>
      </c>
      <c r="B1947" s="2"/>
      <c r="C1947"/>
      <c r="D1947" s="3">
        <v>46127.67752314815</v>
      </c>
      <c r="E1947" t="inlineStr">
        <is>
          <t>Q2-W02</t>
        </is>
      </c>
      <c r="F1947" t="inlineStr">
        <is>
          <t>Luqman</t>
        </is>
      </c>
      <c r="G1947" t="inlineStr">
        <is>
          <t>Customer</t>
        </is>
      </c>
      <c r="H1947" s="2" t="str">
        <f>=HYPERLINK("https://upbox.ajobthing.my/customer/166980", "https://upbox.ajobthing.my/customer/166980")</f>
        <v>https://upbox.ajobthing.my/customer/166980</v>
      </c>
      <c r="I1947" t="inlineStr">
        <is>
          <t>Nikmat Cuisine Ria</t>
        </is>
      </c>
      <c r="J1947" t="inlineStr">
        <is>
          <t>Small Fish</t>
        </is>
      </c>
      <c r="K1947" t="inlineStr">
        <is>
          <t>Luqman</t>
        </is>
      </c>
      <c r="L1947" s="4"/>
      <c r="M1947" s="4">
        <v>46127.67795138889</v>
      </c>
      <c r="N1947"/>
      <c r="O1947">
        <v>864</v>
      </c>
      <c r="P1947" s="4"/>
      <c r="Q1947" s="4">
        <v>46133.55253472222</v>
      </c>
      <c r="R1947"/>
      <c r="S1947">
        <v>864</v>
      </c>
      <c r="T1947" s="4"/>
      <c r="U1947" s="4"/>
      <c r="V1947"/>
      <c r="W1947"/>
      <c r="X1947"/>
      <c r="Y1947" t="inlineStr">
        <is>
          <t>Pending Appointment</t>
        </is>
      </c>
      <c r="Z1947" t="inlineStr">
        <is>
          <t>Hiring Now</t>
        </is>
      </c>
      <c r="AA1947">
        <v>2</v>
      </c>
      <c r="AB1947" t="inlineStr">
        <is>
          <t>No Appointment Made</t>
        </is>
      </c>
      <c r="AC1947"/>
      <c r="AD1947" t="inlineStr">
        <is>
          <t xml:space="preserve">1. Head Chef 2. Cook </t>
        </is>
      </c>
      <c r="AE1947"/>
      <c r="AF1947">
        <v>800</v>
      </c>
      <c r="AG1947" s="4"/>
      <c r="AH1947" s="4"/>
      <c r="AI1947">
        <v>800</v>
      </c>
      <c r="AJ1947"/>
      <c r="AK1947" t="inlineStr">
        <is>
          <t>No, I don't need at all</t>
        </is>
      </c>
      <c r="AL1947">
        <v>1</v>
      </c>
      <c r="AM1947" t="inlineStr">
        <is>
          <t>No, I don't need at all</t>
        </is>
      </c>
      <c r="AN1947"/>
      <c r="AO1947" t="inlineStr">
        <is>
          <t>No, I don't need at all</t>
        </is>
      </c>
      <c r="AP1947" t="inlineStr">
        <is>
          <t>Once a year (25%)</t>
        </is>
      </c>
      <c r="AQ1947">
        <v>2</v>
      </c>
      <c r="AR1947" t="inlineStr">
        <is>
          <t>Free Job Portal</t>
        </is>
      </c>
      <c r="AS1947" t="inlineStr">
        <is>
          <t>- Headcount: 2
- Hiring Job Details: 1 Head Chef, 2 Cook
- Number of outlets: 
- Have recruiter team: No, I don't need at all
- Number of recruiter in company: 1
- Have ATS system: No, I don't need at all
- Have career website: No, I don't need at all
- Current hiring budget: RM800
- Whole year budget: RM800.00
- Whole year number of vacancies: 2
- Hiring frequency: Once a year (25%)
- External job portal: Free Job Portal
- Hiring Urgency: Hiring Now</t>
        </is>
      </c>
      <c r="AT1947">
        <v>95</v>
      </c>
      <c r="AU1947" t="inlineStr">
        <is>
          <t>0.95</t>
        </is>
      </c>
      <c r="AV1947" t="inlineStr">
        <is>
          <t>15</t>
        </is>
      </c>
      <c r="AW1947" t="inlineStr">
        <is>
          <t>0</t>
        </is>
      </c>
      <c r="AX1947" t="inlineStr">
        <is>
          <t>Not Qualified</t>
        </is>
      </c>
      <c r="AY1947" s="4"/>
      <c r="AZ1947"/>
      <c r="BA1947"/>
      <c r="BB1947"/>
      <c r="BC1947" t="inlineStr">
        <is>
          <t>Hiring on hold</t>
        </is>
      </c>
      <c r="BD1947" s="4">
        <v>46141.46574074074</v>
      </c>
      <c r="BE1947" t="inlineStr">
        <is>
          <t>pending</t>
        </is>
      </c>
      <c r="BF1947"/>
      <c r="BG1947" t="inlineStr">
        <is>
          <t>Reschedule</t>
        </is>
      </c>
      <c r="BH1947" t="inlineStr">
        <is>
          <t>Edward Hoo</t>
        </is>
      </c>
      <c r="BI1947" t="inlineStr">
        <is>
          <t>Manufacturing / Production</t>
        </is>
      </c>
      <c r="BJ1947" s="4">
        <v>46142.813796296294</v>
      </c>
      <c r="BK1947" s="4">
        <v>45058.60472222222</v>
      </c>
      <c r="BL1947" t="inlineStr">
        <is>
          <t>0.0</t>
        </is>
      </c>
      <c r="BM1947" t="inlineStr">
        <is>
          <t>0.0</t>
        </is>
      </c>
      <c r="BN1947" t="inlineStr">
        <is>
          <t>View Company Page</t>
        </is>
      </c>
      <c r="BO1947" s="4">
        <v>46087.67873842592</v>
      </c>
      <c r="BP1947">
        <v>167237</v>
      </c>
      <c r="BQ1947">
        <v>123433</v>
      </c>
      <c r="BR1947" t="inlineStr">
        <is>
          <t>Proforma</t>
        </is>
      </c>
      <c r="BS1947" t="inlineStr">
        <is>
          <t>AI Ala Carte (Jan 26)</t>
        </is>
      </c>
      <c r="BT1947"/>
      <c r="BU1947"/>
      <c r="BV1947">
        <v>2734659</v>
      </c>
      <c r="BW1947" t="inlineStr">
        <is>
          <t>Follow Up : Lost - Free Portal</t>
        </is>
      </c>
      <c r="BX1947"/>
      <c r="BY1947"/>
      <c r="BZ1947" s="4"/>
      <c r="CA1947"/>
      <c r="CB1947"/>
      <c r="CC1947" s="4"/>
      <c r="CD1947" t="inlineStr">
        <is>
          <t>20</t>
        </is>
      </c>
      <c r="CE1947" t="inlineStr">
        <is>
          <t>0</t>
        </is>
      </c>
      <c r="CF1947" t="inlineStr">
        <is>
          <t>Q2-W02</t>
        </is>
      </c>
      <c r="CG1947" t="inlineStr">
        <is>
          <t>Q2-W03</t>
        </is>
      </c>
      <c r="CH1947"/>
      <c r="CI1947"/>
      <c r="CJ1947" t="inlineStr">
        <is>
          <t>No Paid</t>
        </is>
      </c>
      <c r="CK1947" t="inlineStr">
        <is>
          <t>Not Eligible</t>
        </is>
      </c>
      <c r="CL1947"/>
      <c r="CM1947"/>
    </row>
    <row r="1948" ht="25.5" customHeight="1">
      <c r="A1948" t="inlineStr">
        <is>
          <t>203278</t>
        </is>
      </c>
      <c r="B1948" s="2"/>
      <c r="C1948"/>
      <c r="D1948" s="3">
        <v>46127.7175</v>
      </c>
      <c r="E1948" t="inlineStr">
        <is>
          <t>Q2-W02</t>
        </is>
      </c>
      <c r="F1948" t="inlineStr">
        <is>
          <t>Josh</t>
        </is>
      </c>
      <c r="G1948" t="inlineStr">
        <is>
          <t>Customer</t>
        </is>
      </c>
      <c r="H1948" s="2" t="str">
        <f>=HYPERLINK("https://upbox.ajobthing.my/customer/203278", "https://upbox.ajobthing.my/customer/203278")</f>
        <v>https://upbox.ajobthing.my/customer/203278</v>
      </c>
      <c r="I1948" t="inlineStr">
        <is>
          <t>Infine Link Technologies Pte Ltd</t>
        </is>
      </c>
      <c r="J1948" t="inlineStr">
        <is>
          <t>Small Fish</t>
        </is>
      </c>
      <c r="K1948" t="inlineStr">
        <is>
          <t>Josh</t>
        </is>
      </c>
      <c r="L1948" s="4"/>
      <c r="M1948" s="4">
        <v>46127.71769675926</v>
      </c>
      <c r="N1948"/>
      <c r="O1948">
        <v>1080</v>
      </c>
      <c r="P1948" s="4"/>
      <c r="Q1948" s="4">
        <v>46127.699791666666</v>
      </c>
      <c r="R1948"/>
      <c r="S1948">
        <v>0</v>
      </c>
      <c r="T1948" s="4"/>
      <c r="U1948" s="4"/>
      <c r="V1948"/>
      <c r="W1948"/>
      <c r="X1948"/>
      <c r="Y1948" t="inlineStr">
        <is>
          <t>Pending Appointment</t>
        </is>
      </c>
      <c r="Z1948" t="inlineStr">
        <is>
          <t>Hiring Now</t>
        </is>
      </c>
      <c r="AA1948">
        <v>1</v>
      </c>
      <c r="AB1948" t="inlineStr">
        <is>
          <t>No Appointment Made</t>
        </is>
      </c>
      <c r="AC1948"/>
      <c r="AD1948" t="inlineStr">
        <is>
          <t>1 Warehouse assistant</t>
        </is>
      </c>
      <c r="AE1948"/>
      <c r="AF1948">
        <v>1000</v>
      </c>
      <c r="AG1948" s="4"/>
      <c r="AH1948" s="4"/>
      <c r="AI1948"/>
      <c r="AJ1948"/>
      <c r="AK1948" t="inlineStr">
        <is>
          <t>Yes, I have</t>
        </is>
      </c>
      <c r="AL1948"/>
      <c r="AM1948"/>
      <c r="AN1948"/>
      <c r="AO1948"/>
      <c r="AP1948" t="inlineStr">
        <is>
          <t>Once a year (25%)</t>
        </is>
      </c>
      <c r="AQ1948"/>
      <c r="AR1948"/>
      <c r="AS1948" t="inlineStr">
        <is>
          <t>- Headcount: 1
- Hiring Job Details: 1 Warehouse assistant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1948">
        <v>95</v>
      </c>
      <c r="AU1948" t="inlineStr">
        <is>
          <t>0.95</t>
        </is>
      </c>
      <c r="AV1948" t="inlineStr">
        <is>
          <t>15</t>
        </is>
      </c>
      <c r="AW1948" t="inlineStr">
        <is>
          <t>0</t>
        </is>
      </c>
      <c r="AX1948" t="inlineStr">
        <is>
          <t>Not Qualified</t>
        </is>
      </c>
      <c r="AY1948" s="4"/>
      <c r="AZ1948"/>
      <c r="BA1948"/>
      <c r="BB1948"/>
      <c r="BC1948" t="inlineStr">
        <is>
          <t>over budget</t>
        </is>
      </c>
      <c r="BD1948" s="4">
        <v>46128.477326388886</v>
      </c>
      <c r="BE1948" t="inlineStr">
        <is>
          <t>paid</t>
        </is>
      </c>
      <c r="BF1948"/>
      <c r="BG1948" t="inlineStr">
        <is>
          <t>Reschedule</t>
        </is>
      </c>
      <c r="BH1948" t="inlineStr">
        <is>
          <t>Fauziah Maharan</t>
        </is>
      </c>
      <c r="BI1948" t="inlineStr">
        <is>
          <t>Manufacturing / Production</t>
        </is>
      </c>
      <c r="BJ1948" s="4">
        <v>46144.75425925926</v>
      </c>
      <c r="BK1948" s="4">
        <v>46127.698969907404</v>
      </c>
      <c r="BL1948" t="inlineStr">
        <is>
          <t>0.0</t>
        </is>
      </c>
      <c r="BM1948" t="inlineStr">
        <is>
          <t>0.0</t>
        </is>
      </c>
      <c r="BN1948" t="inlineStr">
        <is>
          <t>View Create Job Page V4</t>
        </is>
      </c>
      <c r="BO1948" s="4">
        <v>46127.71398148148</v>
      </c>
      <c r="BP1948">
        <v>167253</v>
      </c>
      <c r="BQ1948">
        <v>122572</v>
      </c>
      <c r="BR1948" t="inlineStr">
        <is>
          <t>Proforma</t>
        </is>
      </c>
      <c r="BS1948" t="inlineStr">
        <is>
          <t>Free Part-Time Job</t>
        </is>
      </c>
      <c r="BT1948"/>
      <c r="BU1948"/>
      <c r="BV1948">
        <v>2708469</v>
      </c>
      <c r="BW1948" t="inlineStr">
        <is>
          <t>No Answer : Voicemail - WA sent to customer</t>
        </is>
      </c>
      <c r="BX1948"/>
      <c r="BY1948"/>
      <c r="BZ1948" s="4"/>
      <c r="CA1948"/>
      <c r="CB1948"/>
      <c r="CC1948" s="4"/>
      <c r="CD1948" t="inlineStr">
        <is>
          <t>20</t>
        </is>
      </c>
      <c r="CE1948" t="inlineStr">
        <is>
          <t>0</t>
        </is>
      </c>
      <c r="CF1948" t="inlineStr">
        <is>
          <t>Q2-W02</t>
        </is>
      </c>
      <c r="CG1948" t="inlineStr">
        <is>
          <t>Q2-W02</t>
        </is>
      </c>
      <c r="CH1948"/>
      <c r="CI1948"/>
      <c r="CJ1948" t="inlineStr">
        <is>
          <t>No Paid</t>
        </is>
      </c>
      <c r="CK1948" t="inlineStr">
        <is>
          <t>Not Eligible</t>
        </is>
      </c>
      <c r="CL1948"/>
      <c r="CM1948"/>
    </row>
    <row r="1949" ht="25.5" customHeight="1">
      <c r="A1949" t="inlineStr">
        <is>
          <t>165138</t>
        </is>
      </c>
      <c r="B1949" s="2"/>
      <c r="C1949"/>
      <c r="D1949" s="3">
        <v>46127.72818287037</v>
      </c>
      <c r="E1949" t="inlineStr">
        <is>
          <t>Q2-W02</t>
        </is>
      </c>
      <c r="F1949" t="inlineStr">
        <is>
          <t>Xin Hui</t>
        </is>
      </c>
      <c r="G1949" t="inlineStr">
        <is>
          <t>Customer</t>
        </is>
      </c>
      <c r="H1949" s="2" t="str">
        <f>=HYPERLINK("https://upbox.ajobthing.my/customer/165138", "https://upbox.ajobthing.my/customer/165138")</f>
        <v>https://upbox.ajobthing.my/customer/165138</v>
      </c>
      <c r="I1949" t="inlineStr">
        <is>
          <t>Realvest Property Management (M) Sdn Bhd</t>
        </is>
      </c>
      <c r="J1949" t="inlineStr">
        <is>
          <t>Small Fish</t>
        </is>
      </c>
      <c r="K1949" t="inlineStr">
        <is>
          <t>Xin Hui</t>
        </is>
      </c>
      <c r="L1949" s="4"/>
      <c r="M1949" s="4">
        <v>46127.72858796296</v>
      </c>
      <c r="N1949"/>
      <c r="O1949">
        <v>3888</v>
      </c>
      <c r="P1949" s="4"/>
      <c r="Q1949" s="4">
        <v>44993.62951388889</v>
      </c>
      <c r="R1949"/>
      <c r="S1949">
        <v>636</v>
      </c>
      <c r="T1949" s="4">
        <v>44993.62951388889</v>
      </c>
      <c r="U1949" s="4"/>
      <c r="V1949"/>
      <c r="W1949">
        <v>636</v>
      </c>
      <c r="X1949"/>
      <c r="Y1949" t="inlineStr">
        <is>
          <t>Pending Appointment</t>
        </is>
      </c>
      <c r="Z1949" t="inlineStr">
        <is>
          <t>Hiring Later</t>
        </is>
      </c>
      <c r="AA1949">
        <v>2</v>
      </c>
      <c r="AB1949" t="inlineStr">
        <is>
          <t>No Appointment Made</t>
        </is>
      </c>
      <c r="AC1949"/>
      <c r="AD1949" t="inlineStr">
        <is>
          <t xml:space="preserve">technician / admin </t>
        </is>
      </c>
      <c r="AE1949"/>
      <c r="AF1949">
        <v>0</v>
      </c>
      <c r="AG1949" s="4"/>
      <c r="AH1949" s="4"/>
      <c r="AI1949"/>
      <c r="AJ1949"/>
      <c r="AK1949" t="inlineStr">
        <is>
          <t>No, I don't need at all</t>
        </is>
      </c>
      <c r="AL1949"/>
      <c r="AM1949" t="inlineStr">
        <is>
          <t>No, I don't need at all</t>
        </is>
      </c>
      <c r="AN1949"/>
      <c r="AO1949" t="inlineStr">
        <is>
          <t>No, I don't need at all</t>
        </is>
      </c>
      <c r="AP1949" t="inlineStr">
        <is>
          <t>Once a year (25%)</t>
        </is>
      </c>
      <c r="AQ1949"/>
      <c r="AR1949"/>
      <c r="AS1949" t="inlineStr">
        <is>
          <t>- Headcount: 2
- Hiring Job Details: technician / admin
- Number of outlets: N/A
- Have recruiter team: No, I don't need at all
- Number of recruiter in company: N/A
- Have ATS system: No, I don't need at all
- Have career website: No, I don't need at all
- Current hiring budget: RM0.00
- Whole year budget: N/A
- Whole year number of vacancies: N/A
- Hiring frequency: Once a year (25%)
- External job portal: N/A
- Hiring Urgency: Hiring Later</t>
        </is>
      </c>
      <c r="AT1949">
        <v>75</v>
      </c>
      <c r="AU1949" t="inlineStr">
        <is>
          <t>0.75</t>
        </is>
      </c>
      <c r="AV1949" t="inlineStr">
        <is>
          <t>15</t>
        </is>
      </c>
      <c r="AW1949" t="inlineStr">
        <is>
          <t>0</t>
        </is>
      </c>
      <c r="AX1949" t="inlineStr">
        <is>
          <t>Not Qualified</t>
        </is>
      </c>
      <c r="AY1949" s="4"/>
      <c r="AZ1949"/>
      <c r="BA1949"/>
      <c r="BB1949"/>
      <c r="BC1949" t="inlineStr">
        <is>
          <t>not now</t>
        </is>
      </c>
      <c r="BD1949" s="4">
        <v>46133.666354166664</v>
      </c>
      <c r="BE1949" t="inlineStr">
        <is>
          <t>paid</t>
        </is>
      </c>
      <c r="BF1949"/>
      <c r="BG1949" t="inlineStr">
        <is>
          <t>Reschedule</t>
        </is>
      </c>
      <c r="BH1949" t="inlineStr">
        <is>
          <t>Yee Hang</t>
        </is>
      </c>
      <c r="BI1949" t="inlineStr">
        <is>
          <t>Property / Real Estate</t>
        </is>
      </c>
      <c r="BJ1949" s="4">
        <v>46144.751226851855</v>
      </c>
      <c r="BK1949" s="4">
        <v>44992.57440972222</v>
      </c>
      <c r="BL1949" t="inlineStr">
        <is>
          <t>0.0</t>
        </is>
      </c>
      <c r="BM1949" t="inlineStr">
        <is>
          <t>0.0</t>
        </is>
      </c>
      <c r="BN1949" t="inlineStr">
        <is>
          <t>View Company Page</t>
        </is>
      </c>
      <c r="BO1949" s="4">
        <v>45775.424733796295</v>
      </c>
      <c r="BP1949">
        <v>167257</v>
      </c>
      <c r="BQ1949">
        <v>56355</v>
      </c>
      <c r="BR1949" t="inlineStr">
        <is>
          <t>Online</t>
        </is>
      </c>
      <c r="BS1949"/>
      <c r="BT1949">
        <v>56355</v>
      </c>
      <c r="BU1949"/>
      <c r="BV1949">
        <v>2718683</v>
      </c>
      <c r="BW1949" t="inlineStr">
        <is>
          <t>Follow Up : Lost - Free Portal</t>
        </is>
      </c>
      <c r="BX1949"/>
      <c r="BY1949"/>
      <c r="BZ1949" s="4"/>
      <c r="CA1949"/>
      <c r="CB1949"/>
      <c r="CC1949" s="4"/>
      <c r="CD1949" t="inlineStr">
        <is>
          <t>20</t>
        </is>
      </c>
      <c r="CE1949" t="inlineStr">
        <is>
          <t>0</t>
        </is>
      </c>
      <c r="CF1949" t="inlineStr">
        <is>
          <t>Q2-W02</t>
        </is>
      </c>
      <c r="CG1949"/>
      <c r="CH1949"/>
      <c r="CI1949"/>
      <c r="CJ1949" t="inlineStr">
        <is>
          <t>Paid</t>
        </is>
      </c>
      <c r="CK1949" t="inlineStr">
        <is>
          <t>Not Eligible</t>
        </is>
      </c>
      <c r="CL1949"/>
      <c r="CM1949"/>
    </row>
    <row r="1950" ht="25.5" customHeight="1">
      <c r="A1950" t="inlineStr">
        <is>
          <t>203281</t>
        </is>
      </c>
      <c r="B1950" s="2"/>
      <c r="C1950"/>
      <c r="D1950" s="3">
        <v>46127.729375</v>
      </c>
      <c r="E1950" t="inlineStr">
        <is>
          <t>Q2-W02</t>
        </is>
      </c>
      <c r="F1950" t="inlineStr">
        <is>
          <t>Clover</t>
        </is>
      </c>
      <c r="G1950" t="inlineStr">
        <is>
          <t>Customer</t>
        </is>
      </c>
      <c r="H1950" s="2" t="str">
        <f>=HYPERLINK("https://upbox.ajobthing.my/customer/203281", "https://upbox.ajobthing.my/customer/203281")</f>
        <v>https://upbox.ajobthing.my/customer/203281</v>
      </c>
      <c r="I1950" t="inlineStr">
        <is>
          <t>KLINIK PERGIGIAN JJ MESRA</t>
        </is>
      </c>
      <c r="J1950" t="inlineStr">
        <is>
          <t>Small Fish</t>
        </is>
      </c>
      <c r="K1950" t="inlineStr">
        <is>
          <t>Clover</t>
        </is>
      </c>
      <c r="L1950" s="4"/>
      <c r="M1950" s="4">
        <v>46127.72960648148</v>
      </c>
      <c r="N1950"/>
      <c r="O1950">
        <v>3888</v>
      </c>
      <c r="P1950" s="4"/>
      <c r="Q1950" s="4"/>
      <c r="R1950"/>
      <c r="S1950"/>
      <c r="T1950" s="4"/>
      <c r="U1950" s="4"/>
      <c r="V1950"/>
      <c r="W1950"/>
      <c r="X1950"/>
      <c r="Y1950" t="inlineStr">
        <is>
          <t>Pending Appointment</t>
        </is>
      </c>
      <c r="Z1950" t="inlineStr">
        <is>
          <t>Hiring Now</t>
        </is>
      </c>
      <c r="AA1950">
        <v>1</v>
      </c>
      <c r="AB1950" t="inlineStr">
        <is>
          <t>No Appointment Made</t>
        </is>
      </c>
      <c r="AC1950"/>
      <c r="AD1950" t="inlineStr">
        <is>
          <t>Hire dental surgery assistant x1, min 1 year exp, penang, budget concern ala carte expensive</t>
        </is>
      </c>
      <c r="AE1950"/>
      <c r="AF1950">
        <v>3000</v>
      </c>
      <c r="AG1950" s="4"/>
      <c r="AH1950" s="4"/>
      <c r="AI1950">
        <v>3000</v>
      </c>
      <c r="AJ1950">
        <v>1</v>
      </c>
      <c r="AK1950" t="inlineStr">
        <is>
          <t>No, but I want in future</t>
        </is>
      </c>
      <c r="AL1950">
        <v>1</v>
      </c>
      <c r="AM1950" t="inlineStr">
        <is>
          <t>No, but I want in future</t>
        </is>
      </c>
      <c r="AN1950"/>
      <c r="AO1950" t="inlineStr">
        <is>
          <t>No, but I want in future</t>
        </is>
      </c>
      <c r="AP1950" t="inlineStr">
        <is>
          <t>Twice a year (50%)</t>
        </is>
      </c>
      <c r="AQ1950">
        <v>1</v>
      </c>
      <c r="AR1950" t="inlineStr">
        <is>
          <t>Did not use any job portal</t>
        </is>
      </c>
      <c r="AS1950" t="inlineStr">
        <is>
          <t>- Headcount: 1
- Hiring Job Details: 1 dental surgery assistant (min 1 year exp, Penang, budget concern, ala carte expensive)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is>
      </c>
      <c r="AT1950">
        <v>115</v>
      </c>
      <c r="AU1950" t="inlineStr">
        <is>
          <t>1.15</t>
        </is>
      </c>
      <c r="AV1950" t="inlineStr">
        <is>
          <t>15</t>
        </is>
      </c>
      <c r="AW1950" t="inlineStr">
        <is>
          <t>0</t>
        </is>
      </c>
      <c r="AX1950" t="inlineStr">
        <is>
          <t>Not Qualified</t>
        </is>
      </c>
      <c r="AY1950" s="4"/>
      <c r="AZ1950"/>
      <c r="BA1950"/>
      <c r="BB1950"/>
      <c r="BC1950" t="inlineStr">
        <is>
          <t>npu, wa fu</t>
        </is>
      </c>
      <c r="BD1950" s="4">
        <v>46136.77880787037</v>
      </c>
      <c r="BE1950"/>
      <c r="BF1950"/>
      <c r="BG1950" t="inlineStr">
        <is>
          <t>Reschedule</t>
        </is>
      </c>
      <c r="BH1950" t="inlineStr">
        <is>
          <t>Reagen</t>
        </is>
      </c>
      <c r="BI1950"/>
      <c r="BJ1950" s="4">
        <v>46144.754282407404</v>
      </c>
      <c r="BK1950" s="4">
        <v>46127.72530092593</v>
      </c>
      <c r="BL1950" t="inlineStr">
        <is>
          <t>0.0</t>
        </is>
      </c>
      <c r="BM1950" t="inlineStr">
        <is>
          <t>0.0</t>
        </is>
      </c>
      <c r="BN1950"/>
      <c r="BO1950" s="4"/>
      <c r="BP1950">
        <v>167258</v>
      </c>
      <c r="BQ1950"/>
      <c r="BR1950"/>
      <c r="BS1950"/>
      <c r="BT1950"/>
      <c r="BU1950"/>
      <c r="BV1950">
        <v>2727572</v>
      </c>
      <c r="BW1950" t="inlineStr">
        <is>
          <t>No Answer : Voicemail - WA sent to customer</t>
        </is>
      </c>
      <c r="BX1950"/>
      <c r="BY1950"/>
      <c r="BZ1950" s="4"/>
      <c r="CA1950"/>
      <c r="CB1950"/>
      <c r="CC1950" s="4"/>
      <c r="CD1950" t="inlineStr">
        <is>
          <t>20</t>
        </is>
      </c>
      <c r="CE1950" t="inlineStr">
        <is>
          <t>0</t>
        </is>
      </c>
      <c r="CF1950" t="inlineStr">
        <is>
          <t>Q2-W02</t>
        </is>
      </c>
      <c r="CG1950"/>
      <c r="CH1950"/>
      <c r="CI1950"/>
      <c r="CJ1950" t="inlineStr">
        <is>
          <t>No Paid</t>
        </is>
      </c>
      <c r="CK1950" t="inlineStr">
        <is>
          <t>Not Eligible</t>
        </is>
      </c>
      <c r="CL1950"/>
      <c r="CM1950"/>
    </row>
    <row r="1951" ht="25.5" customHeight="1">
      <c r="A1951" t="inlineStr">
        <is>
          <t>4286068</t>
        </is>
      </c>
      <c r="B1951" s="2"/>
      <c r="C1951"/>
      <c r="D1951" s="3">
        <v>46127.73380787037</v>
      </c>
      <c r="E1951" t="inlineStr">
        <is>
          <t>Q2-W02</t>
        </is>
      </c>
      <c r="F1951" t="inlineStr">
        <is>
          <t>Dickson</t>
        </is>
      </c>
      <c r="G1951" t="inlineStr">
        <is>
          <t>Lead</t>
        </is>
      </c>
      <c r="H1951" s="2" t="str">
        <f>=HYPERLINK("https://upbox.ajobthing.my/leads/4286068", "https://upbox.ajobthing.my/leads/4286068")</f>
        <v>https://upbox.ajobthing.my/leads/4286068</v>
      </c>
      <c r="I1951" t="inlineStr">
        <is>
          <t>SEA DRONE TECH</t>
        </is>
      </c>
      <c r="J1951" t="inlineStr">
        <is>
          <t>Small Fish</t>
        </is>
      </c>
      <c r="K1951" t="inlineStr">
        <is>
          <t>Dickson</t>
        </is>
      </c>
      <c r="L1951" s="4"/>
      <c r="M1951" s="4">
        <v>46127.73596064815</v>
      </c>
      <c r="N1951"/>
      <c r="O1951">
        <v>1296</v>
      </c>
      <c r="P1951" s="4"/>
      <c r="Q1951" s="4"/>
      <c r="R1951"/>
      <c r="S1951"/>
      <c r="T1951" s="4"/>
      <c r="U1951" s="4"/>
      <c r="V1951"/>
      <c r="W1951"/>
      <c r="X1951"/>
      <c r="Y1951" t="inlineStr">
        <is>
          <t>Pending Appointment</t>
        </is>
      </c>
      <c r="Z1951" t="inlineStr">
        <is>
          <t>Hiring Now</t>
        </is>
      </c>
      <c r="AA1951">
        <v>1</v>
      </c>
      <c r="AB1951" t="inlineStr">
        <is>
          <t>No Appointment Made</t>
        </is>
      </c>
      <c r="AC1951"/>
      <c r="AD1951" t="inlineStr">
        <is>
          <t>1 senior accountant executive</t>
        </is>
      </c>
      <c r="AE1951"/>
      <c r="AF1951"/>
      <c r="AG1951" s="4"/>
      <c r="AH1951" s="4"/>
      <c r="AI1951"/>
      <c r="AJ1951">
        <v>1</v>
      </c>
      <c r="AK1951" t="inlineStr">
        <is>
          <t>No, I don't need at all</t>
        </is>
      </c>
      <c r="AL1951"/>
      <c r="AM1951" t="inlineStr">
        <is>
          <t>No, I don't need at all</t>
        </is>
      </c>
      <c r="AN1951"/>
      <c r="AO1951" t="inlineStr">
        <is>
          <t>No, I don't need at all</t>
        </is>
      </c>
      <c r="AP1951" t="inlineStr">
        <is>
          <t>Once per quarter (75%)</t>
        </is>
      </c>
      <c r="AQ1951"/>
      <c r="AR1951"/>
      <c r="AS1951" t="inlineStr">
        <is>
          <t>- Headcount: 1 (1 senior accountant executive)
- Hiring Job Details: 1 senior accountant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1951">
        <v>95</v>
      </c>
      <c r="AU1951" t="inlineStr">
        <is>
          <t>0.95</t>
        </is>
      </c>
      <c r="AV1951" t="inlineStr">
        <is>
          <t>5</t>
        </is>
      </c>
      <c r="AW1951" t="inlineStr">
        <is>
          <t>0</t>
        </is>
      </c>
      <c r="AX1951" t="inlineStr">
        <is>
          <t>Not Qualified</t>
        </is>
      </c>
      <c r="AY1951" s="4"/>
      <c r="AZ1951"/>
      <c r="BA1951"/>
      <c r="BB1951"/>
      <c r="BC1951"/>
      <c r="BD1951" s="4"/>
      <c r="BE1951"/>
      <c r="BF1951"/>
      <c r="BG1951" t="inlineStr">
        <is>
          <t>Reschedule</t>
        </is>
      </c>
      <c r="BH1951" t="inlineStr">
        <is>
          <t>Edward Hoo</t>
        </is>
      </c>
      <c r="BI1951"/>
      <c r="BJ1951" s="4">
        <v>46144.755833333336</v>
      </c>
      <c r="BK1951" s="4">
        <v>46127.70596064815</v>
      </c>
      <c r="BL1951" t="inlineStr">
        <is>
          <t>0.0</t>
        </is>
      </c>
      <c r="BM1951" t="inlineStr">
        <is>
          <t>0.0</t>
        </is>
      </c>
      <c r="BN1951"/>
      <c r="BO1951" s="4"/>
      <c r="BP1951">
        <v>167259</v>
      </c>
      <c r="BQ1951"/>
      <c r="BR1951"/>
      <c r="BS1951"/>
      <c r="BT1951"/>
      <c r="BU1951"/>
      <c r="BV1951"/>
      <c r="BW1951"/>
      <c r="BX1951"/>
      <c r="BY1951"/>
      <c r="BZ1951" s="4"/>
      <c r="CA1951"/>
      <c r="CB1951"/>
      <c r="CC1951" s="4"/>
      <c r="CD1951" t="inlineStr">
        <is>
          <t>5</t>
        </is>
      </c>
      <c r="CE1951" t="inlineStr">
        <is>
          <t>0</t>
        </is>
      </c>
      <c r="CF1951" t="inlineStr">
        <is>
          <t>Q2-W02</t>
        </is>
      </c>
      <c r="CG1951"/>
      <c r="CH1951"/>
      <c r="CI1951"/>
      <c r="CJ1951" t="inlineStr">
        <is>
          <t>No Paid</t>
        </is>
      </c>
      <c r="CK1951" t="inlineStr">
        <is>
          <t>Not Eligible</t>
        </is>
      </c>
      <c r="CL1951"/>
      <c r="CM1951"/>
    </row>
    <row r="1952" ht="25.5" customHeight="1">
      <c r="A1952" t="inlineStr">
        <is>
          <t>164989</t>
        </is>
      </c>
      <c r="B1952" s="2"/>
      <c r="C1952"/>
      <c r="D1952" s="3">
        <v>46127.74244212963</v>
      </c>
      <c r="E1952" t="inlineStr">
        <is>
          <t>Q2-W02</t>
        </is>
      </c>
      <c r="F1952" t="inlineStr">
        <is>
          <t>Xin Hui</t>
        </is>
      </c>
      <c r="G1952" t="inlineStr">
        <is>
          <t>Customer</t>
        </is>
      </c>
      <c r="H1952" s="2" t="str">
        <f>=HYPERLINK("https://upbox.ajobthing.my/customer/164989", "https://upbox.ajobthing.my/customer/164989")</f>
        <v>https://upbox.ajobthing.my/customer/164989</v>
      </c>
      <c r="I1952" t="inlineStr">
        <is>
          <t>Pusat Tuisyen Sri Iman Sdn Bhd</t>
        </is>
      </c>
      <c r="J1952" t="inlineStr">
        <is>
          <t>Small Fish</t>
        </is>
      </c>
      <c r="K1952" t="inlineStr">
        <is>
          <t>Xin Hui</t>
        </is>
      </c>
      <c r="L1952" s="4"/>
      <c r="M1952" s="4">
        <v>46127.73856481481</v>
      </c>
      <c r="N1952"/>
      <c r="O1952">
        <v>3888</v>
      </c>
      <c r="P1952" s="4"/>
      <c r="Q1952" s="4">
        <v>44987.48417824074</v>
      </c>
      <c r="R1952"/>
      <c r="S1952">
        <v>742</v>
      </c>
      <c r="T1952" s="4">
        <v>44987.48417824074</v>
      </c>
      <c r="U1952" s="4"/>
      <c r="V1952"/>
      <c r="W1952">
        <v>742</v>
      </c>
      <c r="X1952"/>
      <c r="Y1952" t="inlineStr">
        <is>
          <t>Pending Appointment</t>
        </is>
      </c>
      <c r="Z1952" t="inlineStr">
        <is>
          <t>Hiring Now</t>
        </is>
      </c>
      <c r="AA1952">
        <v>2</v>
      </c>
      <c r="AB1952" t="inlineStr">
        <is>
          <t>No Appointment Made</t>
        </is>
      </c>
      <c r="AC1952"/>
      <c r="AD1952" t="inlineStr">
        <is>
          <t>2 teachers</t>
        </is>
      </c>
      <c r="AE1952"/>
      <c r="AF1952"/>
      <c r="AG1952" s="4"/>
      <c r="AH1952" s="4"/>
      <c r="AI1952"/>
      <c r="AJ1952"/>
      <c r="AK1952" t="inlineStr">
        <is>
          <t>No, I don't need at all</t>
        </is>
      </c>
      <c r="AL1952"/>
      <c r="AM1952" t="inlineStr">
        <is>
          <t>No, I don't need at all</t>
        </is>
      </c>
      <c r="AN1952"/>
      <c r="AO1952" t="inlineStr">
        <is>
          <t>No, I don't need at all</t>
        </is>
      </c>
      <c r="AP1952" t="inlineStr">
        <is>
          <t>Once a year (25%)</t>
        </is>
      </c>
      <c r="AQ1952"/>
      <c r="AR1952" t="inlineStr">
        <is>
          <t>Jobstreet, Indeed (Paid)</t>
        </is>
      </c>
      <c r="AS1952" t="inlineStr">
        <is>
          <t>- Headcount: 2
- Hiring Job Details: 2 teachers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a year (25%)
- External job portal: Jobstreet,Indeed (Paid)</t>
        </is>
      </c>
      <c r="AT1952">
        <v>95</v>
      </c>
      <c r="AU1952" t="inlineStr">
        <is>
          <t>0.95</t>
        </is>
      </c>
      <c r="AV1952" t="inlineStr">
        <is>
          <t>5</t>
        </is>
      </c>
      <c r="AW1952" t="inlineStr">
        <is>
          <t>0</t>
        </is>
      </c>
      <c r="AX1952" t="inlineStr">
        <is>
          <t>Not Qualified</t>
        </is>
      </c>
      <c r="AY1952" s="4"/>
      <c r="AZ1952"/>
      <c r="BA1952"/>
      <c r="BB1952"/>
      <c r="BC1952" t="inlineStr">
        <is>
          <t>peggy on leave, need call back next monday</t>
        </is>
      </c>
      <c r="BD1952" s="4">
        <v>46135.49303240741</v>
      </c>
      <c r="BE1952" t="inlineStr">
        <is>
          <t>paid</t>
        </is>
      </c>
      <c r="BF1952"/>
      <c r="BG1952" t="inlineStr">
        <is>
          <t>Reschedule</t>
        </is>
      </c>
      <c r="BH1952" t="inlineStr">
        <is>
          <t>Yee Hang</t>
        </is>
      </c>
      <c r="BI1952" t="inlineStr">
        <is>
          <t>Education / Training</t>
        </is>
      </c>
      <c r="BJ1952" s="4">
        <v>46144.751226851855</v>
      </c>
      <c r="BK1952" s="4">
        <v>44987.46444444444</v>
      </c>
      <c r="BL1952" t="inlineStr">
        <is>
          <t>0.0</t>
        </is>
      </c>
      <c r="BM1952" t="inlineStr">
        <is>
          <t>0.0</t>
        </is>
      </c>
      <c r="BN1952" t="inlineStr">
        <is>
          <t>View Jobmanager Page</t>
        </is>
      </c>
      <c r="BO1952" s="4">
        <v>45807.457037037035</v>
      </c>
      <c r="BP1952">
        <v>167260</v>
      </c>
      <c r="BQ1952">
        <v>56162</v>
      </c>
      <c r="BR1952" t="inlineStr">
        <is>
          <t>Online</t>
        </is>
      </c>
      <c r="BS1952"/>
      <c r="BT1952">
        <v>56162</v>
      </c>
      <c r="BU1952"/>
      <c r="BV1952">
        <v>2722947</v>
      </c>
      <c r="BW1952" t="inlineStr">
        <is>
          <t>Follow Up : Decision Pending</t>
        </is>
      </c>
      <c r="BX1952"/>
      <c r="BY1952"/>
      <c r="BZ1952" s="4"/>
      <c r="CA1952"/>
      <c r="CB1952"/>
      <c r="CC1952" s="4"/>
      <c r="CD1952" t="inlineStr">
        <is>
          <t>5</t>
        </is>
      </c>
      <c r="CE1952" t="inlineStr">
        <is>
          <t>0</t>
        </is>
      </c>
      <c r="CF1952" t="inlineStr">
        <is>
          <t>Q2-W02</t>
        </is>
      </c>
      <c r="CG1952"/>
      <c r="CH1952"/>
      <c r="CI1952"/>
      <c r="CJ1952" t="inlineStr">
        <is>
          <t>Paid</t>
        </is>
      </c>
      <c r="CK1952" t="inlineStr">
        <is>
          <t>Not Eligible</t>
        </is>
      </c>
      <c r="CL1952"/>
      <c r="CM1952"/>
    </row>
    <row r="1953" ht="25.5" customHeight="1">
      <c r="A1953" t="inlineStr">
        <is>
          <t>201542</t>
        </is>
      </c>
      <c r="B1953" s="2"/>
      <c r="C1953"/>
      <c r="D1953" s="3">
        <v>46127.745300925926</v>
      </c>
      <c r="E1953" t="inlineStr">
        <is>
          <t>Q2-W02</t>
        </is>
      </c>
      <c r="F1953" t="inlineStr">
        <is>
          <t>Janice Yap</t>
        </is>
      </c>
      <c r="G1953" t="inlineStr">
        <is>
          <t>Customer</t>
        </is>
      </c>
      <c r="H1953" s="2" t="str">
        <f>=HYPERLINK("https://upbox.ajobthing.my/customer/201542", "https://upbox.ajobthing.my/customer/201542")</f>
        <v>https://upbox.ajobthing.my/customer/201542</v>
      </c>
      <c r="I1953" t="inlineStr">
        <is>
          <t>DK Speed Autoworld (M) Sdn. Bhd.</t>
        </is>
      </c>
      <c r="J1953" t="inlineStr">
        <is>
          <t>Small Fish</t>
        </is>
      </c>
      <c r="K1953" t="inlineStr">
        <is>
          <t>Janice</t>
        </is>
      </c>
      <c r="L1953" s="4"/>
      <c r="M1953" s="4">
        <v>46127.7440625</v>
      </c>
      <c r="N1953"/>
      <c r="O1953">
        <v>6048</v>
      </c>
      <c r="P1953" s="4"/>
      <c r="Q1953" s="4"/>
      <c r="R1953"/>
      <c r="S1953"/>
      <c r="T1953" s="4"/>
      <c r="U1953" s="4"/>
      <c r="V1953"/>
      <c r="W1953"/>
      <c r="X1953"/>
      <c r="Y1953" t="inlineStr">
        <is>
          <t>Pending Appointment</t>
        </is>
      </c>
      <c r="Z1953" t="inlineStr">
        <is>
          <t>Hiring Now</t>
        </is>
      </c>
      <c r="AA1953">
        <v>3</v>
      </c>
      <c r="AB1953" t="inlineStr">
        <is>
          <t>No Appointment Made</t>
        </is>
      </c>
      <c r="AC1953"/>
      <c r="AD1953" t="inlineStr">
        <is>
          <t>2 admin // 1 operation assist</t>
        </is>
      </c>
      <c r="AE1953"/>
      <c r="AF1953">
        <v>0</v>
      </c>
      <c r="AG1953" s="4"/>
      <c r="AH1953" s="4"/>
      <c r="AI1953">
        <v>0</v>
      </c>
      <c r="AJ1953"/>
      <c r="AK1953" t="inlineStr">
        <is>
          <t>No, I don't need at all</t>
        </is>
      </c>
      <c r="AL1953">
        <v>0</v>
      </c>
      <c r="AM1953" t="inlineStr">
        <is>
          <t>No, I don't need at all</t>
        </is>
      </c>
      <c r="AN1953"/>
      <c r="AO1953" t="inlineStr">
        <is>
          <t>No, I don't need at all</t>
        </is>
      </c>
      <c r="AP1953" t="inlineStr">
        <is>
          <t>Once a year (25%)</t>
        </is>
      </c>
      <c r="AQ1953">
        <v>3</v>
      </c>
      <c r="AR1953"/>
      <c r="AS1953" t="inlineStr">
        <is>
          <t>- Headcount: 3
- Hiring Job Details: 2 admin // 1 operation assist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Not provided</t>
        </is>
      </c>
      <c r="AT1953">
        <v>100</v>
      </c>
      <c r="AU1953" t="inlineStr">
        <is>
          <t>1.00</t>
        </is>
      </c>
      <c r="AV1953" t="inlineStr">
        <is>
          <t>15</t>
        </is>
      </c>
      <c r="AW1953" t="inlineStr">
        <is>
          <t>0</t>
        </is>
      </c>
      <c r="AX1953" t="inlineStr">
        <is>
          <t>Not Qualified</t>
        </is>
      </c>
      <c r="AY1953" s="4"/>
      <c r="AZ1953"/>
      <c r="BA1953"/>
      <c r="BB1953"/>
      <c r="BC1953" t="inlineStr">
        <is>
          <t>Posted my future job and JS // got hired candidates // not interested post on AJT</t>
        </is>
      </c>
      <c r="BD1953" s="4">
        <v>46132.645949074074</v>
      </c>
      <c r="BE1953"/>
      <c r="BF1953"/>
      <c r="BG1953" t="inlineStr">
        <is>
          <t>Reschedule</t>
        </is>
      </c>
      <c r="BH1953" t="inlineStr">
        <is>
          <t>Yee Hang</t>
        </is>
      </c>
      <c r="BI1953" t="inlineStr">
        <is>
          <t>Automobile / Automotive</t>
        </is>
      </c>
      <c r="BJ1953" s="4">
        <v>46144.75380787037</v>
      </c>
      <c r="BK1953" s="4">
        <v>46081.564305555556</v>
      </c>
      <c r="BL1953" t="inlineStr">
        <is>
          <t>0.0</t>
        </is>
      </c>
      <c r="BM1953" t="inlineStr">
        <is>
          <t>0.0</t>
        </is>
      </c>
      <c r="BN1953" t="inlineStr">
        <is>
          <t>User Visit(Logged In)</t>
        </is>
      </c>
      <c r="BO1953" s="4">
        <v>46084.29445601852</v>
      </c>
      <c r="BP1953">
        <v>167261</v>
      </c>
      <c r="BQ1953"/>
      <c r="BR1953"/>
      <c r="BS1953"/>
      <c r="BT1953"/>
      <c r="BU1953"/>
      <c r="BV1953">
        <v>2716034</v>
      </c>
      <c r="BW1953" t="inlineStr">
        <is>
          <t>Follow Up : Lost - Free Portal</t>
        </is>
      </c>
      <c r="BX1953"/>
      <c r="BY1953"/>
      <c r="BZ1953" s="4"/>
      <c r="CA1953"/>
      <c r="CB1953"/>
      <c r="CC1953" s="4"/>
      <c r="CD1953" t="inlineStr">
        <is>
          <t>20</t>
        </is>
      </c>
      <c r="CE1953" t="inlineStr">
        <is>
          <t>0</t>
        </is>
      </c>
      <c r="CF1953" t="inlineStr">
        <is>
          <t>Q2-W02</t>
        </is>
      </c>
      <c r="CG1953"/>
      <c r="CH1953"/>
      <c r="CI1953"/>
      <c r="CJ1953" t="inlineStr">
        <is>
          <t>No Paid</t>
        </is>
      </c>
      <c r="CK1953" t="inlineStr">
        <is>
          <t>Not Eligible</t>
        </is>
      </c>
      <c r="CL1953"/>
      <c r="CM1953"/>
    </row>
    <row r="1954" ht="25.5" customHeight="1">
      <c r="A1954" t="inlineStr">
        <is>
          <t>183104</t>
        </is>
      </c>
      <c r="B1954" s="2"/>
      <c r="C1954"/>
      <c r="D1954" s="3">
        <v>46127.75241898148</v>
      </c>
      <c r="E1954" t="inlineStr">
        <is>
          <t>Q2-W02</t>
        </is>
      </c>
      <c r="F1954" t="inlineStr">
        <is>
          <t>Dickson</t>
        </is>
      </c>
      <c r="G1954" t="inlineStr">
        <is>
          <t>Customer</t>
        </is>
      </c>
      <c r="H1954" s="2" t="str">
        <f>=HYPERLINK("https://upbox.ajobthing.my/customer/183104", "https://upbox.ajobthing.my/customer/183104")</f>
        <v>https://upbox.ajobthing.my/customer/183104</v>
      </c>
      <c r="I1954" t="inlineStr">
        <is>
          <t>Tan Management Services</t>
        </is>
      </c>
      <c r="J1954" t="inlineStr">
        <is>
          <t>Small Fish</t>
        </is>
      </c>
      <c r="K1954" t="inlineStr">
        <is>
          <t>Dickson</t>
        </is>
      </c>
      <c r="L1954" s="4"/>
      <c r="M1954" s="4">
        <v>46127.752650462964</v>
      </c>
      <c r="N1954"/>
      <c r="O1954">
        <v>3888</v>
      </c>
      <c r="P1954" s="4"/>
      <c r="Q1954" s="4"/>
      <c r="R1954"/>
      <c r="S1954"/>
      <c r="T1954" s="4"/>
      <c r="U1954" s="4"/>
      <c r="V1954"/>
      <c r="W1954"/>
      <c r="X1954"/>
      <c r="Y1954" t="inlineStr">
        <is>
          <t>Pending Appointment</t>
        </is>
      </c>
      <c r="Z1954" t="inlineStr">
        <is>
          <t>Hiring Now</t>
        </is>
      </c>
      <c r="AA1954">
        <v>3</v>
      </c>
      <c r="AB1954" t="inlineStr">
        <is>
          <t>No Appointment Made</t>
        </is>
      </c>
      <c r="AC1954"/>
      <c r="AD1954" t="inlineStr">
        <is>
          <t>1 accountant executive and 2 other positions</t>
        </is>
      </c>
      <c r="AE1954"/>
      <c r="AF1954"/>
      <c r="AG1954" s="4"/>
      <c r="AH1954" s="4"/>
      <c r="AI1954"/>
      <c r="AJ1954">
        <v>1</v>
      </c>
      <c r="AK1954" t="inlineStr">
        <is>
          <t>No, I don't need at all</t>
        </is>
      </c>
      <c r="AL1954"/>
      <c r="AM1954" t="inlineStr">
        <is>
          <t>No, I don't need at all</t>
        </is>
      </c>
      <c r="AN1954"/>
      <c r="AO1954" t="inlineStr">
        <is>
          <t>No, I don't need at all</t>
        </is>
      </c>
      <c r="AP1954" t="inlineStr">
        <is>
          <t>Once per quarter (75%)</t>
        </is>
      </c>
      <c r="AQ1954"/>
      <c r="AR1954" t="inlineStr">
        <is>
          <t>Jobstreet</t>
        </is>
      </c>
      <c r="AS1954" t="inlineStr">
        <is>
          <t>- Headcount: 3
- Hiring Job Details: 1 accountant executive and 2 other positions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1954">
        <v>95</v>
      </c>
      <c r="AU1954" t="inlineStr">
        <is>
          <t>0.95</t>
        </is>
      </c>
      <c r="AV1954" t="inlineStr">
        <is>
          <t>5</t>
        </is>
      </c>
      <c r="AW1954" t="inlineStr">
        <is>
          <t>0</t>
        </is>
      </c>
      <c r="AX1954" t="inlineStr">
        <is>
          <t>Not Qualified</t>
        </is>
      </c>
      <c r="AY1954" s="4"/>
      <c r="AZ1954"/>
      <c r="BA1954"/>
      <c r="BB1954"/>
      <c r="BC1954" t="inlineStr">
        <is>
          <t>no response</t>
        </is>
      </c>
      <c r="BD1954" s="4">
        <v>46129.67596064815</v>
      </c>
      <c r="BE1954"/>
      <c r="BF1954"/>
      <c r="BG1954" t="inlineStr">
        <is>
          <t>Reschedule</t>
        </is>
      </c>
      <c r="BH1954" t="inlineStr">
        <is>
          <t>Edward Hoo</t>
        </is>
      </c>
      <c r="BI1954" t="inlineStr">
        <is>
          <t>Accounting / Tax Services</t>
        </is>
      </c>
      <c r="BJ1954" s="4">
        <v>46144.75194444445</v>
      </c>
      <c r="BK1954" s="4">
        <v>45561.414618055554</v>
      </c>
      <c r="BL1954" t="inlineStr">
        <is>
          <t>0.0</t>
        </is>
      </c>
      <c r="BM1954" t="inlineStr">
        <is>
          <t>0.0</t>
        </is>
      </c>
      <c r="BN1954" t="inlineStr">
        <is>
          <t>View Company Page</t>
        </is>
      </c>
      <c r="BO1954" s="4">
        <v>45561.43472222222</v>
      </c>
      <c r="BP1954">
        <v>167267</v>
      </c>
      <c r="BQ1954"/>
      <c r="BR1954"/>
      <c r="BS1954"/>
      <c r="BT1954"/>
      <c r="BU1954"/>
      <c r="BV1954">
        <v>2712749</v>
      </c>
      <c r="BW1954" t="inlineStr">
        <is>
          <t>No Answer : Voicemail - WA sent to customer</t>
        </is>
      </c>
      <c r="BX1954"/>
      <c r="BY1954"/>
      <c r="BZ1954" s="4"/>
      <c r="CA1954"/>
      <c r="CB1954"/>
      <c r="CC1954" s="4"/>
      <c r="CD1954" t="inlineStr">
        <is>
          <t>5</t>
        </is>
      </c>
      <c r="CE1954" t="inlineStr">
        <is>
          <t>0</t>
        </is>
      </c>
      <c r="CF1954" t="inlineStr">
        <is>
          <t>Q2-W02</t>
        </is>
      </c>
      <c r="CG1954"/>
      <c r="CH1954"/>
      <c r="CI1954"/>
      <c r="CJ1954" t="inlineStr">
        <is>
          <t>No Paid</t>
        </is>
      </c>
      <c r="CK1954" t="inlineStr">
        <is>
          <t>Not Eligible</t>
        </is>
      </c>
      <c r="CL1954"/>
      <c r="CM1954"/>
    </row>
    <row r="1955" ht="25.5" customHeight="1">
      <c r="A1955" t="inlineStr">
        <is>
          <t>141671</t>
        </is>
      </c>
      <c r="B1955" s="2"/>
      <c r="C1955"/>
      <c r="D1955" s="3">
        <v>46127.762604166666</v>
      </c>
      <c r="E1955" t="inlineStr">
        <is>
          <t>Q2-W02</t>
        </is>
      </c>
      <c r="F1955" t="inlineStr">
        <is>
          <t>Dickson</t>
        </is>
      </c>
      <c r="G1955" t="inlineStr">
        <is>
          <t>Customer</t>
        </is>
      </c>
      <c r="H1955" s="2" t="str">
        <f>=HYPERLINK("https://upbox.ajobthing.my/customer/141671", "https://upbox.ajobthing.my/customer/141671")</f>
        <v>https://upbox.ajobthing.my/customer/141671</v>
      </c>
      <c r="I1955" t="inlineStr">
        <is>
          <t>CCH Metal Sdn Bhd</t>
        </is>
      </c>
      <c r="J1955" t="inlineStr">
        <is>
          <t>Small Fish</t>
        </is>
      </c>
      <c r="K1955" t="inlineStr">
        <is>
          <t>Dickson</t>
        </is>
      </c>
      <c r="L1955" s="4"/>
      <c r="M1955" s="4">
        <v>46127.762662037036</v>
      </c>
      <c r="N1955"/>
      <c r="O1955">
        <v>3888</v>
      </c>
      <c r="P1955" s="4"/>
      <c r="Q1955" s="4">
        <v>44476.25172453704</v>
      </c>
      <c r="R1955"/>
      <c r="S1955">
        <v>424</v>
      </c>
      <c r="T1955" s="4">
        <v>44476.00001157408</v>
      </c>
      <c r="U1955" s="4"/>
      <c r="V1955"/>
      <c r="W1955">
        <v>424</v>
      </c>
      <c r="X1955"/>
      <c r="Y1955" t="inlineStr">
        <is>
          <t>Pending Appointment</t>
        </is>
      </c>
      <c r="Z1955" t="inlineStr">
        <is>
          <t>Hiring Now</t>
        </is>
      </c>
      <c r="AA1955">
        <v>2</v>
      </c>
      <c r="AB1955" t="inlineStr">
        <is>
          <t>No Appointment Made</t>
        </is>
      </c>
      <c r="AC1955"/>
      <c r="AD1955" t="inlineStr">
        <is>
          <t xml:space="preserve">1 general clerk, 1 hr </t>
        </is>
      </c>
      <c r="AE1955"/>
      <c r="AF1955"/>
      <c r="AG1955" s="4"/>
      <c r="AH1955" s="4"/>
      <c r="AI1955"/>
      <c r="AJ1955">
        <v>1</v>
      </c>
      <c r="AK1955" t="inlineStr">
        <is>
          <t>No, I don't need at all</t>
        </is>
      </c>
      <c r="AL1955"/>
      <c r="AM1955" t="inlineStr">
        <is>
          <t>No, I don't need at all</t>
        </is>
      </c>
      <c r="AN1955"/>
      <c r="AO1955" t="inlineStr">
        <is>
          <t>No, I don't need at all</t>
        </is>
      </c>
      <c r="AP1955" t="inlineStr">
        <is>
          <t>Once per quarter (75%)</t>
        </is>
      </c>
      <c r="AQ1955"/>
      <c r="AR1955"/>
      <c r="AS1955" t="inlineStr">
        <is>
          <t>- Headcount: 2
- Hiring Job Details: 1 general clerk, 1 hr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1955">
        <v>95</v>
      </c>
      <c r="AU1955" t="inlineStr">
        <is>
          <t>0.95</t>
        </is>
      </c>
      <c r="AV1955" t="inlineStr">
        <is>
          <t>5</t>
        </is>
      </c>
      <c r="AW1955" t="inlineStr">
        <is>
          <t>0</t>
        </is>
      </c>
      <c r="AX1955" t="inlineStr">
        <is>
          <t>Not Qualified</t>
        </is>
      </c>
      <c r="AY1955" s="4"/>
      <c r="AZ1955"/>
      <c r="BA1955"/>
      <c r="BB1955"/>
      <c r="BC1955" t="inlineStr">
        <is>
          <t>dont wish to proceed
too expensive</t>
        </is>
      </c>
      <c r="BD1955" s="4">
        <v>46134.71037037037</v>
      </c>
      <c r="BE1955" t="inlineStr">
        <is>
          <t>paid</t>
        </is>
      </c>
      <c r="BF1955"/>
      <c r="BG1955" t="inlineStr">
        <is>
          <t>Reschedule</t>
        </is>
      </c>
      <c r="BH1955" t="inlineStr">
        <is>
          <t>Edward Hoo</t>
        </is>
      </c>
      <c r="BI1955"/>
      <c r="BJ1955" s="4">
        <v>46144.75067129629</v>
      </c>
      <c r="BK1955" s="4">
        <v>44474.41678240741</v>
      </c>
      <c r="BL1955" t="inlineStr">
        <is>
          <t>0.0</t>
        </is>
      </c>
      <c r="BM1955" t="inlineStr">
        <is>
          <t>600.0</t>
        </is>
      </c>
      <c r="BN1955" t="inlineStr">
        <is>
          <t>View Job Applicants Page</t>
        </is>
      </c>
      <c r="BO1955" s="4">
        <v>44497.74711805556</v>
      </c>
      <c r="BP1955">
        <v>167268</v>
      </c>
      <c r="BQ1955">
        <v>48607</v>
      </c>
      <c r="BR1955" t="inlineStr">
        <is>
          <t>Proforma</t>
        </is>
      </c>
      <c r="BS1955" t="inlineStr">
        <is>
          <t>A la carte</t>
        </is>
      </c>
      <c r="BT1955">
        <v>36152</v>
      </c>
      <c r="BU1955"/>
      <c r="BV1955">
        <v>2721699</v>
      </c>
      <c r="BW1955" t="inlineStr">
        <is>
          <t>Follow Up : Budget Concern</t>
        </is>
      </c>
      <c r="BX1955"/>
      <c r="BY1955"/>
      <c r="BZ1955" s="4"/>
      <c r="CA1955"/>
      <c r="CB1955"/>
      <c r="CC1955" s="4"/>
      <c r="CD1955" t="inlineStr">
        <is>
          <t>5</t>
        </is>
      </c>
      <c r="CE1955" t="inlineStr">
        <is>
          <t>0</t>
        </is>
      </c>
      <c r="CF1955" t="inlineStr">
        <is>
          <t>Q2-W02</t>
        </is>
      </c>
      <c r="CG1955"/>
      <c r="CH1955"/>
      <c r="CI1955"/>
      <c r="CJ1955" t="inlineStr">
        <is>
          <t>Paid</t>
        </is>
      </c>
      <c r="CK1955" t="inlineStr">
        <is>
          <t>Not Eligible</t>
        </is>
      </c>
      <c r="CL1955"/>
      <c r="CM1955"/>
    </row>
    <row r="1956" ht="25.5" customHeight="1">
      <c r="A1956" t="inlineStr">
        <is>
          <t>188189</t>
        </is>
      </c>
      <c r="B1956" s="2"/>
      <c r="C1956"/>
      <c r="D1956" s="3">
        <v>46128.4034375</v>
      </c>
      <c r="E1956" t="inlineStr">
        <is>
          <t>Q2-W02</t>
        </is>
      </c>
      <c r="F1956" t="inlineStr">
        <is>
          <t>Clover</t>
        </is>
      </c>
      <c r="G1956" t="inlineStr">
        <is>
          <t>Customer</t>
        </is>
      </c>
      <c r="H1956" s="2" t="str">
        <f>=HYPERLINK("https://upbox.ajobthing.my/customer/188189", "https://upbox.ajobthing.my/customer/188189")</f>
        <v>https://upbox.ajobthing.my/customer/188189</v>
      </c>
      <c r="I1956" t="inlineStr">
        <is>
          <t>Epic Av Sdn Bhd</t>
        </is>
      </c>
      <c r="J1956" t="inlineStr">
        <is>
          <t>Small Fish</t>
        </is>
      </c>
      <c r="K1956" t="inlineStr">
        <is>
          <t>Clover</t>
        </is>
      </c>
      <c r="L1956" s="4"/>
      <c r="M1956" s="4">
        <v>46128.40373842593</v>
      </c>
      <c r="N1956"/>
      <c r="O1956">
        <v>6048</v>
      </c>
      <c r="P1956" s="4"/>
      <c r="Q1956" s="4">
        <v>46127.764085648145</v>
      </c>
      <c r="R1956"/>
      <c r="S1956">
        <v>0</v>
      </c>
      <c r="T1956" s="4"/>
      <c r="U1956" s="4"/>
      <c r="V1956"/>
      <c r="W1956"/>
      <c r="X1956"/>
      <c r="Y1956" t="inlineStr">
        <is>
          <t>Pending Appointment</t>
        </is>
      </c>
      <c r="Z1956" t="inlineStr">
        <is>
          <t>Hiring Now</t>
        </is>
      </c>
      <c r="AA1956">
        <v>2</v>
      </c>
      <c r="AB1956" t="inlineStr">
        <is>
          <t>No Appointment Made</t>
        </is>
      </c>
      <c r="AC1956"/>
      <c r="AD1956" t="inlineStr">
        <is>
          <t>Hire event crew x2 all races, event business, kota damansara, high TO, rushing time, maybe have future hirin</t>
        </is>
      </c>
      <c r="AE1956"/>
      <c r="AF1956">
        <v>3000</v>
      </c>
      <c r="AG1956" s="4"/>
      <c r="AH1956" s="4"/>
      <c r="AI1956">
        <v>3000</v>
      </c>
      <c r="AJ1956">
        <v>1</v>
      </c>
      <c r="AK1956" t="inlineStr">
        <is>
          <t>No, but I want in future</t>
        </is>
      </c>
      <c r="AL1956">
        <v>1</v>
      </c>
      <c r="AM1956" t="inlineStr">
        <is>
          <t>No, but I want in future</t>
        </is>
      </c>
      <c r="AN1956"/>
      <c r="AO1956" t="inlineStr">
        <is>
          <t>No, but I want in future</t>
        </is>
      </c>
      <c r="AP1956" t="inlineStr">
        <is>
          <t>Once per quarter (75%)</t>
        </is>
      </c>
      <c r="AQ1956">
        <v>2</v>
      </c>
      <c r="AR1956" t="inlineStr">
        <is>
          <t>Did not use any job portal</t>
        </is>
      </c>
      <c r="AS1956" t="inlineStr">
        <is>
          <t>- Headcount: 2
- Hiring Job Details: Hire event crew x2 all races, event business, kota damansara, high TO, rushing time, maybe have future hiring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 job portal</t>
        </is>
      </c>
      <c r="AT1956">
        <v>115</v>
      </c>
      <c r="AU1956" t="inlineStr">
        <is>
          <t>1.15</t>
        </is>
      </c>
      <c r="AV1956" t="inlineStr">
        <is>
          <t>15</t>
        </is>
      </c>
      <c r="AW1956" t="inlineStr">
        <is>
          <t>0</t>
        </is>
      </c>
      <c r="AX1956" t="inlineStr">
        <is>
          <t>Not Qualified</t>
        </is>
      </c>
      <c r="AY1956" s="4"/>
      <c r="AZ1956"/>
      <c r="BA1956"/>
      <c r="BB1956"/>
      <c r="BC1956" t="inlineStr">
        <is>
          <t>Call PIC 0173143405 Mr Leng , still considering</t>
        </is>
      </c>
      <c r="BD1956" s="4">
        <v>46133.75927083333</v>
      </c>
      <c r="BE1956" t="inlineStr">
        <is>
          <t>paid</t>
        </is>
      </c>
      <c r="BF1956"/>
      <c r="BG1956" t="inlineStr">
        <is>
          <t>Reschedule</t>
        </is>
      </c>
      <c r="BH1956" t="inlineStr">
        <is>
          <t>Reagen</t>
        </is>
      </c>
      <c r="BI1956" t="inlineStr">
        <is>
          <t>Exhibitions / Event Mgmt</t>
        </is>
      </c>
      <c r="BJ1956" s="4">
        <v>46144.752222222225</v>
      </c>
      <c r="BK1956" s="4">
        <v>45714.598449074074</v>
      </c>
      <c r="BL1956" t="inlineStr">
        <is>
          <t>0.0</t>
        </is>
      </c>
      <c r="BM1956" t="inlineStr">
        <is>
          <t>0.0</t>
        </is>
      </c>
      <c r="BN1956" t="inlineStr">
        <is>
          <t>View Company Page</t>
        </is>
      </c>
      <c r="BO1956" s="4">
        <v>46129.37640046296</v>
      </c>
      <c r="BP1956">
        <v>167281</v>
      </c>
      <c r="BQ1956">
        <v>122596</v>
      </c>
      <c r="BR1956" t="inlineStr">
        <is>
          <t>Proforma</t>
        </is>
      </c>
      <c r="BS1956" t="inlineStr">
        <is>
          <t>Free High Pay Job</t>
        </is>
      </c>
      <c r="BT1956"/>
      <c r="BU1956"/>
      <c r="BV1956">
        <v>2719234</v>
      </c>
      <c r="BW1956" t="inlineStr">
        <is>
          <t>Follow Up : Decision Pending</t>
        </is>
      </c>
      <c r="BX1956"/>
      <c r="BY1956"/>
      <c r="BZ1956" s="4"/>
      <c r="CA1956"/>
      <c r="CB1956"/>
      <c r="CC1956" s="4"/>
      <c r="CD1956" t="inlineStr">
        <is>
          <t>20</t>
        </is>
      </c>
      <c r="CE1956" t="inlineStr">
        <is>
          <t>0</t>
        </is>
      </c>
      <c r="CF1956" t="inlineStr">
        <is>
          <t>Q2-W02</t>
        </is>
      </c>
      <c r="CG1956" t="inlineStr">
        <is>
          <t>Q2-W02</t>
        </is>
      </c>
      <c r="CH1956"/>
      <c r="CI1956"/>
      <c r="CJ1956" t="inlineStr">
        <is>
          <t>No Paid</t>
        </is>
      </c>
      <c r="CK1956" t="inlineStr">
        <is>
          <t>Not Eligible</t>
        </is>
      </c>
      <c r="CL1956"/>
      <c r="CM1956"/>
    </row>
    <row r="1957" ht="25.5" customHeight="1">
      <c r="A1957" t="inlineStr">
        <is>
          <t>4287176</t>
        </is>
      </c>
      <c r="B1957" s="2"/>
      <c r="C1957"/>
      <c r="D1957" s="3">
        <v>46128.40621527778</v>
      </c>
      <c r="E1957" t="inlineStr">
        <is>
          <t>Q2-W02</t>
        </is>
      </c>
      <c r="F1957" t="inlineStr">
        <is>
          <t>Luqman</t>
        </is>
      </c>
      <c r="G1957" t="inlineStr">
        <is>
          <t>Lead</t>
        </is>
      </c>
      <c r="H1957" s="2" t="str">
        <f>=HYPERLINK("https://upbox.ajobthing.my/leads/4287176", "https://upbox.ajobthing.my/leads/4287176")</f>
        <v>https://upbox.ajobthing.my/leads/4287176</v>
      </c>
      <c r="I1957" t="inlineStr">
        <is>
          <t>Nimblebee vista bangi</t>
        </is>
      </c>
      <c r="J1957" t="inlineStr">
        <is>
          <t>Small Fish</t>
        </is>
      </c>
      <c r="K1957" t="inlineStr">
        <is>
          <t>Luqman</t>
        </is>
      </c>
      <c r="L1957" s="4"/>
      <c r="M1957" s="4">
        <v>46128.40652777778</v>
      </c>
      <c r="N1957"/>
      <c r="O1957">
        <v>3888</v>
      </c>
      <c r="P1957" s="4"/>
      <c r="Q1957" s="4"/>
      <c r="R1957"/>
      <c r="S1957"/>
      <c r="T1957" s="4"/>
      <c r="U1957" s="4"/>
      <c r="V1957"/>
      <c r="W1957"/>
      <c r="X1957"/>
      <c r="Y1957" t="inlineStr">
        <is>
          <t>Pending Appointment</t>
        </is>
      </c>
      <c r="Z1957" t="inlineStr">
        <is>
          <t>Hiring Later</t>
        </is>
      </c>
      <c r="AA1957">
        <v>1</v>
      </c>
      <c r="AB1957" t="inlineStr">
        <is>
          <t>No Appointment Made</t>
        </is>
      </c>
      <c r="AC1957"/>
      <c r="AD1957" t="inlineStr">
        <is>
          <t xml:space="preserve">1. Teacher </t>
        </is>
      </c>
      <c r="AE1957"/>
      <c r="AF1957">
        <v>1200</v>
      </c>
      <c r="AG1957" s="4"/>
      <c r="AH1957" s="4"/>
      <c r="AI1957">
        <v>1200</v>
      </c>
      <c r="AJ1957"/>
      <c r="AK1957" t="inlineStr">
        <is>
          <t>No, I don't need at all</t>
        </is>
      </c>
      <c r="AL1957">
        <v>2</v>
      </c>
      <c r="AM1957" t="inlineStr">
        <is>
          <t>No, I don't need at all</t>
        </is>
      </c>
      <c r="AN1957"/>
      <c r="AO1957" t="inlineStr">
        <is>
          <t>No, I don't need at all</t>
        </is>
      </c>
      <c r="AP1957" t="inlineStr">
        <is>
          <t>Once a year (25%)</t>
        </is>
      </c>
      <c r="AQ1957">
        <v>2</v>
      </c>
      <c r="AR1957" t="inlineStr">
        <is>
          <t>Free Job Portal</t>
        </is>
      </c>
      <c r="AS1957" t="inlineStr">
        <is>
          <t>- Headcount: 1
- Hiring Job Details: 1 Teacher
- Hiring Urgency: Hiring Later
- Number of outlets: Not provided
- Have recruiter team: No, I don't need at all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is>
      </c>
      <c r="AT1957">
        <v>110</v>
      </c>
      <c r="AU1957" t="inlineStr">
        <is>
          <t>1.10</t>
        </is>
      </c>
      <c r="AV1957" t="inlineStr">
        <is>
          <t>15</t>
        </is>
      </c>
      <c r="AW1957" t="inlineStr">
        <is>
          <t>0</t>
        </is>
      </c>
      <c r="AX1957" t="inlineStr">
        <is>
          <t>Not Qualified</t>
        </is>
      </c>
      <c r="AY1957" s="4"/>
      <c r="AZ1957"/>
      <c r="BA1957"/>
      <c r="BB1957"/>
      <c r="BC1957"/>
      <c r="BD1957" s="4"/>
      <c r="BE1957"/>
      <c r="BF1957"/>
      <c r="BG1957" t="inlineStr">
        <is>
          <t>Reschedule</t>
        </is>
      </c>
      <c r="BH1957" t="inlineStr">
        <is>
          <t>Edward Hoo</t>
        </is>
      </c>
      <c r="BI1957"/>
      <c r="BJ1957" s="4">
        <v>46144.755833333336</v>
      </c>
      <c r="BK1957" s="4">
        <v>46127.964270833334</v>
      </c>
      <c r="BL1957" t="inlineStr">
        <is>
          <t>0.0</t>
        </is>
      </c>
      <c r="BM1957" t="inlineStr">
        <is>
          <t>0.0</t>
        </is>
      </c>
      <c r="BN1957"/>
      <c r="BO1957" s="4"/>
      <c r="BP1957">
        <v>167282</v>
      </c>
      <c r="BQ1957"/>
      <c r="BR1957"/>
      <c r="BS1957"/>
      <c r="BT1957"/>
      <c r="BU1957"/>
      <c r="BV1957"/>
      <c r="BW1957"/>
      <c r="BX1957"/>
      <c r="BY1957"/>
      <c r="BZ1957" s="4"/>
      <c r="CA1957"/>
      <c r="CB1957"/>
      <c r="CC1957" s="4"/>
      <c r="CD1957" t="inlineStr">
        <is>
          <t>20</t>
        </is>
      </c>
      <c r="CE1957" t="inlineStr">
        <is>
          <t>0</t>
        </is>
      </c>
      <c r="CF1957" t="inlineStr">
        <is>
          <t>Q2-W02</t>
        </is>
      </c>
      <c r="CG1957"/>
      <c r="CH1957"/>
      <c r="CI1957"/>
      <c r="CJ1957" t="inlineStr">
        <is>
          <t>No Paid</t>
        </is>
      </c>
      <c r="CK1957" t="inlineStr">
        <is>
          <t>Not Eligible</t>
        </is>
      </c>
      <c r="CL1957"/>
      <c r="CM1957"/>
    </row>
    <row r="1958" ht="25.5" customHeight="1">
      <c r="A1958" t="inlineStr">
        <is>
          <t>203284</t>
        </is>
      </c>
      <c r="B1958" s="2"/>
      <c r="C1958"/>
      <c r="D1958" s="3">
        <v>46128.407743055555</v>
      </c>
      <c r="E1958" t="inlineStr">
        <is>
          <t>Q2-W02</t>
        </is>
      </c>
      <c r="F1958" t="inlineStr">
        <is>
          <t>Angel  Low</t>
        </is>
      </c>
      <c r="G1958" t="inlineStr">
        <is>
          <t>Customer</t>
        </is>
      </c>
      <c r="H1958" s="2" t="str">
        <f>=HYPERLINK("https://upbox.ajobthing.my/customer/203284", "https://upbox.ajobthing.my/customer/203284")</f>
        <v>https://upbox.ajobthing.my/customer/203284</v>
      </c>
      <c r="I1958" t="inlineStr">
        <is>
          <t>Eternal</t>
        </is>
      </c>
      <c r="J1958" t="inlineStr">
        <is>
          <t>Small Fish</t>
        </is>
      </c>
      <c r="K1958" t="inlineStr">
        <is>
          <t>Angel Low</t>
        </is>
      </c>
      <c r="L1958" s="4"/>
      <c r="M1958" s="4">
        <v>46128.40809027778</v>
      </c>
      <c r="N1958"/>
      <c r="O1958">
        <v>3672</v>
      </c>
      <c r="P1958" s="4"/>
      <c r="Q1958" s="4"/>
      <c r="R1958"/>
      <c r="S1958"/>
      <c r="T1958" s="4"/>
      <c r="U1958" s="4"/>
      <c r="V1958"/>
      <c r="W1958"/>
      <c r="X1958"/>
      <c r="Y1958" t="inlineStr">
        <is>
          <t>Pending Appointment</t>
        </is>
      </c>
      <c r="Z1958"/>
      <c r="AA1958">
        <v>2</v>
      </c>
      <c r="AB1958" t="inlineStr">
        <is>
          <t>No Appointment Made</t>
        </is>
      </c>
      <c r="AC1958"/>
      <c r="AD1958" t="inlineStr">
        <is>
          <t xml:space="preserve">2 partimer teacher </t>
        </is>
      </c>
      <c r="AE1958"/>
      <c r="AF1958"/>
      <c r="AG1958" s="4"/>
      <c r="AH1958" s="4"/>
      <c r="AI1958"/>
      <c r="AJ1958"/>
      <c r="AK1958"/>
      <c r="AL1958"/>
      <c r="AM1958"/>
      <c r="AN1958"/>
      <c r="AO1958"/>
      <c r="AP1958"/>
      <c r="AQ1958"/>
      <c r="AR1958"/>
      <c r="AS1958" t="inlineStr">
        <is>
          <t>- Headcount: 2
- Hiring Job Details: 2 partimer teacher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1958">
        <v>60</v>
      </c>
      <c r="AU1958" t="inlineStr">
        <is>
          <t>0.60</t>
        </is>
      </c>
      <c r="AV1958" t="inlineStr">
        <is>
          <t>5</t>
        </is>
      </c>
      <c r="AW1958" t="inlineStr">
        <is>
          <t>0</t>
        </is>
      </c>
      <c r="AX1958" t="inlineStr">
        <is>
          <t>Not Qualified</t>
        </is>
      </c>
      <c r="AY1958" s="4"/>
      <c r="AZ1958"/>
      <c r="BA1958"/>
      <c r="BB1958"/>
      <c r="BC1958" t="inlineStr">
        <is>
          <t>- Headcount: 2
- Hiring Job Details: 2 partimer teacher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1958" s="4">
        <v>46128.4171875</v>
      </c>
      <c r="BE1958"/>
      <c r="BF1958"/>
      <c r="BG1958" t="inlineStr">
        <is>
          <t>Reschedule</t>
        </is>
      </c>
      <c r="BH1958" t="inlineStr">
        <is>
          <t>Fauziah Maharan</t>
        </is>
      </c>
      <c r="BI1958"/>
      <c r="BJ1958" s="4">
        <v>46144.754282407404</v>
      </c>
      <c r="BK1958" s="4">
        <v>46127.80422453704</v>
      </c>
      <c r="BL1958" t="inlineStr">
        <is>
          <t>0.0</t>
        </is>
      </c>
      <c r="BM1958" t="inlineStr">
        <is>
          <t>0.0</t>
        </is>
      </c>
      <c r="BN1958" t="inlineStr">
        <is>
          <t>View Company Page</t>
        </is>
      </c>
      <c r="BO1958" s="4">
        <v>46127.804293981484</v>
      </c>
      <c r="BP1958">
        <v>167285</v>
      </c>
      <c r="BQ1958"/>
      <c r="BR1958"/>
      <c r="BS1958"/>
      <c r="BT1958"/>
      <c r="BU1958"/>
      <c r="BV1958">
        <v>2707857</v>
      </c>
      <c r="BW1958" t="inlineStr">
        <is>
          <t>Customer Inquiry</t>
        </is>
      </c>
      <c r="BX1958"/>
      <c r="BY1958"/>
      <c r="BZ1958" s="4"/>
      <c r="CA1958"/>
      <c r="CB1958"/>
      <c r="CC1958" s="4"/>
      <c r="CD1958" t="inlineStr">
        <is>
          <t>5</t>
        </is>
      </c>
      <c r="CE1958" t="inlineStr">
        <is>
          <t>0</t>
        </is>
      </c>
      <c r="CF1958" t="inlineStr">
        <is>
          <t>Q2-W02</t>
        </is>
      </c>
      <c r="CG1958"/>
      <c r="CH1958"/>
      <c r="CI1958"/>
      <c r="CJ1958" t="inlineStr">
        <is>
          <t>No Paid</t>
        </is>
      </c>
      <c r="CK1958" t="inlineStr">
        <is>
          <t>Not Eligible</t>
        </is>
      </c>
      <c r="CL1958"/>
      <c r="CM1958"/>
    </row>
    <row r="1959" ht="25.5" customHeight="1">
      <c r="A1959" t="inlineStr">
        <is>
          <t>4287176</t>
        </is>
      </c>
      <c r="B1959" s="2"/>
      <c r="C1959"/>
      <c r="D1959" s="3">
        <v>46128.40871527778</v>
      </c>
      <c r="E1959" t="inlineStr">
        <is>
          <t>Q2-W02</t>
        </is>
      </c>
      <c r="F1959" t="inlineStr">
        <is>
          <t>Luqman</t>
        </is>
      </c>
      <c r="G1959" t="inlineStr">
        <is>
          <t>Lead</t>
        </is>
      </c>
      <c r="H1959" s="2" t="str">
        <f>=HYPERLINK("https://upbox.ajobthing.my/leads/4287176", "https://upbox.ajobthing.my/leads/4287176")</f>
        <v>https://upbox.ajobthing.my/leads/4287176</v>
      </c>
      <c r="I1959" t="inlineStr">
        <is>
          <t>Nimblebee vista bangi</t>
        </is>
      </c>
      <c r="J1959" t="inlineStr">
        <is>
          <t>Small Fish</t>
        </is>
      </c>
      <c r="K1959" t="inlineStr">
        <is>
          <t>Luqman</t>
        </is>
      </c>
      <c r="L1959" s="4"/>
      <c r="M1959" s="4">
        <v>46128.40652777778</v>
      </c>
      <c r="N1959"/>
      <c r="O1959">
        <v>3888</v>
      </c>
      <c r="P1959" s="4"/>
      <c r="Q1959" s="4"/>
      <c r="R1959"/>
      <c r="S1959"/>
      <c r="T1959" s="4"/>
      <c r="U1959" s="4"/>
      <c r="V1959"/>
      <c r="W1959"/>
      <c r="X1959"/>
      <c r="Y1959" t="inlineStr">
        <is>
          <t>Pending Appointment</t>
        </is>
      </c>
      <c r="Z1959" t="inlineStr">
        <is>
          <t>Hiring Later</t>
        </is>
      </c>
      <c r="AA1959">
        <v>1</v>
      </c>
      <c r="AB1959" t="inlineStr">
        <is>
          <t>No Appointment Made</t>
        </is>
      </c>
      <c r="AC1959"/>
      <c r="AD1959" t="inlineStr">
        <is>
          <t xml:space="preserve">1. Teacher </t>
        </is>
      </c>
      <c r="AE1959"/>
      <c r="AF1959">
        <v>1200</v>
      </c>
      <c r="AG1959" s="4"/>
      <c r="AH1959" s="4"/>
      <c r="AI1959">
        <v>1200</v>
      </c>
      <c r="AJ1959"/>
      <c r="AK1959" t="inlineStr">
        <is>
          <t>No, I don't need at all</t>
        </is>
      </c>
      <c r="AL1959">
        <v>2</v>
      </c>
      <c r="AM1959" t="inlineStr">
        <is>
          <t>No, I don't need at all</t>
        </is>
      </c>
      <c r="AN1959"/>
      <c r="AO1959" t="inlineStr">
        <is>
          <t>No, I don't need at all</t>
        </is>
      </c>
      <c r="AP1959" t="inlineStr">
        <is>
          <t>Once a year (25%)</t>
        </is>
      </c>
      <c r="AQ1959">
        <v>2</v>
      </c>
      <c r="AR1959" t="inlineStr">
        <is>
          <t>Free Job Portal</t>
        </is>
      </c>
      <c r="AS1959" t="inlineStr">
        <is>
          <t>- Headcount: Not provided
- Hiring Job Details: 1 Teacher
- Hiring Urgency: Hiring Later
- Number of outlets: Not provided
- Have recruiter team: No, I don't need at all
- Number of recruiter in company: 2
- Have ATS system: No, I don't need at all
- Have career website: No, I don't need at all
- Current hiring budget: RM1,200
- Whole year budget: RM1,200.00
- Whole year number of vacancies: 2
- Hiring frequency: Once a year (25%)
- External job portal: Free Job Portal</t>
        </is>
      </c>
      <c r="AT1959">
        <v>100</v>
      </c>
      <c r="AU1959" t="inlineStr">
        <is>
          <t>1.00</t>
        </is>
      </c>
      <c r="AV1959" t="inlineStr">
        <is>
          <t>15</t>
        </is>
      </c>
      <c r="AW1959" t="inlineStr">
        <is>
          <t>0</t>
        </is>
      </c>
      <c r="AX1959" t="inlineStr">
        <is>
          <t>Not Qualified</t>
        </is>
      </c>
      <c r="AY1959" s="4"/>
      <c r="AZ1959"/>
      <c r="BA1959"/>
      <c r="BB1959"/>
      <c r="BC1959"/>
      <c r="BD1959" s="4"/>
      <c r="BE1959"/>
      <c r="BF1959"/>
      <c r="BG1959" t="inlineStr">
        <is>
          <t>Reschedule</t>
        </is>
      </c>
      <c r="BH1959" t="inlineStr">
        <is>
          <t>Edward Hoo</t>
        </is>
      </c>
      <c r="BI1959"/>
      <c r="BJ1959" s="4">
        <v>46144.755833333336</v>
      </c>
      <c r="BK1959" s="4">
        <v>46127.964270833334</v>
      </c>
      <c r="BL1959" t="inlineStr">
        <is>
          <t>0.0</t>
        </is>
      </c>
      <c r="BM1959" t="inlineStr">
        <is>
          <t>0.0</t>
        </is>
      </c>
      <c r="BN1959"/>
      <c r="BO1959" s="4"/>
      <c r="BP1959">
        <v>167282</v>
      </c>
      <c r="BQ1959"/>
      <c r="BR1959"/>
      <c r="BS1959"/>
      <c r="BT1959"/>
      <c r="BU1959"/>
      <c r="BV1959"/>
      <c r="BW1959"/>
      <c r="BX1959"/>
      <c r="BY1959"/>
      <c r="BZ1959" s="4"/>
      <c r="CA1959"/>
      <c r="CB1959"/>
      <c r="CC1959" s="4"/>
      <c r="CD1959" t="inlineStr">
        <is>
          <t>20</t>
        </is>
      </c>
      <c r="CE1959" t="inlineStr">
        <is>
          <t>0</t>
        </is>
      </c>
      <c r="CF1959" t="inlineStr">
        <is>
          <t>Q2-W02</t>
        </is>
      </c>
      <c r="CG1959"/>
      <c r="CH1959"/>
      <c r="CI1959"/>
      <c r="CJ1959" t="inlineStr">
        <is>
          <t>No Paid</t>
        </is>
      </c>
      <c r="CK1959" t="inlineStr">
        <is>
          <t>Not Eligible</t>
        </is>
      </c>
      <c r="CL1959"/>
      <c r="CM1959"/>
    </row>
    <row r="1960" ht="25.5" customHeight="1">
      <c r="A1960" t="inlineStr">
        <is>
          <t>4266177</t>
        </is>
      </c>
      <c r="B1960" s="2"/>
      <c r="C1960"/>
      <c r="D1960" s="3">
        <v>46128.43002314815</v>
      </c>
      <c r="E1960" t="inlineStr">
        <is>
          <t>Q2-W02</t>
        </is>
      </c>
      <c r="F1960" t="inlineStr">
        <is>
          <t>Clover</t>
        </is>
      </c>
      <c r="G1960" t="inlineStr">
        <is>
          <t>Lead</t>
        </is>
      </c>
      <c r="H1960" s="2" t="str">
        <f>=HYPERLINK("https://upbox.ajobthing.my/leads/4266177", "https://upbox.ajobthing.my/leads/4266177")</f>
        <v>https://upbox.ajobthing.my/leads/4266177</v>
      </c>
      <c r="I1960" t="inlineStr">
        <is>
          <t>LOVING PET HOME TRADING</t>
        </is>
      </c>
      <c r="J1960" t="inlineStr">
        <is>
          <t>Small Fish</t>
        </is>
      </c>
      <c r="K1960" t="inlineStr">
        <is>
          <t>Clover</t>
        </is>
      </c>
      <c r="L1960" s="4"/>
      <c r="M1960" s="4">
        <v>46128.43152777778</v>
      </c>
      <c r="N1960"/>
      <c r="O1960">
        <v>3888</v>
      </c>
      <c r="P1960" s="4"/>
      <c r="Q1960" s="4"/>
      <c r="R1960"/>
      <c r="S1960"/>
      <c r="T1960" s="4"/>
      <c r="U1960" s="4"/>
      <c r="V1960"/>
      <c r="W1960"/>
      <c r="X1960"/>
      <c r="Y1960" t="inlineStr">
        <is>
          <t>Pending Appointment</t>
        </is>
      </c>
      <c r="Z1960" t="inlineStr">
        <is>
          <t>Hiring Now</t>
        </is>
      </c>
      <c r="AA1960">
        <v>1</v>
      </c>
      <c r="AB1960" t="inlineStr">
        <is>
          <t>No Appointment Made</t>
        </is>
      </c>
      <c r="AC1960"/>
      <c r="AD1960" t="inlineStr">
        <is>
          <t>Hire accountant exec x1 chi, full set accountant, senior, 1st time use JS, not yet hire, seremban, pet care products, busy wa first Mr Chin</t>
        </is>
      </c>
      <c r="AE1960"/>
      <c r="AF1960">
        <v>3000</v>
      </c>
      <c r="AG1960" s="4"/>
      <c r="AH1960" s="4"/>
      <c r="AI1960">
        <v>3000</v>
      </c>
      <c r="AJ1960">
        <v>1</v>
      </c>
      <c r="AK1960" t="inlineStr">
        <is>
          <t>No, but I want in future</t>
        </is>
      </c>
      <c r="AL1960">
        <v>1</v>
      </c>
      <c r="AM1960" t="inlineStr">
        <is>
          <t>No, but I want in future</t>
        </is>
      </c>
      <c r="AN1960"/>
      <c r="AO1960" t="inlineStr">
        <is>
          <t>No, but I want in future</t>
        </is>
      </c>
      <c r="AP1960" t="inlineStr">
        <is>
          <t>Twice a year (50%)</t>
        </is>
      </c>
      <c r="AQ1960">
        <v>1</v>
      </c>
      <c r="AR1960" t="inlineStr">
        <is>
          <t>Jobstreet</t>
        </is>
      </c>
      <c r="AS1960" t="inlineStr">
        <is>
          <t>- Headcount: 1
- Hiring Job Details: 1 senior full set accountant (Chi), 1st time use JS, not yet hired, Seremban, pet care products, contact Mr Chin via WA first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Jobstreet</t>
        </is>
      </c>
      <c r="AT1960">
        <v>115</v>
      </c>
      <c r="AU1960" t="inlineStr">
        <is>
          <t>1.15</t>
        </is>
      </c>
      <c r="AV1960" t="inlineStr">
        <is>
          <t>15</t>
        </is>
      </c>
      <c r="AW1960" t="inlineStr">
        <is>
          <t>0</t>
        </is>
      </c>
      <c r="AX1960" t="inlineStr">
        <is>
          <t>Not Qualified</t>
        </is>
      </c>
      <c r="AY1960" s="4"/>
      <c r="AZ1960"/>
      <c r="BA1960"/>
      <c r="BB1960"/>
      <c r="BC1960"/>
      <c r="BD1960" s="4"/>
      <c r="BE1960"/>
      <c r="BF1960"/>
      <c r="BG1960" t="inlineStr">
        <is>
          <t>Reschedule</t>
        </is>
      </c>
      <c r="BH1960" t="inlineStr">
        <is>
          <t>Reagen</t>
        </is>
      </c>
      <c r="BI1960"/>
      <c r="BJ1960" s="4">
        <v>46144.75578703704</v>
      </c>
      <c r="BK1960" s="4">
        <v>46121.86744212963</v>
      </c>
      <c r="BL1960" t="inlineStr">
        <is>
          <t>0.0</t>
        </is>
      </c>
      <c r="BM1960" t="inlineStr">
        <is>
          <t>0.0</t>
        </is>
      </c>
      <c r="BN1960"/>
      <c r="BO1960" s="4"/>
      <c r="BP1960">
        <v>167305</v>
      </c>
      <c r="BQ1960"/>
      <c r="BR1960"/>
      <c r="BS1960"/>
      <c r="BT1960"/>
      <c r="BU1960"/>
      <c r="BV1960"/>
      <c r="BW1960"/>
      <c r="BX1960"/>
      <c r="BY1960"/>
      <c r="BZ1960" s="4"/>
      <c r="CA1960"/>
      <c r="CB1960"/>
      <c r="CC1960" s="4"/>
      <c r="CD1960" t="inlineStr">
        <is>
          <t>20</t>
        </is>
      </c>
      <c r="CE1960" t="inlineStr">
        <is>
          <t>0</t>
        </is>
      </c>
      <c r="CF1960" t="inlineStr">
        <is>
          <t>Q2-W02</t>
        </is>
      </c>
      <c r="CG1960"/>
      <c r="CH1960"/>
      <c r="CI1960"/>
      <c r="CJ1960" t="inlineStr">
        <is>
          <t>No Paid</t>
        </is>
      </c>
      <c r="CK1960" t="inlineStr">
        <is>
          <t>Not Eligible</t>
        </is>
      </c>
      <c r="CL1960"/>
      <c r="CM1960"/>
    </row>
    <row r="1961" ht="25.5" customHeight="1">
      <c r="A1961" t="inlineStr">
        <is>
          <t>151042</t>
        </is>
      </c>
      <c r="B1961" s="2"/>
      <c r="C1961"/>
      <c r="D1961" s="3">
        <v>46128.43678240741</v>
      </c>
      <c r="E1961" t="inlineStr">
        <is>
          <t>Q2-W02</t>
        </is>
      </c>
      <c r="F1961" t="inlineStr">
        <is>
          <t>Dickson</t>
        </is>
      </c>
      <c r="G1961" t="inlineStr">
        <is>
          <t>Customer</t>
        </is>
      </c>
      <c r="H1961" s="2" t="str">
        <f>=HYPERLINK("https://upbox.ajobthing.my/customer/151042", "https://upbox.ajobthing.my/customer/151042")</f>
        <v>https://upbox.ajobthing.my/customer/151042</v>
      </c>
      <c r="I1961" t="inlineStr">
        <is>
          <t>Pusat Tuisyen Optimistik Unggul Gemilang</t>
        </is>
      </c>
      <c r="J1961" t="inlineStr">
        <is>
          <t>Small Fish</t>
        </is>
      </c>
      <c r="K1961" t="inlineStr">
        <is>
          <t>Dickson</t>
        </is>
      </c>
      <c r="L1961" s="4"/>
      <c r="M1961" s="4">
        <v>46128.4369212963</v>
      </c>
      <c r="N1961"/>
      <c r="O1961">
        <v>1296</v>
      </c>
      <c r="P1961" s="4"/>
      <c r="Q1961" s="4">
        <v>44655.067025462966</v>
      </c>
      <c r="R1961"/>
      <c r="S1961">
        <v>636</v>
      </c>
      <c r="T1961" s="4">
        <v>44651.00001157408</v>
      </c>
      <c r="U1961" s="4"/>
      <c r="V1961"/>
      <c r="W1961">
        <v>636</v>
      </c>
      <c r="X1961"/>
      <c r="Y1961" t="inlineStr">
        <is>
          <t>Pending Appointment</t>
        </is>
      </c>
      <c r="Z1961" t="inlineStr">
        <is>
          <t>Hiring Now</t>
        </is>
      </c>
      <c r="AA1961">
        <v>1</v>
      </c>
      <c r="AB1961" t="inlineStr">
        <is>
          <t>No Appointment Made</t>
        </is>
      </c>
      <c r="AC1961"/>
      <c r="AD1961" t="inlineStr">
        <is>
          <t>1 teacher</t>
        </is>
      </c>
      <c r="AE1961"/>
      <c r="AF1961"/>
      <c r="AG1961" s="4"/>
      <c r="AH1961" s="4"/>
      <c r="AI1961"/>
      <c r="AJ1961">
        <v>1</v>
      </c>
      <c r="AK1961" t="inlineStr">
        <is>
          <t>No, I don't need at all</t>
        </is>
      </c>
      <c r="AL1961"/>
      <c r="AM1961" t="inlineStr">
        <is>
          <t>No, I don't need at all</t>
        </is>
      </c>
      <c r="AN1961"/>
      <c r="AO1961" t="inlineStr">
        <is>
          <t>No, I don't need at all</t>
        </is>
      </c>
      <c r="AP1961" t="inlineStr">
        <is>
          <t>Once per quarter (75%)</t>
        </is>
      </c>
      <c r="AQ1961"/>
      <c r="AR1961" t="inlineStr">
        <is>
          <t>Jobstreet</t>
        </is>
      </c>
      <c r="AS1961" t="inlineStr">
        <is>
          <t>- Headcount: 1
- Hiring Job Details: 1 teacher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1961">
        <v>95</v>
      </c>
      <c r="AU1961" t="inlineStr">
        <is>
          <t>0.95</t>
        </is>
      </c>
      <c r="AV1961" t="inlineStr">
        <is>
          <t>5</t>
        </is>
      </c>
      <c r="AW1961" t="inlineStr">
        <is>
          <t>0</t>
        </is>
      </c>
      <c r="AX1961" t="inlineStr">
        <is>
          <t>Not Qualified</t>
        </is>
      </c>
      <c r="AY1961" s="4"/>
      <c r="AZ1961"/>
      <c r="BA1961"/>
      <c r="BB1961"/>
      <c r="BC1961" t="inlineStr">
        <is>
          <t>hired from fb</t>
        </is>
      </c>
      <c r="BD1961" s="4">
        <v>46139.78162037037</v>
      </c>
      <c r="BE1961" t="inlineStr">
        <is>
          <t>pending</t>
        </is>
      </c>
      <c r="BF1961"/>
      <c r="BG1961" t="inlineStr">
        <is>
          <t>Reschedule</t>
        </is>
      </c>
      <c r="BH1961" t="inlineStr">
        <is>
          <t>Edward Hoo</t>
        </is>
      </c>
      <c r="BI1961" t="inlineStr">
        <is>
          <t>Education / Training</t>
        </is>
      </c>
      <c r="BJ1961" s="4">
        <v>46144.75087962963</v>
      </c>
      <c r="BK1961" s="4">
        <v>44645.71894675926</v>
      </c>
      <c r="BL1961" t="inlineStr">
        <is>
          <t>0.0</t>
        </is>
      </c>
      <c r="BM1961" t="inlineStr">
        <is>
          <t>600.0</t>
        </is>
      </c>
      <c r="BN1961" t="inlineStr">
        <is>
          <t>View Jobmanager Page</t>
        </is>
      </c>
      <c r="BO1961" s="4">
        <v>44709.80064814815</v>
      </c>
      <c r="BP1961">
        <v>167308</v>
      </c>
      <c r="BQ1961">
        <v>57223</v>
      </c>
      <c r="BR1961" t="inlineStr">
        <is>
          <t>Proforma</t>
        </is>
      </c>
      <c r="BS1961" t="inlineStr">
        <is>
          <t>GLFB Gold Package</t>
        </is>
      </c>
      <c r="BT1961">
        <v>43002</v>
      </c>
      <c r="BU1961"/>
      <c r="BV1961">
        <v>2731626</v>
      </c>
      <c r="BW1961" t="inlineStr">
        <is>
          <t>Follow Up : Lost - Paid Portal</t>
        </is>
      </c>
      <c r="BX1961"/>
      <c r="BY1961"/>
      <c r="BZ1961" s="4"/>
      <c r="CA1961"/>
      <c r="CB1961"/>
      <c r="CC1961" s="4"/>
      <c r="CD1961" t="inlineStr">
        <is>
          <t>5</t>
        </is>
      </c>
      <c r="CE1961" t="inlineStr">
        <is>
          <t>0</t>
        </is>
      </c>
      <c r="CF1961" t="inlineStr">
        <is>
          <t>Q2-W02</t>
        </is>
      </c>
      <c r="CG1961"/>
      <c r="CH1961"/>
      <c r="CI1961"/>
      <c r="CJ1961" t="inlineStr">
        <is>
          <t>Paid</t>
        </is>
      </c>
      <c r="CK1961" t="inlineStr">
        <is>
          <t>Not Eligible</t>
        </is>
      </c>
      <c r="CL1961"/>
      <c r="CM1961"/>
    </row>
    <row r="1962" ht="25.5" customHeight="1">
      <c r="A1962" t="inlineStr">
        <is>
          <t>4087578</t>
        </is>
      </c>
      <c r="B1962" s="2"/>
      <c r="C1962"/>
      <c r="D1962" s="3">
        <v>46128.44265046297</v>
      </c>
      <c r="E1962" t="inlineStr">
        <is>
          <t>Q2-W02</t>
        </is>
      </c>
      <c r="F1962" t="inlineStr">
        <is>
          <t>Janice Yap</t>
        </is>
      </c>
      <c r="G1962" t="inlineStr">
        <is>
          <t>Lead</t>
        </is>
      </c>
      <c r="H1962" s="2" t="str">
        <f>=HYPERLINK("https://upbox.ajobthing.my/leads/4087578", "https://upbox.ajobthing.my/leads/4087578")</f>
        <v>https://upbox.ajobthing.my/leads/4087578</v>
      </c>
      <c r="I1962" t="inlineStr">
        <is>
          <t>Zhopper International Sdn Bhd</t>
        </is>
      </c>
      <c r="J1962" t="inlineStr">
        <is>
          <t>Small Fish</t>
        </is>
      </c>
      <c r="K1962" t="inlineStr">
        <is>
          <t>Janice</t>
        </is>
      </c>
      <c r="L1962" s="4"/>
      <c r="M1962" s="4">
        <v>46128.441400462965</v>
      </c>
      <c r="N1962"/>
      <c r="O1962">
        <v>3888</v>
      </c>
      <c r="P1962" s="4"/>
      <c r="Q1962" s="4"/>
      <c r="R1962"/>
      <c r="S1962"/>
      <c r="T1962" s="4"/>
      <c r="U1962" s="4"/>
      <c r="V1962"/>
      <c r="W1962"/>
      <c r="X1962"/>
      <c r="Y1962" t="inlineStr">
        <is>
          <t>Pending Appointment</t>
        </is>
      </c>
      <c r="Z1962" t="inlineStr">
        <is>
          <t>Hiring Now</t>
        </is>
      </c>
      <c r="AA1962">
        <v>2</v>
      </c>
      <c r="AB1962" t="inlineStr">
        <is>
          <t>No Appointment Made</t>
        </is>
      </c>
      <c r="AC1962"/>
      <c r="AD1962" t="inlineStr">
        <is>
          <t xml:space="preserve">1 finance account // 1 logistic and inventory management </t>
        </is>
      </c>
      <c r="AE1962"/>
      <c r="AF1962">
        <v>0</v>
      </c>
      <c r="AG1962" s="4"/>
      <c r="AH1962" s="4"/>
      <c r="AI1962">
        <v>0</v>
      </c>
      <c r="AJ1962"/>
      <c r="AK1962" t="inlineStr">
        <is>
          <t>No, I don't need at all</t>
        </is>
      </c>
      <c r="AL1962">
        <v>0</v>
      </c>
      <c r="AM1962" t="inlineStr">
        <is>
          <t>No, I don't need at all</t>
        </is>
      </c>
      <c r="AN1962"/>
      <c r="AO1962" t="inlineStr">
        <is>
          <t>No, I don't need at all</t>
        </is>
      </c>
      <c r="AP1962" t="inlineStr">
        <is>
          <t>Once a year (25%)</t>
        </is>
      </c>
      <c r="AQ1962">
        <v>2</v>
      </c>
      <c r="AR1962"/>
      <c r="AS1962" t="inlineStr">
        <is>
          <t>- Headcount: 2
- Hiring Job Details: 1 finance account, 1 logistic and inventory management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N/A</t>
        </is>
      </c>
      <c r="AT1962">
        <v>115</v>
      </c>
      <c r="AU1962" t="inlineStr">
        <is>
          <t>1.15</t>
        </is>
      </c>
      <c r="AV1962" t="inlineStr">
        <is>
          <t>15</t>
        </is>
      </c>
      <c r="AW1962" t="inlineStr">
        <is>
          <t>0</t>
        </is>
      </c>
      <c r="AX1962" t="inlineStr">
        <is>
          <t>Not Qualified</t>
        </is>
      </c>
      <c r="AY1962" s="4"/>
      <c r="AZ1962"/>
      <c r="BA1962"/>
      <c r="BB1962"/>
      <c r="BC1962"/>
      <c r="BD1962" s="4"/>
      <c r="BE1962"/>
      <c r="BF1962"/>
      <c r="BG1962" t="inlineStr">
        <is>
          <t>Reschedule</t>
        </is>
      </c>
      <c r="BH1962" t="inlineStr">
        <is>
          <t>Yee Hang</t>
        </is>
      </c>
      <c r="BI1962"/>
      <c r="BJ1962" s="4">
        <v>46144.755324074074</v>
      </c>
      <c r="BK1962" s="4">
        <v>46072.570127314815</v>
      </c>
      <c r="BL1962" t="inlineStr">
        <is>
          <t>0.0</t>
        </is>
      </c>
      <c r="BM1962" t="inlineStr">
        <is>
          <t>0.0</t>
        </is>
      </c>
      <c r="BN1962"/>
      <c r="BO1962" s="4"/>
      <c r="BP1962">
        <v>167314</v>
      </c>
      <c r="BQ1962"/>
      <c r="BR1962"/>
      <c r="BS1962"/>
      <c r="BT1962"/>
      <c r="BU1962"/>
      <c r="BV1962"/>
      <c r="BW1962"/>
      <c r="BX1962"/>
      <c r="BY1962"/>
      <c r="BZ1962" s="4"/>
      <c r="CA1962"/>
      <c r="CB1962"/>
      <c r="CC1962" s="4"/>
      <c r="CD1962" t="inlineStr">
        <is>
          <t>20</t>
        </is>
      </c>
      <c r="CE1962" t="inlineStr">
        <is>
          <t>0</t>
        </is>
      </c>
      <c r="CF1962" t="inlineStr">
        <is>
          <t>Q2-W02</t>
        </is>
      </c>
      <c r="CG1962"/>
      <c r="CH1962"/>
      <c r="CI1962"/>
      <c r="CJ1962" t="inlineStr">
        <is>
          <t>No Paid</t>
        </is>
      </c>
      <c r="CK1962" t="inlineStr">
        <is>
          <t>Not Eligible</t>
        </is>
      </c>
      <c r="CL1962"/>
      <c r="CM1962"/>
    </row>
    <row r="1963" ht="25.5" customHeight="1">
      <c r="A1963" t="inlineStr">
        <is>
          <t>203297</t>
        </is>
      </c>
      <c r="B1963" s="2"/>
      <c r="C1963"/>
      <c r="D1963" s="3">
        <v>46128.44482638889</v>
      </c>
      <c r="E1963" t="inlineStr">
        <is>
          <t>Q2-W02</t>
        </is>
      </c>
      <c r="F1963" t="inlineStr">
        <is>
          <t>Fariz</t>
        </is>
      </c>
      <c r="G1963" t="inlineStr">
        <is>
          <t>Customer</t>
        </is>
      </c>
      <c r="H1963" s="2" t="str">
        <f>=HYPERLINK("https://upbox.ajobthing.my/customer/203297", "https://upbox.ajobthing.my/customer/203297")</f>
        <v>https://upbox.ajobthing.my/customer/203297</v>
      </c>
      <c r="I1963" t="inlineStr">
        <is>
          <t>U.n.i Klinik Ayer Lanas</t>
        </is>
      </c>
      <c r="J1963" t="inlineStr">
        <is>
          <t>Small Fish</t>
        </is>
      </c>
      <c r="K1963" t="inlineStr">
        <is>
          <t>Fariz</t>
        </is>
      </c>
      <c r="L1963" s="4"/>
      <c r="M1963" s="4">
        <v>46128.4450462963</v>
      </c>
      <c r="N1963"/>
      <c r="O1963">
        <v>3888</v>
      </c>
      <c r="P1963" s="4"/>
      <c r="Q1963" s="4"/>
      <c r="R1963"/>
      <c r="S1963"/>
      <c r="T1963" s="4"/>
      <c r="U1963" s="4"/>
      <c r="V1963"/>
      <c r="W1963"/>
      <c r="X1963"/>
      <c r="Y1963" t="inlineStr">
        <is>
          <t>Pending Appointment</t>
        </is>
      </c>
      <c r="Z1963" t="inlineStr">
        <is>
          <t>Hiring Now</t>
        </is>
      </c>
      <c r="AA1963">
        <v>3</v>
      </c>
      <c r="AB1963" t="inlineStr">
        <is>
          <t>No Appointment Made</t>
        </is>
      </c>
      <c r="AC1963"/>
      <c r="AD1963" t="inlineStr">
        <is>
          <t>3 clinic assistants</t>
        </is>
      </c>
      <c r="AE1963"/>
      <c r="AF1963">
        <v>1000</v>
      </c>
      <c r="AG1963" s="4"/>
      <c r="AH1963" s="4"/>
      <c r="AI1963">
        <v>3000</v>
      </c>
      <c r="AJ1963"/>
      <c r="AK1963" t="inlineStr">
        <is>
          <t>No, I don't need at all</t>
        </is>
      </c>
      <c r="AL1963"/>
      <c r="AM1963" t="inlineStr">
        <is>
          <t>No, I don't need at all</t>
        </is>
      </c>
      <c r="AN1963"/>
      <c r="AO1963" t="inlineStr">
        <is>
          <t>No, I don't need at all</t>
        </is>
      </c>
      <c r="AP1963" t="inlineStr">
        <is>
          <t>Once a year (25%)</t>
        </is>
      </c>
      <c r="AQ1963">
        <v>3</v>
      </c>
      <c r="AR1963" t="inlineStr">
        <is>
          <t>Jobstreet, Free Job Portal</t>
        </is>
      </c>
      <c r="AS1963" t="inlineStr">
        <is>
          <t>- Headcount: 3
- Hiring Job Details: 3 clinic assistants
- Number of outlets: Not provided
- Have recruiter team: No, I don't need at all
- Number of recruiter in company: Not provided
- Have ATS system: No, I don't need at all
- Have career website: No, I don't need at all
- Current hiring budget: RM1,000
- Whole year budget: RM3,000.00
- Whole year number of vacancies: 3
- Hiring frequency: Once a year (25%)
- External job portal: Jobstreet, Free Job Portal
- Hiring Urgency: Hiring Now</t>
        </is>
      </c>
      <c r="AT1963">
        <v>105</v>
      </c>
      <c r="AU1963" t="inlineStr">
        <is>
          <t>1.05</t>
        </is>
      </c>
      <c r="AV1963" t="inlineStr">
        <is>
          <t>15</t>
        </is>
      </c>
      <c r="AW1963" t="inlineStr">
        <is>
          <t>0</t>
        </is>
      </c>
      <c r="AX1963" t="inlineStr">
        <is>
          <t>Not Qualified</t>
        </is>
      </c>
      <c r="AY1963" s="4"/>
      <c r="AZ1963"/>
      <c r="BA1963"/>
      <c r="BB1963"/>
      <c r="BC1963" t="inlineStr">
        <is>
          <t>budget concern, already got staff</t>
        </is>
      </c>
      <c r="BD1963" s="4">
        <v>46135.56643518519</v>
      </c>
      <c r="BE1963"/>
      <c r="BF1963"/>
      <c r="BG1963" t="inlineStr">
        <is>
          <t>Reschedule</t>
        </is>
      </c>
      <c r="BH1963" t="inlineStr">
        <is>
          <t>Edward Hoo</t>
        </is>
      </c>
      <c r="BI1963"/>
      <c r="BJ1963" s="4">
        <v>46144.754282407404</v>
      </c>
      <c r="BK1963" s="4">
        <v>46128.44097222222</v>
      </c>
      <c r="BL1963" t="inlineStr">
        <is>
          <t>0.0</t>
        </is>
      </c>
      <c r="BM1963" t="inlineStr">
        <is>
          <t>0.0</t>
        </is>
      </c>
      <c r="BN1963"/>
      <c r="BO1963" s="4"/>
      <c r="BP1963">
        <v>167322</v>
      </c>
      <c r="BQ1963"/>
      <c r="BR1963"/>
      <c r="BS1963"/>
      <c r="BT1963"/>
      <c r="BU1963"/>
      <c r="BV1963">
        <v>2723260</v>
      </c>
      <c r="BW1963" t="inlineStr">
        <is>
          <t>Follow Up : Lost - Paid Portal</t>
        </is>
      </c>
      <c r="BX1963"/>
      <c r="BY1963"/>
      <c r="BZ1963" s="4"/>
      <c r="CA1963"/>
      <c r="CB1963"/>
      <c r="CC1963" s="4"/>
      <c r="CD1963" t="inlineStr">
        <is>
          <t>20</t>
        </is>
      </c>
      <c r="CE1963" t="inlineStr">
        <is>
          <t>0</t>
        </is>
      </c>
      <c r="CF1963" t="inlineStr">
        <is>
          <t>Q2-W02</t>
        </is>
      </c>
      <c r="CG1963"/>
      <c r="CH1963"/>
      <c r="CI1963"/>
      <c r="CJ1963" t="inlineStr">
        <is>
          <t>No Paid</t>
        </is>
      </c>
      <c r="CK1963" t="inlineStr">
        <is>
          <t>Not Eligible</t>
        </is>
      </c>
      <c r="CL1963"/>
      <c r="CM1963"/>
    </row>
    <row r="1964" ht="25.5" customHeight="1">
      <c r="A1964" t="inlineStr">
        <is>
          <t>201145</t>
        </is>
      </c>
      <c r="B1964" s="2"/>
      <c r="C1964"/>
      <c r="D1964" s="3">
        <v>46128.44679398148</v>
      </c>
      <c r="E1964" t="inlineStr">
        <is>
          <t>Q2-W02</t>
        </is>
      </c>
      <c r="F1964" t="inlineStr">
        <is>
          <t>Lucas</t>
        </is>
      </c>
      <c r="G1964" t="inlineStr">
        <is>
          <t>Customer</t>
        </is>
      </c>
      <c r="H1964" s="2" t="str">
        <f>=HYPERLINK("https://upbox.ajobthing.my/customer/201145", "https://upbox.ajobthing.my/customer/201145")</f>
        <v>https://upbox.ajobthing.my/customer/201145</v>
      </c>
      <c r="I1964" t="inlineStr">
        <is>
          <t>Pink Territory Beauty</t>
        </is>
      </c>
      <c r="J1964" t="inlineStr">
        <is>
          <t>Small Fish</t>
        </is>
      </c>
      <c r="K1964" t="inlineStr">
        <is>
          <t>Lucas</t>
        </is>
      </c>
      <c r="L1964" s="4"/>
      <c r="M1964" s="4">
        <v>46128.444872685184</v>
      </c>
      <c r="N1964"/>
      <c r="O1964">
        <v>6048</v>
      </c>
      <c r="P1964" s="4"/>
      <c r="Q1964" s="4"/>
      <c r="R1964"/>
      <c r="S1964"/>
      <c r="T1964" s="4"/>
      <c r="U1964" s="4"/>
      <c r="V1964"/>
      <c r="W1964"/>
      <c r="X1964"/>
      <c r="Y1964" t="inlineStr">
        <is>
          <t>Pending Appointment</t>
        </is>
      </c>
      <c r="Z1964" t="inlineStr">
        <is>
          <t>Hiring Now</t>
        </is>
      </c>
      <c r="AA1964">
        <v>3</v>
      </c>
      <c r="AB1964" t="inlineStr">
        <is>
          <t>No Appointment Made</t>
        </is>
      </c>
      <c r="AC1964"/>
      <c r="AD1964" t="inlineStr">
        <is>
          <t xml:space="preserve">2 intern , 1 image consultancy , focus on intern </t>
        </is>
      </c>
      <c r="AE1964"/>
      <c r="AF1964">
        <v>0</v>
      </c>
      <c r="AG1964" s="4"/>
      <c r="AH1964" s="4"/>
      <c r="AI1964">
        <v>0</v>
      </c>
      <c r="AJ1964">
        <v>0</v>
      </c>
      <c r="AK1964" t="inlineStr">
        <is>
          <t>No, I don't need at all</t>
        </is>
      </c>
      <c r="AL1964">
        <v>0</v>
      </c>
      <c r="AM1964" t="inlineStr">
        <is>
          <t>No, I don't need at all</t>
        </is>
      </c>
      <c r="AN1964"/>
      <c r="AO1964" t="inlineStr">
        <is>
          <t>No, I don't need at all</t>
        </is>
      </c>
      <c r="AP1964" t="inlineStr">
        <is>
          <t>Once a year (25%)</t>
        </is>
      </c>
      <c r="AQ1964">
        <v>3</v>
      </c>
      <c r="AR1964" t="inlineStr">
        <is>
          <t>Did not use any job portal</t>
        </is>
      </c>
      <c r="AS1964" t="inlineStr">
        <is>
          <t>- Headcount: 3
- Hiring Job Details: 2 intern, 1 image consultancy, focus on intern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Did not use any job portal</t>
        </is>
      </c>
      <c r="AT1964">
        <v>75</v>
      </c>
      <c r="AU1964" t="inlineStr">
        <is>
          <t>0.75</t>
        </is>
      </c>
      <c r="AV1964" t="inlineStr">
        <is>
          <t>15</t>
        </is>
      </c>
      <c r="AW1964" t="inlineStr">
        <is>
          <t>0</t>
        </is>
      </c>
      <c r="AX1964" t="inlineStr">
        <is>
          <t>Not Qualified</t>
        </is>
      </c>
      <c r="AY1964" s="4"/>
      <c r="AZ1964"/>
      <c r="BA1964"/>
      <c r="BB1964"/>
      <c r="BC1964" t="inlineStr">
        <is>
          <t>no hiring needed already</t>
        </is>
      </c>
      <c r="BD1964" s="4">
        <v>46133.66079861111</v>
      </c>
      <c r="BE1964"/>
      <c r="BF1964"/>
      <c r="BG1964" t="inlineStr">
        <is>
          <t>Reschedule</t>
        </is>
      </c>
      <c r="BH1964" t="inlineStr">
        <is>
          <t>Yee Hang</t>
        </is>
      </c>
      <c r="BI1964"/>
      <c r="BJ1964" s="4">
        <v>46144.75372685185</v>
      </c>
      <c r="BK1964" s="4">
        <v>46063.778333333335</v>
      </c>
      <c r="BL1964" t="inlineStr">
        <is>
          <t>0.0</t>
        </is>
      </c>
      <c r="BM1964" t="inlineStr">
        <is>
          <t>0.0</t>
        </is>
      </c>
      <c r="BN1964" t="inlineStr">
        <is>
          <t>View Jobmanager Page</t>
        </is>
      </c>
      <c r="BO1964" s="4">
        <v>46063.80756944444</v>
      </c>
      <c r="BP1964">
        <v>167320</v>
      </c>
      <c r="BQ1964"/>
      <c r="BR1964"/>
      <c r="BS1964"/>
      <c r="BT1964"/>
      <c r="BU1964"/>
      <c r="BV1964">
        <v>2718648</v>
      </c>
      <c r="BW1964" t="inlineStr">
        <is>
          <t>Follow Up : Lost - Free Portal</t>
        </is>
      </c>
      <c r="BX1964"/>
      <c r="BY1964"/>
      <c r="BZ1964" s="4"/>
      <c r="CA1964"/>
      <c r="CB1964"/>
      <c r="CC1964" s="4"/>
      <c r="CD1964" t="inlineStr">
        <is>
          <t>20</t>
        </is>
      </c>
      <c r="CE1964" t="inlineStr">
        <is>
          <t>0</t>
        </is>
      </c>
      <c r="CF1964" t="inlineStr">
        <is>
          <t>Q2-W02</t>
        </is>
      </c>
      <c r="CG1964"/>
      <c r="CH1964"/>
      <c r="CI1964"/>
      <c r="CJ1964" t="inlineStr">
        <is>
          <t>No Paid</t>
        </is>
      </c>
      <c r="CK1964" t="inlineStr">
        <is>
          <t>Not Eligible</t>
        </is>
      </c>
      <c r="CL1964"/>
      <c r="CM1964"/>
    </row>
    <row r="1965" ht="25.5" customHeight="1">
      <c r="A1965" t="inlineStr">
        <is>
          <t>151173</t>
        </is>
      </c>
      <c r="B1965" s="2"/>
      <c r="C1965"/>
      <c r="D1965" s="3">
        <v>46128.45040509259</v>
      </c>
      <c r="E1965" t="inlineStr">
        <is>
          <t>Q2-W02</t>
        </is>
      </c>
      <c r="F1965" t="inlineStr">
        <is>
          <t>Dickson</t>
        </is>
      </c>
      <c r="G1965" t="inlineStr">
        <is>
          <t>Customer</t>
        </is>
      </c>
      <c r="H1965" s="2" t="str">
        <f>=HYPERLINK("https://upbox.ajobthing.my/customer/151173", "https://upbox.ajobthing.my/customer/151173")</f>
        <v>https://upbox.ajobthing.my/customer/151173</v>
      </c>
      <c r="I1965" t="inlineStr">
        <is>
          <t xml:space="preserve">Anwill Design Sdn Bhd </t>
        </is>
      </c>
      <c r="J1965" t="inlineStr">
        <is>
          <t>Small Fish</t>
        </is>
      </c>
      <c r="K1965" t="inlineStr">
        <is>
          <t>Dickson</t>
        </is>
      </c>
      <c r="L1965" s="4"/>
      <c r="M1965" s="4">
        <v>46128.45049768518</v>
      </c>
      <c r="N1965"/>
      <c r="O1965">
        <v>3888</v>
      </c>
      <c r="P1965" s="4"/>
      <c r="Q1965" s="4">
        <v>44648.685219907406</v>
      </c>
      <c r="R1965"/>
      <c r="S1965">
        <v>636</v>
      </c>
      <c r="T1965" s="4">
        <v>44648.685219907406</v>
      </c>
      <c r="U1965" s="4"/>
      <c r="V1965"/>
      <c r="W1965">
        <v>636</v>
      </c>
      <c r="X1965"/>
      <c r="Y1965" t="inlineStr">
        <is>
          <t>Pending Appointment</t>
        </is>
      </c>
      <c r="Z1965" t="inlineStr">
        <is>
          <t>Hiring Now</t>
        </is>
      </c>
      <c r="AA1965">
        <v>2</v>
      </c>
      <c r="AB1965" t="inlineStr">
        <is>
          <t>No Appointment Made</t>
        </is>
      </c>
      <c r="AC1965"/>
      <c r="AD1965" t="inlineStr">
        <is>
          <t>1 graphic designer, 1 sales executive</t>
        </is>
      </c>
      <c r="AE1965"/>
      <c r="AF1965"/>
      <c r="AG1965" s="4"/>
      <c r="AH1965" s="4"/>
      <c r="AI1965"/>
      <c r="AJ1965">
        <v>1</v>
      </c>
      <c r="AK1965" t="inlineStr">
        <is>
          <t>No, I don't need at all</t>
        </is>
      </c>
      <c r="AL1965"/>
      <c r="AM1965" t="inlineStr">
        <is>
          <t>No, I don't need at all</t>
        </is>
      </c>
      <c r="AN1965"/>
      <c r="AO1965" t="inlineStr">
        <is>
          <t>No, I don't need at all</t>
        </is>
      </c>
      <c r="AP1965" t="inlineStr">
        <is>
          <t>Once per quarter (75%)</t>
        </is>
      </c>
      <c r="AQ1965"/>
      <c r="AR1965"/>
      <c r="AS1965" t="inlineStr">
        <is>
          <t>- Headcount: 2
- Hiring Job Details: 1 graphic designer, 1 sales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1965">
        <v>95</v>
      </c>
      <c r="AU1965" t="inlineStr">
        <is>
          <t>0.95</t>
        </is>
      </c>
      <c r="AV1965" t="inlineStr">
        <is>
          <t>5</t>
        </is>
      </c>
      <c r="AW1965" t="inlineStr">
        <is>
          <t>0</t>
        </is>
      </c>
      <c r="AX1965" t="inlineStr">
        <is>
          <t>Not Qualified</t>
        </is>
      </c>
      <c r="AY1965" s="4"/>
      <c r="AZ1965"/>
      <c r="BA1965"/>
      <c r="BB1965"/>
      <c r="BC1965" t="inlineStr">
        <is>
          <t>asked to cb</t>
        </is>
      </c>
      <c r="BD1965" s="4">
        <v>46139.783113425925</v>
      </c>
      <c r="BE1965" t="inlineStr">
        <is>
          <t>paid</t>
        </is>
      </c>
      <c r="BF1965"/>
      <c r="BG1965" t="inlineStr">
        <is>
          <t>Reschedule</t>
        </is>
      </c>
      <c r="BH1965" t="inlineStr">
        <is>
          <t>Edward Hoo</t>
        </is>
      </c>
      <c r="BI1965" t="inlineStr">
        <is>
          <t>Architecture / Interior Design</t>
        </is>
      </c>
      <c r="BJ1965" s="4">
        <v>46144.75087962963</v>
      </c>
      <c r="BK1965" s="4">
        <v>44648.65660879629</v>
      </c>
      <c r="BL1965" t="inlineStr">
        <is>
          <t>0.0</t>
        </is>
      </c>
      <c r="BM1965" t="inlineStr">
        <is>
          <t>600.0</t>
        </is>
      </c>
      <c r="BN1965" t="inlineStr">
        <is>
          <t>View Jobmanager Page</t>
        </is>
      </c>
      <c r="BO1965" s="4">
        <v>44699.70784722222</v>
      </c>
      <c r="BP1965">
        <v>167328</v>
      </c>
      <c r="BQ1965">
        <v>42712</v>
      </c>
      <c r="BR1965" t="inlineStr">
        <is>
          <t>Online</t>
        </is>
      </c>
      <c r="BS1965"/>
      <c r="BT1965">
        <v>42712</v>
      </c>
      <c r="BU1965"/>
      <c r="BV1965">
        <v>2731628</v>
      </c>
      <c r="BW1965" t="inlineStr">
        <is>
          <t>Follow Up : Quotation Sent 50%</t>
        </is>
      </c>
      <c r="BX1965"/>
      <c r="BY1965"/>
      <c r="BZ1965" s="4"/>
      <c r="CA1965"/>
      <c r="CB1965"/>
      <c r="CC1965" s="4"/>
      <c r="CD1965" t="inlineStr">
        <is>
          <t>5</t>
        </is>
      </c>
      <c r="CE1965" t="inlineStr">
        <is>
          <t>0</t>
        </is>
      </c>
      <c r="CF1965" t="inlineStr">
        <is>
          <t>Q2-W02</t>
        </is>
      </c>
      <c r="CG1965"/>
      <c r="CH1965"/>
      <c r="CI1965"/>
      <c r="CJ1965" t="inlineStr">
        <is>
          <t>Paid</t>
        </is>
      </c>
      <c r="CK1965" t="inlineStr">
        <is>
          <t>Not Eligible</t>
        </is>
      </c>
      <c r="CL1965"/>
      <c r="CM1965"/>
    </row>
    <row r="1966" ht="25.5" customHeight="1">
      <c r="A1966" t="inlineStr">
        <is>
          <t>203300</t>
        </is>
      </c>
      <c r="B1966" s="2"/>
      <c r="C1966"/>
      <c r="D1966" s="3">
        <v>46128.46488425926</v>
      </c>
      <c r="E1966" t="inlineStr">
        <is>
          <t>Q2-W02</t>
        </is>
      </c>
      <c r="F1966" t="inlineStr">
        <is>
          <t>Keegan</t>
        </is>
      </c>
      <c r="G1966" t="inlineStr">
        <is>
          <t>Customer</t>
        </is>
      </c>
      <c r="H1966" s="2" t="str">
        <f>=HYPERLINK("https://upbox.ajobthing.my/customer/203300", "https://upbox.ajobthing.my/customer/203300")</f>
        <v>https://upbox.ajobthing.my/customer/203300</v>
      </c>
      <c r="I1966" t="inlineStr">
        <is>
          <t>Ipetro Services Sdn Bhd</t>
        </is>
      </c>
      <c r="J1966" t="inlineStr">
        <is>
          <t>Small Fish</t>
        </is>
      </c>
      <c r="K1966" t="inlineStr">
        <is>
          <t>Keegan</t>
        </is>
      </c>
      <c r="L1966" s="4"/>
      <c r="M1966" s="4">
        <v>46128.46497685185</v>
      </c>
      <c r="N1966"/>
      <c r="O1966">
        <v>6048</v>
      </c>
      <c r="P1966" s="4"/>
      <c r="Q1966" s="4"/>
      <c r="R1966"/>
      <c r="S1966"/>
      <c r="T1966" s="4"/>
      <c r="U1966" s="4"/>
      <c r="V1966"/>
      <c r="W1966"/>
      <c r="X1966"/>
      <c r="Y1966" t="inlineStr">
        <is>
          <t>Pending Appointment</t>
        </is>
      </c>
      <c r="Z1966" t="inlineStr">
        <is>
          <t>Hiring Now</t>
        </is>
      </c>
      <c r="AA1966">
        <v>6</v>
      </c>
      <c r="AB1966" t="inlineStr">
        <is>
          <t>No Appointment Made</t>
        </is>
      </c>
      <c r="AC1966"/>
      <c r="AD1966" t="inlineStr">
        <is>
          <t xml:space="preserve">1. Corrosion Engineer 
2. Project Engineer 
3. Mechanical Intern
4. Sales 
5. HR Admin
6. Digital Marketing Internship </t>
        </is>
      </c>
      <c r="AE1966"/>
      <c r="AF1966"/>
      <c r="AG1966" s="4"/>
      <c r="AH1966" s="4"/>
      <c r="AI1966"/>
      <c r="AJ1966">
        <v>1</v>
      </c>
      <c r="AK1966" t="inlineStr">
        <is>
          <t>No, I don't need at all</t>
        </is>
      </c>
      <c r="AL1966">
        <v>0</v>
      </c>
      <c r="AM1966" t="inlineStr">
        <is>
          <t>No, I don't need at all</t>
        </is>
      </c>
      <c r="AN1966"/>
      <c r="AO1966" t="inlineStr">
        <is>
          <t>No, I don't need at all</t>
        </is>
      </c>
      <c r="AP1966" t="inlineStr">
        <is>
          <t>Once per quarter (75%)</t>
        </is>
      </c>
      <c r="AQ1966"/>
      <c r="AR1966" t="inlineStr">
        <is>
          <t>Did not use any job portal</t>
        </is>
      </c>
      <c r="AS1966" t="inlineStr">
        <is>
          <t>- Headcount: 6
- Hiring Job Details: 1. Corrosion Engineer 2. Project Engineer 3. Mechanical Intern 4. Sales 5. HR Admin 6. Digital Marketing Internship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966">
        <v>65</v>
      </c>
      <c r="AU1966" t="inlineStr">
        <is>
          <t>0.65</t>
        </is>
      </c>
      <c r="AV1966" t="inlineStr">
        <is>
          <t>10</t>
        </is>
      </c>
      <c r="AW1966" t="inlineStr">
        <is>
          <t>0</t>
        </is>
      </c>
      <c r="AX1966" t="inlineStr">
        <is>
          <t>Not Qualified</t>
        </is>
      </c>
      <c r="AY1966" s="4"/>
      <c r="AZ1966"/>
      <c r="BA1966"/>
      <c r="BB1966"/>
      <c r="BC1966" t="inlineStr">
        <is>
          <t>Lost due to budget concern</t>
        </is>
      </c>
      <c r="BD1966" s="4">
        <v>46132.43582175926</v>
      </c>
      <c r="BE1966"/>
      <c r="BF1966"/>
      <c r="BG1966" t="inlineStr">
        <is>
          <t>Reschedule</t>
        </is>
      </c>
      <c r="BH1966" t="inlineStr">
        <is>
          <t>Edward Hoo</t>
        </is>
      </c>
      <c r="BI1966"/>
      <c r="BJ1966" s="4">
        <v>46144.754282407404</v>
      </c>
      <c r="BK1966" s="4">
        <v>46128.46277777778</v>
      </c>
      <c r="BL1966" t="inlineStr">
        <is>
          <t>0.0</t>
        </is>
      </c>
      <c r="BM1966" t="inlineStr">
        <is>
          <t>0.0</t>
        </is>
      </c>
      <c r="BN1966"/>
      <c r="BO1966" s="4"/>
      <c r="BP1966">
        <v>167339</v>
      </c>
      <c r="BQ1966"/>
      <c r="BR1966"/>
      <c r="BS1966"/>
      <c r="BT1966"/>
      <c r="BU1966"/>
      <c r="BV1966">
        <v>2714855</v>
      </c>
      <c r="BW1966" t="inlineStr">
        <is>
          <t>Follow Up : Budget Concern</t>
        </is>
      </c>
      <c r="BX1966"/>
      <c r="BY1966"/>
      <c r="BZ1966" s="4"/>
      <c r="CA1966"/>
      <c r="CB1966"/>
      <c r="CC1966" s="4"/>
      <c r="CD1966" t="inlineStr">
        <is>
          <t>15</t>
        </is>
      </c>
      <c r="CE1966" t="inlineStr">
        <is>
          <t>0</t>
        </is>
      </c>
      <c r="CF1966" t="inlineStr">
        <is>
          <t>Q2-W02</t>
        </is>
      </c>
      <c r="CG1966"/>
      <c r="CH1966"/>
      <c r="CI1966"/>
      <c r="CJ1966" t="inlineStr">
        <is>
          <t>No Paid</t>
        </is>
      </c>
      <c r="CK1966" t="inlineStr">
        <is>
          <t>Not Eligible</t>
        </is>
      </c>
      <c r="CL1966"/>
      <c r="CM1966"/>
    </row>
    <row r="1967" ht="25.5" customHeight="1">
      <c r="A1967" t="inlineStr">
        <is>
          <t>141299</t>
        </is>
      </c>
      <c r="B1967" s="2"/>
      <c r="C1967"/>
      <c r="D1967" s="3">
        <v>46128.46494212963</v>
      </c>
      <c r="E1967" t="inlineStr">
        <is>
          <t>Q2-W02</t>
        </is>
      </c>
      <c r="F1967" t="inlineStr">
        <is>
          <t>Eugene</t>
        </is>
      </c>
      <c r="G1967" t="inlineStr">
        <is>
          <t>Customer</t>
        </is>
      </c>
      <c r="H1967" s="2" t="str">
        <f>=HYPERLINK("https://upbox.ajobthing.my/customer/141299", "https://upbox.ajobthing.my/customer/141299")</f>
        <v>https://upbox.ajobthing.my/customer/141299</v>
      </c>
      <c r="I1967" t="inlineStr">
        <is>
          <t>Ada Agency</t>
        </is>
      </c>
      <c r="J1967" t="inlineStr">
        <is>
          <t>Small Fish</t>
        </is>
      </c>
      <c r="K1967" t="inlineStr">
        <is>
          <t>Eugene</t>
        </is>
      </c>
      <c r="L1967" s="4"/>
      <c r="M1967" s="4">
        <v>46128.46503472222</v>
      </c>
      <c r="N1967"/>
      <c r="O1967">
        <v>3888</v>
      </c>
      <c r="P1967" s="4"/>
      <c r="Q1967" s="4"/>
      <c r="R1967"/>
      <c r="S1967"/>
      <c r="T1967" s="4"/>
      <c r="U1967" s="4"/>
      <c r="V1967"/>
      <c r="W1967"/>
      <c r="X1967"/>
      <c r="Y1967" t="inlineStr">
        <is>
          <t>Pending Appointment</t>
        </is>
      </c>
      <c r="Z1967" t="inlineStr">
        <is>
          <t>Hiring Now</t>
        </is>
      </c>
      <c r="AA1967">
        <v>1</v>
      </c>
      <c r="AB1967" t="inlineStr">
        <is>
          <t>No Appointment Made</t>
        </is>
      </c>
      <c r="AC1967"/>
      <c r="AD1967" t="inlineStr">
        <is>
          <t>1 live host, based in Kelantan</t>
        </is>
      </c>
      <c r="AE1967"/>
      <c r="AF1967">
        <v>3000</v>
      </c>
      <c r="AG1967" s="4"/>
      <c r="AH1967" s="4"/>
      <c r="AI1967">
        <v>3000</v>
      </c>
      <c r="AJ1967">
        <v>1</v>
      </c>
      <c r="AK1967" t="inlineStr">
        <is>
          <t>No, I don't need at all</t>
        </is>
      </c>
      <c r="AL1967">
        <v>1</v>
      </c>
      <c r="AM1967" t="inlineStr">
        <is>
          <t>No, I don't need at all</t>
        </is>
      </c>
      <c r="AN1967"/>
      <c r="AO1967" t="inlineStr">
        <is>
          <t>No, I don't need at all</t>
        </is>
      </c>
      <c r="AP1967" t="inlineStr">
        <is>
          <t>Once a year (25%)</t>
        </is>
      </c>
      <c r="AQ1967">
        <v>2</v>
      </c>
      <c r="AR1967" t="inlineStr">
        <is>
          <t>Free Job Portal</t>
        </is>
      </c>
      <c r="AS1967" t="inlineStr">
        <is>
          <t>- Headcount: 1
- Hiring Job Details: 1 live host, based in Kelantan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AT1967">
        <v>115</v>
      </c>
      <c r="AU1967" t="inlineStr">
        <is>
          <t>1.15</t>
        </is>
      </c>
      <c r="AV1967" t="inlineStr">
        <is>
          <t>15</t>
        </is>
      </c>
      <c r="AW1967" t="inlineStr">
        <is>
          <t>0</t>
        </is>
      </c>
      <c r="AX1967" t="inlineStr">
        <is>
          <t>Not Qualified</t>
        </is>
      </c>
      <c r="AY1967" s="4"/>
      <c r="AZ1967"/>
      <c r="BA1967"/>
      <c r="BB1967"/>
      <c r="BC1967" t="inlineStr">
        <is>
          <t>Azizi // Penidng</t>
        </is>
      </c>
      <c r="BD1967" s="4">
        <v>46132.687106481484</v>
      </c>
      <c r="BE1967"/>
      <c r="BF1967"/>
      <c r="BG1967" t="inlineStr">
        <is>
          <t>Reschedule</t>
        </is>
      </c>
      <c r="BH1967" t="inlineStr">
        <is>
          <t>Edward Hoo</t>
        </is>
      </c>
      <c r="BI1967"/>
      <c r="BJ1967" s="4">
        <v>46144.75067129629</v>
      </c>
      <c r="BK1967" s="4">
        <v>44466.704872685186</v>
      </c>
      <c r="BL1967" t="inlineStr">
        <is>
          <t>0.0</t>
        </is>
      </c>
      <c r="BM1967" t="inlineStr">
        <is>
          <t>0.0</t>
        </is>
      </c>
      <c r="BN1967" t="inlineStr">
        <is>
          <t>View Jobmanager Page</t>
        </is>
      </c>
      <c r="BO1967" s="4">
        <v>44466.7334375</v>
      </c>
      <c r="BP1967">
        <v>167340</v>
      </c>
      <c r="BQ1967"/>
      <c r="BR1967"/>
      <c r="BS1967"/>
      <c r="BT1967"/>
      <c r="BU1967"/>
      <c r="BV1967">
        <v>2716312</v>
      </c>
      <c r="BW1967" t="inlineStr">
        <is>
          <t>Follow Up : Decision Pending</t>
        </is>
      </c>
      <c r="BX1967"/>
      <c r="BY1967"/>
      <c r="BZ1967" s="4"/>
      <c r="CA1967"/>
      <c r="CB1967"/>
      <c r="CC1967" s="4"/>
      <c r="CD1967" t="inlineStr">
        <is>
          <t>20</t>
        </is>
      </c>
      <c r="CE1967" t="inlineStr">
        <is>
          <t>0</t>
        </is>
      </c>
      <c r="CF1967" t="inlineStr">
        <is>
          <t>Q2-W02</t>
        </is>
      </c>
      <c r="CG1967"/>
      <c r="CH1967"/>
      <c r="CI1967"/>
      <c r="CJ1967" t="inlineStr">
        <is>
          <t>No Paid</t>
        </is>
      </c>
      <c r="CK1967" t="inlineStr">
        <is>
          <t>Not Eligible</t>
        </is>
      </c>
      <c r="CL1967"/>
      <c r="CM1967"/>
    </row>
    <row r="1968" ht="25.5" customHeight="1">
      <c r="A1968" t="inlineStr">
        <is>
          <t>162050</t>
        </is>
      </c>
      <c r="B1968" s="2"/>
      <c r="C1968"/>
      <c r="D1968" s="3">
        <v>46128.46775462963</v>
      </c>
      <c r="E1968" t="inlineStr">
        <is>
          <t>Q2-W02</t>
        </is>
      </c>
      <c r="F1968" t="inlineStr">
        <is>
          <t>Derek Lim</t>
        </is>
      </c>
      <c r="G1968" t="inlineStr">
        <is>
          <t>Customer</t>
        </is>
      </c>
      <c r="H1968" s="2" t="str">
        <f>=HYPERLINK("https://upbox.ajobthing.my/customer/162050", "https://upbox.ajobthing.my/customer/162050")</f>
        <v>https://upbox.ajobthing.my/customer/162050</v>
      </c>
      <c r="I1968" t="inlineStr">
        <is>
          <t>Kawalan Api Engineering Sdn Bhd</t>
        </is>
      </c>
      <c r="J1968" t="inlineStr">
        <is>
          <t>Small Fish</t>
        </is>
      </c>
      <c r="K1968" t="inlineStr">
        <is>
          <t>Derek Lim</t>
        </is>
      </c>
      <c r="L1968" s="4"/>
      <c r="M1968" s="4">
        <v>46128.469722222224</v>
      </c>
      <c r="N1968"/>
      <c r="O1968">
        <v>6048</v>
      </c>
      <c r="P1968" s="4"/>
      <c r="Q1968" s="4"/>
      <c r="R1968"/>
      <c r="S1968"/>
      <c r="T1968" s="4"/>
      <c r="U1968" s="4"/>
      <c r="V1968"/>
      <c r="W1968"/>
      <c r="X1968"/>
      <c r="Y1968" t="inlineStr">
        <is>
          <t>Pending Appointment</t>
        </is>
      </c>
      <c r="Z1968" t="inlineStr">
        <is>
          <t>Hiring Now</t>
        </is>
      </c>
      <c r="AA1968">
        <v>2</v>
      </c>
      <c r="AB1968" t="inlineStr">
        <is>
          <t>No Appointment Made</t>
        </is>
      </c>
      <c r="AC1968"/>
      <c r="AD1968" t="inlineStr">
        <is>
          <t>Sales executive - 1, sales manager - 1</t>
        </is>
      </c>
      <c r="AE1968"/>
      <c r="AF1968">
        <v>500</v>
      </c>
      <c r="AG1968" s="4"/>
      <c r="AH1968" s="4"/>
      <c r="AI1968">
        <v>1500</v>
      </c>
      <c r="AJ1968">
        <v>3</v>
      </c>
      <c r="AK1968" t="inlineStr">
        <is>
          <t>No, but I want in future</t>
        </is>
      </c>
      <c r="AL1968">
        <v>0</v>
      </c>
      <c r="AM1968" t="inlineStr">
        <is>
          <t>No, I don't need at all</t>
        </is>
      </c>
      <c r="AN1968"/>
      <c r="AO1968" t="inlineStr">
        <is>
          <t>No, but I want in future</t>
        </is>
      </c>
      <c r="AP1968" t="inlineStr">
        <is>
          <t>Twice a year (50%)</t>
        </is>
      </c>
      <c r="AQ1968">
        <v>3</v>
      </c>
      <c r="AR1968" t="inlineStr">
        <is>
          <t>Jobstreet</t>
        </is>
      </c>
      <c r="AS1968" t="inlineStr">
        <is>
          <t>- Headcount: 2
- Hiring Job Details: 1 sales executive, 1 sales manager
- Hiring Urgency: Hiring Now
- Number of outlets: 3
- Have recruiter team: No, but want in future
- Number of recruiter in company: 0
- Have ATS system: No, don't need at all
- Have career website: No, but want in future
- Current hiring budget: RM500
- Whole year budget: RM1,500.00
- Whole year number of vacancies: 3
- Hiring frequency: Twice a year (50%)
- External job portal: Jobstreet</t>
        </is>
      </c>
      <c r="AT1968">
        <v>115</v>
      </c>
      <c r="AU1968" t="inlineStr">
        <is>
          <t>1.15</t>
        </is>
      </c>
      <c r="AV1968" t="inlineStr">
        <is>
          <t>15</t>
        </is>
      </c>
      <c r="AW1968" t="inlineStr">
        <is>
          <t>0</t>
        </is>
      </c>
      <c r="AX1968" t="inlineStr">
        <is>
          <t>Not Qualified</t>
        </is>
      </c>
      <c r="AY1968" s="4"/>
      <c r="AZ1968"/>
      <c r="BA1968"/>
      <c r="BB1968"/>
      <c r="BC1968" t="inlineStr">
        <is>
          <t>- Headcount: 2
- Hiring Job Details: 1 sales executive, 1 sales manager
- Hiring Urgency: Hiring Now
- Number of outlets: 3
- Have recruiter team: No, but want in future
- Number of recruiter in company: 0
- Have ATS system: No, don't need at all
- Have career website: No, but want in future
- Current hiring budget: RM500
- Whole year budget: RM1,500.00
- Whole year number of vacancies: 3
- Hiring frequency: Twice a year (50%)
- External job portal: Jobstreet</t>
        </is>
      </c>
      <c r="BD1968" s="4">
        <v>46128.50013888889</v>
      </c>
      <c r="BE1968"/>
      <c r="BF1968"/>
      <c r="BG1968" t="inlineStr">
        <is>
          <t>Reschedule</t>
        </is>
      </c>
      <c r="BH1968" t="inlineStr">
        <is>
          <t>Edward Hoo</t>
        </is>
      </c>
      <c r="BI1968" t="inlineStr">
        <is>
          <t>Engineering / Technical Consulting</t>
        </is>
      </c>
      <c r="BJ1968" s="4">
        <v>46144.751122685186</v>
      </c>
      <c r="BK1968" s="4">
        <v>44879.43</v>
      </c>
      <c r="BL1968" t="inlineStr">
        <is>
          <t>0.0</t>
        </is>
      </c>
      <c r="BM1968" t="inlineStr">
        <is>
          <t>0.0</t>
        </is>
      </c>
      <c r="BN1968" t="inlineStr">
        <is>
          <t>View Jobmanager Page</t>
        </is>
      </c>
      <c r="BO1968" s="4">
        <v>44879.52164351852</v>
      </c>
      <c r="BP1968">
        <v>167346</v>
      </c>
      <c r="BQ1968"/>
      <c r="BR1968"/>
      <c r="BS1968"/>
      <c r="BT1968"/>
      <c r="BU1968"/>
      <c r="BV1968">
        <v>2708654</v>
      </c>
      <c r="BW1968" t="inlineStr">
        <is>
          <t>Customer Inquiry</t>
        </is>
      </c>
      <c r="BX1968"/>
      <c r="BY1968"/>
      <c r="BZ1968" s="4"/>
      <c r="CA1968"/>
      <c r="CB1968"/>
      <c r="CC1968" s="4"/>
      <c r="CD1968" t="inlineStr">
        <is>
          <t>20</t>
        </is>
      </c>
      <c r="CE1968" t="inlineStr">
        <is>
          <t>0</t>
        </is>
      </c>
      <c r="CF1968" t="inlineStr">
        <is>
          <t>Q2-W02</t>
        </is>
      </c>
      <c r="CG1968"/>
      <c r="CH1968"/>
      <c r="CI1968"/>
      <c r="CJ1968" t="inlineStr">
        <is>
          <t>No Paid</t>
        </is>
      </c>
      <c r="CK1968" t="inlineStr">
        <is>
          <t>Not Eligible</t>
        </is>
      </c>
      <c r="CL1968"/>
      <c r="CM1968"/>
    </row>
    <row r="1969" ht="25.5" customHeight="1">
      <c r="A1969" t="inlineStr">
        <is>
          <t>203290</t>
        </is>
      </c>
      <c r="B1969" s="2"/>
      <c r="C1969"/>
      <c r="D1969" s="3">
        <v>46128.46806712963</v>
      </c>
      <c r="E1969" t="inlineStr">
        <is>
          <t>Q2-W02</t>
        </is>
      </c>
      <c r="F1969" t="inlineStr">
        <is>
          <t>Ken Yi</t>
        </is>
      </c>
      <c r="G1969" t="inlineStr">
        <is>
          <t>Customer</t>
        </is>
      </c>
      <c r="H1969" s="2" t="str">
        <f>=HYPERLINK("https://upbox.ajobthing.my/customer/203290", "https://upbox.ajobthing.my/customer/203290")</f>
        <v>https://upbox.ajobthing.my/customer/203290</v>
      </c>
      <c r="I1969" t="inlineStr">
        <is>
          <t xml:space="preserve">Fix it Hardware &amp; Electrical Sdn Bhd </t>
        </is>
      </c>
      <c r="J1969" t="inlineStr">
        <is>
          <t>Small Fish</t>
        </is>
      </c>
      <c r="K1969" t="inlineStr">
        <is>
          <t>Kenyi</t>
        </is>
      </c>
      <c r="L1969" s="4"/>
      <c r="M1969" s="4">
        <v>46128.46925925926</v>
      </c>
      <c r="N1969"/>
      <c r="O1969">
        <v>3672</v>
      </c>
      <c r="P1969" s="4"/>
      <c r="Q1969" s="4"/>
      <c r="R1969"/>
      <c r="S1969"/>
      <c r="T1969" s="4"/>
      <c r="U1969" s="4"/>
      <c r="V1969"/>
      <c r="W1969"/>
      <c r="X1969"/>
      <c r="Y1969" t="inlineStr">
        <is>
          <t>Pending Appointment</t>
        </is>
      </c>
      <c r="Z1969" t="inlineStr">
        <is>
          <t>Hiring Now</t>
        </is>
      </c>
      <c r="AA1969">
        <v>1</v>
      </c>
      <c r="AB1969" t="inlineStr">
        <is>
          <t>No Appointment Made</t>
        </is>
      </c>
      <c r="AC1969"/>
      <c r="AD1969" t="inlineStr">
        <is>
          <t>Retail</t>
        </is>
      </c>
      <c r="AE1969"/>
      <c r="AF1969">
        <v>0</v>
      </c>
      <c r="AG1969" s="4"/>
      <c r="AH1969" s="4"/>
      <c r="AI1969">
        <v>0</v>
      </c>
      <c r="AJ1969">
        <v>1</v>
      </c>
      <c r="AK1969" t="inlineStr">
        <is>
          <t>Yes, I have</t>
        </is>
      </c>
      <c r="AL1969">
        <v>1</v>
      </c>
      <c r="AM1969" t="inlineStr">
        <is>
          <t>No, I don't need at all</t>
        </is>
      </c>
      <c r="AN1969"/>
      <c r="AO1969" t="inlineStr">
        <is>
          <t>No, I don't need at all</t>
        </is>
      </c>
      <c r="AP1969" t="inlineStr">
        <is>
          <t>Once per quarter (75%)</t>
        </is>
      </c>
      <c r="AQ1969">
        <v>1</v>
      </c>
      <c r="AR1969" t="inlineStr">
        <is>
          <t>Free Job Portal</t>
        </is>
      </c>
      <c r="AS1969" t="inlineStr">
        <is>
          <t>- Headcount: 1
- Hiring Job Details: Retail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1
- Hiring frequency: Once per quarter (75%)
- External job portal: Free Job Portal</t>
        </is>
      </c>
      <c r="AT1969">
        <v>115</v>
      </c>
      <c r="AU1969" t="inlineStr">
        <is>
          <t>1.15</t>
        </is>
      </c>
      <c r="AV1969" t="inlineStr">
        <is>
          <t>15</t>
        </is>
      </c>
      <c r="AW1969" t="inlineStr">
        <is>
          <t>0</t>
        </is>
      </c>
      <c r="AX1969" t="inlineStr">
        <is>
          <t>Not Qualified</t>
        </is>
      </c>
      <c r="AY1969" s="4"/>
      <c r="AZ1969"/>
      <c r="BA1969"/>
      <c r="BB1969"/>
      <c r="BC1969" t="inlineStr">
        <is>
          <t>Rejected</t>
        </is>
      </c>
      <c r="BD1969" s="4">
        <v>46139.459641203706</v>
      </c>
      <c r="BE1969"/>
      <c r="BF1969"/>
      <c r="BG1969" t="inlineStr">
        <is>
          <t>Reschedule</t>
        </is>
      </c>
      <c r="BH1969" t="inlineStr">
        <is>
          <t>Fauziah Maharan</t>
        </is>
      </c>
      <c r="BI1969"/>
      <c r="BJ1969" s="4">
        <v>46144.754282407404</v>
      </c>
      <c r="BK1969" s="4">
        <v>46128.32575231481</v>
      </c>
      <c r="BL1969" t="inlineStr">
        <is>
          <t>0.0</t>
        </is>
      </c>
      <c r="BM1969" t="inlineStr">
        <is>
          <t>0.0</t>
        </is>
      </c>
      <c r="BN1969" t="inlineStr">
        <is>
          <t>View Create Job Page V4</t>
        </is>
      </c>
      <c r="BO1969" s="4">
        <v>46128.33167824074</v>
      </c>
      <c r="BP1969">
        <v>167345</v>
      </c>
      <c r="BQ1969"/>
      <c r="BR1969"/>
      <c r="BS1969"/>
      <c r="BT1969"/>
      <c r="BU1969"/>
      <c r="BV1969">
        <v>2728521</v>
      </c>
      <c r="BW1969" t="inlineStr">
        <is>
          <t>Follow Up : Lost - Free Portal</t>
        </is>
      </c>
      <c r="BX1969"/>
      <c r="BY1969"/>
      <c r="BZ1969" s="4"/>
      <c r="CA1969"/>
      <c r="CB1969"/>
      <c r="CC1969" s="4"/>
      <c r="CD1969" t="inlineStr">
        <is>
          <t>20</t>
        </is>
      </c>
      <c r="CE1969" t="inlineStr">
        <is>
          <t>0</t>
        </is>
      </c>
      <c r="CF1969" t="inlineStr">
        <is>
          <t>Q2-W02</t>
        </is>
      </c>
      <c r="CG1969"/>
      <c r="CH1969"/>
      <c r="CI1969"/>
      <c r="CJ1969" t="inlineStr">
        <is>
          <t>No Paid</t>
        </is>
      </c>
      <c r="CK1969" t="inlineStr">
        <is>
          <t>Not Eligible</t>
        </is>
      </c>
      <c r="CL1969"/>
      <c r="CM1969"/>
    </row>
    <row r="1970" ht="25.5" customHeight="1">
      <c r="A1970" t="inlineStr">
        <is>
          <t>4289136</t>
        </is>
      </c>
      <c r="B1970" s="2"/>
      <c r="C1970"/>
      <c r="D1970" s="3">
        <v>46128.480162037034</v>
      </c>
      <c r="E1970" t="inlineStr">
        <is>
          <t>Q2-W02</t>
        </is>
      </c>
      <c r="F1970" t="inlineStr">
        <is>
          <t>Janice Yap</t>
        </is>
      </c>
      <c r="G1970" t="inlineStr">
        <is>
          <t>Lead</t>
        </is>
      </c>
      <c r="H1970" s="2" t="str">
        <f>=HYPERLINK("https://upbox.ajobthing.my/leads/4289136", "https://upbox.ajobthing.my/leads/4289136")</f>
        <v>https://upbox.ajobthing.my/leads/4289136</v>
      </c>
      <c r="I1970" t="inlineStr">
        <is>
          <t>I HOME MARKETING</t>
        </is>
      </c>
      <c r="J1970" t="inlineStr">
        <is>
          <t>Small Fish</t>
        </is>
      </c>
      <c r="K1970" t="inlineStr">
        <is>
          <t>Janice</t>
        </is>
      </c>
      <c r="L1970" s="4"/>
      <c r="M1970" s="4">
        <v>46128.47554398148</v>
      </c>
      <c r="N1970"/>
      <c r="O1970">
        <v>3888</v>
      </c>
      <c r="P1970" s="4"/>
      <c r="Q1970" s="4"/>
      <c r="R1970"/>
      <c r="S1970"/>
      <c r="T1970" s="4"/>
      <c r="U1970" s="4"/>
      <c r="V1970"/>
      <c r="W1970"/>
      <c r="X1970"/>
      <c r="Y1970" t="inlineStr">
        <is>
          <t>Pending Appointment</t>
        </is>
      </c>
      <c r="Z1970" t="inlineStr">
        <is>
          <t>Hiring Now</t>
        </is>
      </c>
      <c r="AA1970">
        <v>2</v>
      </c>
      <c r="AB1970" t="inlineStr">
        <is>
          <t>No Appointment Made</t>
        </is>
      </c>
      <c r="AC1970"/>
      <c r="AD1970" t="inlineStr">
        <is>
          <t>1 admin // 1 admin assistant handle showroom</t>
        </is>
      </c>
      <c r="AE1970"/>
      <c r="AF1970">
        <v>0</v>
      </c>
      <c r="AG1970" s="4"/>
      <c r="AH1970" s="4"/>
      <c r="AI1970">
        <v>0</v>
      </c>
      <c r="AJ1970"/>
      <c r="AK1970" t="inlineStr">
        <is>
          <t>No, I don't need at all</t>
        </is>
      </c>
      <c r="AL1970">
        <v>0</v>
      </c>
      <c r="AM1970" t="inlineStr">
        <is>
          <t>No, I don't need at all</t>
        </is>
      </c>
      <c r="AN1970"/>
      <c r="AO1970" t="inlineStr">
        <is>
          <t>No, I don't need at all</t>
        </is>
      </c>
      <c r="AP1970" t="inlineStr">
        <is>
          <t>Once a year (25%)</t>
        </is>
      </c>
      <c r="AQ1970">
        <v>2</v>
      </c>
      <c r="AR1970" t="inlineStr">
        <is>
          <t>Indeed (Paid)</t>
        </is>
      </c>
      <c r="AS1970" t="inlineStr">
        <is>
          <t>- Headcount: 2
- Hiring Job Details: 1 admin // 1 admin assistant handle showroom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Indeed (Paid)</t>
        </is>
      </c>
      <c r="AT1970">
        <v>95</v>
      </c>
      <c r="AU1970" t="inlineStr">
        <is>
          <t>0.95</t>
        </is>
      </c>
      <c r="AV1970" t="inlineStr">
        <is>
          <t>15</t>
        </is>
      </c>
      <c r="AW1970" t="inlineStr">
        <is>
          <t>0</t>
        </is>
      </c>
      <c r="AX1970" t="inlineStr">
        <is>
          <t>Not Qualified</t>
        </is>
      </c>
      <c r="AY1970" s="4"/>
      <c r="AZ1970"/>
      <c r="BA1970"/>
      <c r="BB1970"/>
      <c r="BC1970"/>
      <c r="BD1970" s="4"/>
      <c r="BE1970"/>
      <c r="BF1970"/>
      <c r="BG1970" t="inlineStr">
        <is>
          <t>Reschedule</t>
        </is>
      </c>
      <c r="BH1970" t="inlineStr">
        <is>
          <t>Yee Hang</t>
        </is>
      </c>
      <c r="BI1970"/>
      <c r="BJ1970" s="4">
        <v>46144.755833333336</v>
      </c>
      <c r="BK1970" s="4">
        <v>46128.45071759259</v>
      </c>
      <c r="BL1970" t="inlineStr">
        <is>
          <t>0.0</t>
        </is>
      </c>
      <c r="BM1970" t="inlineStr">
        <is>
          <t>0.0</t>
        </is>
      </c>
      <c r="BN1970"/>
      <c r="BO1970" s="4"/>
      <c r="BP1970">
        <v>167351</v>
      </c>
      <c r="BQ1970"/>
      <c r="BR1970"/>
      <c r="BS1970"/>
      <c r="BT1970"/>
      <c r="BU1970"/>
      <c r="BV1970"/>
      <c r="BW1970"/>
      <c r="BX1970"/>
      <c r="BY1970"/>
      <c r="BZ1970" s="4"/>
      <c r="CA1970"/>
      <c r="CB1970"/>
      <c r="CC1970" s="4"/>
      <c r="CD1970" t="inlineStr">
        <is>
          <t>20</t>
        </is>
      </c>
      <c r="CE1970" t="inlineStr">
        <is>
          <t>0</t>
        </is>
      </c>
      <c r="CF1970" t="inlineStr">
        <is>
          <t>Q2-W02</t>
        </is>
      </c>
      <c r="CG1970"/>
      <c r="CH1970"/>
      <c r="CI1970"/>
      <c r="CJ1970" t="inlineStr">
        <is>
          <t>No Paid</t>
        </is>
      </c>
      <c r="CK1970" t="inlineStr">
        <is>
          <t>Not Eligible</t>
        </is>
      </c>
      <c r="CL1970"/>
      <c r="CM1970"/>
    </row>
    <row r="1971" ht="25.5" customHeight="1">
      <c r="A1971" t="inlineStr">
        <is>
          <t>203302</t>
        </is>
      </c>
      <c r="B1971" s="2"/>
      <c r="C1971"/>
      <c r="D1971" s="3">
        <v>46128.48125</v>
      </c>
      <c r="E1971" t="inlineStr">
        <is>
          <t>Q2-W02</t>
        </is>
      </c>
      <c r="F1971" t="inlineStr">
        <is>
          <t>Derek Lim</t>
        </is>
      </c>
      <c r="G1971" t="inlineStr">
        <is>
          <t>Customer</t>
        </is>
      </c>
      <c r="H1971" s="2" t="str">
        <f>=HYPERLINK("https://upbox.ajobthing.my/customer/203302", "https://upbox.ajobthing.my/customer/203302")</f>
        <v>https://upbox.ajobthing.my/customer/203302</v>
      </c>
      <c r="I1971" t="inlineStr">
        <is>
          <t>FITTERS Sdn Bhd</t>
        </is>
      </c>
      <c r="J1971" t="inlineStr">
        <is>
          <t>Small Fish</t>
        </is>
      </c>
      <c r="K1971" t="inlineStr">
        <is>
          <t>Derek Lim</t>
        </is>
      </c>
      <c r="L1971" s="4"/>
      <c r="M1971" s="4">
        <v>46128.4816087963</v>
      </c>
      <c r="N1971"/>
      <c r="O1971">
        <v>6048</v>
      </c>
      <c r="P1971" s="4"/>
      <c r="Q1971" s="4">
        <v>46133.435578703706</v>
      </c>
      <c r="R1971"/>
      <c r="S1971">
        <v>6048</v>
      </c>
      <c r="T1971" s="4"/>
      <c r="U1971" s="4"/>
      <c r="V1971"/>
      <c r="W1971"/>
      <c r="X1971"/>
      <c r="Y1971" t="inlineStr">
        <is>
          <t>Pending Appointment</t>
        </is>
      </c>
      <c r="Z1971" t="inlineStr">
        <is>
          <t>Hiring Now</t>
        </is>
      </c>
      <c r="AA1971">
        <v>2</v>
      </c>
      <c r="AB1971" t="inlineStr">
        <is>
          <t>No Appointment Made</t>
        </is>
      </c>
      <c r="AC1971"/>
      <c r="AD1971" t="inlineStr">
        <is>
          <t>Sales executive - 1, Sales Manager - 1</t>
        </is>
      </c>
      <c r="AE1971"/>
      <c r="AF1971">
        <v>1000</v>
      </c>
      <c r="AG1971" s="4"/>
      <c r="AH1971" s="4"/>
      <c r="AI1971">
        <v>2000</v>
      </c>
      <c r="AJ1971">
        <v>2</v>
      </c>
      <c r="AK1971" t="inlineStr">
        <is>
          <t>No, but I want in future</t>
        </is>
      </c>
      <c r="AL1971">
        <v>0</v>
      </c>
      <c r="AM1971" t="inlineStr">
        <is>
          <t>No, I don't need at all</t>
        </is>
      </c>
      <c r="AN1971"/>
      <c r="AO1971" t="inlineStr">
        <is>
          <t>No, but I want in future</t>
        </is>
      </c>
      <c r="AP1971" t="inlineStr">
        <is>
          <t>Once a year (25%)</t>
        </is>
      </c>
      <c r="AQ1971">
        <v>3</v>
      </c>
      <c r="AR1971" t="inlineStr">
        <is>
          <t>Jobstreet</t>
        </is>
      </c>
      <c r="AS1971" t="inlineStr">
        <is>
          <t>- Headcount: 2
- Hiring Job Details: 1 Sales executive, 1 Sales Manager
- Hiring Urgency: Hiring Now
- Number of outlets: 2
- Have recruiter team: No, but want in future
- Number of recruiter in company: 0
- Have ATS system: No, don't need at all
- Have career website: No, but want in future
- Current hiring budget: RM1,000
- Whole year budget: RM2,000.00
- Whole year number of vacancies: 3
- Hiring frequency: Once a year (25%)
- External job portal: Jobstreet</t>
        </is>
      </c>
      <c r="AT1971">
        <v>115</v>
      </c>
      <c r="AU1971" t="inlineStr">
        <is>
          <t>1.15</t>
        </is>
      </c>
      <c r="AV1971" t="inlineStr">
        <is>
          <t>15</t>
        </is>
      </c>
      <c r="AW1971" t="inlineStr">
        <is>
          <t>0</t>
        </is>
      </c>
      <c r="AX1971" t="inlineStr">
        <is>
          <t>Not Qualified</t>
        </is>
      </c>
      <c r="AY1971" s="4"/>
      <c r="AZ1971"/>
      <c r="BA1971"/>
      <c r="BB1971"/>
      <c r="BC1971" t="inlineStr">
        <is>
          <t>SHE MENTION MANAGEMENT ALREADY APPROVE, WILL SEND THE INVOICE TO ACCOUNT TO OUT THE PAYMENT. THIS WEEK NOT ABLE TO RELEASE SHOULD BE NEXT WEEK</t>
        </is>
      </c>
      <c r="BD1971" s="4">
        <v>46141.48924768518</v>
      </c>
      <c r="BE1971" t="inlineStr">
        <is>
          <t>pending</t>
        </is>
      </c>
      <c r="BF1971"/>
      <c r="BG1971" t="inlineStr">
        <is>
          <t>Reschedule</t>
        </is>
      </c>
      <c r="BH1971" t="inlineStr">
        <is>
          <t>Edward Hoo</t>
        </is>
      </c>
      <c r="BI1971"/>
      <c r="BJ1971" s="4">
        <v>46144.754282407404</v>
      </c>
      <c r="BK1971" s="4">
        <v>46128.47864583333</v>
      </c>
      <c r="BL1971" t="inlineStr">
        <is>
          <t>0.0</t>
        </is>
      </c>
      <c r="BM1971" t="inlineStr">
        <is>
          <t>0.0</t>
        </is>
      </c>
      <c r="BN1971"/>
      <c r="BO1971" s="4"/>
      <c r="BP1971">
        <v>167357</v>
      </c>
      <c r="BQ1971">
        <v>123416</v>
      </c>
      <c r="BR1971" t="inlineStr">
        <is>
          <t>Proforma</t>
        </is>
      </c>
      <c r="BS1971" t="inlineStr">
        <is>
          <t>AI Yearly Professional Plan (Jan 26)</t>
        </is>
      </c>
      <c r="BT1971"/>
      <c r="BU1971"/>
      <c r="BV1971">
        <v>2734796</v>
      </c>
      <c r="BW1971" t="inlineStr">
        <is>
          <t>Follow Up : Payment Pending</t>
        </is>
      </c>
      <c r="BX1971"/>
      <c r="BY1971"/>
      <c r="BZ1971" s="4"/>
      <c r="CA1971"/>
      <c r="CB1971"/>
      <c r="CC1971" s="4"/>
      <c r="CD1971" t="inlineStr">
        <is>
          <t>20</t>
        </is>
      </c>
      <c r="CE1971" t="inlineStr">
        <is>
          <t>0</t>
        </is>
      </c>
      <c r="CF1971" t="inlineStr">
        <is>
          <t>Q2-W02</t>
        </is>
      </c>
      <c r="CG1971" t="inlineStr">
        <is>
          <t>Q2-W03</t>
        </is>
      </c>
      <c r="CH1971"/>
      <c r="CI1971"/>
      <c r="CJ1971" t="inlineStr">
        <is>
          <t>No Paid</t>
        </is>
      </c>
      <c r="CK1971" t="inlineStr">
        <is>
          <t>Not Eligible</t>
        </is>
      </c>
      <c r="CL1971"/>
      <c r="CM1971"/>
    </row>
    <row r="1972" ht="25.5" customHeight="1">
      <c r="A1972" t="inlineStr">
        <is>
          <t>4289244</t>
        </is>
      </c>
      <c r="B1972" s="2"/>
      <c r="C1972"/>
      <c r="D1972" s="3">
        <v>46128.485659722224</v>
      </c>
      <c r="E1972" t="inlineStr">
        <is>
          <t>Q2-W02</t>
        </is>
      </c>
      <c r="F1972" t="inlineStr">
        <is>
          <t>Dickson</t>
        </is>
      </c>
      <c r="G1972" t="inlineStr">
        <is>
          <t>Lead</t>
        </is>
      </c>
      <c r="H1972" s="2" t="str">
        <f>=HYPERLINK("https://upbox.ajobthing.my/leads/4289244", "https://upbox.ajobthing.my/leads/4289244")</f>
        <v>https://upbox.ajobthing.my/leads/4289244</v>
      </c>
      <c r="I1972" t="inlineStr">
        <is>
          <t>EP Atelier Sdn. Bhd.</t>
        </is>
      </c>
      <c r="J1972" t="inlineStr">
        <is>
          <t>Small Fish</t>
        </is>
      </c>
      <c r="K1972" t="inlineStr">
        <is>
          <t>Dickson</t>
        </is>
      </c>
      <c r="L1972" s="4"/>
      <c r="M1972" s="4">
        <v>46128.48609953704</v>
      </c>
      <c r="N1972"/>
      <c r="O1972">
        <v>1296</v>
      </c>
      <c r="P1972" s="4"/>
      <c r="Q1972" s="4"/>
      <c r="R1972"/>
      <c r="S1972"/>
      <c r="T1972" s="4"/>
      <c r="U1972" s="4"/>
      <c r="V1972"/>
      <c r="W1972"/>
      <c r="X1972"/>
      <c r="Y1972" t="inlineStr">
        <is>
          <t>Pending Appointment</t>
        </is>
      </c>
      <c r="Z1972" t="inlineStr">
        <is>
          <t>Hiring Now</t>
        </is>
      </c>
      <c r="AA1972">
        <v>2</v>
      </c>
      <c r="AB1972" t="inlineStr">
        <is>
          <t>No Appointment Made</t>
        </is>
      </c>
      <c r="AC1972"/>
      <c r="AD1972" t="inlineStr">
        <is>
          <t>2 technicians</t>
        </is>
      </c>
      <c r="AE1972"/>
      <c r="AF1972"/>
      <c r="AG1972" s="4"/>
      <c r="AH1972" s="4"/>
      <c r="AI1972"/>
      <c r="AJ1972">
        <v>1</v>
      </c>
      <c r="AK1972" t="inlineStr">
        <is>
          <t>No, I don't need at all</t>
        </is>
      </c>
      <c r="AL1972"/>
      <c r="AM1972" t="inlineStr">
        <is>
          <t>No, I don't need at all</t>
        </is>
      </c>
      <c r="AN1972"/>
      <c r="AO1972" t="inlineStr">
        <is>
          <t>No, I don't need at all</t>
        </is>
      </c>
      <c r="AP1972" t="inlineStr">
        <is>
          <t>Once per quarter (75%)</t>
        </is>
      </c>
      <c r="AQ1972"/>
      <c r="AR1972" t="inlineStr">
        <is>
          <t>Free Job Portal</t>
        </is>
      </c>
      <c r="AS1972" t="inlineStr">
        <is>
          <t>- Headcount: 2
- Hiring Job Details: 2 technicians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1972">
        <v>95</v>
      </c>
      <c r="AU1972" t="inlineStr">
        <is>
          <t>0.95</t>
        </is>
      </c>
      <c r="AV1972" t="inlineStr">
        <is>
          <t>5</t>
        </is>
      </c>
      <c r="AW1972" t="inlineStr">
        <is>
          <t>0</t>
        </is>
      </c>
      <c r="AX1972" t="inlineStr">
        <is>
          <t>Not Qualified</t>
        </is>
      </c>
      <c r="AY1972" s="4"/>
      <c r="AZ1972"/>
      <c r="BA1972"/>
      <c r="BB1972"/>
      <c r="BC1972"/>
      <c r="BD1972" s="4"/>
      <c r="BE1972"/>
      <c r="BF1972"/>
      <c r="BG1972" t="inlineStr">
        <is>
          <t>Reschedule</t>
        </is>
      </c>
      <c r="BH1972" t="inlineStr">
        <is>
          <t>Edward Hoo</t>
        </is>
      </c>
      <c r="BI1972"/>
      <c r="BJ1972" s="4">
        <v>46144.755833333336</v>
      </c>
      <c r="BK1972" s="4">
        <v>46128.46766203704</v>
      </c>
      <c r="BL1972" t="inlineStr">
        <is>
          <t>0.0</t>
        </is>
      </c>
      <c r="BM1972" t="inlineStr">
        <is>
          <t>0.0</t>
        </is>
      </c>
      <c r="BN1972"/>
      <c r="BO1972" s="4"/>
      <c r="BP1972">
        <v>167363</v>
      </c>
      <c r="BQ1972"/>
      <c r="BR1972"/>
      <c r="BS1972"/>
      <c r="BT1972"/>
      <c r="BU1972"/>
      <c r="BV1972"/>
      <c r="BW1972"/>
      <c r="BX1972"/>
      <c r="BY1972"/>
      <c r="BZ1972" s="4"/>
      <c r="CA1972"/>
      <c r="CB1972"/>
      <c r="CC1972" s="4"/>
      <c r="CD1972" t="inlineStr">
        <is>
          <t>5</t>
        </is>
      </c>
      <c r="CE1972" t="inlineStr">
        <is>
          <t>0</t>
        </is>
      </c>
      <c r="CF1972" t="inlineStr">
        <is>
          <t>Q2-W02</t>
        </is>
      </c>
      <c r="CG1972"/>
      <c r="CH1972"/>
      <c r="CI1972"/>
      <c r="CJ1972" t="inlineStr">
        <is>
          <t>No Paid</t>
        </is>
      </c>
      <c r="CK1972" t="inlineStr">
        <is>
          <t>Not Eligible</t>
        </is>
      </c>
      <c r="CL1972"/>
      <c r="CM1972"/>
    </row>
    <row r="1973" ht="25.5" customHeight="1">
      <c r="A1973" t="inlineStr">
        <is>
          <t>195627</t>
        </is>
      </c>
      <c r="B1973" s="2"/>
      <c r="C1973"/>
      <c r="D1973" s="3">
        <v>46128.49356481482</v>
      </c>
      <c r="E1973" t="inlineStr">
        <is>
          <t>Q2-W02</t>
        </is>
      </c>
      <c r="F1973" t="inlineStr">
        <is>
          <t>Chia Yee</t>
        </is>
      </c>
      <c r="G1973" t="inlineStr">
        <is>
          <t>Customer</t>
        </is>
      </c>
      <c r="H1973" s="2" t="str">
        <f>=HYPERLINK("https://upbox.ajobthing.my/customer/195627", "https://upbox.ajobthing.my/customer/195627")</f>
        <v>https://upbox.ajobthing.my/customer/195627</v>
      </c>
      <c r="I1973" t="inlineStr">
        <is>
          <t>H2o Express Singapore Pte Ltd</t>
        </is>
      </c>
      <c r="J1973" t="inlineStr">
        <is>
          <t>Small Fish</t>
        </is>
      </c>
      <c r="K1973" t="inlineStr">
        <is>
          <t>Chia Yee</t>
        </is>
      </c>
      <c r="L1973" s="4"/>
      <c r="M1973" s="4">
        <v>46128.493738425925</v>
      </c>
      <c r="N1973"/>
      <c r="O1973">
        <v>1296</v>
      </c>
      <c r="P1973" s="4"/>
      <c r="Q1973" s="4"/>
      <c r="R1973"/>
      <c r="S1973"/>
      <c r="T1973" s="4"/>
      <c r="U1973" s="4"/>
      <c r="V1973"/>
      <c r="W1973"/>
      <c r="X1973"/>
      <c r="Y1973" t="inlineStr">
        <is>
          <t>Pending Appointment</t>
        </is>
      </c>
      <c r="Z1973" t="inlineStr">
        <is>
          <t>Hiring Now</t>
        </is>
      </c>
      <c r="AA1973">
        <v>2</v>
      </c>
      <c r="AB1973" t="inlineStr">
        <is>
          <t>No Appointment Made</t>
        </is>
      </c>
      <c r="AC1973"/>
      <c r="AD1973" t="inlineStr">
        <is>
          <t>1-2 Telemarketer</t>
        </is>
      </c>
      <c r="AE1973"/>
      <c r="AF1973">
        <v>0</v>
      </c>
      <c r="AG1973" s="4"/>
      <c r="AH1973" s="4"/>
      <c r="AI1973">
        <v>0</v>
      </c>
      <c r="AJ1973">
        <v>1</v>
      </c>
      <c r="AK1973" t="inlineStr">
        <is>
          <t>Yes, I have</t>
        </is>
      </c>
      <c r="AL1973">
        <v>1</v>
      </c>
      <c r="AM1973" t="inlineStr">
        <is>
          <t>No, I don't need at all</t>
        </is>
      </c>
      <c r="AN1973"/>
      <c r="AO1973" t="inlineStr">
        <is>
          <t>No, I don't need at all</t>
        </is>
      </c>
      <c r="AP1973" t="inlineStr">
        <is>
          <t>Once a year (25%)</t>
        </is>
      </c>
      <c r="AQ1973">
        <v>2</v>
      </c>
      <c r="AR1973" t="inlineStr">
        <is>
          <t>Did not use any job portal</t>
        </is>
      </c>
      <c r="AS1973" t="inlineStr">
        <is>
          <t>- Headcount: 2
- Hiring Job Details: 1-2 Telemarketer
- Hiring Urgency: Hiring Now
- Number of outlets: 1
- Have recruiter team: Yes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1973">
        <v>110</v>
      </c>
      <c r="AU1973" t="inlineStr">
        <is>
          <t>1.10</t>
        </is>
      </c>
      <c r="AV1973" t="inlineStr">
        <is>
          <t>15</t>
        </is>
      </c>
      <c r="AW1973" t="inlineStr">
        <is>
          <t>0</t>
        </is>
      </c>
      <c r="AX1973" t="inlineStr">
        <is>
          <t>Not Qualified</t>
        </is>
      </c>
      <c r="AY1973" s="4"/>
      <c r="AZ1973"/>
      <c r="BA1973"/>
      <c r="BB1973"/>
      <c r="BC1973" t="inlineStr">
        <is>
          <t>WA called, no ans. WA no reply</t>
        </is>
      </c>
      <c r="BD1973" s="4">
        <v>46136.60425925926</v>
      </c>
      <c r="BE1973"/>
      <c r="BF1973"/>
      <c r="BG1973" t="inlineStr">
        <is>
          <t>Reschedule</t>
        </is>
      </c>
      <c r="BH1973" t="inlineStr">
        <is>
          <t>Reagen</t>
        </is>
      </c>
      <c r="BI1973"/>
      <c r="BJ1973" s="4">
        <v>46144.7527662037</v>
      </c>
      <c r="BK1973" s="4">
        <v>45901.58325231481</v>
      </c>
      <c r="BL1973" t="inlineStr">
        <is>
          <t>0.0</t>
        </is>
      </c>
      <c r="BM1973" t="inlineStr">
        <is>
          <t>0.0</t>
        </is>
      </c>
      <c r="BN1973" t="inlineStr">
        <is>
          <t>User Visit(Logged In)</t>
        </is>
      </c>
      <c r="BO1973" s="4">
        <v>46128.48238425926</v>
      </c>
      <c r="BP1973">
        <v>167365</v>
      </c>
      <c r="BQ1973"/>
      <c r="BR1973"/>
      <c r="BS1973"/>
      <c r="BT1973"/>
      <c r="BU1973"/>
      <c r="BV1973">
        <v>2726460</v>
      </c>
      <c r="BW1973" t="inlineStr">
        <is>
          <t>No Answer : Voicemail - WA sent to customer</t>
        </is>
      </c>
      <c r="BX1973"/>
      <c r="BY1973"/>
      <c r="BZ1973" s="4"/>
      <c r="CA1973"/>
      <c r="CB1973"/>
      <c r="CC1973" s="4"/>
      <c r="CD1973" t="inlineStr">
        <is>
          <t>20</t>
        </is>
      </c>
      <c r="CE1973" t="inlineStr">
        <is>
          <t>0</t>
        </is>
      </c>
      <c r="CF1973" t="inlineStr">
        <is>
          <t>Q2-W02</t>
        </is>
      </c>
      <c r="CG1973"/>
      <c r="CH1973"/>
      <c r="CI1973"/>
      <c r="CJ1973" t="inlineStr">
        <is>
          <t>No Paid</t>
        </is>
      </c>
      <c r="CK1973" t="inlineStr">
        <is>
          <t>Not Eligible</t>
        </is>
      </c>
      <c r="CL1973"/>
      <c r="CM1973"/>
    </row>
    <row r="1974" ht="25.5" customHeight="1">
      <c r="A1974" t="inlineStr">
        <is>
          <t>141299</t>
        </is>
      </c>
      <c r="B1974" s="2"/>
      <c r="C1974"/>
      <c r="D1974" s="3">
        <v>46128.49563657407</v>
      </c>
      <c r="E1974" t="inlineStr">
        <is>
          <t>Q2-W02</t>
        </is>
      </c>
      <c r="F1974" t="inlineStr">
        <is>
          <t>Eugene</t>
        </is>
      </c>
      <c r="G1974" t="inlineStr">
        <is>
          <t>Customer</t>
        </is>
      </c>
      <c r="H1974" s="2" t="str">
        <f>=HYPERLINK("https://upbox.ajobthing.my/customer/141299", "https://upbox.ajobthing.my/customer/141299")</f>
        <v>https://upbox.ajobthing.my/customer/141299</v>
      </c>
      <c r="I1974" t="inlineStr">
        <is>
          <t>Ada Agency</t>
        </is>
      </c>
      <c r="J1974" t="inlineStr">
        <is>
          <t>Small Fish</t>
        </is>
      </c>
      <c r="K1974" t="inlineStr">
        <is>
          <t>Eugene</t>
        </is>
      </c>
      <c r="L1974" s="4"/>
      <c r="M1974" s="4">
        <v>46128.46503472222</v>
      </c>
      <c r="N1974"/>
      <c r="O1974">
        <v>3888</v>
      </c>
      <c r="P1974" s="4"/>
      <c r="Q1974" s="4"/>
      <c r="R1974"/>
      <c r="S1974"/>
      <c r="T1974" s="4"/>
      <c r="U1974" s="4"/>
      <c r="V1974"/>
      <c r="W1974"/>
      <c r="X1974"/>
      <c r="Y1974" t="inlineStr">
        <is>
          <t>Pending Appointment</t>
        </is>
      </c>
      <c r="Z1974" t="inlineStr">
        <is>
          <t>Hiring Now</t>
        </is>
      </c>
      <c r="AA1974">
        <v>1</v>
      </c>
      <c r="AB1974" t="inlineStr">
        <is>
          <t>No Appointment Made</t>
        </is>
      </c>
      <c r="AC1974"/>
      <c r="AD1974" t="inlineStr">
        <is>
          <t>1 live host, based in Kelantan</t>
        </is>
      </c>
      <c r="AE1974"/>
      <c r="AF1974">
        <v>3000</v>
      </c>
      <c r="AG1974" s="4"/>
      <c r="AH1974" s="4"/>
      <c r="AI1974">
        <v>3000</v>
      </c>
      <c r="AJ1974">
        <v>1</v>
      </c>
      <c r="AK1974" t="inlineStr">
        <is>
          <t>No, I don't need at all</t>
        </is>
      </c>
      <c r="AL1974">
        <v>1</v>
      </c>
      <c r="AM1974" t="inlineStr">
        <is>
          <t>No, I don't need at all</t>
        </is>
      </c>
      <c r="AN1974"/>
      <c r="AO1974" t="inlineStr">
        <is>
          <t>No, I don't need at all</t>
        </is>
      </c>
      <c r="AP1974" t="inlineStr">
        <is>
          <t>Once a year (25%)</t>
        </is>
      </c>
      <c r="AQ1974">
        <v>2</v>
      </c>
      <c r="AR1974" t="inlineStr">
        <is>
          <t>Free Job Portal</t>
        </is>
      </c>
      <c r="AS1974" t="inlineStr">
        <is>
          <t>- Headcount: 1
- Hiring Job Details: 1 live host, based in Kelantan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AT1974">
        <v>115</v>
      </c>
      <c r="AU1974" t="inlineStr">
        <is>
          <t>1.15</t>
        </is>
      </c>
      <c r="AV1974" t="inlineStr">
        <is>
          <t>15</t>
        </is>
      </c>
      <c r="AW1974" t="inlineStr">
        <is>
          <t>0</t>
        </is>
      </c>
      <c r="AX1974" t="inlineStr">
        <is>
          <t>Not Qualified</t>
        </is>
      </c>
      <c r="AY1974" s="4"/>
      <c r="AZ1974"/>
      <c r="BA1974"/>
      <c r="BB1974"/>
      <c r="BC1974" t="inlineStr">
        <is>
          <t>Azizi // Penidng</t>
        </is>
      </c>
      <c r="BD1974" s="4">
        <v>46132.687106481484</v>
      </c>
      <c r="BE1974"/>
      <c r="BF1974"/>
      <c r="BG1974" t="inlineStr">
        <is>
          <t>Reschedule</t>
        </is>
      </c>
      <c r="BH1974" t="inlineStr">
        <is>
          <t>Edward Hoo</t>
        </is>
      </c>
      <c r="BI1974"/>
      <c r="BJ1974" s="4">
        <v>46144.75067129629</v>
      </c>
      <c r="BK1974" s="4">
        <v>44466.704872685186</v>
      </c>
      <c r="BL1974" t="inlineStr">
        <is>
          <t>0.0</t>
        </is>
      </c>
      <c r="BM1974" t="inlineStr">
        <is>
          <t>0.0</t>
        </is>
      </c>
      <c r="BN1974" t="inlineStr">
        <is>
          <t>View Jobmanager Page</t>
        </is>
      </c>
      <c r="BO1974" s="4">
        <v>44466.7334375</v>
      </c>
      <c r="BP1974">
        <v>167340</v>
      </c>
      <c r="BQ1974"/>
      <c r="BR1974"/>
      <c r="BS1974"/>
      <c r="BT1974"/>
      <c r="BU1974"/>
      <c r="BV1974">
        <v>2716312</v>
      </c>
      <c r="BW1974" t="inlineStr">
        <is>
          <t>Follow Up : Decision Pending</t>
        </is>
      </c>
      <c r="BX1974"/>
      <c r="BY1974"/>
      <c r="BZ1974" s="4"/>
      <c r="CA1974"/>
      <c r="CB1974"/>
      <c r="CC1974" s="4"/>
      <c r="CD1974" t="inlineStr">
        <is>
          <t>20</t>
        </is>
      </c>
      <c r="CE1974" t="inlineStr">
        <is>
          <t>0</t>
        </is>
      </c>
      <c r="CF1974" t="inlineStr">
        <is>
          <t>Q2-W02</t>
        </is>
      </c>
      <c r="CG1974"/>
      <c r="CH1974"/>
      <c r="CI1974"/>
      <c r="CJ1974" t="inlineStr">
        <is>
          <t>No Paid</t>
        </is>
      </c>
      <c r="CK1974" t="inlineStr">
        <is>
          <t>Not Eligible</t>
        </is>
      </c>
      <c r="CL1974"/>
      <c r="CM1974"/>
    </row>
    <row r="1975" ht="25.5" customHeight="1">
      <c r="A1975" t="inlineStr">
        <is>
          <t>197323</t>
        </is>
      </c>
      <c r="B1975" s="2"/>
      <c r="C1975"/>
      <c r="D1975" s="3">
        <v>46128.50880787037</v>
      </c>
      <c r="E1975" t="inlineStr">
        <is>
          <t>Q2-W02</t>
        </is>
      </c>
      <c r="F1975" t="inlineStr">
        <is>
          <t>Luqman</t>
        </is>
      </c>
      <c r="G1975" t="inlineStr">
        <is>
          <t>Customer</t>
        </is>
      </c>
      <c r="H1975" s="2" t="str">
        <f>=HYPERLINK("https://upbox.ajobthing.my/customer/197323", "https://upbox.ajobthing.my/customer/197323")</f>
        <v>https://upbox.ajobthing.my/customer/197323</v>
      </c>
      <c r="I1975" t="inlineStr">
        <is>
          <t>Gpm Ambulance</t>
        </is>
      </c>
      <c r="J1975" t="inlineStr">
        <is>
          <t>Small Fish</t>
        </is>
      </c>
      <c r="K1975" t="inlineStr">
        <is>
          <t>Luqman</t>
        </is>
      </c>
      <c r="L1975" s="4"/>
      <c r="M1975" s="4">
        <v>46128.50931712963</v>
      </c>
      <c r="N1975"/>
      <c r="O1975">
        <v>6048</v>
      </c>
      <c r="P1975" s="4"/>
      <c r="Q1975" s="4"/>
      <c r="R1975"/>
      <c r="S1975"/>
      <c r="T1975" s="4"/>
      <c r="U1975" s="4"/>
      <c r="V1975"/>
      <c r="W1975"/>
      <c r="X1975"/>
      <c r="Y1975" t="inlineStr">
        <is>
          <t>Pending Appointment</t>
        </is>
      </c>
      <c r="Z1975" t="inlineStr">
        <is>
          <t>Hiring Later</t>
        </is>
      </c>
      <c r="AA1975">
        <v>2</v>
      </c>
      <c r="AB1975" t="inlineStr">
        <is>
          <t>No Appointment Made</t>
        </is>
      </c>
      <c r="AC1975"/>
      <c r="AD1975" t="inlineStr">
        <is>
          <t xml:space="preserve">1. Ambulance Crew 2. Driver </t>
        </is>
      </c>
      <c r="AE1975"/>
      <c r="AF1975">
        <v>1200</v>
      </c>
      <c r="AG1975" s="4"/>
      <c r="AH1975" s="4"/>
      <c r="AI1975">
        <v>1200</v>
      </c>
      <c r="AJ1975"/>
      <c r="AK1975" t="inlineStr">
        <is>
          <t>No, I don't need at all</t>
        </is>
      </c>
      <c r="AL1975">
        <v>1</v>
      </c>
      <c r="AM1975" t="inlineStr">
        <is>
          <t>No, but I want in future</t>
        </is>
      </c>
      <c r="AN1975"/>
      <c r="AO1975" t="inlineStr">
        <is>
          <t>No, but I want in future</t>
        </is>
      </c>
      <c r="AP1975" t="inlineStr">
        <is>
          <t>Once a year (25%)</t>
        </is>
      </c>
      <c r="AQ1975">
        <v>3</v>
      </c>
      <c r="AR1975"/>
      <c r="AS1975" t="inlineStr">
        <is>
          <t>- Headcount: 2
- Hiring Job Details: 1. Ambulance Crew 2. Driver
- Hiring Urgency: Hiring Later
- Number of outlets: 
- Have recruiter team: No, I don't need at all
- Number of recruiter in company: 1
- Have ATS system: No, but I want in future
- Have career website: No, but I want in future
- Current hiring budget: RM1,200
- Whole year budget: RM1,200.00
- Whole year number of vacancies: 3
- Hiring frequency: Once a year (25%)
- External job portal:</t>
        </is>
      </c>
      <c r="AT1975">
        <v>85</v>
      </c>
      <c r="AU1975" t="inlineStr">
        <is>
          <t>0.85</t>
        </is>
      </c>
      <c r="AV1975" t="inlineStr">
        <is>
          <t>15</t>
        </is>
      </c>
      <c r="AW1975" t="inlineStr">
        <is>
          <t>0</t>
        </is>
      </c>
      <c r="AX1975" t="inlineStr">
        <is>
          <t>Not Qualified</t>
        </is>
      </c>
      <c r="AY1975" s="4"/>
      <c r="AZ1975"/>
      <c r="BA1975"/>
      <c r="BB1975"/>
      <c r="BC1975" t="inlineStr">
        <is>
          <t>Business will use open interview, will reach back in May if no result.</t>
        </is>
      </c>
      <c r="BD1975" s="4">
        <v>46135.64709490741</v>
      </c>
      <c r="BE1975"/>
      <c r="BF1975"/>
      <c r="BG1975" t="inlineStr">
        <is>
          <t>Reschedule</t>
        </is>
      </c>
      <c r="BH1975" t="inlineStr">
        <is>
          <t>Edward Hoo</t>
        </is>
      </c>
      <c r="BI1975" t="inlineStr">
        <is>
          <t>Healthcare / Medical</t>
        </is>
      </c>
      <c r="BJ1975" s="4">
        <v>46144.75288194444</v>
      </c>
      <c r="BK1975" s="4">
        <v>45947.491215277776</v>
      </c>
      <c r="BL1975" t="inlineStr">
        <is>
          <t>0.0</t>
        </is>
      </c>
      <c r="BM1975" t="inlineStr">
        <is>
          <t>0.0</t>
        </is>
      </c>
      <c r="BN1975" t="inlineStr">
        <is>
          <t>View Company Page</t>
        </is>
      </c>
      <c r="BO1975" s="4">
        <v>45947.524189814816</v>
      </c>
      <c r="BP1975">
        <v>167374</v>
      </c>
      <c r="BQ1975"/>
      <c r="BR1975"/>
      <c r="BS1975"/>
      <c r="BT1975"/>
      <c r="BU1975"/>
      <c r="BV1975">
        <v>2724426</v>
      </c>
      <c r="BW1975" t="inlineStr">
        <is>
          <t>Follow Up : Lost - Free Portal</t>
        </is>
      </c>
      <c r="BX1975"/>
      <c r="BY1975"/>
      <c r="BZ1975" s="4"/>
      <c r="CA1975"/>
      <c r="CB1975"/>
      <c r="CC1975" s="4"/>
      <c r="CD1975" t="inlineStr">
        <is>
          <t>20</t>
        </is>
      </c>
      <c r="CE1975" t="inlineStr">
        <is>
          <t>0</t>
        </is>
      </c>
      <c r="CF1975" t="inlineStr">
        <is>
          <t>Q2-W02</t>
        </is>
      </c>
      <c r="CG1975"/>
      <c r="CH1975"/>
      <c r="CI1975"/>
      <c r="CJ1975" t="inlineStr">
        <is>
          <t>No Paid</t>
        </is>
      </c>
      <c r="CK1975" t="inlineStr">
        <is>
          <t>Not Eligible</t>
        </is>
      </c>
      <c r="CL1975"/>
      <c r="CM1975"/>
    </row>
    <row r="1976" ht="25.5" customHeight="1">
      <c r="A1976" t="inlineStr">
        <is>
          <t>203307</t>
        </is>
      </c>
      <c r="B1976" s="2"/>
      <c r="C1976"/>
      <c r="D1976" s="3">
        <v>46128.526770833334</v>
      </c>
      <c r="E1976" t="inlineStr">
        <is>
          <t>Q2-W02</t>
        </is>
      </c>
      <c r="F1976" t="inlineStr">
        <is>
          <t>Xin Quan</t>
        </is>
      </c>
      <c r="G1976" t="inlineStr">
        <is>
          <t>Customer</t>
        </is>
      </c>
      <c r="H1976" s="2" t="str">
        <f>=HYPERLINK("https://upbox.ajobthing.my/customer/203307", "https://upbox.ajobthing.my/customer/203307")</f>
        <v>https://upbox.ajobthing.my/customer/203307</v>
      </c>
      <c r="I1976" t="inlineStr">
        <is>
          <t>SCIMECH ENGINEERING SDN BHD</t>
        </is>
      </c>
      <c r="J1976" t="inlineStr">
        <is>
          <t>Small Fish</t>
        </is>
      </c>
      <c r="K1976" t="inlineStr">
        <is>
          <t>Xin Quan</t>
        </is>
      </c>
      <c r="L1976" s="4"/>
      <c r="M1976" s="4">
        <v>46128.52716435185</v>
      </c>
      <c r="N1976"/>
      <c r="O1976">
        <v>2592</v>
      </c>
      <c r="P1976" s="4"/>
      <c r="Q1976" s="4"/>
      <c r="R1976"/>
      <c r="S1976"/>
      <c r="T1976" s="4"/>
      <c r="U1976" s="4"/>
      <c r="V1976"/>
      <c r="W1976"/>
      <c r="X1976"/>
      <c r="Y1976" t="inlineStr">
        <is>
          <t>Pending Appointment</t>
        </is>
      </c>
      <c r="Z1976" t="inlineStr">
        <is>
          <t>Hiring Now</t>
        </is>
      </c>
      <c r="AA1976">
        <v>1</v>
      </c>
      <c r="AB1976" t="inlineStr">
        <is>
          <t>No Appointment Made</t>
        </is>
      </c>
      <c r="AC1976"/>
      <c r="AD1976" t="inlineStr">
        <is>
          <t>1 QS 1 Project Engineer , Base in KL</t>
        </is>
      </c>
      <c r="AE1976"/>
      <c r="AF1976">
        <v>4000</v>
      </c>
      <c r="AG1976" s="4"/>
      <c r="AH1976" s="4"/>
      <c r="AI1976">
        <v>48000</v>
      </c>
      <c r="AJ1976">
        <v>1</v>
      </c>
      <c r="AK1976" t="inlineStr">
        <is>
          <t>No, I don't need at all</t>
        </is>
      </c>
      <c r="AL1976">
        <v>1</v>
      </c>
      <c r="AM1976" t="inlineStr">
        <is>
          <t>No, I don't need at all</t>
        </is>
      </c>
      <c r="AN1976"/>
      <c r="AO1976" t="inlineStr">
        <is>
          <t>No, I don't need at all</t>
        </is>
      </c>
      <c r="AP1976" t="inlineStr">
        <is>
          <t>Once a year (25%)</t>
        </is>
      </c>
      <c r="AQ1976">
        <v>2</v>
      </c>
      <c r="AR1976"/>
      <c r="AS1976" t="inlineStr">
        <is>
          <t>- Headcount: 1
- Hiring Job Details: 1 QS 1 Project Engineer, Base in KL
- Hiring Urgency: Hiring Now
- Number of outlets: 1
- Have recruiter team: No, I don't need at all
- Number of recruiter in company: 1
- Have ATS system: No, I don't need at all
- Have career website: No, I don't need at all
- Current hiring budget: RM4,000
- Whole year budget: RM48,000.00
- Whole year number of vacancies: 2
- Hiring frequency: Once a year (25%)
- External job portal: None</t>
        </is>
      </c>
      <c r="AT1976">
        <v>110</v>
      </c>
      <c r="AU1976" t="inlineStr">
        <is>
          <t>1.10</t>
        </is>
      </c>
      <c r="AV1976" t="inlineStr">
        <is>
          <t>15</t>
        </is>
      </c>
      <c r="AW1976" t="inlineStr">
        <is>
          <t>0</t>
        </is>
      </c>
      <c r="AX1976" t="inlineStr">
        <is>
          <t>Not Qualified</t>
        </is>
      </c>
      <c r="AY1976" s="4"/>
      <c r="AZ1976"/>
      <c r="BA1976"/>
      <c r="BB1976"/>
      <c r="BC1976" t="inlineStr">
        <is>
          <t>MIA</t>
        </is>
      </c>
      <c r="BD1976" s="4">
        <v>46135.5066087963</v>
      </c>
      <c r="BE1976"/>
      <c r="BF1976"/>
      <c r="BG1976" t="inlineStr">
        <is>
          <t>Reschedule</t>
        </is>
      </c>
      <c r="BH1976" t="inlineStr">
        <is>
          <t>Edward Hoo</t>
        </is>
      </c>
      <c r="BI1976"/>
      <c r="BJ1976" s="4">
        <v>46144.754282407404</v>
      </c>
      <c r="BK1976" s="4">
        <v>46128.51619212963</v>
      </c>
      <c r="BL1976" t="inlineStr">
        <is>
          <t>0.0</t>
        </is>
      </c>
      <c r="BM1976" t="inlineStr">
        <is>
          <t>0.0</t>
        </is>
      </c>
      <c r="BN1976"/>
      <c r="BO1976" s="4"/>
      <c r="BP1976">
        <v>167376</v>
      </c>
      <c r="BQ1976"/>
      <c r="BR1976"/>
      <c r="BS1976"/>
      <c r="BT1976"/>
      <c r="BU1976"/>
      <c r="BV1976">
        <v>2723064</v>
      </c>
      <c r="BW1976" t="inlineStr">
        <is>
          <t>Inquire for Hiring Needs : No Hiring</t>
        </is>
      </c>
      <c r="BX1976"/>
      <c r="BY1976"/>
      <c r="BZ1976" s="4"/>
      <c r="CA1976"/>
      <c r="CB1976"/>
      <c r="CC1976" s="4"/>
      <c r="CD1976" t="inlineStr">
        <is>
          <t>20</t>
        </is>
      </c>
      <c r="CE1976" t="inlineStr">
        <is>
          <t>0</t>
        </is>
      </c>
      <c r="CF1976" t="inlineStr">
        <is>
          <t>Q2-W02</t>
        </is>
      </c>
      <c r="CG1976"/>
      <c r="CH1976"/>
      <c r="CI1976"/>
      <c r="CJ1976" t="inlineStr">
        <is>
          <t>No Paid</t>
        </is>
      </c>
      <c r="CK1976" t="inlineStr">
        <is>
          <t>Not Eligible</t>
        </is>
      </c>
      <c r="CL1976"/>
      <c r="CM1976"/>
    </row>
    <row r="1977" ht="25.5" customHeight="1">
      <c r="A1977" t="inlineStr">
        <is>
          <t>203304</t>
        </is>
      </c>
      <c r="B1977" s="2"/>
      <c r="C1977"/>
      <c r="D1977" s="3">
        <v>46128.55333333334</v>
      </c>
      <c r="E1977" t="inlineStr">
        <is>
          <t>Q2-W02</t>
        </is>
      </c>
      <c r="F1977" t="inlineStr">
        <is>
          <t>Eugene</t>
        </is>
      </c>
      <c r="G1977" t="inlineStr">
        <is>
          <t>Customer</t>
        </is>
      </c>
      <c r="H1977" s="2" t="str">
        <f>=HYPERLINK("https://upbox.ajobthing.my/customer/203304", "https://upbox.ajobthing.my/customer/203304")</f>
        <v>https://upbox.ajobthing.my/customer/203304</v>
      </c>
      <c r="I1977" t="inlineStr">
        <is>
          <t>Climate Quest</t>
        </is>
      </c>
      <c r="J1977" t="inlineStr">
        <is>
          <t>Small Fish</t>
        </is>
      </c>
      <c r="K1977" t="inlineStr">
        <is>
          <t>Eugene</t>
        </is>
      </c>
      <c r="L1977" s="4"/>
      <c r="M1977" s="4">
        <v>46128.55341435185</v>
      </c>
      <c r="N1977"/>
      <c r="O1977">
        <v>3888</v>
      </c>
      <c r="P1977" s="4"/>
      <c r="Q1977" s="4"/>
      <c r="R1977"/>
      <c r="S1977"/>
      <c r="T1977" s="4"/>
      <c r="U1977" s="4"/>
      <c r="V1977"/>
      <c r="W1977"/>
      <c r="X1977"/>
      <c r="Y1977" t="inlineStr">
        <is>
          <t>Pending Appointment</t>
        </is>
      </c>
      <c r="Z1977" t="inlineStr">
        <is>
          <t>Hiring Now</t>
        </is>
      </c>
      <c r="AA1977">
        <v>3</v>
      </c>
      <c r="AB1977" t="inlineStr">
        <is>
          <t>No Appointment Made</t>
        </is>
      </c>
      <c r="AC1977"/>
      <c r="AD1977" t="inlineStr">
        <is>
          <t>2 esg consultant, 1 admin, based in PJ</t>
        </is>
      </c>
      <c r="AE1977"/>
      <c r="AF1977">
        <v>3000</v>
      </c>
      <c r="AG1977" s="4"/>
      <c r="AH1977" s="4"/>
      <c r="AI1977">
        <v>3000</v>
      </c>
      <c r="AJ1977">
        <v>1</v>
      </c>
      <c r="AK1977" t="inlineStr">
        <is>
          <t>No, I don't need at all</t>
        </is>
      </c>
      <c r="AL1977">
        <v>1</v>
      </c>
      <c r="AM1977" t="inlineStr">
        <is>
          <t>No, I don't need at all</t>
        </is>
      </c>
      <c r="AN1977"/>
      <c r="AO1977" t="inlineStr">
        <is>
          <t>No, I don't need at all</t>
        </is>
      </c>
      <c r="AP1977" t="inlineStr">
        <is>
          <t>Twice a year (50%)</t>
        </is>
      </c>
      <c r="AQ1977">
        <v>4</v>
      </c>
      <c r="AR1977" t="inlineStr">
        <is>
          <t>Free Job Portal, Linkedin (Paid)</t>
        </is>
      </c>
      <c r="AS1977" t="inlineStr">
        <is>
          <t>- Headcount: 3
- Hiring Job Details: 2 esg consultant, 1 admin, based in PJ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 Linkedin (Paid)</t>
        </is>
      </c>
      <c r="AT1977">
        <v>115</v>
      </c>
      <c r="AU1977" t="inlineStr">
        <is>
          <t>1.15</t>
        </is>
      </c>
      <c r="AV1977" t="inlineStr">
        <is>
          <t>15</t>
        </is>
      </c>
      <c r="AW1977" t="inlineStr">
        <is>
          <t>0</t>
        </is>
      </c>
      <c r="AX1977" t="inlineStr">
        <is>
          <t>Not Qualified</t>
        </is>
      </c>
      <c r="AY1977" s="4"/>
      <c r="AZ1977"/>
      <c r="BA1977"/>
      <c r="BB1977"/>
      <c r="BC1977" t="inlineStr">
        <is>
          <t>nr</t>
        </is>
      </c>
      <c r="BD1977" s="4">
        <v>46136.44464120371</v>
      </c>
      <c r="BE1977"/>
      <c r="BF1977"/>
      <c r="BG1977" t="inlineStr">
        <is>
          <t>Reschedule</t>
        </is>
      </c>
      <c r="BH1977" t="inlineStr">
        <is>
          <t>Edward Hoo</t>
        </is>
      </c>
      <c r="BI1977"/>
      <c r="BJ1977" s="4">
        <v>46144.754282407404</v>
      </c>
      <c r="BK1977" s="4">
        <v>46128.49386574074</v>
      </c>
      <c r="BL1977" t="inlineStr">
        <is>
          <t>0.0</t>
        </is>
      </c>
      <c r="BM1977" t="inlineStr">
        <is>
          <t>0.0</t>
        </is>
      </c>
      <c r="BN1977" t="inlineStr">
        <is>
          <t>View Company Page</t>
        </is>
      </c>
      <c r="BO1977" s="4">
        <v>46130.49285879629</v>
      </c>
      <c r="BP1977">
        <v>167381</v>
      </c>
      <c r="BQ1977"/>
      <c r="BR1977"/>
      <c r="BS1977"/>
      <c r="BT1977"/>
      <c r="BU1977"/>
      <c r="BV1977">
        <v>2725660</v>
      </c>
      <c r="BW1977" t="inlineStr">
        <is>
          <t>No Answer : 3 Days No Response</t>
        </is>
      </c>
      <c r="BX1977"/>
      <c r="BY1977"/>
      <c r="BZ1977" s="4"/>
      <c r="CA1977"/>
      <c r="CB1977"/>
      <c r="CC1977" s="4"/>
      <c r="CD1977" t="inlineStr">
        <is>
          <t>20</t>
        </is>
      </c>
      <c r="CE1977" t="inlineStr">
        <is>
          <t>0</t>
        </is>
      </c>
      <c r="CF1977" t="inlineStr">
        <is>
          <t>Q2-W02</t>
        </is>
      </c>
      <c r="CG1977"/>
      <c r="CH1977"/>
      <c r="CI1977"/>
      <c r="CJ1977" t="inlineStr">
        <is>
          <t>No Paid</t>
        </is>
      </c>
      <c r="CK1977" t="inlineStr">
        <is>
          <t>Not Eligible</t>
        </is>
      </c>
      <c r="CL1977"/>
      <c r="CM1977"/>
    </row>
    <row r="1978" ht="25.5" customHeight="1">
      <c r="A1978" t="inlineStr">
        <is>
          <t>120595</t>
        </is>
      </c>
      <c r="B1978" s="2"/>
      <c r="C1978"/>
      <c r="D1978" s="3">
        <v>46128.56361111111</v>
      </c>
      <c r="E1978" t="inlineStr">
        <is>
          <t>Q2-W02</t>
        </is>
      </c>
      <c r="F1978" t="inlineStr">
        <is>
          <t>Xin Hui</t>
        </is>
      </c>
      <c r="G1978" t="inlineStr">
        <is>
          <t>Customer</t>
        </is>
      </c>
      <c r="H1978" s="2" t="str">
        <f>=HYPERLINK("https://upbox.ajobthing.my/customer/120595", "https://upbox.ajobthing.my/customer/120595")</f>
        <v>https://upbox.ajobthing.my/customer/120595</v>
      </c>
      <c r="I1978" t="inlineStr">
        <is>
          <t>Rui Yi Care Center</t>
        </is>
      </c>
      <c r="J1978" t="inlineStr">
        <is>
          <t>Small Fish</t>
        </is>
      </c>
      <c r="K1978" t="inlineStr">
        <is>
          <t>Xin Hui</t>
        </is>
      </c>
      <c r="L1978" s="4"/>
      <c r="M1978" s="4">
        <v>46128.56390046296</v>
      </c>
      <c r="N1978"/>
      <c r="O1978">
        <v>3888</v>
      </c>
      <c r="P1978" s="4"/>
      <c r="Q1978" s="4"/>
      <c r="R1978"/>
      <c r="S1978"/>
      <c r="T1978" s="4"/>
      <c r="U1978" s="4"/>
      <c r="V1978"/>
      <c r="W1978"/>
      <c r="X1978"/>
      <c r="Y1978" t="inlineStr">
        <is>
          <t>Pending Appointment</t>
        </is>
      </c>
      <c r="Z1978" t="inlineStr">
        <is>
          <t>Hiring Now</t>
        </is>
      </c>
      <c r="AA1978">
        <v>1</v>
      </c>
      <c r="AB1978" t="inlineStr">
        <is>
          <t>No Appointment Made</t>
        </is>
      </c>
      <c r="AC1978"/>
      <c r="AD1978" t="inlineStr">
        <is>
          <t>carekeeper</t>
        </is>
      </c>
      <c r="AE1978"/>
      <c r="AF1978"/>
      <c r="AG1978" s="4"/>
      <c r="AH1978" s="4"/>
      <c r="AI1978"/>
      <c r="AJ1978"/>
      <c r="AK1978" t="inlineStr">
        <is>
          <t>No, I don't need at all</t>
        </is>
      </c>
      <c r="AL1978"/>
      <c r="AM1978" t="inlineStr">
        <is>
          <t>No, I don't need at all</t>
        </is>
      </c>
      <c r="AN1978"/>
      <c r="AO1978" t="inlineStr">
        <is>
          <t>No, I don't need at all</t>
        </is>
      </c>
      <c r="AP1978" t="inlineStr">
        <is>
          <t>Once a year (25%)</t>
        </is>
      </c>
      <c r="AQ1978"/>
      <c r="AR1978"/>
      <c r="AS1978" t="inlineStr">
        <is>
          <t>- Headcount: 1
- Hiring Job Details: carekeeper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978">
        <v>75</v>
      </c>
      <c r="AU1978" t="inlineStr">
        <is>
          <t>0.75</t>
        </is>
      </c>
      <c r="AV1978" t="inlineStr">
        <is>
          <t>5</t>
        </is>
      </c>
      <c r="AW1978" t="inlineStr">
        <is>
          <t>0</t>
        </is>
      </c>
      <c r="AX1978" t="inlineStr">
        <is>
          <t>Not Qualified</t>
        </is>
      </c>
      <c r="AY1978" s="4"/>
      <c r="AZ1978"/>
      <c r="BA1978"/>
      <c r="BB1978"/>
      <c r="BC1978" t="inlineStr">
        <is>
          <t>decision pending</t>
        </is>
      </c>
      <c r="BD1978" s="4">
        <v>46133.667592592596</v>
      </c>
      <c r="BE1978"/>
      <c r="BF1978"/>
      <c r="BG1978" t="inlineStr">
        <is>
          <t>Reschedule</t>
        </is>
      </c>
      <c r="BH1978" t="inlineStr">
        <is>
          <t>Yee Hang</t>
        </is>
      </c>
      <c r="BI1978" t="inlineStr">
        <is>
          <t>Other industries</t>
        </is>
      </c>
      <c r="BJ1978" s="4">
        <v>46144.750231481485</v>
      </c>
      <c r="BK1978" s="4">
        <v>43679.770104166666</v>
      </c>
      <c r="BL1978" t="inlineStr">
        <is>
          <t>0.0</t>
        </is>
      </c>
      <c r="BM1978" t="inlineStr">
        <is>
          <t>0.0</t>
        </is>
      </c>
      <c r="BN1978" t="inlineStr">
        <is>
          <t>View Company Page</t>
        </is>
      </c>
      <c r="BO1978" s="4">
        <v>45830.080509259256</v>
      </c>
      <c r="BP1978">
        <v>167385</v>
      </c>
      <c r="BQ1978"/>
      <c r="BR1978"/>
      <c r="BS1978"/>
      <c r="BT1978"/>
      <c r="BU1978"/>
      <c r="BV1978">
        <v>2718716</v>
      </c>
      <c r="BW1978" t="inlineStr">
        <is>
          <t>Follow Up : Decision Pending</t>
        </is>
      </c>
      <c r="BX1978"/>
      <c r="BY1978"/>
      <c r="BZ1978" s="4"/>
      <c r="CA1978"/>
      <c r="CB1978"/>
      <c r="CC1978" s="4"/>
      <c r="CD1978" t="inlineStr">
        <is>
          <t>5</t>
        </is>
      </c>
      <c r="CE1978" t="inlineStr">
        <is>
          <t>0</t>
        </is>
      </c>
      <c r="CF1978" t="inlineStr">
        <is>
          <t>Q2-W02</t>
        </is>
      </c>
      <c r="CG1978"/>
      <c r="CH1978"/>
      <c r="CI1978"/>
      <c r="CJ1978" t="inlineStr">
        <is>
          <t>No Paid</t>
        </is>
      </c>
      <c r="CK1978" t="inlineStr">
        <is>
          <t>Not Eligible</t>
        </is>
      </c>
      <c r="CL1978"/>
      <c r="CM1978"/>
    </row>
    <row r="1979" ht="25.5" customHeight="1">
      <c r="A1979" t="inlineStr">
        <is>
          <t>179704</t>
        </is>
      </c>
      <c r="B1979" s="2"/>
      <c r="C1979"/>
      <c r="D1979" s="3">
        <v>46128.56465277778</v>
      </c>
      <c r="E1979" t="inlineStr">
        <is>
          <t>Q2-W02</t>
        </is>
      </c>
      <c r="F1979" t="inlineStr">
        <is>
          <t>Janice Yap</t>
        </is>
      </c>
      <c r="G1979" t="inlineStr">
        <is>
          <t>Customer</t>
        </is>
      </c>
      <c r="H1979" s="2" t="str">
        <f>=HYPERLINK("https://upbox.ajobthing.my/customer/179704", "https://upbox.ajobthing.my/customer/179704")</f>
        <v>https://upbox.ajobthing.my/customer/179704</v>
      </c>
      <c r="I1979" t="inlineStr">
        <is>
          <t>Pusat Tuisyen Minda Cemerlang</t>
        </is>
      </c>
      <c r="J1979" t="inlineStr">
        <is>
          <t>Small Fish</t>
        </is>
      </c>
      <c r="K1979" t="inlineStr">
        <is>
          <t>Janice</t>
        </is>
      </c>
      <c r="L1979" s="4"/>
      <c r="M1979" s="4">
        <v>46128.560532407406</v>
      </c>
      <c r="N1979"/>
      <c r="O1979">
        <v>3888</v>
      </c>
      <c r="P1979" s="4"/>
      <c r="Q1979" s="4"/>
      <c r="R1979"/>
      <c r="S1979"/>
      <c r="T1979" s="4"/>
      <c r="U1979" s="4"/>
      <c r="V1979"/>
      <c r="W1979"/>
      <c r="X1979"/>
      <c r="Y1979" t="inlineStr">
        <is>
          <t>Pending Appointment</t>
        </is>
      </c>
      <c r="Z1979" t="inlineStr">
        <is>
          <t>Hiring Now</t>
        </is>
      </c>
      <c r="AA1979">
        <v>2</v>
      </c>
      <c r="AB1979" t="inlineStr">
        <is>
          <t>No Appointment Made</t>
        </is>
      </c>
      <c r="AC1979"/>
      <c r="AD1979" t="inlineStr">
        <is>
          <t>2 teachers</t>
        </is>
      </c>
      <c r="AE1979"/>
      <c r="AF1979">
        <v>0</v>
      </c>
      <c r="AG1979" s="4"/>
      <c r="AH1979" s="4"/>
      <c r="AI1979">
        <v>0</v>
      </c>
      <c r="AJ1979"/>
      <c r="AK1979" t="inlineStr">
        <is>
          <t>No, I don't need at all</t>
        </is>
      </c>
      <c r="AL1979">
        <v>0</v>
      </c>
      <c r="AM1979" t="inlineStr">
        <is>
          <t>No, I don't need at all</t>
        </is>
      </c>
      <c r="AN1979"/>
      <c r="AO1979" t="inlineStr">
        <is>
          <t>No, I don't need at all</t>
        </is>
      </c>
      <c r="AP1979" t="inlineStr">
        <is>
          <t>Once a year (25%)</t>
        </is>
      </c>
      <c r="AQ1979">
        <v>2</v>
      </c>
      <c r="AR1979" t="inlineStr">
        <is>
          <t>Did not use any job portal</t>
        </is>
      </c>
      <c r="AS1979" t="inlineStr">
        <is>
          <t>- Headcount: 2
- Hiring Job Details: 2 teachers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
- Hiring Urgency: Hiring Now</t>
        </is>
      </c>
      <c r="AT1979">
        <v>115</v>
      </c>
      <c r="AU1979" t="inlineStr">
        <is>
          <t>1.15</t>
        </is>
      </c>
      <c r="AV1979" t="inlineStr">
        <is>
          <t>15</t>
        </is>
      </c>
      <c r="AW1979" t="inlineStr">
        <is>
          <t>0</t>
        </is>
      </c>
      <c r="AX1979" t="inlineStr">
        <is>
          <t>Not Qualified</t>
        </is>
      </c>
      <c r="AY1979" s="4"/>
      <c r="AZ1979"/>
      <c r="BA1979"/>
      <c r="BB1979"/>
      <c r="BC1979" t="inlineStr">
        <is>
          <t>No answer // WA sent</t>
        </is>
      </c>
      <c r="BD1979" s="4">
        <v>46140.47309027778</v>
      </c>
      <c r="BE1979"/>
      <c r="BF1979"/>
      <c r="BG1979" t="inlineStr">
        <is>
          <t>Reschedule</t>
        </is>
      </c>
      <c r="BH1979" t="inlineStr">
        <is>
          <t>Yee Hang</t>
        </is>
      </c>
      <c r="BI1979" t="inlineStr">
        <is>
          <t>Education / Training</t>
        </is>
      </c>
      <c r="BJ1979" s="4">
        <v>46144.75178240741</v>
      </c>
      <c r="BK1979" s="4">
        <v>45464.735439814816</v>
      </c>
      <c r="BL1979" t="inlineStr">
        <is>
          <t>0.0</t>
        </is>
      </c>
      <c r="BM1979" t="inlineStr">
        <is>
          <t>0.0</t>
        </is>
      </c>
      <c r="BN1979" t="inlineStr">
        <is>
          <t>View Create Job Page</t>
        </is>
      </c>
      <c r="BO1979" s="4">
        <v>45464.76967592593</v>
      </c>
      <c r="BP1979">
        <v>167384</v>
      </c>
      <c r="BQ1979"/>
      <c r="BR1979"/>
      <c r="BS1979"/>
      <c r="BT1979"/>
      <c r="BU1979"/>
      <c r="BV1979">
        <v>2732097</v>
      </c>
      <c r="BW1979" t="inlineStr">
        <is>
          <t>No Answer : Voicemail - WA sent to customer</t>
        </is>
      </c>
      <c r="BX1979"/>
      <c r="BY1979"/>
      <c r="BZ1979" s="4"/>
      <c r="CA1979"/>
      <c r="CB1979"/>
      <c r="CC1979" s="4"/>
      <c r="CD1979" t="inlineStr">
        <is>
          <t>20</t>
        </is>
      </c>
      <c r="CE1979" t="inlineStr">
        <is>
          <t>0</t>
        </is>
      </c>
      <c r="CF1979" t="inlineStr">
        <is>
          <t>Q2-W02</t>
        </is>
      </c>
      <c r="CG1979"/>
      <c r="CH1979"/>
      <c r="CI1979"/>
      <c r="CJ1979" t="inlineStr">
        <is>
          <t>No Paid</t>
        </is>
      </c>
      <c r="CK1979" t="inlineStr">
        <is>
          <t>Not Eligible</t>
        </is>
      </c>
      <c r="CL1979"/>
      <c r="CM1979"/>
    </row>
    <row r="1980" ht="25.5" customHeight="1">
      <c r="A1980" t="inlineStr">
        <is>
          <t>201134</t>
        </is>
      </c>
      <c r="B1980" s="2"/>
      <c r="C1980"/>
      <c r="D1980" s="3">
        <v>46128.575266203705</v>
      </c>
      <c r="E1980" t="inlineStr">
        <is>
          <t>Q2-W02</t>
        </is>
      </c>
      <c r="F1980" t="inlineStr">
        <is>
          <t>Janice Yap</t>
        </is>
      </c>
      <c r="G1980" t="inlineStr">
        <is>
          <t>Customer</t>
        </is>
      </c>
      <c r="H1980" s="2" t="str">
        <f>=HYPERLINK("https://upbox.ajobthing.my/customer/201134", "https://upbox.ajobthing.my/customer/201134")</f>
        <v>https://upbox.ajobthing.my/customer/201134</v>
      </c>
      <c r="I1980" t="inlineStr">
        <is>
          <t>Haircrafter International Sdn. Bhd.</t>
        </is>
      </c>
      <c r="J1980" t="inlineStr">
        <is>
          <t>Small Fish</t>
        </is>
      </c>
      <c r="K1980" t="inlineStr">
        <is>
          <t>Janice</t>
        </is>
      </c>
      <c r="L1980" s="4"/>
      <c r="M1980" s="4">
        <v>46128.57325231482</v>
      </c>
      <c r="N1980"/>
      <c r="O1980">
        <v>3888</v>
      </c>
      <c r="P1980" s="4"/>
      <c r="Q1980" s="4">
        <v>46063.62045138889</v>
      </c>
      <c r="R1980"/>
      <c r="S1980">
        <v>0</v>
      </c>
      <c r="T1980" s="4"/>
      <c r="U1980" s="4"/>
      <c r="V1980"/>
      <c r="W1980"/>
      <c r="X1980"/>
      <c r="Y1980" t="inlineStr">
        <is>
          <t>Pending Appointment</t>
        </is>
      </c>
      <c r="Z1980" t="inlineStr">
        <is>
          <t>Hiring Now</t>
        </is>
      </c>
      <c r="AA1980">
        <v>1</v>
      </c>
      <c r="AB1980" t="inlineStr">
        <is>
          <t>No Appointment Made</t>
        </is>
      </c>
      <c r="AC1980"/>
      <c r="AD1980" t="inlineStr">
        <is>
          <t>1 project mamager</t>
        </is>
      </c>
      <c r="AE1980"/>
      <c r="AF1980">
        <v>0</v>
      </c>
      <c r="AG1980" s="4"/>
      <c r="AH1980" s="4"/>
      <c r="AI1980">
        <v>0</v>
      </c>
      <c r="AJ1980"/>
      <c r="AK1980" t="inlineStr">
        <is>
          <t>No, I don't need at all</t>
        </is>
      </c>
      <c r="AL1980">
        <v>0</v>
      </c>
      <c r="AM1980" t="inlineStr">
        <is>
          <t>No, I don't need at all</t>
        </is>
      </c>
      <c r="AN1980"/>
      <c r="AO1980" t="inlineStr">
        <is>
          <t>No, I don't need at all</t>
        </is>
      </c>
      <c r="AP1980" t="inlineStr">
        <is>
          <t>Once a year (25%)</t>
        </is>
      </c>
      <c r="AQ1980">
        <v>1</v>
      </c>
      <c r="AR1980"/>
      <c r="AS1980" t="inlineStr">
        <is>
          <t>- Headcount: 1
- Hiring Job Details: 1 project manager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1980">
        <v>110</v>
      </c>
      <c r="AU1980" t="inlineStr">
        <is>
          <t>1.10</t>
        </is>
      </c>
      <c r="AV1980" t="inlineStr">
        <is>
          <t>15</t>
        </is>
      </c>
      <c r="AW1980" t="inlineStr">
        <is>
          <t>0</t>
        </is>
      </c>
      <c r="AX1980" t="inlineStr">
        <is>
          <t>Not Qualified</t>
        </is>
      </c>
      <c r="AY1980" s="4"/>
      <c r="AZ1980"/>
      <c r="BA1980"/>
      <c r="BB1980"/>
      <c r="BC1980" t="inlineStr">
        <is>
          <t>No need post job atm // maybe after 3 months // rejected</t>
        </is>
      </c>
      <c r="BD1980" s="4">
        <v>46132.59857638889</v>
      </c>
      <c r="BE1980" t="inlineStr">
        <is>
          <t>paid</t>
        </is>
      </c>
      <c r="BF1980"/>
      <c r="BG1980" t="inlineStr">
        <is>
          <t>Reschedule</t>
        </is>
      </c>
      <c r="BH1980" t="inlineStr">
        <is>
          <t>Yee Hang</t>
        </is>
      </c>
      <c r="BI1980" t="inlineStr">
        <is>
          <t>Consumer Products / FMCG</t>
        </is>
      </c>
      <c r="BJ1980" s="4">
        <v>46144.75372685185</v>
      </c>
      <c r="BK1980" s="4">
        <v>46063.62033564815</v>
      </c>
      <c r="BL1980" t="inlineStr">
        <is>
          <t>0.0</t>
        </is>
      </c>
      <c r="BM1980" t="inlineStr">
        <is>
          <t>0.0</t>
        </is>
      </c>
      <c r="BN1980" t="inlineStr">
        <is>
          <t>View Jobmanager Page</t>
        </is>
      </c>
      <c r="BO1980" s="4">
        <v>46085.515706018516</v>
      </c>
      <c r="BP1980">
        <v>167387</v>
      </c>
      <c r="BQ1980">
        <v>114934</v>
      </c>
      <c r="BR1980" t="inlineStr">
        <is>
          <t>Proforma</t>
        </is>
      </c>
      <c r="BS1980" t="inlineStr">
        <is>
          <t>Free Internship Job</t>
        </is>
      </c>
      <c r="BT1980"/>
      <c r="BU1980"/>
      <c r="BV1980">
        <v>2715707</v>
      </c>
      <c r="BW1980" t="inlineStr">
        <is>
          <t>Follow Up : Budget Concern</t>
        </is>
      </c>
      <c r="BX1980"/>
      <c r="BY1980"/>
      <c r="BZ1980" s="4"/>
      <c r="CA1980"/>
      <c r="CB1980"/>
      <c r="CC1980" s="4"/>
      <c r="CD1980" t="inlineStr">
        <is>
          <t>20</t>
        </is>
      </c>
      <c r="CE1980" t="inlineStr">
        <is>
          <t>0</t>
        </is>
      </c>
      <c r="CF1980" t="inlineStr">
        <is>
          <t>Q2-W02</t>
        </is>
      </c>
      <c r="CG1980" t="inlineStr">
        <is>
          <t>Q1-W06</t>
        </is>
      </c>
      <c r="CH1980"/>
      <c r="CI1980"/>
      <c r="CJ1980" t="inlineStr">
        <is>
          <t>No Paid</t>
        </is>
      </c>
      <c r="CK1980" t="inlineStr">
        <is>
          <t>Not Eligible</t>
        </is>
      </c>
      <c r="CL1980"/>
      <c r="CM1980"/>
    </row>
    <row r="1981" ht="25.5" customHeight="1">
      <c r="A1981" t="inlineStr">
        <is>
          <t>203294</t>
        </is>
      </c>
      <c r="B1981" s="2"/>
      <c r="C1981"/>
      <c r="D1981" s="3">
        <v>46128.57690972222</v>
      </c>
      <c r="E1981" t="inlineStr">
        <is>
          <t>Q2-W02</t>
        </is>
      </c>
      <c r="F1981" t="inlineStr">
        <is>
          <t>Clover</t>
        </is>
      </c>
      <c r="G1981" t="inlineStr">
        <is>
          <t>Customer</t>
        </is>
      </c>
      <c r="H1981" s="2" t="str">
        <f>=HYPERLINK("https://upbox.ajobthing.my/customer/203294", "https://upbox.ajobthing.my/customer/203294")</f>
        <v>https://upbox.ajobthing.my/customer/203294</v>
      </c>
      <c r="I1981" t="inlineStr">
        <is>
          <t>Kitesim</t>
        </is>
      </c>
      <c r="J1981" t="inlineStr">
        <is>
          <t>Small Fish</t>
        </is>
      </c>
      <c r="K1981" t="inlineStr">
        <is>
          <t>Clover</t>
        </is>
      </c>
      <c r="L1981" s="4"/>
      <c r="M1981" s="4">
        <v>46128.57712962963</v>
      </c>
      <c r="N1981"/>
      <c r="O1981">
        <v>6048</v>
      </c>
      <c r="P1981" s="4"/>
      <c r="Q1981" s="4"/>
      <c r="R1981"/>
      <c r="S1981"/>
      <c r="T1981" s="4"/>
      <c r="U1981" s="4"/>
      <c r="V1981"/>
      <c r="W1981"/>
      <c r="X1981"/>
      <c r="Y1981" t="inlineStr">
        <is>
          <t>Pending Appointment</t>
        </is>
      </c>
      <c r="Z1981" t="inlineStr">
        <is>
          <t>Hiring Now</t>
        </is>
      </c>
      <c r="AA1981">
        <v>7</v>
      </c>
      <c r="AB1981" t="inlineStr">
        <is>
          <t>No Appointment Made</t>
        </is>
      </c>
      <c r="AC1981"/>
      <c r="AD1981" t="inlineStr">
        <is>
          <t>Want to hire customer service x2, sales exec x5-6. prefer chi, deal with china client,  previous, KL Eco City,  expanding, E-sim, B2B, suggest pro</t>
        </is>
      </c>
      <c r="AE1981"/>
      <c r="AF1981">
        <v>3000</v>
      </c>
      <c r="AG1981" s="4"/>
      <c r="AH1981" s="4"/>
      <c r="AI1981">
        <v>3000</v>
      </c>
      <c r="AJ1981">
        <v>1</v>
      </c>
      <c r="AK1981" t="inlineStr">
        <is>
          <t>No, but I want in future</t>
        </is>
      </c>
      <c r="AL1981">
        <v>1</v>
      </c>
      <c r="AM1981" t="inlineStr">
        <is>
          <t>No, but I want in future</t>
        </is>
      </c>
      <c r="AN1981"/>
      <c r="AO1981" t="inlineStr">
        <is>
          <t>No, but I want in future</t>
        </is>
      </c>
      <c r="AP1981" t="inlineStr">
        <is>
          <t>Once per quarter (75%)</t>
        </is>
      </c>
      <c r="AQ1981">
        <v>7</v>
      </c>
      <c r="AR1981" t="inlineStr">
        <is>
          <t>Did not use any job portal</t>
        </is>
      </c>
      <c r="AS1981" t="inlineStr">
        <is>
          <t>- Headcount: 7
- Hiring Job Details: 2 customer service, 5-6 sales exec; prefer Chinese speaker, handle China clients, require experience, base KL Eco City, expanding E-sim B2B business, suggest professional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7
- Hiring frequency: Once per quarter (75%)
- External job portal: Did not use any</t>
        </is>
      </c>
      <c r="AT1981">
        <v>115</v>
      </c>
      <c r="AU1981" t="inlineStr">
        <is>
          <t>1.15</t>
        </is>
      </c>
      <c r="AV1981" t="inlineStr">
        <is>
          <t>20</t>
        </is>
      </c>
      <c r="AW1981" t="inlineStr">
        <is>
          <t>0</t>
        </is>
      </c>
      <c r="AX1981" t="inlineStr">
        <is>
          <t>Not Qualified</t>
        </is>
      </c>
      <c r="AY1981" s="4"/>
      <c r="AZ1981"/>
      <c r="BA1981"/>
      <c r="BB1981"/>
      <c r="BC1981" t="inlineStr">
        <is>
          <t>Call npu, wa fu</t>
        </is>
      </c>
      <c r="BD1981" s="4">
        <v>46133.76395833334</v>
      </c>
      <c r="BE1981"/>
      <c r="BF1981"/>
      <c r="BG1981" t="inlineStr">
        <is>
          <t>Reschedule</t>
        </is>
      </c>
      <c r="BH1981" t="inlineStr">
        <is>
          <t>Reagen</t>
        </is>
      </c>
      <c r="BI1981" t="inlineStr">
        <is>
          <t>Telecommunication</t>
        </is>
      </c>
      <c r="BJ1981" s="4">
        <v>46144.754282407404</v>
      </c>
      <c r="BK1981" s="4">
        <v>46128.38711805556</v>
      </c>
      <c r="BL1981" t="inlineStr">
        <is>
          <t>0.0</t>
        </is>
      </c>
      <c r="BM1981" t="inlineStr">
        <is>
          <t>0.0</t>
        </is>
      </c>
      <c r="BN1981" t="inlineStr">
        <is>
          <t>View Company Page</t>
        </is>
      </c>
      <c r="BO1981" s="4">
        <v>46132.04518518518</v>
      </c>
      <c r="BP1981">
        <v>167389</v>
      </c>
      <c r="BQ1981"/>
      <c r="BR1981"/>
      <c r="BS1981"/>
      <c r="BT1981"/>
      <c r="BU1981"/>
      <c r="BV1981">
        <v>2719243</v>
      </c>
      <c r="BW1981" t="inlineStr">
        <is>
          <t>No Answer : Voicemail - WA sent to customer</t>
        </is>
      </c>
      <c r="BX1981"/>
      <c r="BY1981"/>
      <c r="BZ1981" s="4"/>
      <c r="CA1981"/>
      <c r="CB1981"/>
      <c r="CC1981" s="4"/>
      <c r="CD1981" t="inlineStr">
        <is>
          <t>30</t>
        </is>
      </c>
      <c r="CE1981" t="inlineStr">
        <is>
          <t>0</t>
        </is>
      </c>
      <c r="CF1981" t="inlineStr">
        <is>
          <t>Q2-W02</t>
        </is>
      </c>
      <c r="CG1981"/>
      <c r="CH1981"/>
      <c r="CI1981"/>
      <c r="CJ1981" t="inlineStr">
        <is>
          <t>No Paid</t>
        </is>
      </c>
      <c r="CK1981" t="inlineStr">
        <is>
          <t>Not Eligible</t>
        </is>
      </c>
      <c r="CL1981"/>
      <c r="CM1981"/>
    </row>
    <row r="1982" ht="25.5" customHeight="1">
      <c r="A1982" t="inlineStr">
        <is>
          <t>132051</t>
        </is>
      </c>
      <c r="B1982" s="2"/>
      <c r="C1982"/>
      <c r="D1982" s="3">
        <v>46128.58207175926</v>
      </c>
      <c r="E1982" t="inlineStr">
        <is>
          <t>Q2-W02</t>
        </is>
      </c>
      <c r="F1982" t="inlineStr">
        <is>
          <t>Xin Hui</t>
        </is>
      </c>
      <c r="G1982" t="inlineStr">
        <is>
          <t>Customer</t>
        </is>
      </c>
      <c r="H1982" s="2" t="str">
        <f>=HYPERLINK("https://upbox.ajobthing.my/customer/132051", "https://upbox.ajobthing.my/customer/132051")</f>
        <v>https://upbox.ajobthing.my/customer/132051</v>
      </c>
      <c r="I1982" t="inlineStr">
        <is>
          <t>Taskgroup Alpha Sdn Bhd</t>
        </is>
      </c>
      <c r="J1982" t="inlineStr">
        <is>
          <t>Small Fish</t>
        </is>
      </c>
      <c r="K1982" t="inlineStr">
        <is>
          <t>Xin Hui</t>
        </is>
      </c>
      <c r="L1982" s="4"/>
      <c r="M1982" s="4">
        <v>46128.58016203704</v>
      </c>
      <c r="N1982"/>
      <c r="O1982">
        <v>3888</v>
      </c>
      <c r="P1982" s="4"/>
      <c r="Q1982" s="4"/>
      <c r="R1982"/>
      <c r="S1982"/>
      <c r="T1982" s="4"/>
      <c r="U1982" s="4"/>
      <c r="V1982"/>
      <c r="W1982"/>
      <c r="X1982"/>
      <c r="Y1982" t="inlineStr">
        <is>
          <t>Pending Appointment</t>
        </is>
      </c>
      <c r="Z1982" t="inlineStr">
        <is>
          <t>Hiring Now</t>
        </is>
      </c>
      <c r="AA1982">
        <v>3</v>
      </c>
      <c r="AB1982" t="inlineStr">
        <is>
          <t>No Appointment Made</t>
        </is>
      </c>
      <c r="AC1982"/>
      <c r="AD1982" t="inlineStr">
        <is>
          <t>admin / finance [3HC]</t>
        </is>
      </c>
      <c r="AE1982"/>
      <c r="AF1982">
        <v>0</v>
      </c>
      <c r="AG1982" s="4"/>
      <c r="AH1982" s="4"/>
      <c r="AI1982"/>
      <c r="AJ1982"/>
      <c r="AK1982" t="inlineStr">
        <is>
          <t>No, I don't need at all</t>
        </is>
      </c>
      <c r="AL1982"/>
      <c r="AM1982" t="inlineStr">
        <is>
          <t>No, I don't need at all</t>
        </is>
      </c>
      <c r="AN1982"/>
      <c r="AO1982" t="inlineStr">
        <is>
          <t>No, I don't need at all</t>
        </is>
      </c>
      <c r="AP1982"/>
      <c r="AQ1982"/>
      <c r="AR1982" t="inlineStr">
        <is>
          <t>Free Job Portal</t>
        </is>
      </c>
      <c r="AS1982" t="inlineStr">
        <is>
          <t>- Headcount: 3
- Hiring Job Details: admin / finance [3HC]
- Hiring Urgency: Hiring Now
- Number of outlets: Not specified
- Have recruiter team: No, I don't need at all
- Number of recruiter in company: Not specified
- Have ATS system: No, I don't need at all
- Have career website: No, I don't need at all
- Current hiring budget: RM0.00
- Whole year budget: Not specified
- Whole year number of vacancies: Not specified
- Hiring frequency: Not specified
- External job portal: Free Job Portal</t>
        </is>
      </c>
      <c r="AT1982">
        <v>95</v>
      </c>
      <c r="AU1982" t="inlineStr">
        <is>
          <t>0.95</t>
        </is>
      </c>
      <c r="AV1982" t="inlineStr">
        <is>
          <t>15</t>
        </is>
      </c>
      <c r="AW1982" t="inlineStr">
        <is>
          <t>0</t>
        </is>
      </c>
      <c r="AX1982" t="inlineStr">
        <is>
          <t>Not Qualified</t>
        </is>
      </c>
      <c r="AY1982" s="4"/>
      <c r="AZ1982"/>
      <c r="BA1982"/>
      <c r="BB1982"/>
      <c r="BC1982" t="inlineStr">
        <is>
          <t>her team havent decide yet</t>
        </is>
      </c>
      <c r="BD1982" s="4">
        <v>46140.62032407407</v>
      </c>
      <c r="BE1982"/>
      <c r="BF1982"/>
      <c r="BG1982" t="inlineStr">
        <is>
          <t>Reschedule</t>
        </is>
      </c>
      <c r="BH1982" t="inlineStr">
        <is>
          <t>Yee Hang</t>
        </is>
      </c>
      <c r="BI1982" t="inlineStr">
        <is>
          <t>Other industries</t>
        </is>
      </c>
      <c r="BJ1982" s="4">
        <v>46144.75047453704</v>
      </c>
      <c r="BK1982" s="4">
        <v>44161.736597222225</v>
      </c>
      <c r="BL1982" t="inlineStr">
        <is>
          <t>0.0</t>
        </is>
      </c>
      <c r="BM1982" t="inlineStr">
        <is>
          <t>0.0</t>
        </is>
      </c>
      <c r="BN1982" t="inlineStr">
        <is>
          <t>View Company Page</t>
        </is>
      </c>
      <c r="BO1982" s="4">
        <v>45874.62605324074</v>
      </c>
      <c r="BP1982">
        <v>167391</v>
      </c>
      <c r="BQ1982"/>
      <c r="BR1982"/>
      <c r="BS1982"/>
      <c r="BT1982"/>
      <c r="BU1982"/>
      <c r="BV1982">
        <v>2732877</v>
      </c>
      <c r="BW1982" t="inlineStr">
        <is>
          <t>Follow Up : Decision Pending</t>
        </is>
      </c>
      <c r="BX1982"/>
      <c r="BY1982"/>
      <c r="BZ1982" s="4"/>
      <c r="CA1982"/>
      <c r="CB1982"/>
      <c r="CC1982" s="4"/>
      <c r="CD1982" t="inlineStr">
        <is>
          <t>20</t>
        </is>
      </c>
      <c r="CE1982" t="inlineStr">
        <is>
          <t>0</t>
        </is>
      </c>
      <c r="CF1982" t="inlineStr">
        <is>
          <t>Q2-W02</t>
        </is>
      </c>
      <c r="CG1982"/>
      <c r="CH1982"/>
      <c r="CI1982"/>
      <c r="CJ1982" t="inlineStr">
        <is>
          <t>No Paid</t>
        </is>
      </c>
      <c r="CK1982" t="inlineStr">
        <is>
          <t>Not Eligible</t>
        </is>
      </c>
      <c r="CL1982"/>
      <c r="CM1982"/>
    </row>
    <row r="1983" ht="25.5" customHeight="1">
      <c r="A1983" t="inlineStr">
        <is>
          <t>203247</t>
        </is>
      </c>
      <c r="B1983" s="2"/>
      <c r="C1983"/>
      <c r="D1983" s="3">
        <v>46128.59197916667</v>
      </c>
      <c r="E1983" t="inlineStr">
        <is>
          <t>Q2-W02</t>
        </is>
      </c>
      <c r="F1983" t="inlineStr">
        <is>
          <t>Josh</t>
        </is>
      </c>
      <c r="G1983" t="inlineStr">
        <is>
          <t>Customer</t>
        </is>
      </c>
      <c r="H1983" s="2" t="str">
        <f>=HYPERLINK("https://upbox.ajobthing.my/customer/203247", "https://upbox.ajobthing.my/customer/203247")</f>
        <v>https://upbox.ajobthing.my/customer/203247</v>
      </c>
      <c r="I1983" t="inlineStr">
        <is>
          <t>Xing Tek Flooring Pte Ltd</t>
        </is>
      </c>
      <c r="J1983" t="inlineStr">
        <is>
          <t>Small Fish</t>
        </is>
      </c>
      <c r="K1983" t="inlineStr">
        <is>
          <t>Josh</t>
        </is>
      </c>
      <c r="L1983" s="4"/>
      <c r="M1983" s="4">
        <v>46128.5921875</v>
      </c>
      <c r="N1983"/>
      <c r="O1983">
        <v>3888</v>
      </c>
      <c r="P1983" s="4"/>
      <c r="Q1983" s="4"/>
      <c r="R1983"/>
      <c r="S1983"/>
      <c r="T1983" s="4"/>
      <c r="U1983" s="4"/>
      <c r="V1983"/>
      <c r="W1983"/>
      <c r="X1983"/>
      <c r="Y1983" t="inlineStr">
        <is>
          <t>Pending Appointment</t>
        </is>
      </c>
      <c r="Z1983" t="inlineStr">
        <is>
          <t>Hiring Now</t>
        </is>
      </c>
      <c r="AA1983">
        <v>1</v>
      </c>
      <c r="AB1983" t="inlineStr">
        <is>
          <t>No Appointment Made</t>
        </is>
      </c>
      <c r="AC1983"/>
      <c r="AD1983" t="inlineStr">
        <is>
          <t xml:space="preserve">1 intern marketing </t>
        </is>
      </c>
      <c r="AE1983"/>
      <c r="AF1983">
        <v>3000</v>
      </c>
      <c r="AG1983" s="4"/>
      <c r="AH1983" s="4"/>
      <c r="AI1983"/>
      <c r="AJ1983"/>
      <c r="AK1983" t="inlineStr">
        <is>
          <t>Yes, I have</t>
        </is>
      </c>
      <c r="AL1983"/>
      <c r="AM1983"/>
      <c r="AN1983"/>
      <c r="AO1983"/>
      <c r="AP1983" t="inlineStr">
        <is>
          <t>Once a year (25%)</t>
        </is>
      </c>
      <c r="AQ1983"/>
      <c r="AR1983"/>
      <c r="AS1983" t="inlineStr">
        <is>
          <t>- Headcount: 1
- Hiring Job Details: 1 intern marketing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1983">
        <v>95</v>
      </c>
      <c r="AU1983" t="inlineStr">
        <is>
          <t>0.95</t>
        </is>
      </c>
      <c r="AV1983" t="inlineStr">
        <is>
          <t>15</t>
        </is>
      </c>
      <c r="AW1983" t="inlineStr">
        <is>
          <t>0</t>
        </is>
      </c>
      <c r="AX1983" t="inlineStr">
        <is>
          <t>Not Qualified</t>
        </is>
      </c>
      <c r="AY1983" s="4"/>
      <c r="AZ1983"/>
      <c r="BA1983"/>
      <c r="BB1983"/>
      <c r="BC1983" t="inlineStr">
        <is>
          <t>over budget</t>
        </is>
      </c>
      <c r="BD1983" s="4">
        <v>46136.431493055556</v>
      </c>
      <c r="BE1983"/>
      <c r="BF1983"/>
      <c r="BG1983" t="inlineStr">
        <is>
          <t>Reschedule</t>
        </is>
      </c>
      <c r="BH1983" t="inlineStr">
        <is>
          <t>Fauziah Maharan</t>
        </is>
      </c>
      <c r="BI1983"/>
      <c r="BJ1983" s="4">
        <v>46144.75425925926</v>
      </c>
      <c r="BK1983" s="4">
        <v>46127.42327546296</v>
      </c>
      <c r="BL1983" t="inlineStr">
        <is>
          <t>0.0</t>
        </is>
      </c>
      <c r="BM1983" t="inlineStr">
        <is>
          <t>0.0</t>
        </is>
      </c>
      <c r="BN1983" t="inlineStr">
        <is>
          <t>View Company Page</t>
        </is>
      </c>
      <c r="BO1983" s="4">
        <v>46128.41978009259</v>
      </c>
      <c r="BP1983">
        <v>167399</v>
      </c>
      <c r="BQ1983"/>
      <c r="BR1983"/>
      <c r="BS1983"/>
      <c r="BT1983"/>
      <c r="BU1983"/>
      <c r="BV1983">
        <v>2725573</v>
      </c>
      <c r="BW1983" t="inlineStr">
        <is>
          <t>Follow Up : Budget Concern</t>
        </is>
      </c>
      <c r="BX1983"/>
      <c r="BY1983"/>
      <c r="BZ1983" s="4"/>
      <c r="CA1983"/>
      <c r="CB1983"/>
      <c r="CC1983" s="4"/>
      <c r="CD1983" t="inlineStr">
        <is>
          <t>20</t>
        </is>
      </c>
      <c r="CE1983" t="inlineStr">
        <is>
          <t>0</t>
        </is>
      </c>
      <c r="CF1983" t="inlineStr">
        <is>
          <t>Q2-W02</t>
        </is>
      </c>
      <c r="CG1983"/>
      <c r="CH1983"/>
      <c r="CI1983"/>
      <c r="CJ1983" t="inlineStr">
        <is>
          <t>No Paid</t>
        </is>
      </c>
      <c r="CK1983" t="inlineStr">
        <is>
          <t>Not Eligible</t>
        </is>
      </c>
      <c r="CL1983"/>
      <c r="CM1983"/>
    </row>
    <row r="1984" ht="25.5" customHeight="1">
      <c r="A1984" t="inlineStr">
        <is>
          <t>4289832</t>
        </is>
      </c>
      <c r="B1984" s="2"/>
      <c r="C1984"/>
      <c r="D1984" s="3">
        <v>46128.59523148148</v>
      </c>
      <c r="E1984" t="inlineStr">
        <is>
          <t>Q2-W02</t>
        </is>
      </c>
      <c r="F1984" t="inlineStr">
        <is>
          <t>Dickson</t>
        </is>
      </c>
      <c r="G1984" t="inlineStr">
        <is>
          <t>Lead</t>
        </is>
      </c>
      <c r="H1984" s="2" t="str">
        <f>=HYPERLINK("https://upbox.ajobthing.my/leads/4289832", "https://upbox.ajobthing.my/leads/4289832")</f>
        <v>https://upbox.ajobthing.my/leads/4289832</v>
      </c>
      <c r="I1984" t="inlineStr">
        <is>
          <t>Genuspro Enterprise</t>
        </is>
      </c>
      <c r="J1984" t="inlineStr">
        <is>
          <t>Small Fish</t>
        </is>
      </c>
      <c r="K1984" t="inlineStr">
        <is>
          <t>Dickson</t>
        </is>
      </c>
      <c r="L1984" s="4"/>
      <c r="M1984" s="4">
        <v>46128.595497685186</v>
      </c>
      <c r="N1984"/>
      <c r="O1984">
        <v>1296</v>
      </c>
      <c r="P1984" s="4"/>
      <c r="Q1984" s="4"/>
      <c r="R1984"/>
      <c r="S1984"/>
      <c r="T1984" s="4"/>
      <c r="U1984" s="4"/>
      <c r="V1984"/>
      <c r="W1984"/>
      <c r="X1984"/>
      <c r="Y1984" t="inlineStr">
        <is>
          <t>Pending Appointment</t>
        </is>
      </c>
      <c r="Z1984" t="inlineStr">
        <is>
          <t>Hiring Now</t>
        </is>
      </c>
      <c r="AA1984">
        <v>2</v>
      </c>
      <c r="AB1984" t="inlineStr">
        <is>
          <t>No Appointment Made</t>
        </is>
      </c>
      <c r="AC1984"/>
      <c r="AD1984" t="inlineStr">
        <is>
          <t>2 wiring foreman</t>
        </is>
      </c>
      <c r="AE1984"/>
      <c r="AF1984"/>
      <c r="AG1984" s="4"/>
      <c r="AH1984" s="4"/>
      <c r="AI1984"/>
      <c r="AJ1984">
        <v>1</v>
      </c>
      <c r="AK1984" t="inlineStr">
        <is>
          <t>No, I don't need at all</t>
        </is>
      </c>
      <c r="AL1984"/>
      <c r="AM1984" t="inlineStr">
        <is>
          <t>No, I don't need at all</t>
        </is>
      </c>
      <c r="AN1984"/>
      <c r="AO1984" t="inlineStr">
        <is>
          <t>No, I don't need at all</t>
        </is>
      </c>
      <c r="AP1984" t="inlineStr">
        <is>
          <t>Once per quarter (75%)</t>
        </is>
      </c>
      <c r="AQ1984"/>
      <c r="AR1984"/>
      <c r="AS1984" t="inlineStr">
        <is>
          <t>- Headcount: 2
- Hiring Job Details: 2 wiring foreman
- Hiring Urgency: Hiring Now
- Number of outlets: 1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Not provided</t>
        </is>
      </c>
      <c r="AT1984">
        <v>95</v>
      </c>
      <c r="AU1984" t="inlineStr">
        <is>
          <t>0.95</t>
        </is>
      </c>
      <c r="AV1984" t="inlineStr">
        <is>
          <t>5</t>
        </is>
      </c>
      <c r="AW1984" t="inlineStr">
        <is>
          <t>0</t>
        </is>
      </c>
      <c r="AX1984" t="inlineStr">
        <is>
          <t>Not Qualified</t>
        </is>
      </c>
      <c r="AY1984" s="4"/>
      <c r="AZ1984"/>
      <c r="BA1984"/>
      <c r="BB1984"/>
      <c r="BC1984"/>
      <c r="BD1984" s="4"/>
      <c r="BE1984"/>
      <c r="BF1984"/>
      <c r="BG1984" t="inlineStr">
        <is>
          <t>Reschedule</t>
        </is>
      </c>
      <c r="BH1984" t="inlineStr">
        <is>
          <t>Edward Hoo</t>
        </is>
      </c>
      <c r="BI1984"/>
      <c r="BJ1984" s="4">
        <v>46144.755833333336</v>
      </c>
      <c r="BK1984" s="4">
        <v>46128.56581018519</v>
      </c>
      <c r="BL1984" t="inlineStr">
        <is>
          <t>0.0</t>
        </is>
      </c>
      <c r="BM1984" t="inlineStr">
        <is>
          <t>0.0</t>
        </is>
      </c>
      <c r="BN1984"/>
      <c r="BO1984" s="4"/>
      <c r="BP1984">
        <v>167401</v>
      </c>
      <c r="BQ1984"/>
      <c r="BR1984"/>
      <c r="BS1984"/>
      <c r="BT1984"/>
      <c r="BU1984"/>
      <c r="BV1984"/>
      <c r="BW1984"/>
      <c r="BX1984"/>
      <c r="BY1984"/>
      <c r="BZ1984" s="4"/>
      <c r="CA1984"/>
      <c r="CB1984"/>
      <c r="CC1984" s="4"/>
      <c r="CD1984" t="inlineStr">
        <is>
          <t>5</t>
        </is>
      </c>
      <c r="CE1984" t="inlineStr">
        <is>
          <t>0</t>
        </is>
      </c>
      <c r="CF1984" t="inlineStr">
        <is>
          <t>Q2-W02</t>
        </is>
      </c>
      <c r="CG1984"/>
      <c r="CH1984"/>
      <c r="CI1984"/>
      <c r="CJ1984" t="inlineStr">
        <is>
          <t>No Paid</t>
        </is>
      </c>
      <c r="CK1984" t="inlineStr">
        <is>
          <t>Not Eligible</t>
        </is>
      </c>
      <c r="CL1984"/>
      <c r="CM1984"/>
    </row>
    <row r="1985" ht="25.5" customHeight="1">
      <c r="A1985" t="inlineStr">
        <is>
          <t>145029</t>
        </is>
      </c>
      <c r="B1985" s="2"/>
      <c r="C1985"/>
      <c r="D1985" s="3">
        <v>46128.59578703704</v>
      </c>
      <c r="E1985" t="inlineStr">
        <is>
          <t>Q2-W02</t>
        </is>
      </c>
      <c r="F1985" t="inlineStr">
        <is>
          <t>Xin Hui</t>
        </is>
      </c>
      <c r="G1985" t="inlineStr">
        <is>
          <t>Customer</t>
        </is>
      </c>
      <c r="H1985" s="2" t="str">
        <f>=HYPERLINK("https://upbox.ajobthing.my/customer/145029", "https://upbox.ajobthing.my/customer/145029")</f>
        <v>https://upbox.ajobthing.my/customer/145029</v>
      </c>
      <c r="I1985" t="inlineStr">
        <is>
          <t>BBB Express (M) Sdn Bhd</t>
        </is>
      </c>
      <c r="J1985" t="inlineStr">
        <is>
          <t>Small Fish</t>
        </is>
      </c>
      <c r="K1985" t="inlineStr">
        <is>
          <t>Xin Hui</t>
        </is>
      </c>
      <c r="L1985" s="4"/>
      <c r="M1985" s="4">
        <v>46128.59631944444</v>
      </c>
      <c r="N1985"/>
      <c r="O1985">
        <v>3888</v>
      </c>
      <c r="P1985" s="4"/>
      <c r="Q1985" s="4"/>
      <c r="R1985"/>
      <c r="S1985"/>
      <c r="T1985" s="4"/>
      <c r="U1985" s="4"/>
      <c r="V1985"/>
      <c r="W1985"/>
      <c r="X1985"/>
      <c r="Y1985" t="inlineStr">
        <is>
          <t>Pending Appointment</t>
        </is>
      </c>
      <c r="Z1985" t="inlineStr">
        <is>
          <t>Hiring Later</t>
        </is>
      </c>
      <c r="AA1985">
        <v>1</v>
      </c>
      <c r="AB1985" t="inlineStr">
        <is>
          <t>No Appointment Made</t>
        </is>
      </c>
      <c r="AC1985"/>
      <c r="AD1985" t="inlineStr">
        <is>
          <t xml:space="preserve">Lorry driver </t>
        </is>
      </c>
      <c r="AE1985"/>
      <c r="AF1985"/>
      <c r="AG1985" s="4"/>
      <c r="AH1985" s="4"/>
      <c r="AI1985"/>
      <c r="AJ1985"/>
      <c r="AK1985" t="inlineStr">
        <is>
          <t>No, I don't need at all</t>
        </is>
      </c>
      <c r="AL1985"/>
      <c r="AM1985" t="inlineStr">
        <is>
          <t>No, I don't need at all</t>
        </is>
      </c>
      <c r="AN1985"/>
      <c r="AO1985" t="inlineStr">
        <is>
          <t>No, I don't need at all</t>
        </is>
      </c>
      <c r="AP1985" t="inlineStr">
        <is>
          <t>Once a year (25%)</t>
        </is>
      </c>
      <c r="AQ1985"/>
      <c r="AR1985"/>
      <c r="AS1985" t="inlineStr">
        <is>
          <t>- Headcount: 1
- Hiring Job Details: Lorry driver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985">
        <v>75</v>
      </c>
      <c r="AU1985" t="inlineStr">
        <is>
          <t>0.75</t>
        </is>
      </c>
      <c r="AV1985" t="inlineStr">
        <is>
          <t>5</t>
        </is>
      </c>
      <c r="AW1985" t="inlineStr">
        <is>
          <t>0</t>
        </is>
      </c>
      <c r="AX1985" t="inlineStr">
        <is>
          <t>Not Qualified</t>
        </is>
      </c>
      <c r="AY1985" s="4"/>
      <c r="AZ1985"/>
      <c r="BA1985"/>
      <c r="BB1985"/>
      <c r="BC1985" t="inlineStr">
        <is>
          <t>not now // maybe future</t>
        </is>
      </c>
      <c r="BD1985" s="4">
        <v>46133.67574074074</v>
      </c>
      <c r="BE1985"/>
      <c r="BF1985"/>
      <c r="BG1985" t="inlineStr">
        <is>
          <t>Reschedule</t>
        </is>
      </c>
      <c r="BH1985" t="inlineStr">
        <is>
          <t>Yee Hang</t>
        </is>
      </c>
      <c r="BI1985"/>
      <c r="BJ1985" s="4">
        <v>46144.75074074074</v>
      </c>
      <c r="BK1985" s="4">
        <v>44536.49138888889</v>
      </c>
      <c r="BL1985" t="inlineStr">
        <is>
          <t>0.0</t>
        </is>
      </c>
      <c r="BM1985" t="inlineStr">
        <is>
          <t>0.0</t>
        </is>
      </c>
      <c r="BN1985" t="inlineStr">
        <is>
          <t>View Account User</t>
        </is>
      </c>
      <c r="BO1985" s="4">
        <v>45663.724444444444</v>
      </c>
      <c r="BP1985">
        <v>167402</v>
      </c>
      <c r="BQ1985"/>
      <c r="BR1985"/>
      <c r="BS1985"/>
      <c r="BT1985"/>
      <c r="BU1985"/>
      <c r="BV1985">
        <v>2718756</v>
      </c>
      <c r="BW1985" t="inlineStr">
        <is>
          <t>Follow Up : Lost - Free Portal</t>
        </is>
      </c>
      <c r="BX1985"/>
      <c r="BY1985"/>
      <c r="BZ1985" s="4"/>
      <c r="CA1985"/>
      <c r="CB1985"/>
      <c r="CC1985" s="4"/>
      <c r="CD1985" t="inlineStr">
        <is>
          <t>5</t>
        </is>
      </c>
      <c r="CE1985" t="inlineStr">
        <is>
          <t>0</t>
        </is>
      </c>
      <c r="CF1985" t="inlineStr">
        <is>
          <t>Q2-W02</t>
        </is>
      </c>
      <c r="CG1985"/>
      <c r="CH1985"/>
      <c r="CI1985"/>
      <c r="CJ1985" t="inlineStr">
        <is>
          <t>No Paid</t>
        </is>
      </c>
      <c r="CK1985" t="inlineStr">
        <is>
          <t>Not Eligible</t>
        </is>
      </c>
      <c r="CL1985"/>
      <c r="CM1985"/>
    </row>
    <row r="1986" ht="25.5" customHeight="1">
      <c r="A1986" t="inlineStr">
        <is>
          <t>4289608</t>
        </is>
      </c>
      <c r="B1986" s="2"/>
      <c r="C1986"/>
      <c r="D1986" s="3">
        <v>46128.59846064815</v>
      </c>
      <c r="E1986" t="inlineStr">
        <is>
          <t>Q2-W02</t>
        </is>
      </c>
      <c r="F1986" t="inlineStr">
        <is>
          <t>Jia Hui</t>
        </is>
      </c>
      <c r="G1986" t="inlineStr">
        <is>
          <t>Lead</t>
        </is>
      </c>
      <c r="H1986" s="2" t="str">
        <f>=HYPERLINK("https://upbox.ajobthing.my/leads/4289608", "https://upbox.ajobthing.my/leads/4289608")</f>
        <v>https://upbox.ajobthing.my/leads/4289608</v>
      </c>
      <c r="I1986" t="inlineStr">
        <is>
          <t>Maison Aestheque</t>
        </is>
      </c>
      <c r="J1986" t="inlineStr">
        <is>
          <t>Small Fish</t>
        </is>
      </c>
      <c r="K1986" t="inlineStr">
        <is>
          <t>Jia Hui</t>
        </is>
      </c>
      <c r="L1986" s="4"/>
      <c r="M1986" s="4">
        <v>46128.59657407407</v>
      </c>
      <c r="N1986"/>
      <c r="O1986">
        <v>3888</v>
      </c>
      <c r="P1986" s="4"/>
      <c r="Q1986" s="4"/>
      <c r="R1986"/>
      <c r="S1986"/>
      <c r="T1986" s="4"/>
      <c r="U1986" s="4"/>
      <c r="V1986"/>
      <c r="W1986"/>
      <c r="X1986"/>
      <c r="Y1986" t="inlineStr">
        <is>
          <t>Pending Appointment</t>
        </is>
      </c>
      <c r="Z1986" t="inlineStr">
        <is>
          <t>Hiring Now</t>
        </is>
      </c>
      <c r="AA1986">
        <v>2</v>
      </c>
      <c r="AB1986" t="inlineStr">
        <is>
          <t>No Appointment Made</t>
        </is>
      </c>
      <c r="AC1986"/>
      <c r="AD1986" t="inlineStr">
        <is>
          <t xml:space="preserve">1 beautician, 1 therapist </t>
        </is>
      </c>
      <c r="AE1986"/>
      <c r="AF1986">
        <v>500</v>
      </c>
      <c r="AG1986" s="4"/>
      <c r="AH1986" s="4"/>
      <c r="AI1986"/>
      <c r="AJ1986"/>
      <c r="AK1986" t="inlineStr">
        <is>
          <t>No, but I want in future</t>
        </is>
      </c>
      <c r="AL1986"/>
      <c r="AM1986"/>
      <c r="AN1986"/>
      <c r="AO1986"/>
      <c r="AP1986" t="inlineStr">
        <is>
          <t>Once a year (25%)</t>
        </is>
      </c>
      <c r="AQ1986"/>
      <c r="AR1986"/>
      <c r="AS1986" t="inlineStr">
        <is>
          <t>- Headcount: 2
- Hiring Job Details: 1 beautician, 1 therapist
- Hiring Urgency: Hiring Now
- Number of outlets: Not specified
- Have recruiter team: No, but want in future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1986">
        <v>85</v>
      </c>
      <c r="AU1986" t="inlineStr">
        <is>
          <t>0.85</t>
        </is>
      </c>
      <c r="AV1986" t="inlineStr">
        <is>
          <t>15</t>
        </is>
      </c>
      <c r="AW1986" t="inlineStr">
        <is>
          <t>0</t>
        </is>
      </c>
      <c r="AX1986" t="inlineStr">
        <is>
          <t>Not Qualified</t>
        </is>
      </c>
      <c r="AY1986" s="4"/>
      <c r="AZ1986"/>
      <c r="BA1986"/>
      <c r="BB1986"/>
      <c r="BC1986"/>
      <c r="BD1986" s="4"/>
      <c r="BE1986"/>
      <c r="BF1986"/>
      <c r="BG1986" t="inlineStr">
        <is>
          <t>Reschedule</t>
        </is>
      </c>
      <c r="BH1986" t="inlineStr">
        <is>
          <t>Reagen</t>
        </is>
      </c>
      <c r="BI1986"/>
      <c r="BJ1986" s="4">
        <v>46144.755833333336</v>
      </c>
      <c r="BK1986" s="4">
        <v>46128.51763888889</v>
      </c>
      <c r="BL1986" t="inlineStr">
        <is>
          <t>0.0</t>
        </is>
      </c>
      <c r="BM1986" t="inlineStr">
        <is>
          <t>0.0</t>
        </is>
      </c>
      <c r="BN1986"/>
      <c r="BO1986" s="4"/>
      <c r="BP1986">
        <v>167403</v>
      </c>
      <c r="BQ1986"/>
      <c r="BR1986"/>
      <c r="BS1986"/>
      <c r="BT1986"/>
      <c r="BU1986"/>
      <c r="BV1986"/>
      <c r="BW1986"/>
      <c r="BX1986"/>
      <c r="BY1986"/>
      <c r="BZ1986" s="4"/>
      <c r="CA1986"/>
      <c r="CB1986"/>
      <c r="CC1986" s="4"/>
      <c r="CD1986" t="inlineStr">
        <is>
          <t>20</t>
        </is>
      </c>
      <c r="CE1986" t="inlineStr">
        <is>
          <t>0</t>
        </is>
      </c>
      <c r="CF1986" t="inlineStr">
        <is>
          <t>Q2-W02</t>
        </is>
      </c>
      <c r="CG1986"/>
      <c r="CH1986"/>
      <c r="CI1986"/>
      <c r="CJ1986" t="inlineStr">
        <is>
          <t>No Paid</t>
        </is>
      </c>
      <c r="CK1986" t="inlineStr">
        <is>
          <t>Not Eligible</t>
        </is>
      </c>
      <c r="CL1986"/>
      <c r="CM1986"/>
    </row>
    <row r="1987" ht="25.5" customHeight="1">
      <c r="A1987" t="inlineStr">
        <is>
          <t>194976</t>
        </is>
      </c>
      <c r="B1987" s="2"/>
      <c r="C1987"/>
      <c r="D1987" s="3">
        <v>46128.600277777776</v>
      </c>
      <c r="E1987" t="inlineStr">
        <is>
          <t>Q2-W02</t>
        </is>
      </c>
      <c r="F1987" t="inlineStr">
        <is>
          <t>Fariz</t>
        </is>
      </c>
      <c r="G1987" t="inlineStr">
        <is>
          <t>Customer</t>
        </is>
      </c>
      <c r="H1987" s="2" t="str">
        <f>=HYPERLINK("https://upbox.ajobthing.my/customer/194976", "https://upbox.ajobthing.my/customer/194976")</f>
        <v>https://upbox.ajobthing.my/customer/194976</v>
      </c>
      <c r="I1987" t="inlineStr">
        <is>
          <t>Tadika  genius Maghfirah &amp; Taska Naurah Magfirah</t>
        </is>
      </c>
      <c r="J1987" t="inlineStr">
        <is>
          <t>Small Fish</t>
        </is>
      </c>
      <c r="K1987" t="inlineStr">
        <is>
          <t>Fariz</t>
        </is>
      </c>
      <c r="L1987" s="4"/>
      <c r="M1987" s="4">
        <v>46128.60056712963</v>
      </c>
      <c r="N1987"/>
      <c r="O1987">
        <v>3888</v>
      </c>
      <c r="P1987" s="4"/>
      <c r="Q1987" s="4"/>
      <c r="R1987"/>
      <c r="S1987"/>
      <c r="T1987" s="4"/>
      <c r="U1987" s="4"/>
      <c r="V1987"/>
      <c r="W1987"/>
      <c r="X1987"/>
      <c r="Y1987" t="inlineStr">
        <is>
          <t>Pending Appointment</t>
        </is>
      </c>
      <c r="Z1987" t="inlineStr">
        <is>
          <t>Hiring Now</t>
        </is>
      </c>
      <c r="AA1987">
        <v>4</v>
      </c>
      <c r="AB1987" t="inlineStr">
        <is>
          <t>No Appointment Made</t>
        </is>
      </c>
      <c r="AC1987"/>
      <c r="AD1987" t="inlineStr">
        <is>
          <t>3 daycare teacher, 1 assistant</t>
        </is>
      </c>
      <c r="AE1987"/>
      <c r="AF1987">
        <v>3600</v>
      </c>
      <c r="AG1987" s="4"/>
      <c r="AH1987" s="4"/>
      <c r="AI1987">
        <v>3600</v>
      </c>
      <c r="AJ1987"/>
      <c r="AK1987" t="inlineStr">
        <is>
          <t>No, but I want in future</t>
        </is>
      </c>
      <c r="AL1987">
        <v>1</v>
      </c>
      <c r="AM1987" t="inlineStr">
        <is>
          <t>No, I don't need at all</t>
        </is>
      </c>
      <c r="AN1987"/>
      <c r="AO1987" t="inlineStr">
        <is>
          <t>No, I don't need at all</t>
        </is>
      </c>
      <c r="AP1987" t="inlineStr">
        <is>
          <t>Twice a year (50%)</t>
        </is>
      </c>
      <c r="AQ1987">
        <v>1</v>
      </c>
      <c r="AR1987" t="inlineStr">
        <is>
          <t>Jobstreet, Free Job Portal</t>
        </is>
      </c>
      <c r="AS1987" t="inlineStr">
        <is>
          <t>- Headcount: 4
- Hiring Job Details: 3 daycare teacher, 1 assistant
- Hiring Urgency: Hiring Now
- Number of outlets: N/A
- Have recruiter team: No, but I want in future
- Number of recruiter in company: 1
- Have ATS system: No, I don't need at all
- Have career website: No, I don't need at all
- Current hiring budget: RM3,600
- Whole year budget: RM3,600.00
- Whole year number of vacancies: 1
- Hiring frequency: Twice a year (50%)
- External job portal: Jobstreet, Free Job Portal</t>
        </is>
      </c>
      <c r="AT1987">
        <v>95</v>
      </c>
      <c r="AU1987" t="inlineStr">
        <is>
          <t>0.95</t>
        </is>
      </c>
      <c r="AV1987" t="inlineStr">
        <is>
          <t>15</t>
        </is>
      </c>
      <c r="AW1987" t="inlineStr">
        <is>
          <t>0</t>
        </is>
      </c>
      <c r="AX1987" t="inlineStr">
        <is>
          <t>Not Qualified</t>
        </is>
      </c>
      <c r="AY1987" s="4"/>
      <c r="AZ1987"/>
      <c r="BA1987"/>
      <c r="BB1987"/>
      <c r="BC1987" t="inlineStr">
        <is>
          <t>Miss natrah call, said bos hold for now. will let me know if they need cause on budget.</t>
        </is>
      </c>
      <c r="BD1987" s="4">
        <v>46142.65850694444</v>
      </c>
      <c r="BE1987"/>
      <c r="BF1987"/>
      <c r="BG1987" t="inlineStr">
        <is>
          <t>Reschedule</t>
        </is>
      </c>
      <c r="BH1987" t="inlineStr">
        <is>
          <t>Edward Hoo</t>
        </is>
      </c>
      <c r="BI1987" t="inlineStr">
        <is>
          <t>Education / Training</t>
        </is>
      </c>
      <c r="BJ1987" s="4">
        <v>46144.75274305556</v>
      </c>
      <c r="BK1987" s="4">
        <v>45883.90368055556</v>
      </c>
      <c r="BL1987" t="inlineStr">
        <is>
          <t>0.0</t>
        </is>
      </c>
      <c r="BM1987" t="inlineStr">
        <is>
          <t>0.0</t>
        </is>
      </c>
      <c r="BN1987" t="inlineStr">
        <is>
          <t>View Company Page</t>
        </is>
      </c>
      <c r="BO1987" s="4">
        <v>45883.91101851852</v>
      </c>
      <c r="BP1987">
        <v>167404</v>
      </c>
      <c r="BQ1987"/>
      <c r="BR1987"/>
      <c r="BS1987"/>
      <c r="BT1987"/>
      <c r="BU1987"/>
      <c r="BV1987">
        <v>2738023</v>
      </c>
      <c r="BW1987" t="inlineStr">
        <is>
          <t>Follow Up : Budget Concern</t>
        </is>
      </c>
      <c r="BX1987"/>
      <c r="BY1987"/>
      <c r="BZ1987" s="4"/>
      <c r="CA1987"/>
      <c r="CB1987"/>
      <c r="CC1987" s="4"/>
      <c r="CD1987" t="inlineStr">
        <is>
          <t>20</t>
        </is>
      </c>
      <c r="CE1987" t="inlineStr">
        <is>
          <t>0</t>
        </is>
      </c>
      <c r="CF1987" t="inlineStr">
        <is>
          <t>Q2-W02</t>
        </is>
      </c>
      <c r="CG1987"/>
      <c r="CH1987"/>
      <c r="CI1987"/>
      <c r="CJ1987" t="inlineStr">
        <is>
          <t>No Paid</t>
        </is>
      </c>
      <c r="CK1987" t="inlineStr">
        <is>
          <t>Not Eligible</t>
        </is>
      </c>
      <c r="CL1987"/>
      <c r="CM1987"/>
    </row>
    <row r="1988" ht="25.5" customHeight="1">
      <c r="A1988" t="inlineStr">
        <is>
          <t>202978</t>
        </is>
      </c>
      <c r="B1988" s="2"/>
      <c r="C1988"/>
      <c r="D1988" s="3">
        <v>46128.60523148148</v>
      </c>
      <c r="E1988" t="inlineStr">
        <is>
          <t>Q2-W02</t>
        </is>
      </c>
      <c r="F1988" t="inlineStr">
        <is>
          <t>Eugene</t>
        </is>
      </c>
      <c r="G1988" t="inlineStr">
        <is>
          <t>Customer</t>
        </is>
      </c>
      <c r="H1988" s="2" t="str">
        <f>=HYPERLINK("https://upbox.ajobthing.my/customer/202978", "https://upbox.ajobthing.my/customer/202978")</f>
        <v>https://upbox.ajobthing.my/customer/202978</v>
      </c>
      <c r="I1988" t="inlineStr">
        <is>
          <t>Petit Bubs Sdn Bhd</t>
        </is>
      </c>
      <c r="J1988" t="inlineStr">
        <is>
          <t>Small Fish</t>
        </is>
      </c>
      <c r="K1988" t="inlineStr">
        <is>
          <t>Eugene</t>
        </is>
      </c>
      <c r="L1988" s="4"/>
      <c r="M1988" s="4">
        <v>46120.698796296296</v>
      </c>
      <c r="N1988"/>
      <c r="O1988">
        <v>3888</v>
      </c>
      <c r="P1988" s="4"/>
      <c r="Q1988" s="4">
        <v>46128.60125</v>
      </c>
      <c r="R1988"/>
      <c r="S1988">
        <v>3672</v>
      </c>
      <c r="T1988" s="4"/>
      <c r="U1988" s="4"/>
      <c r="V1988"/>
      <c r="W1988"/>
      <c r="X1988"/>
      <c r="Y1988" t="inlineStr">
        <is>
          <t>Pending Appointment</t>
        </is>
      </c>
      <c r="Z1988" t="inlineStr">
        <is>
          <t>Hiring Now</t>
        </is>
      </c>
      <c r="AA1988">
        <v>2</v>
      </c>
      <c r="AB1988" t="inlineStr">
        <is>
          <t>No Appointment Made</t>
        </is>
      </c>
      <c r="AC1988"/>
      <c r="AD1988" t="inlineStr">
        <is>
          <t>1 retails, 1 marketing, based in KL</t>
        </is>
      </c>
      <c r="AE1988"/>
      <c r="AF1988">
        <v>3000</v>
      </c>
      <c r="AG1988" s="4"/>
      <c r="AH1988" s="4"/>
      <c r="AI1988">
        <v>3000</v>
      </c>
      <c r="AJ1988">
        <v>1</v>
      </c>
      <c r="AK1988" t="inlineStr">
        <is>
          <t>No, I don't need at all</t>
        </is>
      </c>
      <c r="AL1988">
        <v>1</v>
      </c>
      <c r="AM1988" t="inlineStr">
        <is>
          <t>No, I don't need at all</t>
        </is>
      </c>
      <c r="AN1988"/>
      <c r="AO1988" t="inlineStr">
        <is>
          <t>No, I don't need at all</t>
        </is>
      </c>
      <c r="AP1988" t="inlineStr">
        <is>
          <t>Twice a year (50%)</t>
        </is>
      </c>
      <c r="AQ1988">
        <v>3</v>
      </c>
      <c r="AR1988" t="inlineStr">
        <is>
          <t>Free Job Portal</t>
        </is>
      </c>
      <c r="AS1988" t="inlineStr">
        <is>
          <t>- Headcount: 2
- Hiring Job Details: 1 retails, 1 marketing,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1988">
        <v>110</v>
      </c>
      <c r="AU1988" t="inlineStr">
        <is>
          <t>1.10</t>
        </is>
      </c>
      <c r="AV1988" t="inlineStr">
        <is>
          <t>15</t>
        </is>
      </c>
      <c r="AW1988" t="inlineStr">
        <is>
          <t>0</t>
        </is>
      </c>
      <c r="AX1988" t="inlineStr">
        <is>
          <t>Not Qualified</t>
        </is>
      </c>
      <c r="AY1988" s="4"/>
      <c r="AZ1988"/>
      <c r="BA1988"/>
      <c r="BB1988"/>
      <c r="BC1988" t="inlineStr">
        <is>
          <t>pending</t>
        </is>
      </c>
      <c r="BD1988" s="4">
        <v>46140.48311342593</v>
      </c>
      <c r="BE1988" t="inlineStr">
        <is>
          <t>pending</t>
        </is>
      </c>
      <c r="BF1988"/>
      <c r="BG1988" t="inlineStr">
        <is>
          <t>Reschedule</t>
        </is>
      </c>
      <c r="BH1988" t="inlineStr">
        <is>
          <t>Edward Hoo</t>
        </is>
      </c>
      <c r="BI1988"/>
      <c r="BJ1988" s="4">
        <v>46142.879155092596</v>
      </c>
      <c r="BK1988" s="4">
        <v>46120.49133101852</v>
      </c>
      <c r="BL1988" t="inlineStr">
        <is>
          <t>0.0</t>
        </is>
      </c>
      <c r="BM1988" t="inlineStr">
        <is>
          <t>0.0</t>
        </is>
      </c>
      <c r="BN1988" t="inlineStr">
        <is>
          <t>User Visit(Logged In)</t>
        </is>
      </c>
      <c r="BO1988" s="4">
        <v>46120.49136574074</v>
      </c>
      <c r="BP1988">
        <v>166006</v>
      </c>
      <c r="BQ1988">
        <v>7642</v>
      </c>
      <c r="BR1988" t="inlineStr">
        <is>
          <t>Manual</t>
        </is>
      </c>
      <c r="BS1988"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- 24 Free Intern / Manager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
**EXTRA: 2-month extension for total 14-month package validity.
**RM200 Special Discount
**Extra 10 Candidate Profiles Unlock</t>
        </is>
      </c>
      <c r="BT1988"/>
      <c r="BU1988"/>
      <c r="BV1988">
        <v>2732183</v>
      </c>
      <c r="BW1988" t="inlineStr">
        <is>
          <t>Follow Up : Decision Pending</t>
        </is>
      </c>
      <c r="BX1988"/>
      <c r="BY1988"/>
      <c r="BZ1988" s="4"/>
      <c r="CA1988"/>
      <c r="CB1988"/>
      <c r="CC1988" s="4"/>
      <c r="CD1988" t="inlineStr">
        <is>
          <t>20</t>
        </is>
      </c>
      <c r="CE1988" t="inlineStr">
        <is>
          <t>0</t>
        </is>
      </c>
      <c r="CF1988" t="inlineStr">
        <is>
          <t>Q2-W01</t>
        </is>
      </c>
      <c r="CG1988" t="inlineStr">
        <is>
          <t>Q2-W02</t>
        </is>
      </c>
      <c r="CH1988"/>
      <c r="CI1988"/>
      <c r="CJ1988" t="inlineStr">
        <is>
          <t>No Paid</t>
        </is>
      </c>
      <c r="CK1988" t="inlineStr">
        <is>
          <t>Not Eligible</t>
        </is>
      </c>
      <c r="CL1988"/>
      <c r="CM1988"/>
    </row>
    <row r="1989" ht="25.5" customHeight="1">
      <c r="A1989" t="inlineStr">
        <is>
          <t>4257477</t>
        </is>
      </c>
      <c r="B1989" s="2"/>
      <c r="C1989"/>
      <c r="D1989" s="3">
        <v>46128.612592592595</v>
      </c>
      <c r="E1989" t="inlineStr">
        <is>
          <t>Q2-W02</t>
        </is>
      </c>
      <c r="F1989" t="inlineStr">
        <is>
          <t>Ratha</t>
        </is>
      </c>
      <c r="G1989" t="inlineStr">
        <is>
          <t>Lead</t>
        </is>
      </c>
      <c r="H1989" s="2" t="str">
        <f>=HYPERLINK("https://upbox.ajobthing.my/leads/4257477", "https://upbox.ajobthing.my/leads/4257477")</f>
        <v>https://upbox.ajobthing.my/leads/4257477</v>
      </c>
      <c r="I1989" t="inlineStr">
        <is>
          <t>Maju food cold storage sdn bhd</t>
        </is>
      </c>
      <c r="J1989" t="inlineStr">
        <is>
          <t>Small Fish</t>
        </is>
      </c>
      <c r="K1989" t="inlineStr">
        <is>
          <t>Ratha</t>
        </is>
      </c>
      <c r="L1989" s="4"/>
      <c r="M1989" s="4">
        <v>46128.613217592596</v>
      </c>
      <c r="N1989"/>
      <c r="O1989">
        <v>3888</v>
      </c>
      <c r="P1989" s="4"/>
      <c r="Q1989" s="4"/>
      <c r="R1989"/>
      <c r="S1989"/>
      <c r="T1989" s="4"/>
      <c r="U1989" s="4"/>
      <c r="V1989"/>
      <c r="W1989"/>
      <c r="X1989"/>
      <c r="Y1989" t="inlineStr">
        <is>
          <t>Pending Appointment</t>
        </is>
      </c>
      <c r="Z1989" t="inlineStr">
        <is>
          <t>Hiring Now</t>
        </is>
      </c>
      <c r="AA1989">
        <v>1</v>
      </c>
      <c r="AB1989" t="inlineStr">
        <is>
          <t>No Appointment Made</t>
        </is>
      </c>
      <c r="AC1989"/>
      <c r="AD1989" t="inlineStr">
        <is>
          <t>Live host
Sales
QA still going on
Location : Puchong</t>
        </is>
      </c>
      <c r="AE1989"/>
      <c r="AF1989"/>
      <c r="AG1989" s="4"/>
      <c r="AH1989" s="4"/>
      <c r="AI1989">
        <v>0</v>
      </c>
      <c r="AJ1989">
        <v>1</v>
      </c>
      <c r="AK1989" t="inlineStr">
        <is>
          <t>Yes, I have</t>
        </is>
      </c>
      <c r="AL1989">
        <v>2</v>
      </c>
      <c r="AM1989" t="inlineStr">
        <is>
          <t>No, I don't need at all</t>
        </is>
      </c>
      <c r="AN1989"/>
      <c r="AO1989" t="inlineStr">
        <is>
          <t>No, I don't need at all</t>
        </is>
      </c>
      <c r="AP1989" t="inlineStr">
        <is>
          <t>Twice a year (50%)</t>
        </is>
      </c>
      <c r="AQ1989">
        <v>0</v>
      </c>
      <c r="AR1989" t="inlineStr">
        <is>
          <t>Jobstreet</t>
        </is>
      </c>
      <c r="AS1989" t="inlineStr">
        <is>
          <t>- Headcount: 1
- Hiring Job Details: Live host; Sales; QA still going on; Location: Puchong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Twice a year (50%)
- External job portal: Jobstreet</t>
        </is>
      </c>
      <c r="AT1989">
        <v>65</v>
      </c>
      <c r="AU1989" t="inlineStr">
        <is>
          <t>0.65</t>
        </is>
      </c>
      <c r="AV1989" t="inlineStr">
        <is>
          <t>5</t>
        </is>
      </c>
      <c r="AW1989" t="inlineStr">
        <is>
          <t>0</t>
        </is>
      </c>
      <c r="AX1989" t="inlineStr">
        <is>
          <t>Not Qualified</t>
        </is>
      </c>
      <c r="AY1989" s="4"/>
      <c r="AZ1989"/>
      <c r="BA1989"/>
      <c r="BB1989"/>
      <c r="BC1989"/>
      <c r="BD1989" s="4"/>
      <c r="BE1989"/>
      <c r="BF1989"/>
      <c r="BG1989" t="inlineStr">
        <is>
          <t>Reschedule</t>
        </is>
      </c>
      <c r="BH1989" t="inlineStr">
        <is>
          <t>Fauziah Maharan</t>
        </is>
      </c>
      <c r="BI1989"/>
      <c r="BJ1989" s="4">
        <v>46144.755740740744</v>
      </c>
      <c r="BK1989" s="4">
        <v>46119.853842592594</v>
      </c>
      <c r="BL1989" t="inlineStr">
        <is>
          <t>0.0</t>
        </is>
      </c>
      <c r="BM1989" t="inlineStr">
        <is>
          <t>1200.0</t>
        </is>
      </c>
      <c r="BN1989"/>
      <c r="BO1989" s="4"/>
      <c r="BP1989">
        <v>167415</v>
      </c>
      <c r="BQ1989"/>
      <c r="BR1989"/>
      <c r="BS1989"/>
      <c r="BT1989"/>
      <c r="BU1989"/>
      <c r="BV1989"/>
      <c r="BW1989"/>
      <c r="BX1989"/>
      <c r="BY1989"/>
      <c r="BZ1989" s="4"/>
      <c r="CA1989"/>
      <c r="CB1989"/>
      <c r="CC1989" s="4"/>
      <c r="CD1989" t="inlineStr">
        <is>
          <t>5</t>
        </is>
      </c>
      <c r="CE1989" t="inlineStr">
        <is>
          <t>0</t>
        </is>
      </c>
      <c r="CF1989" t="inlineStr">
        <is>
          <t>Q2-W02</t>
        </is>
      </c>
      <c r="CG1989"/>
      <c r="CH1989"/>
      <c r="CI1989"/>
      <c r="CJ1989" t="inlineStr">
        <is>
          <t>No Paid</t>
        </is>
      </c>
      <c r="CK1989" t="inlineStr">
        <is>
          <t>Not Eligible</t>
        </is>
      </c>
      <c r="CL1989"/>
      <c r="CM1989"/>
    </row>
    <row r="1990" ht="25.5" customHeight="1">
      <c r="A1990" t="inlineStr">
        <is>
          <t>4289881</t>
        </is>
      </c>
      <c r="B1990" s="2"/>
      <c r="C1990"/>
      <c r="D1990" s="3">
        <v>46128.618252314816</v>
      </c>
      <c r="E1990" t="inlineStr">
        <is>
          <t>Q2-W02</t>
        </is>
      </c>
      <c r="F1990" t="inlineStr">
        <is>
          <t>Luqman</t>
        </is>
      </c>
      <c r="G1990" t="inlineStr">
        <is>
          <t>Lead</t>
        </is>
      </c>
      <c r="H1990" s="2" t="str">
        <f>=HYPERLINK("https://upbox.ajobthing.my/leads/4289881", "https://upbox.ajobthing.my/leads/4289881")</f>
        <v>https://upbox.ajobthing.my/leads/4289881</v>
      </c>
      <c r="I1990" t="inlineStr">
        <is>
          <t>Klinik Medina USJ 6</t>
        </is>
      </c>
      <c r="J1990" t="inlineStr">
        <is>
          <t>Small Fish</t>
        </is>
      </c>
      <c r="K1990" t="inlineStr">
        <is>
          <t>Luqman</t>
        </is>
      </c>
      <c r="L1990" s="4"/>
      <c r="M1990" s="4">
        <v>46128.61880787037</v>
      </c>
      <c r="N1990"/>
      <c r="O1990">
        <v>1296</v>
      </c>
      <c r="P1990" s="4"/>
      <c r="Q1990" s="4"/>
      <c r="R1990"/>
      <c r="S1990"/>
      <c r="T1990" s="4"/>
      <c r="U1990" s="4"/>
      <c r="V1990"/>
      <c r="W1990"/>
      <c r="X1990"/>
      <c r="Y1990" t="inlineStr">
        <is>
          <t>Pending Appointment</t>
        </is>
      </c>
      <c r="Z1990" t="inlineStr">
        <is>
          <t>Hiring Now</t>
        </is>
      </c>
      <c r="AA1990">
        <v>1</v>
      </c>
      <c r="AB1990" t="inlineStr">
        <is>
          <t>No Appointment Made</t>
        </is>
      </c>
      <c r="AC1990"/>
      <c r="AD1990" t="inlineStr">
        <is>
          <t xml:space="preserve">1. Clinic Assistant </t>
        </is>
      </c>
      <c r="AE1990"/>
      <c r="AF1990">
        <v>800</v>
      </c>
      <c r="AG1990" s="4"/>
      <c r="AH1990" s="4"/>
      <c r="AI1990">
        <v>800</v>
      </c>
      <c r="AJ1990"/>
      <c r="AK1990" t="inlineStr">
        <is>
          <t>No, I don't need at all</t>
        </is>
      </c>
      <c r="AL1990">
        <v>1</v>
      </c>
      <c r="AM1990" t="inlineStr">
        <is>
          <t>No, I don't need at all</t>
        </is>
      </c>
      <c r="AN1990"/>
      <c r="AO1990" t="inlineStr">
        <is>
          <t>No, I don't need at all</t>
        </is>
      </c>
      <c r="AP1990" t="inlineStr">
        <is>
          <t>Once a year (25%)</t>
        </is>
      </c>
      <c r="AQ1990">
        <v>2</v>
      </c>
      <c r="AR1990" t="inlineStr">
        <is>
          <t>Free Job Portal</t>
        </is>
      </c>
      <c r="AS1990" t="inlineStr">
        <is>
          <t>- Headcount: 1
- Hiring Job Details: 1 Clinic Assistant
- Hiring Urgency: Hiring Now
- Number of outlets: N/A
- Have recruiter team: No, I don't need at all
- Number of recruiter in company: 1
- Have ATS system: No, I don't need at all
- Have career website: No, I don't need at all
- Current hiring budget: RM800
- Whole year budget: RM800.00
- Whole year number of vacancies: 2
- Hiring frequency: Once a year (25%)
- External job portal: Free Job Portal</t>
        </is>
      </c>
      <c r="AT1990">
        <v>95</v>
      </c>
      <c r="AU1990" t="inlineStr">
        <is>
          <t>0.95</t>
        </is>
      </c>
      <c r="AV1990" t="inlineStr">
        <is>
          <t>15</t>
        </is>
      </c>
      <c r="AW1990" t="inlineStr">
        <is>
          <t>0</t>
        </is>
      </c>
      <c r="AX1990" t="inlineStr">
        <is>
          <t>Not Qualified</t>
        </is>
      </c>
      <c r="AY1990" s="4"/>
      <c r="AZ1990"/>
      <c r="BA1990"/>
      <c r="BB1990"/>
      <c r="BC1990"/>
      <c r="BD1990" s="4"/>
      <c r="BE1990"/>
      <c r="BF1990"/>
      <c r="BG1990" t="inlineStr">
        <is>
          <t>Reschedule</t>
        </is>
      </c>
      <c r="BH1990" t="inlineStr">
        <is>
          <t>Edward Hoo</t>
        </is>
      </c>
      <c r="BI1990"/>
      <c r="BJ1990" s="4">
        <v>46144.755833333336</v>
      </c>
      <c r="BK1990" s="4">
        <v>46128.57606481481</v>
      </c>
      <c r="BL1990" t="inlineStr">
        <is>
          <t>0.0</t>
        </is>
      </c>
      <c r="BM1990" t="inlineStr">
        <is>
          <t>0.0</t>
        </is>
      </c>
      <c r="BN1990"/>
      <c r="BO1990" s="4"/>
      <c r="BP1990">
        <v>167418</v>
      </c>
      <c r="BQ1990"/>
      <c r="BR1990"/>
      <c r="BS1990"/>
      <c r="BT1990"/>
      <c r="BU1990"/>
      <c r="BV1990"/>
      <c r="BW1990"/>
      <c r="BX1990"/>
      <c r="BY1990"/>
      <c r="BZ1990" s="4"/>
      <c r="CA1990"/>
      <c r="CB1990"/>
      <c r="CC1990" s="4"/>
      <c r="CD1990" t="inlineStr">
        <is>
          <t>20</t>
        </is>
      </c>
      <c r="CE1990" t="inlineStr">
        <is>
          <t>0</t>
        </is>
      </c>
      <c r="CF1990" t="inlineStr">
        <is>
          <t>Q2-W02</t>
        </is>
      </c>
      <c r="CG1990"/>
      <c r="CH1990"/>
      <c r="CI1990"/>
      <c r="CJ1990" t="inlineStr">
        <is>
          <t>No Paid</t>
        </is>
      </c>
      <c r="CK1990" t="inlineStr">
        <is>
          <t>Not Eligible</t>
        </is>
      </c>
      <c r="CL1990"/>
      <c r="CM1990"/>
    </row>
    <row r="1991" ht="25.5" customHeight="1">
      <c r="A1991" t="inlineStr">
        <is>
          <t>4289995</t>
        </is>
      </c>
      <c r="B1991" s="2"/>
      <c r="C1991"/>
      <c r="D1991" s="3">
        <v>46128.6203125</v>
      </c>
      <c r="E1991" t="inlineStr">
        <is>
          <t>Q2-W02</t>
        </is>
      </c>
      <c r="F1991" t="inlineStr">
        <is>
          <t>Jia Hui</t>
        </is>
      </c>
      <c r="G1991" t="inlineStr">
        <is>
          <t>Lead</t>
        </is>
      </c>
      <c r="H1991" s="2" t="str">
        <f>=HYPERLINK("https://upbox.ajobthing.my/leads/4289995", "https://upbox.ajobthing.my/leads/4289995")</f>
        <v>https://upbox.ajobthing.my/leads/4289995</v>
      </c>
      <c r="I1991" t="inlineStr">
        <is>
          <t>Zheng Yee Precision Engineering Sdn Bhd</t>
        </is>
      </c>
      <c r="J1991" t="inlineStr">
        <is>
          <t>Small Fish</t>
        </is>
      </c>
      <c r="K1991" t="inlineStr">
        <is>
          <t>Jia Hui</t>
        </is>
      </c>
      <c r="L1991" s="4"/>
      <c r="M1991" s="4">
        <v>46128.62065972222</v>
      </c>
      <c r="N1991"/>
      <c r="O1991">
        <v>6048</v>
      </c>
      <c r="P1991" s="4"/>
      <c r="Q1991" s="4"/>
      <c r="R1991"/>
      <c r="S1991"/>
      <c r="T1991" s="4"/>
      <c r="U1991" s="4"/>
      <c r="V1991"/>
      <c r="W1991"/>
      <c r="X1991"/>
      <c r="Y1991" t="inlineStr">
        <is>
          <t>Pending Appointment</t>
        </is>
      </c>
      <c r="Z1991" t="inlineStr">
        <is>
          <t>Hiring Now</t>
        </is>
      </c>
      <c r="AA1991">
        <v>4</v>
      </c>
      <c r="AB1991" t="inlineStr">
        <is>
          <t>No Appointment Made</t>
        </is>
      </c>
      <c r="AC1991"/>
      <c r="AD1991" t="inlineStr">
        <is>
          <t>1 engineer, 1 marketer, 1 admin, 1 account</t>
        </is>
      </c>
      <c r="AE1991"/>
      <c r="AF1991">
        <v>1000</v>
      </c>
      <c r="AG1991" s="4"/>
      <c r="AH1991" s="4"/>
      <c r="AI1991"/>
      <c r="AJ1991"/>
      <c r="AK1991" t="inlineStr">
        <is>
          <t>Yes, I have</t>
        </is>
      </c>
      <c r="AL1991"/>
      <c r="AM1991"/>
      <c r="AN1991"/>
      <c r="AO1991"/>
      <c r="AP1991" t="inlineStr">
        <is>
          <t>Once a year (25%)</t>
        </is>
      </c>
      <c r="AQ1991"/>
      <c r="AR1991"/>
      <c r="AS1991" t="inlineStr">
        <is>
          <t>- Headcount: 4
- Hiring Job Details: 1 engineer, 1 marketer, 1 admin, 1 account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1991">
        <v>95</v>
      </c>
      <c r="AU1991" t="inlineStr">
        <is>
          <t>0.95</t>
        </is>
      </c>
      <c r="AV1991" t="inlineStr">
        <is>
          <t>15</t>
        </is>
      </c>
      <c r="AW1991" t="inlineStr">
        <is>
          <t>0</t>
        </is>
      </c>
      <c r="AX1991" t="inlineStr">
        <is>
          <t>Not Qualified</t>
        </is>
      </c>
      <c r="AY1991" s="4"/>
      <c r="AZ1991"/>
      <c r="BA1991"/>
      <c r="BB1991"/>
      <c r="BC1991"/>
      <c r="BD1991" s="4"/>
      <c r="BE1991"/>
      <c r="BF1991"/>
      <c r="BG1991" t="inlineStr">
        <is>
          <t>Reschedule</t>
        </is>
      </c>
      <c r="BH1991" t="inlineStr">
        <is>
          <t>Reagen</t>
        </is>
      </c>
      <c r="BI1991"/>
      <c r="BJ1991" s="4">
        <v>46144.75585648148</v>
      </c>
      <c r="BK1991" s="4">
        <v>46128.59842592593</v>
      </c>
      <c r="BL1991" t="inlineStr">
        <is>
          <t>0.0</t>
        </is>
      </c>
      <c r="BM1991" t="inlineStr">
        <is>
          <t>0.0</t>
        </is>
      </c>
      <c r="BN1991"/>
      <c r="BO1991" s="4"/>
      <c r="BP1991">
        <v>167423</v>
      </c>
      <c r="BQ1991"/>
      <c r="BR1991"/>
      <c r="BS1991"/>
      <c r="BT1991"/>
      <c r="BU1991"/>
      <c r="BV1991"/>
      <c r="BW1991"/>
      <c r="BX1991"/>
      <c r="BY1991"/>
      <c r="BZ1991" s="4"/>
      <c r="CA1991"/>
      <c r="CB1991"/>
      <c r="CC1991" s="4"/>
      <c r="CD1991" t="inlineStr">
        <is>
          <t>20</t>
        </is>
      </c>
      <c r="CE1991" t="inlineStr">
        <is>
          <t>0</t>
        </is>
      </c>
      <c r="CF1991" t="inlineStr">
        <is>
          <t>Q2-W02</t>
        </is>
      </c>
      <c r="CG1991"/>
      <c r="CH1991"/>
      <c r="CI1991"/>
      <c r="CJ1991" t="inlineStr">
        <is>
          <t>No Paid</t>
        </is>
      </c>
      <c r="CK1991" t="inlineStr">
        <is>
          <t>Not Eligible</t>
        </is>
      </c>
      <c r="CL1991"/>
      <c r="CM1991"/>
    </row>
    <row r="1992" ht="25.5" customHeight="1">
      <c r="A1992" t="inlineStr">
        <is>
          <t>203317</t>
        </is>
      </c>
      <c r="B1992" s="2"/>
      <c r="C1992"/>
      <c r="D1992" s="3">
        <v>46128.623564814814</v>
      </c>
      <c r="E1992" t="inlineStr">
        <is>
          <t>Q2-W02</t>
        </is>
      </c>
      <c r="F1992" t="inlineStr">
        <is>
          <t>Keegan</t>
        </is>
      </c>
      <c r="G1992" t="inlineStr">
        <is>
          <t>Customer</t>
        </is>
      </c>
      <c r="H1992" s="2" t="str">
        <f>=HYPERLINK("https://upbox.ajobthing.my/customer/203317", "https://upbox.ajobthing.my/customer/203317")</f>
        <v>https://upbox.ajobthing.my/customer/203317</v>
      </c>
      <c r="I1992" t="inlineStr">
        <is>
          <t>IShine maid services</t>
        </is>
      </c>
      <c r="J1992" t="inlineStr">
        <is>
          <t>Small Fish</t>
        </is>
      </c>
      <c r="K1992" t="inlineStr">
        <is>
          <t>Keegan</t>
        </is>
      </c>
      <c r="L1992" s="4"/>
      <c r="M1992" s="4">
        <v>46128.623703703706</v>
      </c>
      <c r="N1992"/>
      <c r="O1992">
        <v>3672</v>
      </c>
      <c r="P1992" s="4"/>
      <c r="Q1992" s="4"/>
      <c r="R1992"/>
      <c r="S1992"/>
      <c r="T1992" s="4"/>
      <c r="U1992" s="4"/>
      <c r="V1992"/>
      <c r="W1992"/>
      <c r="X1992"/>
      <c r="Y1992" t="inlineStr">
        <is>
          <t>Pending Appointment</t>
        </is>
      </c>
      <c r="Z1992" t="inlineStr">
        <is>
          <t>Hiring Now</t>
        </is>
      </c>
      <c r="AA1992">
        <v>2</v>
      </c>
      <c r="AB1992" t="inlineStr">
        <is>
          <t>No Appointment Made</t>
        </is>
      </c>
      <c r="AC1992"/>
      <c r="AD1992" t="inlineStr">
        <is>
          <t xml:space="preserve">1. Admin
2. Driver  </t>
        </is>
      </c>
      <c r="AE1992"/>
      <c r="AF1992"/>
      <c r="AG1992" s="4"/>
      <c r="AH1992" s="4"/>
      <c r="AI1992"/>
      <c r="AJ1992">
        <v>1</v>
      </c>
      <c r="AK1992" t="inlineStr">
        <is>
          <t>No, I don't need at all</t>
        </is>
      </c>
      <c r="AL1992">
        <v>0</v>
      </c>
      <c r="AM1992" t="inlineStr">
        <is>
          <t>No, I don't need at all</t>
        </is>
      </c>
      <c r="AN1992"/>
      <c r="AO1992" t="inlineStr">
        <is>
          <t>No, I don't need at all</t>
        </is>
      </c>
      <c r="AP1992" t="inlineStr">
        <is>
          <t>Once per quarter (75%)</t>
        </is>
      </c>
      <c r="AQ1992"/>
      <c r="AR1992" t="inlineStr">
        <is>
          <t>Did not use any job portal</t>
        </is>
      </c>
      <c r="AS1992" t="inlineStr">
        <is>
          <t>- Headcount: 2
- Hiring Job Details: 1. Admin\n2.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992">
        <v>75</v>
      </c>
      <c r="AU1992" t="inlineStr">
        <is>
          <t>0.75</t>
        </is>
      </c>
      <c r="AV1992" t="inlineStr">
        <is>
          <t>5</t>
        </is>
      </c>
      <c r="AW1992" t="inlineStr">
        <is>
          <t>0</t>
        </is>
      </c>
      <c r="AX1992" t="inlineStr">
        <is>
          <t>Not Qualified</t>
        </is>
      </c>
      <c r="AY1992" s="4"/>
      <c r="AZ1992"/>
      <c r="BA1992"/>
      <c r="BB1992"/>
      <c r="BC1992" t="inlineStr">
        <is>
          <t>Pending decision</t>
        </is>
      </c>
      <c r="BD1992" s="4">
        <v>46136.48509259259</v>
      </c>
      <c r="BE1992"/>
      <c r="BF1992"/>
      <c r="BG1992" t="inlineStr">
        <is>
          <t>Reschedule</t>
        </is>
      </c>
      <c r="BH1992" t="inlineStr">
        <is>
          <t>Edward Hoo</t>
        </is>
      </c>
      <c r="BI1992"/>
      <c r="BJ1992" s="4">
        <v>46144.754282407404</v>
      </c>
      <c r="BK1992" s="4">
        <v>46128.621770833335</v>
      </c>
      <c r="BL1992" t="inlineStr">
        <is>
          <t>0.0</t>
        </is>
      </c>
      <c r="BM1992" t="inlineStr">
        <is>
          <t>0.0</t>
        </is>
      </c>
      <c r="BN1992"/>
      <c r="BO1992" s="4"/>
      <c r="BP1992">
        <v>167425</v>
      </c>
      <c r="BQ1992"/>
      <c r="BR1992"/>
      <c r="BS1992"/>
      <c r="BT1992"/>
      <c r="BU1992"/>
      <c r="BV1992">
        <v>2725918</v>
      </c>
      <c r="BW1992" t="inlineStr">
        <is>
          <t>Follow Up : Decision Pending</t>
        </is>
      </c>
      <c r="BX1992"/>
      <c r="BY1992"/>
      <c r="BZ1992" s="4"/>
      <c r="CA1992"/>
      <c r="CB1992"/>
      <c r="CC1992" s="4"/>
      <c r="CD1992" t="inlineStr">
        <is>
          <t>5</t>
        </is>
      </c>
      <c r="CE1992" t="inlineStr">
        <is>
          <t>0</t>
        </is>
      </c>
      <c r="CF1992" t="inlineStr">
        <is>
          <t>Q2-W02</t>
        </is>
      </c>
      <c r="CG1992"/>
      <c r="CH1992"/>
      <c r="CI1992"/>
      <c r="CJ1992" t="inlineStr">
        <is>
          <t>No Paid</t>
        </is>
      </c>
      <c r="CK1992" t="inlineStr">
        <is>
          <t>Not Eligible</t>
        </is>
      </c>
      <c r="CL1992"/>
      <c r="CM1992"/>
    </row>
    <row r="1993" ht="25.5" customHeight="1">
      <c r="A1993" t="inlineStr">
        <is>
          <t>46280</t>
        </is>
      </c>
      <c r="B1993" s="2"/>
      <c r="C1993"/>
      <c r="D1993" s="3">
        <v>46128.62971064815</v>
      </c>
      <c r="E1993" t="inlineStr">
        <is>
          <t>Q2-W02</t>
        </is>
      </c>
      <c r="F1993" t="inlineStr">
        <is>
          <t>Jeff Lee</t>
        </is>
      </c>
      <c r="G1993" t="inlineStr">
        <is>
          <t>Customer</t>
        </is>
      </c>
      <c r="H1993" s="2" t="str">
        <f>=HYPERLINK("https://upbox.ajobthing.my/customer/46280", "https://upbox.ajobthing.my/customer/46280")</f>
        <v>https://upbox.ajobthing.my/customer/46280</v>
      </c>
      <c r="I1993" t="inlineStr">
        <is>
          <t>Go Planet Events &amp; Marketing</t>
        </is>
      </c>
      <c r="J1993" t="inlineStr">
        <is>
          <t>Small Fish</t>
        </is>
      </c>
      <c r="K1993" t="inlineStr">
        <is>
          <t>Jeff Lee</t>
        </is>
      </c>
      <c r="L1993" s="4"/>
      <c r="M1993" s="4">
        <v>46128.62880787037</v>
      </c>
      <c r="N1993"/>
      <c r="O1993">
        <v>6048</v>
      </c>
      <c r="P1993" s="4"/>
      <c r="Q1993" s="4"/>
      <c r="R1993"/>
      <c r="S1993"/>
      <c r="T1993" s="4"/>
      <c r="U1993" s="4"/>
      <c r="V1993"/>
      <c r="W1993"/>
      <c r="X1993"/>
      <c r="Y1993" t="inlineStr">
        <is>
          <t>Pending Appointment</t>
        </is>
      </c>
      <c r="Z1993" t="inlineStr">
        <is>
          <t>Hiring Now</t>
        </is>
      </c>
      <c r="AA1993">
        <v>2</v>
      </c>
      <c r="AB1993" t="inlineStr">
        <is>
          <t>No Appointment Made</t>
        </is>
      </c>
      <c r="AC1993"/>
      <c r="AD1993" t="inlineStr">
        <is>
          <t>2 vacancies</t>
        </is>
      </c>
      <c r="AE1993"/>
      <c r="AF1993">
        <v>0</v>
      </c>
      <c r="AG1993" s="4"/>
      <c r="AH1993" s="4"/>
      <c r="AI1993">
        <v>0</v>
      </c>
      <c r="AJ1993">
        <v>0</v>
      </c>
      <c r="AK1993" t="inlineStr">
        <is>
          <t>No, I don't need at all</t>
        </is>
      </c>
      <c r="AL1993">
        <v>0</v>
      </c>
      <c r="AM1993" t="inlineStr">
        <is>
          <t>No, I don't need at all</t>
        </is>
      </c>
      <c r="AN1993"/>
      <c r="AO1993" t="inlineStr">
        <is>
          <t>No, I don't need at all</t>
        </is>
      </c>
      <c r="AP1993" t="inlineStr">
        <is>
          <t>Once a year (25%)</t>
        </is>
      </c>
      <c r="AQ1993">
        <v>4</v>
      </c>
      <c r="AR1993" t="inlineStr">
        <is>
          <t>Did not use any job portal</t>
        </is>
      </c>
      <c r="AS1993" t="inlineStr">
        <is>
          <t>- Headcount: 2
- Hiring Job Details: 2 vacancies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Did not use any job portal</t>
        </is>
      </c>
      <c r="AT1993">
        <v>65</v>
      </c>
      <c r="AU1993" t="inlineStr">
        <is>
          <t>0.65</t>
        </is>
      </c>
      <c r="AV1993" t="inlineStr">
        <is>
          <t>15</t>
        </is>
      </c>
      <c r="AW1993" t="inlineStr">
        <is>
          <t>0</t>
        </is>
      </c>
      <c r="AX1993" t="inlineStr">
        <is>
          <t>Not Qualified</t>
        </is>
      </c>
      <c r="AY1993" s="4"/>
      <c r="AZ1993"/>
      <c r="BA1993"/>
      <c r="BB1993"/>
      <c r="BC1993" t="inlineStr">
        <is>
          <t>pending</t>
        </is>
      </c>
      <c r="BD1993" s="4">
        <v>46140.479375</v>
      </c>
      <c r="BE1993"/>
      <c r="BF1993"/>
      <c r="BG1993" t="inlineStr">
        <is>
          <t>Reschedule</t>
        </is>
      </c>
      <c r="BH1993" t="inlineStr">
        <is>
          <t>Yee Hang</t>
        </is>
      </c>
      <c r="BI1993" t="inlineStr">
        <is>
          <t>Exhibitions / Event Mgmt</t>
        </is>
      </c>
      <c r="BJ1993" s="4">
        <v>46144.756006944444</v>
      </c>
      <c r="BK1993" s="4">
        <v>43153.598333333335</v>
      </c>
      <c r="BL1993" t="inlineStr">
        <is>
          <t>0.0</t>
        </is>
      </c>
      <c r="BM1993" t="inlineStr">
        <is>
          <t>0.0</t>
        </is>
      </c>
      <c r="BN1993" t="inlineStr">
        <is>
          <t>View Job Applicants Page</t>
        </is>
      </c>
      <c r="BO1993" s="4">
        <v>43895.45201388889</v>
      </c>
      <c r="BP1993">
        <v>167430</v>
      </c>
      <c r="BQ1993"/>
      <c r="BR1993"/>
      <c r="BS1993"/>
      <c r="BT1993"/>
      <c r="BU1993"/>
      <c r="BV1993">
        <v>2732161</v>
      </c>
      <c r="BW1993" t="inlineStr">
        <is>
          <t>Follow Up : Decision Pending</t>
        </is>
      </c>
      <c r="BX1993"/>
      <c r="BY1993"/>
      <c r="BZ1993" s="4"/>
      <c r="CA1993"/>
      <c r="CB1993"/>
      <c r="CC1993" s="4"/>
      <c r="CD1993" t="inlineStr">
        <is>
          <t>20</t>
        </is>
      </c>
      <c r="CE1993" t="inlineStr">
        <is>
          <t>0</t>
        </is>
      </c>
      <c r="CF1993" t="inlineStr">
        <is>
          <t>Q2-W02</t>
        </is>
      </c>
      <c r="CG1993"/>
      <c r="CH1993"/>
      <c r="CI1993"/>
      <c r="CJ1993" t="inlineStr">
        <is>
          <t>No Paid</t>
        </is>
      </c>
      <c r="CK1993" t="inlineStr">
        <is>
          <t>Not Eligible</t>
        </is>
      </c>
      <c r="CL1993"/>
      <c r="CM1993"/>
    </row>
    <row r="1994" ht="25.5" customHeight="1">
      <c r="A1994" t="inlineStr">
        <is>
          <t>203303</t>
        </is>
      </c>
      <c r="B1994" s="2"/>
      <c r="C1994"/>
      <c r="D1994" s="3">
        <v>46128.632048611114</v>
      </c>
      <c r="E1994" t="inlineStr">
        <is>
          <t>Q2-W02</t>
        </is>
      </c>
      <c r="F1994" t="inlineStr">
        <is>
          <t>Clover</t>
        </is>
      </c>
      <c r="G1994" t="inlineStr">
        <is>
          <t>Customer</t>
        </is>
      </c>
      <c r="H1994" s="2" t="str">
        <f>=HYPERLINK("https://upbox.ajobthing.my/customer/203303", "https://upbox.ajobthing.my/customer/203303")</f>
        <v>https://upbox.ajobthing.my/customer/203303</v>
      </c>
      <c r="I1994" t="inlineStr">
        <is>
          <t>Wzs Builders Sdn Bhd</t>
        </is>
      </c>
      <c r="J1994" t="inlineStr">
        <is>
          <t>Small Fish</t>
        </is>
      </c>
      <c r="K1994" t="inlineStr">
        <is>
          <t>Clover</t>
        </is>
      </c>
      <c r="L1994" s="4"/>
      <c r="M1994" s="4">
        <v>46128.62908564815</v>
      </c>
      <c r="N1994"/>
      <c r="O1994">
        <v>3888</v>
      </c>
      <c r="P1994" s="4"/>
      <c r="Q1994" s="4">
        <v>46128.48005787037</v>
      </c>
      <c r="R1994"/>
      <c r="S1994">
        <v>0</v>
      </c>
      <c r="T1994" s="4"/>
      <c r="U1994" s="4"/>
      <c r="V1994"/>
      <c r="W1994"/>
      <c r="X1994"/>
      <c r="Y1994" t="inlineStr">
        <is>
          <t>Pending Appointment</t>
        </is>
      </c>
      <c r="Z1994" t="inlineStr">
        <is>
          <t>Hiring Now</t>
        </is>
      </c>
      <c r="AA1994">
        <v>2</v>
      </c>
      <c r="AB1994" t="inlineStr">
        <is>
          <t>No Appointment Made</t>
        </is>
      </c>
      <c r="AC1994"/>
      <c r="AD1994" t="inlineStr">
        <is>
          <t>project admin x1, project manager x1, prefer malay, construction, KL, previous myfuturejob / indded, suggest stand</t>
        </is>
      </c>
      <c r="AE1994"/>
      <c r="AF1994">
        <v>3000</v>
      </c>
      <c r="AG1994" s="4"/>
      <c r="AH1994" s="4"/>
      <c r="AI1994">
        <v>3000</v>
      </c>
      <c r="AJ1994">
        <v>1</v>
      </c>
      <c r="AK1994" t="inlineStr">
        <is>
          <t>No, but I want in future</t>
        </is>
      </c>
      <c r="AL1994">
        <v>1</v>
      </c>
      <c r="AM1994" t="inlineStr">
        <is>
          <t>No, but I want in future</t>
        </is>
      </c>
      <c r="AN1994"/>
      <c r="AO1994" t="inlineStr">
        <is>
          <t>No, but I want in future</t>
        </is>
      </c>
      <c r="AP1994" t="inlineStr">
        <is>
          <t>Twice a year (50%)</t>
        </is>
      </c>
      <c r="AQ1994">
        <v>2</v>
      </c>
      <c r="AR1994" t="inlineStr">
        <is>
          <t>Free Job Portal</t>
        </is>
      </c>
      <c r="AS1994" t="inlineStr">
        <is>
          <t>- Headcount: 2
- Hiring Job Details: project admin x1, project manager x1, prefer malay, construction, KL, previous myfuturejob / indded,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1994">
        <v>115</v>
      </c>
      <c r="AU1994" t="inlineStr">
        <is>
          <t>1.15</t>
        </is>
      </c>
      <c r="AV1994" t="inlineStr">
        <is>
          <t>15</t>
        </is>
      </c>
      <c r="AW1994" t="inlineStr">
        <is>
          <t>0</t>
        </is>
      </c>
      <c r="AX1994" t="inlineStr">
        <is>
          <t>Not Qualified</t>
        </is>
      </c>
      <c r="AY1994" s="4"/>
      <c r="AZ1994"/>
      <c r="BA1994"/>
      <c r="BB1994"/>
      <c r="BC1994" t="inlineStr">
        <is>
          <t>npu, wa fu</t>
        </is>
      </c>
      <c r="BD1994" s="4">
        <v>46136.78008101852</v>
      </c>
      <c r="BE1994" t="inlineStr">
        <is>
          <t>paid</t>
        </is>
      </c>
      <c r="BF1994"/>
      <c r="BG1994" t="inlineStr">
        <is>
          <t>Reschedule</t>
        </is>
      </c>
      <c r="BH1994" t="inlineStr">
        <is>
          <t>Reagen</t>
        </is>
      </c>
      <c r="BI1994"/>
      <c r="BJ1994" s="4">
        <v>46144.754282407404</v>
      </c>
      <c r="BK1994" s="4">
        <v>46128.47945601852</v>
      </c>
      <c r="BL1994" t="inlineStr">
        <is>
          <t>0.0</t>
        </is>
      </c>
      <c r="BM1994" t="inlineStr">
        <is>
          <t>0.0</t>
        </is>
      </c>
      <c r="BN1994" t="inlineStr">
        <is>
          <t>View Company Page</t>
        </is>
      </c>
      <c r="BO1994" s="4">
        <v>46128.48535879629</v>
      </c>
      <c r="BP1994">
        <v>167431</v>
      </c>
      <c r="BQ1994">
        <v>122669</v>
      </c>
      <c r="BR1994" t="inlineStr">
        <is>
          <t>Proforma</t>
        </is>
      </c>
      <c r="BS1994" t="inlineStr">
        <is>
          <t>Free High Pay Job</t>
        </is>
      </c>
      <c r="BT1994"/>
      <c r="BU1994"/>
      <c r="BV1994">
        <v>2727573</v>
      </c>
      <c r="BW1994" t="inlineStr">
        <is>
          <t>No Answer : Voicemail - WA sent to customer</t>
        </is>
      </c>
      <c r="BX1994"/>
      <c r="BY1994"/>
      <c r="BZ1994" s="4"/>
      <c r="CA1994"/>
      <c r="CB1994"/>
      <c r="CC1994" s="4"/>
      <c r="CD1994" t="inlineStr">
        <is>
          <t>20</t>
        </is>
      </c>
      <c r="CE1994" t="inlineStr">
        <is>
          <t>0</t>
        </is>
      </c>
      <c r="CF1994" t="inlineStr">
        <is>
          <t>Q2-W02</t>
        </is>
      </c>
      <c r="CG1994" t="inlineStr">
        <is>
          <t>Q2-W02</t>
        </is>
      </c>
      <c r="CH1994"/>
      <c r="CI1994"/>
      <c r="CJ1994" t="inlineStr">
        <is>
          <t>No Paid</t>
        </is>
      </c>
      <c r="CK1994" t="inlineStr">
        <is>
          <t>Not Eligible</t>
        </is>
      </c>
      <c r="CL1994"/>
      <c r="CM1994"/>
    </row>
    <row r="1995" ht="25.5" customHeight="1">
      <c r="A1995" t="inlineStr">
        <is>
          <t>43943</t>
        </is>
      </c>
      <c r="B1995" s="2"/>
      <c r="C1995"/>
      <c r="D1995" s="3">
        <v>46128.63701388889</v>
      </c>
      <c r="E1995" t="inlineStr">
        <is>
          <t>Q2-W02</t>
        </is>
      </c>
      <c r="F1995" t="inlineStr">
        <is>
          <t>Xin Hui</t>
        </is>
      </c>
      <c r="G1995" t="inlineStr">
        <is>
          <t>Customer</t>
        </is>
      </c>
      <c r="H1995" s="2" t="str">
        <f>=HYPERLINK("https://upbox.ajobthing.my/customer/43943", "https://upbox.ajobthing.my/customer/43943")</f>
        <v>https://upbox.ajobthing.my/customer/43943</v>
      </c>
      <c r="I1995" t="inlineStr">
        <is>
          <t>Avalon Deco Sdn Bhd</t>
        </is>
      </c>
      <c r="J1995" t="inlineStr">
        <is>
          <t>Small Fish</t>
        </is>
      </c>
      <c r="K1995" t="inlineStr">
        <is>
          <t>Xin Hui</t>
        </is>
      </c>
      <c r="L1995" s="4"/>
      <c r="M1995" s="4">
        <v>46128.63798611111</v>
      </c>
      <c r="N1995"/>
      <c r="O1995">
        <v>3888</v>
      </c>
      <c r="P1995" s="4"/>
      <c r="Q1995" s="4"/>
      <c r="R1995"/>
      <c r="S1995"/>
      <c r="T1995" s="4"/>
      <c r="U1995" s="4"/>
      <c r="V1995"/>
      <c r="W1995"/>
      <c r="X1995"/>
      <c r="Y1995" t="inlineStr">
        <is>
          <t>Pending Appointment</t>
        </is>
      </c>
      <c r="Z1995" t="inlineStr">
        <is>
          <t>Hiring Later</t>
        </is>
      </c>
      <c r="AA1995">
        <v>1</v>
      </c>
      <c r="AB1995" t="inlineStr">
        <is>
          <t>No Appointment Made</t>
        </is>
      </c>
      <c r="AC1995"/>
      <c r="AD1995" t="inlineStr">
        <is>
          <t>business developer</t>
        </is>
      </c>
      <c r="AE1995"/>
      <c r="AF1995"/>
      <c r="AG1995" s="4"/>
      <c r="AH1995" s="4"/>
      <c r="AI1995"/>
      <c r="AJ1995"/>
      <c r="AK1995" t="inlineStr">
        <is>
          <t>No, I don't need at all</t>
        </is>
      </c>
      <c r="AL1995"/>
      <c r="AM1995" t="inlineStr">
        <is>
          <t>No, I don't need at all</t>
        </is>
      </c>
      <c r="AN1995"/>
      <c r="AO1995" t="inlineStr">
        <is>
          <t>No, I don't need at all</t>
        </is>
      </c>
      <c r="AP1995" t="inlineStr">
        <is>
          <t>Once a year (25%)</t>
        </is>
      </c>
      <c r="AQ1995"/>
      <c r="AR1995"/>
      <c r="AS1995" t="inlineStr">
        <is>
          <t>- Headcount: 1
- Hiring Job Details: business developer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1995">
        <v>75</v>
      </c>
      <c r="AU1995" t="inlineStr">
        <is>
          <t>0.75</t>
        </is>
      </c>
      <c r="AV1995" t="inlineStr">
        <is>
          <t>5</t>
        </is>
      </c>
      <c r="AW1995" t="inlineStr">
        <is>
          <t>0</t>
        </is>
      </c>
      <c r="AX1995" t="inlineStr">
        <is>
          <t>Not Qualified</t>
        </is>
      </c>
      <c r="AY1995" s="4"/>
      <c r="AZ1995"/>
      <c r="BA1995"/>
      <c r="BB1995"/>
      <c r="BC1995" t="inlineStr">
        <is>
          <t>Ms Looi : boss said no need first, wait company settle down only will hire</t>
        </is>
      </c>
      <c r="BD1995" s="4">
        <v>46133.68543981481</v>
      </c>
      <c r="BE1995"/>
      <c r="BF1995"/>
      <c r="BG1995" t="inlineStr">
        <is>
          <t>Reschedule</t>
        </is>
      </c>
      <c r="BH1995" t="inlineStr">
        <is>
          <t>Yee Hang</t>
        </is>
      </c>
      <c r="BI1995" t="inlineStr">
        <is>
          <t>Advertising / Marketing</t>
        </is>
      </c>
      <c r="BJ1995" s="4">
        <v>46144.755949074075</v>
      </c>
      <c r="BK1995" s="4">
        <v>43061.69715277778</v>
      </c>
      <c r="BL1995" t="inlineStr">
        <is>
          <t>0.0</t>
        </is>
      </c>
      <c r="BM1995" t="inlineStr">
        <is>
          <t>0.0</t>
        </is>
      </c>
      <c r="BN1995" t="inlineStr">
        <is>
          <t>User Visit(Logged In)</t>
        </is>
      </c>
      <c r="BO1995" s="4">
        <v>45803.623125</v>
      </c>
      <c r="BP1995">
        <v>167433</v>
      </c>
      <c r="BQ1995"/>
      <c r="BR1995"/>
      <c r="BS1995"/>
      <c r="BT1995"/>
      <c r="BU1995"/>
      <c r="BV1995">
        <v>2718810</v>
      </c>
      <c r="BW1995" t="inlineStr">
        <is>
          <t>Follow Up : Lost - Free Portal</t>
        </is>
      </c>
      <c r="BX1995"/>
      <c r="BY1995"/>
      <c r="BZ1995" s="4"/>
      <c r="CA1995"/>
      <c r="CB1995"/>
      <c r="CC1995" s="4"/>
      <c r="CD1995" t="inlineStr">
        <is>
          <t>5</t>
        </is>
      </c>
      <c r="CE1995" t="inlineStr">
        <is>
          <t>0</t>
        </is>
      </c>
      <c r="CF1995" t="inlineStr">
        <is>
          <t>Q2-W02</t>
        </is>
      </c>
      <c r="CG1995"/>
      <c r="CH1995"/>
      <c r="CI1995"/>
      <c r="CJ1995" t="inlineStr">
        <is>
          <t>No Paid</t>
        </is>
      </c>
      <c r="CK1995" t="inlineStr">
        <is>
          <t>Not Eligible</t>
        </is>
      </c>
      <c r="CL1995"/>
      <c r="CM1995"/>
    </row>
    <row r="1996" ht="25.5" customHeight="1">
      <c r="A1996" t="inlineStr">
        <is>
          <t>172775</t>
        </is>
      </c>
      <c r="B1996" s="2"/>
      <c r="C1996"/>
      <c r="D1996" s="3">
        <v>46128.6371875</v>
      </c>
      <c r="E1996" t="inlineStr">
        <is>
          <t>Q2-W02</t>
        </is>
      </c>
      <c r="F1996" t="inlineStr">
        <is>
          <t>Derek Lim</t>
        </is>
      </c>
      <c r="G1996" t="inlineStr">
        <is>
          <t>Customer</t>
        </is>
      </c>
      <c r="H1996" s="2" t="str">
        <f>=HYPERLINK("https://upbox.ajobthing.my/customer/172775", "https://upbox.ajobthing.my/customer/172775")</f>
        <v>https://upbox.ajobthing.my/customer/172775</v>
      </c>
      <c r="I1996" t="inlineStr">
        <is>
          <t>Chomel Sdn Bhd</t>
        </is>
      </c>
      <c r="J1996" t="inlineStr">
        <is>
          <t>Small Fish</t>
        </is>
      </c>
      <c r="K1996" t="inlineStr">
        <is>
          <t>Derek Lim</t>
        </is>
      </c>
      <c r="L1996" s="4"/>
      <c r="M1996" s="4">
        <v>46132.61295138889</v>
      </c>
      <c r="N1996"/>
      <c r="O1996">
        <v>1296</v>
      </c>
      <c r="P1996" s="4"/>
      <c r="Q1996" s="4">
        <v>45244.59431712963</v>
      </c>
      <c r="R1996"/>
      <c r="S1996">
        <v>636</v>
      </c>
      <c r="T1996" s="4">
        <v>45244.59431712963</v>
      </c>
      <c r="U1996" s="4"/>
      <c r="V1996"/>
      <c r="W1996">
        <v>636</v>
      </c>
      <c r="X1996"/>
      <c r="Y1996" t="inlineStr">
        <is>
          <t>Pending Appointment</t>
        </is>
      </c>
      <c r="Z1996" t="inlineStr">
        <is>
          <t>Hiring Now</t>
        </is>
      </c>
      <c r="AA1996">
        <v>1</v>
      </c>
      <c r="AB1996" t="inlineStr">
        <is>
          <t>No Appointment Made</t>
        </is>
      </c>
      <c r="AC1996"/>
      <c r="AD1996" t="inlineStr">
        <is>
          <t>Admin Assistant - 1</t>
        </is>
      </c>
      <c r="AE1996"/>
      <c r="AF1996">
        <v>700</v>
      </c>
      <c r="AG1996" s="4"/>
      <c r="AH1996" s="4"/>
      <c r="AI1996">
        <v>700</v>
      </c>
      <c r="AJ1996">
        <v>1</v>
      </c>
      <c r="AK1996" t="inlineStr">
        <is>
          <t>No, I don't need at all</t>
        </is>
      </c>
      <c r="AL1996">
        <v>0</v>
      </c>
      <c r="AM1996" t="inlineStr">
        <is>
          <t>No, I don't need at all</t>
        </is>
      </c>
      <c r="AN1996"/>
      <c r="AO1996" t="inlineStr">
        <is>
          <t>No, but I want in future</t>
        </is>
      </c>
      <c r="AP1996" t="inlineStr">
        <is>
          <t>Once a year (25%)</t>
        </is>
      </c>
      <c r="AQ1996">
        <v>1</v>
      </c>
      <c r="AR1996" t="inlineStr">
        <is>
          <t>Jobstreet</t>
        </is>
      </c>
      <c r="AS1996" t="inlineStr">
        <is>
          <t>- Headcount: 1
- Hiring Job Details: 1 Admin Assistant
- Hiring Urgency: Hiring Now
- Number of outlets: 1
- Have recruiter team: No, I don't need at all
- Number of recruiter in company: 0
- Have ATS system: No, I don't need at all
- Have career website: No, but I want in future
- Current hiring budget: RM700
- Whole year budget: RM700.00
- Whole year number of vacancies: 1
- Hiring frequency: Once a year (25%)
- External job portal: Jobstreet</t>
        </is>
      </c>
      <c r="AT1996">
        <v>115</v>
      </c>
      <c r="AU1996" t="inlineStr">
        <is>
          <t>1.15</t>
        </is>
      </c>
      <c r="AV1996" t="inlineStr">
        <is>
          <t>15</t>
        </is>
      </c>
      <c r="AW1996" t="inlineStr">
        <is>
          <t>0</t>
        </is>
      </c>
      <c r="AX1996" t="inlineStr">
        <is>
          <t>Not Qualified</t>
        </is>
      </c>
      <c r="AY1996" s="4"/>
      <c r="AZ1996"/>
      <c r="BA1996"/>
      <c r="BB1996"/>
      <c r="BC1996" t="inlineStr">
        <is>
          <t>CUSTOMER MENTION NOT GOING TO PROCEED</t>
        </is>
      </c>
      <c r="BD1996" s="4">
        <v>46141.62695601852</v>
      </c>
      <c r="BE1996" t="inlineStr">
        <is>
          <t>paid</t>
        </is>
      </c>
      <c r="BF1996"/>
      <c r="BG1996" t="inlineStr">
        <is>
          <t>Reschedule</t>
        </is>
      </c>
      <c r="BH1996" t="inlineStr">
        <is>
          <t>Edward Hoo</t>
        </is>
      </c>
      <c r="BI1996" t="inlineStr">
        <is>
          <t>Consumer Products / FMCG</t>
        </is>
      </c>
      <c r="BJ1996" s="4">
        <v>46144.75150462963</v>
      </c>
      <c r="BK1996" s="4">
        <v>45239.51243055556</v>
      </c>
      <c r="BL1996" t="inlineStr">
        <is>
          <t>0.0</t>
        </is>
      </c>
      <c r="BM1996" t="inlineStr">
        <is>
          <t>0.0</t>
        </is>
      </c>
      <c r="BN1996" t="inlineStr">
        <is>
          <t>View Company Page</t>
        </is>
      </c>
      <c r="BO1996" s="4">
        <v>46139.58835648148</v>
      </c>
      <c r="BP1996">
        <v>167846</v>
      </c>
      <c r="BQ1996">
        <v>63755</v>
      </c>
      <c r="BR1996" t="inlineStr">
        <is>
          <t>Online</t>
        </is>
      </c>
      <c r="BS1996"/>
      <c r="BT1996">
        <v>63755</v>
      </c>
      <c r="BU1996"/>
      <c r="BV1996">
        <v>2735519</v>
      </c>
      <c r="BW1996" t="inlineStr">
        <is>
          <t>Follow Up : Lost - Free Portal</t>
        </is>
      </c>
      <c r="BX1996"/>
      <c r="BY1996"/>
      <c r="BZ1996" s="4"/>
      <c r="CA1996"/>
      <c r="CB1996"/>
      <c r="CC1996" s="4"/>
      <c r="CD1996" t="inlineStr">
        <is>
          <t>20</t>
        </is>
      </c>
      <c r="CE1996" t="inlineStr">
        <is>
          <t>0</t>
        </is>
      </c>
      <c r="CF1996" t="inlineStr">
        <is>
          <t>Q2-W03</t>
        </is>
      </c>
      <c r="CG1996"/>
      <c r="CH1996"/>
      <c r="CI1996"/>
      <c r="CJ1996" t="inlineStr">
        <is>
          <t>Paid</t>
        </is>
      </c>
      <c r="CK1996" t="inlineStr">
        <is>
          <t>Not Eligible</t>
        </is>
      </c>
      <c r="CL1996"/>
      <c r="CM1996"/>
    </row>
    <row r="1997" ht="25.5" customHeight="1">
      <c r="A1997" t="inlineStr">
        <is>
          <t>4281201</t>
        </is>
      </c>
      <c r="B1997" s="2"/>
      <c r="C1997"/>
      <c r="D1997" s="3">
        <v>46128.639652777776</v>
      </c>
      <c r="E1997" t="inlineStr">
        <is>
          <t>Q2-W02</t>
        </is>
      </c>
      <c r="F1997" t="inlineStr">
        <is>
          <t>Jia Hui</t>
        </is>
      </c>
      <c r="G1997" t="inlineStr">
        <is>
          <t>Lead</t>
        </is>
      </c>
      <c r="H1997" s="2" t="str">
        <f>=HYPERLINK("https://upbox.ajobthing.my/leads/4281201", "https://upbox.ajobthing.my/leads/4281201")</f>
        <v>https://upbox.ajobthing.my/leads/4281201</v>
      </c>
      <c r="I1997" t="inlineStr">
        <is>
          <t>SOLARITE SDN BHD</t>
        </is>
      </c>
      <c r="J1997" t="inlineStr">
        <is>
          <t>Small Fish</t>
        </is>
      </c>
      <c r="K1997" t="inlineStr">
        <is>
          <t>Jia Hui</t>
        </is>
      </c>
      <c r="L1997" s="4"/>
      <c r="M1997" s="4">
        <v>46128.635659722226</v>
      </c>
      <c r="N1997"/>
      <c r="O1997">
        <v>1296</v>
      </c>
      <c r="P1997" s="4"/>
      <c r="Q1997" s="4"/>
      <c r="R1997"/>
      <c r="S1997"/>
      <c r="T1997" s="4"/>
      <c r="U1997" s="4"/>
      <c r="V1997"/>
      <c r="W1997"/>
      <c r="X1997"/>
      <c r="Y1997" t="inlineStr">
        <is>
          <t>Pending Appointment</t>
        </is>
      </c>
      <c r="Z1997" t="inlineStr">
        <is>
          <t>Hiring Now</t>
        </is>
      </c>
      <c r="AA1997">
        <v>1</v>
      </c>
      <c r="AB1997" t="inlineStr">
        <is>
          <t>No Appointment Made</t>
        </is>
      </c>
      <c r="AC1997"/>
      <c r="AD1997" t="inlineStr">
        <is>
          <t>1 technician</t>
        </is>
      </c>
      <c r="AE1997"/>
      <c r="AF1997">
        <v>500</v>
      </c>
      <c r="AG1997" s="4"/>
      <c r="AH1997" s="4"/>
      <c r="AI1997"/>
      <c r="AJ1997"/>
      <c r="AK1997" t="inlineStr">
        <is>
          <t>Yes, I have</t>
        </is>
      </c>
      <c r="AL1997"/>
      <c r="AM1997"/>
      <c r="AN1997"/>
      <c r="AO1997"/>
      <c r="AP1997" t="inlineStr">
        <is>
          <t>Once a year (25%)</t>
        </is>
      </c>
      <c r="AQ1997"/>
      <c r="AR1997"/>
      <c r="AS1997" t="inlineStr">
        <is>
          <t>- Headcount: 1
- Hiring Job Details: 1 technician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1997">
        <v>75</v>
      </c>
      <c r="AU1997" t="inlineStr">
        <is>
          <t>0.75</t>
        </is>
      </c>
      <c r="AV1997" t="inlineStr">
        <is>
          <t>15</t>
        </is>
      </c>
      <c r="AW1997" t="inlineStr">
        <is>
          <t>0</t>
        </is>
      </c>
      <c r="AX1997" t="inlineStr">
        <is>
          <t>Not Qualified</t>
        </is>
      </c>
      <c r="AY1997" s="4"/>
      <c r="AZ1997"/>
      <c r="BA1997"/>
      <c r="BB1997"/>
      <c r="BC1997"/>
      <c r="BD1997" s="4"/>
      <c r="BE1997"/>
      <c r="BF1997"/>
      <c r="BG1997" t="inlineStr">
        <is>
          <t>Reschedule</t>
        </is>
      </c>
      <c r="BH1997" t="inlineStr">
        <is>
          <t>Reagen</t>
        </is>
      </c>
      <c r="BI1997"/>
      <c r="BJ1997" s="4">
        <v>46144.755833333336</v>
      </c>
      <c r="BK1997" s="4">
        <v>46126.60267361111</v>
      </c>
      <c r="BL1997" t="inlineStr">
        <is>
          <t>0.0</t>
        </is>
      </c>
      <c r="BM1997" t="inlineStr">
        <is>
          <t>0.0</t>
        </is>
      </c>
      <c r="BN1997"/>
      <c r="BO1997" s="4"/>
      <c r="BP1997">
        <v>167432</v>
      </c>
      <c r="BQ1997"/>
      <c r="BR1997"/>
      <c r="BS1997"/>
      <c r="BT1997"/>
      <c r="BU1997"/>
      <c r="BV1997"/>
      <c r="BW1997"/>
      <c r="BX1997"/>
      <c r="BY1997"/>
      <c r="BZ1997" s="4"/>
      <c r="CA1997"/>
      <c r="CB1997"/>
      <c r="CC1997" s="4"/>
      <c r="CD1997" t="inlineStr">
        <is>
          <t>20</t>
        </is>
      </c>
      <c r="CE1997" t="inlineStr">
        <is>
          <t>0</t>
        </is>
      </c>
      <c r="CF1997" t="inlineStr">
        <is>
          <t>Q2-W02</t>
        </is>
      </c>
      <c r="CG1997"/>
      <c r="CH1997"/>
      <c r="CI1997"/>
      <c r="CJ1997" t="inlineStr">
        <is>
          <t>No Paid</t>
        </is>
      </c>
      <c r="CK1997" t="inlineStr">
        <is>
          <t>Not Eligible</t>
        </is>
      </c>
      <c r="CL1997"/>
      <c r="CM1997"/>
    </row>
    <row r="1998" ht="25.5" customHeight="1">
      <c r="A1998" t="inlineStr">
        <is>
          <t>203298</t>
        </is>
      </c>
      <c r="B1998" s="2"/>
      <c r="C1998"/>
      <c r="D1998" s="3">
        <v>46128.64162037037</v>
      </c>
      <c r="E1998" t="inlineStr">
        <is>
          <t>Q2-W02</t>
        </is>
      </c>
      <c r="F1998" t="inlineStr">
        <is>
          <t>Josh</t>
        </is>
      </c>
      <c r="G1998" t="inlineStr">
        <is>
          <t>Customer</t>
        </is>
      </c>
      <c r="H1998" s="2" t="str">
        <f>=HYPERLINK("https://upbox.ajobthing.my/customer/203298", "https://upbox.ajobthing.my/customer/203298")</f>
        <v>https://upbox.ajobthing.my/customer/203298</v>
      </c>
      <c r="I1998" t="inlineStr">
        <is>
          <t>Mamak Collectibles Trading</t>
        </is>
      </c>
      <c r="J1998" t="inlineStr">
        <is>
          <t>Small Fish</t>
        </is>
      </c>
      <c r="K1998" t="inlineStr">
        <is>
          <t>Josh</t>
        </is>
      </c>
      <c r="L1998" s="4"/>
      <c r="M1998" s="4">
        <v>46128.64172453704</v>
      </c>
      <c r="N1998"/>
      <c r="O1998">
        <v>864</v>
      </c>
      <c r="P1998" s="4"/>
      <c r="Q1998" s="4"/>
      <c r="R1998"/>
      <c r="S1998"/>
      <c r="T1998" s="4"/>
      <c r="U1998" s="4"/>
      <c r="V1998"/>
      <c r="W1998"/>
      <c r="X1998"/>
      <c r="Y1998" t="inlineStr">
        <is>
          <t>Pending Appointment</t>
        </is>
      </c>
      <c r="Z1998" t="inlineStr">
        <is>
          <t>Hiring Now</t>
        </is>
      </c>
      <c r="AA1998">
        <v>2</v>
      </c>
      <c r="AB1998" t="inlineStr">
        <is>
          <t>No Appointment Made</t>
        </is>
      </c>
      <c r="AC1998"/>
      <c r="AD1998" t="inlineStr">
        <is>
          <t xml:space="preserve">2 live host </t>
        </is>
      </c>
      <c r="AE1998"/>
      <c r="AF1998">
        <v>1000</v>
      </c>
      <c r="AG1998" s="4"/>
      <c r="AH1998" s="4"/>
      <c r="AI1998"/>
      <c r="AJ1998"/>
      <c r="AK1998"/>
      <c r="AL1998"/>
      <c r="AM1998"/>
      <c r="AN1998"/>
      <c r="AO1998"/>
      <c r="AP1998" t="inlineStr">
        <is>
          <t>Once a year (25%)</t>
        </is>
      </c>
      <c r="AQ1998"/>
      <c r="AR1998"/>
      <c r="AS1998" t="inlineStr">
        <is>
          <t>- Headcount: 2
- Hiring Job Details: 2 live host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1998">
        <v>75</v>
      </c>
      <c r="AU1998" t="inlineStr">
        <is>
          <t>0.75</t>
        </is>
      </c>
      <c r="AV1998" t="inlineStr">
        <is>
          <t>15</t>
        </is>
      </c>
      <c r="AW1998" t="inlineStr">
        <is>
          <t>0</t>
        </is>
      </c>
      <c r="AX1998" t="inlineStr">
        <is>
          <t>Not Qualified</t>
        </is>
      </c>
      <c r="AY1998" s="4"/>
      <c r="AZ1998"/>
      <c r="BA1998"/>
      <c r="BB1998"/>
      <c r="BC1998" t="inlineStr">
        <is>
          <t>havent discuss</t>
        </is>
      </c>
      <c r="BD1998" s="4">
        <v>46134.495625</v>
      </c>
      <c r="BE1998"/>
      <c r="BF1998"/>
      <c r="BG1998" t="inlineStr">
        <is>
          <t>Reschedule</t>
        </is>
      </c>
      <c r="BH1998" t="inlineStr">
        <is>
          <t>Fauziah Maharan</t>
        </is>
      </c>
      <c r="BI1998" t="inlineStr">
        <is>
          <t>Retail / Merchandise</t>
        </is>
      </c>
      <c r="BJ1998" s="4">
        <v>46144.754282407404</v>
      </c>
      <c r="BK1998" s="4">
        <v>46128.45243055555</v>
      </c>
      <c r="BL1998" t="inlineStr">
        <is>
          <t>0.0</t>
        </is>
      </c>
      <c r="BM1998" t="inlineStr">
        <is>
          <t>0.0</t>
        </is>
      </c>
      <c r="BN1998" t="inlineStr">
        <is>
          <t>View Company Page</t>
        </is>
      </c>
      <c r="BO1998" s="4">
        <v>46128.47972222222</v>
      </c>
      <c r="BP1998">
        <v>167437</v>
      </c>
      <c r="BQ1998"/>
      <c r="BR1998"/>
      <c r="BS1998"/>
      <c r="BT1998"/>
      <c r="BU1998"/>
      <c r="BV1998">
        <v>2720166</v>
      </c>
      <c r="BW1998" t="inlineStr">
        <is>
          <t>Follow Up : Decision Pending</t>
        </is>
      </c>
      <c r="BX1998"/>
      <c r="BY1998"/>
      <c r="BZ1998" s="4"/>
      <c r="CA1998"/>
      <c r="CB1998"/>
      <c r="CC1998" s="4"/>
      <c r="CD1998" t="inlineStr">
        <is>
          <t>20</t>
        </is>
      </c>
      <c r="CE1998" t="inlineStr">
        <is>
          <t>0</t>
        </is>
      </c>
      <c r="CF1998" t="inlineStr">
        <is>
          <t>Q2-W02</t>
        </is>
      </c>
      <c r="CG1998"/>
      <c r="CH1998"/>
      <c r="CI1998"/>
      <c r="CJ1998" t="inlineStr">
        <is>
          <t>No Paid</t>
        </is>
      </c>
      <c r="CK1998" t="inlineStr">
        <is>
          <t>Not Eligible</t>
        </is>
      </c>
      <c r="CL1998"/>
      <c r="CM1998"/>
    </row>
    <row r="1999" ht="25.5" customHeight="1">
      <c r="A1999" t="inlineStr">
        <is>
          <t>203265</t>
        </is>
      </c>
      <c r="B1999" s="2"/>
      <c r="C1999"/>
      <c r="D1999" s="3">
        <v>46128.64525462963</v>
      </c>
      <c r="E1999" t="inlineStr">
        <is>
          <t>Q2-W02</t>
        </is>
      </c>
      <c r="F1999" t="inlineStr">
        <is>
          <t>Keegan</t>
        </is>
      </c>
      <c r="G1999" t="inlineStr">
        <is>
          <t>Customer</t>
        </is>
      </c>
      <c r="H1999" s="2" t="str">
        <f>=HYPERLINK("https://upbox.ajobthing.my/customer/203265", "https://upbox.ajobthing.my/customer/203265")</f>
        <v>https://upbox.ajobthing.my/customer/203265</v>
      </c>
      <c r="I1999" t="inlineStr">
        <is>
          <t>Hope Group</t>
        </is>
      </c>
      <c r="J1999" t="inlineStr">
        <is>
          <t>Small Fish</t>
        </is>
      </c>
      <c r="K1999" t="inlineStr">
        <is>
          <t>Keegan</t>
        </is>
      </c>
      <c r="L1999" s="4"/>
      <c r="M1999" s="4">
        <v>46128.64530092593</v>
      </c>
      <c r="N1999"/>
      <c r="O1999">
        <v>6048</v>
      </c>
      <c r="P1999" s="4"/>
      <c r="Q1999" s="4">
        <v>46127.61409722222</v>
      </c>
      <c r="R1999"/>
      <c r="S1999">
        <v>0</v>
      </c>
      <c r="T1999" s="4"/>
      <c r="U1999" s="4"/>
      <c r="V1999"/>
      <c r="W1999"/>
      <c r="X1999"/>
      <c r="Y1999" t="inlineStr">
        <is>
          <t>Pending Appointment</t>
        </is>
      </c>
      <c r="Z1999" t="inlineStr">
        <is>
          <t>Hiring Now</t>
        </is>
      </c>
      <c r="AA1999">
        <v>2</v>
      </c>
      <c r="AB1999" t="inlineStr">
        <is>
          <t>No Appointment Made</t>
        </is>
      </c>
      <c r="AC1999"/>
      <c r="AD1999" t="inlineStr">
        <is>
          <t xml:space="preserve">1. Manager 
2. Admin </t>
        </is>
      </c>
      <c r="AE1999"/>
      <c r="AF1999"/>
      <c r="AG1999" s="4"/>
      <c r="AH1999" s="4"/>
      <c r="AI1999"/>
      <c r="AJ1999">
        <v>1</v>
      </c>
      <c r="AK1999" t="inlineStr">
        <is>
          <t>No, I don't need at all</t>
        </is>
      </c>
      <c r="AL1999">
        <v>0</v>
      </c>
      <c r="AM1999" t="inlineStr">
        <is>
          <t>No, I don't need at all</t>
        </is>
      </c>
      <c r="AN1999"/>
      <c r="AO1999" t="inlineStr">
        <is>
          <t>No, I don't need at all</t>
        </is>
      </c>
      <c r="AP1999" t="inlineStr">
        <is>
          <t>Once per quarter (75%)</t>
        </is>
      </c>
      <c r="AQ1999"/>
      <c r="AR1999" t="inlineStr">
        <is>
          <t>Did not use any job portal</t>
        </is>
      </c>
      <c r="AS1999" t="inlineStr">
        <is>
          <t>- Headcount: 2
- Hiring Job Details: 1. Manager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1999">
        <v>95</v>
      </c>
      <c r="AU1999" t="inlineStr">
        <is>
          <t>0.95</t>
        </is>
      </c>
      <c r="AV1999" t="inlineStr">
        <is>
          <t>5</t>
        </is>
      </c>
      <c r="AW1999" t="inlineStr">
        <is>
          <t>0</t>
        </is>
      </c>
      <c r="AX1999" t="inlineStr">
        <is>
          <t>Not Qualified</t>
        </is>
      </c>
      <c r="AY1999" s="4"/>
      <c r="AZ1999"/>
      <c r="BA1999"/>
      <c r="BB1999"/>
      <c r="BC1999" t="inlineStr">
        <is>
          <t>F/up on decision</t>
        </is>
      </c>
      <c r="BD1999" s="4">
        <v>46142.71672453704</v>
      </c>
      <c r="BE1999" t="inlineStr">
        <is>
          <t>paid</t>
        </is>
      </c>
      <c r="BF1999"/>
      <c r="BG1999" t="inlineStr">
        <is>
          <t>Reschedule</t>
        </is>
      </c>
      <c r="BH1999" t="inlineStr">
        <is>
          <t>Edward Hoo</t>
        </is>
      </c>
      <c r="BI1999" t="inlineStr">
        <is>
          <t>Insurance</t>
        </is>
      </c>
      <c r="BJ1999" s="4">
        <v>46144.75425925926</v>
      </c>
      <c r="BK1999" s="4">
        <v>46127.61336805556</v>
      </c>
      <c r="BL1999" t="inlineStr">
        <is>
          <t>0.0</t>
        </is>
      </c>
      <c r="BM1999" t="inlineStr">
        <is>
          <t>0.0</t>
        </is>
      </c>
      <c r="BN1999" t="inlineStr">
        <is>
          <t>View Company Page</t>
        </is>
      </c>
      <c r="BO1999" s="4">
        <v>46127.626909722225</v>
      </c>
      <c r="BP1999">
        <v>167439</v>
      </c>
      <c r="BQ1999">
        <v>122519</v>
      </c>
      <c r="BR1999" t="inlineStr">
        <is>
          <t>Proforma</t>
        </is>
      </c>
      <c r="BS1999" t="inlineStr">
        <is>
          <t>Free Freelance Job</t>
        </is>
      </c>
      <c r="BT1999"/>
      <c r="BU1999"/>
      <c r="BV1999">
        <v>2738331</v>
      </c>
      <c r="BW1999" t="inlineStr">
        <is>
          <t>Follow Up : Decision Pending</t>
        </is>
      </c>
      <c r="BX1999"/>
      <c r="BY1999"/>
      <c r="BZ1999" s="4"/>
      <c r="CA1999"/>
      <c r="CB1999"/>
      <c r="CC1999" s="4"/>
      <c r="CD1999" t="inlineStr">
        <is>
          <t>5</t>
        </is>
      </c>
      <c r="CE1999" t="inlineStr">
        <is>
          <t>0</t>
        </is>
      </c>
      <c r="CF1999" t="inlineStr">
        <is>
          <t>Q2-W02</t>
        </is>
      </c>
      <c r="CG1999" t="inlineStr">
        <is>
          <t>Q2-W02</t>
        </is>
      </c>
      <c r="CH1999"/>
      <c r="CI1999"/>
      <c r="CJ1999" t="inlineStr">
        <is>
          <t>No Paid</t>
        </is>
      </c>
      <c r="CK1999" t="inlineStr">
        <is>
          <t>Not Eligible</t>
        </is>
      </c>
      <c r="CL1999"/>
      <c r="CM1999"/>
    </row>
    <row r="2000" ht="25.5" customHeight="1">
      <c r="A2000" t="inlineStr">
        <is>
          <t>180836</t>
        </is>
      </c>
      <c r="B2000" s="2"/>
      <c r="C2000"/>
      <c r="D2000" s="3">
        <v>46128.64635416667</v>
      </c>
      <c r="E2000" t="inlineStr">
        <is>
          <t>Q2-W02</t>
        </is>
      </c>
      <c r="F2000" t="inlineStr">
        <is>
          <t>Clover</t>
        </is>
      </c>
      <c r="G2000" t="inlineStr">
        <is>
          <t>Customer</t>
        </is>
      </c>
      <c r="H2000" s="2" t="str">
        <f>=HYPERLINK("https://upbox.ajobthing.my/customer/180836", "https://upbox.ajobthing.my/customer/180836")</f>
        <v>https://upbox.ajobthing.my/customer/180836</v>
      </c>
      <c r="I2000" t="inlineStr">
        <is>
          <t xml:space="preserve">Glory Go Green (m) Sdn Bhd </t>
        </is>
      </c>
      <c r="J2000" t="inlineStr">
        <is>
          <t>Small Fish</t>
        </is>
      </c>
      <c r="K2000" t="inlineStr">
        <is>
          <t>Clover</t>
        </is>
      </c>
      <c r="L2000" s="4"/>
      <c r="M2000" s="4">
        <v>46128.646944444445</v>
      </c>
      <c r="N2000"/>
      <c r="O2000">
        <v>3888</v>
      </c>
      <c r="P2000" s="4"/>
      <c r="Q2000" s="4"/>
      <c r="R2000"/>
      <c r="S2000"/>
      <c r="T2000" s="4"/>
      <c r="U2000" s="4"/>
      <c r="V2000"/>
      <c r="W2000"/>
      <c r="X2000"/>
      <c r="Y2000" t="inlineStr">
        <is>
          <t>Pending Appointment</t>
        </is>
      </c>
      <c r="Z2000" t="inlineStr">
        <is>
          <t>Hiring Now</t>
        </is>
      </c>
      <c r="AA2000">
        <v>1</v>
      </c>
      <c r="AB2000" t="inlineStr">
        <is>
          <t>No Appointment Made</t>
        </is>
      </c>
      <c r="AC2000"/>
      <c r="AD2000" t="inlineStr">
        <is>
          <t>Hire admin execx1, all races, min 1 year exp, computer skills, invoicing, payment record, landscape company, Jln Ipoh, not sure future hiring, suggest stand</t>
        </is>
      </c>
      <c r="AE2000"/>
      <c r="AF2000">
        <v>3000</v>
      </c>
      <c r="AG2000" s="4"/>
      <c r="AH2000" s="4"/>
      <c r="AI2000">
        <v>3000</v>
      </c>
      <c r="AJ2000">
        <v>1</v>
      </c>
      <c r="AK2000" t="inlineStr">
        <is>
          <t>No, but I want in future</t>
        </is>
      </c>
      <c r="AL2000">
        <v>1</v>
      </c>
      <c r="AM2000" t="inlineStr">
        <is>
          <t>No, but I want in future</t>
        </is>
      </c>
      <c r="AN2000"/>
      <c r="AO2000" t="inlineStr">
        <is>
          <t>No, but I want in future</t>
        </is>
      </c>
      <c r="AP2000" t="inlineStr">
        <is>
          <t>Twice a year (50%)</t>
        </is>
      </c>
      <c r="AQ2000">
        <v>1</v>
      </c>
      <c r="AR2000" t="inlineStr">
        <is>
          <t>Did not use any job portal</t>
        </is>
      </c>
      <c r="AS2000" t="inlineStr">
        <is>
          <t>- Headcount: 1
- Hiring Job Details: 1 admin exec (all races, min 1 year exp, computer skills, invoicing, payment record; landscape company, Jln Ipoh; unsure future hiring,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2000">
        <v>115</v>
      </c>
      <c r="AU2000" t="inlineStr">
        <is>
          <t>1.15</t>
        </is>
      </c>
      <c r="AV2000" t="inlineStr">
        <is>
          <t>15</t>
        </is>
      </c>
      <c r="AW2000" t="inlineStr">
        <is>
          <t>0</t>
        </is>
      </c>
      <c r="AX2000" t="inlineStr">
        <is>
          <t>Not Qualified</t>
        </is>
      </c>
      <c r="AY2000" s="4"/>
      <c r="AZ2000"/>
      <c r="BA2000"/>
      <c r="BB2000"/>
      <c r="BC2000" t="inlineStr">
        <is>
          <t>Still considering, start hiring after 25 Apr,  call again  this Friday</t>
        </is>
      </c>
      <c r="BD2000" s="4">
        <v>46134.48090277778</v>
      </c>
      <c r="BE2000"/>
      <c r="BF2000"/>
      <c r="BG2000" t="inlineStr">
        <is>
          <t>Reschedule</t>
        </is>
      </c>
      <c r="BH2000" t="inlineStr">
        <is>
          <t>Reagen</t>
        </is>
      </c>
      <c r="BI2000" t="inlineStr">
        <is>
          <t>Agriculture / Poultry / Fisheries</t>
        </is>
      </c>
      <c r="BJ2000" s="4">
        <v>46144.75184027778</v>
      </c>
      <c r="BK2000" s="4">
        <v>45496.873460648145</v>
      </c>
      <c r="BL2000" t="inlineStr">
        <is>
          <t>0.0</t>
        </is>
      </c>
      <c r="BM2000" t="inlineStr">
        <is>
          <t>0.0</t>
        </is>
      </c>
      <c r="BN2000" t="inlineStr">
        <is>
          <t>View Company Page</t>
        </is>
      </c>
      <c r="BO2000" s="4">
        <v>45496.88990740741</v>
      </c>
      <c r="BP2000">
        <v>167440</v>
      </c>
      <c r="BQ2000"/>
      <c r="BR2000"/>
      <c r="BS2000"/>
      <c r="BT2000"/>
      <c r="BU2000"/>
      <c r="BV2000">
        <v>2720041</v>
      </c>
      <c r="BW2000" t="inlineStr">
        <is>
          <t>Follow Up : Decision Pending</t>
        </is>
      </c>
      <c r="BX2000"/>
      <c r="BY2000"/>
      <c r="BZ2000" s="4"/>
      <c r="CA2000"/>
      <c r="CB2000"/>
      <c r="CC2000" s="4"/>
      <c r="CD2000" t="inlineStr">
        <is>
          <t>20</t>
        </is>
      </c>
      <c r="CE2000" t="inlineStr">
        <is>
          <t>0</t>
        </is>
      </c>
      <c r="CF2000" t="inlineStr">
        <is>
          <t>Q2-W02</t>
        </is>
      </c>
      <c r="CG2000"/>
      <c r="CH2000"/>
      <c r="CI2000"/>
      <c r="CJ2000" t="inlineStr">
        <is>
          <t>No Paid</t>
        </is>
      </c>
      <c r="CK2000" t="inlineStr">
        <is>
          <t>Not Eligible</t>
        </is>
      </c>
      <c r="CL2000"/>
      <c r="CM2000"/>
    </row>
    <row r="2001" ht="25.5" customHeight="1">
      <c r="A2001" t="inlineStr">
        <is>
          <t>158581</t>
        </is>
      </c>
      <c r="B2001" s="2"/>
      <c r="C2001"/>
      <c r="D2001" s="3">
        <v>46128.663090277776</v>
      </c>
      <c r="E2001" t="inlineStr">
        <is>
          <t>Q2-W02</t>
        </is>
      </c>
      <c r="F2001" t="inlineStr">
        <is>
          <t>Xin Hui</t>
        </is>
      </c>
      <c r="G2001" t="inlineStr">
        <is>
          <t>Customer</t>
        </is>
      </c>
      <c r="H2001" s="2" t="str">
        <f>=HYPERLINK("https://upbox.ajobthing.my/customer/158581", "https://upbox.ajobthing.my/customer/158581")</f>
        <v>https://upbox.ajobthing.my/customer/158581</v>
      </c>
      <c r="I2001" t="inlineStr">
        <is>
          <t>Bijak Fajar Sdn Bhd</t>
        </is>
      </c>
      <c r="J2001" t="inlineStr">
        <is>
          <t>Small Fish</t>
        </is>
      </c>
      <c r="K2001" t="inlineStr">
        <is>
          <t>Xin Hui</t>
        </is>
      </c>
      <c r="L2001" s="4"/>
      <c r="M2001" s="4">
        <v>46128.66341435185</v>
      </c>
      <c r="N2001"/>
      <c r="O2001">
        <v>3888</v>
      </c>
      <c r="P2001" s="4"/>
      <c r="Q2001" s="4"/>
      <c r="R2001"/>
      <c r="S2001"/>
      <c r="T2001" s="4"/>
      <c r="U2001" s="4"/>
      <c r="V2001"/>
      <c r="W2001"/>
      <c r="X2001"/>
      <c r="Y2001" t="inlineStr">
        <is>
          <t>Pending Appointment</t>
        </is>
      </c>
      <c r="Z2001" t="inlineStr">
        <is>
          <t>Hiring Later</t>
        </is>
      </c>
      <c r="AA2001">
        <v>2</v>
      </c>
      <c r="AB2001" t="inlineStr">
        <is>
          <t>No Appointment Made</t>
        </is>
      </c>
      <c r="AC2001"/>
      <c r="AD2001" t="inlineStr">
        <is>
          <t>hr / account exec</t>
        </is>
      </c>
      <c r="AE2001"/>
      <c r="AF2001"/>
      <c r="AG2001" s="4"/>
      <c r="AH2001" s="4"/>
      <c r="AI2001"/>
      <c r="AJ2001"/>
      <c r="AK2001" t="inlineStr">
        <is>
          <t>No, I don't need at all</t>
        </is>
      </c>
      <c r="AL2001"/>
      <c r="AM2001" t="inlineStr">
        <is>
          <t>No, I don't need at all</t>
        </is>
      </c>
      <c r="AN2001"/>
      <c r="AO2001" t="inlineStr">
        <is>
          <t>No, I don't need at all</t>
        </is>
      </c>
      <c r="AP2001" t="inlineStr">
        <is>
          <t>Once a year (25%)</t>
        </is>
      </c>
      <c r="AQ2001"/>
      <c r="AR2001"/>
      <c r="AS2001" t="inlineStr">
        <is>
          <t>- Headcount: 2
- Hiring Job Details: hr / account exec
- Hiring Urgency: Hiring Later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2001">
        <v>75</v>
      </c>
      <c r="AU2001" t="inlineStr">
        <is>
          <t>0.75</t>
        </is>
      </c>
      <c r="AV2001" t="inlineStr">
        <is>
          <t>5</t>
        </is>
      </c>
      <c r="AW2001" t="inlineStr">
        <is>
          <t>0</t>
        </is>
      </c>
      <c r="AX2001" t="inlineStr">
        <is>
          <t>Not Qualified</t>
        </is>
      </c>
      <c r="AY2001" s="4"/>
      <c r="AZ2001"/>
      <c r="BA2001"/>
      <c r="BB2001"/>
      <c r="BC2001" t="inlineStr">
        <is>
          <t>not now / maybe future</t>
        </is>
      </c>
      <c r="BD2001" s="4">
        <v>46133.68699074074</v>
      </c>
      <c r="BE2001"/>
      <c r="BF2001"/>
      <c r="BG2001" t="inlineStr">
        <is>
          <t>Reschedule</t>
        </is>
      </c>
      <c r="BH2001" t="inlineStr">
        <is>
          <t>Yee Hang</t>
        </is>
      </c>
      <c r="BI2001" t="inlineStr">
        <is>
          <t>Construction / Building</t>
        </is>
      </c>
      <c r="BJ2001" s="4">
        <v>46144.75104166667</v>
      </c>
      <c r="BK2001" s="4">
        <v>44789.43298611111</v>
      </c>
      <c r="BL2001" t="inlineStr">
        <is>
          <t>0.0</t>
        </is>
      </c>
      <c r="BM2001" t="inlineStr">
        <is>
          <t>0.0</t>
        </is>
      </c>
      <c r="BN2001" t="inlineStr">
        <is>
          <t>View Candidate Search Page</t>
        </is>
      </c>
      <c r="BO2001" s="4">
        <v>45740.448796296296</v>
      </c>
      <c r="BP2001">
        <v>167447</v>
      </c>
      <c r="BQ2001"/>
      <c r="BR2001"/>
      <c r="BS2001"/>
      <c r="BT2001"/>
      <c r="BU2001"/>
      <c r="BV2001">
        <v>2718821</v>
      </c>
      <c r="BW2001" t="inlineStr">
        <is>
          <t>Follow Up : Lost - Free Portal</t>
        </is>
      </c>
      <c r="BX2001"/>
      <c r="BY2001"/>
      <c r="BZ2001" s="4"/>
      <c r="CA2001"/>
      <c r="CB2001"/>
      <c r="CC2001" s="4"/>
      <c r="CD2001" t="inlineStr">
        <is>
          <t>5</t>
        </is>
      </c>
      <c r="CE2001" t="inlineStr">
        <is>
          <t>0</t>
        </is>
      </c>
      <c r="CF2001" t="inlineStr">
        <is>
          <t>Q2-W02</t>
        </is>
      </c>
      <c r="CG2001"/>
      <c r="CH2001"/>
      <c r="CI2001"/>
      <c r="CJ2001" t="inlineStr">
        <is>
          <t>No Paid</t>
        </is>
      </c>
      <c r="CK2001" t="inlineStr">
        <is>
          <t>Not Eligible</t>
        </is>
      </c>
      <c r="CL2001"/>
      <c r="CM2001"/>
    </row>
    <row r="2002" ht="25.5" customHeight="1">
      <c r="A2002" t="inlineStr">
        <is>
          <t>203095</t>
        </is>
      </c>
      <c r="B2002" s="2"/>
      <c r="C2002"/>
      <c r="D2002" s="3">
        <v>46128.665127314816</v>
      </c>
      <c r="E2002" t="inlineStr">
        <is>
          <t>Q2-W02</t>
        </is>
      </c>
      <c r="F2002" t="inlineStr">
        <is>
          <t>Eugene</t>
        </is>
      </c>
      <c r="G2002" t="inlineStr">
        <is>
          <t>Customer</t>
        </is>
      </c>
      <c r="H2002" s="2" t="str">
        <f>=HYPERLINK("https://upbox.ajobthing.my/customer/203095", "https://upbox.ajobthing.my/customer/203095")</f>
        <v>https://upbox.ajobthing.my/customer/203095</v>
      </c>
      <c r="I2002" t="inlineStr">
        <is>
          <t>Jaya Heng Construction Sdn Bhd</t>
        </is>
      </c>
      <c r="J2002" t="inlineStr">
        <is>
          <t>Small Fish</t>
        </is>
      </c>
      <c r="K2002" t="inlineStr">
        <is>
          <t>Eugene</t>
        </is>
      </c>
      <c r="L2002" s="4"/>
      <c r="M2002" s="4">
        <v>46122.30194444444</v>
      </c>
      <c r="N2002"/>
      <c r="O2002">
        <v>3888</v>
      </c>
      <c r="P2002" s="4"/>
      <c r="Q2002" s="4">
        <v>46129.82104166667</v>
      </c>
      <c r="R2002"/>
      <c r="S2002">
        <v>864</v>
      </c>
      <c r="T2002" s="4">
        <v>46129.82104166667</v>
      </c>
      <c r="U2002" s="4"/>
      <c r="V2002"/>
      <c r="W2002">
        <v>864</v>
      </c>
      <c r="X2002"/>
      <c r="Y2002" t="inlineStr">
        <is>
          <t>Pending Appointment</t>
        </is>
      </c>
      <c r="Z2002" t="inlineStr">
        <is>
          <t>Hiring Now</t>
        </is>
      </c>
      <c r="AA2002">
        <v>1</v>
      </c>
      <c r="AB2002" t="inlineStr">
        <is>
          <t>No Appointment Made</t>
        </is>
      </c>
      <c r="AC2002"/>
      <c r="AD2002" t="inlineStr">
        <is>
          <t>1 site supervisor, based in KL</t>
        </is>
      </c>
      <c r="AE2002"/>
      <c r="AF2002">
        <v>800</v>
      </c>
      <c r="AG2002" s="4"/>
      <c r="AH2002" s="4"/>
      <c r="AI2002">
        <v>800</v>
      </c>
      <c r="AJ2002">
        <v>1</v>
      </c>
      <c r="AK2002" t="inlineStr">
        <is>
          <t>No, I don't need at all</t>
        </is>
      </c>
      <c r="AL2002">
        <v>1</v>
      </c>
      <c r="AM2002" t="inlineStr">
        <is>
          <t>No, I don't need at all</t>
        </is>
      </c>
      <c r="AN2002"/>
      <c r="AO2002" t="inlineStr">
        <is>
          <t>No, I don't need at all</t>
        </is>
      </c>
      <c r="AP2002" t="inlineStr">
        <is>
          <t>Once a year (25%)</t>
        </is>
      </c>
      <c r="AQ2002">
        <v>1</v>
      </c>
      <c r="AR2002" t="inlineStr">
        <is>
          <t>Jobstreet</t>
        </is>
      </c>
      <c r="AS2002" t="inlineStr">
        <is>
          <t>- Headcount: Not specified
- Hiring Job Details: 1 site supervisor, based in KL
- Hiring Urgency: Hiring Now
- Number of outlets: 1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Jobstreet</t>
        </is>
      </c>
      <c r="AT2002">
        <v>115</v>
      </c>
      <c r="AU2002" t="inlineStr">
        <is>
          <t>1.15</t>
        </is>
      </c>
      <c r="AV2002" t="inlineStr">
        <is>
          <t>15</t>
        </is>
      </c>
      <c r="AW2002" t="inlineStr">
        <is>
          <t>0</t>
        </is>
      </c>
      <c r="AX2002" t="inlineStr">
        <is>
          <t>Not Qualified</t>
        </is>
      </c>
      <c r="AY2002" s="4"/>
      <c r="AZ2002"/>
      <c r="BA2002"/>
      <c r="BB2002"/>
      <c r="BC2002" t="inlineStr">
        <is>
          <t>servcicing</t>
        </is>
      </c>
      <c r="BD2002" s="4">
        <v>46132.673483796294</v>
      </c>
      <c r="BE2002" t="inlineStr">
        <is>
          <t>paid</t>
        </is>
      </c>
      <c r="BF2002" t="inlineStr">
        <is>
          <t>Q2-W03</t>
        </is>
      </c>
      <c r="BG2002" t="inlineStr">
        <is>
          <t>Reschedule</t>
        </is>
      </c>
      <c r="BH2002" t="inlineStr">
        <is>
          <t>Edward Hoo</t>
        </is>
      </c>
      <c r="BI2002"/>
      <c r="BJ2002" s="4">
        <v>46144.754212962966</v>
      </c>
      <c r="BK2002" s="4">
        <v>46122.6352662037</v>
      </c>
      <c r="BL2002" t="inlineStr">
        <is>
          <t>864.0</t>
        </is>
      </c>
      <c r="BM2002" t="inlineStr">
        <is>
          <t>0.0</t>
        </is>
      </c>
      <c r="BN2002" t="inlineStr">
        <is>
          <t>View Company Page</t>
        </is>
      </c>
      <c r="BO2002" s="4">
        <v>46142.68069444445</v>
      </c>
      <c r="BP2002">
        <v>166468</v>
      </c>
      <c r="BQ2002">
        <v>94158</v>
      </c>
      <c r="BR2002" t="inlineStr">
        <is>
          <t>Online</t>
        </is>
      </c>
      <c r="BS2002"/>
      <c r="BT2002">
        <v>94158</v>
      </c>
      <c r="BU2002"/>
      <c r="BV2002">
        <v>2716216</v>
      </c>
      <c r="BW2002" t="inlineStr">
        <is>
          <t>Service / Technical : Help To Post Job</t>
        </is>
      </c>
      <c r="BX2002">
        <v>1</v>
      </c>
      <c r="BY2002">
        <v>0</v>
      </c>
      <c r="BZ2002" s="4">
        <v>46132.411516203705</v>
      </c>
      <c r="CA2002">
        <v>23</v>
      </c>
      <c r="CB2002">
        <v>9</v>
      </c>
      <c r="CC2002" s="4">
        <v>46140.59939814815</v>
      </c>
      <c r="CD2002" t="inlineStr">
        <is>
          <t>20</t>
        </is>
      </c>
      <c r="CE2002" t="inlineStr">
        <is>
          <t>0</t>
        </is>
      </c>
      <c r="CF2002" t="inlineStr">
        <is>
          <t>Q2-W02</t>
        </is>
      </c>
      <c r="CG2002" t="inlineStr">
        <is>
          <t>Q2-W03</t>
        </is>
      </c>
      <c r="CH2002" t="inlineStr">
        <is>
          <t>Q2-W03</t>
        </is>
      </c>
      <c r="CI2002"/>
      <c r="CJ2002" t="inlineStr">
        <is>
          <t>Paid</t>
        </is>
      </c>
      <c r="CK2002" t="inlineStr">
        <is>
          <t>Not Eligible</t>
        </is>
      </c>
      <c r="CL2002"/>
      <c r="CM2002"/>
    </row>
    <row r="2003" ht="25.5" customHeight="1">
      <c r="A2003" t="inlineStr">
        <is>
          <t>4256334</t>
        </is>
      </c>
      <c r="B2003" s="2"/>
      <c r="C2003"/>
      <c r="D2003" s="3">
        <v>46128.66631944444</v>
      </c>
      <c r="E2003" t="inlineStr">
        <is>
          <t>Q2-W02</t>
        </is>
      </c>
      <c r="F2003" t="inlineStr">
        <is>
          <t>Chia Yee</t>
        </is>
      </c>
      <c r="G2003" t="inlineStr">
        <is>
          <t>Lead</t>
        </is>
      </c>
      <c r="H2003" s="2" t="str">
        <f>=HYPERLINK("https://upbox.ajobthing.my/leads/4256334", "https://upbox.ajobthing.my/leads/4256334")</f>
        <v>https://upbox.ajobthing.my/leads/4256334</v>
      </c>
      <c r="I2003" t="inlineStr">
        <is>
          <t>Chong Choy</t>
        </is>
      </c>
      <c r="J2003" t="inlineStr">
        <is>
          <t>Small Fish</t>
        </is>
      </c>
      <c r="K2003" t="inlineStr">
        <is>
          <t>Chia Yee</t>
        </is>
      </c>
      <c r="L2003" s="4"/>
      <c r="M2003" s="4">
        <v>46128.667037037034</v>
      </c>
      <c r="N2003"/>
      <c r="O2003">
        <v>3888</v>
      </c>
      <c r="P2003" s="4"/>
      <c r="Q2003" s="4"/>
      <c r="R2003"/>
      <c r="S2003"/>
      <c r="T2003" s="4"/>
      <c r="U2003" s="4"/>
      <c r="V2003"/>
      <c r="W2003"/>
      <c r="X2003"/>
      <c r="Y2003" t="inlineStr">
        <is>
          <t>Pending Appointment</t>
        </is>
      </c>
      <c r="Z2003" t="inlineStr">
        <is>
          <t>Hiring Now</t>
        </is>
      </c>
      <c r="AA2003">
        <v>2</v>
      </c>
      <c r="AB2003" t="inlineStr">
        <is>
          <t>No Appointment Made</t>
        </is>
      </c>
      <c r="AC2003"/>
      <c r="AD2003" t="inlineStr">
        <is>
          <t>2 Lorry driver</t>
        </is>
      </c>
      <c r="AE2003"/>
      <c r="AF2003">
        <v>0</v>
      </c>
      <c r="AG2003" s="4"/>
      <c r="AH2003" s="4"/>
      <c r="AI2003">
        <v>0</v>
      </c>
      <c r="AJ2003">
        <v>1</v>
      </c>
      <c r="AK2003" t="inlineStr">
        <is>
          <t>No, I don't need at all</t>
        </is>
      </c>
      <c r="AL2003">
        <v>1</v>
      </c>
      <c r="AM2003" t="inlineStr">
        <is>
          <t>No, I don't need at all</t>
        </is>
      </c>
      <c r="AN2003"/>
      <c r="AO2003" t="inlineStr">
        <is>
          <t>No, I don't need at all</t>
        </is>
      </c>
      <c r="AP2003" t="inlineStr">
        <is>
          <t>Once a year (25%)</t>
        </is>
      </c>
      <c r="AQ2003">
        <v>2</v>
      </c>
      <c r="AR2003" t="inlineStr">
        <is>
          <t>Did not use any job portal</t>
        </is>
      </c>
      <c r="AS2003" t="inlineStr">
        <is>
          <t>- Headcount: 2
- Hiring Job Details: 2 Lorry driver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2003">
        <v>110</v>
      </c>
      <c r="AU2003" t="inlineStr">
        <is>
          <t>1.10</t>
        </is>
      </c>
      <c r="AV2003" t="inlineStr">
        <is>
          <t>15</t>
        </is>
      </c>
      <c r="AW2003" t="inlineStr">
        <is>
          <t>0</t>
        </is>
      </c>
      <c r="AX2003" t="inlineStr">
        <is>
          <t>Not Qualified</t>
        </is>
      </c>
      <c r="AY2003" s="4"/>
      <c r="AZ2003"/>
      <c r="BA2003"/>
      <c r="BB2003"/>
      <c r="BC2003"/>
      <c r="BD2003" s="4"/>
      <c r="BE2003"/>
      <c r="BF2003"/>
      <c r="BG2003" t="inlineStr">
        <is>
          <t>Reschedule</t>
        </is>
      </c>
      <c r="BH2003" t="inlineStr">
        <is>
          <t>Reagen</t>
        </is>
      </c>
      <c r="BI2003"/>
      <c r="BJ2003" s="4">
        <v>46144.755740740744</v>
      </c>
      <c r="BK2003" s="4">
        <v>46119.61482638889</v>
      </c>
      <c r="BL2003" t="inlineStr">
        <is>
          <t>0.0</t>
        </is>
      </c>
      <c r="BM2003" t="inlineStr">
        <is>
          <t>0.0</t>
        </is>
      </c>
      <c r="BN2003"/>
      <c r="BO2003" s="4"/>
      <c r="BP2003">
        <v>167452</v>
      </c>
      <c r="BQ2003"/>
      <c r="BR2003"/>
      <c r="BS2003"/>
      <c r="BT2003"/>
      <c r="BU2003"/>
      <c r="BV2003"/>
      <c r="BW2003"/>
      <c r="BX2003"/>
      <c r="BY2003"/>
      <c r="BZ2003" s="4"/>
      <c r="CA2003"/>
      <c r="CB2003"/>
      <c r="CC2003" s="4"/>
      <c r="CD2003" t="inlineStr">
        <is>
          <t>20</t>
        </is>
      </c>
      <c r="CE2003" t="inlineStr">
        <is>
          <t>0</t>
        </is>
      </c>
      <c r="CF2003" t="inlineStr">
        <is>
          <t>Q2-W02</t>
        </is>
      </c>
      <c r="CG2003"/>
      <c r="CH2003"/>
      <c r="CI2003"/>
      <c r="CJ2003" t="inlineStr">
        <is>
          <t>No Paid</t>
        </is>
      </c>
      <c r="CK2003" t="inlineStr">
        <is>
          <t>Not Eligible</t>
        </is>
      </c>
      <c r="CL2003"/>
      <c r="CM2003"/>
    </row>
    <row r="2004" ht="25.5" customHeight="1">
      <c r="A2004" t="inlineStr">
        <is>
          <t>203318</t>
        </is>
      </c>
      <c r="B2004" s="2"/>
      <c r="C2004"/>
      <c r="D2004" s="3">
        <v>46128.66668981482</v>
      </c>
      <c r="E2004" t="inlineStr">
        <is>
          <t>Q2-W02</t>
        </is>
      </c>
      <c r="F2004" t="inlineStr">
        <is>
          <t>Jia Hui</t>
        </is>
      </c>
      <c r="G2004" t="inlineStr">
        <is>
          <t>Customer</t>
        </is>
      </c>
      <c r="H2004" s="2" t="str">
        <f>=HYPERLINK("https://upbox.ajobthing.my/customer/203318", "https://upbox.ajobthing.my/customer/203318")</f>
        <v>https://upbox.ajobthing.my/customer/203318</v>
      </c>
      <c r="I2004" t="inlineStr">
        <is>
          <t>City Synergy Global</t>
        </is>
      </c>
      <c r="J2004" t="inlineStr">
        <is>
          <t>Small Fish</t>
        </is>
      </c>
      <c r="K2004" t="inlineStr">
        <is>
          <t>Jia Hui</t>
        </is>
      </c>
      <c r="L2004" s="4"/>
      <c r="M2004" s="4">
        <v>46128.66695601852</v>
      </c>
      <c r="N2004"/>
      <c r="O2004">
        <v>3888</v>
      </c>
      <c r="P2004" s="4"/>
      <c r="Q2004" s="4"/>
      <c r="R2004"/>
      <c r="S2004"/>
      <c r="T2004" s="4"/>
      <c r="U2004" s="4"/>
      <c r="V2004"/>
      <c r="W2004"/>
      <c r="X2004"/>
      <c r="Y2004" t="inlineStr">
        <is>
          <t>Pending Appointment</t>
        </is>
      </c>
      <c r="Z2004" t="inlineStr">
        <is>
          <t>Hiring Now</t>
        </is>
      </c>
      <c r="AA2004">
        <v>2</v>
      </c>
      <c r="AB2004" t="inlineStr">
        <is>
          <t>No Appointment Made</t>
        </is>
      </c>
      <c r="AC2004"/>
      <c r="AD2004" t="inlineStr">
        <is>
          <t>1 safety officer and 1 safety supervisor</t>
        </is>
      </c>
      <c r="AE2004"/>
      <c r="AF2004">
        <v>500</v>
      </c>
      <c r="AG2004" s="4"/>
      <c r="AH2004" s="4"/>
      <c r="AI2004"/>
      <c r="AJ2004"/>
      <c r="AK2004" t="inlineStr">
        <is>
          <t>No, but I want in future</t>
        </is>
      </c>
      <c r="AL2004"/>
      <c r="AM2004"/>
      <c r="AN2004"/>
      <c r="AO2004"/>
      <c r="AP2004" t="inlineStr">
        <is>
          <t>Once a year (25%)</t>
        </is>
      </c>
      <c r="AQ2004"/>
      <c r="AR2004"/>
      <c r="AS2004" t="inlineStr">
        <is>
          <t>- Headcount: 2
- Hiring Job Details: 1 safety officer and 1 safety supervisor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004">
        <v>75</v>
      </c>
      <c r="AU2004" t="inlineStr">
        <is>
          <t>0.75</t>
        </is>
      </c>
      <c r="AV2004" t="inlineStr">
        <is>
          <t>15</t>
        </is>
      </c>
      <c r="AW2004" t="inlineStr">
        <is>
          <t>0</t>
        </is>
      </c>
      <c r="AX2004" t="inlineStr">
        <is>
          <t>Not Qualified</t>
        </is>
      </c>
      <c r="AY2004" s="4"/>
      <c r="AZ2004"/>
      <c r="BA2004"/>
      <c r="BB2004"/>
      <c r="BC2004" t="inlineStr">
        <is>
          <t>on hold first, prefer free portal</t>
        </is>
      </c>
      <c r="BD2004" s="4">
        <v>46132.67696759259</v>
      </c>
      <c r="BE2004"/>
      <c r="BF2004"/>
      <c r="BG2004" t="inlineStr">
        <is>
          <t>Reschedule</t>
        </is>
      </c>
      <c r="BH2004" t="inlineStr">
        <is>
          <t>Reagen</t>
        </is>
      </c>
      <c r="BI2004"/>
      <c r="BJ2004" s="4">
        <v>46144.754282407404</v>
      </c>
      <c r="BK2004" s="4">
        <v>46128.6384837963</v>
      </c>
      <c r="BL2004" t="inlineStr">
        <is>
          <t>0.0</t>
        </is>
      </c>
      <c r="BM2004" t="inlineStr">
        <is>
          <t>0.0</t>
        </is>
      </c>
      <c r="BN2004" t="inlineStr">
        <is>
          <t>View Create Job Page V4</t>
        </is>
      </c>
      <c r="BO2004" s="4">
        <v>46128.64917824074</v>
      </c>
      <c r="BP2004">
        <v>167451</v>
      </c>
      <c r="BQ2004"/>
      <c r="BR2004"/>
      <c r="BS2004"/>
      <c r="BT2004"/>
      <c r="BU2004"/>
      <c r="BV2004">
        <v>2716244</v>
      </c>
      <c r="BW2004" t="inlineStr">
        <is>
          <t>Follow Up : Lost - Free Portal</t>
        </is>
      </c>
      <c r="BX2004"/>
      <c r="BY2004"/>
      <c r="BZ2004" s="4"/>
      <c r="CA2004"/>
      <c r="CB2004"/>
      <c r="CC2004" s="4"/>
      <c r="CD2004" t="inlineStr">
        <is>
          <t>20</t>
        </is>
      </c>
      <c r="CE2004" t="inlineStr">
        <is>
          <t>0</t>
        </is>
      </c>
      <c r="CF2004" t="inlineStr">
        <is>
          <t>Q2-W02</t>
        </is>
      </c>
      <c r="CG2004"/>
      <c r="CH2004"/>
      <c r="CI2004"/>
      <c r="CJ2004" t="inlineStr">
        <is>
          <t>No Paid</t>
        </is>
      </c>
      <c r="CK2004" t="inlineStr">
        <is>
          <t>Not Eligible</t>
        </is>
      </c>
      <c r="CL2004"/>
      <c r="CM2004"/>
    </row>
    <row r="2005" ht="25.5" customHeight="1">
      <c r="A2005" t="inlineStr">
        <is>
          <t>4289594</t>
        </is>
      </c>
      <c r="B2005" s="2"/>
      <c r="C2005"/>
      <c r="D2005" s="3">
        <v>46128.68067129629</v>
      </c>
      <c r="E2005" t="inlineStr">
        <is>
          <t>Q2-W02</t>
        </is>
      </c>
      <c r="F2005" t="inlineStr">
        <is>
          <t>Derek Lim</t>
        </is>
      </c>
      <c r="G2005" t="inlineStr">
        <is>
          <t>Lead</t>
        </is>
      </c>
      <c r="H2005" s="2" t="str">
        <f>=HYPERLINK("https://upbox.ajobthing.my/leads/4289594", "https://upbox.ajobthing.my/leads/4289594")</f>
        <v>https://upbox.ajobthing.my/leads/4289594</v>
      </c>
      <c r="I2005" t="inlineStr">
        <is>
          <t>Pasar Mini Jothee</t>
        </is>
      </c>
      <c r="J2005" t="inlineStr">
        <is>
          <t>Small Fish</t>
        </is>
      </c>
      <c r="K2005" t="inlineStr">
        <is>
          <t>Derek Lim</t>
        </is>
      </c>
      <c r="L2005" s="4"/>
      <c r="M2005" s="4">
        <v>46128.68096064815</v>
      </c>
      <c r="N2005"/>
      <c r="O2005">
        <v>1296</v>
      </c>
      <c r="P2005" s="4"/>
      <c r="Q2005" s="4"/>
      <c r="R2005"/>
      <c r="S2005"/>
      <c r="T2005" s="4"/>
      <c r="U2005" s="4"/>
      <c r="V2005"/>
      <c r="W2005"/>
      <c r="X2005"/>
      <c r="Y2005" t="inlineStr">
        <is>
          <t>Pending Appointment</t>
        </is>
      </c>
      <c r="Z2005" t="inlineStr">
        <is>
          <t>Hiring Now</t>
        </is>
      </c>
      <c r="AA2005">
        <v>3</v>
      </c>
      <c r="AB2005" t="inlineStr">
        <is>
          <t>No Appointment Made</t>
        </is>
      </c>
      <c r="AC2005"/>
      <c r="AD2005" t="inlineStr">
        <is>
          <t>General worker - 3</t>
        </is>
      </c>
      <c r="AE2005"/>
      <c r="AF2005">
        <v>0</v>
      </c>
      <c r="AG2005" s="4"/>
      <c r="AH2005" s="4"/>
      <c r="AI2005">
        <v>0</v>
      </c>
      <c r="AJ2005">
        <v>1</v>
      </c>
      <c r="AK2005" t="inlineStr">
        <is>
          <t>No, I don't need at all</t>
        </is>
      </c>
      <c r="AL2005">
        <v>0</v>
      </c>
      <c r="AM2005" t="inlineStr">
        <is>
          <t>No, I don't need at all</t>
        </is>
      </c>
      <c r="AN2005"/>
      <c r="AO2005" t="inlineStr">
        <is>
          <t>No, I don't need at all</t>
        </is>
      </c>
      <c r="AP2005" t="inlineStr">
        <is>
          <t>Once a year (25%)</t>
        </is>
      </c>
      <c r="AQ2005">
        <v>1</v>
      </c>
      <c r="AR2005" t="inlineStr">
        <is>
          <t>Free Job Portal</t>
        </is>
      </c>
      <c r="AS2005" t="inlineStr">
        <is>
          <t>- Headcount: 3
- Hiring Job Details: 3 general workers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2005">
        <v>95</v>
      </c>
      <c r="AU2005" t="inlineStr">
        <is>
          <t>0.95</t>
        </is>
      </c>
      <c r="AV2005" t="inlineStr">
        <is>
          <t>15</t>
        </is>
      </c>
      <c r="AW2005" t="inlineStr">
        <is>
          <t>0</t>
        </is>
      </c>
      <c r="AX2005" t="inlineStr">
        <is>
          <t>Not Qualified</t>
        </is>
      </c>
      <c r="AY2005" s="4"/>
      <c r="AZ2005"/>
      <c r="BA2005"/>
      <c r="BB2005"/>
      <c r="BC2005"/>
      <c r="BD2005" s="4"/>
      <c r="BE2005"/>
      <c r="BF2005"/>
      <c r="BG2005" t="inlineStr">
        <is>
          <t>Reschedule</t>
        </is>
      </c>
      <c r="BH2005" t="inlineStr">
        <is>
          <t>Edward Hoo</t>
        </is>
      </c>
      <c r="BI2005"/>
      <c r="BJ2005" s="4">
        <v>46144.755833333336</v>
      </c>
      <c r="BK2005" s="4">
        <v>46128.515752314815</v>
      </c>
      <c r="BL2005" t="inlineStr">
        <is>
          <t>0.0</t>
        </is>
      </c>
      <c r="BM2005" t="inlineStr">
        <is>
          <t>0.0</t>
        </is>
      </c>
      <c r="BN2005"/>
      <c r="BO2005" s="4"/>
      <c r="BP2005">
        <v>167461</v>
      </c>
      <c r="BQ2005"/>
      <c r="BR2005"/>
      <c r="BS2005"/>
      <c r="BT2005"/>
      <c r="BU2005"/>
      <c r="BV2005"/>
      <c r="BW2005"/>
      <c r="BX2005"/>
      <c r="BY2005"/>
      <c r="BZ2005" s="4"/>
      <c r="CA2005"/>
      <c r="CB2005"/>
      <c r="CC2005" s="4"/>
      <c r="CD2005" t="inlineStr">
        <is>
          <t>20</t>
        </is>
      </c>
      <c r="CE2005" t="inlineStr">
        <is>
          <t>0</t>
        </is>
      </c>
      <c r="CF2005" t="inlineStr">
        <is>
          <t>Q2-W02</t>
        </is>
      </c>
      <c r="CG2005"/>
      <c r="CH2005"/>
      <c r="CI2005"/>
      <c r="CJ2005" t="inlineStr">
        <is>
          <t>No Paid</t>
        </is>
      </c>
      <c r="CK2005" t="inlineStr">
        <is>
          <t>Not Eligible</t>
        </is>
      </c>
      <c r="CL2005"/>
      <c r="CM2005"/>
    </row>
    <row r="2006" ht="25.5" customHeight="1">
      <c r="A2006" t="inlineStr">
        <is>
          <t>4290042</t>
        </is>
      </c>
      <c r="B2006" s="2"/>
      <c r="C2006"/>
      <c r="D2006" s="3">
        <v>46128.68288194444</v>
      </c>
      <c r="E2006" t="inlineStr">
        <is>
          <t>Q2-W02</t>
        </is>
      </c>
      <c r="F2006" t="inlineStr">
        <is>
          <t>Ken Yi</t>
        </is>
      </c>
      <c r="G2006" t="inlineStr">
        <is>
          <t>Lead</t>
        </is>
      </c>
      <c r="H2006" s="2" t="str">
        <f>=HYPERLINK("https://upbox.ajobthing.my/leads/4290042", "https://upbox.ajobthing.my/leads/4290042")</f>
        <v>https://upbox.ajobthing.my/leads/4290042</v>
      </c>
      <c r="I2006" t="inlineStr">
        <is>
          <t>Iconic Living (MM2H)Sdn Bhd</t>
        </is>
      </c>
      <c r="J2006" t="inlineStr">
        <is>
          <t>Small Fish</t>
        </is>
      </c>
      <c r="K2006" t="inlineStr">
        <is>
          <t>Kenyi</t>
        </is>
      </c>
      <c r="L2006" s="4"/>
      <c r="M2006" s="4">
        <v>46128.68138888889</v>
      </c>
      <c r="N2006"/>
      <c r="O2006">
        <v>3888</v>
      </c>
      <c r="P2006" s="4"/>
      <c r="Q2006" s="4"/>
      <c r="R2006"/>
      <c r="S2006"/>
      <c r="T2006" s="4"/>
      <c r="U2006" s="4"/>
      <c r="V2006"/>
      <c r="W2006"/>
      <c r="X2006"/>
      <c r="Y2006" t="inlineStr">
        <is>
          <t>Pending Appointment</t>
        </is>
      </c>
      <c r="Z2006" t="inlineStr">
        <is>
          <t>Hiring Now</t>
        </is>
      </c>
      <c r="AA2006">
        <v>3</v>
      </c>
      <c r="AB2006" t="inlineStr">
        <is>
          <t>No Appointment Made</t>
        </is>
      </c>
      <c r="AC2006"/>
      <c r="AD2006" t="inlineStr">
        <is>
          <t>Admin 1, Driver 1, sales 1</t>
        </is>
      </c>
      <c r="AE2006"/>
      <c r="AF2006">
        <v>0</v>
      </c>
      <c r="AG2006" s="4"/>
      <c r="AH2006" s="4"/>
      <c r="AI2006">
        <v>1</v>
      </c>
      <c r="AJ2006">
        <v>1</v>
      </c>
      <c r="AK2006" t="inlineStr">
        <is>
          <t>Yes, I have</t>
        </is>
      </c>
      <c r="AL2006">
        <v>1</v>
      </c>
      <c r="AM2006"/>
      <c r="AN2006"/>
      <c r="AO2006"/>
      <c r="AP2006" t="inlineStr">
        <is>
          <t>Every month (100%)</t>
        </is>
      </c>
      <c r="AQ2006">
        <v>3</v>
      </c>
      <c r="AR2006" t="inlineStr">
        <is>
          <t>Did not use any job portal</t>
        </is>
      </c>
      <c r="AS2006" t="inlineStr">
        <is>
          <t>- Headcount: 3
- Hiring Job Details: Admin 1, Driver 1, sales 1
- Hiring Urgency: Hiring Now
- Number of outlets: 1
- Have recruiter team: Yes
- Number of recruiter in company: 1
- Have ATS system: Not specified
- Have career website: Not specified
- Current hiring budget: RM0.00
- Whole year budget: RM1.00
- Whole year number of vacancies: 3
- Hiring frequency: Every month (100%)
- External job portal: Did not use any job portal</t>
        </is>
      </c>
      <c r="AT2006">
        <v>115</v>
      </c>
      <c r="AU2006" t="inlineStr">
        <is>
          <t>1.15</t>
        </is>
      </c>
      <c r="AV2006" t="inlineStr">
        <is>
          <t>15</t>
        </is>
      </c>
      <c r="AW2006" t="inlineStr">
        <is>
          <t>0</t>
        </is>
      </c>
      <c r="AX2006" t="inlineStr">
        <is>
          <t>Not Qualified</t>
        </is>
      </c>
      <c r="AY2006" s="4"/>
      <c r="AZ2006"/>
      <c r="BA2006"/>
      <c r="BB2006"/>
      <c r="BC2006"/>
      <c r="BD2006" s="4"/>
      <c r="BE2006"/>
      <c r="BF2006"/>
      <c r="BG2006" t="inlineStr">
        <is>
          <t>Reschedule</t>
        </is>
      </c>
      <c r="BH2006" t="inlineStr">
        <is>
          <t>Fauziah Maharan</t>
        </is>
      </c>
      <c r="BI2006"/>
      <c r="BJ2006" s="4">
        <v>46144.75585648148</v>
      </c>
      <c r="BK2006" s="4">
        <v>46128.610914351855</v>
      </c>
      <c r="BL2006" t="inlineStr">
        <is>
          <t>0.0</t>
        </is>
      </c>
      <c r="BM2006" t="inlineStr">
        <is>
          <t>0.0</t>
        </is>
      </c>
      <c r="BN2006"/>
      <c r="BO2006" s="4"/>
      <c r="BP2006">
        <v>167463</v>
      </c>
      <c r="BQ2006"/>
      <c r="BR2006"/>
      <c r="BS2006"/>
      <c r="BT2006"/>
      <c r="BU2006"/>
      <c r="BV2006"/>
      <c r="BW2006"/>
      <c r="BX2006"/>
      <c r="BY2006"/>
      <c r="BZ2006" s="4"/>
      <c r="CA2006"/>
      <c r="CB2006"/>
      <c r="CC2006" s="4"/>
      <c r="CD2006" t="inlineStr">
        <is>
          <t>20</t>
        </is>
      </c>
      <c r="CE2006" t="inlineStr">
        <is>
          <t>0</t>
        </is>
      </c>
      <c r="CF2006" t="inlineStr">
        <is>
          <t>Q2-W02</t>
        </is>
      </c>
      <c r="CG2006"/>
      <c r="CH2006"/>
      <c r="CI2006"/>
      <c r="CJ2006" t="inlineStr">
        <is>
          <t>No Paid</t>
        </is>
      </c>
      <c r="CK2006" t="inlineStr">
        <is>
          <t>Not Eligible</t>
        </is>
      </c>
      <c r="CL2006"/>
      <c r="CM2006"/>
    </row>
    <row r="2007" ht="25.5" customHeight="1">
      <c r="A2007" t="inlineStr">
        <is>
          <t>193531</t>
        </is>
      </c>
      <c r="B2007" s="2"/>
      <c r="C2007"/>
      <c r="D2007" s="3">
        <v>46128.684016203704</v>
      </c>
      <c r="E2007" t="inlineStr">
        <is>
          <t>Q2-W02</t>
        </is>
      </c>
      <c r="F2007" t="inlineStr">
        <is>
          <t>Lucas</t>
        </is>
      </c>
      <c r="G2007" t="inlineStr">
        <is>
          <t>Customer</t>
        </is>
      </c>
      <c r="H2007" s="2" t="str">
        <f>=HYPERLINK("https://upbox.ajobthing.my/customer/193531", "https://upbox.ajobthing.my/customer/193531")</f>
        <v>https://upbox.ajobthing.my/customer/193531</v>
      </c>
      <c r="I2007" t="inlineStr">
        <is>
          <t>Konnective Marketing Sdn Bhd</t>
        </is>
      </c>
      <c r="J2007" t="inlineStr">
        <is>
          <t>Small Fish</t>
        </is>
      </c>
      <c r="K2007" t="inlineStr">
        <is>
          <t>Lucas</t>
        </is>
      </c>
      <c r="L2007" s="4"/>
      <c r="M2007" s="4">
        <v>46128.68063657408</v>
      </c>
      <c r="N2007"/>
      <c r="O2007">
        <v>6048</v>
      </c>
      <c r="P2007" s="4"/>
      <c r="Q2007" s="4"/>
      <c r="R2007"/>
      <c r="S2007"/>
      <c r="T2007" s="4"/>
      <c r="U2007" s="4"/>
      <c r="V2007"/>
      <c r="W2007"/>
      <c r="X2007"/>
      <c r="Y2007" t="inlineStr">
        <is>
          <t>Pending Appointment</t>
        </is>
      </c>
      <c r="Z2007" t="inlineStr">
        <is>
          <t>Hiring Now</t>
        </is>
      </c>
      <c r="AA2007">
        <v>2</v>
      </c>
      <c r="AB2007" t="inlineStr">
        <is>
          <t>No Appointment Made</t>
        </is>
      </c>
      <c r="AC2007"/>
      <c r="AD2007" t="inlineStr">
        <is>
          <t xml:space="preserve">2 marketing </t>
        </is>
      </c>
      <c r="AE2007"/>
      <c r="AF2007">
        <v>0</v>
      </c>
      <c r="AG2007" s="4"/>
      <c r="AH2007" s="4"/>
      <c r="AI2007">
        <v>0</v>
      </c>
      <c r="AJ2007"/>
      <c r="AK2007" t="inlineStr">
        <is>
          <t>No, I don't need at all</t>
        </is>
      </c>
      <c r="AL2007">
        <v>0</v>
      </c>
      <c r="AM2007" t="inlineStr">
        <is>
          <t>No, I don't need at all</t>
        </is>
      </c>
      <c r="AN2007"/>
      <c r="AO2007" t="inlineStr">
        <is>
          <t>No, I don't need at all</t>
        </is>
      </c>
      <c r="AP2007" t="inlineStr">
        <is>
          <t>Once a year (25%)</t>
        </is>
      </c>
      <c r="AQ2007">
        <v>1</v>
      </c>
      <c r="AR2007" t="inlineStr">
        <is>
          <t>Did not use any job portal</t>
        </is>
      </c>
      <c r="AS2007" t="inlineStr">
        <is>
          <t>- Headcount: 2
- Hiring Job Details: 2 marketing
- Hiring Urgency: Hiring Now
- Number of outlets: Not specified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2007">
        <v>95</v>
      </c>
      <c r="AU2007" t="inlineStr">
        <is>
          <t>0.95</t>
        </is>
      </c>
      <c r="AV2007" t="inlineStr">
        <is>
          <t>15</t>
        </is>
      </c>
      <c r="AW2007" t="inlineStr">
        <is>
          <t>0</t>
        </is>
      </c>
      <c r="AX2007" t="inlineStr">
        <is>
          <t>Not Qualified</t>
        </is>
      </c>
      <c r="AY2007" s="4"/>
      <c r="AZ2007"/>
      <c r="BA2007"/>
      <c r="BB2007"/>
      <c r="BC2007" t="inlineStr">
        <is>
          <t>if needed will call us back</t>
        </is>
      </c>
      <c r="BD2007" s="4">
        <v>46132.499814814815</v>
      </c>
      <c r="BE2007"/>
      <c r="BF2007"/>
      <c r="BG2007" t="inlineStr">
        <is>
          <t>Reschedule</t>
        </is>
      </c>
      <c r="BH2007" t="inlineStr">
        <is>
          <t>Yee Hang</t>
        </is>
      </c>
      <c r="BI2007"/>
      <c r="BJ2007" s="4">
        <v>46144.75263888889</v>
      </c>
      <c r="BK2007" s="4">
        <v>45847.012777777774</v>
      </c>
      <c r="BL2007" t="inlineStr">
        <is>
          <t>0.0</t>
        </is>
      </c>
      <c r="BM2007" t="inlineStr">
        <is>
          <t>0.0</t>
        </is>
      </c>
      <c r="BN2007" t="inlineStr">
        <is>
          <t>View Notifications</t>
        </is>
      </c>
      <c r="BO2007" s="4">
        <v>45847.02613425926</v>
      </c>
      <c r="BP2007">
        <v>167459</v>
      </c>
      <c r="BQ2007"/>
      <c r="BR2007"/>
      <c r="BS2007"/>
      <c r="BT2007"/>
      <c r="BU2007"/>
      <c r="BV2007">
        <v>2715285</v>
      </c>
      <c r="BW2007" t="inlineStr">
        <is>
          <t>Follow Up : Budget Concern</t>
        </is>
      </c>
      <c r="BX2007"/>
      <c r="BY2007"/>
      <c r="BZ2007" s="4"/>
      <c r="CA2007"/>
      <c r="CB2007"/>
      <c r="CC2007" s="4"/>
      <c r="CD2007" t="inlineStr">
        <is>
          <t>20</t>
        </is>
      </c>
      <c r="CE2007" t="inlineStr">
        <is>
          <t>0</t>
        </is>
      </c>
      <c r="CF2007" t="inlineStr">
        <is>
          <t>Q2-W02</t>
        </is>
      </c>
      <c r="CG2007"/>
      <c r="CH2007"/>
      <c r="CI2007"/>
      <c r="CJ2007" t="inlineStr">
        <is>
          <t>No Paid</t>
        </is>
      </c>
      <c r="CK2007" t="inlineStr">
        <is>
          <t>Not Eligible</t>
        </is>
      </c>
      <c r="CL2007"/>
      <c r="CM2007"/>
    </row>
    <row r="2008" ht="25.5" customHeight="1">
      <c r="A2008" t="inlineStr">
        <is>
          <t>203320</t>
        </is>
      </c>
      <c r="B2008" s="2"/>
      <c r="C2008"/>
      <c r="D2008" s="3">
        <v>46128.684953703705</v>
      </c>
      <c r="E2008" t="inlineStr">
        <is>
          <t>Q2-W02</t>
        </is>
      </c>
      <c r="F2008" t="inlineStr">
        <is>
          <t>Angel  Low</t>
        </is>
      </c>
      <c r="G2008" t="inlineStr">
        <is>
          <t>Customer</t>
        </is>
      </c>
      <c r="H2008" s="2" t="str">
        <f>=HYPERLINK("https://upbox.ajobthing.my/customer/203320", "https://upbox.ajobthing.my/customer/203320")</f>
        <v>https://upbox.ajobthing.my/customer/203320</v>
      </c>
      <c r="I2008" t="inlineStr">
        <is>
          <t>Zhong Ma New Energy Sdn Bhd</t>
        </is>
      </c>
      <c r="J2008" t="inlineStr">
        <is>
          <t>Small Fish</t>
        </is>
      </c>
      <c r="K2008" t="inlineStr">
        <is>
          <t>Angel Low</t>
        </is>
      </c>
      <c r="L2008" s="4"/>
      <c r="M2008" s="4">
        <v>46128.68554398148</v>
      </c>
      <c r="N2008"/>
      <c r="O2008">
        <v>5508</v>
      </c>
      <c r="P2008" s="4"/>
      <c r="Q2008" s="4"/>
      <c r="R2008"/>
      <c r="S2008"/>
      <c r="T2008" s="4"/>
      <c r="U2008" s="4"/>
      <c r="V2008"/>
      <c r="W2008"/>
      <c r="X2008"/>
      <c r="Y2008" t="inlineStr">
        <is>
          <t>Pending Appointment</t>
        </is>
      </c>
      <c r="Z2008"/>
      <c r="AA2008">
        <v>2</v>
      </c>
      <c r="AB2008" t="inlineStr">
        <is>
          <t>No Appointment Made</t>
        </is>
      </c>
      <c r="AC2008"/>
      <c r="AD2008" t="inlineStr">
        <is>
          <t xml:space="preserve">1 admin 1 marketing mandarin speaker </t>
        </is>
      </c>
      <c r="AE2008"/>
      <c r="AF2008"/>
      <c r="AG2008" s="4"/>
      <c r="AH2008" s="4"/>
      <c r="AI2008"/>
      <c r="AJ2008"/>
      <c r="AK2008"/>
      <c r="AL2008"/>
      <c r="AM2008"/>
      <c r="AN2008"/>
      <c r="AO2008"/>
      <c r="AP2008"/>
      <c r="AQ2008"/>
      <c r="AR2008"/>
      <c r="AS2008" t="inlineStr">
        <is>
          <t>- Headcount: 2
- Hiring Job Details: 1 admin, 1 marketing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008">
        <v>65</v>
      </c>
      <c r="AU2008" t="inlineStr">
        <is>
          <t>0.65</t>
        </is>
      </c>
      <c r="AV2008" t="inlineStr">
        <is>
          <t>5</t>
        </is>
      </c>
      <c r="AW2008" t="inlineStr">
        <is>
          <t>0</t>
        </is>
      </c>
      <c r="AX2008" t="inlineStr">
        <is>
          <t>Not Qualified</t>
        </is>
      </c>
      <c r="AY2008" s="4"/>
      <c r="AZ2008"/>
      <c r="BA2008"/>
      <c r="BB2008"/>
      <c r="BC2008" t="inlineStr">
        <is>
          <t>pending</t>
        </is>
      </c>
      <c r="BD2008" s="4">
        <v>46141.6587037037</v>
      </c>
      <c r="BE2008"/>
      <c r="BF2008"/>
      <c r="BG2008" t="inlineStr">
        <is>
          <t>Reschedule</t>
        </is>
      </c>
      <c r="BH2008" t="inlineStr">
        <is>
          <t>Fauziah Maharan</t>
        </is>
      </c>
      <c r="BI2008"/>
      <c r="BJ2008" s="4">
        <v>46144.754282407404</v>
      </c>
      <c r="BK2008" s="4">
        <v>46128.672997685186</v>
      </c>
      <c r="BL2008" t="inlineStr">
        <is>
          <t>0.0</t>
        </is>
      </c>
      <c r="BM2008" t="inlineStr">
        <is>
          <t>0.0</t>
        </is>
      </c>
      <c r="BN2008" t="inlineStr">
        <is>
          <t>View Company Page</t>
        </is>
      </c>
      <c r="BO2008" s="4">
        <v>46128.673842592594</v>
      </c>
      <c r="BP2008">
        <v>167466</v>
      </c>
      <c r="BQ2008"/>
      <c r="BR2008"/>
      <c r="BS2008"/>
      <c r="BT2008"/>
      <c r="BU2008"/>
      <c r="BV2008">
        <v>2735720</v>
      </c>
      <c r="BW2008" t="inlineStr">
        <is>
          <t>Follow Up : Decision Pending</t>
        </is>
      </c>
      <c r="BX2008"/>
      <c r="BY2008"/>
      <c r="BZ2008" s="4"/>
      <c r="CA2008"/>
      <c r="CB2008"/>
      <c r="CC2008" s="4"/>
      <c r="CD2008" t="inlineStr">
        <is>
          <t>5</t>
        </is>
      </c>
      <c r="CE2008" t="inlineStr">
        <is>
          <t>0</t>
        </is>
      </c>
      <c r="CF2008" t="inlineStr">
        <is>
          <t>Q2-W02</t>
        </is>
      </c>
      <c r="CG2008"/>
      <c r="CH2008"/>
      <c r="CI2008"/>
      <c r="CJ2008" t="inlineStr">
        <is>
          <t>No Paid</t>
        </is>
      </c>
      <c r="CK2008" t="inlineStr">
        <is>
          <t>Not Eligible</t>
        </is>
      </c>
      <c r="CL2008"/>
      <c r="CM2008"/>
    </row>
    <row r="2009" ht="25.5" customHeight="1">
      <c r="A2009" t="inlineStr">
        <is>
          <t>203321</t>
        </is>
      </c>
      <c r="B2009" s="2"/>
      <c r="C2009"/>
      <c r="D2009" s="3">
        <v>46128.69054398148</v>
      </c>
      <c r="E2009" t="inlineStr">
        <is>
          <t>Q2-W02</t>
        </is>
      </c>
      <c r="F2009" t="inlineStr">
        <is>
          <t>Clover</t>
        </is>
      </c>
      <c r="G2009" t="inlineStr">
        <is>
          <t>Customer</t>
        </is>
      </c>
      <c r="H2009" s="2" t="str">
        <f>=HYPERLINK("https://upbox.ajobthing.my/customer/203321", "https://upbox.ajobthing.my/customer/203321")</f>
        <v>https://upbox.ajobthing.my/customer/203321</v>
      </c>
      <c r="I2009" t="inlineStr">
        <is>
          <t>SP AIR COND SDN BHD</t>
        </is>
      </c>
      <c r="J2009" t="inlineStr">
        <is>
          <t>Small Fish</t>
        </is>
      </c>
      <c r="K2009" t="inlineStr">
        <is>
          <t>Clover</t>
        </is>
      </c>
      <c r="L2009" s="4"/>
      <c r="M2009" s="4">
        <v>46128.68797453704</v>
      </c>
      <c r="N2009"/>
      <c r="O2009">
        <v>3888</v>
      </c>
      <c r="P2009" s="4"/>
      <c r="Q2009" s="4"/>
      <c r="R2009"/>
      <c r="S2009"/>
      <c r="T2009" s="4"/>
      <c r="U2009" s="4"/>
      <c r="V2009"/>
      <c r="W2009"/>
      <c r="X2009"/>
      <c r="Y2009" t="inlineStr">
        <is>
          <t>Pending Appointment</t>
        </is>
      </c>
      <c r="Z2009" t="inlineStr">
        <is>
          <t>Hiring Now</t>
        </is>
      </c>
      <c r="AA2009">
        <v>2</v>
      </c>
      <c r="AB2009" t="inlineStr">
        <is>
          <t>No Appointment Made</t>
        </is>
      </c>
      <c r="AC2009"/>
      <c r="AD2009" t="inlineStr">
        <is>
          <t>Mr Jason,  store keeper x1, clerk x1, all races, fresh grads,  previous post FB, Sg petani kedah, air cond supply, suggest stand</t>
        </is>
      </c>
      <c r="AE2009"/>
      <c r="AF2009">
        <v>3000</v>
      </c>
      <c r="AG2009" s="4"/>
      <c r="AH2009" s="4"/>
      <c r="AI2009">
        <v>3000</v>
      </c>
      <c r="AJ2009">
        <v>1</v>
      </c>
      <c r="AK2009" t="inlineStr">
        <is>
          <t>No, but I want in future</t>
        </is>
      </c>
      <c r="AL2009">
        <v>1</v>
      </c>
      <c r="AM2009" t="inlineStr">
        <is>
          <t>No, but I want in future</t>
        </is>
      </c>
      <c r="AN2009"/>
      <c r="AO2009" t="inlineStr">
        <is>
          <t>No, but I want in future</t>
        </is>
      </c>
      <c r="AP2009" t="inlineStr">
        <is>
          <t>Twice a year (50%)</t>
        </is>
      </c>
      <c r="AQ2009">
        <v>2</v>
      </c>
      <c r="AR2009" t="inlineStr">
        <is>
          <t>Did not use any job portal</t>
        </is>
      </c>
      <c r="AS2009" t="inlineStr">
        <is>
          <t>- Headcount: 2
- Hiring Job Details: Mr Jason, store keeper x1, clerk x1, all races, fresh grads, previous post FB, Sg petani kedah, air cond supply,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009">
        <v>115</v>
      </c>
      <c r="AU2009" t="inlineStr">
        <is>
          <t>1.15</t>
        </is>
      </c>
      <c r="AV2009" t="inlineStr">
        <is>
          <t>15</t>
        </is>
      </c>
      <c r="AW2009" t="inlineStr">
        <is>
          <t>0</t>
        </is>
      </c>
      <c r="AX2009" t="inlineStr">
        <is>
          <t>Not Qualified</t>
        </is>
      </c>
      <c r="AY2009" s="4"/>
      <c r="AZ2009"/>
      <c r="BA2009"/>
      <c r="BB2009"/>
      <c r="BC2009" t="inlineStr">
        <is>
          <t>Job filled through FB</t>
        </is>
      </c>
      <c r="BD2009" s="4">
        <v>46134.48337962963</v>
      </c>
      <c r="BE2009"/>
      <c r="BF2009"/>
      <c r="BG2009" t="inlineStr">
        <is>
          <t>Reschedule</t>
        </is>
      </c>
      <c r="BH2009" t="inlineStr">
        <is>
          <t>Reagen</t>
        </is>
      </c>
      <c r="BI2009"/>
      <c r="BJ2009" s="4">
        <v>46144.754282407404</v>
      </c>
      <c r="BK2009" s="4">
        <v>46128.67940972222</v>
      </c>
      <c r="BL2009" t="inlineStr">
        <is>
          <t>0.0</t>
        </is>
      </c>
      <c r="BM2009" t="inlineStr">
        <is>
          <t>0.0</t>
        </is>
      </c>
      <c r="BN2009"/>
      <c r="BO2009" s="4"/>
      <c r="BP2009">
        <v>167470</v>
      </c>
      <c r="BQ2009"/>
      <c r="BR2009"/>
      <c r="BS2009"/>
      <c r="BT2009"/>
      <c r="BU2009"/>
      <c r="BV2009">
        <v>2720061</v>
      </c>
      <c r="BW2009" t="inlineStr">
        <is>
          <t>Follow Up : Lost - Free Portal</t>
        </is>
      </c>
      <c r="BX2009"/>
      <c r="BY2009"/>
      <c r="BZ2009" s="4"/>
      <c r="CA2009"/>
      <c r="CB2009"/>
      <c r="CC2009" s="4"/>
      <c r="CD2009" t="inlineStr">
        <is>
          <t>20</t>
        </is>
      </c>
      <c r="CE2009" t="inlineStr">
        <is>
          <t>0</t>
        </is>
      </c>
      <c r="CF2009" t="inlineStr">
        <is>
          <t>Q2-W02</t>
        </is>
      </c>
      <c r="CG2009"/>
      <c r="CH2009"/>
      <c r="CI2009"/>
      <c r="CJ2009" t="inlineStr">
        <is>
          <t>No Paid</t>
        </is>
      </c>
      <c r="CK2009" t="inlineStr">
        <is>
          <t>Not Eligible</t>
        </is>
      </c>
      <c r="CL2009"/>
      <c r="CM2009"/>
    </row>
    <row r="2010" ht="25.5" customHeight="1">
      <c r="A2010" t="inlineStr">
        <is>
          <t>4162159</t>
        </is>
      </c>
      <c r="B2010" s="2"/>
      <c r="C2010"/>
      <c r="D2010" s="3">
        <v>46128.69190972222</v>
      </c>
      <c r="E2010" t="inlineStr">
        <is>
          <t>Q2-W02</t>
        </is>
      </c>
      <c r="F2010" t="inlineStr">
        <is>
          <t>Janice Yap</t>
        </is>
      </c>
      <c r="G2010" t="inlineStr">
        <is>
          <t>Lead</t>
        </is>
      </c>
      <c r="H2010" s="2" t="str">
        <f>=HYPERLINK("https://upbox.ajobthing.my/leads/4162159", "https://upbox.ajobthing.my/leads/4162159")</f>
        <v>https://upbox.ajobthing.my/leads/4162159</v>
      </c>
      <c r="I2010" t="inlineStr">
        <is>
          <t>IDEAL HOME SWEET HOME RENOVATION</t>
        </is>
      </c>
      <c r="J2010" t="inlineStr">
        <is>
          <t>Small Fish</t>
        </is>
      </c>
      <c r="K2010" t="inlineStr">
        <is>
          <t>Janice</t>
        </is>
      </c>
      <c r="L2010" s="4"/>
      <c r="M2010" s="4">
        <v>46128.68891203704</v>
      </c>
      <c r="N2010"/>
      <c r="O2010">
        <v>3888</v>
      </c>
      <c r="P2010" s="4"/>
      <c r="Q2010" s="4"/>
      <c r="R2010"/>
      <c r="S2010"/>
      <c r="T2010" s="4"/>
      <c r="U2010" s="4"/>
      <c r="V2010"/>
      <c r="W2010"/>
      <c r="X2010"/>
      <c r="Y2010" t="inlineStr">
        <is>
          <t>Pending Appointment</t>
        </is>
      </c>
      <c r="Z2010" t="inlineStr">
        <is>
          <t>Hiring Now</t>
        </is>
      </c>
      <c r="AA2010">
        <v>1</v>
      </c>
      <c r="AB2010" t="inlineStr">
        <is>
          <t>No Appointment Made</t>
        </is>
      </c>
      <c r="AC2010"/>
      <c r="AD2010" t="inlineStr">
        <is>
          <t>1 technician</t>
        </is>
      </c>
      <c r="AE2010"/>
      <c r="AF2010">
        <v>0</v>
      </c>
      <c r="AG2010" s="4"/>
      <c r="AH2010" s="4"/>
      <c r="AI2010">
        <v>0</v>
      </c>
      <c r="AJ2010"/>
      <c r="AK2010" t="inlineStr">
        <is>
          <t>No, I don't need at all</t>
        </is>
      </c>
      <c r="AL2010">
        <v>0</v>
      </c>
      <c r="AM2010" t="inlineStr">
        <is>
          <t>No, I don't need at all</t>
        </is>
      </c>
      <c r="AN2010"/>
      <c r="AO2010" t="inlineStr">
        <is>
          <t>No, I don't need at all</t>
        </is>
      </c>
      <c r="AP2010" t="inlineStr">
        <is>
          <t>Once a year (25%)</t>
        </is>
      </c>
      <c r="AQ2010">
        <v>1</v>
      </c>
      <c r="AR2010"/>
      <c r="AS2010" t="inlineStr">
        <is>
          <t>- Headcount: 1
- Hiring Job Details: 1 technician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is>
      </c>
      <c r="AT2010">
        <v>110</v>
      </c>
      <c r="AU2010" t="inlineStr">
        <is>
          <t>1.10</t>
        </is>
      </c>
      <c r="AV2010" t="inlineStr">
        <is>
          <t>15</t>
        </is>
      </c>
      <c r="AW2010" t="inlineStr">
        <is>
          <t>0</t>
        </is>
      </c>
      <c r="AX2010" t="inlineStr">
        <is>
          <t>Not Qualified</t>
        </is>
      </c>
      <c r="AY2010" s="4"/>
      <c r="AZ2010"/>
      <c r="BA2010"/>
      <c r="BB2010"/>
      <c r="BC2010"/>
      <c r="BD2010" s="4"/>
      <c r="BE2010"/>
      <c r="BF2010"/>
      <c r="BG2010" t="inlineStr">
        <is>
          <t>Reschedule</t>
        </is>
      </c>
      <c r="BH2010" t="inlineStr">
        <is>
          <t>Yee Hang</t>
        </is>
      </c>
      <c r="BI2010"/>
      <c r="BJ2010" s="4">
        <v>46144.75554398148</v>
      </c>
      <c r="BK2010" s="4">
        <v>46095.85983796296</v>
      </c>
      <c r="BL2010" t="inlineStr">
        <is>
          <t>0.0</t>
        </is>
      </c>
      <c r="BM2010" t="inlineStr">
        <is>
          <t>0.0</t>
        </is>
      </c>
      <c r="BN2010"/>
      <c r="BO2010" s="4"/>
      <c r="BP2010">
        <v>167471</v>
      </c>
      <c r="BQ2010"/>
      <c r="BR2010"/>
      <c r="BS2010"/>
      <c r="BT2010"/>
      <c r="BU2010"/>
      <c r="BV2010"/>
      <c r="BW2010"/>
      <c r="BX2010"/>
      <c r="BY2010"/>
      <c r="BZ2010" s="4"/>
      <c r="CA2010"/>
      <c r="CB2010"/>
      <c r="CC2010" s="4"/>
      <c r="CD2010" t="inlineStr">
        <is>
          <t>20</t>
        </is>
      </c>
      <c r="CE2010" t="inlineStr">
        <is>
          <t>0</t>
        </is>
      </c>
      <c r="CF2010" t="inlineStr">
        <is>
          <t>Q2-W02</t>
        </is>
      </c>
      <c r="CG2010"/>
      <c r="CH2010"/>
      <c r="CI2010"/>
      <c r="CJ2010" t="inlineStr">
        <is>
          <t>No Paid</t>
        </is>
      </c>
      <c r="CK2010" t="inlineStr">
        <is>
          <t>Not Eligible</t>
        </is>
      </c>
      <c r="CL2010"/>
      <c r="CM2010"/>
    </row>
    <row r="2011" ht="25.5" customHeight="1">
      <c r="A2011" t="inlineStr">
        <is>
          <t>4289960</t>
        </is>
      </c>
      <c r="B2011" s="2"/>
      <c r="C2011"/>
      <c r="D2011" s="3">
        <v>46128.700104166666</v>
      </c>
      <c r="E2011" t="inlineStr">
        <is>
          <t>Q2-W02</t>
        </is>
      </c>
      <c r="F2011" t="inlineStr">
        <is>
          <t>Dickson</t>
        </is>
      </c>
      <c r="G2011" t="inlineStr">
        <is>
          <t>Lead</t>
        </is>
      </c>
      <c r="H2011" s="2" t="str">
        <f>=HYPERLINK("https://upbox.ajobthing.my/leads/4289960", "https://upbox.ajobthing.my/leads/4289960")</f>
        <v>https://upbox.ajobthing.my/leads/4289960</v>
      </c>
      <c r="I2011" t="inlineStr">
        <is>
          <t>Grateful Horizon Solution</t>
        </is>
      </c>
      <c r="J2011" t="inlineStr">
        <is>
          <t>Small Fish</t>
        </is>
      </c>
      <c r="K2011" t="inlineStr">
        <is>
          <t>Dickson</t>
        </is>
      </c>
      <c r="L2011" s="4"/>
      <c r="M2011" s="4">
        <v>46128.700324074074</v>
      </c>
      <c r="N2011"/>
      <c r="O2011">
        <v>3888</v>
      </c>
      <c r="P2011" s="4"/>
      <c r="Q2011" s="4"/>
      <c r="R2011"/>
      <c r="S2011"/>
      <c r="T2011" s="4"/>
      <c r="U2011" s="4"/>
      <c r="V2011"/>
      <c r="W2011"/>
      <c r="X2011"/>
      <c r="Y2011" t="inlineStr">
        <is>
          <t>Pending Appointment</t>
        </is>
      </c>
      <c r="Z2011" t="inlineStr">
        <is>
          <t>Hiring Later</t>
        </is>
      </c>
      <c r="AA2011">
        <v>1</v>
      </c>
      <c r="AB2011" t="inlineStr">
        <is>
          <t>No Appointment Made</t>
        </is>
      </c>
      <c r="AC2011"/>
      <c r="AD2011" t="inlineStr">
        <is>
          <t>site supervisor</t>
        </is>
      </c>
      <c r="AE2011"/>
      <c r="AF2011"/>
      <c r="AG2011" s="4"/>
      <c r="AH2011" s="4"/>
      <c r="AI2011"/>
      <c r="AJ2011">
        <v>1</v>
      </c>
      <c r="AK2011" t="inlineStr">
        <is>
          <t>No, I don't need at all</t>
        </is>
      </c>
      <c r="AL2011"/>
      <c r="AM2011" t="inlineStr">
        <is>
          <t>No, I don't need at all</t>
        </is>
      </c>
      <c r="AN2011"/>
      <c r="AO2011" t="inlineStr">
        <is>
          <t>No, I don't need at all</t>
        </is>
      </c>
      <c r="AP2011" t="inlineStr">
        <is>
          <t>Once per quarter (75%)</t>
        </is>
      </c>
      <c r="AQ2011"/>
      <c r="AR2011"/>
      <c r="AS2011" t="inlineStr">
        <is>
          <t>- Headcount: 1
- Hiring Job Details: site supervisor
- Hiring Urgency: Hiring Later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2011">
        <v>95</v>
      </c>
      <c r="AU2011" t="inlineStr">
        <is>
          <t>0.95</t>
        </is>
      </c>
      <c r="AV2011" t="inlineStr">
        <is>
          <t>5</t>
        </is>
      </c>
      <c r="AW2011" t="inlineStr">
        <is>
          <t>0</t>
        </is>
      </c>
      <c r="AX2011" t="inlineStr">
        <is>
          <t>Not Qualified</t>
        </is>
      </c>
      <c r="AY2011" s="4"/>
      <c r="AZ2011"/>
      <c r="BA2011"/>
      <c r="BB2011"/>
      <c r="BC2011"/>
      <c r="BD2011" s="4"/>
      <c r="BE2011"/>
      <c r="BF2011"/>
      <c r="BG2011" t="inlineStr">
        <is>
          <t>Reschedule</t>
        </is>
      </c>
      <c r="BH2011" t="inlineStr">
        <is>
          <t>Edward Hoo</t>
        </is>
      </c>
      <c r="BI2011"/>
      <c r="BJ2011" s="4">
        <v>46144.75585648148</v>
      </c>
      <c r="BK2011" s="4">
        <v>46128.59137731481</v>
      </c>
      <c r="BL2011" t="inlineStr">
        <is>
          <t>0.0</t>
        </is>
      </c>
      <c r="BM2011" t="inlineStr">
        <is>
          <t>0.0</t>
        </is>
      </c>
      <c r="BN2011"/>
      <c r="BO2011" s="4"/>
      <c r="BP2011">
        <v>167479</v>
      </c>
      <c r="BQ2011"/>
      <c r="BR2011"/>
      <c r="BS2011"/>
      <c r="BT2011"/>
      <c r="BU2011"/>
      <c r="BV2011"/>
      <c r="BW2011"/>
      <c r="BX2011"/>
      <c r="BY2011"/>
      <c r="BZ2011" s="4"/>
      <c r="CA2011"/>
      <c r="CB2011"/>
      <c r="CC2011" s="4"/>
      <c r="CD2011" t="inlineStr">
        <is>
          <t>5</t>
        </is>
      </c>
      <c r="CE2011" t="inlineStr">
        <is>
          <t>0</t>
        </is>
      </c>
      <c r="CF2011" t="inlineStr">
        <is>
          <t>Q2-W02</t>
        </is>
      </c>
      <c r="CG2011"/>
      <c r="CH2011"/>
      <c r="CI2011"/>
      <c r="CJ2011" t="inlineStr">
        <is>
          <t>No Paid</t>
        </is>
      </c>
      <c r="CK2011" t="inlineStr">
        <is>
          <t>Not Eligible</t>
        </is>
      </c>
      <c r="CL2011"/>
      <c r="CM2011"/>
    </row>
    <row r="2012" ht="25.5" customHeight="1">
      <c r="A2012" t="inlineStr">
        <is>
          <t>191067</t>
        </is>
      </c>
      <c r="B2012" s="2"/>
      <c r="C2012"/>
      <c r="D2012" s="3">
        <v>46128.708125</v>
      </c>
      <c r="E2012" t="inlineStr">
        <is>
          <t>Q2-W02</t>
        </is>
      </c>
      <c r="F2012" t="inlineStr">
        <is>
          <t>Fariz</t>
        </is>
      </c>
      <c r="G2012" t="inlineStr">
        <is>
          <t>Customer</t>
        </is>
      </c>
      <c r="H2012" s="2" t="str">
        <f>=HYPERLINK("https://upbox.ajobthing.my/customer/191067", "https://upbox.ajobthing.my/customer/191067")</f>
        <v>https://upbox.ajobthing.my/customer/191067</v>
      </c>
      <c r="I2012" t="inlineStr">
        <is>
          <t xml:space="preserve">Zuzu Global Enterprise </t>
        </is>
      </c>
      <c r="J2012" t="inlineStr">
        <is>
          <t>Small Fish</t>
        </is>
      </c>
      <c r="K2012" t="inlineStr">
        <is>
          <t>Fariz</t>
        </is>
      </c>
      <c r="L2012" s="4"/>
      <c r="M2012" s="4">
        <v>46128.7084375</v>
      </c>
      <c r="N2012"/>
      <c r="O2012">
        <v>1296</v>
      </c>
      <c r="P2012" s="4"/>
      <c r="Q2012" s="4"/>
      <c r="R2012"/>
      <c r="S2012"/>
      <c r="T2012" s="4"/>
      <c r="U2012" s="4"/>
      <c r="V2012"/>
      <c r="W2012"/>
      <c r="X2012"/>
      <c r="Y2012" t="inlineStr">
        <is>
          <t>Pending Appointment</t>
        </is>
      </c>
      <c r="Z2012" t="inlineStr">
        <is>
          <t>Hiring Now</t>
        </is>
      </c>
      <c r="AA2012">
        <v>1</v>
      </c>
      <c r="AB2012" t="inlineStr">
        <is>
          <t>No Appointment Made</t>
        </is>
      </c>
      <c r="AC2012"/>
      <c r="AD2012" t="inlineStr">
        <is>
          <t>1 Admin</t>
        </is>
      </c>
      <c r="AE2012"/>
      <c r="AF2012">
        <v>1000</v>
      </c>
      <c r="AG2012" s="4"/>
      <c r="AH2012" s="4"/>
      <c r="AI2012">
        <v>1000</v>
      </c>
      <c r="AJ2012"/>
      <c r="AK2012" t="inlineStr">
        <is>
          <t>No, but I want in future</t>
        </is>
      </c>
      <c r="AL2012">
        <v>1</v>
      </c>
      <c r="AM2012" t="inlineStr">
        <is>
          <t>No, I don't need at all</t>
        </is>
      </c>
      <c r="AN2012"/>
      <c r="AO2012" t="inlineStr">
        <is>
          <t>No, but I want in future</t>
        </is>
      </c>
      <c r="AP2012" t="inlineStr">
        <is>
          <t>Once a year (25%)</t>
        </is>
      </c>
      <c r="AQ2012">
        <v>1</v>
      </c>
      <c r="AR2012" t="inlineStr">
        <is>
          <t>Free Job Portal</t>
        </is>
      </c>
      <c r="AS2012" t="inlineStr">
        <is>
          <t>- Headcount: 1
- Hiring Job Details: 1 Admin
- Hiring Urgency: Hiring Now
- Number of outlets: 
- Have recruiter team: No, but I want in future
- Number of recruiter in company: 1
- Have ATS system: No, I don't need at all
- Have career website: No, but I want in future
- Current hiring budget: RM1,000
- Whole year budget: RM1,000.00
- Whole year number of vacancies: 1
- Hiring frequency: Once a year (25%)
- External job portal: Free Job Portal</t>
        </is>
      </c>
      <c r="AT2012">
        <v>100</v>
      </c>
      <c r="AU2012" t="inlineStr">
        <is>
          <t>1.00</t>
        </is>
      </c>
      <c r="AV2012" t="inlineStr">
        <is>
          <t>15</t>
        </is>
      </c>
      <c r="AW2012" t="inlineStr">
        <is>
          <t>0</t>
        </is>
      </c>
      <c r="AX2012" t="inlineStr">
        <is>
          <t>Not Qualified</t>
        </is>
      </c>
      <c r="AY2012" s="4"/>
      <c r="AZ2012"/>
      <c r="BA2012"/>
      <c r="BB2012"/>
      <c r="BC2012" t="inlineStr">
        <is>
          <t>amitoz 0103718786. - still pending, follow up next week</t>
        </is>
      </c>
      <c r="BD2012" s="4">
        <v>46142.67355324074</v>
      </c>
      <c r="BE2012"/>
      <c r="BF2012"/>
      <c r="BG2012" t="inlineStr">
        <is>
          <t>Reschedule</t>
        </is>
      </c>
      <c r="BH2012" t="inlineStr">
        <is>
          <t>Edward Hoo</t>
        </is>
      </c>
      <c r="BI2012"/>
      <c r="BJ2012" s="4">
        <v>46144.75239583333</v>
      </c>
      <c r="BK2012" s="4">
        <v>45786.60870370371</v>
      </c>
      <c r="BL2012" t="inlineStr">
        <is>
          <t>0.0</t>
        </is>
      </c>
      <c r="BM2012" t="inlineStr">
        <is>
          <t>0.0</t>
        </is>
      </c>
      <c r="BN2012" t="inlineStr">
        <is>
          <t>View Create Job Page</t>
        </is>
      </c>
      <c r="BO2012" s="4">
        <v>45786.659108796295</v>
      </c>
      <c r="BP2012">
        <v>167483</v>
      </c>
      <c r="BQ2012"/>
      <c r="BR2012"/>
      <c r="BS2012"/>
      <c r="BT2012"/>
      <c r="BU2012"/>
      <c r="BV2012">
        <v>2738114</v>
      </c>
      <c r="BW2012" t="inlineStr">
        <is>
          <t>Follow Up : Decision Pending</t>
        </is>
      </c>
      <c r="BX2012"/>
      <c r="BY2012"/>
      <c r="BZ2012" s="4"/>
      <c r="CA2012"/>
      <c r="CB2012"/>
      <c r="CC2012" s="4"/>
      <c r="CD2012" t="inlineStr">
        <is>
          <t>20</t>
        </is>
      </c>
      <c r="CE2012" t="inlineStr">
        <is>
          <t>0</t>
        </is>
      </c>
      <c r="CF2012" t="inlineStr">
        <is>
          <t>Q2-W02</t>
        </is>
      </c>
      <c r="CG2012"/>
      <c r="CH2012"/>
      <c r="CI2012"/>
      <c r="CJ2012" t="inlineStr">
        <is>
          <t>No Paid</t>
        </is>
      </c>
      <c r="CK2012" t="inlineStr">
        <is>
          <t>Not Eligible</t>
        </is>
      </c>
      <c r="CL2012"/>
      <c r="CM2012"/>
    </row>
    <row r="2013" ht="25.5" customHeight="1">
      <c r="A2013" t="inlineStr">
        <is>
          <t>41672</t>
        </is>
      </c>
      <c r="B2013" s="2"/>
      <c r="C2013"/>
      <c r="D2013" s="3">
        <v>46128.715162037035</v>
      </c>
      <c r="E2013" t="inlineStr">
        <is>
          <t>Q2-W02</t>
        </is>
      </c>
      <c r="F2013" t="inlineStr">
        <is>
          <t>Xin Hui</t>
        </is>
      </c>
      <c r="G2013" t="inlineStr">
        <is>
          <t>Customer</t>
        </is>
      </c>
      <c r="H2013" s="2" t="str">
        <f>=HYPERLINK("https://upbox.ajobthing.my/customer/41672", "https://upbox.ajobthing.my/customer/41672")</f>
        <v>https://upbox.ajobthing.my/customer/41672</v>
      </c>
      <c r="I2013" t="inlineStr">
        <is>
          <t>Great Join Marketing Sdn Bhd</t>
        </is>
      </c>
      <c r="J2013" t="inlineStr">
        <is>
          <t>Small Fish</t>
        </is>
      </c>
      <c r="K2013" t="inlineStr">
        <is>
          <t>Xin Hui</t>
        </is>
      </c>
      <c r="L2013" s="4"/>
      <c r="M2013" s="4">
        <v>46128.74625</v>
      </c>
      <c r="N2013"/>
      <c r="O2013">
        <v>3888</v>
      </c>
      <c r="P2013" s="4"/>
      <c r="Q2013" s="4"/>
      <c r="R2013"/>
      <c r="S2013"/>
      <c r="T2013" s="4"/>
      <c r="U2013" s="4"/>
      <c r="V2013"/>
      <c r="W2013"/>
      <c r="X2013"/>
      <c r="Y2013" t="inlineStr">
        <is>
          <t>Pending Appointment</t>
        </is>
      </c>
      <c r="Z2013" t="inlineStr">
        <is>
          <t>Hiring Now</t>
        </is>
      </c>
      <c r="AA2013">
        <v>1</v>
      </c>
      <c r="AB2013" t="inlineStr">
        <is>
          <t>No Appointment Made</t>
        </is>
      </c>
      <c r="AC2013"/>
      <c r="AD2013" t="inlineStr">
        <is>
          <t xml:space="preserve">sales </t>
        </is>
      </c>
      <c r="AE2013"/>
      <c r="AF2013"/>
      <c r="AG2013" s="4"/>
      <c r="AH2013" s="4"/>
      <c r="AI2013"/>
      <c r="AJ2013"/>
      <c r="AK2013" t="inlineStr">
        <is>
          <t>No, I don't need at all</t>
        </is>
      </c>
      <c r="AL2013"/>
      <c r="AM2013" t="inlineStr">
        <is>
          <t>No, I don't need at all</t>
        </is>
      </c>
      <c r="AN2013"/>
      <c r="AO2013" t="inlineStr">
        <is>
          <t>No, I don't need at all</t>
        </is>
      </c>
      <c r="AP2013"/>
      <c r="AQ2013"/>
      <c r="AR2013" t="inlineStr">
        <is>
          <t>Indeed (Paid)</t>
        </is>
      </c>
      <c r="AS2013" t="inlineStr">
        <is>
          <t>- Headcount: 1
- Hiring Job Details: sales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Not provided
- External job portal: Indeed (Paid)</t>
        </is>
      </c>
      <c r="AT2013">
        <v>75</v>
      </c>
      <c r="AU2013" t="inlineStr">
        <is>
          <t>0.75</t>
        </is>
      </c>
      <c r="AV2013" t="inlineStr">
        <is>
          <t>5</t>
        </is>
      </c>
      <c r="AW2013" t="inlineStr">
        <is>
          <t>0</t>
        </is>
      </c>
      <c r="AX2013" t="inlineStr">
        <is>
          <t>Not Qualified</t>
        </is>
      </c>
      <c r="AY2013" s="4"/>
      <c r="AZ2013"/>
      <c r="BA2013"/>
      <c r="BB2013"/>
      <c r="BC2013" t="inlineStr">
        <is>
          <t>pending decision -</t>
        </is>
      </c>
      <c r="BD2013" s="4">
        <v>46140.74228009259</v>
      </c>
      <c r="BE2013"/>
      <c r="BF2013"/>
      <c r="BG2013" t="inlineStr">
        <is>
          <t>Reschedule</t>
        </is>
      </c>
      <c r="BH2013" t="inlineStr">
        <is>
          <t>Yee Hang</t>
        </is>
      </c>
      <c r="BI2013" t="inlineStr">
        <is>
          <t>Environment / Health / Safety</t>
        </is>
      </c>
      <c r="BJ2013" s="4">
        <v>46144.75555555556</v>
      </c>
      <c r="BK2013" s="4">
        <v>42991.74266203704</v>
      </c>
      <c r="BL2013" t="inlineStr">
        <is>
          <t>0.0</t>
        </is>
      </c>
      <c r="BM2013" t="inlineStr">
        <is>
          <t>0.0</t>
        </is>
      </c>
      <c r="BN2013" t="inlineStr">
        <is>
          <t>User Visit(Logged In)</t>
        </is>
      </c>
      <c r="BO2013" s="4">
        <v>45632.65765046296</v>
      </c>
      <c r="BP2013">
        <v>167509</v>
      </c>
      <c r="BQ2013"/>
      <c r="BR2013"/>
      <c r="BS2013"/>
      <c r="BT2013"/>
      <c r="BU2013"/>
      <c r="BV2013">
        <v>2733907</v>
      </c>
      <c r="BW2013" t="inlineStr">
        <is>
          <t>Follow Up : Decision Pending</t>
        </is>
      </c>
      <c r="BX2013"/>
      <c r="BY2013"/>
      <c r="BZ2013" s="4"/>
      <c r="CA2013"/>
      <c r="CB2013"/>
      <c r="CC2013" s="4"/>
      <c r="CD2013" t="inlineStr">
        <is>
          <t>5</t>
        </is>
      </c>
      <c r="CE2013" t="inlineStr">
        <is>
          <t>0</t>
        </is>
      </c>
      <c r="CF2013" t="inlineStr">
        <is>
          <t>Q2-W02</t>
        </is>
      </c>
      <c r="CG2013"/>
      <c r="CH2013"/>
      <c r="CI2013"/>
      <c r="CJ2013" t="inlineStr">
        <is>
          <t>No Paid</t>
        </is>
      </c>
      <c r="CK2013" t="inlineStr">
        <is>
          <t>Not Eligible</t>
        </is>
      </c>
      <c r="CL2013"/>
      <c r="CM2013"/>
    </row>
    <row r="2014" ht="25.5" customHeight="1">
      <c r="A2014" t="inlineStr">
        <is>
          <t>188124</t>
        </is>
      </c>
      <c r="B2014" s="2"/>
      <c r="C2014"/>
      <c r="D2014" s="3">
        <v>46128.717627314814</v>
      </c>
      <c r="E2014" t="inlineStr">
        <is>
          <t>Q2-W02</t>
        </is>
      </c>
      <c r="F2014" t="inlineStr">
        <is>
          <t>Chia Yee</t>
        </is>
      </c>
      <c r="G2014" t="inlineStr">
        <is>
          <t>Customer</t>
        </is>
      </c>
      <c r="H2014" s="2" t="str">
        <f>=HYPERLINK("https://upbox.ajobthing.my/customer/188124", "https://upbox.ajobthing.my/customer/188124")</f>
        <v>https://upbox.ajobthing.my/customer/188124</v>
      </c>
      <c r="I2014" t="inlineStr">
        <is>
          <t>Binary Construction &amp; Trading Sdn Bhd</t>
        </is>
      </c>
      <c r="J2014" t="inlineStr">
        <is>
          <t>Small Fish</t>
        </is>
      </c>
      <c r="K2014" t="inlineStr">
        <is>
          <t>Chia Yee</t>
        </is>
      </c>
      <c r="L2014" s="4"/>
      <c r="M2014" s="4">
        <v>46128.71773148148</v>
      </c>
      <c r="N2014"/>
      <c r="O2014">
        <v>6048</v>
      </c>
      <c r="P2014" s="4"/>
      <c r="Q2014" s="4">
        <v>46127.54378472222</v>
      </c>
      <c r="R2014"/>
      <c r="S2014">
        <v>0</v>
      </c>
      <c r="T2014" s="4">
        <v>45714.745775462965</v>
      </c>
      <c r="U2014" s="4"/>
      <c r="V2014"/>
      <c r="W2014">
        <v>648</v>
      </c>
      <c r="X2014"/>
      <c r="Y2014" t="inlineStr">
        <is>
          <t>Pending Appointment</t>
        </is>
      </c>
      <c r="Z2014" t="inlineStr">
        <is>
          <t>Hiring Now</t>
        </is>
      </c>
      <c r="AA2014">
        <v>1</v>
      </c>
      <c r="AB2014" t="inlineStr">
        <is>
          <t>No Appointment Made</t>
        </is>
      </c>
      <c r="AC2014"/>
      <c r="AD2014" t="inlineStr">
        <is>
          <t>site supervisor intern, account for freelance and part time.</t>
        </is>
      </c>
      <c r="AE2014"/>
      <c r="AF2014">
        <v>0</v>
      </c>
      <c r="AG2014" s="4"/>
      <c r="AH2014" s="4"/>
      <c r="AI2014">
        <v>0</v>
      </c>
      <c r="AJ2014">
        <v>1</v>
      </c>
      <c r="AK2014" t="inlineStr">
        <is>
          <t>No, I don't need at all</t>
        </is>
      </c>
      <c r="AL2014">
        <v>1</v>
      </c>
      <c r="AM2014" t="inlineStr">
        <is>
          <t>No, I don't need at all</t>
        </is>
      </c>
      <c r="AN2014"/>
      <c r="AO2014" t="inlineStr">
        <is>
          <t>No, I don't need at all</t>
        </is>
      </c>
      <c r="AP2014" t="inlineStr">
        <is>
          <t>Once a year (25%)</t>
        </is>
      </c>
      <c r="AQ2014">
        <v>3</v>
      </c>
      <c r="AR2014" t="inlineStr">
        <is>
          <t>Did not use any job portal</t>
        </is>
      </c>
      <c r="AS2014" t="inlineStr">
        <is>
          <t>- Headcount: 1
- Hiring Job Details: site supervisor intern, account for freelance and part time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is>
      </c>
      <c r="AT2014">
        <v>115</v>
      </c>
      <c r="AU2014" t="inlineStr">
        <is>
          <t>1.15</t>
        </is>
      </c>
      <c r="AV2014" t="inlineStr">
        <is>
          <t>15</t>
        </is>
      </c>
      <c r="AW2014" t="inlineStr">
        <is>
          <t>0</t>
        </is>
      </c>
      <c r="AX2014" t="inlineStr">
        <is>
          <t>Not Qualified</t>
        </is>
      </c>
      <c r="AY2014" s="4"/>
      <c r="AZ2014"/>
      <c r="BA2014"/>
      <c r="BB2014"/>
      <c r="BC2014" t="inlineStr">
        <is>
          <t>Want free job only</t>
        </is>
      </c>
      <c r="BD2014" s="4">
        <v>46133.65059027778</v>
      </c>
      <c r="BE2014" t="inlineStr">
        <is>
          <t>paid</t>
        </is>
      </c>
      <c r="BF2014"/>
      <c r="BG2014" t="inlineStr">
        <is>
          <t>Reschedule</t>
        </is>
      </c>
      <c r="BH2014" t="inlineStr">
        <is>
          <t>Reagen</t>
        </is>
      </c>
      <c r="BI2014"/>
      <c r="BJ2014" s="4">
        <v>46144.752222222225</v>
      </c>
      <c r="BK2014" s="4">
        <v>45713.399502314816</v>
      </c>
      <c r="BL2014" t="inlineStr">
        <is>
          <t>0.0</t>
        </is>
      </c>
      <c r="BM2014" t="inlineStr">
        <is>
          <t>0.0</t>
        </is>
      </c>
      <c r="BN2014" t="inlineStr">
        <is>
          <t>View Company Page</t>
        </is>
      </c>
      <c r="BO2014" s="4">
        <v>46135.54076388889</v>
      </c>
      <c r="BP2014">
        <v>167492</v>
      </c>
      <c r="BQ2014">
        <v>122491</v>
      </c>
      <c r="BR2014" t="inlineStr">
        <is>
          <t>Proforma</t>
        </is>
      </c>
      <c r="BS2014" t="inlineStr">
        <is>
          <t>Free Freelance Job</t>
        </is>
      </c>
      <c r="BT2014">
        <v>77160</v>
      </c>
      <c r="BU2014"/>
      <c r="BV2014">
        <v>2718571</v>
      </c>
      <c r="BW2014" t="inlineStr">
        <is>
          <t>No Answer : Voicemail - WA sent to customer</t>
        </is>
      </c>
      <c r="BX2014"/>
      <c r="BY2014"/>
      <c r="BZ2014" s="4"/>
      <c r="CA2014"/>
      <c r="CB2014"/>
      <c r="CC2014" s="4"/>
      <c r="CD2014" t="inlineStr">
        <is>
          <t>20</t>
        </is>
      </c>
      <c r="CE2014" t="inlineStr">
        <is>
          <t>0</t>
        </is>
      </c>
      <c r="CF2014" t="inlineStr">
        <is>
          <t>Q2-W02</t>
        </is>
      </c>
      <c r="CG2014" t="inlineStr">
        <is>
          <t>Q2-W02</t>
        </is>
      </c>
      <c r="CH2014"/>
      <c r="CI2014"/>
      <c r="CJ2014" t="inlineStr">
        <is>
          <t>Paid</t>
        </is>
      </c>
      <c r="CK2014" t="inlineStr">
        <is>
          <t>Not Eligible</t>
        </is>
      </c>
      <c r="CL2014"/>
      <c r="CM2014"/>
    </row>
    <row r="2015" ht="25.5" customHeight="1">
      <c r="A2015" t="inlineStr">
        <is>
          <t>4290356</t>
        </is>
      </c>
      <c r="B2015" s="2"/>
      <c r="C2015"/>
      <c r="D2015" s="3">
        <v>46128.722453703704</v>
      </c>
      <c r="E2015" t="inlineStr">
        <is>
          <t>Q2-W02</t>
        </is>
      </c>
      <c r="F2015" t="inlineStr">
        <is>
          <t>Luqman</t>
        </is>
      </c>
      <c r="G2015" t="inlineStr">
        <is>
          <t>Lead</t>
        </is>
      </c>
      <c r="H2015" s="2" t="str">
        <f>=HYPERLINK("https://upbox.ajobthing.my/leads/4290356", "https://upbox.ajobthing.my/leads/4290356")</f>
        <v>https://upbox.ajobthing.my/leads/4290356</v>
      </c>
      <c r="I2015" t="inlineStr">
        <is>
          <t>FA Prestige Sdn Bhd</t>
        </is>
      </c>
      <c r="J2015" t="inlineStr">
        <is>
          <t>Small Fish</t>
        </is>
      </c>
      <c r="K2015" t="inlineStr">
        <is>
          <t>Luqman</t>
        </is>
      </c>
      <c r="L2015" s="4"/>
      <c r="M2015" s="4">
        <v>46128.722905092596</v>
      </c>
      <c r="N2015"/>
      <c r="O2015">
        <v>864</v>
      </c>
      <c r="P2015" s="4"/>
      <c r="Q2015" s="4"/>
      <c r="R2015"/>
      <c r="S2015"/>
      <c r="T2015" s="4"/>
      <c r="U2015" s="4"/>
      <c r="V2015"/>
      <c r="W2015"/>
      <c r="X2015"/>
      <c r="Y2015" t="inlineStr">
        <is>
          <t>Pending Appointment</t>
        </is>
      </c>
      <c r="Z2015" t="inlineStr">
        <is>
          <t>Hiring Later</t>
        </is>
      </c>
      <c r="AA2015">
        <v>2</v>
      </c>
      <c r="AB2015" t="inlineStr">
        <is>
          <t>No Appointment Made</t>
        </is>
      </c>
      <c r="AC2015"/>
      <c r="AD2015" t="inlineStr">
        <is>
          <t xml:space="preserve">1. Junior Graphic Designer 2. Junior Video Editor </t>
        </is>
      </c>
      <c r="AE2015"/>
      <c r="AF2015">
        <v>800</v>
      </c>
      <c r="AG2015" s="4"/>
      <c r="AH2015" s="4"/>
      <c r="AI2015">
        <v>800</v>
      </c>
      <c r="AJ2015"/>
      <c r="AK2015" t="inlineStr">
        <is>
          <t>Yes, I have</t>
        </is>
      </c>
      <c r="AL2015">
        <v>2</v>
      </c>
      <c r="AM2015" t="inlineStr">
        <is>
          <t>No, I don't need at all</t>
        </is>
      </c>
      <c r="AN2015"/>
      <c r="AO2015" t="inlineStr">
        <is>
          <t>Yes, I have</t>
        </is>
      </c>
      <c r="AP2015" t="inlineStr">
        <is>
          <t>Once a year (25%)</t>
        </is>
      </c>
      <c r="AQ2015">
        <v>2</v>
      </c>
      <c r="AR2015" t="inlineStr">
        <is>
          <t>Free Job Portal</t>
        </is>
      </c>
      <c r="AS2015" t="inlineStr">
        <is>
          <t>- Headcount: 2
- Hiring Job Details: 1. Junior Graphic Designer 2. Junior Video Editor
- Hiring Urgency: Hiring Later
- Number of outlets: N/A
- Have recruiter team: Yes
- Number of recruiter in company: 2
- Have ATS system: No, I don't need at all
- Have career website: Yes
- Current hiring budget: RM800
- Whole year budget: RM800.00
- Whole year number of vacancies: 2
- Hiring frequency: Once a year (25%)
- External job portal: Free Job Portal</t>
        </is>
      </c>
      <c r="AT2015">
        <v>95</v>
      </c>
      <c r="AU2015" t="inlineStr">
        <is>
          <t>0.95</t>
        </is>
      </c>
      <c r="AV2015" t="inlineStr">
        <is>
          <t>15</t>
        </is>
      </c>
      <c r="AW2015" t="inlineStr">
        <is>
          <t>0</t>
        </is>
      </c>
      <c r="AX2015" t="inlineStr">
        <is>
          <t>Not Qualified</t>
        </is>
      </c>
      <c r="AY2015" s="4"/>
      <c r="AZ2015"/>
      <c r="BA2015"/>
      <c r="BB2015"/>
      <c r="BC2015"/>
      <c r="BD2015" s="4"/>
      <c r="BE2015"/>
      <c r="BF2015"/>
      <c r="BG2015" t="inlineStr">
        <is>
          <t>Reschedule</t>
        </is>
      </c>
      <c r="BH2015" t="inlineStr">
        <is>
          <t>Edward Hoo</t>
        </is>
      </c>
      <c r="BI2015"/>
      <c r="BJ2015" s="4">
        <v>46144.75585648148</v>
      </c>
      <c r="BK2015" s="4">
        <v>46128.677256944444</v>
      </c>
      <c r="BL2015" t="inlineStr">
        <is>
          <t>0.0</t>
        </is>
      </c>
      <c r="BM2015" t="inlineStr">
        <is>
          <t>0.0</t>
        </is>
      </c>
      <c r="BN2015"/>
      <c r="BO2015" s="4"/>
      <c r="BP2015">
        <v>167495</v>
      </c>
      <c r="BQ2015"/>
      <c r="BR2015"/>
      <c r="BS2015"/>
      <c r="BT2015"/>
      <c r="BU2015"/>
      <c r="BV2015"/>
      <c r="BW2015"/>
      <c r="BX2015"/>
      <c r="BY2015"/>
      <c r="BZ2015" s="4"/>
      <c r="CA2015"/>
      <c r="CB2015"/>
      <c r="CC2015" s="4"/>
      <c r="CD2015" t="inlineStr">
        <is>
          <t>20</t>
        </is>
      </c>
      <c r="CE2015" t="inlineStr">
        <is>
          <t>0</t>
        </is>
      </c>
      <c r="CF2015" t="inlineStr">
        <is>
          <t>Q2-W02</t>
        </is>
      </c>
      <c r="CG2015"/>
      <c r="CH2015"/>
      <c r="CI2015"/>
      <c r="CJ2015" t="inlineStr">
        <is>
          <t>No Paid</t>
        </is>
      </c>
      <c r="CK2015" t="inlineStr">
        <is>
          <t>Not Eligible</t>
        </is>
      </c>
      <c r="CL2015"/>
      <c r="CM2015"/>
    </row>
    <row r="2016" ht="25.5" customHeight="1">
      <c r="A2016" t="inlineStr">
        <is>
          <t>178258</t>
        </is>
      </c>
      <c r="B2016" s="2"/>
      <c r="C2016"/>
      <c r="D2016" s="3">
        <v>46128.7341087963</v>
      </c>
      <c r="E2016" t="inlineStr">
        <is>
          <t>Q2-W02</t>
        </is>
      </c>
      <c r="F2016" t="inlineStr">
        <is>
          <t>Janice Yap</t>
        </is>
      </c>
      <c r="G2016" t="inlineStr">
        <is>
          <t>Customer</t>
        </is>
      </c>
      <c r="H2016" s="2" t="str">
        <f>=HYPERLINK("https://upbox.ajobthing.my/customer/178258", "https://upbox.ajobthing.my/customer/178258")</f>
        <v>https://upbox.ajobthing.my/customer/178258</v>
      </c>
      <c r="I2016" t="inlineStr">
        <is>
          <t>VItality Health</t>
        </is>
      </c>
      <c r="J2016" t="inlineStr">
        <is>
          <t>Small Fish</t>
        </is>
      </c>
      <c r="K2016" t="inlineStr">
        <is>
          <t>Janice</t>
        </is>
      </c>
      <c r="L2016" s="4"/>
      <c r="M2016" s="4">
        <v>46128.731875</v>
      </c>
      <c r="N2016"/>
      <c r="O2016">
        <v>3888</v>
      </c>
      <c r="P2016" s="4"/>
      <c r="Q2016" s="4">
        <v>46128.710486111115</v>
      </c>
      <c r="R2016"/>
      <c r="S2016">
        <v>0</v>
      </c>
      <c r="T2016" s="4"/>
      <c r="U2016" s="4"/>
      <c r="V2016"/>
      <c r="W2016"/>
      <c r="X2016"/>
      <c r="Y2016" t="inlineStr">
        <is>
          <t>Pending Appointment</t>
        </is>
      </c>
      <c r="Z2016" t="inlineStr">
        <is>
          <t>Hiring Now</t>
        </is>
      </c>
      <c r="AA2016">
        <v>2</v>
      </c>
      <c r="AB2016" t="inlineStr">
        <is>
          <t>No Appointment Made</t>
        </is>
      </c>
      <c r="AC2016"/>
      <c r="AD2016" t="inlineStr">
        <is>
          <t>2 Physiotherapy</t>
        </is>
      </c>
      <c r="AE2016"/>
      <c r="AF2016">
        <v>0</v>
      </c>
      <c r="AG2016" s="4"/>
      <c r="AH2016" s="4"/>
      <c r="AI2016">
        <v>0</v>
      </c>
      <c r="AJ2016"/>
      <c r="AK2016" t="inlineStr">
        <is>
          <t>No, I don't need at all</t>
        </is>
      </c>
      <c r="AL2016">
        <v>0</v>
      </c>
      <c r="AM2016" t="inlineStr">
        <is>
          <t>No, I don't need at all</t>
        </is>
      </c>
      <c r="AN2016"/>
      <c r="AO2016" t="inlineStr">
        <is>
          <t>No, I don't need at all</t>
        </is>
      </c>
      <c r="AP2016" t="inlineStr">
        <is>
          <t>Once a year (25%)</t>
        </is>
      </c>
      <c r="AQ2016">
        <v>2</v>
      </c>
      <c r="AR2016" t="inlineStr">
        <is>
          <t>Jobstreet, Linkedin (Paid), Indeed (Paid)</t>
        </is>
      </c>
      <c r="AS2016" t="inlineStr">
        <is>
          <t>- Headcount: 2
- Hiring Job Details: 2 Physiotherapy
- Hiring Urgency: Hiring Now
- Number of outlets: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Jobstreet,Linkedin (Paid),Indeed (Paid)</t>
        </is>
      </c>
      <c r="AT2016">
        <v>105</v>
      </c>
      <c r="AU2016" t="inlineStr">
        <is>
          <t>1.05</t>
        </is>
      </c>
      <c r="AV2016" t="inlineStr">
        <is>
          <t>15</t>
        </is>
      </c>
      <c r="AW2016" t="inlineStr">
        <is>
          <t>0</t>
        </is>
      </c>
      <c r="AX2016" t="inlineStr">
        <is>
          <t>Not Qualified</t>
        </is>
      </c>
      <c r="AY2016" s="4"/>
      <c r="AZ2016"/>
      <c r="BA2016"/>
      <c r="BB2016"/>
      <c r="BC2016" t="inlineStr">
        <is>
          <t>No answer</t>
        </is>
      </c>
      <c r="BD2016" s="4">
        <v>46132.64944444445</v>
      </c>
      <c r="BE2016" t="inlineStr">
        <is>
          <t>paid</t>
        </is>
      </c>
      <c r="BF2016"/>
      <c r="BG2016" t="inlineStr">
        <is>
          <t>Reschedule</t>
        </is>
      </c>
      <c r="BH2016" t="inlineStr">
        <is>
          <t>Yee Hang</t>
        </is>
      </c>
      <c r="BI2016" t="inlineStr">
        <is>
          <t>Healthcare / Medical</t>
        </is>
      </c>
      <c r="BJ2016" s="4">
        <v>46144.75173611111</v>
      </c>
      <c r="BK2016" s="4">
        <v>45422.607303240744</v>
      </c>
      <c r="BL2016" t="inlineStr">
        <is>
          <t>0.0</t>
        </is>
      </c>
      <c r="BM2016" t="inlineStr">
        <is>
          <t>0.0</t>
        </is>
      </c>
      <c r="BN2016" t="inlineStr">
        <is>
          <t>View Company Page</t>
        </is>
      </c>
      <c r="BO2016" s="4">
        <v>46129.01960648148</v>
      </c>
      <c r="BP2016">
        <v>167503</v>
      </c>
      <c r="BQ2016">
        <v>122791</v>
      </c>
      <c r="BR2016" t="inlineStr">
        <is>
          <t>Proforma</t>
        </is>
      </c>
      <c r="BS2016" t="inlineStr">
        <is>
          <t>Free Freelance Job</t>
        </is>
      </c>
      <c r="BT2016"/>
      <c r="BU2016"/>
      <c r="BV2016">
        <v>2716056</v>
      </c>
      <c r="BW2016" t="inlineStr">
        <is>
          <t>No Answer : Voicemail - WA sent to customer</t>
        </is>
      </c>
      <c r="BX2016"/>
      <c r="BY2016"/>
      <c r="BZ2016" s="4"/>
      <c r="CA2016"/>
      <c r="CB2016"/>
      <c r="CC2016" s="4"/>
      <c r="CD2016" t="inlineStr">
        <is>
          <t>20</t>
        </is>
      </c>
      <c r="CE2016" t="inlineStr">
        <is>
          <t>0</t>
        </is>
      </c>
      <c r="CF2016" t="inlineStr">
        <is>
          <t>Q2-W02</t>
        </is>
      </c>
      <c r="CG2016" t="inlineStr">
        <is>
          <t>Q2-W02</t>
        </is>
      </c>
      <c r="CH2016"/>
      <c r="CI2016"/>
      <c r="CJ2016" t="inlineStr">
        <is>
          <t>No Paid</t>
        </is>
      </c>
      <c r="CK2016" t="inlineStr">
        <is>
          <t>Not Eligible</t>
        </is>
      </c>
      <c r="CL2016"/>
      <c r="CM2016"/>
    </row>
    <row r="2017" ht="25.5" customHeight="1">
      <c r="A2017" t="inlineStr">
        <is>
          <t>163841</t>
        </is>
      </c>
      <c r="B2017" s="2"/>
      <c r="C2017"/>
      <c r="D2017" s="3">
        <v>46128.74476851852</v>
      </c>
      <c r="E2017" t="inlineStr">
        <is>
          <t>Q2-W02</t>
        </is>
      </c>
      <c r="F2017" t="inlineStr">
        <is>
          <t>Clover</t>
        </is>
      </c>
      <c r="G2017" t="inlineStr">
        <is>
          <t>Customer</t>
        </is>
      </c>
      <c r="H2017" s="2" t="str">
        <f>=HYPERLINK("https://upbox.ajobthing.my/customer/163841", "https://upbox.ajobthing.my/customer/163841")</f>
        <v>https://upbox.ajobthing.my/customer/163841</v>
      </c>
      <c r="I2017" t="inlineStr">
        <is>
          <t>OBL Bakery Ingredients</t>
        </is>
      </c>
      <c r="J2017" t="inlineStr">
        <is>
          <t>Small Fish</t>
        </is>
      </c>
      <c r="K2017" t="inlineStr">
        <is>
          <t>Clover</t>
        </is>
      </c>
      <c r="L2017" s="4"/>
      <c r="M2017" s="4">
        <v>46128.74346064815</v>
      </c>
      <c r="N2017"/>
      <c r="O2017">
        <v>6048</v>
      </c>
      <c r="P2017" s="4"/>
      <c r="Q2017" s="4"/>
      <c r="R2017"/>
      <c r="S2017"/>
      <c r="T2017" s="4"/>
      <c r="U2017" s="4"/>
      <c r="V2017"/>
      <c r="W2017"/>
      <c r="X2017"/>
      <c r="Y2017" t="inlineStr">
        <is>
          <t>Pending Appointment</t>
        </is>
      </c>
      <c r="Z2017" t="inlineStr">
        <is>
          <t>Hiring Now</t>
        </is>
      </c>
      <c r="AA2017">
        <v>2</v>
      </c>
      <c r="AB2017" t="inlineStr">
        <is>
          <t>No Appointment Made</t>
        </is>
      </c>
      <c r="AC2017"/>
      <c r="AD2017" t="inlineStr">
        <is>
          <t>Want to hire supervisor x1, store assistant x1, all races, 3 staff resign, retail, Johor, Mr Ilham, suggest stand/pro</t>
        </is>
      </c>
      <c r="AE2017"/>
      <c r="AF2017">
        <v>5000</v>
      </c>
      <c r="AG2017" s="4"/>
      <c r="AH2017" s="4"/>
      <c r="AI2017">
        <v>5000</v>
      </c>
      <c r="AJ2017">
        <v>1</v>
      </c>
      <c r="AK2017" t="inlineStr">
        <is>
          <t>No, but I want in future</t>
        </is>
      </c>
      <c r="AL2017">
        <v>1</v>
      </c>
      <c r="AM2017" t="inlineStr">
        <is>
          <t>No, but I want in future</t>
        </is>
      </c>
      <c r="AN2017"/>
      <c r="AO2017" t="inlineStr">
        <is>
          <t>No, but I want in future</t>
        </is>
      </c>
      <c r="AP2017" t="inlineStr">
        <is>
          <t>Twice a year (50%)</t>
        </is>
      </c>
      <c r="AQ2017">
        <v>2</v>
      </c>
      <c r="AR2017" t="inlineStr">
        <is>
          <t>Did not use any job portal</t>
        </is>
      </c>
      <c r="AS2017" t="inlineStr">
        <is>
          <t>- Headcount: 2
- Hiring Job Details: 1 supervisor, 1 store assistant, all races, 3 staff resign, retail, Johor, Mr Ilham, suggest stand/pro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Did not use any</t>
        </is>
      </c>
      <c r="AT2017">
        <v>115</v>
      </c>
      <c r="AU2017" t="inlineStr">
        <is>
          <t>1.15</t>
        </is>
      </c>
      <c r="AV2017" t="inlineStr">
        <is>
          <t>15</t>
        </is>
      </c>
      <c r="AW2017" t="inlineStr">
        <is>
          <t>0</t>
        </is>
      </c>
      <c r="AX2017" t="inlineStr">
        <is>
          <t>Not Qualified</t>
        </is>
      </c>
      <c r="AY2017" s="4"/>
      <c r="AZ2017"/>
      <c r="BA2017"/>
      <c r="BB2017"/>
      <c r="BC2017" t="inlineStr">
        <is>
          <t>Pending management decision, WA 60127027002 &amp; office 0126866367</t>
        </is>
      </c>
      <c r="BD2017" s="4">
        <v>46134.66207175926</v>
      </c>
      <c r="BE2017"/>
      <c r="BF2017"/>
      <c r="BG2017" t="inlineStr">
        <is>
          <t>Reschedule</t>
        </is>
      </c>
      <c r="BH2017" t="inlineStr">
        <is>
          <t>Reagen</t>
        </is>
      </c>
      <c r="BI2017"/>
      <c r="BJ2017" s="4">
        <v>46144.7512037037</v>
      </c>
      <c r="BK2017" s="4">
        <v>44945.68064814815</v>
      </c>
      <c r="BL2017" t="inlineStr">
        <is>
          <t>0.0</t>
        </is>
      </c>
      <c r="BM2017" t="inlineStr">
        <is>
          <t>0.0</t>
        </is>
      </c>
      <c r="BN2017" t="inlineStr">
        <is>
          <t>View Account User</t>
        </is>
      </c>
      <c r="BO2017" s="4">
        <v>44945.72907407407</v>
      </c>
      <c r="BP2017">
        <v>167508</v>
      </c>
      <c r="BQ2017"/>
      <c r="BR2017"/>
      <c r="BS2017"/>
      <c r="BT2017"/>
      <c r="BU2017"/>
      <c r="BV2017">
        <v>2721281</v>
      </c>
      <c r="BW2017" t="inlineStr">
        <is>
          <t>Follow Up : Decision Pending</t>
        </is>
      </c>
      <c r="BX2017"/>
      <c r="BY2017"/>
      <c r="BZ2017" s="4"/>
      <c r="CA2017"/>
      <c r="CB2017"/>
      <c r="CC2017" s="4"/>
      <c r="CD2017" t="inlineStr">
        <is>
          <t>20</t>
        </is>
      </c>
      <c r="CE2017" t="inlineStr">
        <is>
          <t>0</t>
        </is>
      </c>
      <c r="CF2017" t="inlineStr">
        <is>
          <t>Q2-W02</t>
        </is>
      </c>
      <c r="CG2017"/>
      <c r="CH2017"/>
      <c r="CI2017"/>
      <c r="CJ2017" t="inlineStr">
        <is>
          <t>No Paid</t>
        </is>
      </c>
      <c r="CK2017" t="inlineStr">
        <is>
          <t>Not Eligible</t>
        </is>
      </c>
      <c r="CL2017"/>
      <c r="CM2017"/>
    </row>
    <row r="2018" ht="25.5" customHeight="1">
      <c r="A2018" t="inlineStr">
        <is>
          <t>198958</t>
        </is>
      </c>
      <c r="B2018" s="2"/>
      <c r="C2018"/>
      <c r="D2018" s="3">
        <v>46128.7583912037</v>
      </c>
      <c r="E2018" t="inlineStr">
        <is>
          <t>Q2-W02</t>
        </is>
      </c>
      <c r="F2018" t="inlineStr">
        <is>
          <t>Keegan</t>
        </is>
      </c>
      <c r="G2018" t="inlineStr">
        <is>
          <t>Customer</t>
        </is>
      </c>
      <c r="H2018" s="2" t="str">
        <f>=HYPERLINK("https://upbox.ajobthing.my/customer/198958", "https://upbox.ajobthing.my/customer/198958")</f>
        <v>https://upbox.ajobthing.my/customer/198958</v>
      </c>
      <c r="I2018" t="inlineStr">
        <is>
          <t>GB Sunrise Enterprise</t>
        </is>
      </c>
      <c r="J2018" t="inlineStr">
        <is>
          <t>Small Fish</t>
        </is>
      </c>
      <c r="K2018" t="inlineStr">
        <is>
          <t>Keegan</t>
        </is>
      </c>
      <c r="L2018" s="4"/>
      <c r="M2018" s="4">
        <v>46128.75848379629</v>
      </c>
      <c r="N2018"/>
      <c r="O2018">
        <v>864</v>
      </c>
      <c r="P2018" s="4"/>
      <c r="Q2018" s="4">
        <v>46009.46729166667</v>
      </c>
      <c r="R2018"/>
      <c r="S2018">
        <v>864</v>
      </c>
      <c r="T2018" s="4">
        <v>46009.46729166667</v>
      </c>
      <c r="U2018" s="4"/>
      <c r="V2018"/>
      <c r="W2018">
        <v>864</v>
      </c>
      <c r="X2018"/>
      <c r="Y2018" t="inlineStr">
        <is>
          <t>Pending Appointment</t>
        </is>
      </c>
      <c r="Z2018" t="inlineStr">
        <is>
          <t>Hiring Now</t>
        </is>
      </c>
      <c r="AA2018">
        <v>1</v>
      </c>
      <c r="AB2018" t="inlineStr">
        <is>
          <t>No Appointment Made</t>
        </is>
      </c>
      <c r="AC2018"/>
      <c r="AD2018" t="inlineStr">
        <is>
          <t xml:space="preserve">1. Sales </t>
        </is>
      </c>
      <c r="AE2018"/>
      <c r="AF2018"/>
      <c r="AG2018" s="4"/>
      <c r="AH2018" s="4"/>
      <c r="AI2018"/>
      <c r="AJ2018">
        <v>1</v>
      </c>
      <c r="AK2018" t="inlineStr">
        <is>
          <t>No, I don't need at all</t>
        </is>
      </c>
      <c r="AL2018">
        <v>0</v>
      </c>
      <c r="AM2018" t="inlineStr">
        <is>
          <t>No, I don't need at all</t>
        </is>
      </c>
      <c r="AN2018"/>
      <c r="AO2018" t="inlineStr">
        <is>
          <t>No, I don't need at all</t>
        </is>
      </c>
      <c r="AP2018" t="inlineStr">
        <is>
          <t>Once per quarter (75%)</t>
        </is>
      </c>
      <c r="AQ2018"/>
      <c r="AR2018" t="inlineStr">
        <is>
          <t>Did not use any job portal</t>
        </is>
      </c>
      <c r="AS2018"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018">
        <v>95</v>
      </c>
      <c r="AU2018" t="inlineStr">
        <is>
          <t>0.95</t>
        </is>
      </c>
      <c r="AV2018" t="inlineStr">
        <is>
          <t>5</t>
        </is>
      </c>
      <c r="AW2018" t="inlineStr">
        <is>
          <t>0</t>
        </is>
      </c>
      <c r="AX2018" t="inlineStr">
        <is>
          <t>Not Qualified</t>
        </is>
      </c>
      <c r="AY2018" s="4"/>
      <c r="AZ2018"/>
      <c r="BA2018"/>
      <c r="BB2018"/>
      <c r="BC2018" t="inlineStr">
        <is>
          <t>KIV first until may</t>
        </is>
      </c>
      <c r="BD2018" s="4">
        <v>46139.73193287037</v>
      </c>
      <c r="BE2018" t="inlineStr">
        <is>
          <t>paid</t>
        </is>
      </c>
      <c r="BF2018"/>
      <c r="BG2018" t="inlineStr">
        <is>
          <t>Reschedule</t>
        </is>
      </c>
      <c r="BH2018" t="inlineStr">
        <is>
          <t>Edward Hoo</t>
        </is>
      </c>
      <c r="BI2018"/>
      <c r="BJ2018" s="4">
        <v>46144.75320601852</v>
      </c>
      <c r="BK2018" s="4">
        <v>45993.71988425926</v>
      </c>
      <c r="BL2018" t="inlineStr">
        <is>
          <t>864.0</t>
        </is>
      </c>
      <c r="BM2018" t="inlineStr">
        <is>
          <t>0.0</t>
        </is>
      </c>
      <c r="BN2018" t="inlineStr">
        <is>
          <t>View Jobmanager Page</t>
        </is>
      </c>
      <c r="BO2018" s="4">
        <v>46021.68913194445</v>
      </c>
      <c r="BP2018">
        <v>167514</v>
      </c>
      <c r="BQ2018">
        <v>85065</v>
      </c>
      <c r="BR2018" t="inlineStr">
        <is>
          <t>Online</t>
        </is>
      </c>
      <c r="BS2018"/>
      <c r="BT2018">
        <v>85065</v>
      </c>
      <c r="BU2018"/>
      <c r="BV2018">
        <v>2731467</v>
      </c>
      <c r="BW2018" t="inlineStr">
        <is>
          <t>Follow Up : Lost - Free Portal</t>
        </is>
      </c>
      <c r="BX2018"/>
      <c r="BY2018"/>
      <c r="BZ2018" s="4"/>
      <c r="CA2018"/>
      <c r="CB2018"/>
      <c r="CC2018" s="4"/>
      <c r="CD2018" t="inlineStr">
        <is>
          <t>5</t>
        </is>
      </c>
      <c r="CE2018" t="inlineStr">
        <is>
          <t>0</t>
        </is>
      </c>
      <c r="CF2018" t="inlineStr">
        <is>
          <t>Q2-W02</t>
        </is>
      </c>
      <c r="CG2018"/>
      <c r="CH2018"/>
      <c r="CI2018"/>
      <c r="CJ2018" t="inlineStr">
        <is>
          <t>Paid</t>
        </is>
      </c>
      <c r="CK2018" t="inlineStr">
        <is>
          <t>Not Eligible</t>
        </is>
      </c>
      <c r="CL2018"/>
      <c r="CM2018"/>
    </row>
    <row r="2019" ht="25.5" customHeight="1">
      <c r="A2019" t="inlineStr">
        <is>
          <t>4269504</t>
        </is>
      </c>
      <c r="B2019" s="2"/>
      <c r="C2019"/>
      <c r="D2019" s="3">
        <v>46122.65179398148</v>
      </c>
      <c r="E2019" t="inlineStr">
        <is>
          <t>Q2-W02</t>
        </is>
      </c>
      <c r="F2019" t="inlineStr">
        <is>
          <t>Carmen</t>
        </is>
      </c>
      <c r="G2019" t="inlineStr">
        <is>
          <t>Lead</t>
        </is>
      </c>
      <c r="H2019" s="2" t="str">
        <f>=HYPERLINK("https://upbox.ajobthing.my/leads/4269504", "https://upbox.ajobthing.my/leads/4269504")</f>
        <v>https://upbox.ajobthing.my/leads/4269504</v>
      </c>
      <c r="I2019" t="inlineStr">
        <is>
          <t>ONE DREAM LEGACY REALTY SDN BHD</t>
        </is>
      </c>
      <c r="J2019" t="inlineStr">
        <is>
          <t>Super Whale</t>
        </is>
      </c>
      <c r="K2019" t="inlineStr">
        <is>
          <t>Carmen</t>
        </is>
      </c>
      <c r="L2019" s="4"/>
      <c r="M2019" s="4">
        <v>46122.65224537037</v>
      </c>
      <c r="N2019"/>
      <c r="O2019">
        <v>6048</v>
      </c>
      <c r="P2019" s="4"/>
      <c r="Q2019" s="4"/>
      <c r="R2019"/>
      <c r="S2019"/>
      <c r="T2019" s="4"/>
      <c r="U2019" s="4"/>
      <c r="V2019"/>
      <c r="W2019"/>
      <c r="X2019"/>
      <c r="Y2019" t="inlineStr">
        <is>
          <t>Pending Appointment</t>
        </is>
      </c>
      <c r="Z2019" t="inlineStr">
        <is>
          <t>Continuous Hiring</t>
        </is>
      </c>
      <c r="AA2019">
        <v>10</v>
      </c>
      <c r="AB2019" t="inlineStr">
        <is>
          <t>No Appointment Made</t>
        </is>
      </c>
      <c r="AC2019"/>
      <c r="AD2019" t="inlineStr">
        <is>
          <t>10 property agent</t>
        </is>
      </c>
      <c r="AE2019"/>
      <c r="AF2019">
        <v>0</v>
      </c>
      <c r="AG2019" s="4"/>
      <c r="AH2019" s="4"/>
      <c r="AI2019"/>
      <c r="AJ2019"/>
      <c r="AK2019"/>
      <c r="AL2019"/>
      <c r="AM2019"/>
      <c r="AN2019"/>
      <c r="AO2019"/>
      <c r="AP2019" t="inlineStr">
        <is>
          <t>Once a year (25%)</t>
        </is>
      </c>
      <c r="AQ2019"/>
      <c r="AR2019"/>
      <c r="AS2019" t="inlineStr">
        <is>
          <t>- Headcount: 10
- Hiring Job Details: 10 property agent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2019">
        <v>75</v>
      </c>
      <c r="AU2019" t="inlineStr">
        <is>
          <t>0.75</t>
        </is>
      </c>
      <c r="AV2019" t="inlineStr">
        <is>
          <t>20</t>
        </is>
      </c>
      <c r="AW2019" t="inlineStr">
        <is>
          <t>0</t>
        </is>
      </c>
      <c r="AX2019" t="inlineStr">
        <is>
          <t>Not Qualified</t>
        </is>
      </c>
      <c r="AY2019" s="4"/>
      <c r="AZ2019"/>
      <c r="BA2019"/>
      <c r="BB2019"/>
      <c r="BC2019"/>
      <c r="BD2019" s="4"/>
      <c r="BE2019"/>
      <c r="BF2019"/>
      <c r="BG2019" t="inlineStr">
        <is>
          <t>Reschedule</t>
        </is>
      </c>
      <c r="BH2019" t="inlineStr">
        <is>
          <t>Reagen</t>
        </is>
      </c>
      <c r="BI2019"/>
      <c r="BJ2019" s="4">
        <v>46144.75578703704</v>
      </c>
      <c r="BK2019" s="4">
        <v>46122.639131944445</v>
      </c>
      <c r="BL2019" t="inlineStr">
        <is>
          <t>0.0</t>
        </is>
      </c>
      <c r="BM2019" t="inlineStr">
        <is>
          <t>0.0</t>
        </is>
      </c>
      <c r="BN2019"/>
      <c r="BO2019" s="4"/>
      <c r="BP2019">
        <v>166480</v>
      </c>
      <c r="BQ2019"/>
      <c r="BR2019"/>
      <c r="BS2019"/>
      <c r="BT2019"/>
      <c r="BU2019"/>
      <c r="BV2019"/>
      <c r="BW2019"/>
      <c r="BX2019"/>
      <c r="BY2019"/>
      <c r="BZ2019" s="4"/>
      <c r="CA2019"/>
      <c r="CB2019"/>
      <c r="CC2019" s="4"/>
      <c r="CD2019" t="inlineStr">
        <is>
          <t>30</t>
        </is>
      </c>
      <c r="CE2019" t="inlineStr">
        <is>
          <t>0</t>
        </is>
      </c>
      <c r="CF2019" t="inlineStr">
        <is>
          <t>Q2-W02</t>
        </is>
      </c>
      <c r="CG2019"/>
      <c r="CH2019"/>
      <c r="CI2019"/>
      <c r="CJ2019" t="inlineStr">
        <is>
          <t>No Paid</t>
        </is>
      </c>
      <c r="CK2019" t="inlineStr">
        <is>
          <t>Eligible</t>
        </is>
      </c>
      <c r="CL2019"/>
      <c r="CM2019"/>
    </row>
    <row r="2020" ht="25.5" customHeight="1">
      <c r="A2020" t="inlineStr">
        <is>
          <t>4269616</t>
        </is>
      </c>
      <c r="B2020" s="2"/>
      <c r="C2020"/>
      <c r="D2020" s="3">
        <v>46122.67633101852</v>
      </c>
      <c r="E2020" t="inlineStr">
        <is>
          <t>Q2-W02</t>
        </is>
      </c>
      <c r="F2020" t="inlineStr">
        <is>
          <t>Ratha</t>
        </is>
      </c>
      <c r="G2020" t="inlineStr">
        <is>
          <t>Lead</t>
        </is>
      </c>
      <c r="H2020" s="2" t="str">
        <f>=HYPERLINK("https://upbox.ajobthing.my/leads/4269616", "https://upbox.ajobthing.my/leads/4269616")</f>
        <v>https://upbox.ajobthing.my/leads/4269616</v>
      </c>
      <c r="I2020" t="inlineStr">
        <is>
          <t>HOKUDEN MALAYSIA SDN BHD</t>
        </is>
      </c>
      <c r="J2020" t="inlineStr">
        <is>
          <t>Super Whale</t>
        </is>
      </c>
      <c r="K2020" t="inlineStr">
        <is>
          <t>Ratha</t>
        </is>
      </c>
      <c r="L2020" s="4"/>
      <c r="M2020" s="4">
        <v>46122.678402777776</v>
      </c>
      <c r="N2020"/>
      <c r="O2020">
        <v>10800</v>
      </c>
      <c r="P2020" s="4"/>
      <c r="Q2020" s="4"/>
      <c r="R2020"/>
      <c r="S2020"/>
      <c r="T2020" s="4"/>
      <c r="U2020" s="4"/>
      <c r="V2020"/>
      <c r="W2020"/>
      <c r="X2020"/>
      <c r="Y2020" t="inlineStr">
        <is>
          <t>Pending Appointment</t>
        </is>
      </c>
      <c r="Z2020" t="inlineStr">
        <is>
          <t>Hiring Now</t>
        </is>
      </c>
      <c r="AA2020">
        <v>2</v>
      </c>
      <c r="AB2020" t="inlineStr">
        <is>
          <t>No Appointment Made</t>
        </is>
      </c>
      <c r="AC2020"/>
      <c r="AD2020" t="inlineStr">
        <is>
          <t>Store keeper : 1
packer : 1
location : JB</t>
        </is>
      </c>
      <c r="AE2020"/>
      <c r="AF2020"/>
      <c r="AG2020" s="4"/>
      <c r="AH2020" s="4"/>
      <c r="AI2020">
        <v>0</v>
      </c>
      <c r="AJ2020">
        <v>2</v>
      </c>
      <c r="AK2020" t="inlineStr">
        <is>
          <t>Yes, I have</t>
        </is>
      </c>
      <c r="AL2020">
        <v>2</v>
      </c>
      <c r="AM2020" t="inlineStr">
        <is>
          <t>No, I don't need at all</t>
        </is>
      </c>
      <c r="AN2020"/>
      <c r="AO2020" t="inlineStr">
        <is>
          <t>No, I don't need at all</t>
        </is>
      </c>
      <c r="AP2020" t="inlineStr">
        <is>
          <t>Once per quarter (75%)</t>
        </is>
      </c>
      <c r="AQ2020">
        <v>0</v>
      </c>
      <c r="AR2020" t="inlineStr">
        <is>
          <t>Did not use any job portal</t>
        </is>
      </c>
      <c r="AS2020" t="inlineStr">
        <is>
          <t>- Headcount: 2
- Hiring Job Details: 1 store keeper, 1 packer (location: JB)
- Hiring Urgency: Hiring Now
- Number of outlets: 2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t>
        </is>
      </c>
      <c r="AT2020">
        <v>105</v>
      </c>
      <c r="AU2020" t="inlineStr">
        <is>
          <t>1.05</t>
        </is>
      </c>
      <c r="AV2020" t="inlineStr">
        <is>
          <t>5</t>
        </is>
      </c>
      <c r="AW2020" t="inlineStr">
        <is>
          <t>0</t>
        </is>
      </c>
      <c r="AX2020" t="inlineStr">
        <is>
          <t>Not Qualified</t>
        </is>
      </c>
      <c r="AY2020" s="4"/>
      <c r="AZ2020"/>
      <c r="BA2020"/>
      <c r="BB2020"/>
      <c r="BC2020"/>
      <c r="BD2020" s="4"/>
      <c r="BE2020"/>
      <c r="BF2020"/>
      <c r="BG2020" t="inlineStr">
        <is>
          <t>Reschedule</t>
        </is>
      </c>
      <c r="BH2020" t="inlineStr">
        <is>
          <t>Fauziah Maharan</t>
        </is>
      </c>
      <c r="BI2020"/>
      <c r="BJ2020" s="4">
        <v>46144.75578703704</v>
      </c>
      <c r="BK2020" s="4">
        <v>46122.66197916667</v>
      </c>
      <c r="BL2020" t="inlineStr">
        <is>
          <t>0.0</t>
        </is>
      </c>
      <c r="BM2020" t="inlineStr">
        <is>
          <t>0.0</t>
        </is>
      </c>
      <c r="BN2020"/>
      <c r="BO2020" s="4"/>
      <c r="BP2020">
        <v>166511</v>
      </c>
      <c r="BQ2020"/>
      <c r="BR2020"/>
      <c r="BS2020"/>
      <c r="BT2020"/>
      <c r="BU2020"/>
      <c r="BV2020"/>
      <c r="BW2020"/>
      <c r="BX2020"/>
      <c r="BY2020"/>
      <c r="BZ2020" s="4"/>
      <c r="CA2020"/>
      <c r="CB2020"/>
      <c r="CC2020" s="4"/>
      <c r="CD2020" t="inlineStr">
        <is>
          <t>5</t>
        </is>
      </c>
      <c r="CE2020" t="inlineStr">
        <is>
          <t>0</t>
        </is>
      </c>
      <c r="CF2020" t="inlineStr">
        <is>
          <t>Q2-W02</t>
        </is>
      </c>
      <c r="CG2020"/>
      <c r="CH2020"/>
      <c r="CI2020"/>
      <c r="CJ2020" t="inlineStr">
        <is>
          <t>No Paid</t>
        </is>
      </c>
      <c r="CK2020" t="inlineStr">
        <is>
          <t>Eligible</t>
        </is>
      </c>
      <c r="CL2020"/>
      <c r="CM2020"/>
    </row>
    <row r="2021" ht="25.5" customHeight="1">
      <c r="A2021" t="inlineStr">
        <is>
          <t>183373</t>
        </is>
      </c>
      <c r="B2021" s="2"/>
      <c r="C2021"/>
      <c r="D2021" s="3">
        <v>46125.60996527778</v>
      </c>
      <c r="E2021" t="inlineStr">
        <is>
          <t>Q2-W02</t>
        </is>
      </c>
      <c r="F2021" t="inlineStr">
        <is>
          <t>Angel  Low</t>
        </is>
      </c>
      <c r="G2021" t="inlineStr">
        <is>
          <t>Customer</t>
        </is>
      </c>
      <c r="H2021" s="2" t="str">
        <f>=HYPERLINK("https://upbox.ajobthing.my/customer/183373", "https://upbox.ajobthing.my/customer/183373")</f>
        <v>https://upbox.ajobthing.my/customer/183373</v>
      </c>
      <c r="I2021" t="inlineStr">
        <is>
          <t>IT Business Solutions Sdn Bhd</t>
        </is>
      </c>
      <c r="J2021" t="inlineStr">
        <is>
          <t>Super Whale</t>
        </is>
      </c>
      <c r="K2021" t="inlineStr">
        <is>
          <t>Angel Low</t>
        </is>
      </c>
      <c r="L2021" s="4"/>
      <c r="M2021" s="4">
        <v>46125.700474537036</v>
      </c>
      <c r="N2021"/>
      <c r="O2021">
        <v>3888</v>
      </c>
      <c r="P2021" s="4"/>
      <c r="Q2021" s="4">
        <v>46141.41203703704</v>
      </c>
      <c r="R2021"/>
      <c r="S2021">
        <v>5508</v>
      </c>
      <c r="T2021" s="4">
        <v>46141.41203703704</v>
      </c>
      <c r="U2021" s="4"/>
      <c r="V2021"/>
      <c r="W2021">
        <v>5508</v>
      </c>
      <c r="X2021" t="inlineStr">
        <is>
          <t>Fauziah Maharan</t>
        </is>
      </c>
      <c r="Y2021" t="inlineStr">
        <is>
          <t>Pending Appointment</t>
        </is>
      </c>
      <c r="Z2021"/>
      <c r="AA2021">
        <v>1</v>
      </c>
      <c r="AB2021" t="inlineStr">
        <is>
          <t>Appointment Made</t>
        </is>
      </c>
      <c r="AC2021"/>
      <c r="AD2021" t="inlineStr">
        <is>
          <t xml:space="preserve">customer supports </t>
        </is>
      </c>
      <c r="AE2021"/>
      <c r="AF2021"/>
      <c r="AG2021" s="4">
        <v>46125.625</v>
      </c>
      <c r="AH2021" s="4">
        <v>46125.666666666664</v>
      </c>
      <c r="AI2021"/>
      <c r="AJ2021"/>
      <c r="AK2021"/>
      <c r="AL2021"/>
      <c r="AM2021"/>
      <c r="AN2021"/>
      <c r="AO2021"/>
      <c r="AP2021"/>
      <c r="AQ2021"/>
      <c r="AR2021"/>
      <c r="AS2021" t="inlineStr">
        <is>
          <t>- Headcount: 1
- Hiring Job Details: customer supports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021">
        <v>60</v>
      </c>
      <c r="AU2021" t="inlineStr">
        <is>
          <t>0.60</t>
        </is>
      </c>
      <c r="AV2021" t="inlineStr">
        <is>
          <t>5</t>
        </is>
      </c>
      <c r="AW2021" t="inlineStr">
        <is>
          <t>0</t>
        </is>
      </c>
      <c r="AX2021" t="inlineStr">
        <is>
          <t>Not Qualified</t>
        </is>
      </c>
      <c r="AY2021" s="4"/>
      <c r="AZ2021"/>
      <c r="BA2021"/>
      <c r="BB2021"/>
      <c r="BC2021" t="inlineStr">
        <is>
          <t>pending finance update</t>
        </is>
      </c>
      <c r="BD2021" s="4">
        <v>46140.65939814815</v>
      </c>
      <c r="BE2021" t="inlineStr">
        <is>
          <t>paid</t>
        </is>
      </c>
      <c r="BF2021" t="inlineStr">
        <is>
          <t>Q2-W04</t>
        </is>
      </c>
      <c r="BG2021" t="inlineStr">
        <is>
          <t>Reschedule</t>
        </is>
      </c>
      <c r="BH2021" t="inlineStr">
        <is>
          <t>Fauziah Maharan</t>
        </is>
      </c>
      <c r="BI2021"/>
      <c r="BJ2021" s="4">
        <v>46144.751967592594</v>
      </c>
      <c r="BK2021" s="4">
        <v>45568.56125</v>
      </c>
      <c r="BL2021" t="inlineStr">
        <is>
          <t>9396.0</t>
        </is>
      </c>
      <c r="BM2021" t="inlineStr">
        <is>
          <t>0.0</t>
        </is>
      </c>
      <c r="BN2021" t="inlineStr">
        <is>
          <t>User Visit(Logged In)</t>
        </is>
      </c>
      <c r="BO2021" s="4">
        <v>46125.65305555556</v>
      </c>
      <c r="BP2021">
        <v>166830</v>
      </c>
      <c r="BQ2021">
        <v>7728</v>
      </c>
      <c r="BR2021" t="inlineStr">
        <is>
          <t>Manual (Paid)</t>
        </is>
      </c>
      <c r="BS2021" t="inlineStr">
        <is>
          <t>AI Yearly Professional Plan (Jan 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*Special limited RM500 discounts</t>
        </is>
      </c>
      <c r="BT2021">
        <v>7728</v>
      </c>
      <c r="BU2021"/>
      <c r="BV2021">
        <v>2733217</v>
      </c>
      <c r="BW2021" t="inlineStr">
        <is>
          <t>Follow Up : Payment Pending</t>
        </is>
      </c>
      <c r="BX2021">
        <v>22</v>
      </c>
      <c r="BY2021">
        <v>16</v>
      </c>
      <c r="BZ2021" s="4">
        <v>46035.62283564815</v>
      </c>
      <c r="CA2021">
        <v>220</v>
      </c>
      <c r="CB2021">
        <v>204</v>
      </c>
      <c r="CC2021" s="4">
        <v>46090.650416666664</v>
      </c>
      <c r="CD2021" t="inlineStr">
        <is>
          <t>5</t>
        </is>
      </c>
      <c r="CE2021" t="inlineStr">
        <is>
          <t>0</t>
        </is>
      </c>
      <c r="CF2021" t="inlineStr">
        <is>
          <t>Q2-W02</t>
        </is>
      </c>
      <c r="CG2021" t="inlineStr">
        <is>
          <t>Q2-W04</t>
        </is>
      </c>
      <c r="CH2021" t="inlineStr">
        <is>
          <t>Q2-W04</t>
        </is>
      </c>
      <c r="CI2021"/>
      <c r="CJ2021" t="inlineStr">
        <is>
          <t>Paid</t>
        </is>
      </c>
      <c r="CK2021" t="inlineStr">
        <is>
          <t>Eligible</t>
        </is>
      </c>
      <c r="CL2021"/>
      <c r="CM2021"/>
    </row>
    <row r="2022" ht="25.5" customHeight="1">
      <c r="A2022" t="inlineStr">
        <is>
          <t>178718</t>
        </is>
      </c>
      <c r="B2022" s="2"/>
      <c r="C2022"/>
      <c r="D2022" s="3">
        <v>46125.72957175926</v>
      </c>
      <c r="E2022" t="inlineStr">
        <is>
          <t>Q2-W02</t>
        </is>
      </c>
      <c r="F2022" t="inlineStr">
        <is>
          <t>Angel  Low</t>
        </is>
      </c>
      <c r="G2022" t="inlineStr">
        <is>
          <t>Customer</t>
        </is>
      </c>
      <c r="H2022" s="2" t="str">
        <f>=HYPERLINK("https://upbox.ajobthing.my/customer/178718", "https://upbox.ajobthing.my/customer/178718")</f>
        <v>https://upbox.ajobthing.my/customer/178718</v>
      </c>
      <c r="I2022" t="inlineStr">
        <is>
          <t>ORIX Leasing Malaysia Berhad</t>
        </is>
      </c>
      <c r="J2022" t="inlineStr">
        <is>
          <t>Super Whale</t>
        </is>
      </c>
      <c r="K2022" t="inlineStr">
        <is>
          <t>Angel Low</t>
        </is>
      </c>
      <c r="L2022" s="4"/>
      <c r="M2022" s="4">
        <v>46125.72991898148</v>
      </c>
      <c r="N2022"/>
      <c r="O2022">
        <v>5508</v>
      </c>
      <c r="P2022" s="4"/>
      <c r="Q2022" s="4">
        <v>45756.73368055555</v>
      </c>
      <c r="R2022"/>
      <c r="S2022">
        <v>540</v>
      </c>
      <c r="T2022" s="4">
        <v>45756.73368055555</v>
      </c>
      <c r="U2022" s="4"/>
      <c r="V2022"/>
      <c r="W2022">
        <v>540</v>
      </c>
      <c r="X2022"/>
      <c r="Y2022" t="inlineStr">
        <is>
          <t>Pending Appointment</t>
        </is>
      </c>
      <c r="Z2022"/>
      <c r="AA2022">
        <v>1</v>
      </c>
      <c r="AB2022" t="inlineStr">
        <is>
          <t>No Appointment Made</t>
        </is>
      </c>
      <c r="AC2022"/>
      <c r="AD2022" t="inlineStr">
        <is>
          <t xml:space="preserve">1 marketing mandarin speaker </t>
        </is>
      </c>
      <c r="AE2022"/>
      <c r="AF2022"/>
      <c r="AG2022" s="4"/>
      <c r="AH2022" s="4"/>
      <c r="AI2022"/>
      <c r="AJ2022"/>
      <c r="AK2022"/>
      <c r="AL2022"/>
      <c r="AM2022"/>
      <c r="AN2022"/>
      <c r="AO2022"/>
      <c r="AP2022"/>
      <c r="AQ2022"/>
      <c r="AR2022"/>
      <c r="AS2022" t="inlineStr">
        <is>
          <t>- Headcount: 1
- Hiring Job Details: 1 marketing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022">
        <v>65</v>
      </c>
      <c r="AU2022" t="inlineStr">
        <is>
          <t>0.65</t>
        </is>
      </c>
      <c r="AV2022" t="inlineStr">
        <is>
          <t>5</t>
        </is>
      </c>
      <c r="AW2022" t="inlineStr">
        <is>
          <t>0</t>
        </is>
      </c>
      <c r="AX2022" t="inlineStr">
        <is>
          <t>Not Qualified</t>
        </is>
      </c>
      <c r="AY2022" s="4"/>
      <c r="AZ2022"/>
      <c r="BA2022"/>
      <c r="BB2022"/>
      <c r="BC2022" t="inlineStr">
        <is>
          <t>- Headcount: 1
- Hiring Job Details: 1 marketing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BD2022" s="4">
        <v>46125.750810185185</v>
      </c>
      <c r="BE2022" t="inlineStr">
        <is>
          <t>paid</t>
        </is>
      </c>
      <c r="BF2022"/>
      <c r="BG2022" t="inlineStr">
        <is>
          <t>Reschedule</t>
        </is>
      </c>
      <c r="BH2022" t="inlineStr">
        <is>
          <t>Fauziah Maharan</t>
        </is>
      </c>
      <c r="BI2022" t="inlineStr">
        <is>
          <t>Banking / Finance</t>
        </is>
      </c>
      <c r="BJ2022" s="4">
        <v>46144.751759259256</v>
      </c>
      <c r="BK2022" s="4">
        <v>45435.51017361111</v>
      </c>
      <c r="BL2022" t="inlineStr">
        <is>
          <t>0.0</t>
        </is>
      </c>
      <c r="BM2022" t="inlineStr">
        <is>
          <t>34200.0</t>
        </is>
      </c>
      <c r="BN2022" t="inlineStr">
        <is>
          <t>View Company Page</t>
        </is>
      </c>
      <c r="BO2022" s="4">
        <v>46128.52853009259</v>
      </c>
      <c r="BP2022">
        <v>166845</v>
      </c>
      <c r="BQ2022">
        <v>5701</v>
      </c>
      <c r="BR2022" t="inlineStr">
        <is>
          <t>Manual (Paid)</t>
        </is>
      </c>
      <c r="BS2022" t="inlineStr">
        <is>
          <t>Candidate Search 120
- Candidate Search Package for 120 Profiles
- Retrieve 120 profiles and contact with 120 candidates
- Package valid for 3 months</t>
        </is>
      </c>
      <c r="BT2022">
        <v>5701</v>
      </c>
      <c r="BU2022"/>
      <c r="BV2022">
        <v>2702226</v>
      </c>
      <c r="BW2022" t="inlineStr">
        <is>
          <t>Customer Inquiry</t>
        </is>
      </c>
      <c r="BX2022"/>
      <c r="BY2022"/>
      <c r="BZ2022" s="4"/>
      <c r="CA2022"/>
      <c r="CB2022"/>
      <c r="CC2022" s="4"/>
      <c r="CD2022" t="inlineStr">
        <is>
          <t>5</t>
        </is>
      </c>
      <c r="CE2022" t="inlineStr">
        <is>
          <t>0</t>
        </is>
      </c>
      <c r="CF2022" t="inlineStr">
        <is>
          <t>Q2-W02</t>
        </is>
      </c>
      <c r="CG2022"/>
      <c r="CH2022"/>
      <c r="CI2022"/>
      <c r="CJ2022" t="inlineStr">
        <is>
          <t>Paid</t>
        </is>
      </c>
      <c r="CK2022" t="inlineStr">
        <is>
          <t>Eligible</t>
        </is>
      </c>
      <c r="CL2022"/>
      <c r="CM2022"/>
    </row>
    <row r="2023" ht="25.5" customHeight="1">
      <c r="A2023" t="inlineStr">
        <is>
          <t>201907</t>
        </is>
      </c>
      <c r="B2023" s="2"/>
      <c r="C2023"/>
      <c r="D2023" s="3">
        <v>46126.43146990741</v>
      </c>
      <c r="E2023" t="inlineStr">
        <is>
          <t>Q2-W02</t>
        </is>
      </c>
      <c r="F2023" t="inlineStr">
        <is>
          <t>andy@ajobthing.com</t>
        </is>
      </c>
      <c r="G2023" t="inlineStr">
        <is>
          <t>Customer</t>
        </is>
      </c>
      <c r="H2023" s="2" t="str">
        <f>=HYPERLINK("https://upbox.ajobthing.my/customer/201907", "https://upbox.ajobthing.my/customer/201907")</f>
        <v>https://upbox.ajobthing.my/customer/201907</v>
      </c>
      <c r="I2023" t="inlineStr">
        <is>
          <t>TGV Cinemas Sdn Bhd</t>
        </is>
      </c>
      <c r="J2023" t="inlineStr">
        <is>
          <t>Super Whale</t>
        </is>
      </c>
      <c r="K2023" t="inlineStr">
        <is>
          <t>Andy</t>
        </is>
      </c>
      <c r="L2023" s="4"/>
      <c r="M2023" s="4">
        <v>46091.14710648148</v>
      </c>
      <c r="N2023"/>
      <c r="O2023">
        <v>10800</v>
      </c>
      <c r="P2023" s="4"/>
      <c r="Q2023" s="4">
        <v>46126.76011574074</v>
      </c>
      <c r="R2023"/>
      <c r="S2023">
        <v>0</v>
      </c>
      <c r="T2023" s="4"/>
      <c r="U2023" s="4"/>
      <c r="V2023"/>
      <c r="W2023"/>
      <c r="X2023" t="inlineStr">
        <is>
          <t>andy@ajobthing.com</t>
        </is>
      </c>
      <c r="Y2023" t="inlineStr">
        <is>
          <t>Done Appointment</t>
        </is>
      </c>
      <c r="Z2023" t="inlineStr">
        <is>
          <t>Continuous Hiring</t>
        </is>
      </c>
      <c r="AA2023">
        <v>2</v>
      </c>
      <c r="AB2023" t="inlineStr">
        <is>
          <t>Appointment Made</t>
        </is>
      </c>
      <c r="AC2023" t="inlineStr">
        <is>
          <t>Enterprise (&gt;300 employees)</t>
        </is>
      </c>
      <c r="AD2023" t="inlineStr">
        <is>
          <t>Operations, Cinema Manager</t>
        </is>
      </c>
      <c r="AE2023" t="inlineStr">
        <is>
          <t>HR Director / Senior HR Lead</t>
        </is>
      </c>
      <c r="AF2023">
        <v>50000</v>
      </c>
      <c r="AG2023" s="4">
        <v>46126.416666666664</v>
      </c>
      <c r="AH2023" s="4">
        <v>46126.4375</v>
      </c>
      <c r="AI2023">
        <v>50000</v>
      </c>
      <c r="AJ2023">
        <v>42</v>
      </c>
      <c r="AK2023" t="inlineStr">
        <is>
          <t>Yes, I have</t>
        </is>
      </c>
      <c r="AL2023">
        <v>2</v>
      </c>
      <c r="AM2023" t="inlineStr">
        <is>
          <t>No, I don't need at all</t>
        </is>
      </c>
      <c r="AN2023"/>
      <c r="AO2023" t="inlineStr">
        <is>
          <t>Yes, I have</t>
        </is>
      </c>
      <c r="AP2023" t="inlineStr">
        <is>
          <t>Every month (100%)</t>
        </is>
      </c>
      <c r="AQ2023">
        <v>30</v>
      </c>
      <c r="AR2023" t="inlineStr">
        <is>
          <t>Jobstreet, Linkedin (Paid)</t>
        </is>
      </c>
      <c r="AS2023" t="inlineStr">
        <is>
          <t>- Headcount: 2
- Hiring Job Details: Operations, Cinema Manager
- Hiring Urgency: Continuous Hiring
- Number of outlets: 42
- Have recruiter team: Yes
- Number of recruiter in company: 2
- Have ATS system: No, I don't need at all
- Have career website: Yes
- Current hiring budget: RM50,000
- Whole year budget: RM50,000.00
- Whole year number of vacancies: 30
- Hiring frequency: Every month (100%)
- External job portal: Jobstreet, Linkedin (Paid)</t>
        </is>
      </c>
      <c r="AT2023">
        <v>115</v>
      </c>
      <c r="AU2023" t="inlineStr">
        <is>
          <t>1.15</t>
        </is>
      </c>
      <c r="AV2023" t="inlineStr">
        <is>
          <t>70</t>
        </is>
      </c>
      <c r="AW2023" t="inlineStr">
        <is>
          <t>0.8</t>
        </is>
      </c>
      <c r="AX2023" t="inlineStr">
        <is>
          <t>Not Qualified</t>
        </is>
      </c>
      <c r="AY2023" s="4">
        <v>46126.44849537037</v>
      </c>
      <c r="AZ2023" t="inlineStr">
        <is>
          <t>Base Assistant</t>
        </is>
      </c>
      <c r="BA2023"/>
      <c r="BB2023"/>
      <c r="BC2023" t="inlineStr">
        <is>
          <t>- Headcount: 2
- Hiring Job Details: Operations, Cinema Manager
- Hiring Urgency: Continuous Hiring
- Number of outlets: 42
- Have recruiter team: Yes
- Number of recruiter in company: 2
- Have ATS system: No, I don't need at all
- Have career website: Yes
- Current hiring budget: RM50,000
- Whole year budget: RM50,000.00
- Whole year number of vacancies: 30
- Hiring frequency: Every month (100%)
- External job portal: Jobstreet, Linkedin (Paid)</t>
        </is>
      </c>
      <c r="BD2023" s="4">
        <v>46126.45836805556</v>
      </c>
      <c r="BE2023" t="inlineStr">
        <is>
          <t>paid</t>
        </is>
      </c>
      <c r="BF2023"/>
      <c r="BG2023" t="inlineStr">
        <is>
          <t>Reschedule</t>
        </is>
      </c>
      <c r="BH2023"/>
      <c r="BI2023"/>
      <c r="BJ2023" s="4">
        <v>46144.753900462965</v>
      </c>
      <c r="BK2023" s="4">
        <v>46091.48043981481</v>
      </c>
      <c r="BL2023" t="inlineStr">
        <is>
          <t>0.0</t>
        </is>
      </c>
      <c r="BM2023" t="inlineStr">
        <is>
          <t>10800.0</t>
        </is>
      </c>
      <c r="BN2023" t="inlineStr">
        <is>
          <t>View Company Page</t>
        </is>
      </c>
      <c r="BO2023" s="4">
        <v>46141.48212962963</v>
      </c>
      <c r="BP2023">
        <v>161337</v>
      </c>
      <c r="BQ2023">
        <v>122336</v>
      </c>
      <c r="BR2023" t="inlineStr">
        <is>
          <t>Proforma</t>
        </is>
      </c>
      <c r="BS2023" t="inlineStr">
        <is>
          <t>Job Ad 365 - SME 100 Free Trial</t>
        </is>
      </c>
      <c r="BT2023"/>
      <c r="BU2023"/>
      <c r="BV2023">
        <v>2702801</v>
      </c>
      <c r="BW2023" t="inlineStr">
        <is>
          <t>Customer Inquiry</t>
        </is>
      </c>
      <c r="BX2023">
        <v>300</v>
      </c>
      <c r="BY2023">
        <v>270</v>
      </c>
      <c r="BZ2023" s="4">
        <v>46139.5134375</v>
      </c>
      <c r="CA2023">
        <v>13</v>
      </c>
      <c r="CB2023">
        <v>13</v>
      </c>
      <c r="CC2023" s="4"/>
      <c r="CD2023" t="inlineStr">
        <is>
          <t>95</t>
        </is>
      </c>
      <c r="CE2023" t="inlineStr">
        <is>
          <t>1.2</t>
        </is>
      </c>
      <c r="CF2023" t="inlineStr">
        <is>
          <t>Q1-W10</t>
        </is>
      </c>
      <c r="CG2023" t="inlineStr">
        <is>
          <t>Q2-W02</t>
        </is>
      </c>
      <c r="CH2023"/>
      <c r="CI2023" t="inlineStr">
        <is>
          <t>Q2-W02</t>
        </is>
      </c>
      <c r="CJ2023" t="inlineStr">
        <is>
          <t>No Paid</t>
        </is>
      </c>
      <c r="CK2023" t="inlineStr">
        <is>
          <t>Eligible</t>
        </is>
      </c>
      <c r="CL2023"/>
      <c r="CM2023" t="inlineStr">
        <is>
          <t>Q2-W02</t>
        </is>
      </c>
    </row>
    <row r="2024" ht="25.5" customHeight="1">
      <c r="A2024" t="inlineStr">
        <is>
          <t>199843</t>
        </is>
      </c>
      <c r="B2024" s="2"/>
      <c r="C2024"/>
      <c r="D2024" s="3">
        <v>46126.4409375</v>
      </c>
      <c r="E2024" t="inlineStr">
        <is>
          <t>Q2-W02</t>
        </is>
      </c>
      <c r="F2024" t="inlineStr">
        <is>
          <t>Josh</t>
        </is>
      </c>
      <c r="G2024" t="inlineStr">
        <is>
          <t>Customer</t>
        </is>
      </c>
      <c r="H2024" s="2" t="str">
        <f>=HYPERLINK("https://upbox.ajobthing.my/customer/199843", "https://upbox.ajobthing.my/customer/199843")</f>
        <v>https://upbox.ajobthing.my/customer/199843</v>
      </c>
      <c r="I2024" t="inlineStr">
        <is>
          <t>Borneo Advance Sdn. Bhd.</t>
        </is>
      </c>
      <c r="J2024" t="inlineStr">
        <is>
          <t>Super Whale</t>
        </is>
      </c>
      <c r="K2024" t="inlineStr">
        <is>
          <t>Josh</t>
        </is>
      </c>
      <c r="L2024" s="4"/>
      <c r="M2024" s="4">
        <v>46126.44106481481</v>
      </c>
      <c r="N2024"/>
      <c r="O2024">
        <v>6048</v>
      </c>
      <c r="P2024" s="4"/>
      <c r="Q2024" s="4"/>
      <c r="R2024"/>
      <c r="S2024"/>
      <c r="T2024" s="4"/>
      <c r="U2024" s="4"/>
      <c r="V2024"/>
      <c r="W2024"/>
      <c r="X2024"/>
      <c r="Y2024" t="inlineStr">
        <is>
          <t>Pending Appointment</t>
        </is>
      </c>
      <c r="Z2024" t="inlineStr">
        <is>
          <t>Hiring Later</t>
        </is>
      </c>
      <c r="AA2024">
        <v>1</v>
      </c>
      <c r="AB2024" t="inlineStr">
        <is>
          <t>No Appointment Made</t>
        </is>
      </c>
      <c r="AC2024"/>
      <c r="AD2024" t="inlineStr">
        <is>
          <t xml:space="preserve">1 marketing </t>
        </is>
      </c>
      <c r="AE2024"/>
      <c r="AF2024">
        <v>3000</v>
      </c>
      <c r="AG2024" s="4"/>
      <c r="AH2024" s="4"/>
      <c r="AI2024"/>
      <c r="AJ2024"/>
      <c r="AK2024" t="inlineStr">
        <is>
          <t>Yes, I have</t>
        </is>
      </c>
      <c r="AL2024"/>
      <c r="AM2024"/>
      <c r="AN2024"/>
      <c r="AO2024"/>
      <c r="AP2024" t="inlineStr">
        <is>
          <t>Once a year (25%)</t>
        </is>
      </c>
      <c r="AQ2024"/>
      <c r="AR2024"/>
      <c r="AS2024" t="inlineStr">
        <is>
          <t>- Headcount: 1
- Hiring Job Details: 1 marketing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
- Hiring Urgency: Hiring Later</t>
        </is>
      </c>
      <c r="AT2024">
        <v>75</v>
      </c>
      <c r="AU2024" t="inlineStr">
        <is>
          <t>0.75</t>
        </is>
      </c>
      <c r="AV2024" t="inlineStr">
        <is>
          <t>15</t>
        </is>
      </c>
      <c r="AW2024" t="inlineStr">
        <is>
          <t>0</t>
        </is>
      </c>
      <c r="AX2024" t="inlineStr">
        <is>
          <t>Not Qualified</t>
        </is>
      </c>
      <c r="AY2024" s="4"/>
      <c r="AZ2024"/>
      <c r="BA2024"/>
      <c r="BB2024"/>
      <c r="BC2024" t="inlineStr">
        <is>
          <t>- Headcount: 1
- Hiring Job Details: 1 marketing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
- Hiring Urgency: Hiring Later</t>
        </is>
      </c>
      <c r="BD2024" s="4">
        <v>46126.45836805556</v>
      </c>
      <c r="BE2024"/>
      <c r="BF2024"/>
      <c r="BG2024" t="inlineStr">
        <is>
          <t>Reschedule</t>
        </is>
      </c>
      <c r="BH2024" t="inlineStr">
        <is>
          <t>Fauziah Maharan</t>
        </is>
      </c>
      <c r="BI2024" t="inlineStr">
        <is>
          <t>HR Mgmt / Consulting</t>
        </is>
      </c>
      <c r="BJ2024" s="4">
        <v>46144.75341435185</v>
      </c>
      <c r="BK2024" s="4">
        <v>46021.59222222222</v>
      </c>
      <c r="BL2024" t="inlineStr">
        <is>
          <t>0.0</t>
        </is>
      </c>
      <c r="BM2024" t="inlineStr">
        <is>
          <t>150.0</t>
        </is>
      </c>
      <c r="BN2024" t="inlineStr">
        <is>
          <t>View Company Page</t>
        </is>
      </c>
      <c r="BO2024" s="4">
        <v>46028.65118055556</v>
      </c>
      <c r="BP2024">
        <v>166884</v>
      </c>
      <c r="BQ2024"/>
      <c r="BR2024"/>
      <c r="BS2024"/>
      <c r="BT2024"/>
      <c r="BU2024"/>
      <c r="BV2024">
        <v>2702806</v>
      </c>
      <c r="BW2024" t="inlineStr">
        <is>
          <t>Customer Inquiry</t>
        </is>
      </c>
      <c r="BX2024"/>
      <c r="BY2024"/>
      <c r="BZ2024" s="4"/>
      <c r="CA2024"/>
      <c r="CB2024"/>
      <c r="CC2024" s="4"/>
      <c r="CD2024" t="inlineStr">
        <is>
          <t>20</t>
        </is>
      </c>
      <c r="CE2024" t="inlineStr">
        <is>
          <t>0</t>
        </is>
      </c>
      <c r="CF2024" t="inlineStr">
        <is>
          <t>Q2-W02</t>
        </is>
      </c>
      <c r="CG2024"/>
      <c r="CH2024"/>
      <c r="CI2024"/>
      <c r="CJ2024" t="inlineStr">
        <is>
          <t>No Paid</t>
        </is>
      </c>
      <c r="CK2024" t="inlineStr">
        <is>
          <t>Eligible</t>
        </is>
      </c>
      <c r="CL2024"/>
      <c r="CM2024"/>
    </row>
    <row r="2025" ht="25.5" customHeight="1">
      <c r="A2025" t="inlineStr">
        <is>
          <t>188161</t>
        </is>
      </c>
      <c r="B2025" s="2"/>
      <c r="C2025"/>
      <c r="D2025" s="3">
        <v>46126.73606481482</v>
      </c>
      <c r="E2025" t="inlineStr">
        <is>
          <t>Q2-W02</t>
        </is>
      </c>
      <c r="F2025" t="inlineStr">
        <is>
          <t>andy@ajobthing.com</t>
        </is>
      </c>
      <c r="G2025" t="inlineStr">
        <is>
          <t>Customer</t>
        </is>
      </c>
      <c r="H2025" s="2" t="str">
        <f>=HYPERLINK("https://upbox.ajobthing.my/customer/188161", "https://upbox.ajobthing.my/customer/188161")</f>
        <v>https://upbox.ajobthing.my/customer/188161</v>
      </c>
      <c r="I2025" t="inlineStr">
        <is>
          <t>Jebsen &amp; Jessen Packaging Sdn Bhd</t>
        </is>
      </c>
      <c r="J2025" t="inlineStr">
        <is>
          <t>Super Whale</t>
        </is>
      </c>
      <c r="K2025" t="inlineStr">
        <is>
          <t>Andy</t>
        </is>
      </c>
      <c r="L2025" s="4"/>
      <c r="M2025" s="4">
        <v>46114.83763888889</v>
      </c>
      <c r="N2025"/>
      <c r="O2025">
        <v>21600</v>
      </c>
      <c r="P2025" s="4"/>
      <c r="Q2025" s="4">
        <v>46126.75951388889</v>
      </c>
      <c r="R2025"/>
      <c r="S2025">
        <v>0</v>
      </c>
      <c r="T2025" s="4"/>
      <c r="U2025" s="4"/>
      <c r="V2025"/>
      <c r="W2025"/>
      <c r="X2025" t="inlineStr">
        <is>
          <t>andy@ajobthing.com</t>
        </is>
      </c>
      <c r="Y2025" t="inlineStr">
        <is>
          <t>Done Appointment</t>
        </is>
      </c>
      <c r="Z2025" t="inlineStr">
        <is>
          <t>Hiring Now</t>
        </is>
      </c>
      <c r="AA2025">
        <v>2</v>
      </c>
      <c r="AB2025" t="inlineStr">
        <is>
          <t>Appointment Made</t>
        </is>
      </c>
      <c r="AC2025" t="inlineStr">
        <is>
          <t>Mid-size (50-100 employees)</t>
        </is>
      </c>
      <c r="AD2025" t="inlineStr">
        <is>
          <t xml:space="preserve">sales executive, design engineer </t>
        </is>
      </c>
      <c r="AE2025" t="inlineStr">
        <is>
          <t>Executive / HR Executive</t>
        </is>
      </c>
      <c r="AF2025">
        <v>10000</v>
      </c>
      <c r="AG2025" s="4">
        <v>46126.625</v>
      </c>
      <c r="AH2025" s="4">
        <v>46126.645833333336</v>
      </c>
      <c r="AI2025">
        <v>10000</v>
      </c>
      <c r="AJ2025">
        <v>3</v>
      </c>
      <c r="AK2025" t="inlineStr">
        <is>
          <t>Yes, I have</t>
        </is>
      </c>
      <c r="AL2025">
        <v>4</v>
      </c>
      <c r="AM2025" t="inlineStr">
        <is>
          <t>No, I don't need at all</t>
        </is>
      </c>
      <c r="AN2025"/>
      <c r="AO2025" t="inlineStr">
        <is>
          <t>Yes, I have</t>
        </is>
      </c>
      <c r="AP2025" t="inlineStr">
        <is>
          <t>Once per quarter (75%)</t>
        </is>
      </c>
      <c r="AQ2025">
        <v>30</v>
      </c>
      <c r="AR2025" t="inlineStr">
        <is>
          <t>Jobstreet</t>
        </is>
      </c>
      <c r="AS2025" t="inlineStr">
        <is>
          <t>- Headcount: 2
- Hiring Job Details: sales executive, design engineer
- Hiring Urgency: Hiring Now
- Number of outlets: 3
- Have recruiter team: Yes
- Number of recruiter in company: 4
- Have ATS system: No, I don't need at all
- Have career website: Yes
- Current hiring budget: RM10,000
- Whole year budget: RM10,000.00
- Whole year number of vacancies: 30
- Hiring frequency: Once per quarter (75%)
- External job portal: Jobstreet</t>
        </is>
      </c>
      <c r="AT2025">
        <v>110</v>
      </c>
      <c r="AU2025" t="inlineStr">
        <is>
          <t>1.10</t>
        </is>
      </c>
      <c r="AV2025" t="inlineStr">
        <is>
          <t>30</t>
        </is>
      </c>
      <c r="AW2025" t="inlineStr">
        <is>
          <t>0</t>
        </is>
      </c>
      <c r="AX2025" t="inlineStr">
        <is>
          <t>Not Qualified</t>
        </is>
      </c>
      <c r="AY2025" s="4">
        <v>46126.76855324074</v>
      </c>
      <c r="AZ2025" t="inlineStr">
        <is>
          <t>andy@ajobthing.com</t>
        </is>
      </c>
      <c r="BA2025"/>
      <c r="BB2025"/>
      <c r="BC2025" t="inlineStr">
        <is>
          <t>- Headcount: 2
- Hiring Job Details: sales executive, design engineer
- Hiring Urgency: Hiring Now
- Number of outlets: 3
- Have recruiter team: Yes
- Number of recruiter in company: 4
- Have ATS system: No, I don't need at all
- Have career website: Yes
- Current hiring budget: RM10,000
- Whole year budget: RM10,000.00
- Whole year number of vacancies: 30
- Hiring frequency: Once per quarter (75%)
- External job portal: Jobstreet</t>
        </is>
      </c>
      <c r="BD2025" s="4">
        <v>46126.7500462963</v>
      </c>
      <c r="BE2025" t="inlineStr">
        <is>
          <t>paid</t>
        </is>
      </c>
      <c r="BF2025"/>
      <c r="BG2025" t="inlineStr">
        <is>
          <t>Reschedule</t>
        </is>
      </c>
      <c r="BH2025"/>
      <c r="BI2025" t="inlineStr">
        <is>
          <t>Manufacturing / Production</t>
        </is>
      </c>
      <c r="BJ2025" s="4">
        <v>46144.752222222225</v>
      </c>
      <c r="BK2025" s="4">
        <v>45713.76163194444</v>
      </c>
      <c r="BL2025" t="inlineStr">
        <is>
          <t>0.0</t>
        </is>
      </c>
      <c r="BM2025" t="inlineStr">
        <is>
          <t>4200.0</t>
        </is>
      </c>
      <c r="BN2025" t="inlineStr">
        <is>
          <t>View Company Page</t>
        </is>
      </c>
      <c r="BO2025" s="4">
        <v>46142.58268518518</v>
      </c>
      <c r="BP2025">
        <v>165064</v>
      </c>
      <c r="BQ2025">
        <v>122335</v>
      </c>
      <c r="BR2025" t="inlineStr">
        <is>
          <t>Proforma</t>
        </is>
      </c>
      <c r="BS2025" t="inlineStr">
        <is>
          <t>Job Ad 365 - SME 100 Free Trial</t>
        </is>
      </c>
      <c r="BT2025"/>
      <c r="BU2025"/>
      <c r="BV2025">
        <v>2704727</v>
      </c>
      <c r="BW2025" t="inlineStr">
        <is>
          <t>Customer Inquiry</t>
        </is>
      </c>
      <c r="BX2025">
        <v>300</v>
      </c>
      <c r="BY2025">
        <v>232</v>
      </c>
      <c r="BZ2025" s="4">
        <v>46132.65796296296</v>
      </c>
      <c r="CA2025">
        <v>13</v>
      </c>
      <c r="CB2025">
        <v>13</v>
      </c>
      <c r="CC2025" s="4"/>
      <c r="CD2025" t="inlineStr">
        <is>
          <t>40</t>
        </is>
      </c>
      <c r="CE2025" t="inlineStr">
        <is>
          <t>0.5</t>
        </is>
      </c>
      <c r="CF2025" t="inlineStr">
        <is>
          <t>Q1-W13</t>
        </is>
      </c>
      <c r="CG2025" t="inlineStr">
        <is>
          <t>Q2-W02</t>
        </is>
      </c>
      <c r="CH2025"/>
      <c r="CI2025" t="inlineStr">
        <is>
          <t>Q2-W02</t>
        </is>
      </c>
      <c r="CJ2025" t="inlineStr">
        <is>
          <t>No Paid</t>
        </is>
      </c>
      <c r="CK2025" t="inlineStr">
        <is>
          <t>Eligible</t>
        </is>
      </c>
      <c r="CL2025"/>
      <c r="CM2025" t="inlineStr">
        <is>
          <t>Q2-W02</t>
        </is>
      </c>
    </row>
    <row r="2026" ht="25.5" customHeight="1">
      <c r="A2026" t="inlineStr">
        <is>
          <t>4283081</t>
        </is>
      </c>
      <c r="B2026" s="2"/>
      <c r="C2026"/>
      <c r="D2026" s="3">
        <v>46127.461493055554</v>
      </c>
      <c r="E2026" t="inlineStr">
        <is>
          <t>Q2-W02</t>
        </is>
      </c>
      <c r="F2026" t="inlineStr">
        <is>
          <t>Jess</t>
        </is>
      </c>
      <c r="G2026" t="inlineStr">
        <is>
          <t>Lead</t>
        </is>
      </c>
      <c r="H2026" s="2" t="str">
        <f>=HYPERLINK("https://upbox.ajobthing.my/leads/4283081", "https://upbox.ajobthing.my/leads/4283081")</f>
        <v>https://upbox.ajobthing.my/leads/4283081</v>
      </c>
      <c r="I2026" t="inlineStr">
        <is>
          <t>RHB BANK</t>
        </is>
      </c>
      <c r="J2026" t="inlineStr">
        <is>
          <t>Super Whale</t>
        </is>
      </c>
      <c r="K2026" t="inlineStr">
        <is>
          <t>Jess Lim</t>
        </is>
      </c>
      <c r="L2026" s="4"/>
      <c r="M2026" s="4">
        <v>46127.46297453704</v>
      </c>
      <c r="N2026"/>
      <c r="O2026">
        <v>10800</v>
      </c>
      <c r="P2026" s="4"/>
      <c r="Q2026" s="4"/>
      <c r="R2026"/>
      <c r="S2026"/>
      <c r="T2026" s="4"/>
      <c r="U2026" s="4"/>
      <c r="V2026"/>
      <c r="W2026"/>
      <c r="X2026"/>
      <c r="Y2026" t="inlineStr">
        <is>
          <t>Pending Appointment</t>
        </is>
      </c>
      <c r="Z2026" t="inlineStr">
        <is>
          <t>Hiring Now</t>
        </is>
      </c>
      <c r="AA2026">
        <v>5</v>
      </c>
      <c r="AB2026" t="inlineStr">
        <is>
          <t>No Appointment Made</t>
        </is>
      </c>
      <c r="AC2026"/>
      <c r="AD2026" t="inlineStr">
        <is>
          <t>sales 5</t>
        </is>
      </c>
      <c r="AE2026"/>
      <c r="AF2026">
        <v>800</v>
      </c>
      <c r="AG2026" s="4"/>
      <c r="AH2026" s="4"/>
      <c r="AI2026"/>
      <c r="AJ2026">
        <v>1</v>
      </c>
      <c r="AK2026" t="inlineStr">
        <is>
          <t>No, I don't need at all</t>
        </is>
      </c>
      <c r="AL2026">
        <v>1</v>
      </c>
      <c r="AM2026" t="inlineStr">
        <is>
          <t>No, I don't need at all</t>
        </is>
      </c>
      <c r="AN2026"/>
      <c r="AO2026" t="inlineStr">
        <is>
          <t>No, I don't need at all</t>
        </is>
      </c>
      <c r="AP2026" t="inlineStr">
        <is>
          <t>Once a year (25%)</t>
        </is>
      </c>
      <c r="AQ2026"/>
      <c r="AR2026" t="inlineStr">
        <is>
          <t>Jobstreet</t>
        </is>
      </c>
      <c r="AS2026" t="inlineStr">
        <is>
          <t>- Headcount: 5
- Hiring Job Details: 5 sales
- Hiring Urgency: Hiring Now
- Number of outlets: 1
- Have recruiter team: No, I don't need at all
- Number of recruiter in company: 1
- Have ATS system: No, I don't need at all
- Have career website: No, I don't need at all
- Current hiring budget: RM800.00
- Whole year budget: 
- Whole year number of vacancies: 
- Hiring frequency: Once a year (25%)
- External job portal: Jobstreet</t>
        </is>
      </c>
      <c r="AT2026">
        <v>95</v>
      </c>
      <c r="AU2026" t="inlineStr">
        <is>
          <t>0.95</t>
        </is>
      </c>
      <c r="AV2026" t="inlineStr">
        <is>
          <t>20</t>
        </is>
      </c>
      <c r="AW2026" t="inlineStr">
        <is>
          <t>0</t>
        </is>
      </c>
      <c r="AX2026" t="inlineStr">
        <is>
          <t>Not Qualified</t>
        </is>
      </c>
      <c r="AY2026" s="4"/>
      <c r="AZ2026"/>
      <c r="BA2026"/>
      <c r="BB2026"/>
      <c r="BC2026"/>
      <c r="BD2026" s="4"/>
      <c r="BE2026"/>
      <c r="BF2026"/>
      <c r="BG2026" t="inlineStr">
        <is>
          <t>Reschedule</t>
        </is>
      </c>
      <c r="BH2026" t="inlineStr">
        <is>
          <t>Fauziah Maharan</t>
        </is>
      </c>
      <c r="BI2026"/>
      <c r="BJ2026" s="4">
        <v>46144.755833333336</v>
      </c>
      <c r="BK2026" s="4">
        <v>46126.9921412037</v>
      </c>
      <c r="BL2026" t="inlineStr">
        <is>
          <t>0.0</t>
        </is>
      </c>
      <c r="BM2026" t="inlineStr">
        <is>
          <t>150.0</t>
        </is>
      </c>
      <c r="BN2026"/>
      <c r="BO2026" s="4"/>
      <c r="BP2026">
        <v>167135</v>
      </c>
      <c r="BQ2026"/>
      <c r="BR2026"/>
      <c r="BS2026"/>
      <c r="BT2026"/>
      <c r="BU2026"/>
      <c r="BV2026"/>
      <c r="BW2026"/>
      <c r="BX2026"/>
      <c r="BY2026"/>
      <c r="BZ2026" s="4"/>
      <c r="CA2026"/>
      <c r="CB2026"/>
      <c r="CC2026" s="4"/>
      <c r="CD2026" t="inlineStr">
        <is>
          <t>30</t>
        </is>
      </c>
      <c r="CE2026" t="inlineStr">
        <is>
          <t>0</t>
        </is>
      </c>
      <c r="CF2026" t="inlineStr">
        <is>
          <t>Q2-W02</t>
        </is>
      </c>
      <c r="CG2026"/>
      <c r="CH2026"/>
      <c r="CI2026"/>
      <c r="CJ2026" t="inlineStr">
        <is>
          <t>No Paid</t>
        </is>
      </c>
      <c r="CK2026" t="inlineStr">
        <is>
          <t>Eligible</t>
        </is>
      </c>
      <c r="CL2026"/>
      <c r="CM2026"/>
    </row>
    <row r="2027" ht="25.5" customHeight="1">
      <c r="A2027" t="inlineStr">
        <is>
          <t>201109</t>
        </is>
      </c>
      <c r="B2027" s="2"/>
      <c r="C2027"/>
      <c r="D2027" s="3">
        <v>46127.55502314815</v>
      </c>
      <c r="E2027" t="inlineStr">
        <is>
          <t>Q2-W02</t>
        </is>
      </c>
      <c r="F2027" t="inlineStr">
        <is>
          <t>Yuli</t>
        </is>
      </c>
      <c r="G2027" t="inlineStr">
        <is>
          <t>Customer</t>
        </is>
      </c>
      <c r="H2027" s="2" t="str">
        <f>=HYPERLINK("https://upbox.ajobthing.my/customer/201109", "https://upbox.ajobthing.my/customer/201109")</f>
        <v>https://upbox.ajobthing.my/customer/201109</v>
      </c>
      <c r="I2027" t="inlineStr">
        <is>
          <t>Continental Tyre PJ Sdn Bhd</t>
        </is>
      </c>
      <c r="J2027" t="inlineStr">
        <is>
          <t>Super Whale</t>
        </is>
      </c>
      <c r="K2027" t="inlineStr">
        <is>
          <t>YuLi</t>
        </is>
      </c>
      <c r="L2027" s="4"/>
      <c r="M2027" s="4">
        <v>46126.671331018515</v>
      </c>
      <c r="N2027"/>
      <c r="O2027">
        <v>3888</v>
      </c>
      <c r="P2027" s="4"/>
      <c r="Q2027" s="4"/>
      <c r="R2027"/>
      <c r="S2027"/>
      <c r="T2027" s="4"/>
      <c r="U2027" s="4"/>
      <c r="V2027"/>
      <c r="W2027"/>
      <c r="X2027"/>
      <c r="Y2027" t="inlineStr">
        <is>
          <t>Pending Appointment</t>
        </is>
      </c>
      <c r="Z2027"/>
      <c r="AA2027">
        <v>4</v>
      </c>
      <c r="AB2027" t="inlineStr">
        <is>
          <t>No Appointment Made</t>
        </is>
      </c>
      <c r="AC2027"/>
      <c r="AD2027" t="inlineStr">
        <is>
          <t>HR Generalist
Production Operator - Pocket Serviceman
Boilerman
Engineering internship</t>
        </is>
      </c>
      <c r="AE2027"/>
      <c r="AF2027"/>
      <c r="AG2027" s="4"/>
      <c r="AH2027" s="4"/>
      <c r="AI2027"/>
      <c r="AJ2027"/>
      <c r="AK2027" t="inlineStr">
        <is>
          <t>Yes, I have</t>
        </is>
      </c>
      <c r="AL2027"/>
      <c r="AM2027"/>
      <c r="AN2027"/>
      <c r="AO2027"/>
      <c r="AP2027" t="inlineStr">
        <is>
          <t>Once a year (25%)</t>
        </is>
      </c>
      <c r="AQ2027"/>
      <c r="AR2027" t="inlineStr">
        <is>
          <t>Free Job Portal, Jobstreet</t>
        </is>
      </c>
      <c r="AS2027" t="inlineStr">
        <is>
          <t>- Headcount: 4
- Hiring Job Details: HR Generalist, Production Operator - Pocket Serviceman, Boilerman, Engineering internship
- Hiring Urgency: Not specified
- Number of outlets: Not specified
- Have recruiter team: Yes
- Number of recruiter in company: Not specified
- Have ATS system: Not specified
- Have career website: Not specified
- Current hiring budget: Not specified
- Whole year budget: Not specified
- Whole year number of vacancies: Not specified
- Hiring frequency: Once a year (25%)
- External job portal: Free Job Portal, Jobstreet</t>
        </is>
      </c>
      <c r="AT2027">
        <v>65</v>
      </c>
      <c r="AU2027" t="inlineStr">
        <is>
          <t>0.65</t>
        </is>
      </c>
      <c r="AV2027" t="inlineStr">
        <is>
          <t>5</t>
        </is>
      </c>
      <c r="AW2027" t="inlineStr">
        <is>
          <t>0</t>
        </is>
      </c>
      <c r="AX2027" t="inlineStr">
        <is>
          <t>Not Qualified</t>
        </is>
      </c>
      <c r="AY2027" s="4"/>
      <c r="AZ2027"/>
      <c r="BA2027"/>
      <c r="BB2027"/>
      <c r="BC2027" t="inlineStr">
        <is>
          <t>received Ms. Lim on confirnation for payment terms</t>
        </is>
      </c>
      <c r="BD2027" s="4">
        <v>46128.47704861111</v>
      </c>
      <c r="BE2027"/>
      <c r="BF2027"/>
      <c r="BG2027" t="inlineStr">
        <is>
          <t>Reschedule</t>
        </is>
      </c>
      <c r="BH2027" t="inlineStr">
        <is>
          <t>Fauziah Maharan</t>
        </is>
      </c>
      <c r="BI2027" t="inlineStr">
        <is>
          <t>Manufacturing / Production</t>
        </is>
      </c>
      <c r="BJ2027" s="4">
        <v>46144.75372685185</v>
      </c>
      <c r="BK2027" s="4">
        <v>46063.41769675926</v>
      </c>
      <c r="BL2027" t="inlineStr">
        <is>
          <t>0.0</t>
        </is>
      </c>
      <c r="BM2027" t="inlineStr">
        <is>
          <t>3600.0</t>
        </is>
      </c>
      <c r="BN2027" t="inlineStr">
        <is>
          <t>View Account User</t>
        </is>
      </c>
      <c r="BO2027" s="4">
        <v>46086.641921296294</v>
      </c>
      <c r="BP2027">
        <v>167012</v>
      </c>
      <c r="BQ2027"/>
      <c r="BR2027"/>
      <c r="BS2027"/>
      <c r="BT2027"/>
      <c r="BU2027"/>
      <c r="BV2027">
        <v>2708463</v>
      </c>
      <c r="BW2027" t="inlineStr">
        <is>
          <t>Follow Up : Payment Pending</t>
        </is>
      </c>
      <c r="BX2027"/>
      <c r="BY2027"/>
      <c r="BZ2027" s="4"/>
      <c r="CA2027"/>
      <c r="CB2027"/>
      <c r="CC2027" s="4"/>
      <c r="CD2027" t="inlineStr">
        <is>
          <t>5</t>
        </is>
      </c>
      <c r="CE2027" t="inlineStr">
        <is>
          <t>0</t>
        </is>
      </c>
      <c r="CF2027" t="inlineStr">
        <is>
          <t>Q2-W02</t>
        </is>
      </c>
      <c r="CG2027"/>
      <c r="CH2027"/>
      <c r="CI2027"/>
      <c r="CJ2027" t="inlineStr">
        <is>
          <t>No Paid</t>
        </is>
      </c>
      <c r="CK2027" t="inlineStr">
        <is>
          <t>Eligible</t>
        </is>
      </c>
      <c r="CL2027"/>
      <c r="CM2027"/>
    </row>
    <row r="2028" ht="25.5" customHeight="1">
      <c r="A2028" t="inlineStr">
        <is>
          <t>192707</t>
        </is>
      </c>
      <c r="B2028" s="2"/>
      <c r="C2028"/>
      <c r="D2028" s="3">
        <v>46127.686574074076</v>
      </c>
      <c r="E2028" t="inlineStr">
        <is>
          <t>Q2-W02</t>
        </is>
      </c>
      <c r="F2028" t="inlineStr">
        <is>
          <t>Xin Hui</t>
        </is>
      </c>
      <c r="G2028" t="inlineStr">
        <is>
          <t>Customer</t>
        </is>
      </c>
      <c r="H2028" s="2" t="str">
        <f>=HYPERLINK("https://upbox.ajobthing.my/customer/192707", "https://upbox.ajobthing.my/customer/192707")</f>
        <v>https://upbox.ajobthing.my/customer/192707</v>
      </c>
      <c r="I2028" t="inlineStr">
        <is>
          <t>Tempb Global Technology Sdn. Bhd</t>
        </is>
      </c>
      <c r="J2028" t="inlineStr">
        <is>
          <t>Super Whale</t>
        </is>
      </c>
      <c r="K2028" t="inlineStr">
        <is>
          <t>Xin Hui</t>
        </is>
      </c>
      <c r="L2028" s="4"/>
      <c r="M2028" s="4">
        <v>46127.67400462963</v>
      </c>
      <c r="N2028"/>
      <c r="O2028">
        <v>3888</v>
      </c>
      <c r="P2028" s="4"/>
      <c r="Q2028" s="4"/>
      <c r="R2028"/>
      <c r="S2028"/>
      <c r="T2028" s="4"/>
      <c r="U2028" s="4"/>
      <c r="V2028"/>
      <c r="W2028"/>
      <c r="X2028"/>
      <c r="Y2028" t="inlineStr">
        <is>
          <t>Pending Appointment</t>
        </is>
      </c>
      <c r="Z2028" t="inlineStr">
        <is>
          <t>Hiring Now</t>
        </is>
      </c>
      <c r="AA2028">
        <v>1</v>
      </c>
      <c r="AB2028" t="inlineStr">
        <is>
          <t>No Appointment Made</t>
        </is>
      </c>
      <c r="AC2028"/>
      <c r="AD2028" t="inlineStr">
        <is>
          <t xml:space="preserve">1 HR manager </t>
        </is>
      </c>
      <c r="AE2028"/>
      <c r="AF2028">
        <v>600</v>
      </c>
      <c r="AG2028" s="4"/>
      <c r="AH2028" s="4"/>
      <c r="AI2028"/>
      <c r="AJ2028"/>
      <c r="AK2028" t="inlineStr">
        <is>
          <t>No, I don't need at all</t>
        </is>
      </c>
      <c r="AL2028"/>
      <c r="AM2028" t="inlineStr">
        <is>
          <t>No, I don't need at all</t>
        </is>
      </c>
      <c r="AN2028"/>
      <c r="AO2028" t="inlineStr">
        <is>
          <t>No, I don't need at all</t>
        </is>
      </c>
      <c r="AP2028"/>
      <c r="AQ2028"/>
      <c r="AR2028"/>
      <c r="AS2028" t="inlineStr">
        <is>
          <t>- Headcount: 1
- Hiring Job Details: 1 HR manager
- Hiring Urgency: Hiring Now
- Number of outlets: Not specified
- Have recruiter team: No, I don't need at all
- Number of recruiter in company: Not specified
- Have ATS system: No, I don't need at all
- Have career website: No, I don't need at all
- Current hiring budget: RM600.00
- Whole year budget: Not specified
- Whole year number of vacancies: Not specified
- Hiring frequency: Not specified
- External job portal: Not specified</t>
        </is>
      </c>
      <c r="AT2028">
        <v>75</v>
      </c>
      <c r="AU2028" t="inlineStr">
        <is>
          <t>0.75</t>
        </is>
      </c>
      <c r="AV2028" t="inlineStr">
        <is>
          <t>15</t>
        </is>
      </c>
      <c r="AW2028" t="inlineStr">
        <is>
          <t>0</t>
        </is>
      </c>
      <c r="AX2028" t="inlineStr">
        <is>
          <t>Not Qualified</t>
        </is>
      </c>
      <c r="AY2028" s="4"/>
      <c r="AZ2028"/>
      <c r="BA2028"/>
      <c r="BB2028"/>
      <c r="BC2028" t="inlineStr">
        <is>
          <t>used before but bad results / unable to find suitable candidate // donwan to use anymore</t>
        </is>
      </c>
      <c r="BD2028" s="4">
        <v>46135.487222222226</v>
      </c>
      <c r="BE2028"/>
      <c r="BF2028"/>
      <c r="BG2028" t="inlineStr">
        <is>
          <t>Reschedule</t>
        </is>
      </c>
      <c r="BH2028" t="inlineStr">
        <is>
          <t>Yee Hang</t>
        </is>
      </c>
      <c r="BI2028" t="inlineStr">
        <is>
          <t>Business / Mgmt Consulting</t>
        </is>
      </c>
      <c r="BJ2028" s="4">
        <v>46144.752592592595</v>
      </c>
      <c r="BK2028" s="4">
        <v>45825.87799768519</v>
      </c>
      <c r="BL2028" t="inlineStr">
        <is>
          <t>0.0</t>
        </is>
      </c>
      <c r="BM2028" t="inlineStr">
        <is>
          <t>600.0</t>
        </is>
      </c>
      <c r="BN2028" t="inlineStr">
        <is>
          <t>View Jobmanager Page</t>
        </is>
      </c>
      <c r="BO2028" s="4">
        <v>45828.65430555555</v>
      </c>
      <c r="BP2028">
        <v>167236</v>
      </c>
      <c r="BQ2028"/>
      <c r="BR2028"/>
      <c r="BS2028"/>
      <c r="BT2028"/>
      <c r="BU2028"/>
      <c r="BV2028">
        <v>2722928</v>
      </c>
      <c r="BW2028" t="inlineStr">
        <is>
          <t>Follow Up : Lost - Free Portal</t>
        </is>
      </c>
      <c r="BX2028"/>
      <c r="BY2028"/>
      <c r="BZ2028" s="4"/>
      <c r="CA2028"/>
      <c r="CB2028"/>
      <c r="CC2028" s="4"/>
      <c r="CD2028" t="inlineStr">
        <is>
          <t>20</t>
        </is>
      </c>
      <c r="CE2028" t="inlineStr">
        <is>
          <t>0</t>
        </is>
      </c>
      <c r="CF2028" t="inlineStr">
        <is>
          <t>Q2-W02</t>
        </is>
      </c>
      <c r="CG2028"/>
      <c r="CH2028"/>
      <c r="CI2028"/>
      <c r="CJ2028" t="inlineStr">
        <is>
          <t>No Paid</t>
        </is>
      </c>
      <c r="CK2028" t="inlineStr">
        <is>
          <t>Eligible</t>
        </is>
      </c>
      <c r="CL2028"/>
      <c r="CM2028"/>
    </row>
    <row r="2029" ht="25.5" customHeight="1">
      <c r="A2029" t="inlineStr">
        <is>
          <t>203237</t>
        </is>
      </c>
      <c r="B2029" s="2"/>
      <c r="C2029"/>
      <c r="D2029" s="3">
        <v>46128.68746527778</v>
      </c>
      <c r="E2029" t="inlineStr">
        <is>
          <t>Q2-W02</t>
        </is>
      </c>
      <c r="F2029" t="inlineStr">
        <is>
          <t>Angel  Low</t>
        </is>
      </c>
      <c r="G2029" t="inlineStr">
        <is>
          <t>Customer</t>
        </is>
      </c>
      <c r="H2029" s="2" t="str">
        <f>=HYPERLINK("https://upbox.ajobthing.my/customer/203237", "https://upbox.ajobthing.my/customer/203237")</f>
        <v>https://upbox.ajobthing.my/customer/203237</v>
      </c>
      <c r="I2029" t="inlineStr">
        <is>
          <t>Ytl Communications Sdn Bhd</t>
        </is>
      </c>
      <c r="J2029" t="inlineStr">
        <is>
          <t>Super Whale</t>
        </is>
      </c>
      <c r="K2029" t="inlineStr">
        <is>
          <t>Angel Low</t>
        </is>
      </c>
      <c r="L2029" s="4"/>
      <c r="M2029" s="4">
        <v>46129.68782407408</v>
      </c>
      <c r="N2029"/>
      <c r="O2029">
        <v>22248</v>
      </c>
      <c r="P2029" s="4"/>
      <c r="Q2029" s="4">
        <v>46126.83185185185</v>
      </c>
      <c r="R2029"/>
      <c r="S2029">
        <v>0</v>
      </c>
      <c r="T2029" s="4"/>
      <c r="U2029" s="4"/>
      <c r="V2029"/>
      <c r="W2029"/>
      <c r="X2029" t="inlineStr">
        <is>
          <t>Dandy Liu</t>
        </is>
      </c>
      <c r="Y2029" t="inlineStr">
        <is>
          <t>Done Appointment</t>
        </is>
      </c>
      <c r="Z2029" t="inlineStr">
        <is>
          <t>Continuous Hiring</t>
        </is>
      </c>
      <c r="AA2029">
        <v>20</v>
      </c>
      <c r="AB2029" t="inlineStr">
        <is>
          <t>Appointment Made</t>
        </is>
      </c>
      <c r="AC2029"/>
      <c r="AD2029" t="inlineStr">
        <is>
          <t xml:space="preserve">20- 50 retail assirtnat </t>
        </is>
      </c>
      <c r="AE2029" t="inlineStr">
        <is>
          <t>HR Manager / Talent Manager</t>
        </is>
      </c>
      <c r="AF2029"/>
      <c r="AG2029" s="4">
        <v>46129.416666666664</v>
      </c>
      <c r="AH2029" s="4">
        <v>46129.458333333336</v>
      </c>
      <c r="AI2029"/>
      <c r="AJ2029">
        <v>38</v>
      </c>
      <c r="AK2029"/>
      <c r="AL2029"/>
      <c r="AM2029"/>
      <c r="AN2029"/>
      <c r="AO2029"/>
      <c r="AP2029"/>
      <c r="AQ2029"/>
      <c r="AR2029"/>
      <c r="AS2029" t="inlineStr">
        <is>
          <t>- Headcount: 20
- Hiring Job Details: 20-50 retail assistant
- Hiring Urgency: Continuous Hiring
- Number of outlets: 38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t>
        </is>
      </c>
      <c r="AT2029">
        <v>65</v>
      </c>
      <c r="AU2029" t="inlineStr">
        <is>
          <t>0.65</t>
        </is>
      </c>
      <c r="AV2029" t="inlineStr">
        <is>
          <t>25</t>
        </is>
      </c>
      <c r="AW2029" t="inlineStr">
        <is>
          <t>0</t>
        </is>
      </c>
      <c r="AX2029" t="inlineStr">
        <is>
          <t>Not Qualified</t>
        </is>
      </c>
      <c r="AY2029" s="4">
        <v>46129.48268518518</v>
      </c>
      <c r="AZ2029" t="inlineStr">
        <is>
          <t>Base Assistant</t>
        </is>
      </c>
      <c r="BA2029"/>
      <c r="BB2029"/>
      <c r="BC2029" t="inlineStr">
        <is>
          <t>pending</t>
        </is>
      </c>
      <c r="BD2029" s="4">
        <v>46141.74170138889</v>
      </c>
      <c r="BE2029" t="inlineStr">
        <is>
          <t>paid</t>
        </is>
      </c>
      <c r="BF2029"/>
      <c r="BG2029" t="inlineStr">
        <is>
          <t>Reschedule</t>
        </is>
      </c>
      <c r="BH2029" t="inlineStr">
        <is>
          <t>Fauziah Maharan</t>
        </is>
      </c>
      <c r="BI2029" t="inlineStr">
        <is>
          <t>Telecommunication</t>
        </is>
      </c>
      <c r="BJ2029" s="4">
        <v>46144.75425925926</v>
      </c>
      <c r="BK2029" s="4">
        <v>46126.82815972222</v>
      </c>
      <c r="BL2029" t="inlineStr">
        <is>
          <t>0.0</t>
        </is>
      </c>
      <c r="BM2029" t="inlineStr">
        <is>
          <t>5400.0</t>
        </is>
      </c>
      <c r="BN2029" t="inlineStr">
        <is>
          <t>User Visit(Logged In)</t>
        </is>
      </c>
      <c r="BO2029" s="4">
        <v>46129.47769675926</v>
      </c>
      <c r="BP2029">
        <v>167676</v>
      </c>
      <c r="BQ2029">
        <v>122355</v>
      </c>
      <c r="BR2029" t="inlineStr">
        <is>
          <t>Proforma</t>
        </is>
      </c>
      <c r="BS2029" t="inlineStr">
        <is>
          <t>Free High Pay Job</t>
        </is>
      </c>
      <c r="BT2029"/>
      <c r="BU2029"/>
      <c r="BV2029">
        <v>2736284</v>
      </c>
      <c r="BW2029" t="inlineStr">
        <is>
          <t>Follow Up : Decision Pending</t>
        </is>
      </c>
      <c r="BX2029"/>
      <c r="BY2029"/>
      <c r="BZ2029" s="4"/>
      <c r="CA2029"/>
      <c r="CB2029"/>
      <c r="CC2029" s="4"/>
      <c r="CD2029" t="inlineStr">
        <is>
          <t>35</t>
        </is>
      </c>
      <c r="CE2029" t="inlineStr">
        <is>
          <t>0</t>
        </is>
      </c>
      <c r="CF2029" t="inlineStr">
        <is>
          <t>Q2-W03</t>
        </is>
      </c>
      <c r="CG2029" t="inlineStr">
        <is>
          <t>Q2-W02</t>
        </is>
      </c>
      <c r="CH2029"/>
      <c r="CI2029" t="inlineStr">
        <is>
          <t>Q2-W03</t>
        </is>
      </c>
      <c r="CJ2029" t="inlineStr">
        <is>
          <t>No Paid</t>
        </is>
      </c>
      <c r="CK2029" t="inlineStr">
        <is>
          <t>Eligible</t>
        </is>
      </c>
      <c r="CL2029"/>
      <c r="CM2029" t="inlineStr">
        <is>
          <t>Q2-W03</t>
        </is>
      </c>
    </row>
    <row r="2030" ht="25.5" customHeight="1">
      <c r="A2030" t="inlineStr">
        <is>
          <t>165373</t>
        </is>
      </c>
      <c r="B2030" s="2"/>
      <c r="C2030"/>
      <c r="D2030" s="3">
        <v>46128.693877314814</v>
      </c>
      <c r="E2030" t="inlineStr">
        <is>
          <t>Q2-W02</t>
        </is>
      </c>
      <c r="F2030" t="inlineStr">
        <is>
          <t>Ratha</t>
        </is>
      </c>
      <c r="G2030" t="inlineStr">
        <is>
          <t>Customer</t>
        </is>
      </c>
      <c r="H2030" s="2" t="str">
        <f>=HYPERLINK("https://upbox.ajobthing.my/customer/165373", "https://upbox.ajobthing.my/customer/165373")</f>
        <v>https://upbox.ajobthing.my/customer/165373</v>
      </c>
      <c r="I2030" t="inlineStr">
        <is>
          <t>Ninja Logistics Sdn. Bhd.</t>
        </is>
      </c>
      <c r="J2030" t="inlineStr">
        <is>
          <t>Super Whale</t>
        </is>
      </c>
      <c r="K2030" t="inlineStr">
        <is>
          <t>Ratha</t>
        </is>
      </c>
      <c r="L2030" s="4"/>
      <c r="M2030" s="4">
        <v>46128.695381944446</v>
      </c>
      <c r="N2030"/>
      <c r="O2030">
        <v>22248</v>
      </c>
      <c r="P2030" s="4"/>
      <c r="Q2030" s="4">
        <v>46128.645474537036</v>
      </c>
      <c r="R2030"/>
      <c r="S2030">
        <v>0</v>
      </c>
      <c r="T2030" s="4">
        <v>45965.64140046296</v>
      </c>
      <c r="U2030" s="4"/>
      <c r="V2030"/>
      <c r="W2030">
        <v>9331.2</v>
      </c>
      <c r="X2030"/>
      <c r="Y2030" t="inlineStr">
        <is>
          <t>Pending Appointment</t>
        </is>
      </c>
      <c r="Z2030" t="inlineStr">
        <is>
          <t>Hiring Later</t>
        </is>
      </c>
      <c r="AA2030">
        <v>4</v>
      </c>
      <c r="AB2030" t="inlineStr">
        <is>
          <t>No Appointment Made</t>
        </is>
      </c>
      <c r="AC2030"/>
      <c r="AD2030" t="inlineStr">
        <is>
          <t>Blue Collar to executive (sales, logistics, transportation)</t>
        </is>
      </c>
      <c r="AE2030"/>
      <c r="AF2030"/>
      <c r="AG2030" s="4"/>
      <c r="AH2030" s="4"/>
      <c r="AI2030">
        <v>0</v>
      </c>
      <c r="AJ2030"/>
      <c r="AK2030" t="inlineStr">
        <is>
          <t>Yes, I have</t>
        </is>
      </c>
      <c r="AL2030">
        <v>2</v>
      </c>
      <c r="AM2030" t="inlineStr">
        <is>
          <t>No, I don't need at all</t>
        </is>
      </c>
      <c r="AN2030"/>
      <c r="AO2030" t="inlineStr">
        <is>
          <t>Yes, I have</t>
        </is>
      </c>
      <c r="AP2030" t="inlineStr">
        <is>
          <t>Every month (100%)</t>
        </is>
      </c>
      <c r="AQ2030">
        <v>0</v>
      </c>
      <c r="AR2030" t="inlineStr">
        <is>
          <t>Free Job Portal</t>
        </is>
      </c>
      <c r="AS2030" t="inlineStr">
        <is>
          <t>- Headcount: 4
- Hiring Job Details: Blue Collar to executive (sales, logistics, transportation)
- Hiring Urgency: Hiring Later
- Number of outlets: N/A
- Have recruiter team: Yes
- Number of recruiter in company: 2
- Have ATS system: No, I don't need at all
- Have career website: Yes
- Current hiring budget: N/A
- Whole year budget: RM0.00
- Whole year number of vacancies: 0
- Hiring frequency: Every month (100%)
- External job portal: Free Job Portal</t>
        </is>
      </c>
      <c r="AT2030">
        <v>65</v>
      </c>
      <c r="AU2030" t="inlineStr">
        <is>
          <t>0.65</t>
        </is>
      </c>
      <c r="AV2030" t="inlineStr">
        <is>
          <t>5</t>
        </is>
      </c>
      <c r="AW2030" t="inlineStr">
        <is>
          <t>0</t>
        </is>
      </c>
      <c r="AX2030" t="inlineStr">
        <is>
          <t>Not Qualified</t>
        </is>
      </c>
      <c r="AY2030" s="4"/>
      <c r="AZ2030"/>
      <c r="BA2030"/>
      <c r="BB2030"/>
      <c r="BC2030" t="inlineStr">
        <is>
          <t>Met with Vinoshini. she joined for 2 weeks only. handling for hiring for driver and rider positions. 200 hubs now, need 2,000 headcount, each hubs needs 10 pax. 1000 are driver, 1000 are rider. 50% are part time and freelancers, mean 1000 are freelancer, part times. using indeed, mudah now. within 1 months, 50 candidates prescreened and 5 hired so far. they need another channel to get the candidates. share our job ads and walk-in interview. she will log in as sub users to post the balance of job ads 15 job ads first. 
proposed RM20k for 100 job ads with 600 freelancer, part time job .</t>
        </is>
      </c>
      <c r="BD2030" s="4">
        <v>46129.69997685185</v>
      </c>
      <c r="BE2030" t="inlineStr">
        <is>
          <t>paid</t>
        </is>
      </c>
      <c r="BF2030"/>
      <c r="BG2030" t="inlineStr">
        <is>
          <t>Reschedule</t>
        </is>
      </c>
      <c r="BH2030" t="inlineStr">
        <is>
          <t>Fauziah Maharan</t>
        </is>
      </c>
      <c r="BI2030" t="inlineStr">
        <is>
          <t>Transportation / Logistics</t>
        </is>
      </c>
      <c r="BJ2030" s="4">
        <v>46144.751226851855</v>
      </c>
      <c r="BK2030" s="4">
        <v>44999.54728009259</v>
      </c>
      <c r="BL2030" t="inlineStr">
        <is>
          <t>9331.0</t>
        </is>
      </c>
      <c r="BM2030" t="inlineStr">
        <is>
          <t>0.0</t>
        </is>
      </c>
      <c r="BN2030" t="inlineStr">
        <is>
          <t>View Company Page</t>
        </is>
      </c>
      <c r="BO2030" s="4">
        <v>46128.65164351852</v>
      </c>
      <c r="BP2030">
        <v>167478</v>
      </c>
      <c r="BQ2030">
        <v>122745</v>
      </c>
      <c r="BR2030" t="inlineStr">
        <is>
          <t>Proforma</t>
        </is>
      </c>
      <c r="BS2030" t="inlineStr">
        <is>
          <t>Free Part-Time Job</t>
        </is>
      </c>
      <c r="BT2030">
        <v>6643</v>
      </c>
      <c r="BU2030"/>
      <c r="BV2030">
        <v>2713131</v>
      </c>
      <c r="BW2030" t="inlineStr">
        <is>
          <t>Inquire for Hiring Needs : Quotation Sent 50%</t>
        </is>
      </c>
      <c r="BX2030">
        <v>24</v>
      </c>
      <c r="BY2030">
        <v>15</v>
      </c>
      <c r="BZ2030" s="4">
        <v>46059.527083333334</v>
      </c>
      <c r="CA2030">
        <v>240</v>
      </c>
      <c r="CB2030">
        <v>236</v>
      </c>
      <c r="CC2030" s="4">
        <v>46057.65356481481</v>
      </c>
      <c r="CD2030" t="inlineStr">
        <is>
          <t>5</t>
        </is>
      </c>
      <c r="CE2030" t="inlineStr">
        <is>
          <t>0</t>
        </is>
      </c>
      <c r="CF2030" t="inlineStr">
        <is>
          <t>Q2-W02</t>
        </is>
      </c>
      <c r="CG2030" t="inlineStr">
        <is>
          <t>Q2-W02</t>
        </is>
      </c>
      <c r="CH2030"/>
      <c r="CI2030"/>
      <c r="CJ2030" t="inlineStr">
        <is>
          <t>Paid</t>
        </is>
      </c>
      <c r="CK2030" t="inlineStr">
        <is>
          <t>Eligible</t>
        </is>
      </c>
      <c r="CL2030"/>
      <c r="CM2030"/>
    </row>
    <row r="2031" ht="25.5" customHeight="1">
      <c r="A2031" t="inlineStr">
        <is>
          <t>203314</t>
        </is>
      </c>
      <c r="B2031" s="2"/>
      <c r="C2031"/>
      <c r="D2031" s="3">
        <v>46128.700474537036</v>
      </c>
      <c r="E2031" t="inlineStr">
        <is>
          <t>Q2-W02</t>
        </is>
      </c>
      <c r="F2031" t="inlineStr">
        <is>
          <t>Yuli</t>
        </is>
      </c>
      <c r="G2031" t="inlineStr">
        <is>
          <t>Customer</t>
        </is>
      </c>
      <c r="H2031" s="2" t="str">
        <f>=HYPERLINK("https://upbox.ajobthing.my/customer/203314", "https://upbox.ajobthing.my/customer/203314")</f>
        <v>https://upbox.ajobthing.my/customer/203314</v>
      </c>
      <c r="I2031" t="inlineStr">
        <is>
          <t>Nsk Grocer</t>
        </is>
      </c>
      <c r="J2031" t="inlineStr">
        <is>
          <t>Super Whale</t>
        </is>
      </c>
      <c r="K2031" t="inlineStr">
        <is>
          <t>YuLi</t>
        </is>
      </c>
      <c r="L2031" s="4"/>
      <c r="M2031" s="4">
        <v>46128.70274305555</v>
      </c>
      <c r="N2031"/>
      <c r="O2031">
        <v>7668</v>
      </c>
      <c r="P2031" s="4"/>
      <c r="Q2031" s="4"/>
      <c r="R2031"/>
      <c r="S2031"/>
      <c r="T2031" s="4"/>
      <c r="U2031" s="4"/>
      <c r="V2031"/>
      <c r="W2031"/>
      <c r="X2031"/>
      <c r="Y2031" t="inlineStr">
        <is>
          <t>Pending Appointment</t>
        </is>
      </c>
      <c r="Z2031" t="inlineStr">
        <is>
          <t>Hiring Now</t>
        </is>
      </c>
      <c r="AA2031">
        <v>10</v>
      </c>
      <c r="AB2031" t="inlineStr">
        <is>
          <t>No Appointment Made</t>
        </is>
      </c>
      <c r="AC2031"/>
      <c r="AD2031" t="inlineStr">
        <is>
          <t>10 Cashier QCM</t>
        </is>
      </c>
      <c r="AE2031"/>
      <c r="AF2031"/>
      <c r="AG2031" s="4"/>
      <c r="AH2031" s="4"/>
      <c r="AI2031"/>
      <c r="AJ2031">
        <v>18</v>
      </c>
      <c r="AK2031" t="inlineStr">
        <is>
          <t>Yes, I have</t>
        </is>
      </c>
      <c r="AL2031"/>
      <c r="AM2031"/>
      <c r="AN2031"/>
      <c r="AO2031"/>
      <c r="AP2031" t="inlineStr">
        <is>
          <t>Once per quarter (75%)</t>
        </is>
      </c>
      <c r="AQ2031"/>
      <c r="AR2031" t="inlineStr">
        <is>
          <t>Jobstreet</t>
        </is>
      </c>
      <c r="AS2031" t="inlineStr">
        <is>
          <t>- Headcount: 10
- Hiring Job Details: 10 Cashier QCM
- Hiring Urgency: Hiring Now
- Number of outlets: 18
- Have recruiter team: Yes
- Number of recruiter in company: Not specified
- Have ATS system: Not specified
- Have career website: Not specified
- Current hiring budget: Not specified
- Whole year budget: Not specified
- Whole year number of vacancies: Not specified
- Hiring frequency: Once per quarter (75%)
- External job portal: Jobstreet</t>
        </is>
      </c>
      <c r="AT2031">
        <v>95</v>
      </c>
      <c r="AU2031" t="inlineStr">
        <is>
          <t>0.95</t>
        </is>
      </c>
      <c r="AV2031" t="inlineStr">
        <is>
          <t>10</t>
        </is>
      </c>
      <c r="AW2031" t="inlineStr">
        <is>
          <t>0</t>
        </is>
      </c>
      <c r="AX2031" t="inlineStr">
        <is>
          <t>Not Qualified</t>
        </is>
      </c>
      <c r="AY2031" s="4"/>
      <c r="AZ2031"/>
      <c r="BA2031"/>
      <c r="BB2031"/>
      <c r="BC2031" t="inlineStr">
        <is>
          <t>Received message from Evelyn if she need our service will let me know again.</t>
        </is>
      </c>
      <c r="BD2031" s="4">
        <v>46136.617060185185</v>
      </c>
      <c r="BE2031"/>
      <c r="BF2031"/>
      <c r="BG2031" t="inlineStr">
        <is>
          <t>Reschedule</t>
        </is>
      </c>
      <c r="BH2031" t="inlineStr">
        <is>
          <t>Fauziah Maharan</t>
        </is>
      </c>
      <c r="BI2031"/>
      <c r="BJ2031" s="4">
        <v>46144.754282407404</v>
      </c>
      <c r="BK2031" s="4">
        <v>46128.594363425924</v>
      </c>
      <c r="BL2031" t="inlineStr">
        <is>
          <t>0.0</t>
        </is>
      </c>
      <c r="BM2031" t="inlineStr">
        <is>
          <t>6600.0</t>
        </is>
      </c>
      <c r="BN2031" t="inlineStr">
        <is>
          <t>View Create Job Page V4</t>
        </is>
      </c>
      <c r="BO2031" s="4">
        <v>46128.679618055554</v>
      </c>
      <c r="BP2031">
        <v>167481</v>
      </c>
      <c r="BQ2031"/>
      <c r="BR2031"/>
      <c r="BS2031"/>
      <c r="BT2031"/>
      <c r="BU2031"/>
      <c r="BV2031">
        <v>2726552</v>
      </c>
      <c r="BW2031" t="inlineStr">
        <is>
          <t>Follow Up : Decision Pending</t>
        </is>
      </c>
      <c r="BX2031"/>
      <c r="BY2031"/>
      <c r="BZ2031" s="4"/>
      <c r="CA2031"/>
      <c r="CB2031"/>
      <c r="CC2031" s="4"/>
      <c r="CD2031" t="inlineStr">
        <is>
          <t>15</t>
        </is>
      </c>
      <c r="CE2031" t="inlineStr">
        <is>
          <t>0</t>
        </is>
      </c>
      <c r="CF2031" t="inlineStr">
        <is>
          <t>Q2-W02</t>
        </is>
      </c>
      <c r="CG2031"/>
      <c r="CH2031"/>
      <c r="CI2031"/>
      <c r="CJ2031" t="inlineStr">
        <is>
          <t>No Paid</t>
        </is>
      </c>
      <c r="CK2031" t="inlineStr">
        <is>
          <t>Eligible</t>
        </is>
      </c>
      <c r="CL2031"/>
      <c r="CM2031"/>
    </row>
    <row r="2032" ht="25.5" customHeight="1">
      <c r="A2032" t="inlineStr">
        <is>
          <t>26296</t>
        </is>
      </c>
      <c r="B2032" s="2"/>
      <c r="C2032"/>
      <c r="D2032" s="3">
        <v>46122.406875</v>
      </c>
      <c r="E2032" t="inlineStr">
        <is>
          <t>Q2-W02</t>
        </is>
      </c>
      <c r="F2032" t="inlineStr">
        <is>
          <t>Ratha</t>
        </is>
      </c>
      <c r="G2032" t="inlineStr">
        <is>
          <t>Customer</t>
        </is>
      </c>
      <c r="H2032" s="2" t="str">
        <f>=HYPERLINK("https://upbox.ajobthing.my/customer/26296", "https://upbox.ajobthing.my/customer/26296")</f>
        <v>https://upbox.ajobthing.my/customer/26296</v>
      </c>
      <c r="I2032" t="inlineStr">
        <is>
          <t>Masico Engineering Sdn Bhd</t>
        </is>
      </c>
      <c r="J2032" t="inlineStr">
        <is>
          <t>Whale</t>
        </is>
      </c>
      <c r="K2032" t="inlineStr">
        <is>
          <t>Ratha</t>
        </is>
      </c>
      <c r="L2032" s="4"/>
      <c r="M2032" s="4">
        <v>46100.44668981482</v>
      </c>
      <c r="N2032"/>
      <c r="O2032">
        <v>9936</v>
      </c>
      <c r="P2032" s="4"/>
      <c r="Q2032" s="4">
        <v>46122.734502314815</v>
      </c>
      <c r="R2032"/>
      <c r="S2032">
        <v>5508</v>
      </c>
      <c r="T2032" s="4">
        <v>46122.734502314815</v>
      </c>
      <c r="U2032" s="4"/>
      <c r="V2032"/>
      <c r="W2032">
        <v>5508</v>
      </c>
      <c r="X2032"/>
      <c r="Y2032" t="inlineStr">
        <is>
          <t>Pending Appointment</t>
        </is>
      </c>
      <c r="Z2032" t="inlineStr">
        <is>
          <t>Hiring Later</t>
        </is>
      </c>
      <c r="AA2032">
        <v>2</v>
      </c>
      <c r="AB2032" t="inlineStr">
        <is>
          <t>No Appointment Made</t>
        </is>
      </c>
      <c r="AC2032"/>
      <c r="AD2032" t="inlineStr">
        <is>
          <t>Site supervisor, admin - similar positions; Ampang</t>
        </is>
      </c>
      <c r="AE2032"/>
      <c r="AF2032"/>
      <c r="AG2032" s="4"/>
      <c r="AH2032" s="4"/>
      <c r="AI2032">
        <v>0</v>
      </c>
      <c r="AJ2032">
        <v>1</v>
      </c>
      <c r="AK2032" t="inlineStr">
        <is>
          <t>Yes, I have</t>
        </is>
      </c>
      <c r="AL2032">
        <v>2</v>
      </c>
      <c r="AM2032" t="inlineStr">
        <is>
          <t>No, I don't need at all</t>
        </is>
      </c>
      <c r="AN2032"/>
      <c r="AO2032" t="inlineStr">
        <is>
          <t>No, I don't need at all</t>
        </is>
      </c>
      <c r="AP2032" t="inlineStr">
        <is>
          <t>Once per quarter (75%)</t>
        </is>
      </c>
      <c r="AQ2032">
        <v>0</v>
      </c>
      <c r="AR2032" t="inlineStr">
        <is>
          <t>Jobstreet</t>
        </is>
      </c>
      <c r="AS2032" t="inlineStr">
        <is>
          <t>- Headcount: 2
- Hiring Job Details: Site supervisor, admin - similar positions; Ampang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t>
        </is>
      </c>
      <c r="AT2032">
        <v>75</v>
      </c>
      <c r="AU2032" t="inlineStr">
        <is>
          <t>0.75</t>
        </is>
      </c>
      <c r="AV2032" t="inlineStr">
        <is>
          <t>5</t>
        </is>
      </c>
      <c r="AW2032" t="inlineStr">
        <is>
          <t>0</t>
        </is>
      </c>
      <c r="AX2032" t="inlineStr">
        <is>
          <t>Not Qualified</t>
        </is>
      </c>
      <c r="AY2032" s="4"/>
      <c r="AZ2032"/>
      <c r="BA2032"/>
      <c r="BB2032"/>
      <c r="BC2032" t="inlineStr">
        <is>
          <t>no answer</t>
        </is>
      </c>
      <c r="BD2032" s="4">
        <v>46136.70755787037</v>
      </c>
      <c r="BE2032" t="inlineStr">
        <is>
          <t>paid</t>
        </is>
      </c>
      <c r="BF2032" t="inlineStr">
        <is>
          <t>Q2-W02</t>
        </is>
      </c>
      <c r="BG2032" t="inlineStr">
        <is>
          <t>Reschedule</t>
        </is>
      </c>
      <c r="BH2032" t="inlineStr">
        <is>
          <t>Fauziah Maharan</t>
        </is>
      </c>
      <c r="BI2032" t="inlineStr">
        <is>
          <t>Construction / Building</t>
        </is>
      </c>
      <c r="BJ2032" s="4">
        <v>46144.75449074074</v>
      </c>
      <c r="BK2032" s="4">
        <v>42577.748240740744</v>
      </c>
      <c r="BL2032" t="inlineStr">
        <is>
          <t>11340.0</t>
        </is>
      </c>
      <c r="BM2032" t="inlineStr">
        <is>
          <t>0.0</t>
        </is>
      </c>
      <c r="BN2032" t="inlineStr">
        <is>
          <t>Search tab: Save Candidate</t>
        </is>
      </c>
      <c r="BO2032" s="4">
        <v>46144.4071875</v>
      </c>
      <c r="BP2032">
        <v>163116</v>
      </c>
      <c r="BQ2032">
        <v>92925</v>
      </c>
      <c r="BR2032" t="inlineStr">
        <is>
          <t>Online</t>
        </is>
      </c>
      <c r="BS2032"/>
      <c r="BT2032">
        <v>92925</v>
      </c>
      <c r="BU2032"/>
      <c r="BV2032">
        <v>2727177</v>
      </c>
      <c r="BW2032" t="inlineStr">
        <is>
          <t>No Answer : Voicemail - WA sent to customer</t>
        </is>
      </c>
      <c r="BX2032">
        <v>28</v>
      </c>
      <c r="BY2032">
        <v>16</v>
      </c>
      <c r="BZ2032" s="4">
        <v>46133.41564814815</v>
      </c>
      <c r="CA2032">
        <v>280</v>
      </c>
      <c r="CB2032">
        <v>208</v>
      </c>
      <c r="CC2032" s="4">
        <v>46105.43819444445</v>
      </c>
      <c r="CD2032" t="inlineStr">
        <is>
          <t>5</t>
        </is>
      </c>
      <c r="CE2032" t="inlineStr">
        <is>
          <t>0</t>
        </is>
      </c>
      <c r="CF2032" t="inlineStr">
        <is>
          <t>Q1-W11</t>
        </is>
      </c>
      <c r="CG2032" t="inlineStr">
        <is>
          <t>Q2-W02</t>
        </is>
      </c>
      <c r="CH2032" t="inlineStr">
        <is>
          <t>Q2-W02</t>
        </is>
      </c>
      <c r="CI2032"/>
      <c r="CJ2032" t="inlineStr">
        <is>
          <t>Paid</t>
        </is>
      </c>
      <c r="CK2032" t="inlineStr">
        <is>
          <t>Eligible</t>
        </is>
      </c>
      <c r="CL2032"/>
      <c r="CM2032"/>
    </row>
    <row r="2033" ht="25.5" customHeight="1">
      <c r="A2033" t="inlineStr">
        <is>
          <t>4266247</t>
        </is>
      </c>
      <c r="B2033" s="2"/>
      <c r="C2033"/>
      <c r="D2033" s="3">
        <v>46122.41384259259</v>
      </c>
      <c r="E2033" t="inlineStr">
        <is>
          <t>Q2-W02</t>
        </is>
      </c>
      <c r="F2033" t="inlineStr">
        <is>
          <t>Lucas</t>
        </is>
      </c>
      <c r="G2033" t="inlineStr">
        <is>
          <t>Lead</t>
        </is>
      </c>
      <c r="H2033" s="2" t="str">
        <f>=HYPERLINK("https://upbox.ajobthing.my/leads/4266247", "https://upbox.ajobthing.my/leads/4266247")</f>
        <v>https://upbox.ajobthing.my/leads/4266247</v>
      </c>
      <c r="I2033" t="inlineStr">
        <is>
          <t>Cubic Letrik Sdn Bhd</t>
        </is>
      </c>
      <c r="J2033" t="inlineStr">
        <is>
          <t>Whale</t>
        </is>
      </c>
      <c r="K2033" t="inlineStr">
        <is>
          <t>Lucas</t>
        </is>
      </c>
      <c r="L2033" s="4"/>
      <c r="M2033" s="4">
        <v>46122.41190972222</v>
      </c>
      <c r="N2033"/>
      <c r="O2033">
        <v>3888</v>
      </c>
      <c r="P2033" s="4"/>
      <c r="Q2033" s="4"/>
      <c r="R2033"/>
      <c r="S2033"/>
      <c r="T2033" s="4"/>
      <c r="U2033" s="4"/>
      <c r="V2033"/>
      <c r="W2033"/>
      <c r="X2033"/>
      <c r="Y2033" t="inlineStr">
        <is>
          <t>Pending Appointment</t>
        </is>
      </c>
      <c r="Z2033" t="inlineStr">
        <is>
          <t>Hiring Now</t>
        </is>
      </c>
      <c r="AA2033">
        <v>2</v>
      </c>
      <c r="AB2033" t="inlineStr">
        <is>
          <t>No Appointment Made</t>
        </is>
      </c>
      <c r="AC2033"/>
      <c r="AD2033" t="inlineStr">
        <is>
          <t xml:space="preserve">1 project engineer , 1 wiring man </t>
        </is>
      </c>
      <c r="AE2033"/>
      <c r="AF2033">
        <v>0</v>
      </c>
      <c r="AG2033" s="4"/>
      <c r="AH2033" s="4"/>
      <c r="AI2033">
        <v>2</v>
      </c>
      <c r="AJ2033">
        <v>0</v>
      </c>
      <c r="AK2033" t="inlineStr">
        <is>
          <t>No, I don't need at all</t>
        </is>
      </c>
      <c r="AL2033">
        <v>0</v>
      </c>
      <c r="AM2033" t="inlineStr">
        <is>
          <t>No, I don't need at all</t>
        </is>
      </c>
      <c r="AN2033"/>
      <c r="AO2033" t="inlineStr">
        <is>
          <t>No, I don't need at all</t>
        </is>
      </c>
      <c r="AP2033" t="inlineStr">
        <is>
          <t>Once a year (25%)</t>
        </is>
      </c>
      <c r="AQ2033">
        <v>2</v>
      </c>
      <c r="AR2033" t="inlineStr">
        <is>
          <t>Did not use any job portal</t>
        </is>
      </c>
      <c r="AS2033" t="inlineStr">
        <is>
          <t>- Headcount: 2
- Hiring Job Details: 1 project engineer, 1 wiring man
- Hiring Urgency: Hiring Now
- Number of outlets: 0
- Have recruiter team: No, I don't need at all
- Number of recruiter in company: 0
- Have ATS system: No, I don't need at all
- Have career website: No, I don't need at all
- Current hiring budget: RM0.00
- Whole year budget: RM2.00
- Whole year number of vacancies: 2
- Hiring frequency: Once a year (25%)
- External job portal: Did not use any job portal</t>
        </is>
      </c>
      <c r="AT2033">
        <v>105</v>
      </c>
      <c r="AU2033" t="inlineStr">
        <is>
          <t>1.05</t>
        </is>
      </c>
      <c r="AV2033" t="inlineStr">
        <is>
          <t>15</t>
        </is>
      </c>
      <c r="AW2033" t="inlineStr">
        <is>
          <t>0</t>
        </is>
      </c>
      <c r="AX2033" t="inlineStr">
        <is>
          <t>Not Qualified</t>
        </is>
      </c>
      <c r="AY2033" s="4"/>
      <c r="AZ2033"/>
      <c r="BA2033"/>
      <c r="BB2033"/>
      <c r="BC2033"/>
      <c r="BD2033" s="4"/>
      <c r="BE2033"/>
      <c r="BF2033"/>
      <c r="BG2033" t="inlineStr">
        <is>
          <t>Reschedule</t>
        </is>
      </c>
      <c r="BH2033" t="inlineStr">
        <is>
          <t>Yee Hang</t>
        </is>
      </c>
      <c r="BI2033"/>
      <c r="BJ2033" s="4">
        <v>46144.75578703704</v>
      </c>
      <c r="BK2033" s="4">
        <v>46121.89990740741</v>
      </c>
      <c r="BL2033" t="inlineStr">
        <is>
          <t>3888.0</t>
        </is>
      </c>
      <c r="BM2033" t="inlineStr">
        <is>
          <t>2400.0</t>
        </is>
      </c>
      <c r="BN2033"/>
      <c r="BO2033" s="4"/>
      <c r="BP2033">
        <v>166327</v>
      </c>
      <c r="BQ2033"/>
      <c r="BR2033"/>
      <c r="BS2033"/>
      <c r="BT2033"/>
      <c r="BU2033"/>
      <c r="BV2033"/>
      <c r="BW2033"/>
      <c r="BX2033"/>
      <c r="BY2033"/>
      <c r="BZ2033" s="4"/>
      <c r="CA2033"/>
      <c r="CB2033"/>
      <c r="CC2033" s="4"/>
      <c r="CD2033" t="inlineStr">
        <is>
          <t>20</t>
        </is>
      </c>
      <c r="CE2033" t="inlineStr">
        <is>
          <t>0</t>
        </is>
      </c>
      <c r="CF2033" t="inlineStr">
        <is>
          <t>Q2-W02</t>
        </is>
      </c>
      <c r="CG2033"/>
      <c r="CH2033"/>
      <c r="CI2033"/>
      <c r="CJ2033" t="inlineStr">
        <is>
          <t>No Paid</t>
        </is>
      </c>
      <c r="CK2033" t="inlineStr">
        <is>
          <t>Eligible</t>
        </is>
      </c>
      <c r="CL2033"/>
      <c r="CM2033"/>
    </row>
    <row r="2034" ht="25.5" customHeight="1">
      <c r="A2034" t="inlineStr">
        <is>
          <t>190888</t>
        </is>
      </c>
      <c r="B2034" s="2"/>
      <c r="C2034"/>
      <c r="D2034" s="3">
        <v>46122.41612268519</v>
      </c>
      <c r="E2034" t="inlineStr">
        <is>
          <t>Q2-W02</t>
        </is>
      </c>
      <c r="F2034" t="inlineStr">
        <is>
          <t>Derek Lim</t>
        </is>
      </c>
      <c r="G2034" t="inlineStr">
        <is>
          <t>Customer</t>
        </is>
      </c>
      <c r="H2034" s="2" t="str">
        <f>=HYPERLINK("https://upbox.ajobthing.my/customer/190888", "https://upbox.ajobthing.my/customer/190888")</f>
        <v>https://upbox.ajobthing.my/customer/190888</v>
      </c>
      <c r="I2034" t="inlineStr">
        <is>
          <t>Ancaev Design &amp; Deco Studio (M) Sdn Bhd</t>
        </is>
      </c>
      <c r="J2034" t="inlineStr">
        <is>
          <t>Whale</t>
        </is>
      </c>
      <c r="K2034" t="inlineStr">
        <is>
          <t>Derek Lim</t>
        </is>
      </c>
      <c r="L2034" s="4"/>
      <c r="M2034" s="4">
        <v>46121.715833333335</v>
      </c>
      <c r="N2034"/>
      <c r="O2034">
        <v>6048</v>
      </c>
      <c r="P2034" s="4"/>
      <c r="Q2034" s="4">
        <v>46080.418761574074</v>
      </c>
      <c r="R2034"/>
      <c r="S2034">
        <v>1296</v>
      </c>
      <c r="T2034" s="4">
        <v>46080.418761574074</v>
      </c>
      <c r="U2034" s="4"/>
      <c r="V2034"/>
      <c r="W2034">
        <v>1296</v>
      </c>
      <c r="X2034"/>
      <c r="Y2034" t="inlineStr">
        <is>
          <t>Pending Appointment</t>
        </is>
      </c>
      <c r="Z2034" t="inlineStr">
        <is>
          <t>Hiring Now</t>
        </is>
      </c>
      <c r="AA2034">
        <v>1</v>
      </c>
      <c r="AB2034" t="inlineStr">
        <is>
          <t>No Appointment Made</t>
        </is>
      </c>
      <c r="AC2034"/>
      <c r="AD2034" t="inlineStr">
        <is>
          <t>sales - 1</t>
        </is>
      </c>
      <c r="AE2034"/>
      <c r="AF2034">
        <v>1000</v>
      </c>
      <c r="AG2034" s="4"/>
      <c r="AH2034" s="4"/>
      <c r="AI2034">
        <v>2000</v>
      </c>
      <c r="AJ2034">
        <v>1</v>
      </c>
      <c r="AK2034" t="inlineStr">
        <is>
          <t>No, I don't need at all</t>
        </is>
      </c>
      <c r="AL2034">
        <v>0</v>
      </c>
      <c r="AM2034" t="inlineStr">
        <is>
          <t>No, I don't need at all</t>
        </is>
      </c>
      <c r="AN2034"/>
      <c r="AO2034" t="inlineStr">
        <is>
          <t>No, I don't need at all</t>
        </is>
      </c>
      <c r="AP2034" t="inlineStr">
        <is>
          <t>Twice a year (50%)</t>
        </is>
      </c>
      <c r="AQ2034">
        <v>2</v>
      </c>
      <c r="AR2034" t="inlineStr">
        <is>
          <t>Free Job Portal</t>
        </is>
      </c>
      <c r="AS2034"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RM1,000
- Whole year budget: RM2,000.00
- Whole year number of vacancies: 2
- Hiring frequency: Twice a year (50%)
- External job portal: Free Job Portal</t>
        </is>
      </c>
      <c r="AT2034">
        <v>105</v>
      </c>
      <c r="AU2034" t="inlineStr">
        <is>
          <t>1.05</t>
        </is>
      </c>
      <c r="AV2034" t="inlineStr">
        <is>
          <t>15</t>
        </is>
      </c>
      <c r="AW2034" t="inlineStr">
        <is>
          <t>0</t>
        </is>
      </c>
      <c r="AX2034" t="inlineStr">
        <is>
          <t>Not Qualified</t>
        </is>
      </c>
      <c r="AY2034" s="4"/>
      <c r="AZ2034"/>
      <c r="BA2034"/>
      <c r="BB2034"/>
      <c r="BC2034"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RM1,000
- Whole year budget: RM2,000.00
- Whole year number of vacancies: 2
- Hiring frequency: Twice a year (50%)
- External job portal: Free Job Portal</t>
        </is>
      </c>
      <c r="BD2034" s="4">
        <v>46122.41679398148</v>
      </c>
      <c r="BE2034" t="inlineStr">
        <is>
          <t>paid</t>
        </is>
      </c>
      <c r="BF2034" t="inlineStr">
        <is>
          <t>Q1-W09</t>
        </is>
      </c>
      <c r="BG2034" t="inlineStr">
        <is>
          <t>Reschedule</t>
        </is>
      </c>
      <c r="BH2034" t="inlineStr">
        <is>
          <t>Edward Hoo</t>
        </is>
      </c>
      <c r="BI2034" t="inlineStr">
        <is>
          <t>Architecture / Interior Design</t>
        </is>
      </c>
      <c r="BJ2034" s="4">
        <v>46142.81491898148</v>
      </c>
      <c r="BK2034" s="4">
        <v>45783.63638888889</v>
      </c>
      <c r="BL2034" t="inlineStr">
        <is>
          <t>4968.0</t>
        </is>
      </c>
      <c r="BM2034" t="inlineStr">
        <is>
          <t>1200.0</t>
        </is>
      </c>
      <c r="BN2034" t="inlineStr">
        <is>
          <t>User Visit(Logged In)</t>
        </is>
      </c>
      <c r="BO2034" s="4">
        <v>46137.52909722222</v>
      </c>
      <c r="BP2034">
        <v>166279</v>
      </c>
      <c r="BQ2034">
        <v>87215</v>
      </c>
      <c r="BR2034" t="inlineStr">
        <is>
          <t>Online</t>
        </is>
      </c>
      <c r="BS2034"/>
      <c r="BT2034">
        <v>87215</v>
      </c>
      <c r="BU2034"/>
      <c r="BV2034">
        <v>2697335</v>
      </c>
      <c r="BW2034" t="inlineStr">
        <is>
          <t>Customer Inquiry</t>
        </is>
      </c>
      <c r="BX2034"/>
      <c r="BY2034"/>
      <c r="BZ2034" s="4"/>
      <c r="CA2034"/>
      <c r="CB2034"/>
      <c r="CC2034" s="4"/>
      <c r="CD2034" t="inlineStr">
        <is>
          <t>20</t>
        </is>
      </c>
      <c r="CE2034" t="inlineStr">
        <is>
          <t>0</t>
        </is>
      </c>
      <c r="CF2034" t="inlineStr">
        <is>
          <t>Q2-W01</t>
        </is>
      </c>
      <c r="CG2034" t="inlineStr">
        <is>
          <t>Q1-W09</t>
        </is>
      </c>
      <c r="CH2034" t="inlineStr">
        <is>
          <t>Q1-W09</t>
        </is>
      </c>
      <c r="CI2034"/>
      <c r="CJ2034" t="inlineStr">
        <is>
          <t>Paid</t>
        </is>
      </c>
      <c r="CK2034" t="inlineStr">
        <is>
          <t>Eligible</t>
        </is>
      </c>
      <c r="CL2034"/>
      <c r="CM2034"/>
    </row>
    <row r="2035" ht="25.5" customHeight="1">
      <c r="A2035" t="inlineStr">
        <is>
          <t>39181</t>
        </is>
      </c>
      <c r="B2035" s="2"/>
      <c r="C2035"/>
      <c r="D2035" s="3">
        <v>46122.41899305556</v>
      </c>
      <c r="E2035" t="inlineStr">
        <is>
          <t>Q2-W02</t>
        </is>
      </c>
      <c r="F2035" t="inlineStr">
        <is>
          <t>Alex Chan</t>
        </is>
      </c>
      <c r="G2035" t="inlineStr">
        <is>
          <t>Customer</t>
        </is>
      </c>
      <c r="H2035" s="2" t="str">
        <f>=HYPERLINK("https://upbox.ajobthing.my/customer/39181", "https://upbox.ajobthing.my/customer/39181")</f>
        <v>https://upbox.ajobthing.my/customer/39181</v>
      </c>
      <c r="I2035" t="inlineStr">
        <is>
          <t>Fast Track Sdn Bhd</t>
        </is>
      </c>
      <c r="J2035" t="inlineStr">
        <is>
          <t>Whale</t>
        </is>
      </c>
      <c r="K2035" t="inlineStr">
        <is>
          <t>Alex Chan</t>
        </is>
      </c>
      <c r="L2035" s="4"/>
      <c r="M2035" s="4">
        <v>46122.41921296297</v>
      </c>
      <c r="N2035"/>
      <c r="O2035">
        <v>6048</v>
      </c>
      <c r="P2035" s="4"/>
      <c r="Q2035" s="4">
        <v>45733.55068287037</v>
      </c>
      <c r="R2035"/>
      <c r="S2035">
        <v>5292</v>
      </c>
      <c r="T2035" s="4">
        <v>45733.55068287037</v>
      </c>
      <c r="U2035" s="4"/>
      <c r="V2035"/>
      <c r="W2035">
        <v>5292</v>
      </c>
      <c r="X2035"/>
      <c r="Y2035" t="inlineStr">
        <is>
          <t>Pending Appointment</t>
        </is>
      </c>
      <c r="Z2035" t="inlineStr">
        <is>
          <t>Continuous Hiring</t>
        </is>
      </c>
      <c r="AA2035">
        <v>1</v>
      </c>
      <c r="AB2035" t="inlineStr">
        <is>
          <t>No Appointment Made</t>
        </is>
      </c>
      <c r="AC2035"/>
      <c r="AD2035" t="inlineStr">
        <is>
          <t>1x Teacher</t>
        </is>
      </c>
      <c r="AE2035"/>
      <c r="AF2035">
        <v>5500</v>
      </c>
      <c r="AG2035" s="4"/>
      <c r="AH2035" s="4"/>
      <c r="AI2035">
        <v>5500</v>
      </c>
      <c r="AJ2035">
        <v>1</v>
      </c>
      <c r="AK2035" t="inlineStr">
        <is>
          <t>No, I don't need at all</t>
        </is>
      </c>
      <c r="AL2035">
        <v>1</v>
      </c>
      <c r="AM2035" t="inlineStr">
        <is>
          <t>No, I don't need at all</t>
        </is>
      </c>
      <c r="AN2035"/>
      <c r="AO2035" t="inlineStr">
        <is>
          <t>No, I don't need at all</t>
        </is>
      </c>
      <c r="AP2035" t="inlineStr">
        <is>
          <t>Every month (100%)</t>
        </is>
      </c>
      <c r="AQ2035">
        <v>1</v>
      </c>
      <c r="AR2035" t="inlineStr">
        <is>
          <t>Free Job Portal</t>
        </is>
      </c>
      <c r="AS2035" t="inlineStr">
        <is>
          <t>- Headcount: 1
- Hiring Job Details: 1x Teacher
- Hiring Urgency: Continuous Hiring
- Number of outlets: 1
- Have recruiter team: No, I don't need at all
- Number of recruiter in company: 1
- Have ATS system: No, I don't need at all
- Have career website: No, I don't need at all
- Current hiring budget: RM5,500
- Whole year budget: RM5,500.00
- Whole year number of vacancies: 1
- Hiring frequency: Every month (100%)
- External job portal: Free Job Portal</t>
        </is>
      </c>
      <c r="AT2035">
        <v>110</v>
      </c>
      <c r="AU2035" t="inlineStr">
        <is>
          <t>1.10</t>
        </is>
      </c>
      <c r="AV2035" t="inlineStr">
        <is>
          <t>15</t>
        </is>
      </c>
      <c r="AW2035" t="inlineStr">
        <is>
          <t>0</t>
        </is>
      </c>
      <c r="AX2035" t="inlineStr">
        <is>
          <t>Not Qualified</t>
        </is>
      </c>
      <c r="AY2035" s="4"/>
      <c r="AZ2035"/>
      <c r="BA2035"/>
      <c r="BB2035"/>
      <c r="BC2035" t="inlineStr">
        <is>
          <t>PIC Ms Nora 60109625725 , no openings now, allow to wa</t>
        </is>
      </c>
      <c r="BD2035" s="4">
        <v>46139.74306712963</v>
      </c>
      <c r="BE2035" t="inlineStr">
        <is>
          <t>paid</t>
        </is>
      </c>
      <c r="BF2035"/>
      <c r="BG2035" t="inlineStr">
        <is>
          <t>Reschedule</t>
        </is>
      </c>
      <c r="BH2035" t="inlineStr">
        <is>
          <t>Reagen</t>
        </is>
      </c>
      <c r="BI2035" t="inlineStr">
        <is>
          <t>Education / Training</t>
        </is>
      </c>
      <c r="BJ2035" s="4">
        <v>46144.75506944444</v>
      </c>
      <c r="BK2035" s="4">
        <v>42921.807905092595</v>
      </c>
      <c r="BL2035" t="inlineStr">
        <is>
          <t>0.0</t>
        </is>
      </c>
      <c r="BM2035" t="inlineStr">
        <is>
          <t>0.0</t>
        </is>
      </c>
      <c r="BN2035" t="inlineStr">
        <is>
          <t>View Company Page</t>
        </is>
      </c>
      <c r="BO2035" s="4">
        <v>46132.639756944445</v>
      </c>
      <c r="BP2035">
        <v>166332</v>
      </c>
      <c r="BQ2035">
        <v>77700</v>
      </c>
      <c r="BR2035" t="inlineStr">
        <is>
          <t>Online</t>
        </is>
      </c>
      <c r="BS2035"/>
      <c r="BT2035">
        <v>77700</v>
      </c>
      <c r="BU2035"/>
      <c r="BV2035">
        <v>2731518</v>
      </c>
      <c r="BW2035" t="inlineStr">
        <is>
          <t>Inquire for Hiring Needs : No Hiring</t>
        </is>
      </c>
      <c r="BX2035"/>
      <c r="BY2035"/>
      <c r="BZ2035" s="4"/>
      <c r="CA2035"/>
      <c r="CB2035"/>
      <c r="CC2035" s="4"/>
      <c r="CD2035" t="inlineStr">
        <is>
          <t>20</t>
        </is>
      </c>
      <c r="CE2035" t="inlineStr">
        <is>
          <t>0</t>
        </is>
      </c>
      <c r="CF2035" t="inlineStr">
        <is>
          <t>Q2-W02</t>
        </is>
      </c>
      <c r="CG2035"/>
      <c r="CH2035"/>
      <c r="CI2035"/>
      <c r="CJ2035" t="inlineStr">
        <is>
          <t>Paid</t>
        </is>
      </c>
      <c r="CK2035" t="inlineStr">
        <is>
          <t>Eligible</t>
        </is>
      </c>
      <c r="CL2035"/>
      <c r="CM2035"/>
    </row>
    <row r="2036" ht="25.5" customHeight="1">
      <c r="A2036" t="inlineStr">
        <is>
          <t>184522</t>
        </is>
      </c>
      <c r="B2036" s="2"/>
      <c r="C2036"/>
      <c r="D2036" s="3">
        <v>46122.42037037037</v>
      </c>
      <c r="E2036" t="inlineStr">
        <is>
          <t>Q2-W02</t>
        </is>
      </c>
      <c r="F2036" t="inlineStr">
        <is>
          <t>Yuli</t>
        </is>
      </c>
      <c r="G2036" t="inlineStr">
        <is>
          <t>Customer</t>
        </is>
      </c>
      <c r="H2036" s="2" t="str">
        <f>=HYPERLINK("https://upbox.ajobthing.my/customer/184522", "https://upbox.ajobthing.my/customer/184522")</f>
        <v>https://upbox.ajobthing.my/customer/184522</v>
      </c>
      <c r="I2036" t="inlineStr">
        <is>
          <t>Sushi Tei Malaysia Sdn Bhd</t>
        </is>
      </c>
      <c r="J2036" t="inlineStr">
        <is>
          <t>Whale</t>
        </is>
      </c>
      <c r="K2036" t="inlineStr">
        <is>
          <t>YuLi</t>
        </is>
      </c>
      <c r="L2036" s="4"/>
      <c r="M2036" s="4">
        <v>46122.42146990741</v>
      </c>
      <c r="N2036"/>
      <c r="O2036">
        <v>11448</v>
      </c>
      <c r="P2036" s="4"/>
      <c r="Q2036" s="4">
        <v>46127.45940972222</v>
      </c>
      <c r="R2036"/>
      <c r="S2036">
        <v>0</v>
      </c>
      <c r="T2036" s="4">
        <v>46126.67482638889</v>
      </c>
      <c r="U2036" s="4"/>
      <c r="V2036"/>
      <c r="W2036">
        <v>6048</v>
      </c>
      <c r="X2036"/>
      <c r="Y2036" t="inlineStr">
        <is>
          <t>Pending Appointment</t>
        </is>
      </c>
      <c r="Z2036" t="inlineStr">
        <is>
          <t>Hiring Now</t>
        </is>
      </c>
      <c r="AA2036">
        <v>3</v>
      </c>
      <c r="AB2036" t="inlineStr">
        <is>
          <t>No Appointment Made</t>
        </is>
      </c>
      <c r="AC2036"/>
      <c r="AD2036" t="inlineStr">
        <is>
          <t>1 post - kitchen helper/ kitchen crew (junior level)-3
1 post - service waiter/ waitress &amp; crew (junior level)-3
1 Post operations executive-1
</t>
        </is>
      </c>
      <c r="AE2036"/>
      <c r="AF2036"/>
      <c r="AG2036" s="4"/>
      <c r="AH2036" s="4"/>
      <c r="AI2036"/>
      <c r="AJ2036"/>
      <c r="AK2036"/>
      <c r="AL2036">
        <v>1</v>
      </c>
      <c r="AM2036"/>
      <c r="AN2036"/>
      <c r="AO2036"/>
      <c r="AP2036" t="inlineStr">
        <is>
          <t>Once per quarter (75%)</t>
        </is>
      </c>
      <c r="AQ2036"/>
      <c r="AR2036" t="inlineStr">
        <is>
          <t>Free Job Portal</t>
        </is>
      </c>
      <c r="AS2036" t="inlineStr">
        <is>
          <t>- Headcount: 3
- Hiring Job Details: 1 kitchen helper/crew (junior)-3; 1 service waiter/waitress &amp; crew (junior)-3; 1 operations executive-1
- Hiring Urgency: Hiring Now
- Number of outlets: N/A
- Have recruiter team: N/A
- Number of recruiter in company: 1
- Have ATS system: N/A
- Have career website: N/A
- Current hiring budget: N/A
- Whole year budget: N/A
- Whole year number of vacancies: N/A
- Hiring frequency: Once per quarter (75%)
- External job portal: Free Job Portal</t>
        </is>
      </c>
      <c r="AT2036">
        <v>75</v>
      </c>
      <c r="AU2036" t="inlineStr">
        <is>
          <t>0.75</t>
        </is>
      </c>
      <c r="AV2036" t="inlineStr">
        <is>
          <t>5</t>
        </is>
      </c>
      <c r="AW2036" t="inlineStr">
        <is>
          <t>0</t>
        </is>
      </c>
      <c r="AX2036" t="inlineStr">
        <is>
          <t>Not Qualified</t>
        </is>
      </c>
      <c r="AY2036" s="4"/>
      <c r="AZ2036"/>
      <c r="BA2036"/>
      <c r="BB2036"/>
      <c r="BC2036" t="inlineStr">
        <is>
          <t>Informed  Amelin the free job ad is what purpose, and she are in the posting.</t>
        </is>
      </c>
      <c r="BD2036" s="4">
        <v>46127.39278935185</v>
      </c>
      <c r="BE2036" t="inlineStr">
        <is>
          <t>paid</t>
        </is>
      </c>
      <c r="BF2036" t="inlineStr">
        <is>
          <t>Q2-W02</t>
        </is>
      </c>
      <c r="BG2036" t="inlineStr">
        <is>
          <t>Reschedule</t>
        </is>
      </c>
      <c r="BH2036" t="inlineStr">
        <is>
          <t>Fauziah Maharan</t>
        </is>
      </c>
      <c r="BI2036" t="inlineStr">
        <is>
          <t>Food / Beverage</t>
        </is>
      </c>
      <c r="BJ2036" s="4">
        <v>46144.75201388889</v>
      </c>
      <c r="BK2036" s="4">
        <v>45602.4375462963</v>
      </c>
      <c r="BL2036" t="inlineStr">
        <is>
          <t>6858.0</t>
        </is>
      </c>
      <c r="BM2036" t="inlineStr">
        <is>
          <t>0.0</t>
        </is>
      </c>
      <c r="BN2036" t="inlineStr">
        <is>
          <t>Search tab: Save Candidate</t>
        </is>
      </c>
      <c r="BO2036" s="4">
        <v>46142.531689814816</v>
      </c>
      <c r="BP2036">
        <v>166337</v>
      </c>
      <c r="BQ2036">
        <v>122429</v>
      </c>
      <c r="BR2036" t="inlineStr">
        <is>
          <t>Proforma</t>
        </is>
      </c>
      <c r="BS2036" t="inlineStr">
        <is>
          <t>Free High Pay Job</t>
        </is>
      </c>
      <c r="BT2036">
        <v>7622</v>
      </c>
      <c r="BU2036"/>
      <c r="BV2036">
        <v>2704861</v>
      </c>
      <c r="BW2036" t="inlineStr">
        <is>
          <t>Service / Technical : Job Outcome Enquiry</t>
        </is>
      </c>
      <c r="BX2036">
        <v>16</v>
      </c>
      <c r="BY2036">
        <v>12</v>
      </c>
      <c r="BZ2036" s="4">
        <v>46127.64565972222</v>
      </c>
      <c r="CA2036">
        <v>160</v>
      </c>
      <c r="CB2036">
        <v>160</v>
      </c>
      <c r="CC2036" s="4"/>
      <c r="CD2036" t="inlineStr">
        <is>
          <t>5</t>
        </is>
      </c>
      <c r="CE2036" t="inlineStr">
        <is>
          <t>0</t>
        </is>
      </c>
      <c r="CF2036" t="inlineStr">
        <is>
          <t>Q2-W02</t>
        </is>
      </c>
      <c r="CG2036" t="inlineStr">
        <is>
          <t>Q2-W02</t>
        </is>
      </c>
      <c r="CH2036" t="inlineStr">
        <is>
          <t>Q2-W02</t>
        </is>
      </c>
      <c r="CI2036"/>
      <c r="CJ2036" t="inlineStr">
        <is>
          <t>Paid</t>
        </is>
      </c>
      <c r="CK2036" t="inlineStr">
        <is>
          <t>Eligible</t>
        </is>
      </c>
      <c r="CL2036"/>
      <c r="CM2036"/>
    </row>
    <row r="2037" ht="25.5" customHeight="1">
      <c r="A2037" t="inlineStr">
        <is>
          <t>203071</t>
        </is>
      </c>
      <c r="B2037" s="2"/>
      <c r="C2037"/>
      <c r="D2037" s="3">
        <v>46122.43111111111</v>
      </c>
      <c r="E2037" t="inlineStr">
        <is>
          <t>Q2-W02</t>
        </is>
      </c>
      <c r="F2037" t="inlineStr">
        <is>
          <t>Ratha</t>
        </is>
      </c>
      <c r="G2037" t="inlineStr">
        <is>
          <t>Customer</t>
        </is>
      </c>
      <c r="H2037" s="2" t="str">
        <f>=HYPERLINK("https://upbox.ajobthing.my/customer/203071", "https://upbox.ajobthing.my/customer/203071")</f>
        <v>https://upbox.ajobthing.my/customer/203071</v>
      </c>
      <c r="I2037" t="inlineStr">
        <is>
          <t>Kk Dynamic Advisory</t>
        </is>
      </c>
      <c r="J2037" t="inlineStr">
        <is>
          <t>Whale</t>
        </is>
      </c>
      <c r="K2037" t="inlineStr">
        <is>
          <t>Ratha</t>
        </is>
      </c>
      <c r="L2037" s="4"/>
      <c r="M2037" s="4">
        <v>46122.433287037034</v>
      </c>
      <c r="N2037"/>
      <c r="O2037">
        <v>10584</v>
      </c>
      <c r="P2037" s="4"/>
      <c r="Q2037" s="4"/>
      <c r="R2037"/>
      <c r="S2037"/>
      <c r="T2037" s="4"/>
      <c r="U2037" s="4"/>
      <c r="V2037"/>
      <c r="W2037"/>
      <c r="X2037"/>
      <c r="Y2037" t="inlineStr">
        <is>
          <t>Pending Appointment</t>
        </is>
      </c>
      <c r="Z2037" t="inlineStr">
        <is>
          <t>Hiring Now</t>
        </is>
      </c>
      <c r="AA2037">
        <v>2</v>
      </c>
      <c r="AB2037" t="inlineStr">
        <is>
          <t>No Appointment Made</t>
        </is>
      </c>
      <c r="AC2037"/>
      <c r="AD2037" t="inlineStr">
        <is>
          <t xml:space="preserve">Financial Planner : 2
Location : Sabah </t>
        </is>
      </c>
      <c r="AE2037"/>
      <c r="AF2037"/>
      <c r="AG2037" s="4"/>
      <c r="AH2037" s="4"/>
      <c r="AI2037">
        <v>0</v>
      </c>
      <c r="AJ2037">
        <v>1</v>
      </c>
      <c r="AK2037" t="inlineStr">
        <is>
          <t>Yes, I have</t>
        </is>
      </c>
      <c r="AL2037">
        <v>2</v>
      </c>
      <c r="AM2037" t="inlineStr">
        <is>
          <t>No, I don't need at all</t>
        </is>
      </c>
      <c r="AN2037"/>
      <c r="AO2037" t="inlineStr">
        <is>
          <t>No, I don't need at all</t>
        </is>
      </c>
      <c r="AP2037" t="inlineStr">
        <is>
          <t>Once per quarter (75%)</t>
        </is>
      </c>
      <c r="AQ2037">
        <v>0</v>
      </c>
      <c r="AR2037" t="inlineStr">
        <is>
          <t>Jobstreet, Free Job Portal</t>
        </is>
      </c>
      <c r="AS2037" t="inlineStr">
        <is>
          <t>- Headcount: 2
- Hiring Job Details: 2 Financial Planner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2037">
        <v>95</v>
      </c>
      <c r="AU2037" t="inlineStr">
        <is>
          <t>0.95</t>
        </is>
      </c>
      <c r="AV2037" t="inlineStr">
        <is>
          <t>5</t>
        </is>
      </c>
      <c r="AW2037" t="inlineStr">
        <is>
          <t>0</t>
        </is>
      </c>
      <c r="AX2037" t="inlineStr">
        <is>
          <t>Not Qualified</t>
        </is>
      </c>
      <c r="AY2037" s="4"/>
      <c r="AZ2037"/>
      <c r="BA2037"/>
      <c r="BB2037"/>
      <c r="BC2037" t="inlineStr">
        <is>
          <t>boss looking for free ads</t>
        </is>
      </c>
      <c r="BD2037" s="4">
        <v>46126.41840277778</v>
      </c>
      <c r="BE2037"/>
      <c r="BF2037"/>
      <c r="BG2037" t="inlineStr">
        <is>
          <t>Reschedule</t>
        </is>
      </c>
      <c r="BH2037" t="inlineStr">
        <is>
          <t>Fauziah Maharan</t>
        </is>
      </c>
      <c r="BI2037" t="inlineStr">
        <is>
          <t>Insurance</t>
        </is>
      </c>
      <c r="BJ2037" s="4">
        <v>46144.754212962966</v>
      </c>
      <c r="BK2037" s="4">
        <v>46122.42010416667</v>
      </c>
      <c r="BL2037" t="inlineStr">
        <is>
          <t>0.0</t>
        </is>
      </c>
      <c r="BM2037" t="inlineStr">
        <is>
          <t>10800.0</t>
        </is>
      </c>
      <c r="BN2037" t="inlineStr">
        <is>
          <t>View Account User</t>
        </is>
      </c>
      <c r="BO2037" s="4">
        <v>46122.45203703704</v>
      </c>
      <c r="BP2037">
        <v>166347</v>
      </c>
      <c r="BQ2037"/>
      <c r="BR2037"/>
      <c r="BS2037"/>
      <c r="BT2037"/>
      <c r="BU2037"/>
      <c r="BV2037">
        <v>2702530</v>
      </c>
      <c r="BW2037" t="inlineStr">
        <is>
          <t>Follow Up : Lost - Free Portal</t>
        </is>
      </c>
      <c r="BX2037"/>
      <c r="BY2037"/>
      <c r="BZ2037" s="4"/>
      <c r="CA2037"/>
      <c r="CB2037"/>
      <c r="CC2037" s="4"/>
      <c r="CD2037" t="inlineStr">
        <is>
          <t>5</t>
        </is>
      </c>
      <c r="CE2037" t="inlineStr">
        <is>
          <t>0</t>
        </is>
      </c>
      <c r="CF2037" t="inlineStr">
        <is>
          <t>Q2-W02</t>
        </is>
      </c>
      <c r="CG2037"/>
      <c r="CH2037"/>
      <c r="CI2037"/>
      <c r="CJ2037" t="inlineStr">
        <is>
          <t>No Paid</t>
        </is>
      </c>
      <c r="CK2037" t="inlineStr">
        <is>
          <t>Eligible</t>
        </is>
      </c>
      <c r="CL2037"/>
      <c r="CM2037"/>
    </row>
    <row r="2038" ht="25.5" customHeight="1">
      <c r="A2038" t="inlineStr">
        <is>
          <t>161964</t>
        </is>
      </c>
      <c r="B2038" s="2"/>
      <c r="C2038"/>
      <c r="D2038" s="3">
        <v>46122.45017361111</v>
      </c>
      <c r="E2038" t="inlineStr">
        <is>
          <t>Q2-W02</t>
        </is>
      </c>
      <c r="F2038" t="inlineStr">
        <is>
          <t>Guest User 39862</t>
        </is>
      </c>
      <c r="G2038" t="inlineStr">
        <is>
          <t>Customer</t>
        </is>
      </c>
      <c r="H2038" s="2" t="str">
        <f>=HYPERLINK("https://upbox.ajobthing.my/customer/161964", "https://upbox.ajobthing.my/customer/161964")</f>
        <v>https://upbox.ajobthing.my/customer/161964</v>
      </c>
      <c r="I2038" t="inlineStr">
        <is>
          <t>Dancom TT&amp;L Telecommunications (M) Sdn Bhd</t>
        </is>
      </c>
      <c r="J2038" t="inlineStr">
        <is>
          <t>Whale</t>
        </is>
      </c>
      <c r="K2038" t="inlineStr">
        <is>
          <t>Dandy</t>
        </is>
      </c>
      <c r="L2038" s="4"/>
      <c r="M2038" s="4">
        <v>46122.452581018515</v>
      </c>
      <c r="N2038"/>
      <c r="O2038">
        <v>10800</v>
      </c>
      <c r="P2038" s="4"/>
      <c r="Q2038" s="4">
        <v>45838.66260416667</v>
      </c>
      <c r="R2038"/>
      <c r="S2038">
        <v>6048</v>
      </c>
      <c r="T2038" s="4">
        <v>45838.66260416667</v>
      </c>
      <c r="U2038" s="4"/>
      <c r="V2038"/>
      <c r="W2038">
        <v>6048</v>
      </c>
      <c r="X2038"/>
      <c r="Y2038" t="inlineStr">
        <is>
          <t>Pending Appointment</t>
        </is>
      </c>
      <c r="Z2038" t="inlineStr">
        <is>
          <t>Continuous Hiring</t>
        </is>
      </c>
      <c r="AA2038">
        <v>20</v>
      </c>
      <c r="AB2038" t="inlineStr">
        <is>
          <t>Appointment Made</t>
        </is>
      </c>
      <c r="AC2038" t="inlineStr">
        <is>
          <t>Enterprise (&gt;300 employees)</t>
        </is>
      </c>
      <c r="AD2038" t="inlineStr">
        <is>
          <t xml:space="preserve">10 retails, 10 HQ positions. </t>
        </is>
      </c>
      <c r="AE2038" t="inlineStr">
        <is>
          <t>HR Manager / Talent Manager</t>
        </is>
      </c>
      <c r="AF2038">
        <v>20000</v>
      </c>
      <c r="AG2038" s="4">
        <v>46122.416666666664</v>
      </c>
      <c r="AH2038" s="4">
        <v>46122.458333333336</v>
      </c>
      <c r="AI2038">
        <v>30000</v>
      </c>
      <c r="AJ2038"/>
      <c r="AK2038" t="inlineStr">
        <is>
          <t>Yes, I have</t>
        </is>
      </c>
      <c r="AL2038">
        <v>5</v>
      </c>
      <c r="AM2038" t="inlineStr">
        <is>
          <t>No, I don't need at all</t>
        </is>
      </c>
      <c r="AN2038"/>
      <c r="AO2038" t="inlineStr">
        <is>
          <t>Yes, I have</t>
        </is>
      </c>
      <c r="AP2038" t="inlineStr">
        <is>
          <t>Every month (100%)</t>
        </is>
      </c>
      <c r="AQ2038">
        <v>300</v>
      </c>
      <c r="AR2038" t="inlineStr">
        <is>
          <t>Jobstreet, Linkedin (Paid)</t>
        </is>
      </c>
      <c r="AS2038" t="inlineStr">
        <is>
          <t>- Headcount: 20
- Hiring Job Details: 10 retails, 10 HQ positions
- Hiring Urgency: Continuous Hiring
- Number of outlets: N/A
- Have recruiter team: Yes
- Number of recruiter in company: 5
- Have ATS system: No, I don't need at all
- Have career website: Yes
- Current hiring budget: RM20,000
- Whole year budget: RM30,000.00
- Whole year number of vacancies: 300
- Hiring frequency: Every month (100%)
- External job portal: Jobstreet, Linkedin (Paid)</t>
        </is>
      </c>
      <c r="AT2038">
        <v>100</v>
      </c>
      <c r="AU2038" t="inlineStr">
        <is>
          <t>1.00</t>
        </is>
      </c>
      <c r="AV2038" t="inlineStr">
        <is>
          <t>65</t>
        </is>
      </c>
      <c r="AW2038" t="inlineStr">
        <is>
          <t>0.8</t>
        </is>
      </c>
      <c r="AX2038" t="inlineStr">
        <is>
          <t>Not Qualified</t>
        </is>
      </c>
      <c r="AY2038" s="4"/>
      <c r="AZ2038"/>
      <c r="BA2038"/>
      <c r="BB2038"/>
      <c r="BC2038" t="inlineStr">
        <is>
          <t>tell the difference between job slot and job ad 365. Syafila.</t>
        </is>
      </c>
      <c r="BD2038" s="4">
        <v>46139.69116898148</v>
      </c>
      <c r="BE2038" t="inlineStr">
        <is>
          <t>paid</t>
        </is>
      </c>
      <c r="BF2038"/>
      <c r="BG2038" t="inlineStr">
        <is>
          <t>Reschedule</t>
        </is>
      </c>
      <c r="BH2038"/>
      <c r="BI2038" t="inlineStr">
        <is>
          <t>Retail / Merchandise</t>
        </is>
      </c>
      <c r="BJ2038" s="4">
        <v>46144.751122685186</v>
      </c>
      <c r="BK2038" s="4">
        <v>44875.64204861111</v>
      </c>
      <c r="BL2038" t="inlineStr">
        <is>
          <t>6048.0</t>
        </is>
      </c>
      <c r="BM2038" t="inlineStr">
        <is>
          <t>0.0</t>
        </is>
      </c>
      <c r="BN2038" t="inlineStr">
        <is>
          <t>View Company Page</t>
        </is>
      </c>
      <c r="BO2038" s="4">
        <v>46142.73900462963</v>
      </c>
      <c r="BP2038">
        <v>166363</v>
      </c>
      <c r="BQ2038">
        <v>80448</v>
      </c>
      <c r="BR2038" t="inlineStr">
        <is>
          <t>Online</t>
        </is>
      </c>
      <c r="BS2038"/>
      <c r="BT2038">
        <v>80448</v>
      </c>
      <c r="BU2038"/>
      <c r="BV2038">
        <v>2731134</v>
      </c>
      <c r="BW2038" t="inlineStr">
        <is>
          <t>Follow Up : Quotation Sent 50%</t>
        </is>
      </c>
      <c r="BX2038">
        <v>3</v>
      </c>
      <c r="BY2038">
        <v>-31</v>
      </c>
      <c r="BZ2038" s="4">
        <v>46140.783113425925</v>
      </c>
      <c r="CA2038">
        <v>245</v>
      </c>
      <c r="CB2038">
        <v>245</v>
      </c>
      <c r="CC2038" s="4"/>
      <c r="CD2038" t="inlineStr">
        <is>
          <t>90</t>
        </is>
      </c>
      <c r="CE2038" t="inlineStr">
        <is>
          <t>0</t>
        </is>
      </c>
      <c r="CF2038" t="inlineStr">
        <is>
          <t>Q2-W02</t>
        </is>
      </c>
      <c r="CG2038"/>
      <c r="CH2038"/>
      <c r="CI2038"/>
      <c r="CJ2038" t="inlineStr">
        <is>
          <t>Paid</t>
        </is>
      </c>
      <c r="CK2038" t="inlineStr">
        <is>
          <t>Eligible</t>
        </is>
      </c>
      <c r="CL2038"/>
      <c r="CM2038"/>
    </row>
    <row r="2039" ht="25.5" customHeight="1">
      <c r="A2039" t="inlineStr">
        <is>
          <t>200914</t>
        </is>
      </c>
      <c r="B2039" s="2"/>
      <c r="C2039"/>
      <c r="D2039" s="3">
        <v>46122.45060185185</v>
      </c>
      <c r="E2039" t="inlineStr">
        <is>
          <t>Q2-W02</t>
        </is>
      </c>
      <c r="F2039" t="inlineStr">
        <is>
          <t>Xin Quan</t>
        </is>
      </c>
      <c r="G2039" t="inlineStr">
        <is>
          <t>Customer</t>
        </is>
      </c>
      <c r="H2039" s="2" t="str">
        <f>=HYPERLINK("https://upbox.ajobthing.my/customer/200914", "https://upbox.ajobthing.my/customer/200914")</f>
        <v>https://upbox.ajobthing.my/customer/200914</v>
      </c>
      <c r="I2039" t="inlineStr">
        <is>
          <t>Ptl Properties Sdn Bhd</t>
        </is>
      </c>
      <c r="J2039" t="inlineStr">
        <is>
          <t>Whale</t>
        </is>
      </c>
      <c r="K2039" t="inlineStr">
        <is>
          <t>Xin Quan</t>
        </is>
      </c>
      <c r="L2039" s="4"/>
      <c r="M2039" s="4">
        <v>46122.4509837963</v>
      </c>
      <c r="N2039"/>
      <c r="O2039">
        <v>6048</v>
      </c>
      <c r="P2039" s="4"/>
      <c r="Q2039" s="4"/>
      <c r="R2039"/>
      <c r="S2039"/>
      <c r="T2039" s="4"/>
      <c r="U2039" s="4"/>
      <c r="V2039"/>
      <c r="W2039"/>
      <c r="X2039"/>
      <c r="Y2039" t="inlineStr">
        <is>
          <t>Pending Appointment</t>
        </is>
      </c>
      <c r="Z2039" t="inlineStr">
        <is>
          <t>Hiring Now</t>
        </is>
      </c>
      <c r="AA2039">
        <v>6</v>
      </c>
      <c r="AB2039" t="inlineStr">
        <is>
          <t>No Appointment Made</t>
        </is>
      </c>
      <c r="AC2039"/>
      <c r="AD2039" t="inlineStr">
        <is>
          <t>2Sales 2HR 2Admin , Base in PENANG</t>
        </is>
      </c>
      <c r="AE2039"/>
      <c r="AF2039">
        <v>12000</v>
      </c>
      <c r="AG2039" s="4"/>
      <c r="AH2039" s="4"/>
      <c r="AI2039">
        <v>144000</v>
      </c>
      <c r="AJ2039">
        <v>1</v>
      </c>
      <c r="AK2039"/>
      <c r="AL2039"/>
      <c r="AM2039"/>
      <c r="AN2039"/>
      <c r="AO2039"/>
      <c r="AP2039"/>
      <c r="AQ2039">
        <v>12</v>
      </c>
      <c r="AR2039"/>
      <c r="AS2039" t="inlineStr">
        <is>
          <t>- Headcount: 6
- Hiring Job Details: 2 Sales, 2 HR, 2 Admin, base in PENANG
- Hiring Urgency: Hiring Now
- Number of outlets: 1
- Have recruiter team: Not specified
- Number of recruiter in company: Not specified
- Have ATS system: Not specified
- Have career website: Not specified
- Current hiring budget: RM12,000
- Whole year budget: RM144,000.00
- Whole year number of vacancies: 12
- Hiring frequency: Not specified
- External job portal: Not specified</t>
        </is>
      </c>
      <c r="AT2039">
        <v>95</v>
      </c>
      <c r="AU2039" t="inlineStr">
        <is>
          <t>0.95</t>
        </is>
      </c>
      <c r="AV2039" t="inlineStr">
        <is>
          <t>25</t>
        </is>
      </c>
      <c r="AW2039" t="inlineStr">
        <is>
          <t>0</t>
        </is>
      </c>
      <c r="AX2039" t="inlineStr">
        <is>
          <t>Not Qualified</t>
        </is>
      </c>
      <c r="AY2039" s="4"/>
      <c r="AZ2039"/>
      <c r="BA2039"/>
      <c r="BB2039"/>
      <c r="BC2039" t="inlineStr">
        <is>
          <t>NA</t>
        </is>
      </c>
      <c r="BD2039" s="4">
        <v>46140.45800925926</v>
      </c>
      <c r="BE2039"/>
      <c r="BF2039"/>
      <c r="BG2039" t="inlineStr">
        <is>
          <t>Reschedule</t>
        </is>
      </c>
      <c r="BH2039" t="inlineStr">
        <is>
          <t>Edward Hoo</t>
        </is>
      </c>
      <c r="BI2039"/>
      <c r="BJ2039" s="4">
        <v>46144.75368055556</v>
      </c>
      <c r="BK2039" s="4">
        <v>46056.5075462963</v>
      </c>
      <c r="BL2039" t="inlineStr">
        <is>
          <t>0.0</t>
        </is>
      </c>
      <c r="BM2039" t="inlineStr">
        <is>
          <t>5250.0</t>
        </is>
      </c>
      <c r="BN2039" t="inlineStr">
        <is>
          <t>View Company Page</t>
        </is>
      </c>
      <c r="BO2039" s="4">
        <v>46056.57334490741</v>
      </c>
      <c r="BP2039">
        <v>166360</v>
      </c>
      <c r="BQ2039"/>
      <c r="BR2039"/>
      <c r="BS2039"/>
      <c r="BT2039"/>
      <c r="BU2039"/>
      <c r="BV2039">
        <v>2731986</v>
      </c>
      <c r="BW2039" t="inlineStr">
        <is>
          <t>No Answer : Voicemail - WA sent to customer</t>
        </is>
      </c>
      <c r="BX2039"/>
      <c r="BY2039"/>
      <c r="BZ2039" s="4"/>
      <c r="CA2039"/>
      <c r="CB2039"/>
      <c r="CC2039" s="4"/>
      <c r="CD2039" t="inlineStr">
        <is>
          <t>35</t>
        </is>
      </c>
      <c r="CE2039" t="inlineStr">
        <is>
          <t>0</t>
        </is>
      </c>
      <c r="CF2039" t="inlineStr">
        <is>
          <t>Q2-W02</t>
        </is>
      </c>
      <c r="CG2039"/>
      <c r="CH2039"/>
      <c r="CI2039"/>
      <c r="CJ2039" t="inlineStr">
        <is>
          <t>No Paid</t>
        </is>
      </c>
      <c r="CK2039" t="inlineStr">
        <is>
          <t>Eligible</t>
        </is>
      </c>
      <c r="CL2039"/>
      <c r="CM2039"/>
    </row>
    <row r="2040" ht="25.5" customHeight="1">
      <c r="A2040" t="inlineStr">
        <is>
          <t>203068</t>
        </is>
      </c>
      <c r="B2040" s="2"/>
      <c r="C2040"/>
      <c r="D2040" s="3">
        <v>46122.45107638889</v>
      </c>
      <c r="E2040" t="inlineStr">
        <is>
          <t>Q2-W02</t>
        </is>
      </c>
      <c r="F2040" t="inlineStr">
        <is>
          <t>Josh</t>
        </is>
      </c>
      <c r="G2040" t="inlineStr">
        <is>
          <t>Customer</t>
        </is>
      </c>
      <c r="H2040" s="2" t="str">
        <f>=HYPERLINK("https://upbox.ajobthing.my/customer/203068", "https://upbox.ajobthing.my/customer/203068")</f>
        <v>https://upbox.ajobthing.my/customer/203068</v>
      </c>
      <c r="I2040" t="inlineStr">
        <is>
          <t>Pasaraya AM Trading Sdn Bhd</t>
        </is>
      </c>
      <c r="J2040" t="inlineStr">
        <is>
          <t>Whale</t>
        </is>
      </c>
      <c r="K2040" t="inlineStr">
        <is>
          <t>Josh</t>
        </is>
      </c>
      <c r="L2040" s="4"/>
      <c r="M2040" s="4">
        <v>46122.4516087963</v>
      </c>
      <c r="N2040"/>
      <c r="O2040">
        <v>1296</v>
      </c>
      <c r="P2040" s="4"/>
      <c r="Q2040" s="4"/>
      <c r="R2040"/>
      <c r="S2040"/>
      <c r="T2040" s="4"/>
      <c r="U2040" s="4"/>
      <c r="V2040"/>
      <c r="W2040"/>
      <c r="X2040"/>
      <c r="Y2040" t="inlineStr">
        <is>
          <t>Pending Appointment</t>
        </is>
      </c>
      <c r="Z2040" t="inlineStr">
        <is>
          <t>Hiring Now</t>
        </is>
      </c>
      <c r="AA2040">
        <v>1</v>
      </c>
      <c r="AB2040" t="inlineStr">
        <is>
          <t>No Appointment Made</t>
        </is>
      </c>
      <c r="AC2040"/>
      <c r="AD2040" t="inlineStr">
        <is>
          <t xml:space="preserve">1 store assistant manager </t>
        </is>
      </c>
      <c r="AE2040"/>
      <c r="AF2040">
        <v>1000</v>
      </c>
      <c r="AG2040" s="4"/>
      <c r="AH2040" s="4"/>
      <c r="AI2040"/>
      <c r="AJ2040"/>
      <c r="AK2040" t="inlineStr">
        <is>
          <t>Yes, I have</t>
        </is>
      </c>
      <c r="AL2040"/>
      <c r="AM2040"/>
      <c r="AN2040"/>
      <c r="AO2040"/>
      <c r="AP2040" t="inlineStr">
        <is>
          <t>Once a year (25%)</t>
        </is>
      </c>
      <c r="AQ2040"/>
      <c r="AR2040"/>
      <c r="AS2040" t="inlineStr">
        <is>
          <t>- Headcount: 1
- Hiring Job Details: 1 store assistant manager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040">
        <v>95</v>
      </c>
      <c r="AU2040" t="inlineStr">
        <is>
          <t>0.95</t>
        </is>
      </c>
      <c r="AV2040" t="inlineStr">
        <is>
          <t>15</t>
        </is>
      </c>
      <c r="AW2040" t="inlineStr">
        <is>
          <t>0</t>
        </is>
      </c>
      <c r="AX2040" t="inlineStr">
        <is>
          <t>Not Qualified</t>
        </is>
      </c>
      <c r="AY2040" s="4"/>
      <c r="AZ2040"/>
      <c r="BA2040"/>
      <c r="BB2040"/>
      <c r="BC2040" t="inlineStr">
        <is>
          <t>- Headcount: 1
- Hiring Job Details: 1 store assistant manager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BD2040" s="4">
        <v>46122.45835648148</v>
      </c>
      <c r="BE2040"/>
      <c r="BF2040"/>
      <c r="BG2040" t="inlineStr">
        <is>
          <t>Reschedule</t>
        </is>
      </c>
      <c r="BH2040" t="inlineStr">
        <is>
          <t>Fauziah Maharan</t>
        </is>
      </c>
      <c r="BI2040"/>
      <c r="BJ2040" s="4">
        <v>46144.754212962966</v>
      </c>
      <c r="BK2040" s="4">
        <v>46122.35181712963</v>
      </c>
      <c r="BL2040" t="inlineStr">
        <is>
          <t>0.0</t>
        </is>
      </c>
      <c r="BM2040" t="inlineStr">
        <is>
          <t>600.0</t>
        </is>
      </c>
      <c r="BN2040" t="inlineStr">
        <is>
          <t>View Company Page</t>
        </is>
      </c>
      <c r="BO2040" s="4">
        <v>46122.35680555556</v>
      </c>
      <c r="BP2040">
        <v>166361</v>
      </c>
      <c r="BQ2040"/>
      <c r="BR2040"/>
      <c r="BS2040"/>
      <c r="BT2040"/>
      <c r="BU2040"/>
      <c r="BV2040">
        <v>2697602</v>
      </c>
      <c r="BW2040" t="inlineStr">
        <is>
          <t>Customer Inquiry</t>
        </is>
      </c>
      <c r="BX2040"/>
      <c r="BY2040"/>
      <c r="BZ2040" s="4"/>
      <c r="CA2040"/>
      <c r="CB2040"/>
      <c r="CC2040" s="4"/>
      <c r="CD2040" t="inlineStr">
        <is>
          <t>20</t>
        </is>
      </c>
      <c r="CE2040" t="inlineStr">
        <is>
          <t>0</t>
        </is>
      </c>
      <c r="CF2040" t="inlineStr">
        <is>
          <t>Q2-W02</t>
        </is>
      </c>
      <c r="CG2040"/>
      <c r="CH2040"/>
      <c r="CI2040"/>
      <c r="CJ2040" t="inlineStr">
        <is>
          <t>No Paid</t>
        </is>
      </c>
      <c r="CK2040" t="inlineStr">
        <is>
          <t>Eligible</t>
        </is>
      </c>
      <c r="CL2040"/>
      <c r="CM2040"/>
    </row>
    <row r="2041" ht="25.5" customHeight="1">
      <c r="A2041" t="inlineStr">
        <is>
          <t>203074</t>
        </is>
      </c>
      <c r="B2041" s="2"/>
      <c r="C2041"/>
      <c r="D2041" s="3">
        <v>46122.46130787037</v>
      </c>
      <c r="E2041" t="inlineStr">
        <is>
          <t>Q2-W02</t>
        </is>
      </c>
      <c r="F2041" t="inlineStr">
        <is>
          <t>Yvonne Lee</t>
        </is>
      </c>
      <c r="G2041" t="inlineStr">
        <is>
          <t>Customer</t>
        </is>
      </c>
      <c r="H2041" s="2" t="str">
        <f>=HYPERLINK("https://upbox.ajobthing.my/customer/203074", "https://upbox.ajobthing.my/customer/203074")</f>
        <v>https://upbox.ajobthing.my/customer/203074</v>
      </c>
      <c r="I2041" t="inlineStr">
        <is>
          <t>come come trading sdn bhd</t>
        </is>
      </c>
      <c r="J2041" t="inlineStr">
        <is>
          <t>Whale</t>
        </is>
      </c>
      <c r="K2041" t="inlineStr">
        <is>
          <t>Yvonne</t>
        </is>
      </c>
      <c r="L2041" s="4"/>
      <c r="M2041" s="4">
        <v>46122.46233796296</v>
      </c>
      <c r="N2041"/>
      <c r="O2041">
        <v>11448</v>
      </c>
      <c r="P2041" s="4"/>
      <c r="Q2041" s="4"/>
      <c r="R2041"/>
      <c r="S2041"/>
      <c r="T2041" s="4"/>
      <c r="U2041" s="4"/>
      <c r="V2041"/>
      <c r="W2041"/>
      <c r="X2041"/>
      <c r="Y2041" t="inlineStr">
        <is>
          <t>Pending Appointment</t>
        </is>
      </c>
      <c r="Z2041" t="inlineStr">
        <is>
          <t>Hiring Now</t>
        </is>
      </c>
      <c r="AA2041">
        <v>4</v>
      </c>
      <c r="AB2041" t="inlineStr">
        <is>
          <t>No Appointment Made</t>
        </is>
      </c>
      <c r="AC2041"/>
      <c r="AD2041" t="inlineStr">
        <is>
          <t>1) HR Manager
2) Finance
3) Customer Service Assistant
4) Delivery Assistant</t>
        </is>
      </c>
      <c r="AE2041"/>
      <c r="AF2041">
        <v>8000</v>
      </c>
      <c r="AG2041" s="4"/>
      <c r="AH2041" s="4"/>
      <c r="AI2041">
        <v>8000</v>
      </c>
      <c r="AJ2041">
        <v>1</v>
      </c>
      <c r="AK2041" t="inlineStr">
        <is>
          <t>Yes, I have</t>
        </is>
      </c>
      <c r="AL2041">
        <v>2</v>
      </c>
      <c r="AM2041" t="inlineStr">
        <is>
          <t>No, I don't need at all</t>
        </is>
      </c>
      <c r="AN2041"/>
      <c r="AO2041" t="inlineStr">
        <is>
          <t>No, I don't need at all</t>
        </is>
      </c>
      <c r="AP2041" t="inlineStr">
        <is>
          <t>Once per quarter (75%)</t>
        </is>
      </c>
      <c r="AQ2041">
        <v>16</v>
      </c>
      <c r="AR2041" t="inlineStr">
        <is>
          <t>Free Job Portal</t>
        </is>
      </c>
      <c r="AS2041" t="inlineStr">
        <is>
          <t>- Headcount: 4
- Hiring Job Details: 1) HR Manager\n2) Finance\n3) Customer Service Assistant\n4) Delivery Assistant
- Hiring Urgency: Hiring Now
- Number of outlets: 1
- Have recruiter team: Yes
- Number of recruiter in company: 2
- Have ATS system: No, I don't need at all
- Have career website: No, I don't need at all
- Current hiring budget: RM8,000
- Whole year budget: RM8,000.00
- Whole year number of vacancies: 16
- Hiring frequency: Once per quarter (75%)
- External job portal: Free Job Portal</t>
        </is>
      </c>
      <c r="AT2041">
        <v>95</v>
      </c>
      <c r="AU2041" t="inlineStr">
        <is>
          <t>0.95</t>
        </is>
      </c>
      <c r="AV2041" t="inlineStr">
        <is>
          <t>15</t>
        </is>
      </c>
      <c r="AW2041" t="inlineStr">
        <is>
          <t>0</t>
        </is>
      </c>
      <c r="AX2041" t="inlineStr">
        <is>
          <t>Not Qualified</t>
        </is>
      </c>
      <c r="AY2041" s="4"/>
      <c r="AZ2041"/>
      <c r="BA2041"/>
      <c r="BB2041"/>
      <c r="BC2041" t="inlineStr">
        <is>
          <t>pending decision still look free posting in jobstreet as well.</t>
        </is>
      </c>
      <c r="BD2041" s="4">
        <v>46142.65043981482</v>
      </c>
      <c r="BE2041"/>
      <c r="BF2041"/>
      <c r="BG2041" t="inlineStr">
        <is>
          <t>Reschedule</t>
        </is>
      </c>
      <c r="BH2041" t="inlineStr">
        <is>
          <t>andy@ajobthing.com</t>
        </is>
      </c>
      <c r="BI2041"/>
      <c r="BJ2041" s="4">
        <v>46144.754212962966</v>
      </c>
      <c r="BK2041" s="4">
        <v>46122.44878472222</v>
      </c>
      <c r="BL2041" t="inlineStr">
        <is>
          <t>0.0</t>
        </is>
      </c>
      <c r="BM2041" t="inlineStr">
        <is>
          <t>0.0</t>
        </is>
      </c>
      <c r="BN2041" t="inlineStr">
        <is>
          <t>View Company Page</t>
        </is>
      </c>
      <c r="BO2041" s="4">
        <v>46124.8253125</v>
      </c>
      <c r="BP2041">
        <v>166372</v>
      </c>
      <c r="BQ2041"/>
      <c r="BR2041"/>
      <c r="BS2041"/>
      <c r="BT2041"/>
      <c r="BU2041"/>
      <c r="BV2041">
        <v>2737995</v>
      </c>
      <c r="BW2041" t="inlineStr">
        <is>
          <t>Follow Up : Decision Pending</t>
        </is>
      </c>
      <c r="BX2041"/>
      <c r="BY2041"/>
      <c r="BZ2041" s="4"/>
      <c r="CA2041"/>
      <c r="CB2041"/>
      <c r="CC2041" s="4"/>
      <c r="CD2041" t="inlineStr">
        <is>
          <t>20</t>
        </is>
      </c>
      <c r="CE2041" t="inlineStr">
        <is>
          <t>0</t>
        </is>
      </c>
      <c r="CF2041" t="inlineStr">
        <is>
          <t>Q2-W02</t>
        </is>
      </c>
      <c r="CG2041"/>
      <c r="CH2041"/>
      <c r="CI2041"/>
      <c r="CJ2041" t="inlineStr">
        <is>
          <t>No Paid</t>
        </is>
      </c>
      <c r="CK2041" t="inlineStr">
        <is>
          <t>Eligible</t>
        </is>
      </c>
      <c r="CL2041"/>
      <c r="CM2041"/>
    </row>
    <row r="2042" ht="25.5" customHeight="1">
      <c r="A2042" t="inlineStr">
        <is>
          <t>194598</t>
        </is>
      </c>
      <c r="B2042" s="2"/>
      <c r="C2042"/>
      <c r="D2042" s="3">
        <v>46122.47673611111</v>
      </c>
      <c r="E2042" t="inlineStr">
        <is>
          <t>Q2-W02</t>
        </is>
      </c>
      <c r="F2042" t="inlineStr">
        <is>
          <t>Evan</t>
        </is>
      </c>
      <c r="G2042" t="inlineStr">
        <is>
          <t>Customer</t>
        </is>
      </c>
      <c r="H2042" s="2" t="str">
        <f>=HYPERLINK("https://upbox.ajobthing.my/customer/194598", "https://upbox.ajobthing.my/customer/194598")</f>
        <v>https://upbox.ajobthing.my/customer/194598</v>
      </c>
      <c r="I2042" t="inlineStr">
        <is>
          <t>AllStar IP (Malaysia) Sdn Bhd</t>
        </is>
      </c>
      <c r="J2042" t="inlineStr">
        <is>
          <t>Whale</t>
        </is>
      </c>
      <c r="K2042" t="inlineStr">
        <is>
          <t>Evan</t>
        </is>
      </c>
      <c r="L2042" s="4"/>
      <c r="M2042" s="4">
        <v>46122.45060185185</v>
      </c>
      <c r="N2042"/>
      <c r="O2042">
        <v>3672</v>
      </c>
      <c r="P2042" s="4"/>
      <c r="Q2042" s="4">
        <v>45974.44877314815</v>
      </c>
      <c r="R2042"/>
      <c r="S2042">
        <v>3672</v>
      </c>
      <c r="T2042" s="4">
        <v>45974.44877314815</v>
      </c>
      <c r="U2042" s="4"/>
      <c r="V2042"/>
      <c r="W2042">
        <v>3672</v>
      </c>
      <c r="X2042"/>
      <c r="Y2042" t="inlineStr">
        <is>
          <t>Pending Appointment</t>
        </is>
      </c>
      <c r="Z2042" t="inlineStr">
        <is>
          <t>Continuous Hiring</t>
        </is>
      </c>
      <c r="AA2042">
        <v>1</v>
      </c>
      <c r="AB2042" t="inlineStr">
        <is>
          <t>No Appointment Made</t>
        </is>
      </c>
      <c r="AC2042"/>
      <c r="AD2042" t="inlineStr">
        <is>
          <t>1 admin</t>
        </is>
      </c>
      <c r="AE2042"/>
      <c r="AF2042">
        <v>1</v>
      </c>
      <c r="AG2042" s="4"/>
      <c r="AH2042" s="4"/>
      <c r="AI2042">
        <v>1</v>
      </c>
      <c r="AJ2042">
        <v>1</v>
      </c>
      <c r="AK2042" t="inlineStr">
        <is>
          <t>No, I don't need at all</t>
        </is>
      </c>
      <c r="AL2042">
        <v>0</v>
      </c>
      <c r="AM2042" t="inlineStr">
        <is>
          <t>No, I don't need at all</t>
        </is>
      </c>
      <c r="AN2042"/>
      <c r="AO2042" t="inlineStr">
        <is>
          <t>No, I don't need at all</t>
        </is>
      </c>
      <c r="AP2042" t="inlineStr">
        <is>
          <t>Once a year (25%)</t>
        </is>
      </c>
      <c r="AQ2042">
        <v>1</v>
      </c>
      <c r="AR2042" t="inlineStr">
        <is>
          <t>Jobstreet</t>
        </is>
      </c>
      <c r="AS2042" t="inlineStr">
        <is>
          <t>- Headcount: 1
- Hiring Job Details: 1 admin
- Hiring Urgency: Continuous Hiring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AT2042">
        <v>115</v>
      </c>
      <c r="AU2042" t="inlineStr">
        <is>
          <t>1.15</t>
        </is>
      </c>
      <c r="AV2042" t="inlineStr">
        <is>
          <t>15</t>
        </is>
      </c>
      <c r="AW2042" t="inlineStr">
        <is>
          <t>0</t>
        </is>
      </c>
      <c r="AX2042" t="inlineStr">
        <is>
          <t>Not Qualified</t>
        </is>
      </c>
      <c r="AY2042" s="4"/>
      <c r="AZ2042"/>
      <c r="BA2042"/>
      <c r="BB2042"/>
      <c r="BC2042" t="inlineStr">
        <is>
          <t>ming all ok</t>
        </is>
      </c>
      <c r="BD2042" s="4">
        <v>46139.4441087963</v>
      </c>
      <c r="BE2042" t="inlineStr">
        <is>
          <t>paid</t>
        </is>
      </c>
      <c r="BF2042"/>
      <c r="BG2042" t="inlineStr">
        <is>
          <t>Reschedule</t>
        </is>
      </c>
      <c r="BH2042" t="inlineStr">
        <is>
          <t>Edward Hoo</t>
        </is>
      </c>
      <c r="BI2042" t="inlineStr">
        <is>
          <t>Entertainment / Media</t>
        </is>
      </c>
      <c r="BJ2042" s="4">
        <v>46144.75271990741</v>
      </c>
      <c r="BK2042" s="4">
        <v>45873.75019675926</v>
      </c>
      <c r="BL2042" t="inlineStr">
        <is>
          <t>4860.0</t>
        </is>
      </c>
      <c r="BM2042" t="inlineStr">
        <is>
          <t>600.0</t>
        </is>
      </c>
      <c r="BN2042" t="inlineStr">
        <is>
          <t>View Jobmanager Page</t>
        </is>
      </c>
      <c r="BO2042" s="4">
        <v>46092.70452546296</v>
      </c>
      <c r="BP2042">
        <v>166358</v>
      </c>
      <c r="BQ2042">
        <v>84134</v>
      </c>
      <c r="BR2042" t="inlineStr">
        <is>
          <t>Online</t>
        </is>
      </c>
      <c r="BS2042"/>
      <c r="BT2042">
        <v>84134</v>
      </c>
      <c r="BU2042"/>
      <c r="BV2042">
        <v>2728420</v>
      </c>
      <c r="BW2042" t="inlineStr">
        <is>
          <t>Service / Technical : Job Outcome Enquiry</t>
        </is>
      </c>
      <c r="BX2042">
        <v>6</v>
      </c>
      <c r="BY2042">
        <v>0</v>
      </c>
      <c r="BZ2042" s="4">
        <v>46048.44105324074</v>
      </c>
      <c r="CA2042">
        <v>60</v>
      </c>
      <c r="CB2042">
        <v>56</v>
      </c>
      <c r="CC2042" s="4">
        <v>46029.771145833336</v>
      </c>
      <c r="CD2042" t="inlineStr">
        <is>
          <t>20</t>
        </is>
      </c>
      <c r="CE2042" t="inlineStr">
        <is>
          <t>0</t>
        </is>
      </c>
      <c r="CF2042" t="inlineStr">
        <is>
          <t>Q2-W02</t>
        </is>
      </c>
      <c r="CG2042"/>
      <c r="CH2042"/>
      <c r="CI2042"/>
      <c r="CJ2042" t="inlineStr">
        <is>
          <t>Paid</t>
        </is>
      </c>
      <c r="CK2042" t="inlineStr">
        <is>
          <t>Eligible</t>
        </is>
      </c>
      <c r="CL2042"/>
      <c r="CM2042"/>
    </row>
    <row r="2043" ht="25.5" customHeight="1">
      <c r="A2043" t="inlineStr">
        <is>
          <t>203076</t>
        </is>
      </c>
      <c r="B2043" s="2"/>
      <c r="C2043"/>
      <c r="D2043" s="3">
        <v>46122.49291666667</v>
      </c>
      <c r="E2043" t="inlineStr">
        <is>
          <t>Q2-W02</t>
        </is>
      </c>
      <c r="F2043" t="inlineStr">
        <is>
          <t>Yvonne Lee</t>
        </is>
      </c>
      <c r="G2043" t="inlineStr">
        <is>
          <t>Customer</t>
        </is>
      </c>
      <c r="H2043" s="2" t="str">
        <f>=HYPERLINK("https://upbox.ajobthing.my/customer/203076", "https://upbox.ajobthing.my/customer/203076")</f>
        <v>https://upbox.ajobthing.my/customer/203076</v>
      </c>
      <c r="I2043" t="inlineStr">
        <is>
          <t xml:space="preserve">Chen Guan Air-Conditioning </t>
        </is>
      </c>
      <c r="J2043" t="inlineStr">
        <is>
          <t>Whale</t>
        </is>
      </c>
      <c r="K2043" t="inlineStr">
        <is>
          <t>Yvonne</t>
        </is>
      </c>
      <c r="L2043" s="4"/>
      <c r="M2043" s="4">
        <v>46122.49599537037</v>
      </c>
      <c r="N2043"/>
      <c r="O2043">
        <v>10800</v>
      </c>
      <c r="P2043" s="4"/>
      <c r="Q2043" s="4"/>
      <c r="R2043"/>
      <c r="S2043"/>
      <c r="T2043" s="4"/>
      <c r="U2043" s="4"/>
      <c r="V2043"/>
      <c r="W2043"/>
      <c r="X2043"/>
      <c r="Y2043" t="inlineStr">
        <is>
          <t>Pending Appointment</t>
        </is>
      </c>
      <c r="Z2043" t="inlineStr">
        <is>
          <t>Hiring Now</t>
        </is>
      </c>
      <c r="AA2043">
        <v>2</v>
      </c>
      <c r="AB2043" t="inlineStr">
        <is>
          <t>No Appointment Made</t>
        </is>
      </c>
      <c r="AC2043"/>
      <c r="AD2043" t="inlineStr">
        <is>
          <t>1) Project Engineer 
2) Project supervisor</t>
        </is>
      </c>
      <c r="AE2043"/>
      <c r="AF2043">
        <v>12000</v>
      </c>
      <c r="AG2043" s="4"/>
      <c r="AH2043" s="4"/>
      <c r="AI2043">
        <v>12000</v>
      </c>
      <c r="AJ2043">
        <v>1</v>
      </c>
      <c r="AK2043" t="inlineStr">
        <is>
          <t>Yes, I have</t>
        </is>
      </c>
      <c r="AL2043">
        <v>3</v>
      </c>
      <c r="AM2043" t="inlineStr">
        <is>
          <t>No, I don't need at all</t>
        </is>
      </c>
      <c r="AN2043"/>
      <c r="AO2043" t="inlineStr">
        <is>
          <t>Yes, I have</t>
        </is>
      </c>
      <c r="AP2043" t="inlineStr">
        <is>
          <t>Once per quarter (75%)</t>
        </is>
      </c>
      <c r="AQ2043">
        <v>120</v>
      </c>
      <c r="AR2043" t="inlineStr">
        <is>
          <t>Free Job Portal</t>
        </is>
      </c>
      <c r="AS2043" t="inlineStr">
        <is>
          <t>- Headcount: 2
- Hiring Job Details: 1) Project Engineer 2) Project supervisor
- Hiring Urgency: Hiring Now
- Number of outlets: 1
- Have recruiter team: Yes
- Number of recruiter in company: 3
- Have ATS system: No, I don't need at all
- Have career website: Yes
- Current hiring budget: RM12,000
- Whole year budget: RM12,000.00
- Whole year number of vacancies: 120
- Hiring frequency: Once per quarter (75%)
- External job portal: Free Job Portal</t>
        </is>
      </c>
      <c r="AT2043">
        <v>105</v>
      </c>
      <c r="AU2043" t="inlineStr">
        <is>
          <t>1.05</t>
        </is>
      </c>
      <c r="AV2043" t="inlineStr">
        <is>
          <t>20</t>
        </is>
      </c>
      <c r="AW2043" t="inlineStr">
        <is>
          <t>0</t>
        </is>
      </c>
      <c r="AX2043" t="inlineStr">
        <is>
          <t>Not Qualified</t>
        </is>
      </c>
      <c r="AY2043" s="4"/>
      <c r="AZ2043"/>
      <c r="BA2043"/>
      <c r="BB2043"/>
      <c r="BC2043" t="inlineStr">
        <is>
          <t>Pending decision still in review.</t>
        </is>
      </c>
      <c r="BD2043" s="4">
        <v>46142.58193287037</v>
      </c>
      <c r="BE2043"/>
      <c r="BF2043"/>
      <c r="BG2043" t="inlineStr">
        <is>
          <t>Reschedule</t>
        </is>
      </c>
      <c r="BH2043" t="inlineStr">
        <is>
          <t>andy@ajobthing.com</t>
        </is>
      </c>
      <c r="BI2043"/>
      <c r="BJ2043" s="4">
        <v>46144.754212962966</v>
      </c>
      <c r="BK2043" s="4">
        <v>46122.45196759259</v>
      </c>
      <c r="BL2043" t="inlineStr">
        <is>
          <t>0.0</t>
        </is>
      </c>
      <c r="BM2043" t="inlineStr">
        <is>
          <t>0.0</t>
        </is>
      </c>
      <c r="BN2043" t="inlineStr">
        <is>
          <t>View Account User</t>
        </is>
      </c>
      <c r="BO2043" s="4">
        <v>46122.46162037037</v>
      </c>
      <c r="BP2043">
        <v>166393</v>
      </c>
      <c r="BQ2043"/>
      <c r="BR2043"/>
      <c r="BS2043"/>
      <c r="BT2043"/>
      <c r="BU2043"/>
      <c r="BV2043">
        <v>2737581</v>
      </c>
      <c r="BW2043" t="inlineStr">
        <is>
          <t>Follow Up : Decision Pending</t>
        </is>
      </c>
      <c r="BX2043"/>
      <c r="BY2043"/>
      <c r="BZ2043" s="4"/>
      <c r="CA2043"/>
      <c r="CB2043"/>
      <c r="CC2043" s="4"/>
      <c r="CD2043" t="inlineStr">
        <is>
          <t>25</t>
        </is>
      </c>
      <c r="CE2043" t="inlineStr">
        <is>
          <t>0</t>
        </is>
      </c>
      <c r="CF2043" t="inlineStr">
        <is>
          <t>Q2-W02</t>
        </is>
      </c>
      <c r="CG2043"/>
      <c r="CH2043"/>
      <c r="CI2043"/>
      <c r="CJ2043" t="inlineStr">
        <is>
          <t>No Paid</t>
        </is>
      </c>
      <c r="CK2043" t="inlineStr">
        <is>
          <t>Eligible</t>
        </is>
      </c>
      <c r="CL2043"/>
      <c r="CM2043"/>
    </row>
    <row r="2044" ht="25.5" customHeight="1">
      <c r="A2044" t="inlineStr">
        <is>
          <t>149790</t>
        </is>
      </c>
      <c r="B2044" s="2"/>
      <c r="C2044"/>
      <c r="D2044" s="3">
        <v>46122.54516203704</v>
      </c>
      <c r="E2044" t="inlineStr">
        <is>
          <t>Q2-W02</t>
        </is>
      </c>
      <c r="F2044" t="inlineStr">
        <is>
          <t>Yuli</t>
        </is>
      </c>
      <c r="G2044" t="inlineStr">
        <is>
          <t>Customer</t>
        </is>
      </c>
      <c r="H2044" s="2" t="str">
        <f>=HYPERLINK("https://upbox.ajobthing.my/customer/149790", "https://upbox.ajobthing.my/customer/149790")</f>
        <v>https://upbox.ajobthing.my/customer/149790</v>
      </c>
      <c r="I2044" t="inlineStr">
        <is>
          <t>Kim Hin Joo (M) Berhad</t>
        </is>
      </c>
      <c r="J2044" t="inlineStr">
        <is>
          <t>Whale</t>
        </is>
      </c>
      <c r="K2044" t="inlineStr">
        <is>
          <t>YuLi</t>
        </is>
      </c>
      <c r="L2044" s="4"/>
      <c r="M2044" s="4">
        <v>46122.54553240741</v>
      </c>
      <c r="N2044"/>
      <c r="O2044">
        <v>6048</v>
      </c>
      <c r="P2044" s="4"/>
      <c r="Q2044" s="4">
        <v>46122.508206018516</v>
      </c>
      <c r="R2044"/>
      <c r="S2044">
        <v>0</v>
      </c>
      <c r="T2044" s="4">
        <v>45456</v>
      </c>
      <c r="U2044" s="4"/>
      <c r="V2044"/>
      <c r="W2044">
        <v>2916</v>
      </c>
      <c r="X2044"/>
      <c r="Y2044" t="inlineStr">
        <is>
          <t>Pending Appointment</t>
        </is>
      </c>
      <c r="Z2044"/>
      <c r="AA2044">
        <v>1</v>
      </c>
      <c r="AB2044" t="inlineStr">
        <is>
          <t>No Appointment Made</t>
        </is>
      </c>
      <c r="AC2044"/>
      <c r="AD2044" t="inlineStr">
        <is>
          <t xml:space="preserve">1 Account </t>
        </is>
      </c>
      <c r="AE2044"/>
      <c r="AF2044"/>
      <c r="AG2044" s="4"/>
      <c r="AH2044" s="4"/>
      <c r="AI2044"/>
      <c r="AJ2044">
        <v>14</v>
      </c>
      <c r="AK2044" t="inlineStr">
        <is>
          <t>Yes, I have</t>
        </is>
      </c>
      <c r="AL2044">
        <v>3</v>
      </c>
      <c r="AM2044"/>
      <c r="AN2044"/>
      <c r="AO2044"/>
      <c r="AP2044"/>
      <c r="AQ2044"/>
      <c r="AR2044" t="inlineStr">
        <is>
          <t>Jobstreet, Linkedin (Paid)</t>
        </is>
      </c>
      <c r="AS2044" t="inlineStr">
        <is>
          <t>- Headcount: 1
- Hiring Job Details: 1 Account
- Number of outlets: 14
- Have recruiter team: Yes
- Number of recruiter in company: 3
- Have ATS system: Not specified
- Have career website: Not specified
- Current hiring budget: Not specified
- Whole year budget: Not specified
- Whole year number of vacancies: Not specified
- Hiring frequency: Not specified
- Hiring Urgency: Not specified
- External job portal: Jobstreet, Linkedin (Paid)</t>
        </is>
      </c>
      <c r="AT2044">
        <v>35</v>
      </c>
      <c r="AU2044" t="inlineStr">
        <is>
          <t>0.35</t>
        </is>
      </c>
      <c r="AV2044" t="inlineStr">
        <is>
          <t>5</t>
        </is>
      </c>
      <c r="AW2044" t="inlineStr">
        <is>
          <t>0</t>
        </is>
      </c>
      <c r="AX2044" t="inlineStr">
        <is>
          <t>Not Qualified</t>
        </is>
      </c>
      <c r="AY2044" s="4"/>
      <c r="AZ2044"/>
      <c r="BA2044"/>
      <c r="BB2044"/>
      <c r="BC2044" t="inlineStr">
        <is>
          <t>called and spoke to Zi xin, not to proceed with us as they already hired from JS, and no other position open to hire</t>
        </is>
      </c>
      <c r="BD2044" s="4">
        <v>46134.56759259259</v>
      </c>
      <c r="BE2044" t="inlineStr">
        <is>
          <t>paid</t>
        </is>
      </c>
      <c r="BF2044"/>
      <c r="BG2044" t="inlineStr">
        <is>
          <t>Reschedule</t>
        </is>
      </c>
      <c r="BH2044" t="inlineStr">
        <is>
          <t>Fauziah Maharan</t>
        </is>
      </c>
      <c r="BI2044" t="inlineStr">
        <is>
          <t>Retail / Merchandise</t>
        </is>
      </c>
      <c r="BJ2044" s="4">
        <v>46144.75082175926</v>
      </c>
      <c r="BK2044" s="4">
        <v>44628.74207175926</v>
      </c>
      <c r="BL2044" t="inlineStr">
        <is>
          <t>0.0</t>
        </is>
      </c>
      <c r="BM2044" t="inlineStr">
        <is>
          <t>0.0</t>
        </is>
      </c>
      <c r="BN2044" t="inlineStr">
        <is>
          <t>View Company Page</t>
        </is>
      </c>
      <c r="BO2044" s="4">
        <v>46122.61503472222</v>
      </c>
      <c r="BP2044">
        <v>166412</v>
      </c>
      <c r="BQ2044">
        <v>121644</v>
      </c>
      <c r="BR2044" t="inlineStr">
        <is>
          <t>Proforma</t>
        </is>
      </c>
      <c r="BS2044" t="inlineStr">
        <is>
          <t>Free Freelance Job</t>
        </is>
      </c>
      <c r="BT2044">
        <v>69893</v>
      </c>
      <c r="BU2044"/>
      <c r="BV2044">
        <v>2720457</v>
      </c>
      <c r="BW2044" t="inlineStr">
        <is>
          <t>Follow Up : Lost - Paid Portal</t>
        </is>
      </c>
      <c r="BX2044"/>
      <c r="BY2044"/>
      <c r="BZ2044" s="4"/>
      <c r="CA2044"/>
      <c r="CB2044"/>
      <c r="CC2044" s="4"/>
      <c r="CD2044" t="inlineStr">
        <is>
          <t>5</t>
        </is>
      </c>
      <c r="CE2044" t="inlineStr">
        <is>
          <t>0</t>
        </is>
      </c>
      <c r="CF2044" t="inlineStr">
        <is>
          <t>Q2-W02</t>
        </is>
      </c>
      <c r="CG2044" t="inlineStr">
        <is>
          <t>Q2-W02</t>
        </is>
      </c>
      <c r="CH2044"/>
      <c r="CI2044"/>
      <c r="CJ2044" t="inlineStr">
        <is>
          <t>Paid</t>
        </is>
      </c>
      <c r="CK2044" t="inlineStr">
        <is>
          <t>Eligible</t>
        </is>
      </c>
      <c r="CL2044"/>
      <c r="CM2044"/>
    </row>
    <row r="2045" ht="25.5" customHeight="1">
      <c r="A2045" t="inlineStr">
        <is>
          <t>6329</t>
        </is>
      </c>
      <c r="B2045" s="2"/>
      <c r="C2045"/>
      <c r="D2045" s="3">
        <v>46122.58372685185</v>
      </c>
      <c r="E2045" t="inlineStr">
        <is>
          <t>Q2-W02</t>
        </is>
      </c>
      <c r="F2045" t="inlineStr">
        <is>
          <t>Ratha</t>
        </is>
      </c>
      <c r="G2045" t="inlineStr">
        <is>
          <t>Customer</t>
        </is>
      </c>
      <c r="H2045" s="2" t="str">
        <f>=HYPERLINK("https://upbox.ajobthing.my/customer/6329", "https://upbox.ajobthing.my/customer/6329")</f>
        <v>https://upbox.ajobthing.my/customer/6329</v>
      </c>
      <c r="I2045" t="inlineStr">
        <is>
          <t>Escatec Mechatronics Sdn Bhd</t>
        </is>
      </c>
      <c r="J2045" t="inlineStr">
        <is>
          <t>Whale</t>
        </is>
      </c>
      <c r="K2045" t="inlineStr">
        <is>
          <t>Ratha</t>
        </is>
      </c>
      <c r="L2045" s="4"/>
      <c r="M2045" s="4">
        <v>46122.58425925926</v>
      </c>
      <c r="N2045"/>
      <c r="O2045">
        <v>5832</v>
      </c>
      <c r="P2045" s="4"/>
      <c r="Q2045" s="4"/>
      <c r="R2045"/>
      <c r="S2045"/>
      <c r="T2045" s="4"/>
      <c r="U2045" s="4"/>
      <c r="V2045"/>
      <c r="W2045"/>
      <c r="X2045"/>
      <c r="Y2045" t="inlineStr">
        <is>
          <t>Pending Appointment</t>
        </is>
      </c>
      <c r="Z2045" t="inlineStr">
        <is>
          <t>Hiring Later</t>
        </is>
      </c>
      <c r="AA2045">
        <v>2</v>
      </c>
      <c r="AB2045" t="inlineStr">
        <is>
          <t>No Appointment Made</t>
        </is>
      </c>
      <c r="AC2045"/>
      <c r="AD2045" t="inlineStr">
        <is>
          <t>engineering, manufacturing
location : JB</t>
        </is>
      </c>
      <c r="AE2045"/>
      <c r="AF2045"/>
      <c r="AG2045" s="4"/>
      <c r="AH2045" s="4"/>
      <c r="AI2045">
        <v>0</v>
      </c>
      <c r="AJ2045">
        <v>1</v>
      </c>
      <c r="AK2045" t="inlineStr">
        <is>
          <t>Yes, I have</t>
        </is>
      </c>
      <c r="AL2045">
        <v>2</v>
      </c>
      <c r="AM2045" t="inlineStr">
        <is>
          <t>No, I don't need at all</t>
        </is>
      </c>
      <c r="AN2045"/>
      <c r="AO2045" t="inlineStr">
        <is>
          <t>No, I don't need at all</t>
        </is>
      </c>
      <c r="AP2045" t="inlineStr">
        <is>
          <t>Once per quarter (75%)</t>
        </is>
      </c>
      <c r="AQ2045">
        <v>0</v>
      </c>
      <c r="AR2045" t="inlineStr">
        <is>
          <t>Jobstreet, Free Job Portal</t>
        </is>
      </c>
      <c r="AS2045" t="inlineStr">
        <is>
          <t>- Headcount: 2
- Hiring Job Details: engineering, manufacturing; location: JB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 Free Job Portal</t>
        </is>
      </c>
      <c r="AT2045">
        <v>90</v>
      </c>
      <c r="AU2045" t="inlineStr">
        <is>
          <t>0.90</t>
        </is>
      </c>
      <c r="AV2045" t="inlineStr">
        <is>
          <t>5</t>
        </is>
      </c>
      <c r="AW2045" t="inlineStr">
        <is>
          <t>0</t>
        </is>
      </c>
      <c r="AX2045" t="inlineStr">
        <is>
          <t>Not Qualified</t>
        </is>
      </c>
      <c r="AY2045" s="4"/>
      <c r="AZ2045"/>
      <c r="BA2045"/>
      <c r="BB2045"/>
      <c r="BC2045" t="inlineStr">
        <is>
          <t>no answer</t>
        </is>
      </c>
      <c r="BD2045" s="4">
        <v>46129.59892361111</v>
      </c>
      <c r="BE2045"/>
      <c r="BF2045"/>
      <c r="BG2045" t="inlineStr">
        <is>
          <t>Reschedule</t>
        </is>
      </c>
      <c r="BH2045" t="inlineStr">
        <is>
          <t>Fauziah Maharan</t>
        </is>
      </c>
      <c r="BI2045"/>
      <c r="BJ2045" s="4">
        <v>46144.75612268518</v>
      </c>
      <c r="BK2045" s="4">
        <v>42424.42773148148</v>
      </c>
      <c r="BL2045" t="inlineStr">
        <is>
          <t>0.0</t>
        </is>
      </c>
      <c r="BM2045" t="inlineStr">
        <is>
          <t>18000.0</t>
        </is>
      </c>
      <c r="BN2045"/>
      <c r="BO2045" s="4"/>
      <c r="BP2045">
        <v>166423</v>
      </c>
      <c r="BQ2045"/>
      <c r="BR2045"/>
      <c r="BS2045"/>
      <c r="BT2045"/>
      <c r="BU2045"/>
      <c r="BV2045">
        <v>2712124</v>
      </c>
      <c r="BW2045" t="inlineStr">
        <is>
          <t>No Answer : Voicemail - WA sent to customer</t>
        </is>
      </c>
      <c r="BX2045"/>
      <c r="BY2045"/>
      <c r="BZ2045" s="4"/>
      <c r="CA2045"/>
      <c r="CB2045"/>
      <c r="CC2045" s="4"/>
      <c r="CD2045" t="inlineStr">
        <is>
          <t>5</t>
        </is>
      </c>
      <c r="CE2045" t="inlineStr">
        <is>
          <t>0</t>
        </is>
      </c>
      <c r="CF2045" t="inlineStr">
        <is>
          <t>Q2-W02</t>
        </is>
      </c>
      <c r="CG2045"/>
      <c r="CH2045"/>
      <c r="CI2045"/>
      <c r="CJ2045" t="inlineStr">
        <is>
          <t>No Paid</t>
        </is>
      </c>
      <c r="CK2045" t="inlineStr">
        <is>
          <t>Eligible</t>
        </is>
      </c>
      <c r="CL2045"/>
      <c r="CM2045"/>
    </row>
    <row r="2046" ht="25.5" customHeight="1">
      <c r="A2046" t="inlineStr">
        <is>
          <t>156913</t>
        </is>
      </c>
      <c r="B2046" s="2"/>
      <c r="C2046"/>
      <c r="D2046" s="3">
        <v>46122.59061342593</v>
      </c>
      <c r="E2046" t="inlineStr">
        <is>
          <t>Q2-W02</t>
        </is>
      </c>
      <c r="F2046" t="inlineStr">
        <is>
          <t>Yuli</t>
        </is>
      </c>
      <c r="G2046" t="inlineStr">
        <is>
          <t>Customer</t>
        </is>
      </c>
      <c r="H2046" s="2" t="str">
        <f>=HYPERLINK("https://upbox.ajobthing.my/customer/156913", "https://upbox.ajobthing.my/customer/156913")</f>
        <v>https://upbox.ajobthing.my/customer/156913</v>
      </c>
      <c r="I2046" t="inlineStr">
        <is>
          <t>Smart Industries Sdn Bhd</t>
        </is>
      </c>
      <c r="J2046" t="inlineStr">
        <is>
          <t>Whale</t>
        </is>
      </c>
      <c r="K2046" t="inlineStr">
        <is>
          <t>YuLi</t>
        </is>
      </c>
      <c r="L2046" s="4"/>
      <c r="M2046" s="4">
        <v>46122.59520833333</v>
      </c>
      <c r="N2046"/>
      <c r="O2046">
        <v>16459.2</v>
      </c>
      <c r="P2046" s="4"/>
      <c r="Q2046" s="4">
        <v>46092.62900462963</v>
      </c>
      <c r="R2046"/>
      <c r="S2046">
        <v>0</v>
      </c>
      <c r="T2046" s="4">
        <v>45782.46135416667</v>
      </c>
      <c r="U2046" s="4"/>
      <c r="V2046"/>
      <c r="W2046">
        <v>12592.8</v>
      </c>
      <c r="X2046"/>
      <c r="Y2046" t="inlineStr">
        <is>
          <t>Pending Appointment</t>
        </is>
      </c>
      <c r="Z2046" t="inlineStr">
        <is>
          <t>Hiring Now</t>
        </is>
      </c>
      <c r="AA2046">
        <v>3</v>
      </c>
      <c r="AB2046" t="inlineStr">
        <is>
          <t>No Appointment Made</t>
        </is>
      </c>
      <c r="AC2046"/>
      <c r="AD2046" t="inlineStr">
        <is>
          <t>1. Quality Engineer
2. Purchasing Group Supervisor
3. Production Engineer</t>
        </is>
      </c>
      <c r="AE2046"/>
      <c r="AF2046"/>
      <c r="AG2046" s="4"/>
      <c r="AH2046" s="4"/>
      <c r="AI2046"/>
      <c r="AJ2046"/>
      <c r="AK2046"/>
      <c r="AL2046"/>
      <c r="AM2046"/>
      <c r="AN2046"/>
      <c r="AO2046"/>
      <c r="AP2046"/>
      <c r="AQ2046"/>
      <c r="AR2046" t="inlineStr">
        <is>
          <t>Jobstreet</t>
        </is>
      </c>
      <c r="AS2046" t="inlineStr">
        <is>
          <t>- Headcount: 3
- Hiring Job Details: 1. Quality Engineer, 2. Purchasing Group Supervisor, 3. Production Engineer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is>
      </c>
      <c r="AT2046">
        <v>65</v>
      </c>
      <c r="AU2046" t="inlineStr">
        <is>
          <t>0.65</t>
        </is>
      </c>
      <c r="AV2046" t="inlineStr">
        <is>
          <t>5</t>
        </is>
      </c>
      <c r="AW2046" t="inlineStr">
        <is>
          <t>0</t>
        </is>
      </c>
      <c r="AX2046" t="inlineStr">
        <is>
          <t>Not Qualified</t>
        </is>
      </c>
      <c r="AY2046" s="4"/>
      <c r="AZ2046"/>
      <c r="BA2046"/>
      <c r="BB2046"/>
      <c r="BC2046" t="inlineStr">
        <is>
          <t>help to edit locations cause wrong location insert when published job ad</t>
        </is>
      </c>
      <c r="BD2046" s="4">
        <v>46135.57320601852</v>
      </c>
      <c r="BE2046" t="inlineStr">
        <is>
          <t>paid</t>
        </is>
      </c>
      <c r="BF2046"/>
      <c r="BG2046" t="inlineStr">
        <is>
          <t>Reschedule</t>
        </is>
      </c>
      <c r="BH2046" t="inlineStr">
        <is>
          <t>Fauziah Maharan</t>
        </is>
      </c>
      <c r="BI2046" t="inlineStr">
        <is>
          <t>Manufacturing / Production</t>
        </is>
      </c>
      <c r="BJ2046" s="4">
        <v>46144.75101851852</v>
      </c>
      <c r="BK2046" s="4">
        <v>44752.10287037037</v>
      </c>
      <c r="BL2046" t="inlineStr">
        <is>
          <t>12593.0</t>
        </is>
      </c>
      <c r="BM2046" t="inlineStr">
        <is>
          <t>3600.0</t>
        </is>
      </c>
      <c r="BN2046" t="inlineStr">
        <is>
          <t>User Visit(Logged In)</t>
        </is>
      </c>
      <c r="BO2046" s="4">
        <v>46141.60418981482</v>
      </c>
      <c r="BP2046">
        <v>166428</v>
      </c>
      <c r="BQ2046">
        <v>116848</v>
      </c>
      <c r="BR2046" t="inlineStr">
        <is>
          <t>Proforma</t>
        </is>
      </c>
      <c r="BS2046" t="inlineStr">
        <is>
          <t>Free Part-Time Job</t>
        </is>
      </c>
      <c r="BT2046">
        <v>5735</v>
      </c>
      <c r="BU2046"/>
      <c r="BV2046">
        <v>2723278</v>
      </c>
      <c r="BW2046" t="inlineStr">
        <is>
          <t>Service / Technical : Job Outcome Enquiry</t>
        </is>
      </c>
      <c r="BX2046"/>
      <c r="BY2046"/>
      <c r="BZ2046" s="4"/>
      <c r="CA2046"/>
      <c r="CB2046"/>
      <c r="CC2046" s="4"/>
      <c r="CD2046" t="inlineStr">
        <is>
          <t>5</t>
        </is>
      </c>
      <c r="CE2046" t="inlineStr">
        <is>
          <t>0</t>
        </is>
      </c>
      <c r="CF2046" t="inlineStr">
        <is>
          <t>Q2-W02</t>
        </is>
      </c>
      <c r="CG2046" t="inlineStr">
        <is>
          <t>Q1-W10</t>
        </is>
      </c>
      <c r="CH2046"/>
      <c r="CI2046"/>
      <c r="CJ2046" t="inlineStr">
        <is>
          <t>Paid</t>
        </is>
      </c>
      <c r="CK2046" t="inlineStr">
        <is>
          <t>Eligible</t>
        </is>
      </c>
      <c r="CL2046"/>
      <c r="CM2046"/>
    </row>
    <row r="2047" ht="25.5" customHeight="1">
      <c r="A2047" t="inlineStr">
        <is>
          <t>203049</t>
        </is>
      </c>
      <c r="B2047" s="2"/>
      <c r="C2047"/>
      <c r="D2047" s="3">
        <v>46122.61712962963</v>
      </c>
      <c r="E2047" t="inlineStr">
        <is>
          <t>Q2-W02</t>
        </is>
      </c>
      <c r="F2047" t="inlineStr">
        <is>
          <t>Clover</t>
        </is>
      </c>
      <c r="G2047" t="inlineStr">
        <is>
          <t>Customer</t>
        </is>
      </c>
      <c r="H2047" s="2" t="str">
        <f>=HYPERLINK("https://upbox.ajobthing.my/customer/203049", "https://upbox.ajobthing.my/customer/203049")</f>
        <v>https://upbox.ajobthing.my/customer/203049</v>
      </c>
      <c r="I2047" t="inlineStr">
        <is>
          <t>Agro Tech Asia Sdn Bhd</t>
        </is>
      </c>
      <c r="J2047" t="inlineStr">
        <is>
          <t>Whale</t>
        </is>
      </c>
      <c r="K2047" t="inlineStr">
        <is>
          <t>Clover</t>
        </is>
      </c>
      <c r="L2047" s="4"/>
      <c r="M2047" s="4">
        <v>46122.60119212963</v>
      </c>
      <c r="N2047"/>
      <c r="O2047">
        <v>11448</v>
      </c>
      <c r="P2047" s="4"/>
      <c r="Q2047" s="4">
        <v>46128.88085648148</v>
      </c>
      <c r="R2047"/>
      <c r="S2047">
        <v>5724</v>
      </c>
      <c r="T2047" s="4">
        <v>46128.88085648148</v>
      </c>
      <c r="U2047" s="4"/>
      <c r="V2047"/>
      <c r="W2047">
        <v>5724</v>
      </c>
      <c r="X2047"/>
      <c r="Y2047" t="inlineStr">
        <is>
          <t>Pending Appointment</t>
        </is>
      </c>
      <c r="Z2047" t="inlineStr">
        <is>
          <t>Hiring Now</t>
        </is>
      </c>
      <c r="AA2047"/>
      <c r="AB2047" t="inlineStr">
        <is>
          <t>No Appointment Made</t>
        </is>
      </c>
      <c r="AC2047"/>
      <c r="AD2047" t="inlineStr">
        <is>
          <t>F&amp;B, Store Admin ,Accounts Executive, Senior Accounts Executive,Finance Manager,PA to Marketing Manager,Customer Service, Content Creator,Graphic Designer , 8 vacancies, agriculture, KL</t>
        </is>
      </c>
      <c r="AE2047"/>
      <c r="AF2047">
        <v>1000</v>
      </c>
      <c r="AG2047" s="4"/>
      <c r="AH2047" s="4"/>
      <c r="AI2047">
        <v>10000</v>
      </c>
      <c r="AJ2047">
        <v>1</v>
      </c>
      <c r="AK2047" t="inlineStr">
        <is>
          <t>No, but I want in future</t>
        </is>
      </c>
      <c r="AL2047">
        <v>1</v>
      </c>
      <c r="AM2047" t="inlineStr">
        <is>
          <t>No, but I want in future</t>
        </is>
      </c>
      <c r="AN2047"/>
      <c r="AO2047" t="inlineStr">
        <is>
          <t>No, but I want in future</t>
        </is>
      </c>
      <c r="AP2047" t="inlineStr">
        <is>
          <t>Once per quarter (75%)</t>
        </is>
      </c>
      <c r="AQ2047">
        <v>8</v>
      </c>
      <c r="AR2047" t="inlineStr">
        <is>
          <t>Did not use any job portal</t>
        </is>
      </c>
      <c r="AS2047" t="inlineStr">
        <is>
          <t>- Headcount: Not specified
- Hiring Job Details: F&amp;B, Store Admin, Accounts Executive, Senior Accounts Executive, Finance Manager, PA to Marketing Manager, Customer Service, Content Creator, Graphic Designer, agriculture, KL (8 vacancies)
- Hiring Urgency: Hiring Now
- Number of outlets: 1
- Have recruiter team: No, but want in future
- Number of recruiter in company: 1
- Have ATS system: No, but want in future
- Have career website: No, but want in future
- Current hiring budget: RM1,000.00
- Whole year budget: RM10,000.00
- Whole year number of vacancies: 8
- Hiring frequency: Once per quarter (75%)
- External job portal: Did not use any</t>
        </is>
      </c>
      <c r="AT2047">
        <v>75</v>
      </c>
      <c r="AU2047" t="inlineStr">
        <is>
          <t>0.75</t>
        </is>
      </c>
      <c r="AV2047" t="inlineStr">
        <is>
          <t>15</t>
        </is>
      </c>
      <c r="AW2047" t="inlineStr">
        <is>
          <t>0</t>
        </is>
      </c>
      <c r="AX2047" t="inlineStr">
        <is>
          <t>Not Qualified</t>
        </is>
      </c>
      <c r="AY2047" s="4"/>
      <c r="AZ2047"/>
      <c r="BA2047"/>
      <c r="BB2047"/>
      <c r="BC2047" t="inlineStr">
        <is>
          <t>Bump up</t>
        </is>
      </c>
      <c r="BD2047" s="4">
        <v>46133.50648148148</v>
      </c>
      <c r="BE2047" t="inlineStr">
        <is>
          <t>paid</t>
        </is>
      </c>
      <c r="BF2047" t="inlineStr">
        <is>
          <t>Q2-W02</t>
        </is>
      </c>
      <c r="BG2047" t="inlineStr">
        <is>
          <t>Reschedule</t>
        </is>
      </c>
      <c r="BH2047" t="inlineStr">
        <is>
          <t>Reagen</t>
        </is>
      </c>
      <c r="BI2047" t="inlineStr">
        <is>
          <t>Food / Beverage</t>
        </is>
      </c>
      <c r="BJ2047" s="4">
        <v>46144.75418981481</v>
      </c>
      <c r="BK2047" s="4">
        <v>46121.59347222222</v>
      </c>
      <c r="BL2047" t="inlineStr">
        <is>
          <t>5724.0</t>
        </is>
      </c>
      <c r="BM2047" t="inlineStr">
        <is>
          <t>3300.0</t>
        </is>
      </c>
      <c r="BN2047" t="inlineStr">
        <is>
          <t>View Company Page</t>
        </is>
      </c>
      <c r="BO2047" s="4">
        <v>46142.49182870371</v>
      </c>
      <c r="BP2047">
        <v>166432</v>
      </c>
      <c r="BQ2047">
        <v>7611</v>
      </c>
      <c r="BR2047" t="inlineStr">
        <is>
          <t>Manual (Paid)</t>
        </is>
      </c>
      <c r="BS2047" t="inlineStr">
        <is>
          <t>AI Yearly Enhanced Plan 10 + 10 (Share with 2 companies)
- AI Yearly Enhanced Plan of 10 AI Job Ads + 10 Free AI Job Ads with Booster
- 20 AI Job Ad will be published on Maukerja, Ricebowl and our partner platforms
- 20 AI Job Ad will be published for 45 days
- 20 Booster Plus
- 200 Free Candidates Profiles Unlock
- 10x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047">
        <v>7611</v>
      </c>
      <c r="BU2047"/>
      <c r="BV2047">
        <v>2717636</v>
      </c>
      <c r="BW2047" t="inlineStr">
        <is>
          <t>Service / Technical : Job Outcome Enquiry</t>
        </is>
      </c>
      <c r="BX2047">
        <v>20</v>
      </c>
      <c r="BY2047">
        <v>15</v>
      </c>
      <c r="BZ2047" s="4">
        <v>46141.75232638889</v>
      </c>
      <c r="CA2047">
        <v>213</v>
      </c>
      <c r="CB2047">
        <v>213</v>
      </c>
      <c r="CC2047" s="4"/>
      <c r="CD2047" t="inlineStr">
        <is>
          <t>20</t>
        </is>
      </c>
      <c r="CE2047" t="inlineStr">
        <is>
          <t>0</t>
        </is>
      </c>
      <c r="CF2047" t="inlineStr">
        <is>
          <t>Q2-W02</t>
        </is>
      </c>
      <c r="CG2047" t="inlineStr">
        <is>
          <t>Q2-W02</t>
        </is>
      </c>
      <c r="CH2047" t="inlineStr">
        <is>
          <t>Q2-W02</t>
        </is>
      </c>
      <c r="CI2047"/>
      <c r="CJ2047" t="inlineStr">
        <is>
          <t>Paid</t>
        </is>
      </c>
      <c r="CK2047" t="inlineStr">
        <is>
          <t>Eligible</t>
        </is>
      </c>
      <c r="CL2047"/>
      <c r="CM2047"/>
    </row>
    <row r="2048" ht="25.5" customHeight="1">
      <c r="A2048" t="inlineStr">
        <is>
          <t>200363</t>
        </is>
      </c>
      <c r="B2048" s="2"/>
      <c r="C2048"/>
      <c r="D2048" s="3">
        <v>46122.61971064815</v>
      </c>
      <c r="E2048" t="inlineStr">
        <is>
          <t>Q2-W02</t>
        </is>
      </c>
      <c r="F2048" t="inlineStr">
        <is>
          <t>Clover</t>
        </is>
      </c>
      <c r="G2048" t="inlineStr">
        <is>
          <t>Customer</t>
        </is>
      </c>
      <c r="H2048" s="2" t="str">
        <f>=HYPERLINK("https://upbox.ajobthing.my/customer/200363", "https://upbox.ajobthing.my/customer/200363")</f>
        <v>https://upbox.ajobthing.my/customer/200363</v>
      </c>
      <c r="I2048" t="inlineStr">
        <is>
          <t>OUS Resources Sdn. Bhd.</t>
        </is>
      </c>
      <c r="J2048" t="inlineStr">
        <is>
          <t>Whale</t>
        </is>
      </c>
      <c r="K2048" t="inlineStr">
        <is>
          <t>Clover</t>
        </is>
      </c>
      <c r="L2048" s="4"/>
      <c r="M2048" s="4">
        <v>46122.60197916667</v>
      </c>
      <c r="N2048"/>
      <c r="O2048">
        <v>5724</v>
      </c>
      <c r="P2048" s="4"/>
      <c r="Q2048" s="4">
        <v>46127.6125</v>
      </c>
      <c r="R2048"/>
      <c r="S2048">
        <v>5724</v>
      </c>
      <c r="T2048" s="4">
        <v>46127.6125</v>
      </c>
      <c r="U2048" s="4"/>
      <c r="V2048"/>
      <c r="W2048">
        <v>5724</v>
      </c>
      <c r="X2048"/>
      <c r="Y2048" t="inlineStr">
        <is>
          <t>Pending Appointment</t>
        </is>
      </c>
      <c r="Z2048" t="inlineStr">
        <is>
          <t>Hiring Now</t>
        </is>
      </c>
      <c r="AA2048">
        <v>11</v>
      </c>
      <c r="AB2048" t="inlineStr">
        <is>
          <t>No Appointment Made</t>
        </is>
      </c>
      <c r="AC2048"/>
      <c r="AD2048" t="inlineStr">
        <is>
          <t>Pahang (Kuala Lipis, Jerantut, Bukit Ibam, Bahau) 11 vacancies,Storekeeper, Geologist,Driller,Process Engineer ,Mining Engineer ,Production Engineer ,Safety Officer / Coordinator,Lab Assistant  / Lab Executive ,Mechanic,Site Project Manager ,Site Operation Manager</t>
        </is>
      </c>
      <c r="AE2048"/>
      <c r="AF2048">
        <v>10000</v>
      </c>
      <c r="AG2048" s="4"/>
      <c r="AH2048" s="4"/>
      <c r="AI2048">
        <v>1000</v>
      </c>
      <c r="AJ2048">
        <v>1</v>
      </c>
      <c r="AK2048" t="inlineStr">
        <is>
          <t>No, but I want in future</t>
        </is>
      </c>
      <c r="AL2048">
        <v>1</v>
      </c>
      <c r="AM2048" t="inlineStr">
        <is>
          <t>No, but I want in future</t>
        </is>
      </c>
      <c r="AN2048"/>
      <c r="AO2048" t="inlineStr">
        <is>
          <t>No, but I want in future</t>
        </is>
      </c>
      <c r="AP2048" t="inlineStr">
        <is>
          <t>Once per quarter (75%)</t>
        </is>
      </c>
      <c r="AQ2048">
        <v>11</v>
      </c>
      <c r="AR2048" t="inlineStr">
        <is>
          <t>Did not use any job portal</t>
        </is>
      </c>
      <c r="AS2048" t="inlineStr">
        <is>
          <t>- Headcount: 11
- Hiring Job Details: Pahang (Kuala Lipis, Jerantut, Bukit Ibam, Bahau) 11 vacancies (Storekeeper, Geologist, Driller, etc.)
- Hiring Urgency: Hiring Now
- Number of outlets: 1
- Have recruiter team: No, but want in future
- Number of recruiter in company: 1
- Have ATS system: No, but want in future
- Have career website: No, but want in future
- Current hiring budget: RM10,000.00
- Whole year budget: RM1,000.00
- Whole year number of vacancies: 11
- Hiring frequency: Once per quarter (75%)
- External job portal: Did not use any</t>
        </is>
      </c>
      <c r="AT2048">
        <v>75</v>
      </c>
      <c r="AU2048" t="inlineStr">
        <is>
          <t>0.75</t>
        </is>
      </c>
      <c r="AV2048" t="inlineStr">
        <is>
          <t>25</t>
        </is>
      </c>
      <c r="AW2048" t="inlineStr">
        <is>
          <t>0</t>
        </is>
      </c>
      <c r="AX2048" t="inlineStr">
        <is>
          <t>Not Qualified</t>
        </is>
      </c>
      <c r="AY2048" s="4"/>
      <c r="AZ2048"/>
      <c r="BA2048"/>
      <c r="BB2048"/>
      <c r="BC2048" t="inlineStr">
        <is>
          <t>Inform rewards</t>
        </is>
      </c>
      <c r="BD2048" s="4">
        <v>46136.72835648148</v>
      </c>
      <c r="BE2048" t="inlineStr">
        <is>
          <t>paid</t>
        </is>
      </c>
      <c r="BF2048" t="inlineStr">
        <is>
          <t>Q2-W02</t>
        </is>
      </c>
      <c r="BG2048" t="inlineStr">
        <is>
          <t>Reschedule</t>
        </is>
      </c>
      <c r="BH2048" t="inlineStr">
        <is>
          <t>Reagen</t>
        </is>
      </c>
      <c r="BI2048" t="inlineStr">
        <is>
          <t>Mining</t>
        </is>
      </c>
      <c r="BJ2048" s="4">
        <v>46144.75355324074</v>
      </c>
      <c r="BK2048" s="4">
        <v>46038.491111111114</v>
      </c>
      <c r="BL2048" t="inlineStr">
        <is>
          <t>5724.0</t>
        </is>
      </c>
      <c r="BM2048" t="inlineStr">
        <is>
          <t>0.0</t>
        </is>
      </c>
      <c r="BN2048" t="inlineStr">
        <is>
          <t>People Search Page : Unlock Candidate</t>
        </is>
      </c>
      <c r="BO2048" s="4">
        <v>46142.738599537035</v>
      </c>
      <c r="BP2048">
        <v>166439</v>
      </c>
      <c r="BQ2048">
        <v>7612</v>
      </c>
      <c r="BR2048" t="inlineStr">
        <is>
          <t>Manual (Paid)</t>
        </is>
      </c>
      <c r="BS2048" t="inlineStr">
        <is>
          <t>AI Yearly Enhanced Plan 10 + 10 (Share with 2 companies)
- AI Yearly Enhanced Plan of 10 AI Job Ads + 10 Free AI Job Ads with Booster
- 20 AI Job Ad will be published on Maukerja, Ricebowl and our partner platforms
- 20 AI Job Ad will be published for 45 days
- 20 Booster Plus
- 200 Free Candidates Profiles Unlock
- 10x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048">
        <v>7612</v>
      </c>
      <c r="BU2048"/>
      <c r="BV2048">
        <v>2727356</v>
      </c>
      <c r="BW2048" t="inlineStr">
        <is>
          <t>Service / Technical : Job Outcome Enquiry</t>
        </is>
      </c>
      <c r="BX2048">
        <v>20</v>
      </c>
      <c r="BY2048">
        <v>18</v>
      </c>
      <c r="BZ2048" s="4">
        <v>46136.43697916667</v>
      </c>
      <c r="CA2048">
        <v>200</v>
      </c>
      <c r="CB2048">
        <v>200</v>
      </c>
      <c r="CC2048" s="4"/>
      <c r="CD2048" t="inlineStr">
        <is>
          <t>35</t>
        </is>
      </c>
      <c r="CE2048" t="inlineStr">
        <is>
          <t>0</t>
        </is>
      </c>
      <c r="CF2048" t="inlineStr">
        <is>
          <t>Q2-W02</t>
        </is>
      </c>
      <c r="CG2048" t="inlineStr">
        <is>
          <t>Q2-W02</t>
        </is>
      </c>
      <c r="CH2048" t="inlineStr">
        <is>
          <t>Q2-W02</t>
        </is>
      </c>
      <c r="CI2048"/>
      <c r="CJ2048" t="inlineStr">
        <is>
          <t>Paid</t>
        </is>
      </c>
      <c r="CK2048" t="inlineStr">
        <is>
          <t>Eligible</t>
        </is>
      </c>
      <c r="CL2048"/>
      <c r="CM2048"/>
    </row>
    <row r="2049" ht="25.5" customHeight="1">
      <c r="A2049" t="inlineStr">
        <is>
          <t>26400</t>
        </is>
      </c>
      <c r="B2049" s="2"/>
      <c r="C2049"/>
      <c r="D2049" s="3">
        <v>46122.66090277778</v>
      </c>
      <c r="E2049" t="inlineStr">
        <is>
          <t>Q2-W02</t>
        </is>
      </c>
      <c r="F2049" t="inlineStr">
        <is>
          <t>andy@ajobthing.com</t>
        </is>
      </c>
      <c r="G2049" t="inlineStr">
        <is>
          <t>Customer</t>
        </is>
      </c>
      <c r="H2049" s="2" t="str">
        <f>=HYPERLINK("https://upbox.ajobthing.my/customer/26400", "https://upbox.ajobthing.my/customer/26400")</f>
        <v>https://upbox.ajobthing.my/customer/26400</v>
      </c>
      <c r="I2049" t="inlineStr">
        <is>
          <t>Agensi Pekerjaan NS Shue Sdn Bhd</t>
        </is>
      </c>
      <c r="J2049" t="inlineStr">
        <is>
          <t>Whale</t>
        </is>
      </c>
      <c r="K2049" t="inlineStr">
        <is>
          <t>Andy</t>
        </is>
      </c>
      <c r="L2049" s="4"/>
      <c r="M2049" s="4">
        <v>46122.661886574075</v>
      </c>
      <c r="N2049"/>
      <c r="O2049">
        <v>12960</v>
      </c>
      <c r="P2049" s="4"/>
      <c r="Q2049" s="4">
        <v>46122.68451388889</v>
      </c>
      <c r="R2049"/>
      <c r="S2049">
        <v>0</v>
      </c>
      <c r="T2049" s="4">
        <v>45167.62667824074</v>
      </c>
      <c r="U2049" s="4"/>
      <c r="V2049"/>
      <c r="W2049">
        <v>1484</v>
      </c>
      <c r="X2049" t="inlineStr">
        <is>
          <t>andy@ajobthing.com</t>
        </is>
      </c>
      <c r="Y2049" t="inlineStr">
        <is>
          <t>Done Appointment</t>
        </is>
      </c>
      <c r="Z2049" t="inlineStr">
        <is>
          <t>Continuous Hiring</t>
        </is>
      </c>
      <c r="AA2049">
        <v>2</v>
      </c>
      <c r="AB2049" t="inlineStr">
        <is>
          <t>Appointment Made</t>
        </is>
      </c>
      <c r="AC2049" t="inlineStr">
        <is>
          <t>SME (&lt;50 employees)</t>
        </is>
      </c>
      <c r="AD2049" t="inlineStr">
        <is>
          <t>Exec and Non-eecutive positions from manufacturing and logistics</t>
        </is>
      </c>
      <c r="AE2049" t="inlineStr">
        <is>
          <t>C-Suite (CHR / COO / CEO)</t>
        </is>
      </c>
      <c r="AF2049">
        <v>10000</v>
      </c>
      <c r="AG2049" s="4">
        <v>46122.645833333336</v>
      </c>
      <c r="AH2049" s="4">
        <v>46122.666666666664</v>
      </c>
      <c r="AI2049">
        <v>10000</v>
      </c>
      <c r="AJ2049">
        <v>1</v>
      </c>
      <c r="AK2049" t="inlineStr">
        <is>
          <t>Yes, I have</t>
        </is>
      </c>
      <c r="AL2049">
        <v>2</v>
      </c>
      <c r="AM2049" t="inlineStr">
        <is>
          <t>No, I don't need at all</t>
        </is>
      </c>
      <c r="AN2049"/>
      <c r="AO2049" t="inlineStr">
        <is>
          <t>No, I don't need at all</t>
        </is>
      </c>
      <c r="AP2049" t="inlineStr">
        <is>
          <t>Every month (100%)</t>
        </is>
      </c>
      <c r="AQ2049">
        <v>360</v>
      </c>
      <c r="AR2049" t="inlineStr">
        <is>
          <t>Jobstreet, Jobstore</t>
        </is>
      </c>
      <c r="AS2049" t="inlineStr">
        <is>
          <t>- Headcount: 2
- Hiring Job Details: Exec and Non-executive positions from manufacturing and logistics
- Hiring Urgency: Continuous Hiring
- Number of outlets: 1
- Have recruiter team: Yes
- Number of recruiter in company: 2
- Have ATS system: No, I don't need at all
- Have career website: No, I don't need at all
- Current hiring budget: RM10,000
- Whole year budget: RM10,000.00
- Whole year number of vacancies: 360
- Hiring frequency: Every month (100%)
- External job portal: Jobstreet,Jobstore</t>
        </is>
      </c>
      <c r="AT2049">
        <v>115</v>
      </c>
      <c r="AU2049" t="inlineStr">
        <is>
          <t>1.15</t>
        </is>
      </c>
      <c r="AV2049" t="inlineStr">
        <is>
          <t>45</t>
        </is>
      </c>
      <c r="AW2049" t="inlineStr">
        <is>
          <t>0.5</t>
        </is>
      </c>
      <c r="AX2049" t="inlineStr">
        <is>
          <t>Not Qualified</t>
        </is>
      </c>
      <c r="AY2049" s="4">
        <v>46122.69086805556</v>
      </c>
      <c r="AZ2049" t="inlineStr">
        <is>
          <t>Base Assistant</t>
        </is>
      </c>
      <c r="BA2049"/>
      <c r="BB2049"/>
      <c r="BC2049" t="inlineStr">
        <is>
          <t>- Headcount: 2
- Hiring Job Details: Exec and Non-executive positions from manufacturing and logistics
- Hiring Urgency: Continuous Hiring
- Number of outlets: 1
- Have recruiter team: Yes
- Number of recruiter in company: 2
- Have ATS system: No, I don't need at all
- Have career website: No, I don't need at all
- Current hiring budget: RM10,000
- Whole year budget: RM10,000.00
- Whole year number of vacancies: 360
- Hiring frequency: Every month (100%)
- External job portal: Jobstreet,Jobstore</t>
        </is>
      </c>
      <c r="BD2049" s="4">
        <v>46122.666875</v>
      </c>
      <c r="BE2049" t="inlineStr">
        <is>
          <t>paid</t>
        </is>
      </c>
      <c r="BF2049"/>
      <c r="BG2049" t="inlineStr">
        <is>
          <t>Reschedule</t>
        </is>
      </c>
      <c r="BH2049"/>
      <c r="BI2049" t="inlineStr">
        <is>
          <t>HR Mgmt / Consulting</t>
        </is>
      </c>
      <c r="BJ2049" s="4">
        <v>46144.75449074074</v>
      </c>
      <c r="BK2049" s="4">
        <v>42579.507060185184</v>
      </c>
      <c r="BL2049" t="inlineStr">
        <is>
          <t>0.0</t>
        </is>
      </c>
      <c r="BM2049" t="inlineStr">
        <is>
          <t>25800.0</t>
        </is>
      </c>
      <c r="BN2049" t="inlineStr">
        <is>
          <t>View Company Page</t>
        </is>
      </c>
      <c r="BO2049" s="4">
        <v>46142.895682870374</v>
      </c>
      <c r="BP2049">
        <v>166488</v>
      </c>
      <c r="BQ2049">
        <v>121765</v>
      </c>
      <c r="BR2049" t="inlineStr">
        <is>
          <t>Proforma</t>
        </is>
      </c>
      <c r="BS2049" t="inlineStr">
        <is>
          <t>Job Ad 365 - SME 100 Free Trial</t>
        </is>
      </c>
      <c r="BT2049">
        <v>61750</v>
      </c>
      <c r="BU2049"/>
      <c r="BV2049">
        <v>2698705</v>
      </c>
      <c r="BW2049" t="inlineStr">
        <is>
          <t>Customer Inquiry</t>
        </is>
      </c>
      <c r="BX2049">
        <v>300</v>
      </c>
      <c r="BY2049">
        <v>266</v>
      </c>
      <c r="BZ2049" s="4">
        <v>46142.89480324074</v>
      </c>
      <c r="CA2049">
        <v>26</v>
      </c>
      <c r="CB2049">
        <v>26</v>
      </c>
      <c r="CC2049" s="4"/>
      <c r="CD2049" t="inlineStr">
        <is>
          <t>60</t>
        </is>
      </c>
      <c r="CE2049" t="inlineStr">
        <is>
          <t>0.8</t>
        </is>
      </c>
      <c r="CF2049" t="inlineStr">
        <is>
          <t>Q2-W02</t>
        </is>
      </c>
      <c r="CG2049" t="inlineStr">
        <is>
          <t>Q2-W02</t>
        </is>
      </c>
      <c r="CH2049"/>
      <c r="CI2049" t="inlineStr">
        <is>
          <t>Q2-W02</t>
        </is>
      </c>
      <c r="CJ2049" t="inlineStr">
        <is>
          <t>Paid</t>
        </is>
      </c>
      <c r="CK2049" t="inlineStr">
        <is>
          <t>Eligible</t>
        </is>
      </c>
      <c r="CL2049"/>
      <c r="CM2049" t="inlineStr">
        <is>
          <t>Q2-W02</t>
        </is>
      </c>
    </row>
    <row r="2050" ht="25.5" customHeight="1">
      <c r="A2050" t="inlineStr">
        <is>
          <t>187234</t>
        </is>
      </c>
      <c r="B2050" s="2"/>
      <c r="C2050"/>
      <c r="D2050" s="3">
        <v>46122.67420138889</v>
      </c>
      <c r="E2050" t="inlineStr">
        <is>
          <t>Q2-W02</t>
        </is>
      </c>
      <c r="F2050" t="inlineStr">
        <is>
          <t>Jess</t>
        </is>
      </c>
      <c r="G2050" t="inlineStr">
        <is>
          <t>Customer</t>
        </is>
      </c>
      <c r="H2050" s="2" t="str">
        <f>=HYPERLINK("https://upbox.ajobthing.my/customer/187234", "https://upbox.ajobthing.my/customer/187234")</f>
        <v>https://upbox.ajobthing.my/customer/187234</v>
      </c>
      <c r="I2050" t="inlineStr">
        <is>
          <t>Bykare Sdn Bhd</t>
        </is>
      </c>
      <c r="J2050" t="inlineStr">
        <is>
          <t>Whale</t>
        </is>
      </c>
      <c r="K2050" t="inlineStr">
        <is>
          <t>Jess Lim</t>
        </is>
      </c>
      <c r="L2050" s="4"/>
      <c r="M2050" s="4">
        <v>46122.67361111111</v>
      </c>
      <c r="N2050"/>
      <c r="O2050">
        <v>5508</v>
      </c>
      <c r="P2050" s="4"/>
      <c r="Q2050" s="4">
        <v>46127.453888888886</v>
      </c>
      <c r="R2050"/>
      <c r="S2050">
        <v>3672</v>
      </c>
      <c r="T2050" s="4">
        <v>46127.453888888886</v>
      </c>
      <c r="U2050" s="4"/>
      <c r="V2050"/>
      <c r="W2050">
        <v>3672</v>
      </c>
      <c r="X2050"/>
      <c r="Y2050" t="inlineStr">
        <is>
          <t>Pending Appointment</t>
        </is>
      </c>
      <c r="Z2050" t="inlineStr">
        <is>
          <t>Hiring Now</t>
        </is>
      </c>
      <c r="AA2050">
        <v>1</v>
      </c>
      <c r="AB2050" t="inlineStr">
        <is>
          <t>No Appointment Made</t>
        </is>
      </c>
      <c r="AC2050"/>
      <c r="AD2050" t="inlineStr">
        <is>
          <t>video grapher 1</t>
        </is>
      </c>
      <c r="AE2050"/>
      <c r="AF2050">
        <v>3600</v>
      </c>
      <c r="AG2050" s="4"/>
      <c r="AH2050" s="4"/>
      <c r="AI2050"/>
      <c r="AJ2050">
        <v>1</v>
      </c>
      <c r="AK2050" t="inlineStr">
        <is>
          <t>No, I don't need at all</t>
        </is>
      </c>
      <c r="AL2050">
        <v>1</v>
      </c>
      <c r="AM2050" t="inlineStr">
        <is>
          <t>No, I don't need at all</t>
        </is>
      </c>
      <c r="AN2050"/>
      <c r="AO2050"/>
      <c r="AP2050" t="inlineStr">
        <is>
          <t>Once a year (25%)</t>
        </is>
      </c>
      <c r="AQ2050"/>
      <c r="AR2050" t="inlineStr">
        <is>
          <t>Jobstreet</t>
        </is>
      </c>
      <c r="AS2050" t="inlineStr">
        <is>
          <t>- Headcount: 1
- Hiring Job Details: 1 video grapher
- Hiring Urgency: Hiring Now
- Number of outlets: 1
- Have recruiter team: No, I don't need at all
- Number of recruiter in company: 1
- Have ATS system: No, I don't need at all
- Have career website: Not specified
- Current hiring budget: RM3,600.00
- Whole year budget: Not specified
- Whole year number of vacancies: Not specified
- Hiring frequency: Once a year (25%)
- External job portal: Jobstreet</t>
        </is>
      </c>
      <c r="AT2050">
        <v>95</v>
      </c>
      <c r="AU2050" t="inlineStr">
        <is>
          <t>0.95</t>
        </is>
      </c>
      <c r="AV2050" t="inlineStr">
        <is>
          <t>15</t>
        </is>
      </c>
      <c r="AW2050" t="inlineStr">
        <is>
          <t>0</t>
        </is>
      </c>
      <c r="AX2050" t="inlineStr">
        <is>
          <t>Not Qualified</t>
        </is>
      </c>
      <c r="AY2050" s="4"/>
      <c r="AZ2050"/>
      <c r="BA2050"/>
      <c r="BB2050"/>
      <c r="BC2050" t="inlineStr">
        <is>
          <t>remind to post to use job</t>
        </is>
      </c>
      <c r="BD2050" s="4">
        <v>46128.64989583333</v>
      </c>
      <c r="BE2050" t="inlineStr">
        <is>
          <t>paid</t>
        </is>
      </c>
      <c r="BF2050" t="inlineStr">
        <is>
          <t>Q2-W02</t>
        </is>
      </c>
      <c r="BG2050" t="inlineStr">
        <is>
          <t>Reschedule</t>
        </is>
      </c>
      <c r="BH2050" t="inlineStr">
        <is>
          <t>Fauziah Maharan</t>
        </is>
      </c>
      <c r="BI2050" t="inlineStr">
        <is>
          <t>Consumer Products / FMCG</t>
        </is>
      </c>
      <c r="BJ2050" s="4">
        <v>46144.75215277778</v>
      </c>
      <c r="BK2050" s="4">
        <v>45691.60340277778</v>
      </c>
      <c r="BL2050" t="inlineStr">
        <is>
          <t>7237.0</t>
        </is>
      </c>
      <c r="BM2050" t="inlineStr">
        <is>
          <t>0.0</t>
        </is>
      </c>
      <c r="BN2050" t="inlineStr">
        <is>
          <t>View Company Page</t>
        </is>
      </c>
      <c r="BO2050" s="4">
        <v>46141.66122685185</v>
      </c>
      <c r="BP2050">
        <v>166503</v>
      </c>
      <c r="BQ2050">
        <v>7632</v>
      </c>
      <c r="BR2050" t="inlineStr">
        <is>
          <t>Manual (Paid)</t>
        </is>
      </c>
      <c r="BS2050" t="inlineStr">
        <is>
          <t>AI Yearly Standard Plan
- AI Yearly Standard Plan of 3 AI Job Ads + 3 Free AI Job Ads with Booster
- 6 AI Job Ad will be published on Maukerja, Ricebowl and our partner platforms
- 6 AI Job Ad will be published for 45 days
- 6 Booster Plus
- 70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050">
        <v>7632</v>
      </c>
      <c r="BU2050"/>
      <c r="BV2050">
        <v>2709863</v>
      </c>
      <c r="BW2050" t="inlineStr">
        <is>
          <t>Service / Technical : Job Outcome Enquiry</t>
        </is>
      </c>
      <c r="BX2050">
        <v>12</v>
      </c>
      <c r="BY2050">
        <v>4</v>
      </c>
      <c r="BZ2050" s="4">
        <v>46128.46524305556</v>
      </c>
      <c r="CA2050">
        <v>130</v>
      </c>
      <c r="CB2050">
        <v>67</v>
      </c>
      <c r="CC2050" s="4">
        <v>46133.629537037035</v>
      </c>
      <c r="CD2050" t="inlineStr">
        <is>
          <t>20</t>
        </is>
      </c>
      <c r="CE2050" t="inlineStr">
        <is>
          <t>0</t>
        </is>
      </c>
      <c r="CF2050" t="inlineStr">
        <is>
          <t>Q2-W02</t>
        </is>
      </c>
      <c r="CG2050" t="inlineStr">
        <is>
          <t>Q2-W02</t>
        </is>
      </c>
      <c r="CH2050" t="inlineStr">
        <is>
          <t>Q2-W02</t>
        </is>
      </c>
      <c r="CI2050"/>
      <c r="CJ2050" t="inlineStr">
        <is>
          <t>Paid</t>
        </is>
      </c>
      <c r="CK2050" t="inlineStr">
        <is>
          <t>Eligible</t>
        </is>
      </c>
      <c r="CL2050"/>
      <c r="CM2050"/>
    </row>
    <row r="2051" ht="25.5" customHeight="1">
      <c r="A2051" t="inlineStr">
        <is>
          <t>5869</t>
        </is>
      </c>
      <c r="B2051" s="2"/>
      <c r="C2051"/>
      <c r="D2051" s="3">
        <v>46122.67668981481</v>
      </c>
      <c r="E2051" t="inlineStr">
        <is>
          <t>Q2-W02</t>
        </is>
      </c>
      <c r="F2051" t="inlineStr">
        <is>
          <t>Alan KY</t>
        </is>
      </c>
      <c r="G2051" t="inlineStr">
        <is>
          <t>Customer</t>
        </is>
      </c>
      <c r="H2051" s="2" t="str">
        <f>=HYPERLINK("https://upbox.ajobthing.my/customer/5869", "https://upbox.ajobthing.my/customer/5869")</f>
        <v>https://upbox.ajobthing.my/customer/5869</v>
      </c>
      <c r="I2051" t="inlineStr">
        <is>
          <t>Sim Educare &amp; Learning Sdn Bhd</t>
        </is>
      </c>
      <c r="J2051" t="inlineStr">
        <is>
          <t>Whale</t>
        </is>
      </c>
      <c r="K2051" t="inlineStr">
        <is>
          <t>Alan KY</t>
        </is>
      </c>
      <c r="L2051" s="4"/>
      <c r="M2051" s="4">
        <v>46122.67738425926</v>
      </c>
      <c r="N2051"/>
      <c r="O2051">
        <v>22248</v>
      </c>
      <c r="P2051" s="4"/>
      <c r="Q2051" s="4">
        <v>45951.64488425926</v>
      </c>
      <c r="R2051"/>
      <c r="S2051">
        <v>0</v>
      </c>
      <c r="T2051" s="4">
        <v>45575</v>
      </c>
      <c r="U2051" s="4"/>
      <c r="V2051"/>
      <c r="W2051">
        <v>5616</v>
      </c>
      <c r="X2051"/>
      <c r="Y2051" t="inlineStr">
        <is>
          <t>Pending Appointment</t>
        </is>
      </c>
      <c r="Z2051" t="inlineStr">
        <is>
          <t>Hiring Now</t>
        </is>
      </c>
      <c r="AA2051">
        <v>4</v>
      </c>
      <c r="AB2051" t="inlineStr">
        <is>
          <t>No Appointment Made</t>
        </is>
      </c>
      <c r="AC2051"/>
      <c r="AD2051" t="inlineStr">
        <is>
          <t xml:space="preserve">looking for BD, Payroll, operation admin, tutor. Based in Selangor </t>
        </is>
      </c>
      <c r="AE2051"/>
      <c r="AF2051"/>
      <c r="AG2051" s="4"/>
      <c r="AH2051" s="4"/>
      <c r="AI2051"/>
      <c r="AJ2051"/>
      <c r="AK2051" t="inlineStr">
        <is>
          <t>No, I don't need at all</t>
        </is>
      </c>
      <c r="AL2051"/>
      <c r="AM2051" t="inlineStr">
        <is>
          <t>No, I don't need at all</t>
        </is>
      </c>
      <c r="AN2051"/>
      <c r="AO2051" t="inlineStr">
        <is>
          <t>No, I don't need at all</t>
        </is>
      </c>
      <c r="AP2051" t="inlineStr">
        <is>
          <t>Once per quarter (75%)</t>
        </is>
      </c>
      <c r="AQ2051"/>
      <c r="AR2051" t="inlineStr">
        <is>
          <t>Jobstreet</t>
        </is>
      </c>
      <c r="AS2051" t="inlineStr">
        <is>
          <t>- Headcount: 4
- Hiring Job Details: BD, Payroll, operation admin, tutor (based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is>
      </c>
      <c r="AT2051">
        <v>75</v>
      </c>
      <c r="AU2051" t="inlineStr">
        <is>
          <t>0.75</t>
        </is>
      </c>
      <c r="AV2051" t="inlineStr">
        <is>
          <t>5</t>
        </is>
      </c>
      <c r="AW2051" t="inlineStr">
        <is>
          <t>0</t>
        </is>
      </c>
      <c r="AX2051" t="inlineStr">
        <is>
          <t>Not Qualified</t>
        </is>
      </c>
      <c r="AY2051" s="4"/>
      <c r="AZ2051"/>
      <c r="BA2051"/>
      <c r="BB2051"/>
      <c r="BC2051" t="inlineStr">
        <is>
          <t>Totally no respond, email them again</t>
        </is>
      </c>
      <c r="BD2051" s="4">
        <v>46135.581655092596</v>
      </c>
      <c r="BE2051" t="inlineStr">
        <is>
          <t>paid</t>
        </is>
      </c>
      <c r="BF2051"/>
      <c r="BG2051" t="inlineStr">
        <is>
          <t>Reschedule</t>
        </is>
      </c>
      <c r="BH2051" t="inlineStr">
        <is>
          <t>Reagen</t>
        </is>
      </c>
      <c r="BI2051" t="inlineStr">
        <is>
          <t>Education / Training</t>
        </is>
      </c>
      <c r="BJ2051" s="4">
        <v>46144.75609953704</v>
      </c>
      <c r="BK2051" s="4">
        <v>42416.72996527778</v>
      </c>
      <c r="BL2051" t="inlineStr">
        <is>
          <t>0.0</t>
        </is>
      </c>
      <c r="BM2051" t="inlineStr">
        <is>
          <t>600.0</t>
        </is>
      </c>
      <c r="BN2051" t="inlineStr">
        <is>
          <t>PA AITP Email CTA Click</t>
        </is>
      </c>
      <c r="BO2051" s="4">
        <v>46077.425462962965</v>
      </c>
      <c r="BP2051">
        <v>166508</v>
      </c>
      <c r="BQ2051">
        <v>110939</v>
      </c>
      <c r="BR2051" t="inlineStr">
        <is>
          <t>Proforma</t>
        </is>
      </c>
      <c r="BS2051" t="inlineStr">
        <is>
          <t>A La Carte AI Job Ad Free</t>
        </is>
      </c>
      <c r="BT2051">
        <v>73803</v>
      </c>
      <c r="BU2051"/>
      <c r="BV2051">
        <v>2723311</v>
      </c>
      <c r="BW2051" t="inlineStr">
        <is>
          <t>No Answer : Voicemail - Email sent to customer</t>
        </is>
      </c>
      <c r="BX2051"/>
      <c r="BY2051"/>
      <c r="BZ2051" s="4"/>
      <c r="CA2051"/>
      <c r="CB2051"/>
      <c r="CC2051" s="4"/>
      <c r="CD2051" t="inlineStr">
        <is>
          <t>5</t>
        </is>
      </c>
      <c r="CE2051" t="inlineStr">
        <is>
          <t>0</t>
        </is>
      </c>
      <c r="CF2051" t="inlineStr">
        <is>
          <t>Q2-W02</t>
        </is>
      </c>
      <c r="CG2051"/>
      <c r="CH2051"/>
      <c r="CI2051"/>
      <c r="CJ2051" t="inlineStr">
        <is>
          <t>Paid</t>
        </is>
      </c>
      <c r="CK2051" t="inlineStr">
        <is>
          <t>Eligible</t>
        </is>
      </c>
      <c r="CL2051"/>
      <c r="CM2051"/>
    </row>
    <row r="2052" ht="25.5" customHeight="1">
      <c r="A2052" t="inlineStr">
        <is>
          <t>4269802</t>
        </is>
      </c>
      <c r="B2052" s="2"/>
      <c r="C2052"/>
      <c r="D2052" s="3">
        <v>46122.701574074075</v>
      </c>
      <c r="E2052" t="inlineStr">
        <is>
          <t>Q2-W02</t>
        </is>
      </c>
      <c r="F2052" t="inlineStr">
        <is>
          <t>Ratha</t>
        </is>
      </c>
      <c r="G2052" t="inlineStr">
        <is>
          <t>Lead</t>
        </is>
      </c>
      <c r="H2052" s="2" t="str">
        <f>=HYPERLINK("https://upbox.ajobthing.my/leads/4269802", "https://upbox.ajobthing.my/leads/4269802")</f>
        <v>https://upbox.ajobthing.my/leads/4269802</v>
      </c>
      <c r="I2052" t="inlineStr">
        <is>
          <t>Leong Jo Yi</t>
        </is>
      </c>
      <c r="J2052" t="inlineStr">
        <is>
          <t>Whale</t>
        </is>
      </c>
      <c r="K2052" t="inlineStr">
        <is>
          <t>Ratha</t>
        </is>
      </c>
      <c r="L2052" s="4"/>
      <c r="M2052" s="4">
        <v>46122.70247685185</v>
      </c>
      <c r="N2052"/>
      <c r="O2052">
        <v>5832</v>
      </c>
      <c r="P2052" s="4"/>
      <c r="Q2052" s="4"/>
      <c r="R2052"/>
      <c r="S2052"/>
      <c r="T2052" s="4"/>
      <c r="U2052" s="4"/>
      <c r="V2052"/>
      <c r="W2052"/>
      <c r="X2052"/>
      <c r="Y2052" t="inlineStr">
        <is>
          <t>Pending Appointment</t>
        </is>
      </c>
      <c r="Z2052" t="inlineStr">
        <is>
          <t>Hiring Now</t>
        </is>
      </c>
      <c r="AA2052">
        <v>3</v>
      </c>
      <c r="AB2052" t="inlineStr">
        <is>
          <t>No Appointment Made</t>
        </is>
      </c>
      <c r="AC2052"/>
      <c r="AD2052" t="inlineStr">
        <is>
          <t>Sales : Mandarin / more 2 years
Interior designer : 2 years / mandarin optional
Project Manager : malay &amp; english / 4 years
Petaling Jaya</t>
        </is>
      </c>
      <c r="AE2052"/>
      <c r="AF2052"/>
      <c r="AG2052" s="4"/>
      <c r="AH2052" s="4"/>
      <c r="AI2052">
        <v>0</v>
      </c>
      <c r="AJ2052">
        <v>1</v>
      </c>
      <c r="AK2052" t="inlineStr">
        <is>
          <t>Yes, I have</t>
        </is>
      </c>
      <c r="AL2052">
        <v>2</v>
      </c>
      <c r="AM2052" t="inlineStr">
        <is>
          <t>No, I don't need at all</t>
        </is>
      </c>
      <c r="AN2052"/>
      <c r="AO2052" t="inlineStr">
        <is>
          <t>No, I don't need at all</t>
        </is>
      </c>
      <c r="AP2052" t="inlineStr">
        <is>
          <t>Once per quarter (75%)</t>
        </is>
      </c>
      <c r="AQ2052">
        <v>0</v>
      </c>
      <c r="AR2052" t="inlineStr">
        <is>
          <t>Did not use any job portal</t>
        </is>
      </c>
      <c r="AS2052" t="inlineStr">
        <is>
          <t>- Headcount: 3
- Hiring Job Details: Sales (Mandarin/more than 2 years), Interior designer (2 years/mandarin optional), Project Manager (malay &amp; english/4 years) in Petaling Jaya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Once per quarter (75%)
- External job portal: Did not use any job portal</t>
        </is>
      </c>
      <c r="AT2052">
        <v>75</v>
      </c>
      <c r="AU2052" t="inlineStr">
        <is>
          <t>0.75</t>
        </is>
      </c>
      <c r="AV2052" t="inlineStr">
        <is>
          <t>5</t>
        </is>
      </c>
      <c r="AW2052" t="inlineStr">
        <is>
          <t>0</t>
        </is>
      </c>
      <c r="AX2052" t="inlineStr">
        <is>
          <t>Not Qualified</t>
        </is>
      </c>
      <c r="AY2052" s="4"/>
      <c r="AZ2052"/>
      <c r="BA2052"/>
      <c r="BB2052"/>
      <c r="BC2052"/>
      <c r="BD2052" s="4"/>
      <c r="BE2052"/>
      <c r="BF2052"/>
      <c r="BG2052" t="inlineStr">
        <is>
          <t>Reschedule</t>
        </is>
      </c>
      <c r="BH2052" t="inlineStr">
        <is>
          <t>Fauziah Maharan</t>
        </is>
      </c>
      <c r="BI2052"/>
      <c r="BJ2052" s="4">
        <v>46144.75578703704</v>
      </c>
      <c r="BK2052" s="4">
        <v>46122.68951388889</v>
      </c>
      <c r="BL2052" t="inlineStr">
        <is>
          <t>0.0</t>
        </is>
      </c>
      <c r="BM2052" t="inlineStr">
        <is>
          <t>0.0</t>
        </is>
      </c>
      <c r="BN2052"/>
      <c r="BO2052" s="4"/>
      <c r="BP2052">
        <v>166533</v>
      </c>
      <c r="BQ2052"/>
      <c r="BR2052"/>
      <c r="BS2052"/>
      <c r="BT2052"/>
      <c r="BU2052"/>
      <c r="BV2052"/>
      <c r="BW2052"/>
      <c r="BX2052"/>
      <c r="BY2052"/>
      <c r="BZ2052" s="4"/>
      <c r="CA2052"/>
      <c r="CB2052"/>
      <c r="CC2052" s="4"/>
      <c r="CD2052" t="inlineStr">
        <is>
          <t>5</t>
        </is>
      </c>
      <c r="CE2052" t="inlineStr">
        <is>
          <t>0</t>
        </is>
      </c>
      <c r="CF2052" t="inlineStr">
        <is>
          <t>Q2-W02</t>
        </is>
      </c>
      <c r="CG2052"/>
      <c r="CH2052"/>
      <c r="CI2052"/>
      <c r="CJ2052" t="inlineStr">
        <is>
          <t>No Paid</t>
        </is>
      </c>
      <c r="CK2052" t="inlineStr">
        <is>
          <t>Eligible</t>
        </is>
      </c>
      <c r="CL2052"/>
      <c r="CM2052"/>
    </row>
    <row r="2053" ht="25.5" customHeight="1">
      <c r="A2053" t="inlineStr">
        <is>
          <t>203104</t>
        </is>
      </c>
      <c r="B2053" s="2"/>
      <c r="C2053"/>
      <c r="D2053" s="3">
        <v>46122.707870370374</v>
      </c>
      <c r="E2053" t="inlineStr">
        <is>
          <t>Q2-W02</t>
        </is>
      </c>
      <c r="F2053" t="inlineStr">
        <is>
          <t>Luqman</t>
        </is>
      </c>
      <c r="G2053" t="inlineStr">
        <is>
          <t>Customer</t>
        </is>
      </c>
      <c r="H2053" s="2" t="str">
        <f>=HYPERLINK("https://upbox.ajobthing.my/customer/203104", "https://upbox.ajobthing.my/customer/203104")</f>
        <v>https://upbox.ajobthing.my/customer/203104</v>
      </c>
      <c r="I2053" t="inlineStr">
        <is>
          <t>VC VENTURES RESOURCES SDN BHD</t>
        </is>
      </c>
      <c r="J2053" t="inlineStr">
        <is>
          <t>Whale</t>
        </is>
      </c>
      <c r="K2053" t="inlineStr">
        <is>
          <t>Luqman</t>
        </is>
      </c>
      <c r="L2053" s="4"/>
      <c r="M2053" s="4">
        <v>46122.708078703705</v>
      </c>
      <c r="N2053"/>
      <c r="O2053">
        <v>3888</v>
      </c>
      <c r="P2053" s="4"/>
      <c r="Q2053" s="4"/>
      <c r="R2053"/>
      <c r="S2053"/>
      <c r="T2053" s="4"/>
      <c r="U2053" s="4"/>
      <c r="V2053"/>
      <c r="W2053"/>
      <c r="X2053"/>
      <c r="Y2053" t="inlineStr">
        <is>
          <t>Pending Appointment</t>
        </is>
      </c>
      <c r="Z2053" t="inlineStr">
        <is>
          <t>Hiring Now</t>
        </is>
      </c>
      <c r="AA2053">
        <v>1</v>
      </c>
      <c r="AB2053" t="inlineStr">
        <is>
          <t>No Appointment Made</t>
        </is>
      </c>
      <c r="AC2053"/>
      <c r="AD2053" t="inlineStr">
        <is>
          <t xml:space="preserve">1. Lab assistant </t>
        </is>
      </c>
      <c r="AE2053"/>
      <c r="AF2053">
        <v>1200</v>
      </c>
      <c r="AG2053" s="4"/>
      <c r="AH2053" s="4"/>
      <c r="AI2053">
        <v>1200</v>
      </c>
      <c r="AJ2053"/>
      <c r="AK2053" t="inlineStr">
        <is>
          <t>No, I don't need at all</t>
        </is>
      </c>
      <c r="AL2053">
        <v>3</v>
      </c>
      <c r="AM2053" t="inlineStr">
        <is>
          <t>No, I don't need at all</t>
        </is>
      </c>
      <c r="AN2053"/>
      <c r="AO2053" t="inlineStr">
        <is>
          <t>No, I don't need at all</t>
        </is>
      </c>
      <c r="AP2053" t="inlineStr">
        <is>
          <t>Once a year (25%)</t>
        </is>
      </c>
      <c r="AQ2053">
        <v>1</v>
      </c>
      <c r="AR2053" t="inlineStr">
        <is>
          <t>Jobstreet</t>
        </is>
      </c>
      <c r="AS2053" t="inlineStr">
        <is>
          <t>- Headcount: 1
- Hiring Job Details: 1 lab assistant
- Hiring Urgency: Hiring Now
- Number of outlets: Not provided
- Have recruiter team: No, I don't need at all
- Number of recruiter in company: 3
- Have ATS system: No, I don't need at all
- Have career website: No, I don't need at all
- Current hiring budget: RM1,200
- Whole year budget: RM1,200.00
- Whole year number of vacancies: 1
- Hiring frequency: Once a year (25%)
- External job portal: Jobstreet</t>
        </is>
      </c>
      <c r="AT2053">
        <v>115</v>
      </c>
      <c r="AU2053" t="inlineStr">
        <is>
          <t>1.15</t>
        </is>
      </c>
      <c r="AV2053" t="inlineStr">
        <is>
          <t>15</t>
        </is>
      </c>
      <c r="AW2053" t="inlineStr">
        <is>
          <t>0</t>
        </is>
      </c>
      <c r="AX2053" t="inlineStr">
        <is>
          <t>Not Qualified</t>
        </is>
      </c>
      <c r="AY2053" s="4"/>
      <c r="AZ2053"/>
      <c r="BA2053"/>
      <c r="BB2053"/>
      <c r="BC2053" t="inlineStr">
        <is>
          <t>Business do job posting via Facebook.</t>
        </is>
      </c>
      <c r="BD2053" s="4">
        <v>46127.682800925926</v>
      </c>
      <c r="BE2053"/>
      <c r="BF2053"/>
      <c r="BG2053" t="inlineStr">
        <is>
          <t>Reschedule</t>
        </is>
      </c>
      <c r="BH2053" t="inlineStr">
        <is>
          <t>Edward Hoo</t>
        </is>
      </c>
      <c r="BI2053"/>
      <c r="BJ2053" s="4">
        <v>46144.754212962966</v>
      </c>
      <c r="BK2053" s="4">
        <v>46122.693090277775</v>
      </c>
      <c r="BL2053" t="inlineStr">
        <is>
          <t>0.0</t>
        </is>
      </c>
      <c r="BM2053" t="inlineStr">
        <is>
          <t>0.0</t>
        </is>
      </c>
      <c r="BN2053"/>
      <c r="BO2053" s="4"/>
      <c r="BP2053">
        <v>166541</v>
      </c>
      <c r="BQ2053"/>
      <c r="BR2053"/>
      <c r="BS2053"/>
      <c r="BT2053"/>
      <c r="BU2053"/>
      <c r="BV2053">
        <v>2706548</v>
      </c>
      <c r="BW2053" t="inlineStr">
        <is>
          <t>Follow Up : Lost - Free Portal</t>
        </is>
      </c>
      <c r="BX2053"/>
      <c r="BY2053"/>
      <c r="BZ2053" s="4"/>
      <c r="CA2053"/>
      <c r="CB2053"/>
      <c r="CC2053" s="4"/>
      <c r="CD2053" t="inlineStr">
        <is>
          <t>20</t>
        </is>
      </c>
      <c r="CE2053" t="inlineStr">
        <is>
          <t>0</t>
        </is>
      </c>
      <c r="CF2053" t="inlineStr">
        <is>
          <t>Q2-W02</t>
        </is>
      </c>
      <c r="CG2053"/>
      <c r="CH2053"/>
      <c r="CI2053"/>
      <c r="CJ2053" t="inlineStr">
        <is>
          <t>No Paid</t>
        </is>
      </c>
      <c r="CK2053" t="inlineStr">
        <is>
          <t>Eligible</t>
        </is>
      </c>
      <c r="CL2053"/>
      <c r="CM2053"/>
    </row>
    <row r="2054" ht="25.5" customHeight="1">
      <c r="A2054" t="inlineStr">
        <is>
          <t>135169</t>
        </is>
      </c>
      <c r="B2054" s="2"/>
      <c r="C2054"/>
      <c r="D2054" s="3">
        <v>46122.708958333336</v>
      </c>
      <c r="E2054" t="inlineStr">
        <is>
          <t>Q2-W02</t>
        </is>
      </c>
      <c r="F2054" t="inlineStr">
        <is>
          <t>Yuli</t>
        </is>
      </c>
      <c r="G2054" t="inlineStr">
        <is>
          <t>Customer</t>
        </is>
      </c>
      <c r="H2054" s="2" t="str">
        <f>=HYPERLINK("https://upbox.ajobthing.my/customer/135169", "https://upbox.ajobthing.my/customer/135169")</f>
        <v>https://upbox.ajobthing.my/customer/135169</v>
      </c>
      <c r="I2054" t="inlineStr">
        <is>
          <t>Ritma Prestasi Sdn Bhd</t>
        </is>
      </c>
      <c r="J2054" t="inlineStr">
        <is>
          <t>Whale</t>
        </is>
      </c>
      <c r="K2054" t="inlineStr">
        <is>
          <t>YuLi</t>
        </is>
      </c>
      <c r="L2054" s="4"/>
      <c r="M2054" s="4">
        <v>46122.71225694445</v>
      </c>
      <c r="N2054"/>
      <c r="O2054">
        <v>11448</v>
      </c>
      <c r="P2054" s="4"/>
      <c r="Q2054" s="4">
        <v>46142.55168981481</v>
      </c>
      <c r="R2054"/>
      <c r="S2054">
        <v>6048</v>
      </c>
      <c r="T2054" s="4">
        <v>46142.55168981481</v>
      </c>
      <c r="U2054" s="4"/>
      <c r="V2054"/>
      <c r="W2054">
        <v>6048</v>
      </c>
      <c r="X2054"/>
      <c r="Y2054" t="inlineStr">
        <is>
          <t>Pending Appointment</t>
        </is>
      </c>
      <c r="Z2054" t="inlineStr">
        <is>
          <t>Hiring Now</t>
        </is>
      </c>
      <c r="AA2054">
        <v>7</v>
      </c>
      <c r="AB2054" t="inlineStr">
        <is>
          <t>No Appointment Made</t>
        </is>
      </c>
      <c r="AC2054"/>
      <c r="AD2054" t="inlineStr">
        <is>
          <t xml:space="preserve"> Sales Executive-3 headcount
Sales Executive- 2 headcount
Marketing-1 headcount
HR-1 headcount</t>
        </is>
      </c>
      <c r="AE2054"/>
      <c r="AF2054"/>
      <c r="AG2054" s="4"/>
      <c r="AH2054" s="4"/>
      <c r="AI2054"/>
      <c r="AJ2054">
        <v>1</v>
      </c>
      <c r="AK2054" t="inlineStr">
        <is>
          <t>Yes, I have</t>
        </is>
      </c>
      <c r="AL2054">
        <v>1</v>
      </c>
      <c r="AM2054" t="inlineStr">
        <is>
          <t>No, I don't need at all</t>
        </is>
      </c>
      <c r="AN2054"/>
      <c r="AO2054" t="inlineStr">
        <is>
          <t>No, but I want in future</t>
        </is>
      </c>
      <c r="AP2054"/>
      <c r="AQ2054"/>
      <c r="AR2054" t="inlineStr">
        <is>
          <t>Jobstreet</t>
        </is>
      </c>
      <c r="AS2054" t="inlineStr">
        <is>
          <t>- Headcount: 7
- Hiring Job Details: 3 Sales Executive, 2 Sales Executive, 1 Marketing, 1 HR
- Hiring Urgency: Hiring Now
- Number of outlets: 1
- Have recruiter team: Yes
- Number of recruiter in company: 1
- Have ATS system: No, I don't need at all
- Have career website: No, but I want in future
- Current hiring budget: Not specified
- Whole year budget: Not specified
- Whole year number of vacancies: Not specified
- Hiring frequency: Not specified
- External job portal: Jobstreet</t>
        </is>
      </c>
      <c r="AT2054">
        <v>75</v>
      </c>
      <c r="AU2054" t="inlineStr">
        <is>
          <t>0.75</t>
        </is>
      </c>
      <c r="AV2054" t="inlineStr">
        <is>
          <t>10</t>
        </is>
      </c>
      <c r="AW2054" t="inlineStr">
        <is>
          <t>0</t>
        </is>
      </c>
      <c r="AX2054" t="inlineStr">
        <is>
          <t>Not Qualified</t>
        </is>
      </c>
      <c r="AY2054" s="4"/>
      <c r="AZ2054"/>
      <c r="BA2054"/>
      <c r="BB2054"/>
      <c r="BC2054" t="inlineStr">
        <is>
          <t>called and spoke to Ms. Lee, she mentioned her finance already make payment, and ask to share me the info for company</t>
        </is>
      </c>
      <c r="BD2054" s="4">
        <v>46142.48778935185</v>
      </c>
      <c r="BE2054" t="inlineStr">
        <is>
          <t>paid</t>
        </is>
      </c>
      <c r="BF2054" t="inlineStr">
        <is>
          <t>Q2-W04</t>
        </is>
      </c>
      <c r="BG2054" t="inlineStr">
        <is>
          <t>Reschedule</t>
        </is>
      </c>
      <c r="BH2054" t="inlineStr">
        <is>
          <t>Fauziah Maharan</t>
        </is>
      </c>
      <c r="BI2054" t="inlineStr">
        <is>
          <t>Healthcare / Medical</t>
        </is>
      </c>
      <c r="BJ2054" s="4">
        <v>46144.75053240741</v>
      </c>
      <c r="BK2054" s="4">
        <v>44260.68996527778</v>
      </c>
      <c r="BL2054" t="inlineStr">
        <is>
          <t>0.0</t>
        </is>
      </c>
      <c r="BM2054" t="inlineStr">
        <is>
          <t>3600.0</t>
        </is>
      </c>
      <c r="BN2054" t="inlineStr">
        <is>
          <t>View Account User</t>
        </is>
      </c>
      <c r="BO2054" s="4">
        <v>46142.605775462966</v>
      </c>
      <c r="BP2054">
        <v>166546</v>
      </c>
      <c r="BQ2054">
        <v>7672</v>
      </c>
      <c r="BR2054" t="inlineStr">
        <is>
          <t>Manual (Paid)</t>
        </is>
      </c>
      <c r="BS2054" t="inlineStr">
        <is>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054">
        <v>7672</v>
      </c>
      <c r="BU2054"/>
      <c r="BV2054">
        <v>2737213</v>
      </c>
      <c r="BW2054" t="inlineStr">
        <is>
          <t>Follow Up : Win - Customer Paid</t>
        </is>
      </c>
      <c r="BX2054">
        <v>16</v>
      </c>
      <c r="BY2054">
        <v>16</v>
      </c>
      <c r="BZ2054" s="4"/>
      <c r="CA2054">
        <v>160</v>
      </c>
      <c r="CB2054">
        <v>160</v>
      </c>
      <c r="CC2054" s="4"/>
      <c r="CD2054" t="inlineStr">
        <is>
          <t>15</t>
        </is>
      </c>
      <c r="CE2054" t="inlineStr">
        <is>
          <t>0</t>
        </is>
      </c>
      <c r="CF2054" t="inlineStr">
        <is>
          <t>Q2-W02</t>
        </is>
      </c>
      <c r="CG2054" t="inlineStr">
        <is>
          <t>Q2-W04</t>
        </is>
      </c>
      <c r="CH2054" t="inlineStr">
        <is>
          <t>Q2-W04</t>
        </is>
      </c>
      <c r="CI2054"/>
      <c r="CJ2054" t="inlineStr">
        <is>
          <t>Paid</t>
        </is>
      </c>
      <c r="CK2054" t="inlineStr">
        <is>
          <t>Eligible</t>
        </is>
      </c>
      <c r="CL2054"/>
      <c r="CM2054"/>
    </row>
    <row r="2055" ht="25.5" customHeight="1">
      <c r="A2055" t="inlineStr">
        <is>
          <t>48544</t>
        </is>
      </c>
      <c r="B2055" s="2"/>
      <c r="C2055"/>
      <c r="D2055" s="3">
        <v>46122.70898148148</v>
      </c>
      <c r="E2055" t="inlineStr">
        <is>
          <t>Q2-W02</t>
        </is>
      </c>
      <c r="F2055" t="inlineStr">
        <is>
          <t>Yvonne Lee</t>
        </is>
      </c>
      <c r="G2055" t="inlineStr">
        <is>
          <t>Customer</t>
        </is>
      </c>
      <c r="H2055" s="2" t="str">
        <f>=HYPERLINK("https://upbox.ajobthing.my/customer/48544", "https://upbox.ajobthing.my/customer/48544")</f>
        <v>https://upbox.ajobthing.my/customer/48544</v>
      </c>
      <c r="I2055" t="inlineStr">
        <is>
          <t>Aksesori Setia Sdn Bhd</t>
        </is>
      </c>
      <c r="J2055" t="inlineStr">
        <is>
          <t>Whale</t>
        </is>
      </c>
      <c r="K2055" t="inlineStr">
        <is>
          <t>Yvonne</t>
        </is>
      </c>
      <c r="L2055" s="4"/>
      <c r="M2055" s="4">
        <v>46122.71324074074</v>
      </c>
      <c r="N2055"/>
      <c r="O2055">
        <v>11448</v>
      </c>
      <c r="P2055" s="4"/>
      <c r="Q2055" s="4"/>
      <c r="R2055"/>
      <c r="S2055"/>
      <c r="T2055" s="4"/>
      <c r="U2055" s="4"/>
      <c r="V2055"/>
      <c r="W2055"/>
      <c r="X2055"/>
      <c r="Y2055" t="inlineStr">
        <is>
          <t>Pending Appointment</t>
        </is>
      </c>
      <c r="Z2055" t="inlineStr">
        <is>
          <t>Hiring Now</t>
        </is>
      </c>
      <c r="AA2055">
        <v>3</v>
      </c>
      <c r="AB2055" t="inlineStr">
        <is>
          <t>No Appointment Made</t>
        </is>
      </c>
      <c r="AC2055"/>
      <c r="AD2055" t="inlineStr">
        <is>
          <t>1) Account Executive
2) HR Officer
3) Technician</t>
        </is>
      </c>
      <c r="AE2055"/>
      <c r="AF2055">
        <v>10000</v>
      </c>
      <c r="AG2055" s="4"/>
      <c r="AH2055" s="4"/>
      <c r="AI2055">
        <v>10000</v>
      </c>
      <c r="AJ2055">
        <v>1</v>
      </c>
      <c r="AK2055" t="inlineStr">
        <is>
          <t>Yes, I have</t>
        </is>
      </c>
      <c r="AL2055">
        <v>2</v>
      </c>
      <c r="AM2055" t="inlineStr">
        <is>
          <t>No, I don't need at all</t>
        </is>
      </c>
      <c r="AN2055"/>
      <c r="AO2055" t="inlineStr">
        <is>
          <t>Yes, I have</t>
        </is>
      </c>
      <c r="AP2055" t="inlineStr">
        <is>
          <t>Once per quarter (75%)</t>
        </is>
      </c>
      <c r="AQ2055">
        <v>30</v>
      </c>
      <c r="AR2055" t="inlineStr">
        <is>
          <t>Jobstreet, Indeed (Paid)</t>
        </is>
      </c>
      <c r="AS2055" t="inlineStr">
        <is>
          <t>- Headcount: 3
- Hiring Job Details: 1 Account Executive, 1 HR Officer, 1 Technician
- Hiring Urgency: Hiring Now
- Number of outlets: 1
- Have recruiter team: Yes
- Number of recruiter in company: 2
- Have ATS system: No, I don't need at all
- Have career website: Yes
- Current hiring budget: RM10,000
- Whole year budget: RM10,000.00
- Whole year number of vacancies: 30
- Hiring frequency: Once per quarter (75%)
- External job portal: Jobstreet, Indeed (Paid)</t>
        </is>
      </c>
      <c r="AT2055">
        <v>115</v>
      </c>
      <c r="AU2055" t="inlineStr">
        <is>
          <t>1.15</t>
        </is>
      </c>
      <c r="AV2055" t="inlineStr">
        <is>
          <t>15</t>
        </is>
      </c>
      <c r="AW2055" t="inlineStr">
        <is>
          <t>0</t>
        </is>
      </c>
      <c r="AX2055" t="inlineStr">
        <is>
          <t>Not Qualified</t>
        </is>
      </c>
      <c r="AY2055" s="4"/>
      <c r="AZ2055"/>
      <c r="BA2055"/>
      <c r="BB2055"/>
      <c r="BC2055" t="inlineStr">
        <is>
          <t>Called to office and spoken with Hidayah quotation shared and our current running promotion.</t>
        </is>
      </c>
      <c r="BD2055" s="4">
        <v>46141.71550925926</v>
      </c>
      <c r="BE2055"/>
      <c r="BF2055"/>
      <c r="BG2055" t="inlineStr">
        <is>
          <t>Reschedule</t>
        </is>
      </c>
      <c r="BH2055" t="inlineStr">
        <is>
          <t>andy@ajobthing.com</t>
        </is>
      </c>
      <c r="BI2055" t="inlineStr">
        <is>
          <t>Manufacturing / Production</t>
        </is>
      </c>
      <c r="BJ2055" s="4">
        <v>46144.75604166667</v>
      </c>
      <c r="BK2055" s="4">
        <v>43228.65659722222</v>
      </c>
      <c r="BL2055" t="inlineStr">
        <is>
          <t>0.0</t>
        </is>
      </c>
      <c r="BM2055" t="inlineStr">
        <is>
          <t>15000.0</t>
        </is>
      </c>
      <c r="BN2055" t="inlineStr">
        <is>
          <t>View Library</t>
        </is>
      </c>
      <c r="BO2055" s="4">
        <v>44298.41924768518</v>
      </c>
      <c r="BP2055">
        <v>166548</v>
      </c>
      <c r="BQ2055"/>
      <c r="BR2055"/>
      <c r="BS2055"/>
      <c r="BT2055"/>
      <c r="BU2055"/>
      <c r="BV2055">
        <v>2736123</v>
      </c>
      <c r="BW2055" t="inlineStr">
        <is>
          <t>Inquire for Hiring Needs : Quotation Sent 50%</t>
        </is>
      </c>
      <c r="BX2055"/>
      <c r="BY2055"/>
      <c r="BZ2055" s="4"/>
      <c r="CA2055"/>
      <c r="CB2055"/>
      <c r="CC2055" s="4"/>
      <c r="CD2055" t="inlineStr">
        <is>
          <t>20</t>
        </is>
      </c>
      <c r="CE2055" t="inlineStr">
        <is>
          <t>0</t>
        </is>
      </c>
      <c r="CF2055" t="inlineStr">
        <is>
          <t>Q2-W02</t>
        </is>
      </c>
      <c r="CG2055"/>
      <c r="CH2055"/>
      <c r="CI2055"/>
      <c r="CJ2055" t="inlineStr">
        <is>
          <t>No Paid</t>
        </is>
      </c>
      <c r="CK2055" t="inlineStr">
        <is>
          <t>Eligible</t>
        </is>
      </c>
      <c r="CL2055"/>
      <c r="CM2055"/>
    </row>
    <row r="2056" ht="25.5" customHeight="1">
      <c r="A2056" t="inlineStr">
        <is>
          <t>15281</t>
        </is>
      </c>
      <c r="B2056" s="2"/>
      <c r="C2056"/>
      <c r="D2056" s="3">
        <v>46122.74625</v>
      </c>
      <c r="E2056" t="inlineStr">
        <is>
          <t>Q2-W02</t>
        </is>
      </c>
      <c r="F2056" t="inlineStr">
        <is>
          <t>Yvonne Lee</t>
        </is>
      </c>
      <c r="G2056" t="inlineStr">
        <is>
          <t>Customer</t>
        </is>
      </c>
      <c r="H2056" s="2" t="str">
        <f>=HYPERLINK("https://upbox.ajobthing.my/customer/15281", "https://upbox.ajobthing.my/customer/15281")</f>
        <v>https://upbox.ajobthing.my/customer/15281</v>
      </c>
      <c r="I2056" t="inlineStr">
        <is>
          <t>Ahmad Zaki Resources Berhad</t>
        </is>
      </c>
      <c r="J2056" t="inlineStr">
        <is>
          <t>Whale</t>
        </is>
      </c>
      <c r="K2056" t="inlineStr">
        <is>
          <t>Yvonne</t>
        </is>
      </c>
      <c r="L2056" s="4"/>
      <c r="M2056" s="4">
        <v>46134.48737268519</v>
      </c>
      <c r="N2056"/>
      <c r="O2056">
        <v>1728</v>
      </c>
      <c r="P2056" s="4"/>
      <c r="Q2056" s="4">
        <v>46136.63297453704</v>
      </c>
      <c r="R2056"/>
      <c r="S2056">
        <v>0</v>
      </c>
      <c r="T2056" s="4"/>
      <c r="U2056" s="4"/>
      <c r="V2056"/>
      <c r="W2056"/>
      <c r="X2056"/>
      <c r="Y2056" t="inlineStr">
        <is>
          <t>Pending Appointment</t>
        </is>
      </c>
      <c r="Z2056" t="inlineStr">
        <is>
          <t>Hiring Now</t>
        </is>
      </c>
      <c r="AA2056">
        <v>3</v>
      </c>
      <c r="AB2056" t="inlineStr">
        <is>
          <t>No Appointment Made</t>
        </is>
      </c>
      <c r="AC2056"/>
      <c r="AD2056" t="inlineStr">
        <is>
          <t>1) Senior Exec Internal Audit
2) Finance Executive
3) Human Resource</t>
        </is>
      </c>
      <c r="AE2056"/>
      <c r="AF2056">
        <v>12000</v>
      </c>
      <c r="AG2056" s="4"/>
      <c r="AH2056" s="4"/>
      <c r="AI2056">
        <v>12000</v>
      </c>
      <c r="AJ2056">
        <v>1</v>
      </c>
      <c r="AK2056" t="inlineStr">
        <is>
          <t>Yes, I have</t>
        </is>
      </c>
      <c r="AL2056">
        <v>3</v>
      </c>
      <c r="AM2056" t="inlineStr">
        <is>
          <t>No, I don't need at all</t>
        </is>
      </c>
      <c r="AN2056"/>
      <c r="AO2056" t="inlineStr">
        <is>
          <t>Yes, I have</t>
        </is>
      </c>
      <c r="AP2056" t="inlineStr">
        <is>
          <t>Once per quarter (75%)</t>
        </is>
      </c>
      <c r="AQ2056">
        <v>40</v>
      </c>
      <c r="AR2056" t="inlineStr">
        <is>
          <t>Jobstreet, Indeed (Paid)</t>
        </is>
      </c>
      <c r="AS2056" t="inlineStr">
        <is>
          <t>- Headcount: 3
- Hiring Job Details: 1) Senior Exec Internal Audit 2) Finance Executive 3) Human Resource
- Hiring Urgency: Hiring Now
- Number of outlets: 1
- Have recruiter team: Yes
- Number of recruiter in company: 3
- Have ATS system: No, I don't need at all
- Have career website: Yes
- Current hiring budget: RM12,000
- Whole year budget: RM12,000.00
- Whole year number of vacancies: 40
- Hiring frequency: Once per quarter (75%)
- External job portal: Jobstreet,Indeed (Paid)</t>
        </is>
      </c>
      <c r="AT2056">
        <v>110</v>
      </c>
      <c r="AU2056" t="inlineStr">
        <is>
          <t>1.10</t>
        </is>
      </c>
      <c r="AV2056" t="inlineStr">
        <is>
          <t>20</t>
        </is>
      </c>
      <c r="AW2056" t="inlineStr">
        <is>
          <t>0</t>
        </is>
      </c>
      <c r="AX2056" t="inlineStr">
        <is>
          <t>Not Qualified</t>
        </is>
      </c>
      <c r="AY2056" s="4"/>
      <c r="AZ2056"/>
      <c r="BA2056"/>
      <c r="BB2056"/>
      <c r="BC2056" t="inlineStr">
        <is>
          <t>Requesting boost posting for free job postings.</t>
        </is>
      </c>
      <c r="BD2056" s="4">
        <v>46142.41446759259</v>
      </c>
      <c r="BE2056" t="inlineStr">
        <is>
          <t>paid</t>
        </is>
      </c>
      <c r="BF2056"/>
      <c r="BG2056" t="inlineStr">
        <is>
          <t>Reschedule</t>
        </is>
      </c>
      <c r="BH2056" t="inlineStr">
        <is>
          <t>andy@ajobthing.com</t>
        </is>
      </c>
      <c r="BI2056"/>
      <c r="BJ2056" s="4">
        <v>46144.750914351855</v>
      </c>
      <c r="BK2056" s="4">
        <v>42478.856574074074</v>
      </c>
      <c r="BL2056" t="inlineStr">
        <is>
          <t>0.0</t>
        </is>
      </c>
      <c r="BM2056" t="inlineStr">
        <is>
          <t>6000.0</t>
        </is>
      </c>
      <c r="BN2056" t="inlineStr">
        <is>
          <t>View Company Page</t>
        </is>
      </c>
      <c r="BO2056" s="4">
        <v>46142.649618055555</v>
      </c>
      <c r="BP2056">
        <v>168259</v>
      </c>
      <c r="BQ2056">
        <v>123681</v>
      </c>
      <c r="BR2056" t="inlineStr">
        <is>
          <t>Proforma</t>
        </is>
      </c>
      <c r="BS2056" t="inlineStr">
        <is>
          <t>Job Ad 365 - SME 100 Free Trial</t>
        </is>
      </c>
      <c r="BT2056"/>
      <c r="BU2056"/>
      <c r="BV2056">
        <v>2736613</v>
      </c>
      <c r="BW2056" t="inlineStr">
        <is>
          <t>Inquire for Hiring Needs : Budget Concern</t>
        </is>
      </c>
      <c r="BX2056">
        <v>300</v>
      </c>
      <c r="BY2056">
        <v>295</v>
      </c>
      <c r="BZ2056" s="4">
        <v>46142.48224537037</v>
      </c>
      <c r="CA2056"/>
      <c r="CB2056"/>
      <c r="CC2056" s="4"/>
      <c r="CD2056" t="inlineStr">
        <is>
          <t>25</t>
        </is>
      </c>
      <c r="CE2056" t="inlineStr">
        <is>
          <t>0</t>
        </is>
      </c>
      <c r="CF2056" t="inlineStr">
        <is>
          <t>Q2-W03</t>
        </is>
      </c>
      <c r="CG2056" t="inlineStr">
        <is>
          <t>Q2-W04</t>
        </is>
      </c>
      <c r="CH2056"/>
      <c r="CI2056"/>
      <c r="CJ2056" t="inlineStr">
        <is>
          <t>No Paid</t>
        </is>
      </c>
      <c r="CK2056" t="inlineStr">
        <is>
          <t>Eligible</t>
        </is>
      </c>
      <c r="CL2056"/>
      <c r="CM2056"/>
    </row>
    <row r="2057" ht="25.5" customHeight="1">
      <c r="A2057" t="inlineStr">
        <is>
          <t>172168</t>
        </is>
      </c>
      <c r="B2057" s="2"/>
      <c r="C2057"/>
      <c r="D2057" s="3">
        <v>46125.3834375</v>
      </c>
      <c r="E2057" t="inlineStr">
        <is>
          <t>Q2-W02</t>
        </is>
      </c>
      <c r="F2057" t="inlineStr">
        <is>
          <t>Ratha</t>
        </is>
      </c>
      <c r="G2057" t="inlineStr">
        <is>
          <t>Customer</t>
        </is>
      </c>
      <c r="H2057" s="2" t="str">
        <f>=HYPERLINK("https://upbox.ajobthing.my/customer/172168", "https://upbox.ajobthing.my/customer/172168")</f>
        <v>https://upbox.ajobthing.my/customer/172168</v>
      </c>
      <c r="I2057" t="inlineStr">
        <is>
          <t>BF Advisory</t>
        </is>
      </c>
      <c r="J2057" t="inlineStr">
        <is>
          <t>Whale</t>
        </is>
      </c>
      <c r="K2057" t="inlineStr">
        <is>
          <t>Ratha</t>
        </is>
      </c>
      <c r="L2057" s="4"/>
      <c r="M2057" s="4">
        <v>46125.385243055556</v>
      </c>
      <c r="N2057"/>
      <c r="O2057">
        <v>10584</v>
      </c>
      <c r="P2057" s="4"/>
      <c r="Q2057" s="4">
        <v>45702.496145833335</v>
      </c>
      <c r="R2057"/>
      <c r="S2057">
        <v>4212</v>
      </c>
      <c r="T2057" s="4">
        <v>45702.496145833335</v>
      </c>
      <c r="U2057" s="4"/>
      <c r="V2057"/>
      <c r="W2057">
        <v>4212</v>
      </c>
      <c r="X2057"/>
      <c r="Y2057" t="inlineStr">
        <is>
          <t>Pending Appointment</t>
        </is>
      </c>
      <c r="Z2057" t="inlineStr">
        <is>
          <t>Continuous Hiring</t>
        </is>
      </c>
      <c r="AA2057">
        <v>2</v>
      </c>
      <c r="AB2057" t="inlineStr">
        <is>
          <t>No Appointment Made</t>
        </is>
      </c>
      <c r="AC2057"/>
      <c r="AD2057" t="inlineStr">
        <is>
          <t>Sales Marketing
Digital
Location : Klang
Headcounts : Frequent</t>
        </is>
      </c>
      <c r="AE2057"/>
      <c r="AF2057"/>
      <c r="AG2057" s="4"/>
      <c r="AH2057" s="4"/>
      <c r="AI2057">
        <v>0</v>
      </c>
      <c r="AJ2057">
        <v>1</v>
      </c>
      <c r="AK2057" t="inlineStr">
        <is>
          <t>Yes, I have</t>
        </is>
      </c>
      <c r="AL2057">
        <v>2</v>
      </c>
      <c r="AM2057" t="inlineStr">
        <is>
          <t>No, I don't need at all</t>
        </is>
      </c>
      <c r="AN2057"/>
      <c r="AO2057" t="inlineStr">
        <is>
          <t>No, I don't need at all</t>
        </is>
      </c>
      <c r="AP2057" t="inlineStr">
        <is>
          <t>Every month (100%)</t>
        </is>
      </c>
      <c r="AQ2057">
        <v>0</v>
      </c>
      <c r="AR2057" t="inlineStr">
        <is>
          <t>Free Job Portal</t>
        </is>
      </c>
      <c r="AS2057" t="inlineStr">
        <is>
          <t>- Headcount: 2
- Hiring Job Details: Sales Marketing\nDigital\nLocation : Klang\nHeadcounts : Frequent
- Hiring Urgency: Continuous Hiring
- Number of outlets: 1
- Have recruiter team: Yes
- Number of recruiter in company: 2
- Have ATS system: No, I don't need at all
- Have career website: No, I don't need at all
- Current hiring budget: 
- Whole year budget: RM0.00
- Whole year number of vacancies: 0
- Hiring frequency: Every month (100%)
- External job portal: Free Job Portal</t>
        </is>
      </c>
      <c r="AT2057">
        <v>75</v>
      </c>
      <c r="AU2057" t="inlineStr">
        <is>
          <t>0.75</t>
        </is>
      </c>
      <c r="AV2057" t="inlineStr">
        <is>
          <t>5</t>
        </is>
      </c>
      <c r="AW2057" t="inlineStr">
        <is>
          <t>0</t>
        </is>
      </c>
      <c r="AX2057" t="inlineStr">
        <is>
          <t>Not Qualified</t>
        </is>
      </c>
      <c r="AY2057" s="4"/>
      <c r="AZ2057"/>
      <c r="BA2057"/>
      <c r="BB2057"/>
      <c r="BC2057" t="inlineStr">
        <is>
          <t>no answer</t>
        </is>
      </c>
      <c r="BD2057" s="4">
        <v>46140.699270833335</v>
      </c>
      <c r="BE2057" t="inlineStr">
        <is>
          <t>paid</t>
        </is>
      </c>
      <c r="BF2057"/>
      <c r="BG2057" t="inlineStr">
        <is>
          <t>Reschedule</t>
        </is>
      </c>
      <c r="BH2057" t="inlineStr">
        <is>
          <t>Fauziah Maharan</t>
        </is>
      </c>
      <c r="BI2057" t="inlineStr">
        <is>
          <t>Banking / Finance</t>
        </is>
      </c>
      <c r="BJ2057" s="4">
        <v>46144.75148148148</v>
      </c>
      <c r="BK2057" s="4">
        <v>45219.51175925926</v>
      </c>
      <c r="BL2057" t="inlineStr">
        <is>
          <t>0.0</t>
        </is>
      </c>
      <c r="BM2057" t="inlineStr">
        <is>
          <t>0.0</t>
        </is>
      </c>
      <c r="BN2057" t="inlineStr">
        <is>
          <t>People Search Page : Unlock Candidate</t>
        </is>
      </c>
      <c r="BO2057" s="4">
        <v>45833.4212962963</v>
      </c>
      <c r="BP2057">
        <v>166624</v>
      </c>
      <c r="BQ2057">
        <v>76758</v>
      </c>
      <c r="BR2057" t="inlineStr">
        <is>
          <t>Online</t>
        </is>
      </c>
      <c r="BS2057"/>
      <c r="BT2057">
        <v>76758</v>
      </c>
      <c r="BU2057"/>
      <c r="BV2057">
        <v>2733562</v>
      </c>
      <c r="BW2057" t="inlineStr">
        <is>
          <t>No Answer : Voicemail - WA sent to customer</t>
        </is>
      </c>
      <c r="BX2057"/>
      <c r="BY2057"/>
      <c r="BZ2057" s="4"/>
      <c r="CA2057"/>
      <c r="CB2057"/>
      <c r="CC2057" s="4"/>
      <c r="CD2057" t="inlineStr">
        <is>
          <t>5</t>
        </is>
      </c>
      <c r="CE2057" t="inlineStr">
        <is>
          <t>0</t>
        </is>
      </c>
      <c r="CF2057" t="inlineStr">
        <is>
          <t>Q2-W02</t>
        </is>
      </c>
      <c r="CG2057"/>
      <c r="CH2057"/>
      <c r="CI2057"/>
      <c r="CJ2057" t="inlineStr">
        <is>
          <t>Paid</t>
        </is>
      </c>
      <c r="CK2057" t="inlineStr">
        <is>
          <t>Eligible</t>
        </is>
      </c>
      <c r="CL2057"/>
      <c r="CM2057"/>
    </row>
    <row r="2058" ht="25.5" customHeight="1">
      <c r="A2058" t="inlineStr">
        <is>
          <t>192733</t>
        </is>
      </c>
      <c r="B2058" s="2"/>
      <c r="C2058"/>
      <c r="D2058" s="3">
        <v>46125.422372685185</v>
      </c>
      <c r="E2058" t="inlineStr">
        <is>
          <t>Q2-W02</t>
        </is>
      </c>
      <c r="F2058" t="inlineStr">
        <is>
          <t>Yuli</t>
        </is>
      </c>
      <c r="G2058" t="inlineStr">
        <is>
          <t>Customer</t>
        </is>
      </c>
      <c r="H2058" s="2" t="str">
        <f>=HYPERLINK("https://upbox.ajobthing.my/customer/192733", "https://upbox.ajobthing.my/customer/192733")</f>
        <v>https://upbox.ajobthing.my/customer/192733</v>
      </c>
      <c r="I2058" t="inlineStr">
        <is>
          <t>Apple Autotech Sdn. Bhd.</t>
        </is>
      </c>
      <c r="J2058" t="inlineStr">
        <is>
          <t>Whale</t>
        </is>
      </c>
      <c r="K2058" t="inlineStr">
        <is>
          <t>YuLi</t>
        </is>
      </c>
      <c r="L2058" s="4"/>
      <c r="M2058" s="4">
        <v>46125.42625</v>
      </c>
      <c r="N2058"/>
      <c r="O2058">
        <v>6048</v>
      </c>
      <c r="P2058" s="4"/>
      <c r="Q2058" s="4">
        <v>45827.68517361111</v>
      </c>
      <c r="R2058"/>
      <c r="S2058">
        <v>3672</v>
      </c>
      <c r="T2058" s="4">
        <v>45827.68517361111</v>
      </c>
      <c r="U2058" s="4"/>
      <c r="V2058"/>
      <c r="W2058">
        <v>3672</v>
      </c>
      <c r="X2058"/>
      <c r="Y2058" t="inlineStr">
        <is>
          <t>Pending Appointment</t>
        </is>
      </c>
      <c r="Z2058" t="inlineStr">
        <is>
          <t>Hiring Now</t>
        </is>
      </c>
      <c r="AA2058">
        <v>1</v>
      </c>
      <c r="AB2058" t="inlineStr">
        <is>
          <t>No Appointment Made</t>
        </is>
      </c>
      <c r="AC2058"/>
      <c r="AD2058" t="inlineStr">
        <is>
          <t>1 Sales manager</t>
        </is>
      </c>
      <c r="AE2058"/>
      <c r="AF2058"/>
      <c r="AG2058" s="4"/>
      <c r="AH2058" s="4"/>
      <c r="AI2058"/>
      <c r="AJ2058"/>
      <c r="AK2058"/>
      <c r="AL2058"/>
      <c r="AM2058"/>
      <c r="AN2058"/>
      <c r="AO2058"/>
      <c r="AP2058"/>
      <c r="AQ2058"/>
      <c r="AR2058" t="inlineStr">
        <is>
          <t>Jobstreet</t>
        </is>
      </c>
      <c r="AS2058" t="inlineStr">
        <is>
          <t>- Headcount: 1
- Hiring Job Details: 1 Sales manager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is>
      </c>
      <c r="AT2058">
        <v>65</v>
      </c>
      <c r="AU2058" t="inlineStr">
        <is>
          <t>0.65</t>
        </is>
      </c>
      <c r="AV2058" t="inlineStr">
        <is>
          <t>5</t>
        </is>
      </c>
      <c r="AW2058" t="inlineStr">
        <is>
          <t>0</t>
        </is>
      </c>
      <c r="AX2058" t="inlineStr">
        <is>
          <t>Not Qualified</t>
        </is>
      </c>
      <c r="AY2058" s="4"/>
      <c r="AZ2058"/>
      <c r="BA2058"/>
      <c r="BB2058"/>
      <c r="BC2058" t="inlineStr">
        <is>
          <t>qauotation shared</t>
        </is>
      </c>
      <c r="BD2058" s="4">
        <v>46125.6712962963</v>
      </c>
      <c r="BE2058" t="inlineStr">
        <is>
          <t>paid</t>
        </is>
      </c>
      <c r="BF2058"/>
      <c r="BG2058" t="inlineStr">
        <is>
          <t>Reschedule</t>
        </is>
      </c>
      <c r="BH2058" t="inlineStr">
        <is>
          <t>Fauziah Maharan</t>
        </is>
      </c>
      <c r="BI2058" t="inlineStr">
        <is>
          <t>Automobile / Automotive</t>
        </is>
      </c>
      <c r="BJ2058" s="4">
        <v>46144.752592592595</v>
      </c>
      <c r="BK2058" s="4">
        <v>45826.473495370374</v>
      </c>
      <c r="BL2058" t="inlineStr">
        <is>
          <t>3672.0</t>
        </is>
      </c>
      <c r="BM2058" t="inlineStr">
        <is>
          <t>1200.0</t>
        </is>
      </c>
      <c r="BN2058" t="inlineStr">
        <is>
          <t>User Visit(Logged In)</t>
        </is>
      </c>
      <c r="BO2058" s="4">
        <v>46093.57334490741</v>
      </c>
      <c r="BP2058">
        <v>166641</v>
      </c>
      <c r="BQ2058">
        <v>80230</v>
      </c>
      <c r="BR2058" t="inlineStr">
        <is>
          <t>Online</t>
        </is>
      </c>
      <c r="BS2058"/>
      <c r="BT2058">
        <v>80230</v>
      </c>
      <c r="BU2058"/>
      <c r="BV2058">
        <v>2701531</v>
      </c>
      <c r="BW2058" t="inlineStr">
        <is>
          <t>Customer Inquiry</t>
        </is>
      </c>
      <c r="BX2058">
        <v>6</v>
      </c>
      <c r="BY2058">
        <v>1</v>
      </c>
      <c r="BZ2058" s="4">
        <v>45889.492638888885</v>
      </c>
      <c r="CA2058">
        <v>60</v>
      </c>
      <c r="CB2058">
        <v>60</v>
      </c>
      <c r="CC2058" s="4"/>
      <c r="CD2058" t="inlineStr">
        <is>
          <t>5</t>
        </is>
      </c>
      <c r="CE2058" t="inlineStr">
        <is>
          <t>0</t>
        </is>
      </c>
      <c r="CF2058" t="inlineStr">
        <is>
          <t>Q2-W02</t>
        </is>
      </c>
      <c r="CG2058"/>
      <c r="CH2058"/>
      <c r="CI2058"/>
      <c r="CJ2058" t="inlineStr">
        <is>
          <t>Paid</t>
        </is>
      </c>
      <c r="CK2058" t="inlineStr">
        <is>
          <t>Eligible</t>
        </is>
      </c>
      <c r="CL2058"/>
      <c r="CM2058"/>
    </row>
    <row r="2059" ht="25.5" customHeight="1">
      <c r="A2059" t="inlineStr">
        <is>
          <t>180198</t>
        </is>
      </c>
      <c r="B2059" s="2"/>
      <c r="C2059"/>
      <c r="D2059" s="3">
        <v>46125.43146990741</v>
      </c>
      <c r="E2059" t="inlineStr">
        <is>
          <t>Q2-W02</t>
        </is>
      </c>
      <c r="F2059" t="inlineStr">
        <is>
          <t>Alan KY</t>
        </is>
      </c>
      <c r="G2059" t="inlineStr">
        <is>
          <t>Customer</t>
        </is>
      </c>
      <c r="H2059" s="2" t="str">
        <f>=HYPERLINK("https://upbox.ajobthing.my/customer/180198", "https://upbox.ajobthing.my/customer/180198")</f>
        <v>https://upbox.ajobthing.my/customer/180198</v>
      </c>
      <c r="I2059" t="inlineStr">
        <is>
          <t>Tadika Reenah</t>
        </is>
      </c>
      <c r="J2059" t="inlineStr">
        <is>
          <t>Whale</t>
        </is>
      </c>
      <c r="K2059" t="inlineStr">
        <is>
          <t>Alan KY</t>
        </is>
      </c>
      <c r="L2059" s="4"/>
      <c r="M2059" s="4">
        <v>46125.42974537037</v>
      </c>
      <c r="N2059"/>
      <c r="O2059">
        <v>3888</v>
      </c>
      <c r="P2059" s="4"/>
      <c r="Q2059" s="4">
        <v>46129.62829861111</v>
      </c>
      <c r="R2059"/>
      <c r="S2059">
        <v>1296</v>
      </c>
      <c r="T2059" s="4"/>
      <c r="U2059" s="4"/>
      <c r="V2059"/>
      <c r="W2059"/>
      <c r="X2059"/>
      <c r="Y2059" t="inlineStr">
        <is>
          <t>Pending Appointment</t>
        </is>
      </c>
      <c r="Z2059" t="inlineStr">
        <is>
          <t>Hiring Now</t>
        </is>
      </c>
      <c r="AA2059">
        <v>3</v>
      </c>
      <c r="AB2059" t="inlineStr">
        <is>
          <t>No Appointment Made</t>
        </is>
      </c>
      <c r="AC2059"/>
      <c r="AD2059" t="inlineStr">
        <is>
          <t>1 teacher , 1 kakak, 1 assistant teacher (upcoming)  in Johor</t>
        </is>
      </c>
      <c r="AE2059"/>
      <c r="AF2059"/>
      <c r="AG2059" s="4"/>
      <c r="AH2059" s="4"/>
      <c r="AI2059"/>
      <c r="AJ2059"/>
      <c r="AK2059" t="inlineStr">
        <is>
          <t>No, I don't need at all</t>
        </is>
      </c>
      <c r="AL2059"/>
      <c r="AM2059" t="inlineStr">
        <is>
          <t>No, I don't need at all</t>
        </is>
      </c>
      <c r="AN2059"/>
      <c r="AO2059" t="inlineStr">
        <is>
          <t>No, I don't need at all</t>
        </is>
      </c>
      <c r="AP2059" t="inlineStr">
        <is>
          <t>Once per quarter (75%)</t>
        </is>
      </c>
      <c r="AQ2059"/>
      <c r="AR2059" t="inlineStr">
        <is>
          <t>Jobstreet, Hiredly</t>
        </is>
      </c>
      <c r="AS2059" t="inlineStr">
        <is>
          <t>- Headcount: 3
- Hiring Job Details: 1 teacher, 1 kakak, 1 assistant teacher (upcoming) in Johor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Hiredly</t>
        </is>
      </c>
      <c r="AT2059">
        <v>85</v>
      </c>
      <c r="AU2059" t="inlineStr">
        <is>
          <t>0.85</t>
        </is>
      </c>
      <c r="AV2059" t="inlineStr">
        <is>
          <t>5</t>
        </is>
      </c>
      <c r="AW2059" t="inlineStr">
        <is>
          <t>0</t>
        </is>
      </c>
      <c r="AX2059" t="inlineStr">
        <is>
          <t>Not Qualified</t>
        </is>
      </c>
      <c r="AY2059" s="4"/>
      <c r="AZ2059"/>
      <c r="BA2059"/>
      <c r="BB2059"/>
      <c r="BC2059" t="inlineStr">
        <is>
          <t>No answer</t>
        </is>
      </c>
      <c r="BD2059" s="4">
        <v>46142.49863425926</v>
      </c>
      <c r="BE2059" t="inlineStr">
        <is>
          <t>pending</t>
        </is>
      </c>
      <c r="BF2059"/>
      <c r="BG2059" t="inlineStr">
        <is>
          <t>Reschedule</t>
        </is>
      </c>
      <c r="BH2059" t="inlineStr">
        <is>
          <t>Reagen</t>
        </is>
      </c>
      <c r="BI2059" t="inlineStr">
        <is>
          <t>Education / Training</t>
        </is>
      </c>
      <c r="BJ2059" s="4">
        <v>46144.75181712963</v>
      </c>
      <c r="BK2059" s="4">
        <v>45477.95980324074</v>
      </c>
      <c r="BL2059" t="inlineStr">
        <is>
          <t>0.0</t>
        </is>
      </c>
      <c r="BM2059" t="inlineStr">
        <is>
          <t>0.0</t>
        </is>
      </c>
      <c r="BN2059" t="inlineStr">
        <is>
          <t>View Company Page</t>
        </is>
      </c>
      <c r="BO2059" s="4">
        <v>45478.41672453703</v>
      </c>
      <c r="BP2059">
        <v>166642</v>
      </c>
      <c r="BQ2059">
        <v>122982</v>
      </c>
      <c r="BR2059" t="inlineStr">
        <is>
          <t>Proforma</t>
        </is>
      </c>
      <c r="BS2059" t="inlineStr">
        <is>
          <t>AI Ala Carte (Jan 26) Plus</t>
        </is>
      </c>
      <c r="BT2059"/>
      <c r="BU2059"/>
      <c r="BV2059">
        <v>2737280</v>
      </c>
      <c r="BW2059" t="inlineStr">
        <is>
          <t>No Answer : Voicemail - WA sent to customer</t>
        </is>
      </c>
      <c r="BX2059"/>
      <c r="BY2059"/>
      <c r="BZ2059" s="4"/>
      <c r="CA2059"/>
      <c r="CB2059"/>
      <c r="CC2059" s="4"/>
      <c r="CD2059" t="inlineStr">
        <is>
          <t>5</t>
        </is>
      </c>
      <c r="CE2059" t="inlineStr">
        <is>
          <t>0</t>
        </is>
      </c>
      <c r="CF2059" t="inlineStr">
        <is>
          <t>Q2-W02</t>
        </is>
      </c>
      <c r="CG2059" t="inlineStr">
        <is>
          <t>Q2-W03</t>
        </is>
      </c>
      <c r="CH2059"/>
      <c r="CI2059"/>
      <c r="CJ2059" t="inlineStr">
        <is>
          <t>No Paid</t>
        </is>
      </c>
      <c r="CK2059" t="inlineStr">
        <is>
          <t>Eligible</t>
        </is>
      </c>
      <c r="CL2059"/>
      <c r="CM2059"/>
    </row>
    <row r="2060" ht="25.5" customHeight="1">
      <c r="A2060" t="inlineStr">
        <is>
          <t>203117</t>
        </is>
      </c>
      <c r="B2060" s="2"/>
      <c r="C2060"/>
      <c r="D2060" s="3">
        <v>46125.45689814815</v>
      </c>
      <c r="E2060" t="inlineStr">
        <is>
          <t>Q2-W02</t>
        </is>
      </c>
      <c r="F2060" t="inlineStr">
        <is>
          <t>Jess</t>
        </is>
      </c>
      <c r="G2060" t="inlineStr">
        <is>
          <t>Customer</t>
        </is>
      </c>
      <c r="H2060" s="2" t="str">
        <f>=HYPERLINK("https://upbox.ajobthing.my/customer/203117", "https://upbox.ajobthing.my/customer/203117")</f>
        <v>https://upbox.ajobthing.my/customer/203117</v>
      </c>
      <c r="I2060" t="inlineStr">
        <is>
          <t>Quantum Aura International  holdings  sdn Bhd</t>
        </is>
      </c>
      <c r="J2060" t="inlineStr">
        <is>
          <t>Whale</t>
        </is>
      </c>
      <c r="K2060" t="inlineStr">
        <is>
          <t>Jess Lim</t>
        </is>
      </c>
      <c r="L2060" s="4"/>
      <c r="M2060" s="4">
        <v>46125.45758101852</v>
      </c>
      <c r="N2060"/>
      <c r="O2060">
        <v>3888</v>
      </c>
      <c r="P2060" s="4"/>
      <c r="Q2060" s="4"/>
      <c r="R2060"/>
      <c r="S2060"/>
      <c r="T2060" s="4"/>
      <c r="U2060" s="4"/>
      <c r="V2060"/>
      <c r="W2060"/>
      <c r="X2060"/>
      <c r="Y2060" t="inlineStr">
        <is>
          <t>Pending Appointment</t>
        </is>
      </c>
      <c r="Z2060" t="inlineStr">
        <is>
          <t>Hiring Now</t>
        </is>
      </c>
      <c r="AA2060">
        <v>2</v>
      </c>
      <c r="AB2060" t="inlineStr">
        <is>
          <t>No Appointment Made</t>
        </is>
      </c>
      <c r="AC2060"/>
      <c r="AD2060" t="inlineStr">
        <is>
          <t>sales 2</t>
        </is>
      </c>
      <c r="AE2060"/>
      <c r="AF2060">
        <v>1200</v>
      </c>
      <c r="AG2060" s="4"/>
      <c r="AH2060" s="4"/>
      <c r="AI2060"/>
      <c r="AJ2060">
        <v>1</v>
      </c>
      <c r="AK2060" t="inlineStr">
        <is>
          <t>No, I don't need at all</t>
        </is>
      </c>
      <c r="AL2060">
        <v>1</v>
      </c>
      <c r="AM2060" t="inlineStr">
        <is>
          <t>No, I don't need at all</t>
        </is>
      </c>
      <c r="AN2060"/>
      <c r="AO2060" t="inlineStr">
        <is>
          <t>No, I don't need at all</t>
        </is>
      </c>
      <c r="AP2060" t="inlineStr">
        <is>
          <t>Once a year (25%)</t>
        </is>
      </c>
      <c r="AQ2060"/>
      <c r="AR2060" t="inlineStr">
        <is>
          <t>Jobstreet</t>
        </is>
      </c>
      <c r="AS2060" t="inlineStr">
        <is>
          <t>- Headcount: 2
- Hiring Job Details: sales 2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2060">
        <v>100</v>
      </c>
      <c r="AU2060" t="inlineStr">
        <is>
          <t>1.00</t>
        </is>
      </c>
      <c r="AV2060" t="inlineStr">
        <is>
          <t>15</t>
        </is>
      </c>
      <c r="AW2060" t="inlineStr">
        <is>
          <t>0</t>
        </is>
      </c>
      <c r="AX2060" t="inlineStr">
        <is>
          <t>Not Qualified</t>
        </is>
      </c>
      <c r="AY2060" s="4"/>
      <c r="AZ2060"/>
      <c r="BA2060"/>
      <c r="BB2060"/>
      <c r="BC2060" t="inlineStr">
        <is>
          <t>no hiring atm</t>
        </is>
      </c>
      <c r="BD2060" s="4">
        <v>46135.74322916667</v>
      </c>
      <c r="BE2060"/>
      <c r="BF2060"/>
      <c r="BG2060" t="inlineStr">
        <is>
          <t>Reschedule</t>
        </is>
      </c>
      <c r="BH2060" t="inlineStr">
        <is>
          <t>Fauziah Maharan</t>
        </is>
      </c>
      <c r="BI2060" t="inlineStr">
        <is>
          <t>Gems / Jewellery</t>
        </is>
      </c>
      <c r="BJ2060" s="4">
        <v>46144.754212962966</v>
      </c>
      <c r="BK2060" s="4">
        <v>46123.05636574074</v>
      </c>
      <c r="BL2060" t="inlineStr">
        <is>
          <t>0.0</t>
        </is>
      </c>
      <c r="BM2060" t="inlineStr">
        <is>
          <t>0.0</t>
        </is>
      </c>
      <c r="BN2060" t="inlineStr">
        <is>
          <t>View Company Page</t>
        </is>
      </c>
      <c r="BO2060" s="4">
        <v>46123.090682870374</v>
      </c>
      <c r="BP2060">
        <v>166660</v>
      </c>
      <c r="BQ2060"/>
      <c r="BR2060"/>
      <c r="BS2060"/>
      <c r="BT2060"/>
      <c r="BU2060"/>
      <c r="BV2060">
        <v>2725142</v>
      </c>
      <c r="BW2060" t="inlineStr">
        <is>
          <t>Inquire for Hiring Needs : No Hiring</t>
        </is>
      </c>
      <c r="BX2060"/>
      <c r="BY2060"/>
      <c r="BZ2060" s="4"/>
      <c r="CA2060"/>
      <c r="CB2060"/>
      <c r="CC2060" s="4"/>
      <c r="CD2060" t="inlineStr">
        <is>
          <t>20</t>
        </is>
      </c>
      <c r="CE2060" t="inlineStr">
        <is>
          <t>0</t>
        </is>
      </c>
      <c r="CF2060" t="inlineStr">
        <is>
          <t>Q2-W02</t>
        </is>
      </c>
      <c r="CG2060"/>
      <c r="CH2060"/>
      <c r="CI2060"/>
      <c r="CJ2060" t="inlineStr">
        <is>
          <t>No Paid</t>
        </is>
      </c>
      <c r="CK2060" t="inlineStr">
        <is>
          <t>Eligible</t>
        </is>
      </c>
      <c r="CL2060"/>
      <c r="CM2060"/>
    </row>
    <row r="2061" ht="25.5" customHeight="1">
      <c r="A2061" t="inlineStr">
        <is>
          <t>125967</t>
        </is>
      </c>
      <c r="B2061" s="2"/>
      <c r="C2061"/>
      <c r="D2061" s="3">
        <v>46125.48180555556</v>
      </c>
      <c r="E2061" t="inlineStr">
        <is>
          <t>Q2-W02</t>
        </is>
      </c>
      <c r="F2061" t="inlineStr">
        <is>
          <t>Ratha</t>
        </is>
      </c>
      <c r="G2061" t="inlineStr">
        <is>
          <t>Customer</t>
        </is>
      </c>
      <c r="H2061" s="2" t="str">
        <f>=HYPERLINK("https://upbox.ajobthing.my/customer/125967", "https://upbox.ajobthing.my/customer/125967")</f>
        <v>https://upbox.ajobthing.my/customer/125967</v>
      </c>
      <c r="I2061" t="inlineStr">
        <is>
          <t>Gaia Carbon Sdn Bhd</t>
        </is>
      </c>
      <c r="J2061" t="inlineStr">
        <is>
          <t>Whale</t>
        </is>
      </c>
      <c r="K2061" t="inlineStr">
        <is>
          <t>Ratha</t>
        </is>
      </c>
      <c r="L2061" s="4"/>
      <c r="M2061" s="4">
        <v>46099.681597222225</v>
      </c>
      <c r="N2061"/>
      <c r="O2061">
        <v>5508</v>
      </c>
      <c r="P2061" s="4"/>
      <c r="Q2061" s="4">
        <v>46125.651655092595</v>
      </c>
      <c r="R2061"/>
      <c r="S2061">
        <v>3888</v>
      </c>
      <c r="T2061" s="4">
        <v>46125.651655092595</v>
      </c>
      <c r="U2061" s="4"/>
      <c r="V2061"/>
      <c r="W2061">
        <v>3888</v>
      </c>
      <c r="X2061"/>
      <c r="Y2061" t="inlineStr">
        <is>
          <t>Pending Appointment</t>
        </is>
      </c>
      <c r="Z2061" t="inlineStr">
        <is>
          <t>Hiring Now</t>
        </is>
      </c>
      <c r="AA2061">
        <v>2</v>
      </c>
      <c r="AB2061" t="inlineStr">
        <is>
          <t>No Appointment Made</t>
        </is>
      </c>
      <c r="AC2061"/>
      <c r="AD2061" t="inlineStr">
        <is>
          <t>Boiler, Chemist 
2
JB</t>
        </is>
      </c>
      <c r="AE2061"/>
      <c r="AF2061"/>
      <c r="AG2061" s="4"/>
      <c r="AH2061" s="4"/>
      <c r="AI2061">
        <v>0</v>
      </c>
      <c r="AJ2061">
        <v>1</v>
      </c>
      <c r="AK2061" t="inlineStr">
        <is>
          <t>Yes, I have</t>
        </is>
      </c>
      <c r="AL2061">
        <v>2</v>
      </c>
      <c r="AM2061" t="inlineStr">
        <is>
          <t>No, I don't need at all</t>
        </is>
      </c>
      <c r="AN2061"/>
      <c r="AO2061" t="inlineStr">
        <is>
          <t>No, I don't need at all</t>
        </is>
      </c>
      <c r="AP2061" t="inlineStr">
        <is>
          <t>Every month (100%)</t>
        </is>
      </c>
      <c r="AQ2061">
        <v>0</v>
      </c>
      <c r="AR2061" t="inlineStr">
        <is>
          <t>Free Job Portal</t>
        </is>
      </c>
      <c r="AS2061" t="inlineStr">
        <is>
          <t>- Headcount: 2
- Hiring Job Details: Boiler, Chemist \n2\nJB
- Hiring Urgency: Hiring Now
- Number of outlets: 1
- Have recruiter team: Yes, I have
- Number of recruiter in company: 2
- Have ATS system: No, I don't need at all
- Have career website: No, I don't need at all
- Current hiring budget: 
- Whole year budget: RM0.00
- Whole year number of vacancies: 0
- Hiring frequency: Every month (100%)
- External job portal: Free Job Portal</t>
        </is>
      </c>
      <c r="AT2061">
        <v>75</v>
      </c>
      <c r="AU2061" t="inlineStr">
        <is>
          <t>0.75</t>
        </is>
      </c>
      <c r="AV2061" t="inlineStr">
        <is>
          <t>5</t>
        </is>
      </c>
      <c r="AW2061" t="inlineStr">
        <is>
          <t>0</t>
        </is>
      </c>
      <c r="AX2061" t="inlineStr">
        <is>
          <t>Not Qualified</t>
        </is>
      </c>
      <c r="AY2061" s="4"/>
      <c r="AZ2061"/>
      <c r="BA2061"/>
      <c r="BB2061"/>
      <c r="BC2061" t="inlineStr">
        <is>
          <t>asked about notification email</t>
        </is>
      </c>
      <c r="BD2061" s="4">
        <v>46142.570127314815</v>
      </c>
      <c r="BE2061" t="inlineStr">
        <is>
          <t>paid</t>
        </is>
      </c>
      <c r="BF2061" t="inlineStr">
        <is>
          <t>Q2-W02</t>
        </is>
      </c>
      <c r="BG2061" t="inlineStr">
        <is>
          <t>Reschedule</t>
        </is>
      </c>
      <c r="BH2061" t="inlineStr">
        <is>
          <t>Fauziah Maharan</t>
        </is>
      </c>
      <c r="BI2061" t="inlineStr">
        <is>
          <t>Manufacturing / Production</t>
        </is>
      </c>
      <c r="BJ2061" s="4">
        <v>46144.75037037037</v>
      </c>
      <c r="BK2061" s="4">
        <v>43924.79167824074</v>
      </c>
      <c r="BL2061" t="inlineStr">
        <is>
          <t>10584.0</t>
        </is>
      </c>
      <c r="BM2061" t="inlineStr">
        <is>
          <t>600.0</t>
        </is>
      </c>
      <c r="BN2061" t="inlineStr">
        <is>
          <t>PA Visit - Job Card</t>
        </is>
      </c>
      <c r="BO2061" s="4">
        <v>46144.481458333335</v>
      </c>
      <c r="BP2061">
        <v>163019</v>
      </c>
      <c r="BQ2061">
        <v>93175</v>
      </c>
      <c r="BR2061" t="inlineStr">
        <is>
          <t>Online</t>
        </is>
      </c>
      <c r="BS2061"/>
      <c r="BT2061">
        <v>93175</v>
      </c>
      <c r="BU2061"/>
      <c r="BV2061">
        <v>2737533</v>
      </c>
      <c r="BW2061" t="inlineStr">
        <is>
          <t>Service / Technical : Job Outcome Enquiry</t>
        </is>
      </c>
      <c r="BX2061">
        <v>18</v>
      </c>
      <c r="BY2061">
        <v>5</v>
      </c>
      <c r="BZ2061" s="4">
        <v>46132.495717592596</v>
      </c>
      <c r="CA2061">
        <v>240</v>
      </c>
      <c r="CB2061">
        <v>233</v>
      </c>
      <c r="CC2061" s="4">
        <v>46144.47351851852</v>
      </c>
      <c r="CD2061" t="inlineStr">
        <is>
          <t>5</t>
        </is>
      </c>
      <c r="CE2061" t="inlineStr">
        <is>
          <t>0</t>
        </is>
      </c>
      <c r="CF2061" t="inlineStr">
        <is>
          <t>Q1-W11</t>
        </is>
      </c>
      <c r="CG2061" t="inlineStr">
        <is>
          <t>Q2-W02</t>
        </is>
      </c>
      <c r="CH2061" t="inlineStr">
        <is>
          <t>Q2-W02</t>
        </is>
      </c>
      <c r="CI2061"/>
      <c r="CJ2061" t="inlineStr">
        <is>
          <t>Paid</t>
        </is>
      </c>
      <c r="CK2061" t="inlineStr">
        <is>
          <t>Eligible</t>
        </is>
      </c>
      <c r="CL2061"/>
      <c r="CM2061"/>
    </row>
    <row r="2062" ht="25.5" customHeight="1">
      <c r="A2062" t="inlineStr">
        <is>
          <t>176276</t>
        </is>
      </c>
      <c r="B2062" s="2"/>
      <c r="C2062"/>
      <c r="D2062" s="3">
        <v>46125.49921296296</v>
      </c>
      <c r="E2062" t="inlineStr">
        <is>
          <t>Q2-W02</t>
        </is>
      </c>
      <c r="F2062" t="inlineStr">
        <is>
          <t>Jess</t>
        </is>
      </c>
      <c r="G2062" t="inlineStr">
        <is>
          <t>Customer</t>
        </is>
      </c>
      <c r="H2062" s="2" t="str">
        <f>=HYPERLINK("https://upbox.ajobthing.my/customer/176276", "https://upbox.ajobthing.my/customer/176276")</f>
        <v>https://upbox.ajobthing.my/customer/176276</v>
      </c>
      <c r="I2062" t="inlineStr">
        <is>
          <t>Perfect Concrete Industries Sdn Bhd</t>
        </is>
      </c>
      <c r="J2062" t="inlineStr">
        <is>
          <t>Whale</t>
        </is>
      </c>
      <c r="K2062" t="inlineStr">
        <is>
          <t>Jess Lim</t>
        </is>
      </c>
      <c r="L2062" s="4"/>
      <c r="M2062" s="4">
        <v>46125.49707175926</v>
      </c>
      <c r="N2062"/>
      <c r="O2062">
        <v>5832</v>
      </c>
      <c r="P2062" s="4"/>
      <c r="Q2062" s="4">
        <v>45993.94296296296</v>
      </c>
      <c r="R2062"/>
      <c r="S2062">
        <v>3564</v>
      </c>
      <c r="T2062" s="4">
        <v>45993.94296296296</v>
      </c>
      <c r="U2062" s="4"/>
      <c r="V2062"/>
      <c r="W2062">
        <v>3564</v>
      </c>
      <c r="X2062"/>
      <c r="Y2062" t="inlineStr">
        <is>
          <t>Pending Appointment</t>
        </is>
      </c>
      <c r="Z2062" t="inlineStr">
        <is>
          <t>Hiring Now</t>
        </is>
      </c>
      <c r="AA2062">
        <v>1</v>
      </c>
      <c r="AB2062" t="inlineStr">
        <is>
          <t>No Appointment Made</t>
        </is>
      </c>
      <c r="AC2062"/>
      <c r="AD2062" t="inlineStr">
        <is>
          <t>purchasing account</t>
        </is>
      </c>
      <c r="AE2062"/>
      <c r="AF2062">
        <v>3600</v>
      </c>
      <c r="AG2062" s="4"/>
      <c r="AH2062" s="4"/>
      <c r="AI2062"/>
      <c r="AJ2062">
        <v>1</v>
      </c>
      <c r="AK2062" t="inlineStr">
        <is>
          <t>No, I don't need at all</t>
        </is>
      </c>
      <c r="AL2062">
        <v>1</v>
      </c>
      <c r="AM2062" t="inlineStr">
        <is>
          <t>No, I don't need at all</t>
        </is>
      </c>
      <c r="AN2062"/>
      <c r="AO2062" t="inlineStr">
        <is>
          <t>No, I don't need at all</t>
        </is>
      </c>
      <c r="AP2062" t="inlineStr">
        <is>
          <t>Once a year (25%)</t>
        </is>
      </c>
      <c r="AQ2062"/>
      <c r="AR2062" t="inlineStr">
        <is>
          <t>Jobstreet</t>
        </is>
      </c>
      <c r="AS2062" t="inlineStr">
        <is>
          <t>- Headcount: 1
- Hiring Job Details: 1 purchasing account
- Hiring Urgency: Hiring Now
- Number of outlets: 1
- Have recruiter team: No, I don't need at all
- Number of recruiter in company: 1
- Have ATS system: No, I don't need at all
- Have career website: No, I don't need at all
- Current hiring budget: RM3,600.00
- Whole year budget: 
- Whole year number of vacancies: 
- Hiring frequency: Once a year (25%)
- External job portal: Jobstreet</t>
        </is>
      </c>
      <c r="AT2062">
        <v>100</v>
      </c>
      <c r="AU2062" t="inlineStr">
        <is>
          <t>1.00</t>
        </is>
      </c>
      <c r="AV2062" t="inlineStr">
        <is>
          <t>15</t>
        </is>
      </c>
      <c r="AW2062" t="inlineStr">
        <is>
          <t>0</t>
        </is>
      </c>
      <c r="AX2062" t="inlineStr">
        <is>
          <t>Not Qualified</t>
        </is>
      </c>
      <c r="AY2062" s="4"/>
      <c r="AZ2062"/>
      <c r="BA2062"/>
      <c r="BB2062"/>
      <c r="BC2062" t="inlineStr">
        <is>
          <t>no pick up</t>
        </is>
      </c>
      <c r="BD2062" s="4">
        <v>46133.48627314815</v>
      </c>
      <c r="BE2062" t="inlineStr">
        <is>
          <t>paid</t>
        </is>
      </c>
      <c r="BF2062"/>
      <c r="BG2062" t="inlineStr">
        <is>
          <t>Reschedule</t>
        </is>
      </c>
      <c r="BH2062" t="inlineStr">
        <is>
          <t>Fauziah Maharan</t>
        </is>
      </c>
      <c r="BI2062" t="inlineStr">
        <is>
          <t>Manufacturing / Production</t>
        </is>
      </c>
      <c r="BJ2062" s="4">
        <v>46144.75163194445</v>
      </c>
      <c r="BK2062" s="4">
        <v>45362.742581018516</v>
      </c>
      <c r="BL2062" t="inlineStr">
        <is>
          <t>6480.0</t>
        </is>
      </c>
      <c r="BM2062" t="inlineStr">
        <is>
          <t>0.0</t>
        </is>
      </c>
      <c r="BN2062" t="inlineStr">
        <is>
          <t>View Company Page</t>
        </is>
      </c>
      <c r="BO2062" s="4">
        <v>46144.65951388889</v>
      </c>
      <c r="BP2062">
        <v>166681</v>
      </c>
      <c r="BQ2062">
        <v>6823</v>
      </c>
      <c r="BR2062" t="inlineStr">
        <is>
          <t>Manual (Paid)</t>
        </is>
      </c>
      <c r="BS2062" t="inlineStr">
        <is>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Remark
- EXTRA: 2-month extension for total 14-month package validity
- Further RM300 Discount valid until 4 Deecember 2025</t>
        </is>
      </c>
      <c r="BT2062">
        <v>6823</v>
      </c>
      <c r="BU2062"/>
      <c r="BV2062">
        <v>2717479</v>
      </c>
      <c r="BW2062" t="inlineStr">
        <is>
          <t>No Answer : Voicemail - WA sent to customer</t>
        </is>
      </c>
      <c r="BX2062">
        <v>6</v>
      </c>
      <c r="BY2062">
        <v>0</v>
      </c>
      <c r="BZ2062" s="4">
        <v>46078.503020833334</v>
      </c>
      <c r="CA2062">
        <v>60</v>
      </c>
      <c r="CB2062">
        <v>60</v>
      </c>
      <c r="CC2062" s="4"/>
      <c r="CD2062" t="inlineStr">
        <is>
          <t>20</t>
        </is>
      </c>
      <c r="CE2062" t="inlineStr">
        <is>
          <t>0</t>
        </is>
      </c>
      <c r="CF2062" t="inlineStr">
        <is>
          <t>Q2-W02</t>
        </is>
      </c>
      <c r="CG2062"/>
      <c r="CH2062"/>
      <c r="CI2062"/>
      <c r="CJ2062" t="inlineStr">
        <is>
          <t>Paid</t>
        </is>
      </c>
      <c r="CK2062" t="inlineStr">
        <is>
          <t>Eligible</t>
        </is>
      </c>
      <c r="CL2062"/>
      <c r="CM2062"/>
    </row>
    <row r="2063" ht="25.5" customHeight="1">
      <c r="A2063" t="inlineStr">
        <is>
          <t>199046</t>
        </is>
      </c>
      <c r="B2063" s="2"/>
      <c r="C2063"/>
      <c r="D2063" s="3">
        <v>46125.50525462963</v>
      </c>
      <c r="E2063" t="inlineStr">
        <is>
          <t>Q2-W02</t>
        </is>
      </c>
      <c r="F2063" t="inlineStr">
        <is>
          <t>Yuli</t>
        </is>
      </c>
      <c r="G2063" t="inlineStr">
        <is>
          <t>Customer</t>
        </is>
      </c>
      <c r="H2063" s="2" t="str">
        <f>=HYPERLINK("https://upbox.ajobthing.my/customer/199046", "https://upbox.ajobthing.my/customer/199046")</f>
        <v>https://upbox.ajobthing.my/customer/199046</v>
      </c>
      <c r="I2063" t="inlineStr">
        <is>
          <t xml:space="preserve">Jos Malaysia Sdn Bhd </t>
        </is>
      </c>
      <c r="J2063" t="inlineStr">
        <is>
          <t>Whale</t>
        </is>
      </c>
      <c r="K2063" t="inlineStr">
        <is>
          <t>YuLi</t>
        </is>
      </c>
      <c r="L2063" s="4"/>
      <c r="M2063" s="4">
        <v>46125.508993055555</v>
      </c>
      <c r="N2063"/>
      <c r="O2063">
        <v>3888</v>
      </c>
      <c r="P2063" s="4"/>
      <c r="Q2063" s="4"/>
      <c r="R2063"/>
      <c r="S2063"/>
      <c r="T2063" s="4"/>
      <c r="U2063" s="4"/>
      <c r="V2063"/>
      <c r="W2063"/>
      <c r="X2063" t="inlineStr">
        <is>
          <t>Yuli</t>
        </is>
      </c>
      <c r="Y2063" t="inlineStr">
        <is>
          <t>Done Appointment</t>
        </is>
      </c>
      <c r="Z2063"/>
      <c r="AA2063">
        <v>10</v>
      </c>
      <c r="AB2063" t="inlineStr">
        <is>
          <t>Appointment Made</t>
        </is>
      </c>
      <c r="AC2063" t="inlineStr">
        <is>
          <t>Mid-size (50-100 employees)</t>
        </is>
      </c>
      <c r="AD2063" t="inlineStr">
        <is>
          <t>8 Sales Account Manager
1 Product Specialist
1 Senior Business Development</t>
        </is>
      </c>
      <c r="AE2063" t="inlineStr">
        <is>
          <t>HR Manager / Talent Manager</t>
        </is>
      </c>
      <c r="AF2063">
        <v>6000</v>
      </c>
      <c r="AG2063" s="4">
        <v>46125.458333333336</v>
      </c>
      <c r="AH2063" s="4">
        <v>46125.5</v>
      </c>
      <c r="AI2063"/>
      <c r="AJ2063"/>
      <c r="AK2063" t="inlineStr">
        <is>
          <t>Yes, I have</t>
        </is>
      </c>
      <c r="AL2063">
        <v>3</v>
      </c>
      <c r="AM2063"/>
      <c r="AN2063"/>
      <c r="AO2063" t="inlineStr">
        <is>
          <t>Yes, I have</t>
        </is>
      </c>
      <c r="AP2063"/>
      <c r="AQ2063"/>
      <c r="AR2063" t="inlineStr">
        <is>
          <t>Jobstreet, Indeed (Paid)</t>
        </is>
      </c>
      <c r="AS2063" t="inlineStr">
        <is>
          <t>- Headcount: 10
- Hiring Job Details: 8 Sales Account Manager, 1 Product Specialist, 1 Senior Business Development
- Number of outlets: Not provided
- Have recruiter team: Yes
- Number of recruiter in company: 3
- Have ATS system: Not provided
- Have career website: Yes
- Current hiring budget: RM6,000.00
- Whole year budget: Not provided
- Whole year number of vacancies: Not provided
- Hiring frequency: Not provided
- Hiring urgency: Not provided
- External job portal: Jobstreet (Paid), Indeed (Paid)</t>
        </is>
      </c>
      <c r="AT2063">
        <v>75</v>
      </c>
      <c r="AU2063" t="inlineStr">
        <is>
          <t>0.75</t>
        </is>
      </c>
      <c r="AV2063" t="inlineStr">
        <is>
          <t>40</t>
        </is>
      </c>
      <c r="AW2063" t="inlineStr">
        <is>
          <t>0.5</t>
        </is>
      </c>
      <c r="AX2063" t="inlineStr">
        <is>
          <t>Not Qualified</t>
        </is>
      </c>
      <c r="AY2063" s="4">
        <v>46125.53092592592</v>
      </c>
      <c r="AZ2063" t="inlineStr">
        <is>
          <t>Base Assistant</t>
        </is>
      </c>
      <c r="BA2063"/>
      <c r="BB2063"/>
      <c r="BC2063" t="inlineStr">
        <is>
          <t>Received email for Syazween not to proceed due to looking for someone with techinical IT skills</t>
        </is>
      </c>
      <c r="BD2063" s="4">
        <v>46139.58159722222</v>
      </c>
      <c r="BE2063"/>
      <c r="BF2063"/>
      <c r="BG2063" t="inlineStr">
        <is>
          <t>Reschedule</t>
        </is>
      </c>
      <c r="BH2063" t="inlineStr">
        <is>
          <t>Fauziah Maharan</t>
        </is>
      </c>
      <c r="BI2063"/>
      <c r="BJ2063" s="4">
        <v>46144.753229166665</v>
      </c>
      <c r="BK2063" s="4">
        <v>45995.635787037034</v>
      </c>
      <c r="BL2063" t="inlineStr">
        <is>
          <t>0.0</t>
        </is>
      </c>
      <c r="BM2063" t="inlineStr">
        <is>
          <t>0.0</t>
        </is>
      </c>
      <c r="BN2063" t="inlineStr">
        <is>
          <t>View Create Job Page V4</t>
        </is>
      </c>
      <c r="BO2063" s="4">
        <v>45995.64082175926</v>
      </c>
      <c r="BP2063">
        <v>166690</v>
      </c>
      <c r="BQ2063"/>
      <c r="BR2063"/>
      <c r="BS2063"/>
      <c r="BT2063"/>
      <c r="BU2063"/>
      <c r="BV2063">
        <v>2729558</v>
      </c>
      <c r="BW2063" t="inlineStr">
        <is>
          <t>Follow Up : Lost - Paid Portal</t>
        </is>
      </c>
      <c r="BX2063"/>
      <c r="BY2063"/>
      <c r="BZ2063" s="4"/>
      <c r="CA2063"/>
      <c r="CB2063"/>
      <c r="CC2063" s="4"/>
      <c r="CD2063" t="inlineStr">
        <is>
          <t>60</t>
        </is>
      </c>
      <c r="CE2063" t="inlineStr">
        <is>
          <t>0.8</t>
        </is>
      </c>
      <c r="CF2063" t="inlineStr">
        <is>
          <t>Q2-W02</t>
        </is>
      </c>
      <c r="CG2063"/>
      <c r="CH2063"/>
      <c r="CI2063" t="inlineStr">
        <is>
          <t>Q2-W02</t>
        </is>
      </c>
      <c r="CJ2063" t="inlineStr">
        <is>
          <t>No Paid</t>
        </is>
      </c>
      <c r="CK2063" t="inlineStr">
        <is>
          <t>Eligible</t>
        </is>
      </c>
      <c r="CL2063"/>
      <c r="CM2063" t="inlineStr">
        <is>
          <t>Q2-W02</t>
        </is>
      </c>
    </row>
    <row r="2064" ht="25.5" customHeight="1">
      <c r="A2064" t="inlineStr">
        <is>
          <t>193633</t>
        </is>
      </c>
      <c r="B2064" s="2"/>
      <c r="C2064"/>
      <c r="D2064" s="3">
        <v>46125.525717592594</v>
      </c>
      <c r="E2064" t="inlineStr">
        <is>
          <t>Q2-W02</t>
        </is>
      </c>
      <c r="F2064" t="inlineStr">
        <is>
          <t>Dickson</t>
        </is>
      </c>
      <c r="G2064" t="inlineStr">
        <is>
          <t>Customer</t>
        </is>
      </c>
      <c r="H2064" s="2" t="str">
        <f>=HYPERLINK("https://upbox.ajobthing.my/customer/193633", "https://upbox.ajobthing.my/customer/193633")</f>
        <v>https://upbox.ajobthing.my/customer/193633</v>
      </c>
      <c r="I2064" t="inlineStr">
        <is>
          <t>QM Print Sdn Bhd</t>
        </is>
      </c>
      <c r="J2064" t="inlineStr">
        <is>
          <t>Whale</t>
        </is>
      </c>
      <c r="K2064" t="inlineStr">
        <is>
          <t>Dickson</t>
        </is>
      </c>
      <c r="L2064" s="4"/>
      <c r="M2064" s="4">
        <v>46135.638715277775</v>
      </c>
      <c r="N2064"/>
      <c r="O2064">
        <v>3888</v>
      </c>
      <c r="P2064" s="4"/>
      <c r="Q2064" s="4">
        <v>46142.644837962966</v>
      </c>
      <c r="R2064"/>
      <c r="S2064">
        <v>3576.96</v>
      </c>
      <c r="T2064" s="4">
        <v>46142.644837962966</v>
      </c>
      <c r="U2064" s="4"/>
      <c r="V2064"/>
      <c r="W2064">
        <v>3576.96</v>
      </c>
      <c r="X2064"/>
      <c r="Y2064" t="inlineStr">
        <is>
          <t>Pending Appointment</t>
        </is>
      </c>
      <c r="Z2064" t="inlineStr">
        <is>
          <t>Hiring Now</t>
        </is>
      </c>
      <c r="AA2064">
        <v>1</v>
      </c>
      <c r="AB2064" t="inlineStr">
        <is>
          <t>No Appointment Made</t>
        </is>
      </c>
      <c r="AC2064"/>
      <c r="AD2064" t="inlineStr">
        <is>
          <t>1 front desk/customer service</t>
        </is>
      </c>
      <c r="AE2064"/>
      <c r="AF2064"/>
      <c r="AG2064" s="4"/>
      <c r="AH2064" s="4"/>
      <c r="AI2064"/>
      <c r="AJ2064">
        <v>1</v>
      </c>
      <c r="AK2064" t="inlineStr">
        <is>
          <t>No, I don't need at all</t>
        </is>
      </c>
      <c r="AL2064"/>
      <c r="AM2064" t="inlineStr">
        <is>
          <t>No, I don't need at all</t>
        </is>
      </c>
      <c r="AN2064"/>
      <c r="AO2064" t="inlineStr">
        <is>
          <t>No, I don't need at all</t>
        </is>
      </c>
      <c r="AP2064" t="inlineStr">
        <is>
          <t>Once per quarter (75%)</t>
        </is>
      </c>
      <c r="AQ2064"/>
      <c r="AR2064"/>
      <c r="AS2064" t="inlineStr">
        <is>
          <t>- Headcount: 1
- Hiring Job Details: 1 front desk/customer service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2064">
        <v>95</v>
      </c>
      <c r="AU2064" t="inlineStr">
        <is>
          <t>0.95</t>
        </is>
      </c>
      <c r="AV2064" t="inlineStr">
        <is>
          <t>5</t>
        </is>
      </c>
      <c r="AW2064" t="inlineStr">
        <is>
          <t>0</t>
        </is>
      </c>
      <c r="AX2064" t="inlineStr">
        <is>
          <t>Not Qualified</t>
        </is>
      </c>
      <c r="AY2064" s="4"/>
      <c r="AZ2064"/>
      <c r="BA2064"/>
      <c r="BB2064"/>
      <c r="BC2064" t="inlineStr">
        <is>
          <t>sent invoice</t>
        </is>
      </c>
      <c r="BD2064" s="4">
        <v>46142.43561342593</v>
      </c>
      <c r="BE2064" t="inlineStr">
        <is>
          <t>paid</t>
        </is>
      </c>
      <c r="BF2064" t="inlineStr">
        <is>
          <t>Q2-W04</t>
        </is>
      </c>
      <c r="BG2064" t="inlineStr">
        <is>
          <t>Reschedule</t>
        </is>
      </c>
      <c r="BH2064" t="inlineStr">
        <is>
          <t>Edward Hoo</t>
        </is>
      </c>
      <c r="BI2064" t="inlineStr">
        <is>
          <t>Printing / Publishing</t>
        </is>
      </c>
      <c r="BJ2064" s="4">
        <v>46144.75263888889</v>
      </c>
      <c r="BK2064" s="4">
        <v>45849.47550925926</v>
      </c>
      <c r="BL2064" t="inlineStr">
        <is>
          <t>4656.96</t>
        </is>
      </c>
      <c r="BM2064" t="inlineStr">
        <is>
          <t>600.0</t>
        </is>
      </c>
      <c r="BN2064" t="inlineStr">
        <is>
          <t>View Jobmanager Page</t>
        </is>
      </c>
      <c r="BO2064" s="4">
        <v>45959.54107638889</v>
      </c>
      <c r="BP2064">
        <v>168592</v>
      </c>
      <c r="BQ2064">
        <v>95208</v>
      </c>
      <c r="BR2064" t="inlineStr">
        <is>
          <t>Online</t>
        </is>
      </c>
      <c r="BS2064"/>
      <c r="BT2064">
        <v>95208</v>
      </c>
      <c r="BU2064"/>
      <c r="BV2064">
        <v>2736763</v>
      </c>
      <c r="BW2064" t="inlineStr">
        <is>
          <t>Follow Up : Invoice Sent 75%</t>
        </is>
      </c>
      <c r="BX2064">
        <v>6</v>
      </c>
      <c r="BY2064">
        <v>6</v>
      </c>
      <c r="BZ2064" s="4"/>
      <c r="CA2064">
        <v>60</v>
      </c>
      <c r="CB2064">
        <v>60</v>
      </c>
      <c r="CC2064" s="4"/>
      <c r="CD2064" t="inlineStr">
        <is>
          <t>5</t>
        </is>
      </c>
      <c r="CE2064" t="inlineStr">
        <is>
          <t>0</t>
        </is>
      </c>
      <c r="CF2064" t="inlineStr">
        <is>
          <t>Q2-W03</t>
        </is>
      </c>
      <c r="CG2064" t="inlineStr">
        <is>
          <t>Q2-W04</t>
        </is>
      </c>
      <c r="CH2064" t="inlineStr">
        <is>
          <t>Q2-W04</t>
        </is>
      </c>
      <c r="CI2064"/>
      <c r="CJ2064" t="inlineStr">
        <is>
          <t>Paid</t>
        </is>
      </c>
      <c r="CK2064" t="inlineStr">
        <is>
          <t>Eligible</t>
        </is>
      </c>
      <c r="CL2064"/>
      <c r="CM2064"/>
    </row>
    <row r="2065" ht="25.5" customHeight="1">
      <c r="A2065" t="inlineStr">
        <is>
          <t>159473</t>
        </is>
      </c>
      <c r="B2065" s="2"/>
      <c r="C2065"/>
      <c r="D2065" s="3">
        <v>46125.548634259256</v>
      </c>
      <c r="E2065" t="inlineStr">
        <is>
          <t>Q2-W02</t>
        </is>
      </c>
      <c r="F2065" t="inlineStr">
        <is>
          <t>Dickson</t>
        </is>
      </c>
      <c r="G2065" t="inlineStr">
        <is>
          <t>Customer</t>
        </is>
      </c>
      <c r="H2065" s="2" t="str">
        <f>=HYPERLINK("https://upbox.ajobthing.my/customer/159473", "https://upbox.ajobthing.my/customer/159473")</f>
        <v>https://upbox.ajobthing.my/customer/159473</v>
      </c>
      <c r="I2065" t="inlineStr">
        <is>
          <t>Wang-Zheng Corporation Sdn Bhd</t>
        </is>
      </c>
      <c r="J2065" t="inlineStr">
        <is>
          <t>Whale</t>
        </is>
      </c>
      <c r="K2065" t="inlineStr">
        <is>
          <t>Dickson</t>
        </is>
      </c>
      <c r="L2065" s="4"/>
      <c r="M2065" s="4">
        <v>46125.548796296294</v>
      </c>
      <c r="N2065"/>
      <c r="O2065">
        <v>6048</v>
      </c>
      <c r="P2065" s="4"/>
      <c r="Q2065" s="4">
        <v>44817.00001157408</v>
      </c>
      <c r="R2065"/>
      <c r="S2065">
        <v>1908</v>
      </c>
      <c r="T2065" s="4">
        <v>44817.00001157408</v>
      </c>
      <c r="U2065" s="4"/>
      <c r="V2065"/>
      <c r="W2065">
        <v>1908</v>
      </c>
      <c r="X2065"/>
      <c r="Y2065" t="inlineStr">
        <is>
          <t>Pending Appointment</t>
        </is>
      </c>
      <c r="Z2065" t="inlineStr">
        <is>
          <t>Hiring Now</t>
        </is>
      </c>
      <c r="AA2065">
        <v>6</v>
      </c>
      <c r="AB2065" t="inlineStr">
        <is>
          <t>No Appointment Made</t>
        </is>
      </c>
      <c r="AC2065"/>
      <c r="AD2065" t="inlineStr">
        <is>
          <t>hiring more than 6 positions</t>
        </is>
      </c>
      <c r="AE2065"/>
      <c r="AF2065"/>
      <c r="AG2065" s="4"/>
      <c r="AH2065" s="4"/>
      <c r="AI2065"/>
      <c r="AJ2065">
        <v>1</v>
      </c>
      <c r="AK2065" t="inlineStr">
        <is>
          <t>No, I don't need at all</t>
        </is>
      </c>
      <c r="AL2065"/>
      <c r="AM2065" t="inlineStr">
        <is>
          <t>No, I don't need at all</t>
        </is>
      </c>
      <c r="AN2065"/>
      <c r="AO2065" t="inlineStr">
        <is>
          <t>No, I don't need at all</t>
        </is>
      </c>
      <c r="AP2065" t="inlineStr">
        <is>
          <t>Once per quarter (75%)</t>
        </is>
      </c>
      <c r="AQ2065"/>
      <c r="AR2065" t="inlineStr">
        <is>
          <t>Jobstreet</t>
        </is>
      </c>
      <c r="AS2065" t="inlineStr">
        <is>
          <t>- Headcount: 6
- Hiring Job Details: hiring more than 6 positions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2065">
        <v>55</v>
      </c>
      <c r="AU2065" t="inlineStr">
        <is>
          <t>0.55</t>
        </is>
      </c>
      <c r="AV2065" t="inlineStr">
        <is>
          <t>10</t>
        </is>
      </c>
      <c r="AW2065" t="inlineStr">
        <is>
          <t>0</t>
        </is>
      </c>
      <c r="AX2065" t="inlineStr">
        <is>
          <t>Not Qualified</t>
        </is>
      </c>
      <c r="AY2065" s="4"/>
      <c r="AZ2065"/>
      <c r="BA2065"/>
      <c r="BB2065"/>
      <c r="BC2065" t="inlineStr">
        <is>
          <t>focus on js and another free portal</t>
        </is>
      </c>
      <c r="BD2065" s="4">
        <v>46133.6021412037</v>
      </c>
      <c r="BE2065" t="inlineStr">
        <is>
          <t>paid</t>
        </is>
      </c>
      <c r="BF2065"/>
      <c r="BG2065" t="inlineStr">
        <is>
          <t>Reschedule</t>
        </is>
      </c>
      <c r="BH2065" t="inlineStr">
        <is>
          <t>Edward Hoo</t>
        </is>
      </c>
      <c r="BI2065" t="inlineStr">
        <is>
          <t>Business / Mgmt Consulting</t>
        </is>
      </c>
      <c r="BJ2065" s="4">
        <v>46144.751064814816</v>
      </c>
      <c r="BK2065" s="4">
        <v>44811.387037037035</v>
      </c>
      <c r="BL2065" t="inlineStr">
        <is>
          <t>0.0</t>
        </is>
      </c>
      <c r="BM2065" t="inlineStr">
        <is>
          <t>7800.0</t>
        </is>
      </c>
      <c r="BN2065" t="inlineStr">
        <is>
          <t>View Company Page</t>
        </is>
      </c>
      <c r="BO2065" s="4">
        <v>45533.42144675926</v>
      </c>
      <c r="BP2065">
        <v>166694</v>
      </c>
      <c r="BQ2065">
        <v>50332</v>
      </c>
      <c r="BR2065" t="inlineStr">
        <is>
          <t>Online</t>
        </is>
      </c>
      <c r="BS2065"/>
      <c r="BT2065">
        <v>50332</v>
      </c>
      <c r="BU2065"/>
      <c r="BV2065">
        <v>2718263</v>
      </c>
      <c r="BW2065" t="inlineStr">
        <is>
          <t>Follow Up : Lost - Paid Portal</t>
        </is>
      </c>
      <c r="BX2065"/>
      <c r="BY2065"/>
      <c r="BZ2065" s="4"/>
      <c r="CA2065"/>
      <c r="CB2065"/>
      <c r="CC2065" s="4"/>
      <c r="CD2065" t="inlineStr">
        <is>
          <t>15</t>
        </is>
      </c>
      <c r="CE2065" t="inlineStr">
        <is>
          <t>0</t>
        </is>
      </c>
      <c r="CF2065" t="inlineStr">
        <is>
          <t>Q2-W02</t>
        </is>
      </c>
      <c r="CG2065"/>
      <c r="CH2065"/>
      <c r="CI2065"/>
      <c r="CJ2065" t="inlineStr">
        <is>
          <t>Paid</t>
        </is>
      </c>
      <c r="CK2065" t="inlineStr">
        <is>
          <t>Eligible</t>
        </is>
      </c>
      <c r="CL2065"/>
      <c r="CM2065"/>
    </row>
    <row r="2066" ht="25.5" customHeight="1">
      <c r="A2066" t="inlineStr">
        <is>
          <t>203166</t>
        </is>
      </c>
      <c r="B2066" s="2"/>
      <c r="C2066"/>
      <c r="D2066" s="3">
        <v>46125.604375</v>
      </c>
      <c r="E2066" t="inlineStr">
        <is>
          <t>Q2-W02</t>
        </is>
      </c>
      <c r="F2066" t="inlineStr">
        <is>
          <t>Clover</t>
        </is>
      </c>
      <c r="G2066" t="inlineStr">
        <is>
          <t>Customer</t>
        </is>
      </c>
      <c r="H2066" s="2" t="str">
        <f>=HYPERLINK("https://upbox.ajobthing.my/customer/203166", "https://upbox.ajobthing.my/customer/203166")</f>
        <v>https://upbox.ajobthing.my/customer/203166</v>
      </c>
      <c r="I2066" t="inlineStr">
        <is>
          <t>Flex, Mattel</t>
        </is>
      </c>
      <c r="J2066" t="inlineStr">
        <is>
          <t>Whale</t>
        </is>
      </c>
      <c r="K2066" t="inlineStr">
        <is>
          <t>Clover</t>
        </is>
      </c>
      <c r="L2066" s="4"/>
      <c r="M2066" s="4">
        <v>46125.603993055556</v>
      </c>
      <c r="N2066"/>
      <c r="O2066">
        <v>6048</v>
      </c>
      <c r="P2066" s="4"/>
      <c r="Q2066" s="4">
        <v>46125.92019675926</v>
      </c>
      <c r="R2066"/>
      <c r="S2066">
        <v>0</v>
      </c>
      <c r="T2066" s="4"/>
      <c r="U2066" s="4"/>
      <c r="V2066"/>
      <c r="W2066"/>
      <c r="X2066"/>
      <c r="Y2066" t="inlineStr">
        <is>
          <t>Pending Appointment</t>
        </is>
      </c>
      <c r="Z2066" t="inlineStr">
        <is>
          <t>Hiring Now</t>
        </is>
      </c>
      <c r="AA2066">
        <v>3</v>
      </c>
      <c r="AB2066" t="inlineStr">
        <is>
          <t>No Appointment Made</t>
        </is>
      </c>
      <c r="AC2066"/>
      <c r="AD2066" t="inlineStr">
        <is>
          <t>Have hiring now,  developer x1-2, auditor x1, toy kl, ask to wa first, suggest stand</t>
        </is>
      </c>
      <c r="AE2066"/>
      <c r="AF2066">
        <v>5000</v>
      </c>
      <c r="AG2066" s="4"/>
      <c r="AH2066" s="4"/>
      <c r="AI2066">
        <v>5000</v>
      </c>
      <c r="AJ2066">
        <v>1</v>
      </c>
      <c r="AK2066" t="inlineStr">
        <is>
          <t>No, but I want in future</t>
        </is>
      </c>
      <c r="AL2066">
        <v>1</v>
      </c>
      <c r="AM2066" t="inlineStr">
        <is>
          <t>No, but I want in future</t>
        </is>
      </c>
      <c r="AN2066"/>
      <c r="AO2066" t="inlineStr">
        <is>
          <t>No, but I want in future</t>
        </is>
      </c>
      <c r="AP2066" t="inlineStr">
        <is>
          <t>Twice a year (50%)</t>
        </is>
      </c>
      <c r="AQ2066">
        <v>3</v>
      </c>
      <c r="AR2066" t="inlineStr">
        <is>
          <t>Did not use any job portal</t>
        </is>
      </c>
      <c r="AS2066" t="inlineStr">
        <is>
          <t>- Headcount: 3
- Hiring Job Details: Have hiring now, developer x1-2, auditor x1, toy kl, ask to wa first, suggest stand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3
- Hiring frequency: Twice a year (50%)
- External job portal: Did not use any job portal</t>
        </is>
      </c>
      <c r="AT2066">
        <v>95</v>
      </c>
      <c r="AU2066" t="inlineStr">
        <is>
          <t>0.95</t>
        </is>
      </c>
      <c r="AV2066" t="inlineStr">
        <is>
          <t>15</t>
        </is>
      </c>
      <c r="AW2066" t="inlineStr">
        <is>
          <t>0</t>
        </is>
      </c>
      <c r="AX2066" t="inlineStr">
        <is>
          <t>Not Qualified</t>
        </is>
      </c>
      <c r="AY2066" s="4"/>
      <c r="AZ2066"/>
      <c r="BA2066"/>
      <c r="BB2066"/>
      <c r="BC2066" t="inlineStr">
        <is>
          <t>pending management</t>
        </is>
      </c>
      <c r="BD2066" s="4">
        <v>46133.686875</v>
      </c>
      <c r="BE2066" t="inlineStr">
        <is>
          <t>paid</t>
        </is>
      </c>
      <c r="BF2066"/>
      <c r="BG2066" t="inlineStr">
        <is>
          <t>Reschedule</t>
        </is>
      </c>
      <c r="BH2066" t="inlineStr">
        <is>
          <t>Reagen</t>
        </is>
      </c>
      <c r="BI2066"/>
      <c r="BJ2066" s="4">
        <v>46144.75423611111</v>
      </c>
      <c r="BK2066" s="4">
        <v>46125.59276620371</v>
      </c>
      <c r="BL2066" t="inlineStr">
        <is>
          <t>0.0</t>
        </is>
      </c>
      <c r="BM2066" t="inlineStr">
        <is>
          <t>0.0</t>
        </is>
      </c>
      <c r="BN2066"/>
      <c r="BO2066" s="4"/>
      <c r="BP2066">
        <v>166767</v>
      </c>
      <c r="BQ2066">
        <v>122107</v>
      </c>
      <c r="BR2066" t="inlineStr">
        <is>
          <t>Proforma</t>
        </is>
      </c>
      <c r="BS2066" t="inlineStr">
        <is>
          <t>Free Internship Job</t>
        </is>
      </c>
      <c r="BT2066"/>
      <c r="BU2066"/>
      <c r="BV2066">
        <v>2718820</v>
      </c>
      <c r="BW2066" t="inlineStr">
        <is>
          <t>Follow Up : Decision Pending</t>
        </is>
      </c>
      <c r="BX2066"/>
      <c r="BY2066"/>
      <c r="BZ2066" s="4"/>
      <c r="CA2066"/>
      <c r="CB2066"/>
      <c r="CC2066" s="4"/>
      <c r="CD2066" t="inlineStr">
        <is>
          <t>20</t>
        </is>
      </c>
      <c r="CE2066" t="inlineStr">
        <is>
          <t>0</t>
        </is>
      </c>
      <c r="CF2066" t="inlineStr">
        <is>
          <t>Q2-W02</t>
        </is>
      </c>
      <c r="CG2066" t="inlineStr">
        <is>
          <t>Q2-W02</t>
        </is>
      </c>
      <c r="CH2066"/>
      <c r="CI2066"/>
      <c r="CJ2066" t="inlineStr">
        <is>
          <t>No Paid</t>
        </is>
      </c>
      <c r="CK2066" t="inlineStr">
        <is>
          <t>Eligible</t>
        </is>
      </c>
      <c r="CL2066"/>
      <c r="CM2066"/>
    </row>
    <row r="2067" ht="25.5" customHeight="1">
      <c r="A2067" t="inlineStr">
        <is>
          <t>188307</t>
        </is>
      </c>
      <c r="B2067" s="2"/>
      <c r="C2067"/>
      <c r="D2067" s="3">
        <v>46125.627847222226</v>
      </c>
      <c r="E2067" t="inlineStr">
        <is>
          <t>Q2-W02</t>
        </is>
      </c>
      <c r="F2067" t="inlineStr">
        <is>
          <t>Angel  Low</t>
        </is>
      </c>
      <c r="G2067" t="inlineStr">
        <is>
          <t>Customer</t>
        </is>
      </c>
      <c r="H2067" s="2" t="str">
        <f>=HYPERLINK("https://upbox.ajobthing.my/customer/188307", "https://upbox.ajobthing.my/customer/188307")</f>
        <v>https://upbox.ajobthing.my/customer/188307</v>
      </c>
      <c r="I2067" t="inlineStr">
        <is>
          <t>HPT &amp; Associates</t>
        </is>
      </c>
      <c r="J2067" t="inlineStr">
        <is>
          <t>Whale</t>
        </is>
      </c>
      <c r="K2067" t="inlineStr">
        <is>
          <t>Angel Low</t>
        </is>
      </c>
      <c r="L2067" s="4"/>
      <c r="M2067" s="4">
        <v>46125.62836805556</v>
      </c>
      <c r="N2067"/>
      <c r="O2067">
        <v>5508</v>
      </c>
      <c r="P2067" s="4"/>
      <c r="Q2067" s="4">
        <v>46125.505057870374</v>
      </c>
      <c r="R2067"/>
      <c r="S2067">
        <v>0</v>
      </c>
      <c r="T2067" s="4">
        <v>45719.682604166665</v>
      </c>
      <c r="U2067" s="4"/>
      <c r="V2067"/>
      <c r="W2067">
        <v>1296</v>
      </c>
      <c r="X2067"/>
      <c r="Y2067" t="inlineStr">
        <is>
          <t>Pending Appointment</t>
        </is>
      </c>
      <c r="Z2067"/>
      <c r="AA2067">
        <v>2</v>
      </c>
      <c r="AB2067" t="inlineStr">
        <is>
          <t>No Appointment Made</t>
        </is>
      </c>
      <c r="AC2067"/>
      <c r="AD2067" t="inlineStr">
        <is>
          <t xml:space="preserve">2 insurance agent </t>
        </is>
      </c>
      <c r="AE2067"/>
      <c r="AF2067"/>
      <c r="AG2067" s="4"/>
      <c r="AH2067" s="4"/>
      <c r="AI2067"/>
      <c r="AJ2067"/>
      <c r="AK2067"/>
      <c r="AL2067"/>
      <c r="AM2067"/>
      <c r="AN2067"/>
      <c r="AO2067"/>
      <c r="AP2067"/>
      <c r="AQ2067"/>
      <c r="AR2067"/>
      <c r="AS2067" t="inlineStr">
        <is>
          <t>- Headcount: 2
- Hiring Job Details: 2 insurance agent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067">
        <v>60</v>
      </c>
      <c r="AU2067" t="inlineStr">
        <is>
          <t>0.60</t>
        </is>
      </c>
      <c r="AV2067" t="inlineStr">
        <is>
          <t>5</t>
        </is>
      </c>
      <c r="AW2067" t="inlineStr">
        <is>
          <t>0</t>
        </is>
      </c>
      <c r="AX2067" t="inlineStr">
        <is>
          <t>Not Qualified</t>
        </is>
      </c>
      <c r="AY2067" s="4"/>
      <c r="AZ2067"/>
      <c r="BA2067"/>
      <c r="BB2067"/>
      <c r="BC2067" t="inlineStr">
        <is>
          <t>- Headcount: 2
- Hiring Job Details: 2 insurance agent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067" s="4">
        <v>46125.66670138889</v>
      </c>
      <c r="BE2067" t="inlineStr">
        <is>
          <t>paid</t>
        </is>
      </c>
      <c r="BF2067"/>
      <c r="BG2067" t="inlineStr">
        <is>
          <t>Reschedule</t>
        </is>
      </c>
      <c r="BH2067" t="inlineStr">
        <is>
          <t>Fauziah Maharan</t>
        </is>
      </c>
      <c r="BI2067" t="inlineStr">
        <is>
          <t>Insurance</t>
        </is>
      </c>
      <c r="BJ2067" s="4">
        <v>46144.75224537037</v>
      </c>
      <c r="BK2067" s="4">
        <v>45716.733506944445</v>
      </c>
      <c r="BL2067" t="inlineStr">
        <is>
          <t>0.0</t>
        </is>
      </c>
      <c r="BM2067" t="inlineStr">
        <is>
          <t>0.0</t>
        </is>
      </c>
      <c r="BN2067" t="inlineStr">
        <is>
          <t>User Visit(Logged In)</t>
        </is>
      </c>
      <c r="BO2067" s="4">
        <v>46127.47016203704</v>
      </c>
      <c r="BP2067">
        <v>166787</v>
      </c>
      <c r="BQ2067">
        <v>121985</v>
      </c>
      <c r="BR2067" t="inlineStr">
        <is>
          <t>Proforma</t>
        </is>
      </c>
      <c r="BS2067" t="inlineStr">
        <is>
          <t>Free Part-Time Job</t>
        </is>
      </c>
      <c r="BT2067">
        <v>77281</v>
      </c>
      <c r="BU2067"/>
      <c r="BV2067">
        <v>2701482</v>
      </c>
      <c r="BW2067" t="inlineStr">
        <is>
          <t>Customer Inquiry</t>
        </is>
      </c>
      <c r="BX2067"/>
      <c r="BY2067"/>
      <c r="BZ2067" s="4"/>
      <c r="CA2067"/>
      <c r="CB2067"/>
      <c r="CC2067" s="4"/>
      <c r="CD2067" t="inlineStr">
        <is>
          <t>5</t>
        </is>
      </c>
      <c r="CE2067" t="inlineStr">
        <is>
          <t>0</t>
        </is>
      </c>
      <c r="CF2067" t="inlineStr">
        <is>
          <t>Q2-W02</t>
        </is>
      </c>
      <c r="CG2067" t="inlineStr">
        <is>
          <t>Q2-W02</t>
        </is>
      </c>
      <c r="CH2067"/>
      <c r="CI2067"/>
      <c r="CJ2067" t="inlineStr">
        <is>
          <t>Paid</t>
        </is>
      </c>
      <c r="CK2067" t="inlineStr">
        <is>
          <t>Eligible</t>
        </is>
      </c>
      <c r="CL2067"/>
      <c r="CM2067"/>
    </row>
    <row r="2068" ht="25.5" customHeight="1">
      <c r="A2068" t="inlineStr">
        <is>
          <t>34338</t>
        </is>
      </c>
      <c r="B2068" s="2"/>
      <c r="C2068"/>
      <c r="D2068" s="3">
        <v>46125.64273148148</v>
      </c>
      <c r="E2068" t="inlineStr">
        <is>
          <t>Q2-W02</t>
        </is>
      </c>
      <c r="F2068" t="inlineStr">
        <is>
          <t>Alan KY</t>
        </is>
      </c>
      <c r="G2068" t="inlineStr">
        <is>
          <t>Customer</t>
        </is>
      </c>
      <c r="H2068" s="2" t="str">
        <f>=HYPERLINK("https://upbox.ajobthing.my/customer/34338", "https://upbox.ajobthing.my/customer/34338")</f>
        <v>https://upbox.ajobthing.my/customer/34338</v>
      </c>
      <c r="I2068" t="inlineStr">
        <is>
          <t>HAI-O Raya Bhd</t>
        </is>
      </c>
      <c r="J2068" t="inlineStr">
        <is>
          <t>Whale</t>
        </is>
      </c>
      <c r="K2068" t="inlineStr">
        <is>
          <t>Alan KY</t>
        </is>
      </c>
      <c r="L2068" s="4"/>
      <c r="M2068" s="4">
        <v>46125.641921296294</v>
      </c>
      <c r="N2068"/>
      <c r="O2068">
        <v>4968</v>
      </c>
      <c r="P2068" s="4"/>
      <c r="Q2068" s="4">
        <v>46101.683344907404</v>
      </c>
      <c r="R2068"/>
      <c r="S2068">
        <v>0</v>
      </c>
      <c r="T2068" s="4">
        <v>45225.74872685185</v>
      </c>
      <c r="U2068" s="4"/>
      <c r="V2068"/>
      <c r="W2068">
        <v>4155.2</v>
      </c>
      <c r="X2068"/>
      <c r="Y2068" t="inlineStr">
        <is>
          <t>Pending Appointment</t>
        </is>
      </c>
      <c r="Z2068" t="inlineStr">
        <is>
          <t>Hiring Now</t>
        </is>
      </c>
      <c r="AA2068">
        <v>1</v>
      </c>
      <c r="AB2068" t="inlineStr">
        <is>
          <t>No Appointment Made</t>
        </is>
      </c>
      <c r="AC2068"/>
      <c r="AD2068" t="inlineStr">
        <is>
          <t>Hiring Retail assistant (on-going)for the outlets, nationwide</t>
        </is>
      </c>
      <c r="AE2068"/>
      <c r="AF2068"/>
      <c r="AG2068" s="4"/>
      <c r="AH2068" s="4"/>
      <c r="AI2068"/>
      <c r="AJ2068"/>
      <c r="AK2068" t="inlineStr">
        <is>
          <t>Yes, I have</t>
        </is>
      </c>
      <c r="AL2068"/>
      <c r="AM2068" t="inlineStr">
        <is>
          <t>No, I don't need at all</t>
        </is>
      </c>
      <c r="AN2068"/>
      <c r="AO2068" t="inlineStr">
        <is>
          <t>No, I don't need at all</t>
        </is>
      </c>
      <c r="AP2068" t="inlineStr">
        <is>
          <t>Every month (100%)</t>
        </is>
      </c>
      <c r="AQ2068"/>
      <c r="AR2068" t="inlineStr">
        <is>
          <t>Jobstreet, Free Job Portal</t>
        </is>
      </c>
      <c r="AS2068" t="inlineStr">
        <is>
          <t>- Headcount: 1
- Hiring Job Details: Hiring Retail assistant (on-going)for the outlets, nationwide
- Hiring Urgency: Hiring Now
- Number of outlets: Not specified
- Have recruiter team: Yes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Jobstreet,Free Job Portal</t>
        </is>
      </c>
      <c r="AT2068">
        <v>75</v>
      </c>
      <c r="AU2068" t="inlineStr">
        <is>
          <t>0.75</t>
        </is>
      </c>
      <c r="AV2068" t="inlineStr">
        <is>
          <t>5</t>
        </is>
      </c>
      <c r="AW2068" t="inlineStr">
        <is>
          <t>0</t>
        </is>
      </c>
      <c r="AX2068" t="inlineStr">
        <is>
          <t>Not Qualified</t>
        </is>
      </c>
      <c r="AY2068" s="4"/>
      <c r="AZ2068"/>
      <c r="BA2068"/>
      <c r="BB2068"/>
      <c r="BC2068" t="inlineStr">
        <is>
          <t>- Headcount: 1
- Hiring Job Details: Hiring Retail assistant (on-going)for the outlets, nationwide
- Hiring Urgency: Hiring Now
- Number of outlets: Not specified
- Have recruiter team: Yes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Jobstreet,Free Job Portal</t>
        </is>
      </c>
      <c r="BD2068" s="4">
        <v>46125.666712962964</v>
      </c>
      <c r="BE2068" t="inlineStr">
        <is>
          <t>paid</t>
        </is>
      </c>
      <c r="BF2068"/>
      <c r="BG2068" t="inlineStr">
        <is>
          <t>Reschedule</t>
        </is>
      </c>
      <c r="BH2068" t="inlineStr">
        <is>
          <t>Reagen</t>
        </is>
      </c>
      <c r="BI2068" t="inlineStr">
        <is>
          <t>Retail / Merchandise</t>
        </is>
      </c>
      <c r="BJ2068" s="4">
        <v>46144.754594907405</v>
      </c>
      <c r="BK2068" s="4">
        <v>42796.72341435185</v>
      </c>
      <c r="BL2068" t="inlineStr">
        <is>
          <t>0.0</t>
        </is>
      </c>
      <c r="BM2068" t="inlineStr">
        <is>
          <t>0.0</t>
        </is>
      </c>
      <c r="BN2068" t="inlineStr">
        <is>
          <t>View Company Page</t>
        </is>
      </c>
      <c r="BO2068" s="4">
        <v>46049.65420138889</v>
      </c>
      <c r="BP2068">
        <v>166795</v>
      </c>
      <c r="BQ2068">
        <v>118123</v>
      </c>
      <c r="BR2068" t="inlineStr">
        <is>
          <t>Proforma</t>
        </is>
      </c>
      <c r="BS2068" t="inlineStr">
        <is>
          <t>Free Singapore Job</t>
        </is>
      </c>
      <c r="BT2068">
        <v>63271</v>
      </c>
      <c r="BU2068"/>
      <c r="BV2068">
        <v>2701489</v>
      </c>
      <c r="BW2068" t="inlineStr">
        <is>
          <t>Customer Inquiry</t>
        </is>
      </c>
      <c r="BX2068"/>
      <c r="BY2068"/>
      <c r="BZ2068" s="4"/>
      <c r="CA2068"/>
      <c r="CB2068"/>
      <c r="CC2068" s="4"/>
      <c r="CD2068" t="inlineStr">
        <is>
          <t>5</t>
        </is>
      </c>
      <c r="CE2068" t="inlineStr">
        <is>
          <t>0</t>
        </is>
      </c>
      <c r="CF2068" t="inlineStr">
        <is>
          <t>Q2-W02</t>
        </is>
      </c>
      <c r="CG2068" t="inlineStr">
        <is>
          <t>Q1-W12</t>
        </is>
      </c>
      <c r="CH2068"/>
      <c r="CI2068"/>
      <c r="CJ2068" t="inlineStr">
        <is>
          <t>Paid</t>
        </is>
      </c>
      <c r="CK2068" t="inlineStr">
        <is>
          <t>Eligible</t>
        </is>
      </c>
      <c r="CL2068"/>
      <c r="CM2068"/>
    </row>
    <row r="2069" ht="25.5" customHeight="1">
      <c r="A2069" t="inlineStr">
        <is>
          <t>170510</t>
        </is>
      </c>
      <c r="B2069" s="2"/>
      <c r="C2069"/>
      <c r="D2069" s="3">
        <v>46125.655625</v>
      </c>
      <c r="E2069" t="inlineStr">
        <is>
          <t>Q2-W02</t>
        </is>
      </c>
      <c r="F2069" t="inlineStr">
        <is>
          <t>Yuli</t>
        </is>
      </c>
      <c r="G2069" t="inlineStr">
        <is>
          <t>Customer</t>
        </is>
      </c>
      <c r="H2069" s="2" t="str">
        <f>=HYPERLINK("https://upbox.ajobthing.my/customer/170510", "https://upbox.ajobthing.my/customer/170510")</f>
        <v>https://upbox.ajobthing.my/customer/170510</v>
      </c>
      <c r="I2069" t="inlineStr">
        <is>
          <t>Top Fruits Sdn Bhd</t>
        </is>
      </c>
      <c r="J2069" t="inlineStr">
        <is>
          <t>Whale</t>
        </is>
      </c>
      <c r="K2069" t="inlineStr">
        <is>
          <t>YuLi</t>
        </is>
      </c>
      <c r="L2069" s="4"/>
      <c r="M2069" s="4">
        <v>46125.669537037036</v>
      </c>
      <c r="N2069"/>
      <c r="O2069">
        <v>5832</v>
      </c>
      <c r="P2069" s="4"/>
      <c r="Q2069" s="4">
        <v>45779.6634837963</v>
      </c>
      <c r="R2069"/>
      <c r="S2069">
        <v>2376</v>
      </c>
      <c r="T2069" s="4">
        <v>45779.6634837963</v>
      </c>
      <c r="U2069" s="4"/>
      <c r="V2069"/>
      <c r="W2069">
        <v>2376</v>
      </c>
      <c r="X2069"/>
      <c r="Y2069" t="inlineStr">
        <is>
          <t>Pending Appointment</t>
        </is>
      </c>
      <c r="Z2069" t="inlineStr">
        <is>
          <t>Hiring Now</t>
        </is>
      </c>
      <c r="AA2069">
        <v>1</v>
      </c>
      <c r="AB2069" t="inlineStr">
        <is>
          <t>No Appointment Made</t>
        </is>
      </c>
      <c r="AC2069"/>
      <c r="AD2069" t="inlineStr">
        <is>
          <t>Senior Marketing Executive</t>
        </is>
      </c>
      <c r="AE2069"/>
      <c r="AF2069"/>
      <c r="AG2069" s="4"/>
      <c r="AH2069" s="4"/>
      <c r="AI2069"/>
      <c r="AJ2069"/>
      <c r="AK2069"/>
      <c r="AL2069"/>
      <c r="AM2069"/>
      <c r="AN2069"/>
      <c r="AO2069"/>
      <c r="AP2069"/>
      <c r="AQ2069"/>
      <c r="AR2069" t="inlineStr">
        <is>
          <t>Jobstreet, Free Job Portal</t>
        </is>
      </c>
      <c r="AS2069" t="inlineStr">
        <is>
          <t>- Headcount: 1
- Hiring Job Details: Senior Marketing Executive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Free Job Portal</t>
        </is>
      </c>
      <c r="AT2069">
        <v>65</v>
      </c>
      <c r="AU2069" t="inlineStr">
        <is>
          <t>0.65</t>
        </is>
      </c>
      <c r="AV2069" t="inlineStr">
        <is>
          <t>5</t>
        </is>
      </c>
      <c r="AW2069" t="inlineStr">
        <is>
          <t>0</t>
        </is>
      </c>
      <c r="AX2069" t="inlineStr">
        <is>
          <t>Not Qualified</t>
        </is>
      </c>
      <c r="AY2069" s="4"/>
      <c r="AZ2069"/>
      <c r="BA2069"/>
      <c r="BB2069"/>
      <c r="BC2069" t="inlineStr">
        <is>
          <t>called and spoke to mr. Tee, they still looking for staff, however his boss said need to use up the job ad in Jobstreet first, share flash sales for him</t>
        </is>
      </c>
      <c r="BD2069" s="4">
        <v>46141.71371527778</v>
      </c>
      <c r="BE2069" t="inlineStr">
        <is>
          <t>paid</t>
        </is>
      </c>
      <c r="BF2069"/>
      <c r="BG2069" t="inlineStr">
        <is>
          <t>Reschedule</t>
        </is>
      </c>
      <c r="BH2069" t="inlineStr">
        <is>
          <t>Fauziah Maharan</t>
        </is>
      </c>
      <c r="BI2069" t="inlineStr">
        <is>
          <t>Agriculture / Poultry / Fisheries</t>
        </is>
      </c>
      <c r="BJ2069" s="4">
        <v>46144.75142361111</v>
      </c>
      <c r="BK2069" s="4">
        <v>45163.42034722222</v>
      </c>
      <c r="BL2069" t="inlineStr">
        <is>
          <t>2376.0</t>
        </is>
      </c>
      <c r="BM2069" t="inlineStr">
        <is>
          <t>8400.0</t>
        </is>
      </c>
      <c r="BN2069" t="inlineStr">
        <is>
          <t>View Company Page</t>
        </is>
      </c>
      <c r="BO2069" s="4">
        <v>45891.43991898148</v>
      </c>
      <c r="BP2069">
        <v>166816</v>
      </c>
      <c r="BQ2069">
        <v>78948</v>
      </c>
      <c r="BR2069" t="inlineStr">
        <is>
          <t>Online</t>
        </is>
      </c>
      <c r="BS2069"/>
      <c r="BT2069">
        <v>78948</v>
      </c>
      <c r="BU2069"/>
      <c r="BV2069">
        <v>2736106</v>
      </c>
      <c r="BW2069" t="inlineStr">
        <is>
          <t>Follow Up : Lost - Paid Portal</t>
        </is>
      </c>
      <c r="BX2069"/>
      <c r="BY2069"/>
      <c r="BZ2069" s="4"/>
      <c r="CA2069"/>
      <c r="CB2069"/>
      <c r="CC2069" s="4"/>
      <c r="CD2069" t="inlineStr">
        <is>
          <t>5</t>
        </is>
      </c>
      <c r="CE2069" t="inlineStr">
        <is>
          <t>0</t>
        </is>
      </c>
      <c r="CF2069" t="inlineStr">
        <is>
          <t>Q2-W02</t>
        </is>
      </c>
      <c r="CG2069"/>
      <c r="CH2069"/>
      <c r="CI2069"/>
      <c r="CJ2069" t="inlineStr">
        <is>
          <t>Paid</t>
        </is>
      </c>
      <c r="CK2069" t="inlineStr">
        <is>
          <t>Eligible</t>
        </is>
      </c>
      <c r="CL2069"/>
      <c r="CM2069"/>
    </row>
    <row r="2070" ht="25.5" customHeight="1">
      <c r="A2070" t="inlineStr">
        <is>
          <t>184579</t>
        </is>
      </c>
      <c r="B2070" s="2"/>
      <c r="C2070"/>
      <c r="D2070" s="3">
        <v>46125.65892361111</v>
      </c>
      <c r="E2070" t="inlineStr">
        <is>
          <t>Q2-W02</t>
        </is>
      </c>
      <c r="F2070" t="inlineStr">
        <is>
          <t>Ratha</t>
        </is>
      </c>
      <c r="G2070" t="inlineStr">
        <is>
          <t>Customer</t>
        </is>
      </c>
      <c r="H2070" s="2" t="str">
        <f>=HYPERLINK("https://upbox.ajobthing.my/customer/184579", "https://upbox.ajobthing.my/customer/184579")</f>
        <v>https://upbox.ajobthing.my/customer/184579</v>
      </c>
      <c r="I2070" t="inlineStr">
        <is>
          <t>AIRSCREAM 313 Sdn Bhd</t>
        </is>
      </c>
      <c r="J2070" t="inlineStr">
        <is>
          <t>Whale</t>
        </is>
      </c>
      <c r="K2070" t="inlineStr">
        <is>
          <t>Ratha</t>
        </is>
      </c>
      <c r="L2070" s="4"/>
      <c r="M2070" s="4">
        <v>46125.65987268519</v>
      </c>
      <c r="N2070"/>
      <c r="O2070">
        <v>5832</v>
      </c>
      <c r="P2070" s="4"/>
      <c r="Q2070" s="4">
        <v>45777.4540162037</v>
      </c>
      <c r="R2070"/>
      <c r="S2070">
        <v>2916</v>
      </c>
      <c r="T2070" s="4">
        <v>45777.4540162037</v>
      </c>
      <c r="U2070" s="4"/>
      <c r="V2070"/>
      <c r="W2070">
        <v>2916</v>
      </c>
      <c r="X2070"/>
      <c r="Y2070" t="inlineStr">
        <is>
          <t>Pending Appointment</t>
        </is>
      </c>
      <c r="Z2070" t="inlineStr">
        <is>
          <t>Hiring Later</t>
        </is>
      </c>
      <c r="AA2070">
        <v>2</v>
      </c>
      <c r="AB2070" t="inlineStr">
        <is>
          <t>No Appointment Made</t>
        </is>
      </c>
      <c r="AC2070"/>
      <c r="AD2070" t="inlineStr">
        <is>
          <t>Part time Barista
Senior Barista
Shah Alam</t>
        </is>
      </c>
      <c r="AE2070"/>
      <c r="AF2070"/>
      <c r="AG2070" s="4"/>
      <c r="AH2070" s="4"/>
      <c r="AI2070">
        <v>0</v>
      </c>
      <c r="AJ2070">
        <v>1</v>
      </c>
      <c r="AK2070" t="inlineStr">
        <is>
          <t>Yes, I have</t>
        </is>
      </c>
      <c r="AL2070">
        <v>2</v>
      </c>
      <c r="AM2070" t="inlineStr">
        <is>
          <t>No, I don't need at all</t>
        </is>
      </c>
      <c r="AN2070"/>
      <c r="AO2070" t="inlineStr">
        <is>
          <t>Yes, I have</t>
        </is>
      </c>
      <c r="AP2070" t="inlineStr">
        <is>
          <t>Once per quarter (75%)</t>
        </is>
      </c>
      <c r="AQ2070">
        <v>0</v>
      </c>
      <c r="AR2070" t="inlineStr">
        <is>
          <t>Jobstreet, Free Job Portal</t>
        </is>
      </c>
      <c r="AS2070" t="inlineStr">
        <is>
          <t>- Headcount: 2
- Hiring Job Details: Part time Barista, Senior Barista (Shah Alam)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is>
      </c>
      <c r="AT2070">
        <v>75</v>
      </c>
      <c r="AU2070" t="inlineStr">
        <is>
          <t>0.75</t>
        </is>
      </c>
      <c r="AV2070" t="inlineStr">
        <is>
          <t>5</t>
        </is>
      </c>
      <c r="AW2070" t="inlineStr">
        <is>
          <t>0</t>
        </is>
      </c>
      <c r="AX2070" t="inlineStr">
        <is>
          <t>Not Qualified</t>
        </is>
      </c>
      <c r="AY2070" s="4"/>
      <c r="AZ2070"/>
      <c r="BA2070"/>
      <c r="BB2070"/>
      <c r="BC2070" t="inlineStr">
        <is>
          <t>follow up on 29th</t>
        </is>
      </c>
      <c r="BD2070" s="4">
        <v>46135.42138888889</v>
      </c>
      <c r="BE2070" t="inlineStr">
        <is>
          <t>paid</t>
        </is>
      </c>
      <c r="BF2070"/>
      <c r="BG2070" t="inlineStr">
        <is>
          <t>Reschedule</t>
        </is>
      </c>
      <c r="BH2070" t="inlineStr">
        <is>
          <t>Fauziah Maharan</t>
        </is>
      </c>
      <c r="BI2070"/>
      <c r="BJ2070" s="4">
        <v>46144.75201388889</v>
      </c>
      <c r="BK2070" s="4">
        <v>45603.64466435185</v>
      </c>
      <c r="BL2070" t="inlineStr">
        <is>
          <t>2916.0</t>
        </is>
      </c>
      <c r="BM2070" t="inlineStr">
        <is>
          <t>6000.0</t>
        </is>
      </c>
      <c r="BN2070" t="inlineStr">
        <is>
          <t>View Company Page</t>
        </is>
      </c>
      <c r="BO2070" s="4">
        <v>46127.4702662037</v>
      </c>
      <c r="BP2070">
        <v>166810</v>
      </c>
      <c r="BQ2070">
        <v>78901</v>
      </c>
      <c r="BR2070" t="inlineStr">
        <is>
          <t>Online</t>
        </is>
      </c>
      <c r="BS2070"/>
      <c r="BT2070">
        <v>78901</v>
      </c>
      <c r="BU2070"/>
      <c r="BV2070">
        <v>2722367</v>
      </c>
      <c r="BW2070" t="inlineStr">
        <is>
          <t>No Answer : Voicemail - WA sent to customer</t>
        </is>
      </c>
      <c r="BX2070"/>
      <c r="BY2070"/>
      <c r="BZ2070" s="4"/>
      <c r="CA2070"/>
      <c r="CB2070"/>
      <c r="CC2070" s="4"/>
      <c r="CD2070" t="inlineStr">
        <is>
          <t>5</t>
        </is>
      </c>
      <c r="CE2070" t="inlineStr">
        <is>
          <t>0</t>
        </is>
      </c>
      <c r="CF2070" t="inlineStr">
        <is>
          <t>Q2-W02</t>
        </is>
      </c>
      <c r="CG2070"/>
      <c r="CH2070"/>
      <c r="CI2070"/>
      <c r="CJ2070" t="inlineStr">
        <is>
          <t>Paid</t>
        </is>
      </c>
      <c r="CK2070" t="inlineStr">
        <is>
          <t>Eligible</t>
        </is>
      </c>
      <c r="CL2070"/>
      <c r="CM2070"/>
    </row>
    <row r="2071" ht="25.5" customHeight="1">
      <c r="A2071" t="inlineStr">
        <is>
          <t>125795</t>
        </is>
      </c>
      <c r="B2071" s="2"/>
      <c r="C2071"/>
      <c r="D2071" s="3">
        <v>46125.67361111111</v>
      </c>
      <c r="E2071" t="inlineStr">
        <is>
          <t>Q2-W02</t>
        </is>
      </c>
      <c r="F2071" t="inlineStr">
        <is>
          <t>Yuli</t>
        </is>
      </c>
      <c r="G2071" t="inlineStr">
        <is>
          <t>Customer</t>
        </is>
      </c>
      <c r="H2071" s="2" t="str">
        <f>=HYPERLINK("https://upbox.ajobthing.my/customer/125795", "https://upbox.ajobthing.my/customer/125795")</f>
        <v>https://upbox.ajobthing.my/customer/125795</v>
      </c>
      <c r="I2071" t="inlineStr">
        <is>
          <t>Limocab (M) Sdn Bhd</t>
        </is>
      </c>
      <c r="J2071" t="inlineStr">
        <is>
          <t>Whale</t>
        </is>
      </c>
      <c r="K2071" t="inlineStr">
        <is>
          <t>YuLi</t>
        </is>
      </c>
      <c r="L2071" s="4"/>
      <c r="M2071" s="4">
        <v>46133.66048611111</v>
      </c>
      <c r="N2071"/>
      <c r="O2071">
        <v>5832</v>
      </c>
      <c r="P2071" s="4"/>
      <c r="Q2071" s="4">
        <v>45919.72934027778</v>
      </c>
      <c r="R2071"/>
      <c r="S2071">
        <v>3888</v>
      </c>
      <c r="T2071" s="4">
        <v>45919.72934027778</v>
      </c>
      <c r="U2071" s="4"/>
      <c r="V2071"/>
      <c r="W2071">
        <v>3888</v>
      </c>
      <c r="X2071"/>
      <c r="Y2071" t="inlineStr">
        <is>
          <t>Pending Appointment</t>
        </is>
      </c>
      <c r="Z2071" t="inlineStr">
        <is>
          <t>Hiring Now</t>
        </is>
      </c>
      <c r="AA2071">
        <v>1</v>
      </c>
      <c r="AB2071" t="inlineStr">
        <is>
          <t>No Appointment Made</t>
        </is>
      </c>
      <c r="AC2071"/>
      <c r="AD2071" t="inlineStr">
        <is>
          <t>Customer Service</t>
        </is>
      </c>
      <c r="AE2071"/>
      <c r="AF2071"/>
      <c r="AG2071" s="4"/>
      <c r="AH2071" s="4"/>
      <c r="AI2071"/>
      <c r="AJ2071"/>
      <c r="AK2071"/>
      <c r="AL2071"/>
      <c r="AM2071"/>
      <c r="AN2071"/>
      <c r="AO2071"/>
      <c r="AP2071"/>
      <c r="AQ2071"/>
      <c r="AR2071" t="inlineStr">
        <is>
          <t>Hiredly</t>
        </is>
      </c>
      <c r="AS2071" t="inlineStr">
        <is>
          <t>- Headcount: 1
- Hiring Job Details: Customer Service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Hiredly</t>
        </is>
      </c>
      <c r="AT2071">
        <v>65</v>
      </c>
      <c r="AU2071" t="inlineStr">
        <is>
          <t>0.65</t>
        </is>
      </c>
      <c r="AV2071" t="inlineStr">
        <is>
          <t>5</t>
        </is>
      </c>
      <c r="AW2071" t="inlineStr">
        <is>
          <t>0</t>
        </is>
      </c>
      <c r="AX2071" t="inlineStr">
        <is>
          <t>Not Qualified</t>
        </is>
      </c>
      <c r="AY2071" s="4"/>
      <c r="AZ2071"/>
      <c r="BA2071"/>
      <c r="BB2071"/>
      <c r="BC2071" t="inlineStr">
        <is>
          <t>called and spoke to Ms. Liza, need to see the feedback for the posting first, and will let me know on first week of may neihter want to proceed anot</t>
        </is>
      </c>
      <c r="BD2071" s="4">
        <v>46136.445231481484</v>
      </c>
      <c r="BE2071" t="inlineStr">
        <is>
          <t>paid</t>
        </is>
      </c>
      <c r="BF2071"/>
      <c r="BG2071" t="inlineStr">
        <is>
          <t>Reschedule</t>
        </is>
      </c>
      <c r="BH2071" t="inlineStr">
        <is>
          <t>Fauziah Maharan</t>
        </is>
      </c>
      <c r="BI2071" t="inlineStr">
        <is>
          <t>Transportation / Logistics</t>
        </is>
      </c>
      <c r="BJ2071" s="4">
        <v>46144.75033564815</v>
      </c>
      <c r="BK2071" s="4">
        <v>43900.520219907405</v>
      </c>
      <c r="BL2071" t="inlineStr">
        <is>
          <t>5832.0</t>
        </is>
      </c>
      <c r="BM2071" t="inlineStr">
        <is>
          <t>1200.0</t>
        </is>
      </c>
      <c r="BN2071" t="inlineStr">
        <is>
          <t>View Company Page</t>
        </is>
      </c>
      <c r="BO2071" s="4">
        <v>46141.611759259256</v>
      </c>
      <c r="BP2071">
        <v>168098</v>
      </c>
      <c r="BQ2071">
        <v>82546</v>
      </c>
      <c r="BR2071" t="inlineStr">
        <is>
          <t>Online</t>
        </is>
      </c>
      <c r="BS2071"/>
      <c r="BT2071">
        <v>82546</v>
      </c>
      <c r="BU2071"/>
      <c r="BV2071">
        <v>2725673</v>
      </c>
      <c r="BW2071" t="inlineStr">
        <is>
          <t>Follow Up : Decision Pending</t>
        </is>
      </c>
      <c r="BX2071">
        <v>6</v>
      </c>
      <c r="BY2071">
        <v>0</v>
      </c>
      <c r="BZ2071" s="4">
        <v>46133.75381944444</v>
      </c>
      <c r="CA2071">
        <v>60</v>
      </c>
      <c r="CB2071">
        <v>35</v>
      </c>
      <c r="CC2071" s="4">
        <v>46137.65621527778</v>
      </c>
      <c r="CD2071" t="inlineStr">
        <is>
          <t>5</t>
        </is>
      </c>
      <c r="CE2071" t="inlineStr">
        <is>
          <t>0</t>
        </is>
      </c>
      <c r="CF2071" t="inlineStr">
        <is>
          <t>Q2-W03</t>
        </is>
      </c>
      <c r="CG2071"/>
      <c r="CH2071"/>
      <c r="CI2071"/>
      <c r="CJ2071" t="inlineStr">
        <is>
          <t>Paid</t>
        </is>
      </c>
      <c r="CK2071" t="inlineStr">
        <is>
          <t>Eligible</t>
        </is>
      </c>
      <c r="CL2071"/>
      <c r="CM2071"/>
    </row>
    <row r="2072" ht="25.5" customHeight="1">
      <c r="A2072" t="inlineStr">
        <is>
          <t>4275929</t>
        </is>
      </c>
      <c r="B2072" s="2"/>
      <c r="C2072"/>
      <c r="D2072" s="3">
        <v>46125.67511574074</v>
      </c>
      <c r="E2072" t="inlineStr">
        <is>
          <t>Q2-W02</t>
        </is>
      </c>
      <c r="F2072" t="inlineStr">
        <is>
          <t>Carmen</t>
        </is>
      </c>
      <c r="G2072" t="inlineStr">
        <is>
          <t>Lead</t>
        </is>
      </c>
      <c r="H2072" s="2" t="str">
        <f>=HYPERLINK("https://upbox.ajobthing.my/leads/4275929", "https://upbox.ajobthing.my/leads/4275929")</f>
        <v>https://upbox.ajobthing.my/leads/4275929</v>
      </c>
      <c r="I2072" t="inlineStr">
        <is>
          <t>anbitech precision manufacturing sdn bhd</t>
        </is>
      </c>
      <c r="J2072" t="inlineStr">
        <is>
          <t>Whale</t>
        </is>
      </c>
      <c r="K2072" t="inlineStr">
        <is>
          <t>Carmen</t>
        </is>
      </c>
      <c r="L2072" s="4"/>
      <c r="M2072" s="4">
        <v>46125.67601851852</v>
      </c>
      <c r="N2072"/>
      <c r="O2072">
        <v>10908</v>
      </c>
      <c r="P2072" s="4"/>
      <c r="Q2072" s="4"/>
      <c r="R2072"/>
      <c r="S2072"/>
      <c r="T2072" s="4"/>
      <c r="U2072" s="4"/>
      <c r="V2072"/>
      <c r="W2072"/>
      <c r="X2072"/>
      <c r="Y2072" t="inlineStr">
        <is>
          <t>Pending Appointment</t>
        </is>
      </c>
      <c r="Z2072" t="inlineStr">
        <is>
          <t>Continuous Hiring</t>
        </is>
      </c>
      <c r="AA2072">
        <v>12</v>
      </c>
      <c r="AB2072" t="inlineStr">
        <is>
          <t>No Appointment Made</t>
        </is>
      </c>
      <c r="AC2072"/>
      <c r="AD2072" t="inlineStr">
        <is>
          <t>12 people</t>
        </is>
      </c>
      <c r="AE2072"/>
      <c r="AF2072">
        <v>3000</v>
      </c>
      <c r="AG2072" s="4"/>
      <c r="AH2072" s="4"/>
      <c r="AI2072"/>
      <c r="AJ2072"/>
      <c r="AK2072"/>
      <c r="AL2072"/>
      <c r="AM2072"/>
      <c r="AN2072"/>
      <c r="AO2072"/>
      <c r="AP2072" t="inlineStr">
        <is>
          <t>Every month (100%)</t>
        </is>
      </c>
      <c r="AQ2072"/>
      <c r="AR2072"/>
      <c r="AS2072" t="inlineStr">
        <is>
          <t>- Headcount: 12
- Hiring Job Details: 12 people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Every month (100%)
- External job portal: Not available
- Hiring Urgency: Continuous Hiring</t>
        </is>
      </c>
      <c r="AT2072">
        <v>35</v>
      </c>
      <c r="AU2072" t="inlineStr">
        <is>
          <t>0.35</t>
        </is>
      </c>
      <c r="AV2072" t="inlineStr">
        <is>
          <t>25</t>
        </is>
      </c>
      <c r="AW2072" t="inlineStr">
        <is>
          <t>0</t>
        </is>
      </c>
      <c r="AX2072" t="inlineStr">
        <is>
          <t>Not Qualified</t>
        </is>
      </c>
      <c r="AY2072" s="4"/>
      <c r="AZ2072"/>
      <c r="BA2072"/>
      <c r="BB2072"/>
      <c r="BC2072"/>
      <c r="BD2072" s="4"/>
      <c r="BE2072"/>
      <c r="BF2072"/>
      <c r="BG2072" t="inlineStr">
        <is>
          <t>Reschedule</t>
        </is>
      </c>
      <c r="BH2072" t="inlineStr">
        <is>
          <t>Reagen</t>
        </is>
      </c>
      <c r="BI2072"/>
      <c r="BJ2072" s="4">
        <v>46144.75581018518</v>
      </c>
      <c r="BK2072" s="4">
        <v>46125.48532407408</v>
      </c>
      <c r="BL2072" t="inlineStr">
        <is>
          <t>5508.0</t>
        </is>
      </c>
      <c r="BM2072" t="inlineStr">
        <is>
          <t>0.0</t>
        </is>
      </c>
      <c r="BN2072"/>
      <c r="BO2072" s="4"/>
      <c r="BP2072">
        <v>166819</v>
      </c>
      <c r="BQ2072"/>
      <c r="BR2072"/>
      <c r="BS2072"/>
      <c r="BT2072"/>
      <c r="BU2072"/>
      <c r="BV2072"/>
      <c r="BW2072"/>
      <c r="BX2072"/>
      <c r="BY2072"/>
      <c r="BZ2072" s="4"/>
      <c r="CA2072"/>
      <c r="CB2072"/>
      <c r="CC2072" s="4"/>
      <c r="CD2072" t="inlineStr">
        <is>
          <t>35</t>
        </is>
      </c>
      <c r="CE2072" t="inlineStr">
        <is>
          <t>0</t>
        </is>
      </c>
      <c r="CF2072" t="inlineStr">
        <is>
          <t>Q2-W02</t>
        </is>
      </c>
      <c r="CG2072"/>
      <c r="CH2072"/>
      <c r="CI2072"/>
      <c r="CJ2072" t="inlineStr">
        <is>
          <t>No Paid</t>
        </is>
      </c>
      <c r="CK2072" t="inlineStr">
        <is>
          <t>Eligible</t>
        </is>
      </c>
      <c r="CL2072"/>
      <c r="CM2072"/>
    </row>
    <row r="2073" ht="25.5" customHeight="1">
      <c r="A2073" t="inlineStr">
        <is>
          <t>178098</t>
        </is>
      </c>
      <c r="B2073" s="2"/>
      <c r="C2073"/>
      <c r="D2073" s="3">
        <v>46125.71790509259</v>
      </c>
      <c r="E2073" t="inlineStr">
        <is>
          <t>Q2-W02</t>
        </is>
      </c>
      <c r="F2073" t="inlineStr">
        <is>
          <t>Alan KY</t>
        </is>
      </c>
      <c r="G2073" t="inlineStr">
        <is>
          <t>Customer</t>
        </is>
      </c>
      <c r="H2073" s="2" t="str">
        <f>=HYPERLINK("https://upbox.ajobthing.my/customer/178098", "https://upbox.ajobthing.my/customer/178098")</f>
        <v>https://upbox.ajobthing.my/customer/178098</v>
      </c>
      <c r="I2073" t="inlineStr">
        <is>
          <t>ZN Capital Sdn Bhd</t>
        </is>
      </c>
      <c r="J2073" t="inlineStr">
        <is>
          <t>Whale</t>
        </is>
      </c>
      <c r="K2073" t="inlineStr">
        <is>
          <t>Alan KY</t>
        </is>
      </c>
      <c r="L2073" s="4"/>
      <c r="M2073" s="4">
        <v>46125.71601851852</v>
      </c>
      <c r="N2073"/>
      <c r="O2073">
        <v>11448</v>
      </c>
      <c r="P2073" s="4"/>
      <c r="Q2073" s="4">
        <v>45726.60472222222</v>
      </c>
      <c r="R2073"/>
      <c r="S2073">
        <v>4968</v>
      </c>
      <c r="T2073" s="4">
        <v>45726.60472222222</v>
      </c>
      <c r="U2073" s="4"/>
      <c r="V2073"/>
      <c r="W2073">
        <v>4968</v>
      </c>
      <c r="X2073"/>
      <c r="Y2073" t="inlineStr">
        <is>
          <t>Pending Appointment</t>
        </is>
      </c>
      <c r="Z2073" t="inlineStr">
        <is>
          <t>Hiring Now</t>
        </is>
      </c>
      <c r="AA2073">
        <v>4</v>
      </c>
      <c r="AB2073" t="inlineStr">
        <is>
          <t>No Appointment Made</t>
        </is>
      </c>
      <c r="AC2073"/>
      <c r="AD2073" t="inlineStr">
        <is>
          <t xml:space="preserve">Renewal : live host and sales (ongoing hire), 2 sales team lead, 1 content creator 
Based in selangor  </t>
        </is>
      </c>
      <c r="AE2073"/>
      <c r="AF2073"/>
      <c r="AG2073" s="4"/>
      <c r="AH2073" s="4"/>
      <c r="AI2073"/>
      <c r="AJ2073"/>
      <c r="AK2073" t="inlineStr">
        <is>
          <t>No, I don't need at all</t>
        </is>
      </c>
      <c r="AL2073"/>
      <c r="AM2073" t="inlineStr">
        <is>
          <t>No, I don't need at all</t>
        </is>
      </c>
      <c r="AN2073"/>
      <c r="AO2073" t="inlineStr">
        <is>
          <t>No, I don't need at all</t>
        </is>
      </c>
      <c r="AP2073" t="inlineStr">
        <is>
          <t>Once per quarter (75%)</t>
        </is>
      </c>
      <c r="AQ2073"/>
      <c r="AR2073" t="inlineStr">
        <is>
          <t>Jobstreet, Free Job Portal</t>
        </is>
      </c>
      <c r="AS2073" t="inlineStr">
        <is>
          <t>- Headcount: 4
- Hiring Job Details: Renewal: live host and sales (ongoing hire), 2 sales team lead, 1 content creator; Based in selangor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 Free Job Portal</t>
        </is>
      </c>
      <c r="AT2073">
        <v>85</v>
      </c>
      <c r="AU2073" t="inlineStr">
        <is>
          <t>0.85</t>
        </is>
      </c>
      <c r="AV2073" t="inlineStr">
        <is>
          <t>5</t>
        </is>
      </c>
      <c r="AW2073" t="inlineStr">
        <is>
          <t>0</t>
        </is>
      </c>
      <c r="AX2073" t="inlineStr">
        <is>
          <t>Not Qualified</t>
        </is>
      </c>
      <c r="AY2073" s="4"/>
      <c r="AZ2073"/>
      <c r="BA2073"/>
      <c r="BB2073"/>
      <c r="BC2073" t="inlineStr">
        <is>
          <t>Will not proceed now as no usage. Keep in touch with me</t>
        </is>
      </c>
      <c r="BD2073" s="4">
        <v>46134.65997685185</v>
      </c>
      <c r="BE2073" t="inlineStr">
        <is>
          <t>paid</t>
        </is>
      </c>
      <c r="BF2073"/>
      <c r="BG2073" t="inlineStr">
        <is>
          <t>Reschedule</t>
        </is>
      </c>
      <c r="BH2073" t="inlineStr">
        <is>
          <t>Reagen</t>
        </is>
      </c>
      <c r="BI2073" t="inlineStr">
        <is>
          <t>Advertising / Marketing</t>
        </is>
      </c>
      <c r="BJ2073" s="4">
        <v>46144.75171296296</v>
      </c>
      <c r="BK2073" s="4">
        <v>45419.67184027778</v>
      </c>
      <c r="BL2073" t="inlineStr">
        <is>
          <t>0.0</t>
        </is>
      </c>
      <c r="BM2073" t="inlineStr">
        <is>
          <t>1200.0</t>
        </is>
      </c>
      <c r="BN2073" t="inlineStr">
        <is>
          <t>View Jobmanager Page</t>
        </is>
      </c>
      <c r="BO2073" s="4">
        <v>46031.47994212963</v>
      </c>
      <c r="BP2073">
        <v>166837</v>
      </c>
      <c r="BQ2073">
        <v>77517</v>
      </c>
      <c r="BR2073" t="inlineStr">
        <is>
          <t>Online</t>
        </is>
      </c>
      <c r="BS2073"/>
      <c r="BT2073">
        <v>77517</v>
      </c>
      <c r="BU2073"/>
      <c r="BV2073">
        <v>2721263</v>
      </c>
      <c r="BW2073" t="inlineStr">
        <is>
          <t>Follow Up : Budget Concern</t>
        </is>
      </c>
      <c r="BX2073"/>
      <c r="BY2073"/>
      <c r="BZ2073" s="4"/>
      <c r="CA2073"/>
      <c r="CB2073"/>
      <c r="CC2073" s="4"/>
      <c r="CD2073" t="inlineStr">
        <is>
          <t>5</t>
        </is>
      </c>
      <c r="CE2073" t="inlineStr">
        <is>
          <t>0</t>
        </is>
      </c>
      <c r="CF2073" t="inlineStr">
        <is>
          <t>Q2-W02</t>
        </is>
      </c>
      <c r="CG2073"/>
      <c r="CH2073"/>
      <c r="CI2073"/>
      <c r="CJ2073" t="inlineStr">
        <is>
          <t>Paid</t>
        </is>
      </c>
      <c r="CK2073" t="inlineStr">
        <is>
          <t>Eligible</t>
        </is>
      </c>
      <c r="CL2073"/>
      <c r="CM2073"/>
    </row>
    <row r="2074" ht="25.5" customHeight="1">
      <c r="A2074" t="inlineStr">
        <is>
          <t>169508</t>
        </is>
      </c>
      <c r="B2074" s="2"/>
      <c r="C2074"/>
      <c r="D2074" s="3">
        <v>46126.41810185185</v>
      </c>
      <c r="E2074" t="inlineStr">
        <is>
          <t>Q2-W02</t>
        </is>
      </c>
      <c r="F2074" t="inlineStr">
        <is>
          <t>Clover</t>
        </is>
      </c>
      <c r="G2074" t="inlineStr">
        <is>
          <t>Customer</t>
        </is>
      </c>
      <c r="H2074" s="2" t="str">
        <f>=HYPERLINK("https://upbox.ajobthing.my/customer/169508", "https://upbox.ajobthing.my/customer/169508")</f>
        <v>https://upbox.ajobthing.my/customer/169508</v>
      </c>
      <c r="I2074" t="inlineStr">
        <is>
          <t xml:space="preserve">MOH Pharmaceutical </t>
        </is>
      </c>
      <c r="J2074" t="inlineStr">
        <is>
          <t>Whale</t>
        </is>
      </c>
      <c r="K2074" t="inlineStr">
        <is>
          <t>Clover</t>
        </is>
      </c>
      <c r="L2074" s="4"/>
      <c r="M2074" s="4">
        <v>46126.41842592593</v>
      </c>
      <c r="N2074"/>
      <c r="O2074">
        <v>3888</v>
      </c>
      <c r="P2074" s="4"/>
      <c r="Q2074" s="4">
        <v>46135.90354166667</v>
      </c>
      <c r="R2074"/>
      <c r="S2074">
        <v>3888</v>
      </c>
      <c r="T2074" s="4">
        <v>46135.90354166667</v>
      </c>
      <c r="U2074" s="4"/>
      <c r="V2074"/>
      <c r="W2074">
        <v>3888</v>
      </c>
      <c r="X2074"/>
      <c r="Y2074" t="inlineStr">
        <is>
          <t>Pending Appointment</t>
        </is>
      </c>
      <c r="Z2074" t="inlineStr">
        <is>
          <t>Hiring Now</t>
        </is>
      </c>
      <c r="AA2074">
        <v>1</v>
      </c>
      <c r="AB2074" t="inlineStr">
        <is>
          <t>No Appointment Made</t>
        </is>
      </c>
      <c r="AC2074"/>
      <c r="AD2074" t="inlineStr">
        <is>
          <t>Hire senior sales executive x1, chi only, future not sure,  manufacturing of health products. shah alam, suggest stand</t>
        </is>
      </c>
      <c r="AE2074"/>
      <c r="AF2074">
        <v>3000</v>
      </c>
      <c r="AG2074" s="4"/>
      <c r="AH2074" s="4"/>
      <c r="AI2074">
        <v>3000</v>
      </c>
      <c r="AJ2074">
        <v>1</v>
      </c>
      <c r="AK2074" t="inlineStr">
        <is>
          <t>No, but I want in future</t>
        </is>
      </c>
      <c r="AL2074">
        <v>1</v>
      </c>
      <c r="AM2074" t="inlineStr">
        <is>
          <t>No, but I want in future</t>
        </is>
      </c>
      <c r="AN2074"/>
      <c r="AO2074" t="inlineStr">
        <is>
          <t>No, but I want in future</t>
        </is>
      </c>
      <c r="AP2074" t="inlineStr">
        <is>
          <t>Twice a year (50%)</t>
        </is>
      </c>
      <c r="AQ2074">
        <v>2</v>
      </c>
      <c r="AR2074" t="inlineStr">
        <is>
          <t>Did not use any job portal</t>
        </is>
      </c>
      <c r="AS2074" t="inlineStr">
        <is>
          <t>- Headcount: 1
- Hiring Job Details: 1 senior sales executive (chi only, future not sure, health products manufacturing, shah alam,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is>
      </c>
      <c r="AT2074">
        <v>115</v>
      </c>
      <c r="AU2074" t="inlineStr">
        <is>
          <t>1.15</t>
        </is>
      </c>
      <c r="AV2074" t="inlineStr">
        <is>
          <t>15</t>
        </is>
      </c>
      <c r="AW2074" t="inlineStr">
        <is>
          <t>0</t>
        </is>
      </c>
      <c r="AX2074" t="inlineStr">
        <is>
          <t>Not Qualified</t>
        </is>
      </c>
      <c r="AY2074" s="4"/>
      <c r="AZ2074"/>
      <c r="BA2074"/>
      <c r="BB2074"/>
      <c r="BC2074" t="inlineStr">
        <is>
          <t>Help post job</t>
        </is>
      </c>
      <c r="BD2074" s="4">
        <v>46136.588796296295</v>
      </c>
      <c r="BE2074" t="inlineStr">
        <is>
          <t>paid</t>
        </is>
      </c>
      <c r="BF2074" t="inlineStr">
        <is>
          <t>Q2-W03</t>
        </is>
      </c>
      <c r="BG2074" t="inlineStr">
        <is>
          <t>Reschedule</t>
        </is>
      </c>
      <c r="BH2074" t="inlineStr">
        <is>
          <t>Reagen</t>
        </is>
      </c>
      <c r="BI2074" t="inlineStr">
        <is>
          <t>Healthcare / Medical</t>
        </is>
      </c>
      <c r="BJ2074" s="4">
        <v>46144.75136574074</v>
      </c>
      <c r="BK2074" s="4">
        <v>45132.559375</v>
      </c>
      <c r="BL2074" t="inlineStr">
        <is>
          <t>3888.0</t>
        </is>
      </c>
      <c r="BM2074" t="inlineStr">
        <is>
          <t>6000.0</t>
        </is>
      </c>
      <c r="BN2074" t="inlineStr">
        <is>
          <t>View Company Page</t>
        </is>
      </c>
      <c r="BO2074" s="4">
        <v>46136.49253472222</v>
      </c>
      <c r="BP2074">
        <v>166865</v>
      </c>
      <c r="BQ2074">
        <v>7628</v>
      </c>
      <c r="BR2074" t="inlineStr">
        <is>
          <t>Manual (Paid)</t>
        </is>
      </c>
      <c r="BS2074" t="inlineStr">
        <is>
          <t>AI Yearly Standard Plan (Jan 26)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Special Promo: Buy 3 Free 3
Only 600 per ad
Confirm by 15 Apr to enjoy extra RM200 off</t>
        </is>
      </c>
      <c r="BT2074">
        <v>7628</v>
      </c>
      <c r="BU2074"/>
      <c r="BV2074">
        <v>2726374</v>
      </c>
      <c r="BW2074" t="inlineStr">
        <is>
          <t>Service / Technical : Help To Post Job</t>
        </is>
      </c>
      <c r="BX2074">
        <v>6</v>
      </c>
      <c r="BY2074">
        <v>6</v>
      </c>
      <c r="BZ2074" s="4"/>
      <c r="CA2074">
        <v>60</v>
      </c>
      <c r="CB2074">
        <v>60</v>
      </c>
      <c r="CC2074" s="4"/>
      <c r="CD2074" t="inlineStr">
        <is>
          <t>20</t>
        </is>
      </c>
      <c r="CE2074" t="inlineStr">
        <is>
          <t>0</t>
        </is>
      </c>
      <c r="CF2074" t="inlineStr">
        <is>
          <t>Q2-W02</t>
        </is>
      </c>
      <c r="CG2074" t="inlineStr">
        <is>
          <t>Q2-W03</t>
        </is>
      </c>
      <c r="CH2074" t="inlineStr">
        <is>
          <t>Q2-W03</t>
        </is>
      </c>
      <c r="CI2074"/>
      <c r="CJ2074" t="inlineStr">
        <is>
          <t>Paid</t>
        </is>
      </c>
      <c r="CK2074" t="inlineStr">
        <is>
          <t>Eligible</t>
        </is>
      </c>
      <c r="CL2074"/>
      <c r="CM2074"/>
    </row>
    <row r="2075" ht="25.5" customHeight="1">
      <c r="A2075" t="inlineStr">
        <is>
          <t>187744</t>
        </is>
      </c>
      <c r="B2075" s="2"/>
      <c r="C2075"/>
      <c r="D2075" s="3">
        <v>46126.42172453704</v>
      </c>
      <c r="E2075" t="inlineStr">
        <is>
          <t>Q2-W02</t>
        </is>
      </c>
      <c r="F2075" t="inlineStr">
        <is>
          <t>Ratha</t>
        </is>
      </c>
      <c r="G2075" t="inlineStr">
        <is>
          <t>Customer</t>
        </is>
      </c>
      <c r="H2075" s="2" t="str">
        <f>=HYPERLINK("https://upbox.ajobthing.my/customer/187744", "https://upbox.ajobthing.my/customer/187744")</f>
        <v>https://upbox.ajobthing.my/customer/187744</v>
      </c>
      <c r="I2075" t="inlineStr">
        <is>
          <t>Okami Seizo Sdn Bhd</t>
        </is>
      </c>
      <c r="J2075" t="inlineStr">
        <is>
          <t>Whale</t>
        </is>
      </c>
      <c r="K2075" t="inlineStr">
        <is>
          <t>Ratha</t>
        </is>
      </c>
      <c r="L2075" s="4"/>
      <c r="M2075" s="4">
        <v>46126.42240740741</v>
      </c>
      <c r="N2075"/>
      <c r="O2075">
        <v>3672</v>
      </c>
      <c r="P2075" s="4"/>
      <c r="Q2075" s="4">
        <v>46119.62769675926</v>
      </c>
      <c r="R2075"/>
      <c r="S2075">
        <v>0</v>
      </c>
      <c r="T2075" s="4">
        <v>45820.643599537034</v>
      </c>
      <c r="U2075" s="4"/>
      <c r="V2075"/>
      <c r="W2075">
        <v>2916</v>
      </c>
      <c r="X2075"/>
      <c r="Y2075" t="inlineStr">
        <is>
          <t>Pending Appointment</t>
        </is>
      </c>
      <c r="Z2075" t="inlineStr">
        <is>
          <t>Hiring Now</t>
        </is>
      </c>
      <c r="AA2075">
        <v>1</v>
      </c>
      <c r="AB2075" t="inlineStr">
        <is>
          <t>No Appointment Made</t>
        </is>
      </c>
      <c r="AC2075"/>
      <c r="AD2075" t="inlineStr">
        <is>
          <t>Service Crew : 1
Location : kl</t>
        </is>
      </c>
      <c r="AE2075"/>
      <c r="AF2075"/>
      <c r="AG2075" s="4"/>
      <c r="AH2075" s="4"/>
      <c r="AI2075">
        <v>0</v>
      </c>
      <c r="AJ2075">
        <v>1</v>
      </c>
      <c r="AK2075" t="inlineStr">
        <is>
          <t>Yes, I have</t>
        </is>
      </c>
      <c r="AL2075">
        <v>2</v>
      </c>
      <c r="AM2075" t="inlineStr">
        <is>
          <t>No, I don't need at all</t>
        </is>
      </c>
      <c r="AN2075"/>
      <c r="AO2075" t="inlineStr">
        <is>
          <t>No, I don't need at all</t>
        </is>
      </c>
      <c r="AP2075" t="inlineStr">
        <is>
          <t>Once per quarter (75%)</t>
        </is>
      </c>
      <c r="AQ2075">
        <v>0</v>
      </c>
      <c r="AR2075" t="inlineStr">
        <is>
          <t>Jobstreet, Free Job Portal</t>
        </is>
      </c>
      <c r="AS2075" t="inlineStr">
        <is>
          <t>- Headcount: 1
- Hiring Job Details: 1 Service Crew
- Hiring Urgency: Hiring Now
- Number of outlets: 1
- Have recruiter team: Yes
- Number of recruiter in company: 2
- Have ATS system: No, I don't need at all
- Have career website: No, I don't need at all
- Current hiring budget: RM (not specified)
- Whole year budget: RM0.00
- Whole year number of vacancies: 0
- Hiring frequency: Once per quarter (75%)
- External job portal: Jobstreet, Free Job Portal</t>
        </is>
      </c>
      <c r="AT2075">
        <v>105</v>
      </c>
      <c r="AU2075" t="inlineStr">
        <is>
          <t>1.05</t>
        </is>
      </c>
      <c r="AV2075" t="inlineStr">
        <is>
          <t>5</t>
        </is>
      </c>
      <c r="AW2075" t="inlineStr">
        <is>
          <t>0</t>
        </is>
      </c>
      <c r="AX2075" t="inlineStr">
        <is>
          <t>Not Qualified</t>
        </is>
      </c>
      <c r="AY2075" s="4"/>
      <c r="AZ2075"/>
      <c r="BA2075"/>
      <c r="BB2075"/>
      <c r="BC2075" t="inlineStr">
        <is>
          <t>previous ads not getting relevant candidates thus not proceed - mostly not answering, MIA and not from FMCG background - reminded about the candidates search based on industries</t>
        </is>
      </c>
      <c r="BD2075" s="4">
        <v>46135.47751157408</v>
      </c>
      <c r="BE2075" t="inlineStr">
        <is>
          <t>paid</t>
        </is>
      </c>
      <c r="BF2075"/>
      <c r="BG2075" t="inlineStr">
        <is>
          <t>Reschedule</t>
        </is>
      </c>
      <c r="BH2075" t="inlineStr">
        <is>
          <t>Fauziah Maharan</t>
        </is>
      </c>
      <c r="BI2075" t="inlineStr">
        <is>
          <t>Food / Beverage</t>
        </is>
      </c>
      <c r="BJ2075" s="4">
        <v>46144.75219907407</v>
      </c>
      <c r="BK2075" s="4">
        <v>45705.4746875</v>
      </c>
      <c r="BL2075" t="inlineStr">
        <is>
          <t>3996.0</t>
        </is>
      </c>
      <c r="BM2075" t="inlineStr">
        <is>
          <t>900.0</t>
        </is>
      </c>
      <c r="BN2075" t="inlineStr">
        <is>
          <t>User Visit(Logged In)</t>
        </is>
      </c>
      <c r="BO2075" s="4">
        <v>46142.42721064815</v>
      </c>
      <c r="BP2075">
        <v>166867</v>
      </c>
      <c r="BQ2075">
        <v>120474</v>
      </c>
      <c r="BR2075" t="inlineStr">
        <is>
          <t>Proforma</t>
        </is>
      </c>
      <c r="BS2075" t="inlineStr">
        <is>
          <t>Free Internship Job</t>
        </is>
      </c>
      <c r="BT2075">
        <v>80041</v>
      </c>
      <c r="BU2075"/>
      <c r="BV2075">
        <v>2722847</v>
      </c>
      <c r="BW2075" t="inlineStr">
        <is>
          <t>Follow Up : Budget Concern</t>
        </is>
      </c>
      <c r="BX2075">
        <v>6</v>
      </c>
      <c r="BY2075">
        <v>0</v>
      </c>
      <c r="BZ2075" s="4">
        <v>46036.70011574074</v>
      </c>
      <c r="CA2075">
        <v>120</v>
      </c>
      <c r="CB2075">
        <v>114</v>
      </c>
      <c r="CC2075" s="4">
        <v>46127.47965277778</v>
      </c>
      <c r="CD2075" t="inlineStr">
        <is>
          <t>5</t>
        </is>
      </c>
      <c r="CE2075" t="inlineStr">
        <is>
          <t>0</t>
        </is>
      </c>
      <c r="CF2075" t="inlineStr">
        <is>
          <t>Q2-W02</t>
        </is>
      </c>
      <c r="CG2075" t="inlineStr">
        <is>
          <t>Q2-W01</t>
        </is>
      </c>
      <c r="CH2075"/>
      <c r="CI2075"/>
      <c r="CJ2075" t="inlineStr">
        <is>
          <t>Paid</t>
        </is>
      </c>
      <c r="CK2075" t="inlineStr">
        <is>
          <t>Eligible</t>
        </is>
      </c>
      <c r="CL2075"/>
      <c r="CM2075"/>
    </row>
    <row r="2076" ht="25.5" customHeight="1">
      <c r="A2076" t="inlineStr">
        <is>
          <t>203183</t>
        </is>
      </c>
      <c r="B2076" s="2"/>
      <c r="C2076"/>
      <c r="D2076" s="3">
        <v>46126.43462962963</v>
      </c>
      <c r="E2076" t="inlineStr">
        <is>
          <t>Q2-W02</t>
        </is>
      </c>
      <c r="F2076" t="inlineStr">
        <is>
          <t>Ratha</t>
        </is>
      </c>
      <c r="G2076" t="inlineStr">
        <is>
          <t>Customer</t>
        </is>
      </c>
      <c r="H2076" s="2" t="str">
        <f>=HYPERLINK("https://upbox.ajobthing.my/customer/203183", "https://upbox.ajobthing.my/customer/203183")</f>
        <v>https://upbox.ajobthing.my/customer/203183</v>
      </c>
      <c r="I2076" t="inlineStr">
        <is>
          <t>Wong Loong Cheong Sdn Bhd</t>
        </is>
      </c>
      <c r="J2076" t="inlineStr">
        <is>
          <t>Whale</t>
        </is>
      </c>
      <c r="K2076" t="inlineStr">
        <is>
          <t>Ratha</t>
        </is>
      </c>
      <c r="L2076" s="4"/>
      <c r="M2076" s="4">
        <v>46133.68234953703</v>
      </c>
      <c r="N2076"/>
      <c r="O2076">
        <v>2592</v>
      </c>
      <c r="P2076" s="4"/>
      <c r="Q2076" s="4"/>
      <c r="R2076"/>
      <c r="S2076"/>
      <c r="T2076" s="4"/>
      <c r="U2076" s="4"/>
      <c r="V2076"/>
      <c r="W2076"/>
      <c r="X2076"/>
      <c r="Y2076" t="inlineStr">
        <is>
          <t>Pending Appointment</t>
        </is>
      </c>
      <c r="Z2076" t="inlineStr">
        <is>
          <t>Hiring Now</t>
        </is>
      </c>
      <c r="AA2076">
        <v>3</v>
      </c>
      <c r="AB2076" t="inlineStr">
        <is>
          <t>No Appointment Made</t>
        </is>
      </c>
      <c r="AC2076"/>
      <c r="AD2076" t="inlineStr">
        <is>
          <t>Sales Rep
Lorry driver
Sales Manager
Location : Klang &amp; KL</t>
        </is>
      </c>
      <c r="AE2076"/>
      <c r="AF2076"/>
      <c r="AG2076" s="4"/>
      <c r="AH2076" s="4"/>
      <c r="AI2076"/>
      <c r="AJ2076">
        <v>2</v>
      </c>
      <c r="AK2076" t="inlineStr">
        <is>
          <t>Yes, I have</t>
        </is>
      </c>
      <c r="AL2076">
        <v>2</v>
      </c>
      <c r="AM2076" t="inlineStr">
        <is>
          <t>No, I don't need at all</t>
        </is>
      </c>
      <c r="AN2076"/>
      <c r="AO2076" t="inlineStr">
        <is>
          <t>No, I don't need at all</t>
        </is>
      </c>
      <c r="AP2076" t="inlineStr">
        <is>
          <t>Once per quarter (75%)</t>
        </is>
      </c>
      <c r="AQ2076"/>
      <c r="AR2076" t="inlineStr">
        <is>
          <t>Jobstreet, Free Job Portal</t>
        </is>
      </c>
      <c r="AS2076" t="inlineStr">
        <is>
          <t>- Headcount: 3
- Hiring Job Details: Sales Rep, Lorry driver, Sales Manager (Location: Klang &amp; KL)
- Hiring Urgency: Hiring Now
- Number of outlets: 2
- Have recruiter team: Yes
- Number of recruiter in company: 2
- Have ATS system: No, I don't need at all
- Have career website: No, I don't need at all
- Current hiring budget: Not specified
- Whole year budget: Not specified
- Whole year number of vacancies: Not specified
- Hiring frequency: Once per quarter (75%)
- External job portal: Jobstreet, Free Job Portal</t>
        </is>
      </c>
      <c r="AT2076">
        <v>65</v>
      </c>
      <c r="AU2076" t="inlineStr">
        <is>
          <t>0.65</t>
        </is>
      </c>
      <c r="AV2076" t="inlineStr">
        <is>
          <t>5</t>
        </is>
      </c>
      <c r="AW2076" t="inlineStr">
        <is>
          <t>0</t>
        </is>
      </c>
      <c r="AX2076" t="inlineStr">
        <is>
          <t>Not Qualified</t>
        </is>
      </c>
      <c r="AY2076" s="4"/>
      <c r="AZ2076"/>
      <c r="BA2076"/>
      <c r="BB2076"/>
      <c r="BC2076" t="inlineStr">
        <is>
          <t>not proceed</t>
        </is>
      </c>
      <c r="BD2076" s="4">
        <v>46136.62861111111</v>
      </c>
      <c r="BE2076"/>
      <c r="BF2076"/>
      <c r="BG2076" t="inlineStr">
        <is>
          <t>Reschedule</t>
        </is>
      </c>
      <c r="BH2076" t="inlineStr">
        <is>
          <t>Fauziah Maharan</t>
        </is>
      </c>
      <c r="BI2076" t="inlineStr">
        <is>
          <t>Consumer Products / FMCG</t>
        </is>
      </c>
      <c r="BJ2076" s="4">
        <v>46144.75423611111</v>
      </c>
      <c r="BK2076" s="4">
        <v>46125.70119212963</v>
      </c>
      <c r="BL2076" t="inlineStr">
        <is>
          <t>0.0</t>
        </is>
      </c>
      <c r="BM2076" t="inlineStr">
        <is>
          <t>0.0</t>
        </is>
      </c>
      <c r="BN2076" t="inlineStr">
        <is>
          <t>View Company Page</t>
        </is>
      </c>
      <c r="BO2076" s="4">
        <v>46133.64230324074</v>
      </c>
      <c r="BP2076">
        <v>168115</v>
      </c>
      <c r="BQ2076"/>
      <c r="BR2076"/>
      <c r="BS2076"/>
      <c r="BT2076"/>
      <c r="BU2076"/>
      <c r="BV2076">
        <v>2726665</v>
      </c>
      <c r="BW2076" t="inlineStr">
        <is>
          <t>Follow Up : Budget Concern</t>
        </is>
      </c>
      <c r="BX2076"/>
      <c r="BY2076"/>
      <c r="BZ2076" s="4"/>
      <c r="CA2076"/>
      <c r="CB2076"/>
      <c r="CC2076" s="4"/>
      <c r="CD2076" t="inlineStr">
        <is>
          <t>5</t>
        </is>
      </c>
      <c r="CE2076" t="inlineStr">
        <is>
          <t>0</t>
        </is>
      </c>
      <c r="CF2076" t="inlineStr">
        <is>
          <t>Q2-W03</t>
        </is>
      </c>
      <c r="CG2076"/>
      <c r="CH2076"/>
      <c r="CI2076"/>
      <c r="CJ2076" t="inlineStr">
        <is>
          <t>No Paid</t>
        </is>
      </c>
      <c r="CK2076" t="inlineStr">
        <is>
          <t>Eligible</t>
        </is>
      </c>
      <c r="CL2076"/>
      <c r="CM2076"/>
    </row>
    <row r="2077" ht="25.5" customHeight="1">
      <c r="A2077" t="inlineStr">
        <is>
          <t>151793</t>
        </is>
      </c>
      <c r="B2077" s="2"/>
      <c r="C2077"/>
      <c r="D2077" s="3">
        <v>46126.44665509259</v>
      </c>
      <c r="E2077" t="inlineStr">
        <is>
          <t>Q2-W02</t>
        </is>
      </c>
      <c r="F2077" t="inlineStr">
        <is>
          <t>Ratha</t>
        </is>
      </c>
      <c r="G2077" t="inlineStr">
        <is>
          <t>Customer</t>
        </is>
      </c>
      <c r="H2077" s="2" t="str">
        <f>=HYPERLINK("https://upbox.ajobthing.my/customer/151793", "https://upbox.ajobthing.my/customer/151793")</f>
        <v>https://upbox.ajobthing.my/customer/151793</v>
      </c>
      <c r="I2077" t="inlineStr">
        <is>
          <t>Tamron Infinite Sdn Bhd</t>
        </is>
      </c>
      <c r="J2077" t="inlineStr">
        <is>
          <t>Whale</t>
        </is>
      </c>
      <c r="K2077" t="inlineStr">
        <is>
          <t>Ratha</t>
        </is>
      </c>
      <c r="L2077" s="4"/>
      <c r="M2077" s="4">
        <v>46115.447071759256</v>
      </c>
      <c r="N2077"/>
      <c r="O2077">
        <v>3888</v>
      </c>
      <c r="P2077" s="4"/>
      <c r="Q2077" s="4">
        <v>46126.58126157407</v>
      </c>
      <c r="R2077"/>
      <c r="S2077">
        <v>3888</v>
      </c>
      <c r="T2077" s="4">
        <v>46126.58126157407</v>
      </c>
      <c r="U2077" s="4"/>
      <c r="V2077"/>
      <c r="W2077">
        <v>3888</v>
      </c>
      <c r="X2077"/>
      <c r="Y2077" t="inlineStr">
        <is>
          <t>Pending Appointment</t>
        </is>
      </c>
      <c r="Z2077" t="inlineStr">
        <is>
          <t>Hiring Now</t>
        </is>
      </c>
      <c r="AA2077">
        <v>10</v>
      </c>
      <c r="AB2077" t="inlineStr">
        <is>
          <t>No Appointment Made</t>
        </is>
      </c>
      <c r="AC2077"/>
      <c r="AD2077" t="inlineStr">
        <is>
          <t>admin (ongoing, headcounts:10, location:Klang)</t>
        </is>
      </c>
      <c r="AE2077"/>
      <c r="AF2077"/>
      <c r="AG2077" s="4"/>
      <c r="AH2077" s="4"/>
      <c r="AI2077">
        <v>0</v>
      </c>
      <c r="AJ2077">
        <v>1</v>
      </c>
      <c r="AK2077" t="inlineStr">
        <is>
          <t>Yes, I have</t>
        </is>
      </c>
      <c r="AL2077">
        <v>2</v>
      </c>
      <c r="AM2077" t="inlineStr">
        <is>
          <t>No, I don't need at all</t>
        </is>
      </c>
      <c r="AN2077"/>
      <c r="AO2077" t="inlineStr">
        <is>
          <t>No, I don't need at all</t>
        </is>
      </c>
      <c r="AP2077" t="inlineStr">
        <is>
          <t>Every month (100%)</t>
        </is>
      </c>
      <c r="AQ2077">
        <v>0</v>
      </c>
      <c r="AR2077" t="inlineStr">
        <is>
          <t>Free Job Portal</t>
        </is>
      </c>
      <c r="AS2077" t="inlineStr">
        <is>
          <t>- Headcount: 10
- Hiring Job Details: 10 admin (ongoing, location:Klang)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Free Job Portal</t>
        </is>
      </c>
      <c r="AT2077">
        <v>105</v>
      </c>
      <c r="AU2077" t="inlineStr">
        <is>
          <t>1.05</t>
        </is>
      </c>
      <c r="AV2077" t="inlineStr">
        <is>
          <t>10</t>
        </is>
      </c>
      <c r="AW2077" t="inlineStr">
        <is>
          <t>0</t>
        </is>
      </c>
      <c r="AX2077" t="inlineStr">
        <is>
          <t>Not Qualified</t>
        </is>
      </c>
      <c r="AY2077" s="4"/>
      <c r="AZ2077"/>
      <c r="BA2077"/>
      <c r="BB2077"/>
      <c r="BC2077" t="inlineStr">
        <is>
          <t>- Headcount: 10
- Hiring Job Details: 10 admin (ongoing, location:Klang)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Free Job Portal</t>
        </is>
      </c>
      <c r="BD2077" s="4">
        <v>46126.45836805556</v>
      </c>
      <c r="BE2077" t="inlineStr">
        <is>
          <t>paid</t>
        </is>
      </c>
      <c r="BF2077" t="inlineStr">
        <is>
          <t>Q2-W02</t>
        </is>
      </c>
      <c r="BG2077" t="inlineStr">
        <is>
          <t>Reschedule</t>
        </is>
      </c>
      <c r="BH2077" t="inlineStr">
        <is>
          <t>Fauziah Maharan</t>
        </is>
      </c>
      <c r="BI2077" t="inlineStr">
        <is>
          <t>Transportation / Logistics</t>
        </is>
      </c>
      <c r="BJ2077" s="4">
        <v>46144.75087962963</v>
      </c>
      <c r="BK2077" s="4">
        <v>44658.49523148148</v>
      </c>
      <c r="BL2077" t="inlineStr">
        <is>
          <t>3888.0</t>
        </is>
      </c>
      <c r="BM2077" t="inlineStr">
        <is>
          <t>0.0</t>
        </is>
      </c>
      <c r="BN2077" t="inlineStr">
        <is>
          <t>View Company Page</t>
        </is>
      </c>
      <c r="BO2077" s="4">
        <v>46139.63574074074</v>
      </c>
      <c r="BP2077">
        <v>165112</v>
      </c>
      <c r="BQ2077">
        <v>93370</v>
      </c>
      <c r="BR2077" t="inlineStr">
        <is>
          <t>Online</t>
        </is>
      </c>
      <c r="BS2077"/>
      <c r="BT2077">
        <v>93370</v>
      </c>
      <c r="BU2077"/>
      <c r="BV2077">
        <v>2702809</v>
      </c>
      <c r="BW2077" t="inlineStr">
        <is>
          <t>Customer Inquiry</t>
        </is>
      </c>
      <c r="BX2077">
        <v>6</v>
      </c>
      <c r="BY2077">
        <v>5</v>
      </c>
      <c r="BZ2077" s="4">
        <v>46127.43380787037</v>
      </c>
      <c r="CA2077">
        <v>60</v>
      </c>
      <c r="CB2077">
        <v>60</v>
      </c>
      <c r="CC2077" s="4"/>
      <c r="CD2077" t="inlineStr">
        <is>
          <t>15</t>
        </is>
      </c>
      <c r="CE2077" t="inlineStr">
        <is>
          <t>0</t>
        </is>
      </c>
      <c r="CF2077" t="inlineStr">
        <is>
          <t>Q2-W01</t>
        </is>
      </c>
      <c r="CG2077" t="inlineStr">
        <is>
          <t>Q2-W02</t>
        </is>
      </c>
      <c r="CH2077" t="inlineStr">
        <is>
          <t>Q2-W02</t>
        </is>
      </c>
      <c r="CI2077"/>
      <c r="CJ2077" t="inlineStr">
        <is>
          <t>Paid</t>
        </is>
      </c>
      <c r="CK2077" t="inlineStr">
        <is>
          <t>Eligible</t>
        </is>
      </c>
      <c r="CL2077"/>
      <c r="CM2077"/>
    </row>
    <row r="2078" ht="25.5" customHeight="1">
      <c r="A2078" t="inlineStr">
        <is>
          <t>199420</t>
        </is>
      </c>
      <c r="B2078" s="2"/>
      <c r="C2078"/>
      <c r="D2078" s="3">
        <v>46126.46068287037</v>
      </c>
      <c r="E2078" t="inlineStr">
        <is>
          <t>Q2-W02</t>
        </is>
      </c>
      <c r="F2078" t="inlineStr">
        <is>
          <t>Josh</t>
        </is>
      </c>
      <c r="G2078" t="inlineStr">
        <is>
          <t>Customer</t>
        </is>
      </c>
      <c r="H2078" s="2" t="str">
        <f>=HYPERLINK("https://upbox.ajobthing.my/customer/199420", "https://upbox.ajobthing.my/customer/199420")</f>
        <v>https://upbox.ajobthing.my/customer/199420</v>
      </c>
      <c r="I2078" t="inlineStr">
        <is>
          <t>Ykmajuholdings sdn.bhd</t>
        </is>
      </c>
      <c r="J2078" t="inlineStr">
        <is>
          <t>Whale</t>
        </is>
      </c>
      <c r="K2078" t="inlineStr">
        <is>
          <t>Josh</t>
        </is>
      </c>
      <c r="L2078" s="4"/>
      <c r="M2078" s="4">
        <v>46126.4608912037</v>
      </c>
      <c r="N2078"/>
      <c r="O2078">
        <v>6048</v>
      </c>
      <c r="P2078" s="4"/>
      <c r="Q2078" s="4"/>
      <c r="R2078"/>
      <c r="S2078"/>
      <c r="T2078" s="4"/>
      <c r="U2078" s="4"/>
      <c r="V2078"/>
      <c r="W2078"/>
      <c r="X2078"/>
      <c r="Y2078" t="inlineStr">
        <is>
          <t>Pending Appointment</t>
        </is>
      </c>
      <c r="Z2078" t="inlineStr">
        <is>
          <t>Hiring Later</t>
        </is>
      </c>
      <c r="AA2078">
        <v>1</v>
      </c>
      <c r="AB2078" t="inlineStr">
        <is>
          <t>No Appointment Made</t>
        </is>
      </c>
      <c r="AC2078"/>
      <c r="AD2078" t="inlineStr">
        <is>
          <t xml:space="preserve">1 admin </t>
        </is>
      </c>
      <c r="AE2078"/>
      <c r="AF2078">
        <v>3000</v>
      </c>
      <c r="AG2078" s="4"/>
      <c r="AH2078" s="4"/>
      <c r="AI2078"/>
      <c r="AJ2078"/>
      <c r="AK2078" t="inlineStr">
        <is>
          <t>Yes, I have</t>
        </is>
      </c>
      <c r="AL2078"/>
      <c r="AM2078"/>
      <c r="AN2078"/>
      <c r="AO2078"/>
      <c r="AP2078" t="inlineStr">
        <is>
          <t>Once a year (25%)</t>
        </is>
      </c>
      <c r="AQ2078"/>
      <c r="AR2078"/>
      <c r="AS2078" t="inlineStr">
        <is>
          <t>- Headcount: 1
- Hiring Job Details: 1 admin
- Hiring Urgency: Hiring Later
- Number of outlets: N/A
- Have recruiter team: Yes
- Number of recruiter in company: N/A
- Have ATS system: N/A
- Have career website: N/A
- Current hiring budget: RM3,000.00
- Whole year budget: N/A
- Whole year number of vacancies: N/A
- Hiring frequency: Once a year (25%)
- External job portal: N/A</t>
        </is>
      </c>
      <c r="AT2078">
        <v>75</v>
      </c>
      <c r="AU2078" t="inlineStr">
        <is>
          <t>0.75</t>
        </is>
      </c>
      <c r="AV2078" t="inlineStr">
        <is>
          <t>15</t>
        </is>
      </c>
      <c r="AW2078" t="inlineStr">
        <is>
          <t>0</t>
        </is>
      </c>
      <c r="AX2078" t="inlineStr">
        <is>
          <t>Not Qualified</t>
        </is>
      </c>
      <c r="AY2078" s="4"/>
      <c r="AZ2078"/>
      <c r="BA2078"/>
      <c r="BB2078"/>
      <c r="BC2078" t="inlineStr">
        <is>
          <t>- Headcount: 1
- Hiring Job Details: 1 admin
- Hiring Urgency: Hiring Later
- Number of outlets: N/A
- Have recruiter team: Yes
- Number of recruiter in company: N/A
- Have ATS system: N/A
- Have career website: N/A
- Current hiring budget: RM3,000.00
- Whole year budget: N/A
- Whole year number of vacancies: N/A
- Hiring frequency: Once a year (25%)
- External job portal: N/A</t>
        </is>
      </c>
      <c r="BD2078" s="4">
        <v>46126.500023148146</v>
      </c>
      <c r="BE2078"/>
      <c r="BF2078"/>
      <c r="BG2078" t="inlineStr">
        <is>
          <t>Reschedule</t>
        </is>
      </c>
      <c r="BH2078" t="inlineStr">
        <is>
          <t>Fauziah Maharan</t>
        </is>
      </c>
      <c r="BI2078"/>
      <c r="BJ2078" s="4">
        <v>46144.75329861111</v>
      </c>
      <c r="BK2078" s="4">
        <v>46006.740625</v>
      </c>
      <c r="BL2078" t="inlineStr">
        <is>
          <t>0.0</t>
        </is>
      </c>
      <c r="BM2078" t="inlineStr">
        <is>
          <t>0.0</t>
        </is>
      </c>
      <c r="BN2078" t="inlineStr">
        <is>
          <t>View Company Page</t>
        </is>
      </c>
      <c r="BO2078" s="4">
        <v>46006.74193287037</v>
      </c>
      <c r="BP2078">
        <v>166893</v>
      </c>
      <c r="BQ2078"/>
      <c r="BR2078"/>
      <c r="BS2078"/>
      <c r="BT2078"/>
      <c r="BU2078"/>
      <c r="BV2078">
        <v>2703206</v>
      </c>
      <c r="BW2078" t="inlineStr">
        <is>
          <t>Customer Inquiry</t>
        </is>
      </c>
      <c r="BX2078"/>
      <c r="BY2078"/>
      <c r="BZ2078" s="4"/>
      <c r="CA2078"/>
      <c r="CB2078"/>
      <c r="CC2078" s="4"/>
      <c r="CD2078" t="inlineStr">
        <is>
          <t>20</t>
        </is>
      </c>
      <c r="CE2078" t="inlineStr">
        <is>
          <t>0</t>
        </is>
      </c>
      <c r="CF2078" t="inlineStr">
        <is>
          <t>Q2-W02</t>
        </is>
      </c>
      <c r="CG2078"/>
      <c r="CH2078"/>
      <c r="CI2078"/>
      <c r="CJ2078" t="inlineStr">
        <is>
          <t>No Paid</t>
        </is>
      </c>
      <c r="CK2078" t="inlineStr">
        <is>
          <t>Eligible</t>
        </is>
      </c>
      <c r="CL2078"/>
      <c r="CM2078"/>
    </row>
    <row r="2079" ht="25.5" customHeight="1">
      <c r="A2079" t="inlineStr">
        <is>
          <t>171365</t>
        </is>
      </c>
      <c r="B2079" s="2"/>
      <c r="C2079"/>
      <c r="D2079" s="3">
        <v>46126.47518518518</v>
      </c>
      <c r="E2079" t="inlineStr">
        <is>
          <t>Q2-W02</t>
        </is>
      </c>
      <c r="F2079" t="inlineStr">
        <is>
          <t>Yuli</t>
        </is>
      </c>
      <c r="G2079" t="inlineStr">
        <is>
          <t>Customer</t>
        </is>
      </c>
      <c r="H2079" s="2" t="str">
        <f>=HYPERLINK("https://upbox.ajobthing.my/customer/171365", "https://upbox.ajobthing.my/customer/171365")</f>
        <v>https://upbox.ajobthing.my/customer/171365</v>
      </c>
      <c r="I2079" t="inlineStr">
        <is>
          <t>Maple Business Management (M) Sdn Bhd</t>
        </is>
      </c>
      <c r="J2079" t="inlineStr">
        <is>
          <t>Whale</t>
        </is>
      </c>
      <c r="K2079" t="inlineStr">
        <is>
          <t>YuLi</t>
        </is>
      </c>
      <c r="L2079" s="4"/>
      <c r="M2079" s="4">
        <v>46126.470405092594</v>
      </c>
      <c r="N2079"/>
      <c r="O2079">
        <v>11232</v>
      </c>
      <c r="P2079" s="4"/>
      <c r="Q2079" s="4">
        <v>46044.463275462964</v>
      </c>
      <c r="R2079"/>
      <c r="S2079">
        <v>0</v>
      </c>
      <c r="T2079" s="4">
        <v>45995.944768518515</v>
      </c>
      <c r="U2079" s="4"/>
      <c r="V2079"/>
      <c r="W2079">
        <v>3348</v>
      </c>
      <c r="X2079"/>
      <c r="Y2079" t="inlineStr">
        <is>
          <t>Pending Appointment</t>
        </is>
      </c>
      <c r="Z2079" t="inlineStr">
        <is>
          <t>Hiring Now</t>
        </is>
      </c>
      <c r="AA2079">
        <v>1</v>
      </c>
      <c r="AB2079" t="inlineStr">
        <is>
          <t>No Appointment Made</t>
        </is>
      </c>
      <c r="AC2079"/>
      <c r="AD2079" t="inlineStr">
        <is>
          <t>1 Accounts admin</t>
        </is>
      </c>
      <c r="AE2079"/>
      <c r="AF2079"/>
      <c r="AG2079" s="4"/>
      <c r="AH2079" s="4"/>
      <c r="AI2079"/>
      <c r="AJ2079"/>
      <c r="AK2079"/>
      <c r="AL2079"/>
      <c r="AM2079"/>
      <c r="AN2079"/>
      <c r="AO2079"/>
      <c r="AP2079" t="inlineStr">
        <is>
          <t>Every month (100%)</t>
        </is>
      </c>
      <c r="AQ2079"/>
      <c r="AR2079" t="inlineStr">
        <is>
          <t>Did not use any job portal</t>
        </is>
      </c>
      <c r="AS2079" t="inlineStr">
        <is>
          <t>- Headcount: 1
- Hiring Job Details: 1 Accounts admin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Every month (100%)
- External job portal: Did not use any job portal</t>
        </is>
      </c>
      <c r="AT2079">
        <v>70</v>
      </c>
      <c r="AU2079" t="inlineStr">
        <is>
          <t>0.70</t>
        </is>
      </c>
      <c r="AV2079" t="inlineStr">
        <is>
          <t>5</t>
        </is>
      </c>
      <c r="AW2079" t="inlineStr">
        <is>
          <t>0</t>
        </is>
      </c>
      <c r="AX2079" t="inlineStr">
        <is>
          <t>Not Qualified</t>
        </is>
      </c>
      <c r="AY2079" s="4"/>
      <c r="AZ2079"/>
      <c r="BA2079"/>
      <c r="BB2079"/>
      <c r="BC2079" t="inlineStr">
        <is>
          <t>called but no answered</t>
        </is>
      </c>
      <c r="BD2079" s="4">
        <v>46141.71450231481</v>
      </c>
      <c r="BE2079" t="inlineStr">
        <is>
          <t>paid</t>
        </is>
      </c>
      <c r="BF2079"/>
      <c r="BG2079" t="inlineStr">
        <is>
          <t>Reschedule</t>
        </is>
      </c>
      <c r="BH2079" t="inlineStr">
        <is>
          <t>Fauziah Maharan</t>
        </is>
      </c>
      <c r="BI2079" t="inlineStr">
        <is>
          <t>Accounting / Tax Services</t>
        </is>
      </c>
      <c r="BJ2079" s="4">
        <v>46144.75144675926</v>
      </c>
      <c r="BK2079" s="4">
        <v>45194.62619212963</v>
      </c>
      <c r="BL2079" t="inlineStr">
        <is>
          <t>7020.0</t>
        </is>
      </c>
      <c r="BM2079" t="inlineStr">
        <is>
          <t>0.0</t>
        </is>
      </c>
      <c r="BN2079" t="inlineStr">
        <is>
          <t>View Candidate Search Page</t>
        </is>
      </c>
      <c r="BO2079" s="4">
        <v>46132.559641203705</v>
      </c>
      <c r="BP2079">
        <v>166903</v>
      </c>
      <c r="BQ2079">
        <v>114235</v>
      </c>
      <c r="BR2079" t="inlineStr">
        <is>
          <t>Proforma</t>
        </is>
      </c>
      <c r="BS2079" t="inlineStr">
        <is>
          <t>A La Carte AI Job Ad Free</t>
        </is>
      </c>
      <c r="BT2079">
        <v>84735</v>
      </c>
      <c r="BU2079"/>
      <c r="BV2079">
        <v>2736112</v>
      </c>
      <c r="BW2079" t="inlineStr">
        <is>
          <t>No Answer : Voicemail - WA sent to customer</t>
        </is>
      </c>
      <c r="BX2079">
        <v>12</v>
      </c>
      <c r="BY2079">
        <v>0</v>
      </c>
      <c r="BZ2079" s="4">
        <v>46080.62331018518</v>
      </c>
      <c r="CA2079">
        <v>120</v>
      </c>
      <c r="CB2079">
        <v>51</v>
      </c>
      <c r="CC2079" s="4">
        <v>46105.46079861111</v>
      </c>
      <c r="CD2079" t="inlineStr">
        <is>
          <t>5</t>
        </is>
      </c>
      <c r="CE2079" t="inlineStr">
        <is>
          <t>0</t>
        </is>
      </c>
      <c r="CF2079" t="inlineStr">
        <is>
          <t>Q2-W02</t>
        </is>
      </c>
      <c r="CG2079" t="inlineStr">
        <is>
          <t>Q1-W03</t>
        </is>
      </c>
      <c r="CH2079"/>
      <c r="CI2079"/>
      <c r="CJ2079" t="inlineStr">
        <is>
          <t>Paid</t>
        </is>
      </c>
      <c r="CK2079" t="inlineStr">
        <is>
          <t>Eligible</t>
        </is>
      </c>
      <c r="CL2079"/>
      <c r="CM2079"/>
    </row>
    <row r="2080" ht="25.5" customHeight="1">
      <c r="A2080" t="inlineStr">
        <is>
          <t>196952</t>
        </is>
      </c>
      <c r="B2080" s="2"/>
      <c r="C2080"/>
      <c r="D2080" s="3">
        <v>46126.47707175926</v>
      </c>
      <c r="E2080" t="inlineStr">
        <is>
          <t>Q2-W02</t>
        </is>
      </c>
      <c r="F2080" t="inlineStr">
        <is>
          <t>Josh</t>
        </is>
      </c>
      <c r="G2080" t="inlineStr">
        <is>
          <t>Customer</t>
        </is>
      </c>
      <c r="H2080" s="2" t="str">
        <f>=HYPERLINK("https://upbox.ajobthing.my/customer/196952", "https://upbox.ajobthing.my/customer/196952")</f>
        <v>https://upbox.ajobthing.my/customer/196952</v>
      </c>
      <c r="I2080" t="inlineStr">
        <is>
          <t>Kus Building Supplies Sdn Bhd</t>
        </is>
      </c>
      <c r="J2080" t="inlineStr">
        <is>
          <t>Whale</t>
        </is>
      </c>
      <c r="K2080" t="inlineStr">
        <is>
          <t>Josh</t>
        </is>
      </c>
      <c r="L2080" s="4"/>
      <c r="M2080" s="4">
        <v>46126.47615740741</v>
      </c>
      <c r="N2080"/>
      <c r="O2080">
        <v>6048</v>
      </c>
      <c r="P2080" s="4"/>
      <c r="Q2080" s="4"/>
      <c r="R2080"/>
      <c r="S2080"/>
      <c r="T2080" s="4"/>
      <c r="U2080" s="4"/>
      <c r="V2080"/>
      <c r="W2080"/>
      <c r="X2080"/>
      <c r="Y2080" t="inlineStr">
        <is>
          <t>Pending Appointment</t>
        </is>
      </c>
      <c r="Z2080" t="inlineStr">
        <is>
          <t>Hiring Later</t>
        </is>
      </c>
      <c r="AA2080">
        <v>1</v>
      </c>
      <c r="AB2080" t="inlineStr">
        <is>
          <t>No Appointment Made</t>
        </is>
      </c>
      <c r="AC2080"/>
      <c r="AD2080" t="inlineStr">
        <is>
          <t>1 sales</t>
        </is>
      </c>
      <c r="AE2080"/>
      <c r="AF2080">
        <v>3000</v>
      </c>
      <c r="AG2080" s="4"/>
      <c r="AH2080" s="4"/>
      <c r="AI2080"/>
      <c r="AJ2080"/>
      <c r="AK2080" t="inlineStr">
        <is>
          <t>Yes, I have</t>
        </is>
      </c>
      <c r="AL2080">
        <v>1</v>
      </c>
      <c r="AM2080"/>
      <c r="AN2080"/>
      <c r="AO2080"/>
      <c r="AP2080" t="inlineStr">
        <is>
          <t>Once a year (25%)</t>
        </is>
      </c>
      <c r="AQ2080"/>
      <c r="AR2080"/>
      <c r="AS2080" t="inlineStr">
        <is>
          <t>- Headcount: 1
- Hiring Job Details: 1 sales
- Hiring Urgency: Hiring Later
- Number of outlets: Not available
- Have recruiter team: Yes
- Number of recruiter in company: 1
- Have ATS system: Not available
- Have career website: Not available
- Current hiring budget: RM3,000.00
- Whole year budget: Not available
- Whole year number of vacancies: Not available
- Hiring frequency: Once a year (25%)
- External job portal: Not available</t>
        </is>
      </c>
      <c r="AT2080">
        <v>90</v>
      </c>
      <c r="AU2080" t="inlineStr">
        <is>
          <t>0.90</t>
        </is>
      </c>
      <c r="AV2080" t="inlineStr">
        <is>
          <t>15</t>
        </is>
      </c>
      <c r="AW2080" t="inlineStr">
        <is>
          <t>0</t>
        </is>
      </c>
      <c r="AX2080" t="inlineStr">
        <is>
          <t>Not Qualified</t>
        </is>
      </c>
      <c r="AY2080" s="4"/>
      <c r="AZ2080"/>
      <c r="BA2080"/>
      <c r="BB2080"/>
      <c r="BC2080" t="inlineStr">
        <is>
          <t>- Headcount: 1
- Hiring Job Details: 1 sales
- Hiring Urgency: Hiring Later
- Number of outlets: Not available
- Have recruiter team: Yes
- Number of recruiter in company: 1
- Have ATS system: Not available
- Have career website: Not available
- Current hiring budget: RM3,000.00
- Whole year budget: Not available
- Whole year number of vacancies: Not available
- Hiring frequency: Once a year (25%)
- External job portal: Not available</t>
        </is>
      </c>
      <c r="BD2080" s="4">
        <v>46126.50003472222</v>
      </c>
      <c r="BE2080"/>
      <c r="BF2080"/>
      <c r="BG2080" t="inlineStr">
        <is>
          <t>Reschedule</t>
        </is>
      </c>
      <c r="BH2080" t="inlineStr">
        <is>
          <t>Fauziah Maharan</t>
        </is>
      </c>
      <c r="BI2080"/>
      <c r="BJ2080" s="4">
        <v>46144.752858796295</v>
      </c>
      <c r="BK2080" s="4">
        <v>45937.447916666664</v>
      </c>
      <c r="BL2080" t="inlineStr">
        <is>
          <t>0.0</t>
        </is>
      </c>
      <c r="BM2080" t="inlineStr">
        <is>
          <t>5400.0</t>
        </is>
      </c>
      <c r="BN2080" t="inlineStr">
        <is>
          <t>View Company Page</t>
        </is>
      </c>
      <c r="BO2080" s="4">
        <v>45937.650868055556</v>
      </c>
      <c r="BP2080">
        <v>166908</v>
      </c>
      <c r="BQ2080"/>
      <c r="BR2080"/>
      <c r="BS2080"/>
      <c r="BT2080"/>
      <c r="BU2080"/>
      <c r="BV2080">
        <v>2703219</v>
      </c>
      <c r="BW2080" t="inlineStr">
        <is>
          <t>Customer Inquiry</t>
        </is>
      </c>
      <c r="BX2080"/>
      <c r="BY2080"/>
      <c r="BZ2080" s="4"/>
      <c r="CA2080"/>
      <c r="CB2080"/>
      <c r="CC2080" s="4"/>
      <c r="CD2080" t="inlineStr">
        <is>
          <t>20</t>
        </is>
      </c>
      <c r="CE2080" t="inlineStr">
        <is>
          <t>0</t>
        </is>
      </c>
      <c r="CF2080" t="inlineStr">
        <is>
          <t>Q2-W02</t>
        </is>
      </c>
      <c r="CG2080"/>
      <c r="CH2080"/>
      <c r="CI2080"/>
      <c r="CJ2080" t="inlineStr">
        <is>
          <t>No Paid</t>
        </is>
      </c>
      <c r="CK2080" t="inlineStr">
        <is>
          <t>Eligible</t>
        </is>
      </c>
      <c r="CL2080"/>
      <c r="CM2080"/>
    </row>
    <row r="2081" ht="25.5" customHeight="1">
      <c r="A2081" t="inlineStr">
        <is>
          <t>194071</t>
        </is>
      </c>
      <c r="B2081" s="2"/>
      <c r="C2081"/>
      <c r="D2081" s="3">
        <v>46126.48039351852</v>
      </c>
      <c r="E2081" t="inlineStr">
        <is>
          <t>Q2-W02</t>
        </is>
      </c>
      <c r="F2081" t="inlineStr">
        <is>
          <t>Alan KY</t>
        </is>
      </c>
      <c r="G2081" t="inlineStr">
        <is>
          <t>Customer</t>
        </is>
      </c>
      <c r="H2081" s="2" t="str">
        <f>=HYPERLINK("https://upbox.ajobthing.my/customer/194071", "https://upbox.ajobthing.my/customer/194071")</f>
        <v>https://upbox.ajobthing.my/customer/194071</v>
      </c>
      <c r="I2081" t="inlineStr">
        <is>
          <t>Iklim Hardware &amp; Machinery Sdn Bhd</t>
        </is>
      </c>
      <c r="J2081" t="inlineStr">
        <is>
          <t>Whale</t>
        </is>
      </c>
      <c r="K2081" t="inlineStr">
        <is>
          <t>Alan KY</t>
        </is>
      </c>
      <c r="L2081" s="4"/>
      <c r="M2081" s="4">
        <v>46126.47922453703</v>
      </c>
      <c r="N2081"/>
      <c r="O2081">
        <v>12960</v>
      </c>
      <c r="P2081" s="4"/>
      <c r="Q2081" s="4">
        <v>45862.435219907406</v>
      </c>
      <c r="R2081"/>
      <c r="S2081">
        <v>3348</v>
      </c>
      <c r="T2081" s="4">
        <v>45862.435219907406</v>
      </c>
      <c r="U2081" s="4"/>
      <c r="V2081"/>
      <c r="W2081">
        <v>3348</v>
      </c>
      <c r="X2081"/>
      <c r="Y2081" t="inlineStr">
        <is>
          <t>Pending Appointment</t>
        </is>
      </c>
      <c r="Z2081" t="inlineStr">
        <is>
          <t>Hiring Now</t>
        </is>
      </c>
      <c r="AA2081">
        <v>3</v>
      </c>
      <c r="AB2081" t="inlineStr">
        <is>
          <t>No Appointment Made</t>
        </is>
      </c>
      <c r="AC2081"/>
      <c r="AD2081" t="inlineStr">
        <is>
          <t xml:space="preserve">Renewal : 1 sales coordinator, 2 sales rep. Upcoming might on going hire </t>
        </is>
      </c>
      <c r="AE2081"/>
      <c r="AF2081"/>
      <c r="AG2081" s="4"/>
      <c r="AH2081" s="4"/>
      <c r="AI2081"/>
      <c r="AJ2081"/>
      <c r="AK2081" t="inlineStr">
        <is>
          <t>No, I don't need at all</t>
        </is>
      </c>
      <c r="AL2081"/>
      <c r="AM2081" t="inlineStr">
        <is>
          <t>No, I don't need at all</t>
        </is>
      </c>
      <c r="AN2081"/>
      <c r="AO2081" t="inlineStr">
        <is>
          <t>No, I don't need at all</t>
        </is>
      </c>
      <c r="AP2081" t="inlineStr">
        <is>
          <t>Once per quarter (75%)</t>
        </is>
      </c>
      <c r="AQ2081"/>
      <c r="AR2081" t="inlineStr">
        <is>
          <t>Jobstreet</t>
        </is>
      </c>
      <c r="AS2081" t="inlineStr">
        <is>
          <t>- Headcount: 3
- Hiring Job Details: Renewal: 1 sales coordinator, 2 sales rep; upcoming possible ongoing hire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is>
      </c>
      <c r="AT2081">
        <v>95</v>
      </c>
      <c r="AU2081" t="inlineStr">
        <is>
          <t>0.95</t>
        </is>
      </c>
      <c r="AV2081" t="inlineStr">
        <is>
          <t>5</t>
        </is>
      </c>
      <c r="AW2081" t="inlineStr">
        <is>
          <t>0</t>
        </is>
      </c>
      <c r="AX2081" t="inlineStr">
        <is>
          <t>Not Qualified</t>
        </is>
      </c>
      <c r="AY2081" s="4"/>
      <c r="AZ2081"/>
      <c r="BA2081"/>
      <c r="BB2081"/>
      <c r="BC2081" t="inlineStr">
        <is>
          <t>Budget concern, will use what they have now first. Bad macroeconomic nowadays, shipment always delay. Will take precaution on company directon</t>
        </is>
      </c>
      <c r="BD2081" s="4">
        <v>46128.63101851852</v>
      </c>
      <c r="BE2081" t="inlineStr">
        <is>
          <t>paid</t>
        </is>
      </c>
      <c r="BF2081"/>
      <c r="BG2081" t="inlineStr">
        <is>
          <t>Reschedule</t>
        </is>
      </c>
      <c r="BH2081" t="inlineStr">
        <is>
          <t>Reagen</t>
        </is>
      </c>
      <c r="BI2081" t="inlineStr">
        <is>
          <t>Heavy Industrial / Machinery</t>
        </is>
      </c>
      <c r="BJ2081" s="4">
        <v>46144.75267361111</v>
      </c>
      <c r="BK2081" s="4">
        <v>45860.46052083333</v>
      </c>
      <c r="BL2081" t="inlineStr">
        <is>
          <t>3348.0</t>
        </is>
      </c>
      <c r="BM2081" t="inlineStr">
        <is>
          <t>4800.0</t>
        </is>
      </c>
      <c r="BN2081" t="inlineStr">
        <is>
          <t>View Company Page</t>
        </is>
      </c>
      <c r="BO2081" s="4">
        <v>46135.3912037037</v>
      </c>
      <c r="BP2081">
        <v>166912</v>
      </c>
      <c r="BQ2081">
        <v>80994</v>
      </c>
      <c r="BR2081" t="inlineStr">
        <is>
          <t>Online</t>
        </is>
      </c>
      <c r="BS2081"/>
      <c r="BT2081">
        <v>80994</v>
      </c>
      <c r="BU2081"/>
      <c r="BV2081">
        <v>2709674</v>
      </c>
      <c r="BW2081" t="inlineStr">
        <is>
          <t>Follow Up : Budget Concern</t>
        </is>
      </c>
      <c r="BX2081">
        <v>6</v>
      </c>
      <c r="BY2081">
        <v>1</v>
      </c>
      <c r="BZ2081" s="4">
        <v>46126.57363425926</v>
      </c>
      <c r="CA2081">
        <v>60</v>
      </c>
      <c r="CB2081">
        <v>-22</v>
      </c>
      <c r="CC2081" s="4">
        <v>46121.68035879629</v>
      </c>
      <c r="CD2081" t="inlineStr">
        <is>
          <t>5</t>
        </is>
      </c>
      <c r="CE2081" t="inlineStr">
        <is>
          <t>0</t>
        </is>
      </c>
      <c r="CF2081" t="inlineStr">
        <is>
          <t>Q2-W02</t>
        </is>
      </c>
      <c r="CG2081"/>
      <c r="CH2081"/>
      <c r="CI2081"/>
      <c r="CJ2081" t="inlineStr">
        <is>
          <t>Paid</t>
        </is>
      </c>
      <c r="CK2081" t="inlineStr">
        <is>
          <t>Eligible</t>
        </is>
      </c>
      <c r="CL2081"/>
      <c r="CM2081"/>
    </row>
    <row r="2082" ht="25.5" customHeight="1">
      <c r="A2082" t="inlineStr">
        <is>
          <t>198158</t>
        </is>
      </c>
      <c r="B2082" s="2"/>
      <c r="C2082"/>
      <c r="D2082" s="3">
        <v>46126.48987268518</v>
      </c>
      <c r="E2082" t="inlineStr">
        <is>
          <t>Q2-W02</t>
        </is>
      </c>
      <c r="F2082" t="inlineStr">
        <is>
          <t>Josh</t>
        </is>
      </c>
      <c r="G2082" t="inlineStr">
        <is>
          <t>Customer</t>
        </is>
      </c>
      <c r="H2082" s="2" t="str">
        <f>=HYPERLINK("https://upbox.ajobthing.my/customer/198158", "https://upbox.ajobthing.my/customer/198158")</f>
        <v>https://upbox.ajobthing.my/customer/198158</v>
      </c>
      <c r="I2082" t="inlineStr">
        <is>
          <t xml:space="preserve">KAPENU (PENANG-KL) TRANSPORT HOLDINGS SDN BHD </t>
        </is>
      </c>
      <c r="J2082" t="inlineStr">
        <is>
          <t>Whale</t>
        </is>
      </c>
      <c r="K2082" t="inlineStr">
        <is>
          <t>Josh</t>
        </is>
      </c>
      <c r="L2082" s="4"/>
      <c r="M2082" s="4">
        <v>46126.49087962963</v>
      </c>
      <c r="N2082"/>
      <c r="O2082">
        <v>6048</v>
      </c>
      <c r="P2082" s="4"/>
      <c r="Q2082" s="4"/>
      <c r="R2082"/>
      <c r="S2082"/>
      <c r="T2082" s="4"/>
      <c r="U2082" s="4"/>
      <c r="V2082"/>
      <c r="W2082"/>
      <c r="X2082"/>
      <c r="Y2082" t="inlineStr">
        <is>
          <t>Pending Appointment</t>
        </is>
      </c>
      <c r="Z2082" t="inlineStr">
        <is>
          <t>Hiring Later</t>
        </is>
      </c>
      <c r="AA2082">
        <v>1</v>
      </c>
      <c r="AB2082" t="inlineStr">
        <is>
          <t>No Appointment Made</t>
        </is>
      </c>
      <c r="AC2082"/>
      <c r="AD2082" t="inlineStr">
        <is>
          <t xml:space="preserve">1 driver </t>
        </is>
      </c>
      <c r="AE2082"/>
      <c r="AF2082">
        <v>3000</v>
      </c>
      <c r="AG2082" s="4"/>
      <c r="AH2082" s="4"/>
      <c r="AI2082"/>
      <c r="AJ2082"/>
      <c r="AK2082" t="inlineStr">
        <is>
          <t>Yes, I have</t>
        </is>
      </c>
      <c r="AL2082">
        <v>1</v>
      </c>
      <c r="AM2082"/>
      <c r="AN2082"/>
      <c r="AO2082"/>
      <c r="AP2082" t="inlineStr">
        <is>
          <t>Once a year (25%)</t>
        </is>
      </c>
      <c r="AQ2082"/>
      <c r="AR2082"/>
      <c r="AS2082" t="inlineStr">
        <is>
          <t>- Headcount: 1
- Hiring Job Details: 1 driver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AT2082">
        <v>75</v>
      </c>
      <c r="AU2082" t="inlineStr">
        <is>
          <t>0.75</t>
        </is>
      </c>
      <c r="AV2082" t="inlineStr">
        <is>
          <t>15</t>
        </is>
      </c>
      <c r="AW2082" t="inlineStr">
        <is>
          <t>0</t>
        </is>
      </c>
      <c r="AX2082" t="inlineStr">
        <is>
          <t>Not Qualified</t>
        </is>
      </c>
      <c r="AY2082" s="4"/>
      <c r="AZ2082"/>
      <c r="BA2082"/>
      <c r="BB2082"/>
      <c r="BC2082" t="inlineStr">
        <is>
          <t>- Headcount: 1
- Hiring Job Details: 1 driver
- Hiring Urgency: Hiring Later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BD2082" s="4">
        <v>46126.50003472222</v>
      </c>
      <c r="BE2082"/>
      <c r="BF2082"/>
      <c r="BG2082" t="inlineStr">
        <is>
          <t>Reschedule</t>
        </is>
      </c>
      <c r="BH2082" t="inlineStr">
        <is>
          <t>Fauziah Maharan</t>
        </is>
      </c>
      <c r="BI2082"/>
      <c r="BJ2082" s="4">
        <v>46144.752974537034</v>
      </c>
      <c r="BK2082" s="4">
        <v>45973.44744212963</v>
      </c>
      <c r="BL2082" t="inlineStr">
        <is>
          <t>0.0</t>
        </is>
      </c>
      <c r="BM2082" t="inlineStr">
        <is>
          <t>0.0</t>
        </is>
      </c>
      <c r="BN2082" t="inlineStr">
        <is>
          <t>View Company Page</t>
        </is>
      </c>
      <c r="BO2082" s="4">
        <v>45981.73537037037</v>
      </c>
      <c r="BP2082">
        <v>166918</v>
      </c>
      <c r="BQ2082"/>
      <c r="BR2082"/>
      <c r="BS2082"/>
      <c r="BT2082"/>
      <c r="BU2082"/>
      <c r="BV2082">
        <v>2703224</v>
      </c>
      <c r="BW2082" t="inlineStr">
        <is>
          <t>Customer Inquiry</t>
        </is>
      </c>
      <c r="BX2082"/>
      <c r="BY2082"/>
      <c r="BZ2082" s="4"/>
      <c r="CA2082"/>
      <c r="CB2082"/>
      <c r="CC2082" s="4"/>
      <c r="CD2082" t="inlineStr">
        <is>
          <t>20</t>
        </is>
      </c>
      <c r="CE2082" t="inlineStr">
        <is>
          <t>0</t>
        </is>
      </c>
      <c r="CF2082" t="inlineStr">
        <is>
          <t>Q2-W02</t>
        </is>
      </c>
      <c r="CG2082"/>
      <c r="CH2082"/>
      <c r="CI2082"/>
      <c r="CJ2082" t="inlineStr">
        <is>
          <t>No Paid</t>
        </is>
      </c>
      <c r="CK2082" t="inlineStr">
        <is>
          <t>Eligible</t>
        </is>
      </c>
      <c r="CL2082"/>
      <c r="CM2082"/>
    </row>
    <row r="2083" ht="25.5" customHeight="1">
      <c r="A2083" t="inlineStr">
        <is>
          <t>195672</t>
        </is>
      </c>
      <c r="B2083" s="2"/>
      <c r="C2083"/>
      <c r="D2083" s="3">
        <v>46126.51363425926</v>
      </c>
      <c r="E2083" t="inlineStr">
        <is>
          <t>Q2-W02</t>
        </is>
      </c>
      <c r="F2083" t="inlineStr">
        <is>
          <t>Alex Chan</t>
        </is>
      </c>
      <c r="G2083" t="inlineStr">
        <is>
          <t>Customer</t>
        </is>
      </c>
      <c r="H2083" s="2" t="str">
        <f>=HYPERLINK("https://upbox.ajobthing.my/customer/195672", "https://upbox.ajobthing.my/customer/195672")</f>
        <v>https://upbox.ajobthing.my/customer/195672</v>
      </c>
      <c r="I2083" t="inlineStr">
        <is>
          <t>Sj Classic Industries Sdnbhd</t>
        </is>
      </c>
      <c r="J2083" t="inlineStr">
        <is>
          <t>Whale</t>
        </is>
      </c>
      <c r="K2083" t="inlineStr">
        <is>
          <t>Alex Chan</t>
        </is>
      </c>
      <c r="L2083" s="4"/>
      <c r="M2083" s="4">
        <v>46111.52042824074</v>
      </c>
      <c r="N2083"/>
      <c r="O2083">
        <v>3888</v>
      </c>
      <c r="P2083" s="4"/>
      <c r="Q2083" s="4">
        <v>46129.821377314816</v>
      </c>
      <c r="R2083"/>
      <c r="S2083">
        <v>5832</v>
      </c>
      <c r="T2083" s="4">
        <v>46129.821377314816</v>
      </c>
      <c r="U2083" s="4"/>
      <c r="V2083"/>
      <c r="W2083">
        <v>5832</v>
      </c>
      <c r="X2083"/>
      <c r="Y2083" t="inlineStr">
        <is>
          <t>Pending Appointment</t>
        </is>
      </c>
      <c r="Z2083" t="inlineStr">
        <is>
          <t>Hiring Now</t>
        </is>
      </c>
      <c r="AA2083">
        <v>1</v>
      </c>
      <c r="AB2083" t="inlineStr">
        <is>
          <t>No Appointment Made</t>
        </is>
      </c>
      <c r="AC2083"/>
      <c r="AD2083" t="inlineStr">
        <is>
          <t xml:space="preserve"> 1x Admin</t>
        </is>
      </c>
      <c r="AE2083"/>
      <c r="AF2083">
        <v>5000</v>
      </c>
      <c r="AG2083" s="4"/>
      <c r="AH2083" s="4"/>
      <c r="AI2083">
        <v>5000</v>
      </c>
      <c r="AJ2083">
        <v>1</v>
      </c>
      <c r="AK2083" t="inlineStr">
        <is>
          <t>No, I don't need at all</t>
        </is>
      </c>
      <c r="AL2083">
        <v>1</v>
      </c>
      <c r="AM2083" t="inlineStr">
        <is>
          <t>No, I don't need at all</t>
        </is>
      </c>
      <c r="AN2083"/>
      <c r="AO2083" t="inlineStr">
        <is>
          <t>No, I don't need at all</t>
        </is>
      </c>
      <c r="AP2083" t="inlineStr">
        <is>
          <t>Once per quarter (75%)</t>
        </is>
      </c>
      <c r="AQ2083">
        <v>1</v>
      </c>
      <c r="AR2083" t="inlineStr">
        <is>
          <t>Free Job Portal</t>
        </is>
      </c>
      <c r="AS2083" t="inlineStr">
        <is>
          <t>- Headcount: 1
- Hiring Job Details: 1x Admin
- Hiring Urgency: Hiring Now
- Number of outlets: 1
- Have recruiter team: No, I don't need at all
- Number of recruiter in company: 1
- Have ATS system: No, I don't need at all
- Have career website: No, I don't need at all
- Current hiring budget: RM5,000
- Whole year budget: RM5,000.00
- Whole year number of vacancies: 1
- Hiring frequency: Once per quarter (75%)
- External job portal: Free Job Portal</t>
        </is>
      </c>
      <c r="AT2083">
        <v>115</v>
      </c>
      <c r="AU2083" t="inlineStr">
        <is>
          <t>1.15</t>
        </is>
      </c>
      <c r="AV2083" t="inlineStr">
        <is>
          <t>15</t>
        </is>
      </c>
      <c r="AW2083" t="inlineStr">
        <is>
          <t>0</t>
        </is>
      </c>
      <c r="AX2083" t="inlineStr">
        <is>
          <t>Not Qualified</t>
        </is>
      </c>
      <c r="AY2083" s="4"/>
      <c r="AZ2083"/>
      <c r="BA2083"/>
      <c r="BB2083"/>
      <c r="BC2083" t="inlineStr">
        <is>
          <t>Called Sandy, dropped intro WA</t>
        </is>
      </c>
      <c r="BD2083" s="4">
        <v>46141.664456018516</v>
      </c>
      <c r="BE2083" t="inlineStr">
        <is>
          <t>paid</t>
        </is>
      </c>
      <c r="BF2083" t="inlineStr">
        <is>
          <t>Q2-W03</t>
        </is>
      </c>
      <c r="BG2083" t="inlineStr">
        <is>
          <t>Reschedule</t>
        </is>
      </c>
      <c r="BH2083" t="inlineStr">
        <is>
          <t>Reagen</t>
        </is>
      </c>
      <c r="BI2083" t="inlineStr">
        <is>
          <t>Manufacturing / Production</t>
        </is>
      </c>
      <c r="BJ2083" s="4">
        <v>46144.75278935185</v>
      </c>
      <c r="BK2083" s="4">
        <v>45902.67697916667</v>
      </c>
      <c r="BL2083" t="inlineStr">
        <is>
          <t>5832.0</t>
        </is>
      </c>
      <c r="BM2083" t="inlineStr">
        <is>
          <t>3000.0</t>
        </is>
      </c>
      <c r="BN2083" t="inlineStr">
        <is>
          <t>PA Visit - Job Card</t>
        </is>
      </c>
      <c r="BO2083" s="4">
        <v>46139.48416666667</v>
      </c>
      <c r="BP2083">
        <v>164201</v>
      </c>
      <c r="BQ2083">
        <v>94159</v>
      </c>
      <c r="BR2083" t="inlineStr">
        <is>
          <t>Online</t>
        </is>
      </c>
      <c r="BS2083"/>
      <c r="BT2083">
        <v>94159</v>
      </c>
      <c r="BU2083"/>
      <c r="BV2083">
        <v>2735763</v>
      </c>
      <c r="BW2083" t="inlineStr">
        <is>
          <t>Service / Technical : Job Outcome Enquiry</t>
        </is>
      </c>
      <c r="BX2083">
        <v>16</v>
      </c>
      <c r="BY2083">
        <v>14</v>
      </c>
      <c r="BZ2083" s="4">
        <v>46137.45125</v>
      </c>
      <c r="CA2083">
        <v>173</v>
      </c>
      <c r="CB2083">
        <v>173</v>
      </c>
      <c r="CC2083" s="4"/>
      <c r="CD2083" t="inlineStr">
        <is>
          <t>20</t>
        </is>
      </c>
      <c r="CE2083" t="inlineStr">
        <is>
          <t>0</t>
        </is>
      </c>
      <c r="CF2083" t="inlineStr">
        <is>
          <t>Q1-W13</t>
        </is>
      </c>
      <c r="CG2083" t="inlineStr">
        <is>
          <t>Q2-W03</t>
        </is>
      </c>
      <c r="CH2083" t="inlineStr">
        <is>
          <t>Q2-W03</t>
        </is>
      </c>
      <c r="CI2083"/>
      <c r="CJ2083" t="inlineStr">
        <is>
          <t>Paid</t>
        </is>
      </c>
      <c r="CK2083" t="inlineStr">
        <is>
          <t>Eligible</t>
        </is>
      </c>
      <c r="CL2083"/>
      <c r="CM2083"/>
    </row>
    <row r="2084" ht="25.5" customHeight="1">
      <c r="A2084" t="inlineStr">
        <is>
          <t>187571</t>
        </is>
      </c>
      <c r="B2084" s="2"/>
      <c r="C2084"/>
      <c r="D2084" s="3">
        <v>46126.51918981481</v>
      </c>
      <c r="E2084" t="inlineStr">
        <is>
          <t>Q2-W02</t>
        </is>
      </c>
      <c r="F2084" t="inlineStr">
        <is>
          <t>Alex Chan</t>
        </is>
      </c>
      <c r="G2084" t="inlineStr">
        <is>
          <t>Customer</t>
        </is>
      </c>
      <c r="H2084" s="2" t="str">
        <f>=HYPERLINK("https://upbox.ajobthing.my/customer/187571", "https://upbox.ajobthing.my/customer/187571")</f>
        <v>https://upbox.ajobthing.my/customer/187571</v>
      </c>
      <c r="I2084" t="inlineStr">
        <is>
          <t>Aisin Asia Sales Malaysia Sdn Bhd</t>
        </is>
      </c>
      <c r="J2084" t="inlineStr">
        <is>
          <t>Whale</t>
        </is>
      </c>
      <c r="K2084" t="inlineStr">
        <is>
          <t>Alex Chan</t>
        </is>
      </c>
      <c r="L2084" s="4"/>
      <c r="M2084" s="4">
        <v>46135.38270833333</v>
      </c>
      <c r="N2084"/>
      <c r="O2084">
        <v>3888</v>
      </c>
      <c r="P2084" s="4"/>
      <c r="Q2084" s="4">
        <v>46141.45483796296</v>
      </c>
      <c r="R2084"/>
      <c r="S2084">
        <v>3888</v>
      </c>
      <c r="T2084" s="4">
        <v>46133.757152777776</v>
      </c>
      <c r="U2084" s="4"/>
      <c r="V2084"/>
      <c r="W2084">
        <v>864</v>
      </c>
      <c r="X2084"/>
      <c r="Y2084" t="inlineStr">
        <is>
          <t>Pending Appointment</t>
        </is>
      </c>
      <c r="Z2084" t="inlineStr">
        <is>
          <t>Hiring Now</t>
        </is>
      </c>
      <c r="AA2084">
        <v>1</v>
      </c>
      <c r="AB2084" t="inlineStr">
        <is>
          <t>No Appointment Made</t>
        </is>
      </c>
      <c r="AC2084"/>
      <c r="AD2084" t="inlineStr">
        <is>
          <t>1x BD</t>
        </is>
      </c>
      <c r="AE2084"/>
      <c r="AF2084">
        <v>800</v>
      </c>
      <c r="AG2084" s="4"/>
      <c r="AH2084" s="4"/>
      <c r="AI2084">
        <v>1</v>
      </c>
      <c r="AJ2084">
        <v>1</v>
      </c>
      <c r="AK2084" t="inlineStr">
        <is>
          <t>No, I don't need at all</t>
        </is>
      </c>
      <c r="AL2084">
        <v>1</v>
      </c>
      <c r="AM2084" t="inlineStr">
        <is>
          <t>No, I don't need at all</t>
        </is>
      </c>
      <c r="AN2084"/>
      <c r="AO2084" t="inlineStr">
        <is>
          <t>No, I don't need at all</t>
        </is>
      </c>
      <c r="AP2084" t="inlineStr">
        <is>
          <t>Once a year (25%)</t>
        </is>
      </c>
      <c r="AQ2084">
        <v>1</v>
      </c>
      <c r="AR2084" t="inlineStr">
        <is>
          <t>Did not use any job portal</t>
        </is>
      </c>
      <c r="AS2084" t="inlineStr">
        <is>
          <t>- Headcount: 1
- Hiring Job Details: 1x BD
- Hiring Urgency: Hiring Now
- Number of outlets: 1
- Have recruiter team: No, I don't need at all
- Number of recruiter in company: 1
- Have ATS system: No, I don't need at all
- Have career website: No, I don't need at all
- Current hiring budget: RM800.00
- Whole year budget: RM1.00
- Whole year number of vacancies: 1
- Hiring frequency: Once a year (25%)
- External job portal: Did not use any job portal</t>
        </is>
      </c>
      <c r="AT2084">
        <v>110</v>
      </c>
      <c r="AU2084" t="inlineStr">
        <is>
          <t>1.10</t>
        </is>
      </c>
      <c r="AV2084" t="inlineStr">
        <is>
          <t>15</t>
        </is>
      </c>
      <c r="AW2084" t="inlineStr">
        <is>
          <t>0</t>
        </is>
      </c>
      <c r="AX2084" t="inlineStr">
        <is>
          <t>Not Qualified</t>
        </is>
      </c>
      <c r="AY2084" s="4"/>
      <c r="AZ2084"/>
      <c r="BA2084"/>
      <c r="BB2084"/>
      <c r="BC2084" t="inlineStr">
        <is>
          <t>assist use system</t>
        </is>
      </c>
      <c r="BD2084" s="4">
        <v>46136.71461805556</v>
      </c>
      <c r="BE2084" t="inlineStr">
        <is>
          <t>pending</t>
        </is>
      </c>
      <c r="BF2084" t="inlineStr">
        <is>
          <t>Q2-W03</t>
        </is>
      </c>
      <c r="BG2084" t="inlineStr">
        <is>
          <t>Reschedule</t>
        </is>
      </c>
      <c r="BH2084" t="inlineStr">
        <is>
          <t>Reagen</t>
        </is>
      </c>
      <c r="BI2084" t="inlineStr">
        <is>
          <t>Automobile / Automotive</t>
        </is>
      </c>
      <c r="BJ2084" s="4">
        <v>46144.752175925925</v>
      </c>
      <c r="BK2084" s="4">
        <v>45700.708032407405</v>
      </c>
      <c r="BL2084" t="inlineStr">
        <is>
          <t>1728.0</t>
        </is>
      </c>
      <c r="BM2084" t="inlineStr">
        <is>
          <t>4800.0</t>
        </is>
      </c>
      <c r="BN2084" t="inlineStr">
        <is>
          <t>User Visit(Logged In)</t>
        </is>
      </c>
      <c r="BO2084" s="4">
        <v>46143.15443287037</v>
      </c>
      <c r="BP2084">
        <v>168420</v>
      </c>
      <c r="BQ2084">
        <v>124034</v>
      </c>
      <c r="BR2084" t="inlineStr">
        <is>
          <t>Proforma</t>
        </is>
      </c>
      <c r="BS2084" t="inlineStr">
        <is>
          <t>AI Yearly Standard Plan (Jan 26)</t>
        </is>
      </c>
      <c r="BT2084">
        <v>94555</v>
      </c>
      <c r="BU2084"/>
      <c r="BV2084">
        <v>2727244</v>
      </c>
      <c r="BW2084" t="inlineStr">
        <is>
          <t>Service / Technical : Job Outcome Enquiry</t>
        </is>
      </c>
      <c r="BX2084">
        <v>2</v>
      </c>
      <c r="BY2084">
        <v>1</v>
      </c>
      <c r="BZ2084" s="4">
        <v>46134.402916666666</v>
      </c>
      <c r="CA2084">
        <v>10</v>
      </c>
      <c r="CB2084">
        <v>8</v>
      </c>
      <c r="CC2084" s="4">
        <v>46134.73920138889</v>
      </c>
      <c r="CD2084" t="inlineStr">
        <is>
          <t>20</t>
        </is>
      </c>
      <c r="CE2084" t="inlineStr">
        <is>
          <t>0</t>
        </is>
      </c>
      <c r="CF2084" t="inlineStr">
        <is>
          <t>Q2-W03</t>
        </is>
      </c>
      <c r="CG2084" t="inlineStr">
        <is>
          <t>Q2-W04</t>
        </is>
      </c>
      <c r="CH2084" t="inlineStr">
        <is>
          <t>Q2-W03</t>
        </is>
      </c>
      <c r="CI2084"/>
      <c r="CJ2084" t="inlineStr">
        <is>
          <t>Paid</t>
        </is>
      </c>
      <c r="CK2084" t="inlineStr">
        <is>
          <t>Eligible</t>
        </is>
      </c>
      <c r="CL2084"/>
      <c r="CM2084"/>
    </row>
    <row r="2085" ht="25.5" customHeight="1">
      <c r="A2085" t="inlineStr">
        <is>
          <t>171158</t>
        </is>
      </c>
      <c r="B2085" s="2"/>
      <c r="C2085"/>
      <c r="D2085" s="3">
        <v>46126.5649537037</v>
      </c>
      <c r="E2085" t="inlineStr">
        <is>
          <t>Q2-W02</t>
        </is>
      </c>
      <c r="F2085" t="inlineStr">
        <is>
          <t>Jia Hui</t>
        </is>
      </c>
      <c r="G2085" t="inlineStr">
        <is>
          <t>Customer</t>
        </is>
      </c>
      <c r="H2085" s="2" t="str">
        <f>=HYPERLINK("https://upbox.ajobthing.my/customer/171158", "https://upbox.ajobthing.my/customer/171158")</f>
        <v>https://upbox.ajobthing.my/customer/171158</v>
      </c>
      <c r="I2085" t="inlineStr">
        <is>
          <t>Hatten Asset Management Sdn Bhd</t>
        </is>
      </c>
      <c r="J2085" t="inlineStr">
        <is>
          <t>Whale</t>
        </is>
      </c>
      <c r="K2085" t="inlineStr">
        <is>
          <t>Jia Hui</t>
        </is>
      </c>
      <c r="L2085" s="4"/>
      <c r="M2085" s="4">
        <v>46126.48756944444</v>
      </c>
      <c r="N2085"/>
      <c r="O2085">
        <v>11448</v>
      </c>
      <c r="P2085" s="4"/>
      <c r="Q2085" s="4">
        <v>46119.7108912037</v>
      </c>
      <c r="R2085"/>
      <c r="S2085">
        <v>0</v>
      </c>
      <c r="T2085" s="4"/>
      <c r="U2085" s="4"/>
      <c r="V2085"/>
      <c r="W2085"/>
      <c r="X2085"/>
      <c r="Y2085" t="inlineStr">
        <is>
          <t>Pending Appointment</t>
        </is>
      </c>
      <c r="Z2085" t="inlineStr">
        <is>
          <t>Hiring Now</t>
        </is>
      </c>
      <c r="AA2085">
        <v>2</v>
      </c>
      <c r="AB2085" t="inlineStr">
        <is>
          <t>No Appointment Made</t>
        </is>
      </c>
      <c r="AC2085"/>
      <c r="AD2085" t="inlineStr">
        <is>
          <t xml:space="preserve">1 admin, 1 customer service </t>
        </is>
      </c>
      <c r="AE2085"/>
      <c r="AF2085">
        <v>500</v>
      </c>
      <c r="AG2085" s="4"/>
      <c r="AH2085" s="4"/>
      <c r="AI2085"/>
      <c r="AJ2085"/>
      <c r="AK2085" t="inlineStr">
        <is>
          <t>No, but I want in future</t>
        </is>
      </c>
      <c r="AL2085"/>
      <c r="AM2085"/>
      <c r="AN2085"/>
      <c r="AO2085"/>
      <c r="AP2085" t="inlineStr">
        <is>
          <t>Once a year (25%)</t>
        </is>
      </c>
      <c r="AQ2085"/>
      <c r="AR2085"/>
      <c r="AS2085" t="inlineStr">
        <is>
          <t>- Headcount: 2
- Hiring Job Details: 1 admin, 1 customer service
- Hiring Urgency: Hiring Now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is>
      </c>
      <c r="AT2085">
        <v>75</v>
      </c>
      <c r="AU2085" t="inlineStr">
        <is>
          <t>0.75</t>
        </is>
      </c>
      <c r="AV2085" t="inlineStr">
        <is>
          <t>15</t>
        </is>
      </c>
      <c r="AW2085" t="inlineStr">
        <is>
          <t>0</t>
        </is>
      </c>
      <c r="AX2085" t="inlineStr">
        <is>
          <t>Not Qualified</t>
        </is>
      </c>
      <c r="AY2085" s="4"/>
      <c r="AZ2085"/>
      <c r="BA2085"/>
      <c r="BB2085"/>
      <c r="BC2085" t="inlineStr">
        <is>
          <t>location base at melacca, usually hire for account admin and preschool teacher</t>
        </is>
      </c>
      <c r="BD2085" s="4">
        <v>46134.450949074075</v>
      </c>
      <c r="BE2085" t="inlineStr">
        <is>
          <t>paid</t>
        </is>
      </c>
      <c r="BF2085"/>
      <c r="BG2085" t="inlineStr">
        <is>
          <t>Reschedule</t>
        </is>
      </c>
      <c r="BH2085" t="inlineStr">
        <is>
          <t>Reagen</t>
        </is>
      </c>
      <c r="BI2085" t="inlineStr">
        <is>
          <t>Hotel / Hospitality</t>
        </is>
      </c>
      <c r="BJ2085" s="4">
        <v>46144.75142361111</v>
      </c>
      <c r="BK2085" s="4">
        <v>45188.41473379629</v>
      </c>
      <c r="BL2085" t="inlineStr">
        <is>
          <t>0.0</t>
        </is>
      </c>
      <c r="BM2085" t="inlineStr">
        <is>
          <t>9000.0</t>
        </is>
      </c>
      <c r="BN2085" t="inlineStr">
        <is>
          <t>View Jobmanager Page</t>
        </is>
      </c>
      <c r="BO2085" s="4">
        <v>45923.39641203704</v>
      </c>
      <c r="BP2085">
        <v>166917</v>
      </c>
      <c r="BQ2085">
        <v>120583</v>
      </c>
      <c r="BR2085" t="inlineStr">
        <is>
          <t>Proforma</t>
        </is>
      </c>
      <c r="BS2085" t="inlineStr">
        <is>
          <t>Free Internship Job</t>
        </is>
      </c>
      <c r="BT2085"/>
      <c r="BU2085"/>
      <c r="BV2085">
        <v>2719810</v>
      </c>
      <c r="BW2085" t="inlineStr">
        <is>
          <t>Customer Inquiry</t>
        </is>
      </c>
      <c r="BX2085"/>
      <c r="BY2085"/>
      <c r="BZ2085" s="4"/>
      <c r="CA2085"/>
      <c r="CB2085"/>
      <c r="CC2085" s="4"/>
      <c r="CD2085" t="inlineStr">
        <is>
          <t>20</t>
        </is>
      </c>
      <c r="CE2085" t="inlineStr">
        <is>
          <t>0</t>
        </is>
      </c>
      <c r="CF2085" t="inlineStr">
        <is>
          <t>Q2-W02</t>
        </is>
      </c>
      <c r="CG2085" t="inlineStr">
        <is>
          <t>Q2-W01</t>
        </is>
      </c>
      <c r="CH2085"/>
      <c r="CI2085"/>
      <c r="CJ2085" t="inlineStr">
        <is>
          <t>No Paid</t>
        </is>
      </c>
      <c r="CK2085" t="inlineStr">
        <is>
          <t>Eligible</t>
        </is>
      </c>
      <c r="CL2085"/>
      <c r="CM2085"/>
    </row>
    <row r="2086" ht="25.5" customHeight="1">
      <c r="A2086" t="inlineStr">
        <is>
          <t>58283</t>
        </is>
      </c>
      <c r="B2086" s="2"/>
      <c r="C2086"/>
      <c r="D2086" s="3">
        <v>46126.57444444444</v>
      </c>
      <c r="E2086" t="inlineStr">
        <is>
          <t>Q2-W02</t>
        </is>
      </c>
      <c r="F2086" t="inlineStr">
        <is>
          <t>Ratha</t>
        </is>
      </c>
      <c r="G2086" t="inlineStr">
        <is>
          <t>Customer</t>
        </is>
      </c>
      <c r="H2086" s="2" t="str">
        <f>=HYPERLINK("https://upbox.ajobthing.my/customer/58283", "https://upbox.ajobthing.my/customer/58283")</f>
        <v>https://upbox.ajobthing.my/customer/58283</v>
      </c>
      <c r="I2086" t="inlineStr">
        <is>
          <t>Song Song Frozen Food</t>
        </is>
      </c>
      <c r="J2086" t="inlineStr">
        <is>
          <t>Whale</t>
        </is>
      </c>
      <c r="K2086" t="inlineStr">
        <is>
          <t>Ratha</t>
        </is>
      </c>
      <c r="L2086" s="4"/>
      <c r="M2086" s="4">
        <v>46126.57680555555</v>
      </c>
      <c r="N2086"/>
      <c r="O2086">
        <v>8208</v>
      </c>
      <c r="P2086" s="4"/>
      <c r="Q2086" s="4">
        <v>46133.457719907405</v>
      </c>
      <c r="R2086"/>
      <c r="S2086">
        <v>3888</v>
      </c>
      <c r="T2086" s="4">
        <v>46133.457719907405</v>
      </c>
      <c r="U2086" s="4"/>
      <c r="V2086"/>
      <c r="W2086">
        <v>3888</v>
      </c>
      <c r="X2086"/>
      <c r="Y2086" t="inlineStr">
        <is>
          <t>Pending Appointment</t>
        </is>
      </c>
      <c r="Z2086" t="inlineStr">
        <is>
          <t>Continuous Hiring</t>
        </is>
      </c>
      <c r="AA2086">
        <v>3</v>
      </c>
      <c r="AB2086" t="inlineStr">
        <is>
          <t>No Appointment Made</t>
        </is>
      </c>
      <c r="AC2086"/>
      <c r="AD2086" t="inlineStr">
        <is>
          <t>Sales / Admin/ Retal
Location : Penang
Headcounts : Frequent</t>
        </is>
      </c>
      <c r="AE2086"/>
      <c r="AF2086"/>
      <c r="AG2086" s="4"/>
      <c r="AH2086" s="4"/>
      <c r="AI2086">
        <v>0</v>
      </c>
      <c r="AJ2086">
        <v>2</v>
      </c>
      <c r="AK2086" t="inlineStr">
        <is>
          <t>Yes, I have</t>
        </is>
      </c>
      <c r="AL2086">
        <v>2</v>
      </c>
      <c r="AM2086" t="inlineStr">
        <is>
          <t>No, I don't need at all</t>
        </is>
      </c>
      <c r="AN2086"/>
      <c r="AO2086" t="inlineStr">
        <is>
          <t>No, I don't need at all</t>
        </is>
      </c>
      <c r="AP2086" t="inlineStr">
        <is>
          <t>Every month (100%)</t>
        </is>
      </c>
      <c r="AQ2086">
        <v>0</v>
      </c>
      <c r="AR2086" t="inlineStr">
        <is>
          <t>Jobstreet, Free Job Portal</t>
        </is>
      </c>
      <c r="AS2086" t="inlineStr">
        <is>
          <t>- Headcount: 3
- Hiring Job Details: Sales / Admin/ Retal, Location: Penang, Headcounts: Frequent
- Hiring Urgency: Continuous Hiring
- Number of outlets: 2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Jobstreet, Free Job Portal</t>
        </is>
      </c>
      <c r="AT2086">
        <v>70</v>
      </c>
      <c r="AU2086" t="inlineStr">
        <is>
          <t>0.70</t>
        </is>
      </c>
      <c r="AV2086" t="inlineStr">
        <is>
          <t>5</t>
        </is>
      </c>
      <c r="AW2086" t="inlineStr">
        <is>
          <t>0</t>
        </is>
      </c>
      <c r="AX2086" t="inlineStr">
        <is>
          <t>Not Qualified</t>
        </is>
      </c>
      <c r="AY2086" s="4"/>
      <c r="AZ2086"/>
      <c r="BA2086"/>
      <c r="BB2086"/>
      <c r="BC2086" t="inlineStr">
        <is>
          <t>paid</t>
        </is>
      </c>
      <c r="BD2086" s="4">
        <v>46133.478483796294</v>
      </c>
      <c r="BE2086" t="inlineStr">
        <is>
          <t>paid</t>
        </is>
      </c>
      <c r="BF2086" t="inlineStr">
        <is>
          <t>Q2-W03</t>
        </is>
      </c>
      <c r="BG2086" t="inlineStr">
        <is>
          <t>Reschedule</t>
        </is>
      </c>
      <c r="BH2086" t="inlineStr">
        <is>
          <t>Fauziah Maharan</t>
        </is>
      </c>
      <c r="BI2086" t="inlineStr">
        <is>
          <t>Manufacturing / Production</t>
        </is>
      </c>
      <c r="BJ2086" s="4">
        <v>46144.75609953704</v>
      </c>
      <c r="BK2086" s="4">
        <v>43370.39041666667</v>
      </c>
      <c r="BL2086" t="inlineStr">
        <is>
          <t>3888.0</t>
        </is>
      </c>
      <c r="BM2086" t="inlineStr">
        <is>
          <t>21000.0</t>
        </is>
      </c>
      <c r="BN2086" t="inlineStr">
        <is>
          <t>View Company Page</t>
        </is>
      </c>
      <c r="BO2086" s="4">
        <v>46140.62516203704</v>
      </c>
      <c r="BP2086">
        <v>166941</v>
      </c>
      <c r="BQ2086">
        <v>94514</v>
      </c>
      <c r="BR2086" t="inlineStr">
        <is>
          <t>Online</t>
        </is>
      </c>
      <c r="BS2086"/>
      <c r="BT2086">
        <v>94514</v>
      </c>
      <c r="BU2086"/>
      <c r="BV2086">
        <v>2717434</v>
      </c>
      <c r="BW2086" t="inlineStr">
        <is>
          <t>Follow Up : Win - Customer Paid</t>
        </is>
      </c>
      <c r="BX2086">
        <v>6</v>
      </c>
      <c r="BY2086">
        <v>4</v>
      </c>
      <c r="BZ2086" s="4">
        <v>46134.67711805556</v>
      </c>
      <c r="CA2086">
        <v>60</v>
      </c>
      <c r="CB2086">
        <v>59</v>
      </c>
      <c r="CC2086" s="4">
        <v>46136.462430555555</v>
      </c>
      <c r="CD2086" t="inlineStr">
        <is>
          <t>5</t>
        </is>
      </c>
      <c r="CE2086" t="inlineStr">
        <is>
          <t>0</t>
        </is>
      </c>
      <c r="CF2086" t="inlineStr">
        <is>
          <t>Q2-W02</t>
        </is>
      </c>
      <c r="CG2086" t="inlineStr">
        <is>
          <t>Q2-W03</t>
        </is>
      </c>
      <c r="CH2086" t="inlineStr">
        <is>
          <t>Q2-W03</t>
        </is>
      </c>
      <c r="CI2086"/>
      <c r="CJ2086" t="inlineStr">
        <is>
          <t>Paid</t>
        </is>
      </c>
      <c r="CK2086" t="inlineStr">
        <is>
          <t>Eligible</t>
        </is>
      </c>
      <c r="CL2086"/>
      <c r="CM2086"/>
    </row>
    <row r="2087" ht="25.5" customHeight="1">
      <c r="A2087" t="inlineStr">
        <is>
          <t>4136451</t>
        </is>
      </c>
      <c r="B2087" s="2"/>
      <c r="C2087"/>
      <c r="D2087" s="3">
        <v>46126.62333333334</v>
      </c>
      <c r="E2087" t="inlineStr">
        <is>
          <t>Q2-W02</t>
        </is>
      </c>
      <c r="F2087" t="inlineStr">
        <is>
          <t>Angel  Low</t>
        </is>
      </c>
      <c r="G2087" t="inlineStr">
        <is>
          <t>Lead</t>
        </is>
      </c>
      <c r="H2087" s="2" t="str">
        <f>=HYPERLINK("https://upbox.ajobthing.my/leads/4136451", "https://upbox.ajobthing.my/leads/4136451")</f>
        <v>https://upbox.ajobthing.my/leads/4136451</v>
      </c>
      <c r="I2087" t="inlineStr">
        <is>
          <t>Coway</t>
        </is>
      </c>
      <c r="J2087" t="inlineStr">
        <is>
          <t>Whale</t>
        </is>
      </c>
      <c r="K2087" t="inlineStr">
        <is>
          <t>Angel Low</t>
        </is>
      </c>
      <c r="L2087" s="4"/>
      <c r="M2087" s="4">
        <v>46126.73664351852</v>
      </c>
      <c r="N2087"/>
      <c r="O2087">
        <v>19561</v>
      </c>
      <c r="P2087" s="4"/>
      <c r="Q2087" s="4"/>
      <c r="R2087"/>
      <c r="S2087"/>
      <c r="T2087" s="4"/>
      <c r="U2087" s="4"/>
      <c r="V2087"/>
      <c r="W2087"/>
      <c r="X2087"/>
      <c r="Y2087" t="inlineStr">
        <is>
          <t>Pending Appointment</t>
        </is>
      </c>
      <c r="Z2087" t="inlineStr">
        <is>
          <t>Continuous Hiring</t>
        </is>
      </c>
      <c r="AA2087">
        <v>0</v>
      </c>
      <c r="AB2087" t="inlineStr">
        <is>
          <t>No Appointment Made</t>
        </is>
      </c>
      <c r="AC2087"/>
      <c r="AD2087" t="inlineStr">
        <is>
          <t xml:space="preserve">agency </t>
        </is>
      </c>
      <c r="AE2087"/>
      <c r="AF2087"/>
      <c r="AG2087" s="4"/>
      <c r="AH2087" s="4"/>
      <c r="AI2087"/>
      <c r="AJ2087"/>
      <c r="AK2087"/>
      <c r="AL2087"/>
      <c r="AM2087"/>
      <c r="AN2087"/>
      <c r="AO2087"/>
      <c r="AP2087"/>
      <c r="AQ2087"/>
      <c r="AR2087"/>
      <c r="AS2087" t="inlineStr">
        <is>
          <t>- Headcount: 0
- Hiring Job Details: agency
- Hiring Urgency: Continuous Hiring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is>
      </c>
      <c r="AT2087">
        <v>20</v>
      </c>
      <c r="AU2087" t="inlineStr">
        <is>
          <t>0.20</t>
        </is>
      </c>
      <c r="AV2087" t="inlineStr">
        <is>
          <t>5</t>
        </is>
      </c>
      <c r="AW2087" t="inlineStr">
        <is>
          <t>0</t>
        </is>
      </c>
      <c r="AX2087" t="inlineStr">
        <is>
          <t>Not Qualified</t>
        </is>
      </c>
      <c r="AY2087" s="4"/>
      <c r="AZ2087"/>
      <c r="BA2087"/>
      <c r="BB2087"/>
      <c r="BC2087"/>
      <c r="BD2087" s="4"/>
      <c r="BE2087"/>
      <c r="BF2087"/>
      <c r="BG2087" t="inlineStr">
        <is>
          <t>Reschedule</t>
        </is>
      </c>
      <c r="BH2087" t="inlineStr">
        <is>
          <t>Fauziah Maharan</t>
        </is>
      </c>
      <c r="BI2087"/>
      <c r="BJ2087" s="4">
        <v>46144.75546296296</v>
      </c>
      <c r="BK2087" s="4">
        <v>46087.717210648145</v>
      </c>
      <c r="BL2087" t="inlineStr">
        <is>
          <t>0.0</t>
        </is>
      </c>
      <c r="BM2087" t="inlineStr">
        <is>
          <t>31800.0</t>
        </is>
      </c>
      <c r="BN2087"/>
      <c r="BO2087" s="4"/>
      <c r="BP2087">
        <v>167054</v>
      </c>
      <c r="BQ2087"/>
      <c r="BR2087"/>
      <c r="BS2087"/>
      <c r="BT2087"/>
      <c r="BU2087"/>
      <c r="BV2087"/>
      <c r="BW2087"/>
      <c r="BX2087"/>
      <c r="BY2087"/>
      <c r="BZ2087" s="4"/>
      <c r="CA2087"/>
      <c r="CB2087"/>
      <c r="CC2087" s="4"/>
      <c r="CD2087" t="inlineStr">
        <is>
          <t>5</t>
        </is>
      </c>
      <c r="CE2087" t="inlineStr">
        <is>
          <t>0</t>
        </is>
      </c>
      <c r="CF2087" t="inlineStr">
        <is>
          <t>Q2-W02</t>
        </is>
      </c>
      <c r="CG2087"/>
      <c r="CH2087"/>
      <c r="CI2087"/>
      <c r="CJ2087" t="inlineStr">
        <is>
          <t>No Paid</t>
        </is>
      </c>
      <c r="CK2087" t="inlineStr">
        <is>
          <t>Eligible</t>
        </is>
      </c>
      <c r="CL2087"/>
      <c r="CM2087"/>
    </row>
    <row r="2088" ht="25.5" customHeight="1">
      <c r="A2088" t="inlineStr">
        <is>
          <t>197298</t>
        </is>
      </c>
      <c r="B2088" s="2"/>
      <c r="C2088"/>
      <c r="D2088" s="3">
        <v>46126.63673611111</v>
      </c>
      <c r="E2088" t="inlineStr">
        <is>
          <t>Q2-W02</t>
        </is>
      </c>
      <c r="F2088" t="inlineStr">
        <is>
          <t>Derek Lim</t>
        </is>
      </c>
      <c r="G2088" t="inlineStr">
        <is>
          <t>Customer</t>
        </is>
      </c>
      <c r="H2088" s="2" t="str">
        <f>=HYPERLINK("https://upbox.ajobthing.my/customer/197298", "https://upbox.ajobthing.my/customer/197298")</f>
        <v>https://upbox.ajobthing.my/customer/197298</v>
      </c>
      <c r="I2088" t="inlineStr">
        <is>
          <t>JS Kitchenware Sdn Bhd</t>
        </is>
      </c>
      <c r="J2088" t="inlineStr">
        <is>
          <t>Whale</t>
        </is>
      </c>
      <c r="K2088" t="inlineStr">
        <is>
          <t>Derek Lim</t>
        </is>
      </c>
      <c r="L2088" s="4"/>
      <c r="M2088" s="4">
        <v>46126.63761574074</v>
      </c>
      <c r="N2088"/>
      <c r="O2088">
        <v>6048</v>
      </c>
      <c r="P2088" s="4"/>
      <c r="Q2088" s="4">
        <v>46132.50177083333</v>
      </c>
      <c r="R2088"/>
      <c r="S2088">
        <v>0</v>
      </c>
      <c r="T2088" s="4">
        <v>46021.71474537037</v>
      </c>
      <c r="U2088" s="4"/>
      <c r="V2088"/>
      <c r="W2088">
        <v>3348</v>
      </c>
      <c r="X2088"/>
      <c r="Y2088" t="inlineStr">
        <is>
          <t>Pending Appointment</t>
        </is>
      </c>
      <c r="Z2088" t="inlineStr">
        <is>
          <t>Hiring Now</t>
        </is>
      </c>
      <c r="AA2088">
        <v>3</v>
      </c>
      <c r="AB2088" t="inlineStr">
        <is>
          <t>No Appointment Made</t>
        </is>
      </c>
      <c r="AC2088"/>
      <c r="AD2088" t="inlineStr">
        <is>
          <t>Sales - 2, cashier - 1</t>
        </is>
      </c>
      <c r="AE2088"/>
      <c r="AF2088">
        <v>3000</v>
      </c>
      <c r="AG2088" s="4"/>
      <c r="AH2088" s="4"/>
      <c r="AI2088">
        <v>3000</v>
      </c>
      <c r="AJ2088">
        <v>2</v>
      </c>
      <c r="AK2088" t="inlineStr">
        <is>
          <t>No, but I want in future</t>
        </is>
      </c>
      <c r="AL2088">
        <v>0</v>
      </c>
      <c r="AM2088" t="inlineStr">
        <is>
          <t>No, I don't need at all</t>
        </is>
      </c>
      <c r="AN2088"/>
      <c r="AO2088" t="inlineStr">
        <is>
          <t>No, but I want in future</t>
        </is>
      </c>
      <c r="AP2088" t="inlineStr">
        <is>
          <t>Twice a year (50%)</t>
        </is>
      </c>
      <c r="AQ2088">
        <v>3</v>
      </c>
      <c r="AR2088" t="inlineStr">
        <is>
          <t>Did not use any job portal</t>
        </is>
      </c>
      <c r="AS2088" t="inlineStr">
        <is>
          <t>- Headcount: 3
- Hiring Job Details: Sales - 2, cashier - 1
- Hiring Urgency: Hiring Now
- Number of outlets: 2
- Have recruiter team: No, but I want in future
- Number of recruiter in company: 0
- Have ATS system: No, I don't need at all
- Have career website: No, but I want in future
- Current hiring budget: RM3,000
- Whole year budget: RM3,000.00
- Whole year number of vacancies: 3
- Hiring frequency: Twice a year (50%)
- External job portal: Did not use any job portal</t>
        </is>
      </c>
      <c r="AT2088">
        <v>110</v>
      </c>
      <c r="AU2088" t="inlineStr">
        <is>
          <t>1.10</t>
        </is>
      </c>
      <c r="AV2088" t="inlineStr">
        <is>
          <t>15</t>
        </is>
      </c>
      <c r="AW2088" t="inlineStr">
        <is>
          <t>0</t>
        </is>
      </c>
      <c r="AX2088" t="inlineStr">
        <is>
          <t>Not Qualified</t>
        </is>
      </c>
      <c r="AY2088" s="4"/>
      <c r="AZ2088"/>
      <c r="BA2088"/>
      <c r="BB2088"/>
      <c r="BC2088" t="inlineStr">
        <is>
          <t>SHE SAY YET TO KNOW WHAT POSITION, TOLD HER WE HAVE LABOUR DAY PROMOTION IF SHE MANAGE TO HAVE DECISION THIS 2 DAYS THEN CAN LET ME KNOW</t>
        </is>
      </c>
      <c r="BD2088" s="4">
        <v>46141.620833333334</v>
      </c>
      <c r="BE2088" t="inlineStr">
        <is>
          <t>paid</t>
        </is>
      </c>
      <c r="BF2088"/>
      <c r="BG2088" t="inlineStr">
        <is>
          <t>Reschedule</t>
        </is>
      </c>
      <c r="BH2088" t="inlineStr">
        <is>
          <t>Edward Hoo</t>
        </is>
      </c>
      <c r="BI2088" t="inlineStr">
        <is>
          <t>General / Wholesale Trading</t>
        </is>
      </c>
      <c r="BJ2088" s="4">
        <v>46144.75288194444</v>
      </c>
      <c r="BK2088" s="4">
        <v>45946.65755787037</v>
      </c>
      <c r="BL2088" t="inlineStr">
        <is>
          <t>3348.0</t>
        </is>
      </c>
      <c r="BM2088" t="inlineStr">
        <is>
          <t>0.0</t>
        </is>
      </c>
      <c r="BN2088" t="inlineStr">
        <is>
          <t>View Candidate Search Page</t>
        </is>
      </c>
      <c r="BO2088" s="4">
        <v>46141.518217592595</v>
      </c>
      <c r="BP2088">
        <v>166985</v>
      </c>
      <c r="BQ2088">
        <v>123251</v>
      </c>
      <c r="BR2088" t="inlineStr">
        <is>
          <t>Proforma</t>
        </is>
      </c>
      <c r="BS2088" t="inlineStr">
        <is>
          <t>Free Freelance Job</t>
        </is>
      </c>
      <c r="BT2088">
        <v>85251</v>
      </c>
      <c r="BU2088"/>
      <c r="BV2088">
        <v>2735439</v>
      </c>
      <c r="BW2088" t="inlineStr">
        <is>
          <t>Follow Up : Decision Pending</t>
        </is>
      </c>
      <c r="BX2088">
        <v>6</v>
      </c>
      <c r="BY2088">
        <v>0</v>
      </c>
      <c r="BZ2088" s="4">
        <v>46080.58327546297</v>
      </c>
      <c r="CA2088">
        <v>60</v>
      </c>
      <c r="CB2088">
        <v>51</v>
      </c>
      <c r="CC2088" s="4">
        <v>46106.46863425926</v>
      </c>
      <c r="CD2088" t="inlineStr">
        <is>
          <t>20</t>
        </is>
      </c>
      <c r="CE2088" t="inlineStr">
        <is>
          <t>0</t>
        </is>
      </c>
      <c r="CF2088" t="inlineStr">
        <is>
          <t>Q2-W02</t>
        </is>
      </c>
      <c r="CG2088" t="inlineStr">
        <is>
          <t>Q2-W03</t>
        </is>
      </c>
      <c r="CH2088"/>
      <c r="CI2088"/>
      <c r="CJ2088" t="inlineStr">
        <is>
          <t>Paid</t>
        </is>
      </c>
      <c r="CK2088" t="inlineStr">
        <is>
          <t>Eligible</t>
        </is>
      </c>
      <c r="CL2088"/>
      <c r="CM2088"/>
    </row>
    <row r="2089" ht="25.5" customHeight="1">
      <c r="A2089" t="inlineStr">
        <is>
          <t>195358</t>
        </is>
      </c>
      <c r="B2089" s="2"/>
      <c r="C2089"/>
      <c r="D2089" s="3">
        <v>46126.64840277778</v>
      </c>
      <c r="E2089" t="inlineStr">
        <is>
          <t>Q2-W02</t>
        </is>
      </c>
      <c r="F2089" t="inlineStr">
        <is>
          <t>Dickson</t>
        </is>
      </c>
      <c r="G2089" t="inlineStr">
        <is>
          <t>Customer</t>
        </is>
      </c>
      <c r="H2089" s="2" t="str">
        <f>=HYPERLINK("https://upbox.ajobthing.my/customer/195358", "https://upbox.ajobthing.my/customer/195358")</f>
        <v>https://upbox.ajobthing.my/customer/195358</v>
      </c>
      <c r="I2089" t="inlineStr">
        <is>
          <t>Dantronics Sdn Bhd</t>
        </is>
      </c>
      <c r="J2089" t="inlineStr">
        <is>
          <t>Whale</t>
        </is>
      </c>
      <c r="K2089" t="inlineStr">
        <is>
          <t>Dickson</t>
        </is>
      </c>
      <c r="L2089" s="4"/>
      <c r="M2089" s="4">
        <v>46126.648622685185</v>
      </c>
      <c r="N2089"/>
      <c r="O2089">
        <v>3888</v>
      </c>
      <c r="P2089" s="4"/>
      <c r="Q2089" s="4">
        <v>46133.943923611114</v>
      </c>
      <c r="R2089"/>
      <c r="S2089">
        <v>3672</v>
      </c>
      <c r="T2089" s="4">
        <v>46133.943923611114</v>
      </c>
      <c r="U2089" s="4"/>
      <c r="V2089"/>
      <c r="W2089">
        <v>3672</v>
      </c>
      <c r="X2089"/>
      <c r="Y2089" t="inlineStr">
        <is>
          <t>Pending Appointment</t>
        </is>
      </c>
      <c r="Z2089" t="inlineStr">
        <is>
          <t>Hiring Now</t>
        </is>
      </c>
      <c r="AA2089">
        <v>2</v>
      </c>
      <c r="AB2089" t="inlineStr">
        <is>
          <t>No Appointment Made</t>
        </is>
      </c>
      <c r="AC2089"/>
      <c r="AD2089" t="inlineStr">
        <is>
          <t>1 business executive, 1 sales executive</t>
        </is>
      </c>
      <c r="AE2089"/>
      <c r="AF2089"/>
      <c r="AG2089" s="4"/>
      <c r="AH2089" s="4"/>
      <c r="AI2089"/>
      <c r="AJ2089">
        <v>1</v>
      </c>
      <c r="AK2089" t="inlineStr">
        <is>
          <t>No, I don't need at all</t>
        </is>
      </c>
      <c r="AL2089"/>
      <c r="AM2089" t="inlineStr">
        <is>
          <t>No, I don't need at all</t>
        </is>
      </c>
      <c r="AN2089"/>
      <c r="AO2089" t="inlineStr">
        <is>
          <t>No, I don't need at all</t>
        </is>
      </c>
      <c r="AP2089" t="inlineStr">
        <is>
          <t>Once per quarter (75%)</t>
        </is>
      </c>
      <c r="AQ2089"/>
      <c r="AR2089"/>
      <c r="AS2089" t="inlineStr">
        <is>
          <t>- Headcount: 2
- Hiring Job Details: 1 business executive, 1 sales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089">
        <v>95</v>
      </c>
      <c r="AU2089" t="inlineStr">
        <is>
          <t>0.95</t>
        </is>
      </c>
      <c r="AV2089" t="inlineStr">
        <is>
          <t>5</t>
        </is>
      </c>
      <c r="AW2089" t="inlineStr">
        <is>
          <t>0</t>
        </is>
      </c>
      <c r="AX2089" t="inlineStr">
        <is>
          <t>Not Qualified</t>
        </is>
      </c>
      <c r="AY2089" s="4"/>
      <c r="AZ2089"/>
      <c r="BA2089"/>
      <c r="BB2089"/>
      <c r="BC2089" t="inlineStr">
        <is>
          <t>ask for google review</t>
        </is>
      </c>
      <c r="BD2089" s="4">
        <v>46142.72849537037</v>
      </c>
      <c r="BE2089" t="inlineStr">
        <is>
          <t>paid</t>
        </is>
      </c>
      <c r="BF2089" t="inlineStr">
        <is>
          <t>Q2-W03</t>
        </is>
      </c>
      <c r="BG2089" t="inlineStr">
        <is>
          <t>Reschedule</t>
        </is>
      </c>
      <c r="BH2089" t="inlineStr">
        <is>
          <t>Edward Hoo</t>
        </is>
      </c>
      <c r="BI2089"/>
      <c r="BJ2089" s="4">
        <v>46144.7527662037</v>
      </c>
      <c r="BK2089" s="4">
        <v>45894.48300925926</v>
      </c>
      <c r="BL2089" t="inlineStr">
        <is>
          <t>6264.0</t>
        </is>
      </c>
      <c r="BM2089" t="inlineStr">
        <is>
          <t>0.0</t>
        </is>
      </c>
      <c r="BN2089" t="inlineStr">
        <is>
          <t>View Jobmanager Page</t>
        </is>
      </c>
      <c r="BO2089" s="4">
        <v>46141.54828703704</v>
      </c>
      <c r="BP2089">
        <v>166994</v>
      </c>
      <c r="BQ2089">
        <v>94567</v>
      </c>
      <c r="BR2089" t="inlineStr">
        <is>
          <t>Online</t>
        </is>
      </c>
      <c r="BS2089"/>
      <c r="BT2089">
        <v>94567</v>
      </c>
      <c r="BU2089"/>
      <c r="BV2089">
        <v>2738389</v>
      </c>
      <c r="BW2089" t="inlineStr">
        <is>
          <t>Service / Technical : Job Outcome Enquiry</t>
        </is>
      </c>
      <c r="BX2089">
        <v>6</v>
      </c>
      <c r="BY2089">
        <v>4</v>
      </c>
      <c r="BZ2089" s="4">
        <v>46135.69096064815</v>
      </c>
      <c r="CA2089">
        <v>60</v>
      </c>
      <c r="CB2089">
        <v>60</v>
      </c>
      <c r="CC2089" s="4"/>
      <c r="CD2089" t="inlineStr">
        <is>
          <t>5</t>
        </is>
      </c>
      <c r="CE2089" t="inlineStr">
        <is>
          <t>0</t>
        </is>
      </c>
      <c r="CF2089" t="inlineStr">
        <is>
          <t>Q2-W02</t>
        </is>
      </c>
      <c r="CG2089" t="inlineStr">
        <is>
          <t>Q2-W03</t>
        </is>
      </c>
      <c r="CH2089" t="inlineStr">
        <is>
          <t>Q2-W03</t>
        </is>
      </c>
      <c r="CI2089"/>
      <c r="CJ2089" t="inlineStr">
        <is>
          <t>Paid</t>
        </is>
      </c>
      <c r="CK2089" t="inlineStr">
        <is>
          <t>Eligible</t>
        </is>
      </c>
      <c r="CL2089"/>
      <c r="CM2089"/>
    </row>
    <row r="2090" ht="25.5" customHeight="1">
      <c r="A2090" t="inlineStr">
        <is>
          <t>203200</t>
        </is>
      </c>
      <c r="B2090" s="2"/>
      <c r="C2090"/>
      <c r="D2090" s="3">
        <v>46126.663564814815</v>
      </c>
      <c r="E2090" t="inlineStr">
        <is>
          <t>Q2-W02</t>
        </is>
      </c>
      <c r="F2090" t="inlineStr">
        <is>
          <t>Angel  Low</t>
        </is>
      </c>
      <c r="G2090" t="inlineStr">
        <is>
          <t>Customer</t>
        </is>
      </c>
      <c r="H2090" s="2" t="str">
        <f>=HYPERLINK("https://upbox.ajobthing.my/customer/203200", "https://upbox.ajobthing.my/customer/203200")</f>
        <v>https://upbox.ajobthing.my/customer/203200</v>
      </c>
      <c r="I2090" t="inlineStr">
        <is>
          <t>William Lau &amp; Co</t>
        </is>
      </c>
      <c r="J2090" t="inlineStr">
        <is>
          <t>Whale</t>
        </is>
      </c>
      <c r="K2090" t="inlineStr">
        <is>
          <t>Angel Low</t>
        </is>
      </c>
      <c r="L2090" s="4"/>
      <c r="M2090" s="4">
        <v>46126.6640625</v>
      </c>
      <c r="N2090"/>
      <c r="O2090">
        <v>5508</v>
      </c>
      <c r="P2090" s="4"/>
      <c r="Q2090" s="4">
        <v>46128.39726851852</v>
      </c>
      <c r="R2090"/>
      <c r="S2090">
        <v>5508</v>
      </c>
      <c r="T2090" s="4">
        <v>46128.39726851852</v>
      </c>
      <c r="U2090" s="4"/>
      <c r="V2090"/>
      <c r="W2090">
        <v>5508</v>
      </c>
      <c r="X2090"/>
      <c r="Y2090" t="inlineStr">
        <is>
          <t>Pending Appointment</t>
        </is>
      </c>
      <c r="Z2090"/>
      <c r="AA2090">
        <v>12</v>
      </c>
      <c r="AB2090" t="inlineStr">
        <is>
          <t>No Appointment Made</t>
        </is>
      </c>
      <c r="AC2090"/>
      <c r="AD2090" t="inlineStr">
        <is>
          <t>12 acocunts JB</t>
        </is>
      </c>
      <c r="AE2090"/>
      <c r="AF2090"/>
      <c r="AG2090" s="4"/>
      <c r="AH2090" s="4"/>
      <c r="AI2090"/>
      <c r="AJ2090"/>
      <c r="AK2090"/>
      <c r="AL2090"/>
      <c r="AM2090"/>
      <c r="AN2090"/>
      <c r="AO2090"/>
      <c r="AP2090"/>
      <c r="AQ2090"/>
      <c r="AR2090"/>
      <c r="AS2090" t="inlineStr">
        <is>
          <t>- Headcount: 12
- Hiring Job Details: 12 accounts JB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090">
        <v>20</v>
      </c>
      <c r="AU2090" t="inlineStr">
        <is>
          <t>0.20</t>
        </is>
      </c>
      <c r="AV2090" t="inlineStr">
        <is>
          <t>15</t>
        </is>
      </c>
      <c r="AW2090" t="inlineStr">
        <is>
          <t>0</t>
        </is>
      </c>
      <c r="AX2090" t="inlineStr">
        <is>
          <t>Not Qualified</t>
        </is>
      </c>
      <c r="AY2090" s="4"/>
      <c r="AZ2090"/>
      <c r="BA2090"/>
      <c r="BB2090"/>
      <c r="BC2090" t="inlineStr">
        <is>
          <t>assists - won campaign</t>
        </is>
      </c>
      <c r="BD2090" s="4">
        <v>46140.47383101852</v>
      </c>
      <c r="BE2090" t="inlineStr">
        <is>
          <t>paid</t>
        </is>
      </c>
      <c r="BF2090" t="inlineStr">
        <is>
          <t>Q2-W02</t>
        </is>
      </c>
      <c r="BG2090" t="inlineStr">
        <is>
          <t>Reschedule</t>
        </is>
      </c>
      <c r="BH2090" t="inlineStr">
        <is>
          <t>Fauziah Maharan</t>
        </is>
      </c>
      <c r="BI2090" t="inlineStr">
        <is>
          <t>Accounting / Tax Services</t>
        </is>
      </c>
      <c r="BJ2090" s="4">
        <v>46144.75423611111</v>
      </c>
      <c r="BK2090" s="4">
        <v>46126.414618055554</v>
      </c>
      <c r="BL2090" t="inlineStr">
        <is>
          <t>5508.0</t>
        </is>
      </c>
      <c r="BM2090" t="inlineStr">
        <is>
          <t>0.0</t>
        </is>
      </c>
      <c r="BN2090" t="inlineStr">
        <is>
          <t>View Company Page</t>
        </is>
      </c>
      <c r="BO2090" s="4">
        <v>46142.78291666666</v>
      </c>
      <c r="BP2090">
        <v>167006</v>
      </c>
      <c r="BQ2090">
        <v>93763</v>
      </c>
      <c r="BR2090" t="inlineStr">
        <is>
          <t>Online</t>
        </is>
      </c>
      <c r="BS2090"/>
      <c r="BT2090">
        <v>93763</v>
      </c>
      <c r="BU2090"/>
      <c r="BV2090">
        <v>2732102</v>
      </c>
      <c r="BW2090" t="inlineStr">
        <is>
          <t>Service / Technical : Job Outcome Enquiry</t>
        </is>
      </c>
      <c r="BX2090">
        <v>16</v>
      </c>
      <c r="BY2090">
        <v>14</v>
      </c>
      <c r="BZ2090" s="4">
        <v>46136.646689814814</v>
      </c>
      <c r="CA2090">
        <v>160</v>
      </c>
      <c r="CB2090">
        <v>127</v>
      </c>
      <c r="CC2090" s="4">
        <v>46136.724027777775</v>
      </c>
      <c r="CD2090" t="inlineStr">
        <is>
          <t>20</t>
        </is>
      </c>
      <c r="CE2090" t="inlineStr">
        <is>
          <t>0</t>
        </is>
      </c>
      <c r="CF2090" t="inlineStr">
        <is>
          <t>Q2-W02</t>
        </is>
      </c>
      <c r="CG2090" t="inlineStr">
        <is>
          <t>Q2-W02</t>
        </is>
      </c>
      <c r="CH2090" t="inlineStr">
        <is>
          <t>Q2-W02</t>
        </is>
      </c>
      <c r="CI2090"/>
      <c r="CJ2090" t="inlineStr">
        <is>
          <t>Paid</t>
        </is>
      </c>
      <c r="CK2090" t="inlineStr">
        <is>
          <t>Eligible</t>
        </is>
      </c>
      <c r="CL2090"/>
      <c r="CM2090"/>
    </row>
    <row r="2091" ht="25.5" customHeight="1">
      <c r="A2091" t="inlineStr">
        <is>
          <t>201666</t>
        </is>
      </c>
      <c r="B2091" s="2"/>
      <c r="C2091"/>
      <c r="D2091" s="3">
        <v>46126.666909722226</v>
      </c>
      <c r="E2091" t="inlineStr">
        <is>
          <t>Q2-W02</t>
        </is>
      </c>
      <c r="F2091" t="inlineStr">
        <is>
          <t>Ratha</t>
        </is>
      </c>
      <c r="G2091" t="inlineStr">
        <is>
          <t>Customer</t>
        </is>
      </c>
      <c r="H2091" s="2" t="str">
        <f>=HYPERLINK("https://upbox.ajobthing.my/customer/201666", "https://upbox.ajobthing.my/customer/201666")</f>
        <v>https://upbox.ajobthing.my/customer/201666</v>
      </c>
      <c r="I2091" t="inlineStr">
        <is>
          <t>William C.H. Tan &amp; Associates</t>
        </is>
      </c>
      <c r="J2091" t="inlineStr">
        <is>
          <t>Whale</t>
        </is>
      </c>
      <c r="K2091" t="inlineStr">
        <is>
          <t>Ratha</t>
        </is>
      </c>
      <c r="L2091" s="4"/>
      <c r="M2091" s="4">
        <v>46126.66841435185</v>
      </c>
      <c r="N2091"/>
      <c r="O2091">
        <v>3888</v>
      </c>
      <c r="P2091" s="4"/>
      <c r="Q2091" s="4"/>
      <c r="R2091"/>
      <c r="S2091"/>
      <c r="T2091" s="4"/>
      <c r="U2091" s="4"/>
      <c r="V2091"/>
      <c r="W2091"/>
      <c r="X2091"/>
      <c r="Y2091" t="inlineStr">
        <is>
          <t>Pending Appointment</t>
        </is>
      </c>
      <c r="Z2091" t="inlineStr">
        <is>
          <t>Hiring Now</t>
        </is>
      </c>
      <c r="AA2091">
        <v>2</v>
      </c>
      <c r="AB2091" t="inlineStr">
        <is>
          <t>No Appointment Made</t>
        </is>
      </c>
      <c r="AC2091"/>
      <c r="AD2091" t="inlineStr">
        <is>
          <t>Audit
Tax
Location : PJ</t>
        </is>
      </c>
      <c r="AE2091"/>
      <c r="AF2091"/>
      <c r="AG2091" s="4"/>
      <c r="AH2091" s="4"/>
      <c r="AI2091">
        <v>0</v>
      </c>
      <c r="AJ2091">
        <v>1</v>
      </c>
      <c r="AK2091" t="inlineStr">
        <is>
          <t>Yes, I have</t>
        </is>
      </c>
      <c r="AL2091">
        <v>2</v>
      </c>
      <c r="AM2091" t="inlineStr">
        <is>
          <t>No, I don't need at all</t>
        </is>
      </c>
      <c r="AN2091"/>
      <c r="AO2091" t="inlineStr">
        <is>
          <t>No, I don't need at all</t>
        </is>
      </c>
      <c r="AP2091" t="inlineStr">
        <is>
          <t>Once per quarter (75%)</t>
        </is>
      </c>
      <c r="AQ2091">
        <v>0</v>
      </c>
      <c r="AR2091" t="inlineStr">
        <is>
          <t>Free Job Portal</t>
        </is>
      </c>
      <c r="AS2091" t="inlineStr">
        <is>
          <t>- Headcount: 2
- Hiring Job Details: Audit, Tax (Location: PJ)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2091">
        <v>95</v>
      </c>
      <c r="AU2091" t="inlineStr">
        <is>
          <t>0.95</t>
        </is>
      </c>
      <c r="AV2091" t="inlineStr">
        <is>
          <t>5</t>
        </is>
      </c>
      <c r="AW2091" t="inlineStr">
        <is>
          <t>0</t>
        </is>
      </c>
      <c r="AX2091" t="inlineStr">
        <is>
          <t>Not Qualified</t>
        </is>
      </c>
      <c r="AY2091" s="4"/>
      <c r="AZ2091"/>
      <c r="BA2091"/>
      <c r="BB2091"/>
      <c r="BC2091" t="inlineStr">
        <is>
          <t>looking for free</t>
        </is>
      </c>
      <c r="BD2091" s="4">
        <v>46140.694340277776</v>
      </c>
      <c r="BE2091"/>
      <c r="BF2091"/>
      <c r="BG2091" t="inlineStr">
        <is>
          <t>Reschedule</t>
        </is>
      </c>
      <c r="BH2091" t="inlineStr">
        <is>
          <t>Fauziah Maharan</t>
        </is>
      </c>
      <c r="BI2091" t="inlineStr">
        <is>
          <t>Accounting / Tax Services</t>
        </is>
      </c>
      <c r="BJ2091" s="4">
        <v>46144.75383101852</v>
      </c>
      <c r="BK2091" s="4">
        <v>46085.38425925926</v>
      </c>
      <c r="BL2091" t="inlineStr">
        <is>
          <t>0.0</t>
        </is>
      </c>
      <c r="BM2091" t="inlineStr">
        <is>
          <t>0.0</t>
        </is>
      </c>
      <c r="BN2091" t="inlineStr">
        <is>
          <t>View Jobmanager Page</t>
        </is>
      </c>
      <c r="BO2091" s="4">
        <v>46099.69788194444</v>
      </c>
      <c r="BP2091">
        <v>167007</v>
      </c>
      <c r="BQ2091"/>
      <c r="BR2091"/>
      <c r="BS2091"/>
      <c r="BT2091"/>
      <c r="BU2091"/>
      <c r="BV2091">
        <v>2733519</v>
      </c>
      <c r="BW2091" t="inlineStr">
        <is>
          <t>Follow Up : Lost - Free Portal</t>
        </is>
      </c>
      <c r="BX2091"/>
      <c r="BY2091"/>
      <c r="BZ2091" s="4"/>
      <c r="CA2091"/>
      <c r="CB2091"/>
      <c r="CC2091" s="4"/>
      <c r="CD2091" t="inlineStr">
        <is>
          <t>5</t>
        </is>
      </c>
      <c r="CE2091" t="inlineStr">
        <is>
          <t>0</t>
        </is>
      </c>
      <c r="CF2091" t="inlineStr">
        <is>
          <t>Q2-W02</t>
        </is>
      </c>
      <c r="CG2091"/>
      <c r="CH2091"/>
      <c r="CI2091"/>
      <c r="CJ2091" t="inlineStr">
        <is>
          <t>No Paid</t>
        </is>
      </c>
      <c r="CK2091" t="inlineStr">
        <is>
          <t>Eligible</t>
        </is>
      </c>
      <c r="CL2091"/>
      <c r="CM2091"/>
    </row>
    <row r="2092" ht="25.5" customHeight="1">
      <c r="A2092" t="inlineStr">
        <is>
          <t>203230</t>
        </is>
      </c>
      <c r="B2092" s="2"/>
      <c r="C2092"/>
      <c r="D2092" s="3">
        <v>46126.68960648148</v>
      </c>
      <c r="E2092" t="inlineStr">
        <is>
          <t>Q2-W02</t>
        </is>
      </c>
      <c r="F2092" t="inlineStr">
        <is>
          <t>Xin Quan</t>
        </is>
      </c>
      <c r="G2092" t="inlineStr">
        <is>
          <t>Customer</t>
        </is>
      </c>
      <c r="H2092" s="2" t="str">
        <f>=HYPERLINK("https://upbox.ajobthing.my/customer/203230", "https://upbox.ajobthing.my/customer/203230")</f>
        <v>https://upbox.ajobthing.my/customer/203230</v>
      </c>
      <c r="I2092" t="inlineStr">
        <is>
          <t>Midtown Group Berhad</t>
        </is>
      </c>
      <c r="J2092" t="inlineStr">
        <is>
          <t>Whale</t>
        </is>
      </c>
      <c r="K2092" t="inlineStr">
        <is>
          <t>Xin Quan</t>
        </is>
      </c>
      <c r="L2092" s="4"/>
      <c r="M2092" s="4">
        <v>46126.688101851854</v>
      </c>
      <c r="N2092"/>
      <c r="O2092">
        <v>6048</v>
      </c>
      <c r="P2092" s="4"/>
      <c r="Q2092" s="4"/>
      <c r="R2092"/>
      <c r="S2092"/>
      <c r="T2092" s="4"/>
      <c r="U2092" s="4"/>
      <c r="V2092"/>
      <c r="W2092"/>
      <c r="X2092"/>
      <c r="Y2092" t="inlineStr">
        <is>
          <t>Pending Appointment</t>
        </is>
      </c>
      <c r="Z2092" t="inlineStr">
        <is>
          <t>Hiring Now</t>
        </is>
      </c>
      <c r="AA2092">
        <v>5</v>
      </c>
      <c r="AB2092" t="inlineStr">
        <is>
          <t>No Appointment Made</t>
        </is>
      </c>
      <c r="AC2092"/>
      <c r="AD2092" t="inlineStr">
        <is>
          <t>5 Admin , Base in KL (New Project)</t>
        </is>
      </c>
      <c r="AE2092"/>
      <c r="AF2092">
        <v>10000</v>
      </c>
      <c r="AG2092" s="4"/>
      <c r="AH2092" s="4"/>
      <c r="AI2092">
        <v>120000</v>
      </c>
      <c r="AJ2092">
        <v>1</v>
      </c>
      <c r="AK2092" t="inlineStr">
        <is>
          <t>No, I don't need at all</t>
        </is>
      </c>
      <c r="AL2092">
        <v>1</v>
      </c>
      <c r="AM2092" t="inlineStr">
        <is>
          <t>No, I don't need at all</t>
        </is>
      </c>
      <c r="AN2092"/>
      <c r="AO2092" t="inlineStr">
        <is>
          <t>No, I don't need at all</t>
        </is>
      </c>
      <c r="AP2092" t="inlineStr">
        <is>
          <t>Once a year (25%)</t>
        </is>
      </c>
      <c r="AQ2092">
        <v>10</v>
      </c>
      <c r="AR2092"/>
      <c r="AS2092" t="inlineStr">
        <is>
          <t>- Headcount: 5
- Hiring Job Details: 5 Admin, Base in KL (New Project)
- Hiring Urgency: Hiring Now
- Number of outlets: 1
- Have recruiter team: No, I don't need at all
- Number of recruiter in company: 1
- Have ATS system: No, I don't need at all
- Have career website: No, I don't need at all
- Current hiring budget: RM10,000
- Whole year budget: RM120,000.00
- Whole year number of vacancies: 10
- Hiring frequency: Once a year (25%)
- External job portal: None</t>
        </is>
      </c>
      <c r="AT2092">
        <v>110</v>
      </c>
      <c r="AU2092" t="inlineStr">
        <is>
          <t>1.10</t>
        </is>
      </c>
      <c r="AV2092" t="inlineStr">
        <is>
          <t>20</t>
        </is>
      </c>
      <c r="AW2092" t="inlineStr">
        <is>
          <t>0</t>
        </is>
      </c>
      <c r="AX2092" t="inlineStr">
        <is>
          <t>Not Qualified</t>
        </is>
      </c>
      <c r="AY2092" s="4"/>
      <c r="AZ2092"/>
      <c r="BA2092"/>
      <c r="BB2092"/>
      <c r="BC2092" t="inlineStr">
        <is>
          <t>NH</t>
        </is>
      </c>
      <c r="BD2092" s="4">
        <v>46140.50303240741</v>
      </c>
      <c r="BE2092"/>
      <c r="BF2092"/>
      <c r="BG2092" t="inlineStr">
        <is>
          <t>Reschedule</t>
        </is>
      </c>
      <c r="BH2092" t="inlineStr">
        <is>
          <t>Edward Hoo</t>
        </is>
      </c>
      <c r="BI2092"/>
      <c r="BJ2092" s="4">
        <v>46144.75425925926</v>
      </c>
      <c r="BK2092" s="4">
        <v>46126.681875</v>
      </c>
      <c r="BL2092" t="inlineStr">
        <is>
          <t>0.0</t>
        </is>
      </c>
      <c r="BM2092" t="inlineStr">
        <is>
          <t>600.0</t>
        </is>
      </c>
      <c r="BN2092"/>
      <c r="BO2092" s="4"/>
      <c r="BP2092">
        <v>167026</v>
      </c>
      <c r="BQ2092"/>
      <c r="BR2092"/>
      <c r="BS2092"/>
      <c r="BT2092"/>
      <c r="BU2092"/>
      <c r="BV2092">
        <v>2732344</v>
      </c>
      <c r="BW2092" t="inlineStr">
        <is>
          <t>Inquire for Hiring Needs : No Hiring</t>
        </is>
      </c>
      <c r="BX2092"/>
      <c r="BY2092"/>
      <c r="BZ2092" s="4"/>
      <c r="CA2092"/>
      <c r="CB2092"/>
      <c r="CC2092" s="4"/>
      <c r="CD2092" t="inlineStr">
        <is>
          <t>30</t>
        </is>
      </c>
      <c r="CE2092" t="inlineStr">
        <is>
          <t>0</t>
        </is>
      </c>
      <c r="CF2092" t="inlineStr">
        <is>
          <t>Q2-W02</t>
        </is>
      </c>
      <c r="CG2092"/>
      <c r="CH2092"/>
      <c r="CI2092"/>
      <c r="CJ2092" t="inlineStr">
        <is>
          <t>No Paid</t>
        </is>
      </c>
      <c r="CK2092" t="inlineStr">
        <is>
          <t>Eligible</t>
        </is>
      </c>
      <c r="CL2092"/>
      <c r="CM2092"/>
    </row>
    <row r="2093" ht="25.5" customHeight="1">
      <c r="A2093" t="inlineStr">
        <is>
          <t>37401</t>
        </is>
      </c>
      <c r="B2093" s="2"/>
      <c r="C2093"/>
      <c r="D2093" s="3">
        <v>46126.69215277778</v>
      </c>
      <c r="E2093" t="inlineStr">
        <is>
          <t>Q2-W02</t>
        </is>
      </c>
      <c r="F2093" t="inlineStr">
        <is>
          <t>Josh</t>
        </is>
      </c>
      <c r="G2093" t="inlineStr">
        <is>
          <t>Customer</t>
        </is>
      </c>
      <c r="H2093" s="2" t="str">
        <f>=HYPERLINK("https://upbox.ajobthing.my/customer/37401", "https://upbox.ajobthing.my/customer/37401")</f>
        <v>https://upbox.ajobthing.my/customer/37401</v>
      </c>
      <c r="I2093" t="inlineStr">
        <is>
          <t>Xeno Design Sdn Bhd</t>
        </is>
      </c>
      <c r="J2093" t="inlineStr">
        <is>
          <t>Whale</t>
        </is>
      </c>
      <c r="K2093" t="inlineStr">
        <is>
          <t>Josh</t>
        </is>
      </c>
      <c r="L2093" s="4"/>
      <c r="M2093" s="4">
        <v>46126.70350694445</v>
      </c>
      <c r="N2093"/>
      <c r="O2093">
        <v>3672</v>
      </c>
      <c r="P2093" s="4"/>
      <c r="Q2093" s="4">
        <v>46115.39071759259</v>
      </c>
      <c r="R2093"/>
      <c r="S2093">
        <v>0</v>
      </c>
      <c r="T2093" s="4">
        <v>45737.862337962964</v>
      </c>
      <c r="U2093" s="4"/>
      <c r="V2093"/>
      <c r="W2093">
        <v>2916</v>
      </c>
      <c r="X2093"/>
      <c r="Y2093" t="inlineStr">
        <is>
          <t>Pending Appointment</t>
        </is>
      </c>
      <c r="Z2093" t="inlineStr">
        <is>
          <t>Hiring Now</t>
        </is>
      </c>
      <c r="AA2093">
        <v>1</v>
      </c>
      <c r="AB2093" t="inlineStr">
        <is>
          <t>No Appointment Made</t>
        </is>
      </c>
      <c r="AC2093"/>
      <c r="AD2093" t="inlineStr">
        <is>
          <t xml:space="preserve">1 graphic designer </t>
        </is>
      </c>
      <c r="AE2093"/>
      <c r="AF2093">
        <v>1000</v>
      </c>
      <c r="AG2093" s="4"/>
      <c r="AH2093" s="4"/>
      <c r="AI2093"/>
      <c r="AJ2093"/>
      <c r="AK2093" t="inlineStr">
        <is>
          <t>Yes, I have</t>
        </is>
      </c>
      <c r="AL2093">
        <v>1</v>
      </c>
      <c r="AM2093"/>
      <c r="AN2093"/>
      <c r="AO2093"/>
      <c r="AP2093" t="inlineStr">
        <is>
          <t>Once a year (25%)</t>
        </is>
      </c>
      <c r="AQ2093"/>
      <c r="AR2093"/>
      <c r="AS2093" t="inlineStr">
        <is>
          <t>- Headcount: 1
- Hiring Job Details: 1 graphic designer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is>
      </c>
      <c r="AT2093">
        <v>95</v>
      </c>
      <c r="AU2093" t="inlineStr">
        <is>
          <t>0.95</t>
        </is>
      </c>
      <c r="AV2093" t="inlineStr">
        <is>
          <t>15</t>
        </is>
      </c>
      <c r="AW2093" t="inlineStr">
        <is>
          <t>0</t>
        </is>
      </c>
      <c r="AX2093" t="inlineStr">
        <is>
          <t>Not Qualified</t>
        </is>
      </c>
      <c r="AY2093" s="4"/>
      <c r="AZ2093"/>
      <c r="BA2093"/>
      <c r="BB2093"/>
      <c r="BC2093" t="inlineStr">
        <is>
          <t>pending decision</t>
        </is>
      </c>
      <c r="BD2093" s="4">
        <v>46140.48716435185</v>
      </c>
      <c r="BE2093" t="inlineStr">
        <is>
          <t>paid</t>
        </is>
      </c>
      <c r="BF2093"/>
      <c r="BG2093" t="inlineStr">
        <is>
          <t>Reschedule</t>
        </is>
      </c>
      <c r="BH2093" t="inlineStr">
        <is>
          <t>Fauziah Maharan</t>
        </is>
      </c>
      <c r="BI2093" t="inlineStr">
        <is>
          <t>Architecture / Interior Design</t>
        </is>
      </c>
      <c r="BJ2093" s="4">
        <v>46144.7547337963</v>
      </c>
      <c r="BK2093" s="4">
        <v>42872.87311342593</v>
      </c>
      <c r="BL2093" t="inlineStr">
        <is>
          <t>0.0</t>
        </is>
      </c>
      <c r="BM2093" t="inlineStr">
        <is>
          <t>3600.0</t>
        </is>
      </c>
      <c r="BN2093" t="inlineStr">
        <is>
          <t>View Jobmanager Page</t>
        </is>
      </c>
      <c r="BO2093" s="4">
        <v>46129.51403935185</v>
      </c>
      <c r="BP2093">
        <v>167035</v>
      </c>
      <c r="BQ2093">
        <v>119753</v>
      </c>
      <c r="BR2093" t="inlineStr">
        <is>
          <t>Proforma</t>
        </is>
      </c>
      <c r="BS2093" t="inlineStr">
        <is>
          <t>Free Freelance Job</t>
        </is>
      </c>
      <c r="BT2093">
        <v>77872</v>
      </c>
      <c r="BU2093"/>
      <c r="BV2093">
        <v>2732214</v>
      </c>
      <c r="BW2093" t="inlineStr">
        <is>
          <t>Follow Up : Decision Pending</t>
        </is>
      </c>
      <c r="BX2093"/>
      <c r="BY2093"/>
      <c r="BZ2093" s="4"/>
      <c r="CA2093"/>
      <c r="CB2093"/>
      <c r="CC2093" s="4"/>
      <c r="CD2093" t="inlineStr">
        <is>
          <t>20</t>
        </is>
      </c>
      <c r="CE2093" t="inlineStr">
        <is>
          <t>0</t>
        </is>
      </c>
      <c r="CF2093" t="inlineStr">
        <is>
          <t>Q2-W02</t>
        </is>
      </c>
      <c r="CG2093" t="inlineStr">
        <is>
          <t>Q2-W01</t>
        </is>
      </c>
      <c r="CH2093"/>
      <c r="CI2093"/>
      <c r="CJ2093" t="inlineStr">
        <is>
          <t>Paid</t>
        </is>
      </c>
      <c r="CK2093" t="inlineStr">
        <is>
          <t>Eligible</t>
        </is>
      </c>
      <c r="CL2093"/>
      <c r="CM2093"/>
    </row>
    <row r="2094" ht="25.5" customHeight="1">
      <c r="A2094" t="inlineStr">
        <is>
          <t>203229</t>
        </is>
      </c>
      <c r="B2094" s="2"/>
      <c r="C2094"/>
      <c r="D2094" s="3">
        <v>46126.69335648148</v>
      </c>
      <c r="E2094" t="inlineStr">
        <is>
          <t>Q2-W02</t>
        </is>
      </c>
      <c r="F2094" t="inlineStr">
        <is>
          <t>Ratha</t>
        </is>
      </c>
      <c r="G2094" t="inlineStr">
        <is>
          <t>Customer</t>
        </is>
      </c>
      <c r="H2094" s="2" t="str">
        <f>=HYPERLINK("https://upbox.ajobthing.my/customer/203229", "https://upbox.ajobthing.my/customer/203229")</f>
        <v>https://upbox.ajobthing.my/customer/203229</v>
      </c>
      <c r="I2094" t="inlineStr">
        <is>
          <t xml:space="preserve">C-care Enterprise Sdn. Bhd. </t>
        </is>
      </c>
      <c r="J2094" t="inlineStr">
        <is>
          <t>Whale</t>
        </is>
      </c>
      <c r="K2094" t="inlineStr">
        <is>
          <t>Ratha</t>
        </is>
      </c>
      <c r="L2094" s="4"/>
      <c r="M2094" s="4">
        <v>46126.708958333336</v>
      </c>
      <c r="N2094"/>
      <c r="O2094">
        <v>10800</v>
      </c>
      <c r="P2094" s="4"/>
      <c r="Q2094" s="4"/>
      <c r="R2094"/>
      <c r="S2094"/>
      <c r="T2094" s="4"/>
      <c r="U2094" s="4"/>
      <c r="V2094"/>
      <c r="W2094"/>
      <c r="X2094"/>
      <c r="Y2094" t="inlineStr">
        <is>
          <t>Pending Appointment</t>
        </is>
      </c>
      <c r="Z2094" t="inlineStr">
        <is>
          <t>Hiring Now</t>
        </is>
      </c>
      <c r="AA2094">
        <v>4</v>
      </c>
      <c r="AB2094" t="inlineStr">
        <is>
          <t>No Appointment Made</t>
        </is>
      </c>
      <c r="AC2094"/>
      <c r="AD2094" t="inlineStr">
        <is>
          <t>Account : 2 to 3
HR : 1
Location : Sabah</t>
        </is>
      </c>
      <c r="AE2094"/>
      <c r="AF2094"/>
      <c r="AG2094" s="4"/>
      <c r="AH2094" s="4"/>
      <c r="AI2094">
        <v>0</v>
      </c>
      <c r="AJ2094">
        <v>1</v>
      </c>
      <c r="AK2094" t="inlineStr">
        <is>
          <t>Yes, I have</t>
        </is>
      </c>
      <c r="AL2094">
        <v>2</v>
      </c>
      <c r="AM2094" t="inlineStr">
        <is>
          <t>No, I don't need at all</t>
        </is>
      </c>
      <c r="AN2094"/>
      <c r="AO2094" t="inlineStr">
        <is>
          <t>No, I don't need at all</t>
        </is>
      </c>
      <c r="AP2094" t="inlineStr">
        <is>
          <t>Every month (100%)</t>
        </is>
      </c>
      <c r="AQ2094">
        <v>0</v>
      </c>
      <c r="AR2094" t="inlineStr">
        <is>
          <t>Free Job Portal</t>
        </is>
      </c>
      <c r="AS2094" t="inlineStr">
        <is>
          <t>- Headcount: 4
- Hiring Job Details: Account (2 to 3), HR (1); Location: Sabah
- Hiring Urgency: Hiring Now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Free Job Portal</t>
        </is>
      </c>
      <c r="AT2094">
        <v>100</v>
      </c>
      <c r="AU2094" t="inlineStr">
        <is>
          <t>1.00</t>
        </is>
      </c>
      <c r="AV2094" t="inlineStr">
        <is>
          <t>5</t>
        </is>
      </c>
      <c r="AW2094" t="inlineStr">
        <is>
          <t>0</t>
        </is>
      </c>
      <c r="AX2094" t="inlineStr">
        <is>
          <t>Not Qualified</t>
        </is>
      </c>
      <c r="AY2094" s="4"/>
      <c r="AZ2094"/>
      <c r="BA2094"/>
      <c r="BB2094"/>
      <c r="BC2094" t="inlineStr">
        <is>
          <t>not proceed</t>
        </is>
      </c>
      <c r="BD2094" s="4">
        <v>46129.572847222225</v>
      </c>
      <c r="BE2094"/>
      <c r="BF2094"/>
      <c r="BG2094" t="inlineStr">
        <is>
          <t>Reschedule</t>
        </is>
      </c>
      <c r="BH2094" t="inlineStr">
        <is>
          <t>Fauziah Maharan</t>
        </is>
      </c>
      <c r="BI2094"/>
      <c r="BJ2094" s="4">
        <v>46144.75425925926</v>
      </c>
      <c r="BK2094" s="4">
        <v>46126.68099537037</v>
      </c>
      <c r="BL2094" t="inlineStr">
        <is>
          <t>0.0</t>
        </is>
      </c>
      <c r="BM2094" t="inlineStr">
        <is>
          <t>0.0</t>
        </is>
      </c>
      <c r="BN2094" t="inlineStr">
        <is>
          <t>User Visit(Logged In)</t>
        </is>
      </c>
      <c r="BO2094" s="4">
        <v>46126.68106481482</v>
      </c>
      <c r="BP2094">
        <v>167039</v>
      </c>
      <c r="BQ2094"/>
      <c r="BR2094"/>
      <c r="BS2094"/>
      <c r="BT2094"/>
      <c r="BU2094"/>
      <c r="BV2094">
        <v>2711958</v>
      </c>
      <c r="BW2094" t="inlineStr">
        <is>
          <t>Follow Up : Budget Concern</t>
        </is>
      </c>
      <c r="BX2094"/>
      <c r="BY2094"/>
      <c r="BZ2094" s="4"/>
      <c r="CA2094"/>
      <c r="CB2094"/>
      <c r="CC2094" s="4"/>
      <c r="CD2094" t="inlineStr">
        <is>
          <t>5</t>
        </is>
      </c>
      <c r="CE2094" t="inlineStr">
        <is>
          <t>0</t>
        </is>
      </c>
      <c r="CF2094" t="inlineStr">
        <is>
          <t>Q2-W02</t>
        </is>
      </c>
      <c r="CG2094"/>
      <c r="CH2094"/>
      <c r="CI2094"/>
      <c r="CJ2094" t="inlineStr">
        <is>
          <t>No Paid</t>
        </is>
      </c>
      <c r="CK2094" t="inlineStr">
        <is>
          <t>Eligible</t>
        </is>
      </c>
      <c r="CL2094"/>
      <c r="CM2094"/>
    </row>
    <row r="2095" ht="25.5" customHeight="1">
      <c r="A2095" t="inlineStr">
        <is>
          <t>185367</t>
        </is>
      </c>
      <c r="B2095" s="2"/>
      <c r="C2095"/>
      <c r="D2095" s="3">
        <v>46126.72137731482</v>
      </c>
      <c r="E2095" t="inlineStr">
        <is>
          <t>Q2-W02</t>
        </is>
      </c>
      <c r="F2095" t="inlineStr">
        <is>
          <t>Yuli</t>
        </is>
      </c>
      <c r="G2095" t="inlineStr">
        <is>
          <t>Customer</t>
        </is>
      </c>
      <c r="H2095" s="2" t="str">
        <f>=HYPERLINK("https://upbox.ajobthing.my/customer/185367", "https://upbox.ajobthing.my/customer/185367")</f>
        <v>https://upbox.ajobthing.my/customer/185367</v>
      </c>
      <c r="I2095" t="inlineStr">
        <is>
          <t>East Coast Economic Region Development Council (Ecerdc)</t>
        </is>
      </c>
      <c r="J2095" t="inlineStr">
        <is>
          <t>Whale</t>
        </is>
      </c>
      <c r="K2095" t="inlineStr">
        <is>
          <t>YuLi</t>
        </is>
      </c>
      <c r="L2095" s="4"/>
      <c r="M2095" s="4">
        <v>46126.72152777778</v>
      </c>
      <c r="N2095"/>
      <c r="O2095">
        <v>11448</v>
      </c>
      <c r="P2095" s="4"/>
      <c r="Q2095" s="4"/>
      <c r="R2095"/>
      <c r="S2095"/>
      <c r="T2095" s="4"/>
      <c r="U2095" s="4"/>
      <c r="V2095"/>
      <c r="W2095"/>
      <c r="X2095"/>
      <c r="Y2095" t="inlineStr">
        <is>
          <t>Pending Appointment</t>
        </is>
      </c>
      <c r="Z2095" t="inlineStr">
        <is>
          <t>Hiring Now</t>
        </is>
      </c>
      <c r="AA2095">
        <v>2</v>
      </c>
      <c r="AB2095" t="inlineStr">
        <is>
          <t>No Appointment Made</t>
        </is>
      </c>
      <c r="AC2095"/>
      <c r="AD2095" t="inlineStr">
        <is>
          <t xml:space="preserve"> Senior Position and Manager</t>
        </is>
      </c>
      <c r="AE2095"/>
      <c r="AF2095"/>
      <c r="AG2095" s="4"/>
      <c r="AH2095" s="4"/>
      <c r="AI2095"/>
      <c r="AJ2095"/>
      <c r="AK2095"/>
      <c r="AL2095"/>
      <c r="AM2095"/>
      <c r="AN2095"/>
      <c r="AO2095" t="inlineStr">
        <is>
          <t>Yes, I have</t>
        </is>
      </c>
      <c r="AP2095"/>
      <c r="AQ2095"/>
      <c r="AR2095" t="inlineStr">
        <is>
          <t>Jobstreet</t>
        </is>
      </c>
      <c r="AS2095" t="inlineStr">
        <is>
          <t>- Headcount: 2
- Hiring Job Details: Senior Position and Manager
- Number of outlets: N/A
- Have recruiter team: N/A
- Number of recruiter in company: N/A
- Have ATS system: N/A
- Have career website: Yes
- Current hiring budget: N/A
- Whole year budget: N/A
- Whole year number of vacancies: N/A
- Hiring frequency: N/A
- External job portal: Jobstreet
- Hiring Urgency: Hiring Now</t>
        </is>
      </c>
      <c r="AT2095">
        <v>75</v>
      </c>
      <c r="AU2095" t="inlineStr">
        <is>
          <t>0.75</t>
        </is>
      </c>
      <c r="AV2095" t="inlineStr">
        <is>
          <t>5</t>
        </is>
      </c>
      <c r="AW2095" t="inlineStr">
        <is>
          <t>0</t>
        </is>
      </c>
      <c r="AX2095" t="inlineStr">
        <is>
          <t>Not Qualified</t>
        </is>
      </c>
      <c r="AY2095" s="4"/>
      <c r="AZ2095"/>
      <c r="BA2095"/>
      <c r="BB2095"/>
      <c r="BC2095" t="inlineStr">
        <is>
          <t>Spoke to Ms. Azlena, their mgmt is decided to Jobstreet as they are familar with jobstreet facing challenge on getting mandarin speaker cdt, but they already decided,</t>
        </is>
      </c>
      <c r="BD2095" s="4">
        <v>46140.69322916667</v>
      </c>
      <c r="BE2095"/>
      <c r="BF2095"/>
      <c r="BG2095" t="inlineStr">
        <is>
          <t>Reschedule</t>
        </is>
      </c>
      <c r="BH2095" t="inlineStr">
        <is>
          <t>Fauziah Maharan</t>
        </is>
      </c>
      <c r="BI2095"/>
      <c r="BJ2095" s="4">
        <v>46142.814571759256</v>
      </c>
      <c r="BK2095" s="4">
        <v>45626.775983796295</v>
      </c>
      <c r="BL2095" t="inlineStr">
        <is>
          <t>0.0</t>
        </is>
      </c>
      <c r="BM2095" t="inlineStr">
        <is>
          <t>0.0</t>
        </is>
      </c>
      <c r="BN2095" t="inlineStr">
        <is>
          <t>User Login</t>
        </is>
      </c>
      <c r="BO2095" s="4">
        <v>45627.94167824074</v>
      </c>
      <c r="BP2095">
        <v>167046</v>
      </c>
      <c r="BQ2095"/>
      <c r="BR2095"/>
      <c r="BS2095"/>
      <c r="BT2095"/>
      <c r="BU2095"/>
      <c r="BV2095">
        <v>2733510</v>
      </c>
      <c r="BW2095" t="inlineStr">
        <is>
          <t>Follow Up : Lost - Paid Portal</t>
        </is>
      </c>
      <c r="BX2095"/>
      <c r="BY2095"/>
      <c r="BZ2095" s="4"/>
      <c r="CA2095"/>
      <c r="CB2095"/>
      <c r="CC2095" s="4"/>
      <c r="CD2095" t="inlineStr">
        <is>
          <t>5</t>
        </is>
      </c>
      <c r="CE2095" t="inlineStr">
        <is>
          <t>0</t>
        </is>
      </c>
      <c r="CF2095" t="inlineStr">
        <is>
          <t>Q2-W02</t>
        </is>
      </c>
      <c r="CG2095"/>
      <c r="CH2095"/>
      <c r="CI2095"/>
      <c r="CJ2095" t="inlineStr">
        <is>
          <t>No Paid</t>
        </is>
      </c>
      <c r="CK2095" t="inlineStr">
        <is>
          <t>Eligible</t>
        </is>
      </c>
      <c r="CL2095"/>
      <c r="CM2095"/>
    </row>
    <row r="2096" ht="25.5" customHeight="1">
      <c r="A2096" t="inlineStr">
        <is>
          <t>185367</t>
        </is>
      </c>
      <c r="B2096" s="2"/>
      <c r="C2096"/>
      <c r="D2096" s="3">
        <v>46126.73144675926</v>
      </c>
      <c r="E2096" t="inlineStr">
        <is>
          <t>Q2-W02</t>
        </is>
      </c>
      <c r="F2096" t="inlineStr">
        <is>
          <t>Yuli</t>
        </is>
      </c>
      <c r="G2096" t="inlineStr">
        <is>
          <t>Customer</t>
        </is>
      </c>
      <c r="H2096" s="2" t="str">
        <f>=HYPERLINK("https://upbox.ajobthing.my/customer/185367", "https://upbox.ajobthing.my/customer/185367")</f>
        <v>https://upbox.ajobthing.my/customer/185367</v>
      </c>
      <c r="I2096" t="inlineStr">
        <is>
          <t>East Coast Economic Region Development Council (Ecerdc)</t>
        </is>
      </c>
      <c r="J2096" t="inlineStr">
        <is>
          <t>Whale</t>
        </is>
      </c>
      <c r="K2096" t="inlineStr">
        <is>
          <t>YuLi</t>
        </is>
      </c>
      <c r="L2096" s="4"/>
      <c r="M2096" s="4">
        <v>46126.72152777778</v>
      </c>
      <c r="N2096"/>
      <c r="O2096">
        <v>11448</v>
      </c>
      <c r="P2096" s="4"/>
      <c r="Q2096" s="4"/>
      <c r="R2096"/>
      <c r="S2096"/>
      <c r="T2096" s="4"/>
      <c r="U2096" s="4"/>
      <c r="V2096"/>
      <c r="W2096"/>
      <c r="X2096"/>
      <c r="Y2096" t="inlineStr">
        <is>
          <t>Pending Appointment</t>
        </is>
      </c>
      <c r="Z2096" t="inlineStr">
        <is>
          <t>Hiring Now</t>
        </is>
      </c>
      <c r="AA2096">
        <v>15</v>
      </c>
      <c r="AB2096" t="inlineStr">
        <is>
          <t>No Appointment Made</t>
        </is>
      </c>
      <c r="AC2096"/>
      <c r="AD2096" t="inlineStr">
        <is>
          <t>mgr &amp; sr exec -10-20 headcount</t>
        </is>
      </c>
      <c r="AE2096"/>
      <c r="AF2096"/>
      <c r="AG2096" s="4"/>
      <c r="AH2096" s="4"/>
      <c r="AI2096"/>
      <c r="AJ2096"/>
      <c r="AK2096"/>
      <c r="AL2096"/>
      <c r="AM2096"/>
      <c r="AN2096"/>
      <c r="AO2096" t="inlineStr">
        <is>
          <t>Yes, I have</t>
        </is>
      </c>
      <c r="AP2096"/>
      <c r="AQ2096"/>
      <c r="AR2096" t="inlineStr">
        <is>
          <t>Jobstreet</t>
        </is>
      </c>
      <c r="AS2096" t="inlineStr">
        <is>
          <t>- Headcount: 15
- Hiring Job Details: mgr &amp; sr exec -10-20 headcount
- Hiring Urgency: Hiring Now
- Number of outlets: Not available
- Have recruiter team: Not available
- Number of recruiter in company: Not available
- Have ATS system: Not available
- Have career website: Yes
- Current hiring budget: Not available
- Whole year budget: Not available
- Whole year number of vacancies: Not available
- Hiring frequency: Not available
- External job portal: Jobstreet</t>
        </is>
      </c>
      <c r="AT2096">
        <v>65</v>
      </c>
      <c r="AU2096" t="inlineStr">
        <is>
          <t>0.65</t>
        </is>
      </c>
      <c r="AV2096" t="inlineStr">
        <is>
          <t>15</t>
        </is>
      </c>
      <c r="AW2096" t="inlineStr">
        <is>
          <t>0</t>
        </is>
      </c>
      <c r="AX2096" t="inlineStr">
        <is>
          <t>Not Qualified</t>
        </is>
      </c>
      <c r="AY2096" s="4"/>
      <c r="AZ2096"/>
      <c r="BA2096"/>
      <c r="BB2096"/>
      <c r="BC2096" t="inlineStr">
        <is>
          <t>Spoke to Ms. Azlena, their mgmt is decided to Jobstreet as they are familar with jobstreet facing challenge on getting mandarin speaker cdt, but they already decided,</t>
        </is>
      </c>
      <c r="BD2096" s="4">
        <v>46140.69322916667</v>
      </c>
      <c r="BE2096"/>
      <c r="BF2096"/>
      <c r="BG2096" t="inlineStr">
        <is>
          <t>Reschedule</t>
        </is>
      </c>
      <c r="BH2096" t="inlineStr">
        <is>
          <t>Fauziah Maharan</t>
        </is>
      </c>
      <c r="BI2096"/>
      <c r="BJ2096" s="4">
        <v>46142.814571759256</v>
      </c>
      <c r="BK2096" s="4">
        <v>45626.775983796295</v>
      </c>
      <c r="BL2096" t="inlineStr">
        <is>
          <t>0.0</t>
        </is>
      </c>
      <c r="BM2096" t="inlineStr">
        <is>
          <t>0.0</t>
        </is>
      </c>
      <c r="BN2096" t="inlineStr">
        <is>
          <t>User Login</t>
        </is>
      </c>
      <c r="BO2096" s="4">
        <v>45627.94167824074</v>
      </c>
      <c r="BP2096">
        <v>167046</v>
      </c>
      <c r="BQ2096"/>
      <c r="BR2096"/>
      <c r="BS2096"/>
      <c r="BT2096"/>
      <c r="BU2096"/>
      <c r="BV2096">
        <v>2733510</v>
      </c>
      <c r="BW2096" t="inlineStr">
        <is>
          <t>Follow Up : Lost - Paid Portal</t>
        </is>
      </c>
      <c r="BX2096"/>
      <c r="BY2096"/>
      <c r="BZ2096" s="4"/>
      <c r="CA2096"/>
      <c r="CB2096"/>
      <c r="CC2096" s="4"/>
      <c r="CD2096" t="inlineStr">
        <is>
          <t>20</t>
        </is>
      </c>
      <c r="CE2096" t="inlineStr">
        <is>
          <t>0</t>
        </is>
      </c>
      <c r="CF2096" t="inlineStr">
        <is>
          <t>Q2-W02</t>
        </is>
      </c>
      <c r="CG2096"/>
      <c r="CH2096"/>
      <c r="CI2096"/>
      <c r="CJ2096" t="inlineStr">
        <is>
          <t>No Paid</t>
        </is>
      </c>
      <c r="CK2096" t="inlineStr">
        <is>
          <t>Eligible</t>
        </is>
      </c>
      <c r="CL2096"/>
      <c r="CM2096"/>
    </row>
    <row r="2097" ht="25.5" customHeight="1">
      <c r="A2097" t="inlineStr">
        <is>
          <t>185842</t>
        </is>
      </c>
      <c r="B2097" s="2"/>
      <c r="C2097"/>
      <c r="D2097" s="3">
        <v>46126.738171296296</v>
      </c>
      <c r="E2097" t="inlineStr">
        <is>
          <t>Q2-W02</t>
        </is>
      </c>
      <c r="F2097" t="inlineStr">
        <is>
          <t>andy@ajobthing.com</t>
        </is>
      </c>
      <c r="G2097" t="inlineStr">
        <is>
          <t>Customer</t>
        </is>
      </c>
      <c r="H2097" s="2" t="str">
        <f>=HYPERLINK("https://upbox.ajobthing.my/customer/185842", "https://upbox.ajobthing.my/customer/185842")</f>
        <v>https://upbox.ajobthing.my/customer/185842</v>
      </c>
      <c r="I2097" t="inlineStr">
        <is>
          <t>M.T.M Realty Sdn Bhd</t>
        </is>
      </c>
      <c r="J2097" t="inlineStr">
        <is>
          <t>Whale</t>
        </is>
      </c>
      <c r="K2097" t="inlineStr">
        <is>
          <t>Andy</t>
        </is>
      </c>
      <c r="L2097" s="4"/>
      <c r="M2097" s="4">
        <v>46126.75445601852</v>
      </c>
      <c r="N2097"/>
      <c r="O2097">
        <v>3456</v>
      </c>
      <c r="P2097" s="4"/>
      <c r="Q2097" s="4">
        <v>46127.501875</v>
      </c>
      <c r="R2097"/>
      <c r="S2097">
        <v>0</v>
      </c>
      <c r="T2097" s="4"/>
      <c r="U2097" s="4"/>
      <c r="V2097"/>
      <c r="W2097"/>
      <c r="X2097" t="inlineStr">
        <is>
          <t>andy@ajobthing.com</t>
        </is>
      </c>
      <c r="Y2097" t="inlineStr">
        <is>
          <t>Done Appointment</t>
        </is>
      </c>
      <c r="Z2097" t="inlineStr">
        <is>
          <t>Continuous Hiring</t>
        </is>
      </c>
      <c r="AA2097">
        <v>1</v>
      </c>
      <c r="AB2097" t="inlineStr">
        <is>
          <t>Appointment Made</t>
        </is>
      </c>
      <c r="AC2097" t="inlineStr">
        <is>
          <t>Large (101-300 employees)</t>
        </is>
      </c>
      <c r="AD2097" t="inlineStr">
        <is>
          <t>Event manager</t>
        </is>
      </c>
      <c r="AE2097" t="inlineStr">
        <is>
          <t>HR Director / Senior HR Lead</t>
        </is>
      </c>
      <c r="AF2097">
        <v>10000</v>
      </c>
      <c r="AG2097" s="4">
        <v>46126.604166666664</v>
      </c>
      <c r="AH2097" s="4">
        <v>46126.625</v>
      </c>
      <c r="AI2097">
        <v>10000</v>
      </c>
      <c r="AJ2097">
        <v>10</v>
      </c>
      <c r="AK2097" t="inlineStr">
        <is>
          <t>Yes, I have</t>
        </is>
      </c>
      <c r="AL2097">
        <v>1</v>
      </c>
      <c r="AM2097" t="inlineStr">
        <is>
          <t>No, I don't need at all</t>
        </is>
      </c>
      <c r="AN2097"/>
      <c r="AO2097" t="inlineStr">
        <is>
          <t>No, I don't need at all</t>
        </is>
      </c>
      <c r="AP2097" t="inlineStr">
        <is>
          <t>Once per quarter (75%)</t>
        </is>
      </c>
      <c r="AQ2097">
        <v>30</v>
      </c>
      <c r="AR2097" t="inlineStr">
        <is>
          <t>Jobstreet</t>
        </is>
      </c>
      <c r="AS2097" t="inlineStr">
        <is>
          <t>- Headcount: 1
- Hiring Job Details: Event manager
- Hiring Urgency: Continuous Hiring
- Number of outlets: 10
- Have recruiter team: Yes
- Number of recruiter in company: 1
- Have ATS system: No, I don't need at all
- Have career website: No, I don't need at all
- Current hiring budget: RM10,000
- Whole year budget: RM10,000.00
- Whole year number of vacancies: 30
- Hiring frequency: Once per quarter (75%)
- External job portal: Jobstreet</t>
        </is>
      </c>
      <c r="AT2097">
        <v>110</v>
      </c>
      <c r="AU2097" t="inlineStr">
        <is>
          <t>1.10</t>
        </is>
      </c>
      <c r="AV2097" t="inlineStr">
        <is>
          <t>45</t>
        </is>
      </c>
      <c r="AW2097" t="inlineStr">
        <is>
          <t>0.5</t>
        </is>
      </c>
      <c r="AX2097" t="inlineStr">
        <is>
          <t>Not Qualified</t>
        </is>
      </c>
      <c r="AY2097" s="4">
        <v>46126.768530092595</v>
      </c>
      <c r="AZ2097" t="inlineStr">
        <is>
          <t>andy@ajobthing.com</t>
        </is>
      </c>
      <c r="BA2097"/>
      <c r="BB2097"/>
      <c r="BC2097" t="inlineStr">
        <is>
          <t>- Headcount: 1
- Hiring Job Details: Event manager
- Hiring Urgency: Continuous Hiring
- Number of outlets: 10
- Have recruiter team: Yes
- Number of recruiter in company: 1
- Have ATS system: No, I don't need at all
- Have career website: No, I don't need at all
- Current hiring budget: RM10,000
- Whole year budget: RM10,000.00
- Whole year number of vacancies: 30
- Hiring frequency: Once per quarter (75%)
- External job portal: Jobstreet</t>
        </is>
      </c>
      <c r="BD2097" s="4">
        <v>46126.7500462963</v>
      </c>
      <c r="BE2097" t="inlineStr">
        <is>
          <t>paid</t>
        </is>
      </c>
      <c r="BF2097"/>
      <c r="BG2097" t="inlineStr">
        <is>
          <t>Reschedule</t>
        </is>
      </c>
      <c r="BH2097"/>
      <c r="BI2097" t="inlineStr">
        <is>
          <t>Exhibitions / Event Mgmt</t>
        </is>
      </c>
      <c r="BJ2097" s="4">
        <v>46144.752071759256</v>
      </c>
      <c r="BK2097" s="4">
        <v>45642.47972222222</v>
      </c>
      <c r="BL2097" t="inlineStr">
        <is>
          <t>0.0</t>
        </is>
      </c>
      <c r="BM2097" t="inlineStr">
        <is>
          <t>1200.0</t>
        </is>
      </c>
      <c r="BN2097" t="inlineStr">
        <is>
          <t>User Visit(Logged In)</t>
        </is>
      </c>
      <c r="BO2097" s="4">
        <v>46139.416921296295</v>
      </c>
      <c r="BP2097">
        <v>167059</v>
      </c>
      <c r="BQ2097">
        <v>122487</v>
      </c>
      <c r="BR2097" t="inlineStr">
        <is>
          <t>Proforma</t>
        </is>
      </c>
      <c r="BS2097" t="inlineStr">
        <is>
          <t>Free High Pay Job</t>
        </is>
      </c>
      <c r="BT2097"/>
      <c r="BU2097"/>
      <c r="BV2097">
        <v>2704728</v>
      </c>
      <c r="BW2097" t="inlineStr">
        <is>
          <t>Customer Inquiry</t>
        </is>
      </c>
      <c r="BX2097">
        <v>300</v>
      </c>
      <c r="BY2097">
        <v>298</v>
      </c>
      <c r="BZ2097" s="4">
        <v>46128.749375</v>
      </c>
      <c r="CA2097">
        <v>13</v>
      </c>
      <c r="CB2097">
        <v>13</v>
      </c>
      <c r="CC2097" s="4"/>
      <c r="CD2097" t="inlineStr">
        <is>
          <t>60</t>
        </is>
      </c>
      <c r="CE2097" t="inlineStr">
        <is>
          <t>0.8</t>
        </is>
      </c>
      <c r="CF2097" t="inlineStr">
        <is>
          <t>Q2-W02</t>
        </is>
      </c>
      <c r="CG2097" t="inlineStr">
        <is>
          <t>Q2-W02</t>
        </is>
      </c>
      <c r="CH2097"/>
      <c r="CI2097" t="inlineStr">
        <is>
          <t>Q2-W02</t>
        </is>
      </c>
      <c r="CJ2097" t="inlineStr">
        <is>
          <t>No Paid</t>
        </is>
      </c>
      <c r="CK2097" t="inlineStr">
        <is>
          <t>Eligible</t>
        </is>
      </c>
      <c r="CL2097"/>
      <c r="CM2097" t="inlineStr">
        <is>
          <t>Q2-W02</t>
        </is>
      </c>
    </row>
    <row r="2098" ht="25.5" customHeight="1">
      <c r="A2098" t="inlineStr">
        <is>
          <t>156532</t>
        </is>
      </c>
      <c r="B2098" s="2"/>
      <c r="C2098"/>
      <c r="D2098" s="3">
        <v>46126.74105324074</v>
      </c>
      <c r="E2098" t="inlineStr">
        <is>
          <t>Q2-W02</t>
        </is>
      </c>
      <c r="F2098" t="inlineStr">
        <is>
          <t>Alan KY</t>
        </is>
      </c>
      <c r="G2098" t="inlineStr">
        <is>
          <t>Customer</t>
        </is>
      </c>
      <c r="H2098" s="2" t="str">
        <f>=HYPERLINK("https://upbox.ajobthing.my/customer/156532", "https://upbox.ajobthing.my/customer/156532")</f>
        <v>https://upbox.ajobthing.my/customer/156532</v>
      </c>
      <c r="I2098" t="inlineStr">
        <is>
          <t>LHO &amp; Associates</t>
        </is>
      </c>
      <c r="J2098" t="inlineStr">
        <is>
          <t>Whale</t>
        </is>
      </c>
      <c r="K2098" t="inlineStr">
        <is>
          <t>Alan KY</t>
        </is>
      </c>
      <c r="L2098" s="4"/>
      <c r="M2098" s="4">
        <v>46126.44856481482</v>
      </c>
      <c r="N2098"/>
      <c r="O2098">
        <v>4644</v>
      </c>
      <c r="P2098" s="4"/>
      <c r="Q2098" s="4">
        <v>46134.74015046296</v>
      </c>
      <c r="R2098"/>
      <c r="S2098">
        <v>4536</v>
      </c>
      <c r="T2098" s="4">
        <v>46134.74015046296</v>
      </c>
      <c r="U2098" s="4"/>
      <c r="V2098"/>
      <c r="W2098">
        <v>4536</v>
      </c>
      <c r="X2098"/>
      <c r="Y2098" t="inlineStr">
        <is>
          <t>Pending Appointment</t>
        </is>
      </c>
      <c r="Z2098" t="inlineStr">
        <is>
          <t>Hiring Now</t>
        </is>
      </c>
      <c r="AA2098">
        <v>2</v>
      </c>
      <c r="AB2098" t="inlineStr">
        <is>
          <t>No Appointment Made</t>
        </is>
      </c>
      <c r="AC2098"/>
      <c r="AD2098" t="inlineStr">
        <is>
          <t xml:space="preserve">audit , account assistant , based in KL </t>
        </is>
      </c>
      <c r="AE2098"/>
      <c r="AF2098"/>
      <c r="AG2098" s="4"/>
      <c r="AH2098" s="4"/>
      <c r="AI2098"/>
      <c r="AJ2098"/>
      <c r="AK2098" t="inlineStr">
        <is>
          <t>No, I don't need at all</t>
        </is>
      </c>
      <c r="AL2098"/>
      <c r="AM2098" t="inlineStr">
        <is>
          <t>No, I don't need at all</t>
        </is>
      </c>
      <c r="AN2098"/>
      <c r="AO2098" t="inlineStr">
        <is>
          <t>No, I don't need at all</t>
        </is>
      </c>
      <c r="AP2098" t="inlineStr">
        <is>
          <t>Once per quarter (75%)</t>
        </is>
      </c>
      <c r="AQ2098"/>
      <c r="AR2098" t="inlineStr">
        <is>
          <t>Jobstreet</t>
        </is>
      </c>
      <c r="AS2098" t="inlineStr">
        <is>
          <t>- Headcount: 2
- Hiring Job Details: audit, account assistant, based in KL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2098">
        <v>85</v>
      </c>
      <c r="AU2098" t="inlineStr">
        <is>
          <t>0.85</t>
        </is>
      </c>
      <c r="AV2098" t="inlineStr">
        <is>
          <t>5</t>
        </is>
      </c>
      <c r="AW2098" t="inlineStr">
        <is>
          <t>0</t>
        </is>
      </c>
      <c r="AX2098" t="inlineStr">
        <is>
          <t>Not Qualified</t>
        </is>
      </c>
      <c r="AY2098" s="4"/>
      <c r="AZ2098"/>
      <c r="BA2098"/>
      <c r="BB2098"/>
      <c r="BC2098" t="inlineStr">
        <is>
          <t>Payment done - assist to assign package</t>
        </is>
      </c>
      <c r="BD2098" s="4">
        <v>46135.47309027778</v>
      </c>
      <c r="BE2098" t="inlineStr">
        <is>
          <t>paid</t>
        </is>
      </c>
      <c r="BF2098" t="inlineStr">
        <is>
          <t>Q2-W03</t>
        </is>
      </c>
      <c r="BG2098" t="inlineStr">
        <is>
          <t>Reschedule</t>
        </is>
      </c>
      <c r="BH2098" t="inlineStr">
        <is>
          <t>Reagen</t>
        </is>
      </c>
      <c r="BI2098" t="inlineStr">
        <is>
          <t>Business / Mgmt Consulting</t>
        </is>
      </c>
      <c r="BJ2098" s="4">
        <v>46144.75099537037</v>
      </c>
      <c r="BK2098" s="4">
        <v>44743.58157407407</v>
      </c>
      <c r="BL2098" t="inlineStr">
        <is>
          <t>11448.0</t>
        </is>
      </c>
      <c r="BM2098" t="inlineStr">
        <is>
          <t>600.0</t>
        </is>
      </c>
      <c r="BN2098" t="inlineStr">
        <is>
          <t>View Candidate Search Page</t>
        </is>
      </c>
      <c r="BO2098" s="4">
        <v>46135.72288194444</v>
      </c>
      <c r="BP2098">
        <v>166890</v>
      </c>
      <c r="BQ2098">
        <v>7674</v>
      </c>
      <c r="BR2098" t="inlineStr">
        <is>
          <t>Manual (Paid)</t>
        </is>
      </c>
      <c r="BS2098" t="inlineStr">
        <is>
          <t>AI Candidate Search 500
- AI Candidate Search Package for 500 Profiles
- Retrieve 500 profiles and contact with 500 candidates
- Package valid for 9 months
- Access to My Talent Pool
- Access to Chat
- AJobThing Care included
- Special Campaign RM300 discount, payment by today</t>
        </is>
      </c>
      <c r="BT2098">
        <v>7674</v>
      </c>
      <c r="BU2098"/>
      <c r="BV2098">
        <v>2722811</v>
      </c>
      <c r="BW2098" t="inlineStr">
        <is>
          <t>Follow Up : Win - Customer Paid</t>
        </is>
      </c>
      <c r="BX2098">
        <v>12</v>
      </c>
      <c r="BY2098">
        <v>5</v>
      </c>
      <c r="BZ2098" s="4">
        <v>46092.5215625</v>
      </c>
      <c r="CA2098">
        <v>180</v>
      </c>
      <c r="CB2098">
        <v>0</v>
      </c>
      <c r="CC2098" s="4">
        <v>46106.4546875</v>
      </c>
      <c r="CD2098" t="inlineStr">
        <is>
          <t>5</t>
        </is>
      </c>
      <c r="CE2098" t="inlineStr">
        <is>
          <t>0</t>
        </is>
      </c>
      <c r="CF2098" t="inlineStr">
        <is>
          <t>Q2-W02</t>
        </is>
      </c>
      <c r="CG2098" t="inlineStr">
        <is>
          <t>Q2-W03</t>
        </is>
      </c>
      <c r="CH2098" t="inlineStr">
        <is>
          <t>Q2-W03</t>
        </is>
      </c>
      <c r="CI2098"/>
      <c r="CJ2098" t="inlineStr">
        <is>
          <t>Paid</t>
        </is>
      </c>
      <c r="CK2098" t="inlineStr">
        <is>
          <t>Eligible</t>
        </is>
      </c>
      <c r="CL2098"/>
      <c r="CM2098"/>
    </row>
    <row r="2099" ht="25.5" customHeight="1">
      <c r="A2099" t="inlineStr">
        <is>
          <t>188134</t>
        </is>
      </c>
      <c r="B2099" s="2"/>
      <c r="C2099"/>
      <c r="D2099" s="3">
        <v>46126.74230324074</v>
      </c>
      <c r="E2099" t="inlineStr">
        <is>
          <t>Q2-W02</t>
        </is>
      </c>
      <c r="F2099" t="inlineStr">
        <is>
          <t>andy@ajobthing.com</t>
        </is>
      </c>
      <c r="G2099" t="inlineStr">
        <is>
          <t>Customer</t>
        </is>
      </c>
      <c r="H2099" s="2" t="str">
        <f>=HYPERLINK("https://upbox.ajobthing.my/customer/188134", "https://upbox.ajobthing.my/customer/188134")</f>
        <v>https://upbox.ajobthing.my/customer/188134</v>
      </c>
      <c r="I2099" t="inlineStr">
        <is>
          <t>The Starling Mall</t>
        </is>
      </c>
      <c r="J2099" t="inlineStr">
        <is>
          <t>Whale</t>
        </is>
      </c>
      <c r="K2099" t="inlineStr">
        <is>
          <t>Andy</t>
        </is>
      </c>
      <c r="L2099" s="4"/>
      <c r="M2099" s="4">
        <v>46112.574837962966</v>
      </c>
      <c r="N2099"/>
      <c r="O2099">
        <v>6048</v>
      </c>
      <c r="P2099" s="4"/>
      <c r="Q2099" s="4"/>
      <c r="R2099"/>
      <c r="S2099"/>
      <c r="T2099" s="4"/>
      <c r="U2099" s="4"/>
      <c r="V2099"/>
      <c r="W2099"/>
      <c r="X2099" t="inlineStr">
        <is>
          <t>andy@ajobthing.com</t>
        </is>
      </c>
      <c r="Y2099" t="inlineStr">
        <is>
          <t>Done Appointment</t>
        </is>
      </c>
      <c r="Z2099" t="inlineStr">
        <is>
          <t>Continuous Hiring</t>
        </is>
      </c>
      <c r="AA2099">
        <v>3</v>
      </c>
      <c r="AB2099" t="inlineStr">
        <is>
          <t>Appointment Made</t>
        </is>
      </c>
      <c r="AC2099" t="inlineStr">
        <is>
          <t>Large (101-300 employees)</t>
        </is>
      </c>
      <c r="AD2099" t="inlineStr">
        <is>
          <t>kitchen crew , barista, leasing manager</t>
        </is>
      </c>
      <c r="AE2099" t="inlineStr">
        <is>
          <t>HR Manager / Talent Manager</t>
        </is>
      </c>
      <c r="AF2099">
        <v>20000</v>
      </c>
      <c r="AG2099" s="4">
        <v>46126.583333333336</v>
      </c>
      <c r="AH2099" s="4">
        <v>46126.604166666664</v>
      </c>
      <c r="AI2099">
        <v>30000</v>
      </c>
      <c r="AJ2099">
        <v>3</v>
      </c>
      <c r="AK2099" t="inlineStr">
        <is>
          <t>Yes, I have</t>
        </is>
      </c>
      <c r="AL2099">
        <v>3</v>
      </c>
      <c r="AM2099" t="inlineStr">
        <is>
          <t>No, I don't need at all</t>
        </is>
      </c>
      <c r="AN2099"/>
      <c r="AO2099" t="inlineStr">
        <is>
          <t>Yes, I have</t>
        </is>
      </c>
      <c r="AP2099" t="inlineStr">
        <is>
          <t>Every month (100%)</t>
        </is>
      </c>
      <c r="AQ2099">
        <v>30</v>
      </c>
      <c r="AR2099" t="inlineStr">
        <is>
          <t>Jobstreet, Free Job Portal</t>
        </is>
      </c>
      <c r="AS2099" t="inlineStr">
        <is>
          <t>- Headcount: 3
- Hiring Job Details: kitchen crew, barista, leasing manager
- Hiring Urgency: Continuous Hiring
- Number of outlets: 3
- Have recruiter team: Yes
- Number of recruiter in company: 3
- Have ATS system: No, I don't need at all
- Have career website: Yes
- Current hiring budget: RM20,000
- Whole year budget: RM30,000.00
- Whole year number of vacancies: 30
- Hiring frequency: Every month (100%)
- External job portal: Jobstreet, Free Job Portal</t>
        </is>
      </c>
      <c r="AT2099">
        <v>110</v>
      </c>
      <c r="AU2099" t="inlineStr">
        <is>
          <t>1.10</t>
        </is>
      </c>
      <c r="AV2099" t="inlineStr">
        <is>
          <t>45</t>
        </is>
      </c>
      <c r="AW2099" t="inlineStr">
        <is>
          <t>0.5</t>
        </is>
      </c>
      <c r="AX2099" t="inlineStr">
        <is>
          <t>Not Qualified</t>
        </is>
      </c>
      <c r="AY2099" s="4">
        <v>46126.76857638889</v>
      </c>
      <c r="AZ2099" t="inlineStr">
        <is>
          <t>andy@ajobthing.com</t>
        </is>
      </c>
      <c r="BA2099"/>
      <c r="BB2099"/>
      <c r="BC2099" t="inlineStr">
        <is>
          <t>- Headcount: 3
- Hiring Job Details: kitchen crew, barista, leasing manager
- Hiring Urgency: Continuous Hiring
- Number of outlets: 3
- Have recruiter team: Yes
- Number of recruiter in company: 3
- Have ATS system: No, I don't need at all
- Have career website: Yes
- Current hiring budget: RM20,000
- Whole year budget: RM30,000.00
- Whole year number of vacancies: 30
- Hiring frequency: Every month (100%)
- External job portal: Jobstreet, Free Job Portal</t>
        </is>
      </c>
      <c r="BD2099" s="4">
        <v>46126.7500462963</v>
      </c>
      <c r="BE2099"/>
      <c r="BF2099"/>
      <c r="BG2099" t="inlineStr">
        <is>
          <t>Reschedule</t>
        </is>
      </c>
      <c r="BH2099"/>
      <c r="BI2099"/>
      <c r="BJ2099" s="4">
        <v>46127.648460648146</v>
      </c>
      <c r="BK2099" s="4">
        <v>45713.48106481481</v>
      </c>
      <c r="BL2099" t="inlineStr">
        <is>
          <t>0.0</t>
        </is>
      </c>
      <c r="BM2099" t="inlineStr">
        <is>
          <t>6000.0</t>
        </is>
      </c>
      <c r="BN2099" t="inlineStr">
        <is>
          <t>View Candidate Search Page</t>
        </is>
      </c>
      <c r="BO2099" s="4">
        <v>45713.48496527778</v>
      </c>
      <c r="BP2099">
        <v>164467</v>
      </c>
      <c r="BQ2099"/>
      <c r="BR2099"/>
      <c r="BS2099"/>
      <c r="BT2099"/>
      <c r="BU2099"/>
      <c r="BV2099">
        <v>2704731</v>
      </c>
      <c r="BW2099" t="inlineStr">
        <is>
          <t>Customer Inquiry</t>
        </is>
      </c>
      <c r="BX2099"/>
      <c r="BY2099"/>
      <c r="BZ2099" s="4"/>
      <c r="CA2099"/>
      <c r="CB2099"/>
      <c r="CC2099" s="4"/>
      <c r="CD2099" t="inlineStr">
        <is>
          <t>60</t>
        </is>
      </c>
      <c r="CE2099" t="inlineStr">
        <is>
          <t>0.8</t>
        </is>
      </c>
      <c r="CF2099" t="inlineStr">
        <is>
          <t>Q1-W13</t>
        </is>
      </c>
      <c r="CG2099"/>
      <c r="CH2099"/>
      <c r="CI2099" t="inlineStr">
        <is>
          <t>Q2-W02</t>
        </is>
      </c>
      <c r="CJ2099" t="inlineStr">
        <is>
          <t>No Paid</t>
        </is>
      </c>
      <c r="CK2099" t="inlineStr">
        <is>
          <t>Eligible</t>
        </is>
      </c>
      <c r="CL2099"/>
      <c r="CM2099" t="inlineStr">
        <is>
          <t>Q2-W02</t>
        </is>
      </c>
    </row>
    <row r="2100" ht="25.5" customHeight="1">
      <c r="A2100" t="inlineStr">
        <is>
          <t>200264</t>
        </is>
      </c>
      <c r="B2100" s="2"/>
      <c r="C2100"/>
      <c r="D2100" s="3">
        <v>46126.74380787037</v>
      </c>
      <c r="E2100" t="inlineStr">
        <is>
          <t>Q2-W02</t>
        </is>
      </c>
      <c r="F2100" t="inlineStr">
        <is>
          <t>Jia Hui</t>
        </is>
      </c>
      <c r="G2100" t="inlineStr">
        <is>
          <t>Customer</t>
        </is>
      </c>
      <c r="H2100" s="2" t="str">
        <f>=HYPERLINK("https://upbox.ajobthing.my/customer/200264", "https://upbox.ajobthing.my/customer/200264")</f>
        <v>https://upbox.ajobthing.my/customer/200264</v>
      </c>
      <c r="I2100" t="inlineStr">
        <is>
          <t>Convemed Sdn Bhd</t>
        </is>
      </c>
      <c r="J2100" t="inlineStr">
        <is>
          <t>Whale</t>
        </is>
      </c>
      <c r="K2100" t="inlineStr">
        <is>
          <t>Jia Hui</t>
        </is>
      </c>
      <c r="L2100" s="4"/>
      <c r="M2100" s="4">
        <v>46126.743935185186</v>
      </c>
      <c r="N2100"/>
      <c r="O2100">
        <v>3888</v>
      </c>
      <c r="P2100" s="4"/>
      <c r="Q2100" s="4">
        <v>46128.38695601852</v>
      </c>
      <c r="R2100"/>
      <c r="S2100">
        <v>0</v>
      </c>
      <c r="T2100" s="4">
        <v>46041.60486111111</v>
      </c>
      <c r="U2100" s="4"/>
      <c r="V2100"/>
      <c r="W2100">
        <v>864</v>
      </c>
      <c r="X2100"/>
      <c r="Y2100" t="inlineStr">
        <is>
          <t>Pending Appointment</t>
        </is>
      </c>
      <c r="Z2100" t="inlineStr">
        <is>
          <t>Hiring Now</t>
        </is>
      </c>
      <c r="AA2100">
        <v>1</v>
      </c>
      <c r="AB2100" t="inlineStr">
        <is>
          <t>No Appointment Made</t>
        </is>
      </c>
      <c r="AC2100"/>
      <c r="AD2100" t="inlineStr">
        <is>
          <t>1 account executive</t>
        </is>
      </c>
      <c r="AE2100"/>
      <c r="AF2100">
        <v>500</v>
      </c>
      <c r="AG2100" s="4"/>
      <c r="AH2100" s="4"/>
      <c r="AI2100"/>
      <c r="AJ2100"/>
      <c r="AK2100" t="inlineStr">
        <is>
          <t>No, but I want in future</t>
        </is>
      </c>
      <c r="AL2100"/>
      <c r="AM2100"/>
      <c r="AN2100"/>
      <c r="AO2100"/>
      <c r="AP2100" t="inlineStr">
        <is>
          <t>Once a year (25%)</t>
        </is>
      </c>
      <c r="AQ2100"/>
      <c r="AR2100"/>
      <c r="AS2100" t="inlineStr">
        <is>
          <t>- Headcount: 1
- Hiring Job Details: 1 account executive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100">
        <v>75</v>
      </c>
      <c r="AU2100" t="inlineStr">
        <is>
          <t>0.75</t>
        </is>
      </c>
      <c r="AV2100" t="inlineStr">
        <is>
          <t>15</t>
        </is>
      </c>
      <c r="AW2100" t="inlineStr">
        <is>
          <t>0</t>
        </is>
      </c>
      <c r="AX2100" t="inlineStr">
        <is>
          <t>Not Qualified</t>
        </is>
      </c>
      <c r="AY2100" s="4"/>
      <c r="AZ2100"/>
      <c r="BA2100"/>
      <c r="BB2100"/>
      <c r="BC2100" t="inlineStr">
        <is>
          <t>cx help to post the free job ads dy, will let me know if need our assistance on the job ads</t>
        </is>
      </c>
      <c r="BD2100" s="4">
        <v>46142.68515046296</v>
      </c>
      <c r="BE2100" t="inlineStr">
        <is>
          <t>paid</t>
        </is>
      </c>
      <c r="BF2100" t="inlineStr">
        <is>
          <t>Q1-W03</t>
        </is>
      </c>
      <c r="BG2100" t="inlineStr">
        <is>
          <t>Reschedule</t>
        </is>
      </c>
      <c r="BH2100" t="inlineStr">
        <is>
          <t>Reagen</t>
        </is>
      </c>
      <c r="BI2100" t="inlineStr">
        <is>
          <t>Manufacturing / Production</t>
        </is>
      </c>
      <c r="BJ2100" s="4">
        <v>46144.75349537037</v>
      </c>
      <c r="BK2100" s="4">
        <v>46036.414039351854</v>
      </c>
      <c r="BL2100" t="inlineStr">
        <is>
          <t>864.0</t>
        </is>
      </c>
      <c r="BM2100" t="inlineStr">
        <is>
          <t>9000.0</t>
        </is>
      </c>
      <c r="BN2100" t="inlineStr">
        <is>
          <t>User Visit(Logged In)</t>
        </is>
      </c>
      <c r="BO2100" s="4">
        <v>46139.77684027778</v>
      </c>
      <c r="BP2100">
        <v>167057</v>
      </c>
      <c r="BQ2100">
        <v>122633</v>
      </c>
      <c r="BR2100" t="inlineStr">
        <is>
          <t>Proforma</t>
        </is>
      </c>
      <c r="BS2100" t="inlineStr">
        <is>
          <t>A La Carte AI Job Ad Free</t>
        </is>
      </c>
      <c r="BT2100">
        <v>85672</v>
      </c>
      <c r="BU2100"/>
      <c r="BV2100">
        <v>2738171</v>
      </c>
      <c r="BW2100" t="inlineStr">
        <is>
          <t>Service / Technical : Job Outcome Enquiry</t>
        </is>
      </c>
      <c r="BX2100">
        <v>1</v>
      </c>
      <c r="BY2100">
        <v>0</v>
      </c>
      <c r="BZ2100" s="4">
        <v>46139.74288194445</v>
      </c>
      <c r="CA2100"/>
      <c r="CB2100"/>
      <c r="CC2100" s="4"/>
      <c r="CD2100" t="inlineStr">
        <is>
          <t>20</t>
        </is>
      </c>
      <c r="CE2100" t="inlineStr">
        <is>
          <t>0</t>
        </is>
      </c>
      <c r="CF2100" t="inlineStr">
        <is>
          <t>Q2-W02</t>
        </is>
      </c>
      <c r="CG2100" t="inlineStr">
        <is>
          <t>Q2-W02</t>
        </is>
      </c>
      <c r="CH2100" t="inlineStr">
        <is>
          <t>Q1-W03</t>
        </is>
      </c>
      <c r="CI2100"/>
      <c r="CJ2100" t="inlineStr">
        <is>
          <t>Paid</t>
        </is>
      </c>
      <c r="CK2100" t="inlineStr">
        <is>
          <t>Eligible</t>
        </is>
      </c>
      <c r="CL2100"/>
      <c r="CM2100"/>
    </row>
    <row r="2101" ht="25.5" customHeight="1">
      <c r="A2101" t="inlineStr">
        <is>
          <t>193872</t>
        </is>
      </c>
      <c r="B2101" s="2"/>
      <c r="C2101"/>
      <c r="D2101" s="3">
        <v>46126.892060185186</v>
      </c>
      <c r="E2101" t="inlineStr">
        <is>
          <t>Q2-W02</t>
        </is>
      </c>
      <c r="F2101" t="inlineStr">
        <is>
          <t>Yuli</t>
        </is>
      </c>
      <c r="G2101" t="inlineStr">
        <is>
          <t>Customer</t>
        </is>
      </c>
      <c r="H2101" s="2" t="str">
        <f>=HYPERLINK("https://upbox.ajobthing.my/customer/193872", "https://upbox.ajobthing.my/customer/193872")</f>
        <v>https://upbox.ajobthing.my/customer/193872</v>
      </c>
      <c r="I2101" t="inlineStr">
        <is>
          <t>MyGenius Business Support PLT</t>
        </is>
      </c>
      <c r="J2101" t="inlineStr">
        <is>
          <t>Whale</t>
        </is>
      </c>
      <c r="K2101" t="inlineStr">
        <is>
          <t>YuLi</t>
        </is>
      </c>
      <c r="L2101" s="4"/>
      <c r="M2101" s="4">
        <v>46126.75921296296</v>
      </c>
      <c r="N2101"/>
      <c r="O2101">
        <v>11232</v>
      </c>
      <c r="P2101" s="4"/>
      <c r="Q2101" s="4">
        <v>46140.4975462963</v>
      </c>
      <c r="R2101"/>
      <c r="S2101">
        <v>0</v>
      </c>
      <c r="T2101" s="4">
        <v>45855.63167824074</v>
      </c>
      <c r="U2101" s="4"/>
      <c r="V2101"/>
      <c r="W2101">
        <v>5832</v>
      </c>
      <c r="X2101"/>
      <c r="Y2101" t="inlineStr">
        <is>
          <t>Pending Appointment</t>
        </is>
      </c>
      <c r="Z2101" t="inlineStr">
        <is>
          <t>Hiring Now</t>
        </is>
      </c>
      <c r="AA2101">
        <v>2</v>
      </c>
      <c r="AB2101" t="inlineStr">
        <is>
          <t>No Appointment Made</t>
        </is>
      </c>
      <c r="AC2101"/>
      <c r="AD2101" t="inlineStr">
        <is>
          <t>Primary teacher
Mandarin teacher</t>
        </is>
      </c>
      <c r="AE2101"/>
      <c r="AF2101"/>
      <c r="AG2101" s="4"/>
      <c r="AH2101" s="4"/>
      <c r="AI2101"/>
      <c r="AJ2101"/>
      <c r="AK2101"/>
      <c r="AL2101"/>
      <c r="AM2101"/>
      <c r="AN2101"/>
      <c r="AO2101"/>
      <c r="AP2101"/>
      <c r="AQ2101"/>
      <c r="AR2101" t="inlineStr">
        <is>
          <t>Jobstreet</t>
        </is>
      </c>
      <c r="AS2101" t="inlineStr">
        <is>
          <t>- Headcount: 2
- Hiring Job Details: Primary teacher, Mandarin teacher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is>
      </c>
      <c r="AT2101">
        <v>65</v>
      </c>
      <c r="AU2101" t="inlineStr">
        <is>
          <t>0.65</t>
        </is>
      </c>
      <c r="AV2101" t="inlineStr">
        <is>
          <t>5</t>
        </is>
      </c>
      <c r="AW2101" t="inlineStr">
        <is>
          <t>0</t>
        </is>
      </c>
      <c r="AX2101" t="inlineStr">
        <is>
          <t>Not Qualified</t>
        </is>
      </c>
      <c r="AY2101" s="4"/>
      <c r="AZ2101"/>
      <c r="BA2101"/>
      <c r="BB2101"/>
      <c r="BC2101" t="inlineStr">
        <is>
          <t>called but no answered</t>
        </is>
      </c>
      <c r="BD2101" s="4">
        <v>46140.73023148148</v>
      </c>
      <c r="BE2101" t="inlineStr">
        <is>
          <t>paid</t>
        </is>
      </c>
      <c r="BF2101"/>
      <c r="BG2101" t="inlineStr">
        <is>
          <t>Reschedule</t>
        </is>
      </c>
      <c r="BH2101" t="inlineStr">
        <is>
          <t>Fauziah Maharan</t>
        </is>
      </c>
      <c r="BI2101" t="inlineStr">
        <is>
          <t>Education / Training</t>
        </is>
      </c>
      <c r="BJ2101" s="4">
        <v>46144.75267361111</v>
      </c>
      <c r="BK2101" s="4">
        <v>45855.37798611111</v>
      </c>
      <c r="BL2101" t="inlineStr">
        <is>
          <t>5832.0</t>
        </is>
      </c>
      <c r="BM2101" t="inlineStr">
        <is>
          <t>0.0</t>
        </is>
      </c>
      <c r="BN2101" t="inlineStr">
        <is>
          <t>View Company Page</t>
        </is>
      </c>
      <c r="BO2101" s="4">
        <v>46143.930347222224</v>
      </c>
      <c r="BP2101">
        <v>167065</v>
      </c>
      <c r="BQ2101">
        <v>123865</v>
      </c>
      <c r="BR2101" t="inlineStr">
        <is>
          <t>Proforma</t>
        </is>
      </c>
      <c r="BS2101" t="inlineStr">
        <is>
          <t>Free Internship Job</t>
        </is>
      </c>
      <c r="BT2101">
        <v>6118</v>
      </c>
      <c r="BU2101"/>
      <c r="BV2101">
        <v>2733876</v>
      </c>
      <c r="BW2101" t="inlineStr">
        <is>
          <t>No Answer : Voicemail - WA sent to customer</t>
        </is>
      </c>
      <c r="BX2101">
        <v>13</v>
      </c>
      <c r="BY2101">
        <v>3</v>
      </c>
      <c r="BZ2101" s="4">
        <v>46136.56240740741</v>
      </c>
      <c r="CA2101">
        <v>130</v>
      </c>
      <c r="CB2101">
        <v>130</v>
      </c>
      <c r="CC2101" s="4"/>
      <c r="CD2101" t="inlineStr">
        <is>
          <t>5</t>
        </is>
      </c>
      <c r="CE2101" t="inlineStr">
        <is>
          <t>0</t>
        </is>
      </c>
      <c r="CF2101" t="inlineStr">
        <is>
          <t>Q2-W02</t>
        </is>
      </c>
      <c r="CG2101" t="inlineStr">
        <is>
          <t>Q2-W04</t>
        </is>
      </c>
      <c r="CH2101"/>
      <c r="CI2101"/>
      <c r="CJ2101" t="inlineStr">
        <is>
          <t>Paid</t>
        </is>
      </c>
      <c r="CK2101" t="inlineStr">
        <is>
          <t>Eligible</t>
        </is>
      </c>
      <c r="CL2101"/>
      <c r="CM2101"/>
    </row>
    <row r="2102" ht="25.5" customHeight="1">
      <c r="A2102" t="inlineStr">
        <is>
          <t>45024</t>
        </is>
      </c>
      <c r="B2102" s="2"/>
      <c r="C2102"/>
      <c r="D2102" s="3">
        <v>46127.43050925926</v>
      </c>
      <c r="E2102" t="inlineStr">
        <is>
          <t>Q2-W02</t>
        </is>
      </c>
      <c r="F2102" t="inlineStr">
        <is>
          <t>Xin Hui</t>
        </is>
      </c>
      <c r="G2102" t="inlineStr">
        <is>
          <t>Customer</t>
        </is>
      </c>
      <c r="H2102" s="2" t="str">
        <f>=HYPERLINK("https://upbox.ajobthing.my/customer/45024", "https://upbox.ajobthing.my/customer/45024")</f>
        <v>https://upbox.ajobthing.my/customer/45024</v>
      </c>
      <c r="I2102" t="inlineStr">
        <is>
          <t>Eastway Engineering Sdn Bhd</t>
        </is>
      </c>
      <c r="J2102" t="inlineStr">
        <is>
          <t>Whale</t>
        </is>
      </c>
      <c r="K2102" t="inlineStr">
        <is>
          <t>Xin Hui</t>
        </is>
      </c>
      <c r="L2102" s="4"/>
      <c r="M2102" s="4">
        <v>46127.45311342592</v>
      </c>
      <c r="N2102"/>
      <c r="O2102">
        <v>3888</v>
      </c>
      <c r="P2102" s="4"/>
      <c r="Q2102" s="4">
        <v>43109.54577546296</v>
      </c>
      <c r="R2102"/>
      <c r="S2102">
        <v>848</v>
      </c>
      <c r="T2102" s="4">
        <v>43109.54577546296</v>
      </c>
      <c r="U2102" s="4"/>
      <c r="V2102"/>
      <c r="W2102">
        <v>848</v>
      </c>
      <c r="X2102"/>
      <c r="Y2102" t="inlineStr">
        <is>
          <t>Pending Appointment</t>
        </is>
      </c>
      <c r="Z2102" t="inlineStr">
        <is>
          <t>Hiring Now</t>
        </is>
      </c>
      <c r="AA2102">
        <v>1</v>
      </c>
      <c r="AB2102" t="inlineStr">
        <is>
          <t>No Appointment Made</t>
        </is>
      </c>
      <c r="AC2102"/>
      <c r="AD2102" t="inlineStr">
        <is>
          <t>1 mechanical engineering</t>
        </is>
      </c>
      <c r="AE2102"/>
      <c r="AF2102">
        <v>0</v>
      </c>
      <c r="AG2102" s="4"/>
      <c r="AH2102" s="4"/>
      <c r="AI2102"/>
      <c r="AJ2102"/>
      <c r="AK2102" t="inlineStr">
        <is>
          <t>No, I don't need at all</t>
        </is>
      </c>
      <c r="AL2102"/>
      <c r="AM2102" t="inlineStr">
        <is>
          <t>No, I don't need at all</t>
        </is>
      </c>
      <c r="AN2102"/>
      <c r="AO2102" t="inlineStr">
        <is>
          <t>No, I don't need at all</t>
        </is>
      </c>
      <c r="AP2102" t="inlineStr">
        <is>
          <t>Once a year (25%)</t>
        </is>
      </c>
      <c r="AQ2102"/>
      <c r="AR2102" t="inlineStr">
        <is>
          <t>Jobstreet</t>
        </is>
      </c>
      <c r="AS2102" t="inlineStr">
        <is>
          <t>- Headcount: 1
- Hiring Job Details: 1 mechanical engineering
- Hiring Urgency: Hiring Now
- Number of outlets: Not provided
- Have recruiter team: No, I don't need at all
- Number of recruiter in company: Not provided
- Have ATS system: No, I don't need at all
- Have career website: No, I don't need at all
- Current hiring budget: RM0.00
- Whole year budget: Not provided
- Whole year number of vacancies: Not provided
- Hiring frequency: Once a year (25%)
- External job portal: Jobstreet</t>
        </is>
      </c>
      <c r="AT2102">
        <v>95</v>
      </c>
      <c r="AU2102" t="inlineStr">
        <is>
          <t>0.95</t>
        </is>
      </c>
      <c r="AV2102" t="inlineStr">
        <is>
          <t>15</t>
        </is>
      </c>
      <c r="AW2102" t="inlineStr">
        <is>
          <t>0</t>
        </is>
      </c>
      <c r="AX2102" t="inlineStr">
        <is>
          <t>Not Qualified</t>
        </is>
      </c>
      <c r="AY2102" s="4"/>
      <c r="AZ2102"/>
      <c r="BA2102"/>
      <c r="BB2102"/>
      <c r="BC2102" t="inlineStr">
        <is>
          <t>only want ala carte but too expensive, she thinks our platform hard to hire mechanical engineer, and our candidate pools are less , not confident to use our platform, if ala carte package got promotion only let her know</t>
        </is>
      </c>
      <c r="BD2102" s="4">
        <v>46139.455092592594</v>
      </c>
      <c r="BE2102" t="inlineStr">
        <is>
          <t>paid</t>
        </is>
      </c>
      <c r="BF2102"/>
      <c r="BG2102" t="inlineStr">
        <is>
          <t>Reschedule</t>
        </is>
      </c>
      <c r="BH2102" t="inlineStr">
        <is>
          <t>Yee Hang</t>
        </is>
      </c>
      <c r="BI2102" t="inlineStr">
        <is>
          <t>Engineering / Technical Consulting</t>
        </is>
      </c>
      <c r="BJ2102" s="4">
        <v>46144.7559837963</v>
      </c>
      <c r="BK2102" s="4">
        <v>43103.750972222224</v>
      </c>
      <c r="BL2102" t="inlineStr">
        <is>
          <t>0.0</t>
        </is>
      </c>
      <c r="BM2102" t="inlineStr">
        <is>
          <t>5550.0</t>
        </is>
      </c>
      <c r="BN2102" t="inlineStr">
        <is>
          <t>User Visit(Logged In)</t>
        </is>
      </c>
      <c r="BO2102" s="4">
        <v>45792.50258101852</v>
      </c>
      <c r="BP2102">
        <v>167125</v>
      </c>
      <c r="BQ2102">
        <v>10382</v>
      </c>
      <c r="BR2102" t="inlineStr">
        <is>
          <t>Online</t>
        </is>
      </c>
      <c r="BS2102"/>
      <c r="BT2102">
        <v>10382</v>
      </c>
      <c r="BU2102"/>
      <c r="BV2102">
        <v>2728475</v>
      </c>
      <c r="BW2102" t="inlineStr">
        <is>
          <t>Follow Up : Lost - Free Portal</t>
        </is>
      </c>
      <c r="BX2102"/>
      <c r="BY2102"/>
      <c r="BZ2102" s="4"/>
      <c r="CA2102"/>
      <c r="CB2102"/>
      <c r="CC2102" s="4"/>
      <c r="CD2102" t="inlineStr">
        <is>
          <t>20</t>
        </is>
      </c>
      <c r="CE2102" t="inlineStr">
        <is>
          <t>0</t>
        </is>
      </c>
      <c r="CF2102" t="inlineStr">
        <is>
          <t>Q2-W02</t>
        </is>
      </c>
      <c r="CG2102"/>
      <c r="CH2102"/>
      <c r="CI2102"/>
      <c r="CJ2102" t="inlineStr">
        <is>
          <t>Paid</t>
        </is>
      </c>
      <c r="CK2102" t="inlineStr">
        <is>
          <t>Eligible</t>
        </is>
      </c>
      <c r="CL2102"/>
      <c r="CM2102"/>
    </row>
    <row r="2103" ht="25.5" customHeight="1">
      <c r="A2103" t="inlineStr">
        <is>
          <t>25753</t>
        </is>
      </c>
      <c r="B2103" s="2"/>
      <c r="C2103"/>
      <c r="D2103" s="3">
        <v>46127.45560185185</v>
      </c>
      <c r="E2103" t="inlineStr">
        <is>
          <t>Q2-W02</t>
        </is>
      </c>
      <c r="F2103" t="inlineStr">
        <is>
          <t>Yuli</t>
        </is>
      </c>
      <c r="G2103" t="inlineStr">
        <is>
          <t>Customer</t>
        </is>
      </c>
      <c r="H2103" s="2" t="str">
        <f>=HYPERLINK("https://upbox.ajobthing.my/customer/25753", "https://upbox.ajobthing.my/customer/25753")</f>
        <v>https://upbox.ajobthing.my/customer/25753</v>
      </c>
      <c r="I2103" t="inlineStr">
        <is>
          <t>Brightstar Computer Sdn. Bhd.</t>
        </is>
      </c>
      <c r="J2103" t="inlineStr">
        <is>
          <t>Whale</t>
        </is>
      </c>
      <c r="K2103" t="inlineStr">
        <is>
          <t>YuLi</t>
        </is>
      </c>
      <c r="L2103" s="4"/>
      <c r="M2103" s="4">
        <v>46127.46141203704</v>
      </c>
      <c r="N2103"/>
      <c r="O2103">
        <v>8316</v>
      </c>
      <c r="P2103" s="4"/>
      <c r="Q2103" s="4">
        <v>45799.4125</v>
      </c>
      <c r="R2103"/>
      <c r="S2103">
        <v>10800</v>
      </c>
      <c r="T2103" s="4">
        <v>45799.4125</v>
      </c>
      <c r="U2103" s="4"/>
      <c r="V2103"/>
      <c r="W2103">
        <v>10800</v>
      </c>
      <c r="X2103"/>
      <c r="Y2103" t="inlineStr">
        <is>
          <t>Pending Appointment</t>
        </is>
      </c>
      <c r="Z2103" t="inlineStr">
        <is>
          <t>Hiring Now</t>
        </is>
      </c>
      <c r="AA2103">
        <v>5</v>
      </c>
      <c r="AB2103" t="inlineStr">
        <is>
          <t>No Appointment Made</t>
        </is>
      </c>
      <c r="AC2103"/>
      <c r="AD2103" t="inlineStr">
        <is>
          <t>Retail Sales
Marketing Executive
Product Buyer
Accounts Executive
Products Executive</t>
        </is>
      </c>
      <c r="AE2103"/>
      <c r="AF2103">
        <v>10000</v>
      </c>
      <c r="AG2103" s="4"/>
      <c r="AH2103" s="4"/>
      <c r="AI2103"/>
      <c r="AJ2103"/>
      <c r="AK2103" t="inlineStr">
        <is>
          <t>No, I don't need at all</t>
        </is>
      </c>
      <c r="AL2103"/>
      <c r="AM2103"/>
      <c r="AN2103"/>
      <c r="AO2103"/>
      <c r="AP2103"/>
      <c r="AQ2103"/>
      <c r="AR2103" t="inlineStr">
        <is>
          <t>Did not use any job portal</t>
        </is>
      </c>
      <c r="AS2103" t="inlineStr">
        <is>
          <t>- Headcount: 5
- Hiring Job Details: Retail Sales, Marketing Executive, Product Buyer, Accounts Executive, Products Executive
- Hiring Urgency: Hiring Now
- Number of outlets: Not specified
- Have recruiter team: No, I don't need at all
- Number of recruiter in company: Not specified
- Have ATS system: Not specified
- Have career website: Not specified
- Current hiring budget: RM10,000
- Whole year budget: Not specified
- Whole year number of vacancies: Not specified
- Hiring frequency: Not specified
- External job portal: Did not use any job portal</t>
        </is>
      </c>
      <c r="AT2103">
        <v>65</v>
      </c>
      <c r="AU2103" t="inlineStr">
        <is>
          <t>0.65</t>
        </is>
      </c>
      <c r="AV2103" t="inlineStr">
        <is>
          <t>20</t>
        </is>
      </c>
      <c r="AW2103" t="inlineStr">
        <is>
          <t>0</t>
        </is>
      </c>
      <c r="AX2103" t="inlineStr">
        <is>
          <t>Not Qualified</t>
        </is>
      </c>
      <c r="AY2103" s="4"/>
      <c r="AZ2103"/>
      <c r="BA2103"/>
      <c r="BB2103"/>
      <c r="BC2103" t="inlineStr">
        <is>
          <t>Received message from WINK clarify on the package</t>
        </is>
      </c>
      <c r="BD2103" s="4">
        <v>46142.557592592595</v>
      </c>
      <c r="BE2103" t="inlineStr">
        <is>
          <t>paid</t>
        </is>
      </c>
      <c r="BF2103"/>
      <c r="BG2103" t="inlineStr">
        <is>
          <t>Reschedule</t>
        </is>
      </c>
      <c r="BH2103" t="inlineStr">
        <is>
          <t>Fauziah Maharan</t>
        </is>
      </c>
      <c r="BI2103" t="inlineStr">
        <is>
          <t>Retail / Merchandise</t>
        </is>
      </c>
      <c r="BJ2103" s="4">
        <v>46144.75449074074</v>
      </c>
      <c r="BK2103" s="4">
        <v>42563.56784722222</v>
      </c>
      <c r="BL2103" t="inlineStr">
        <is>
          <t>10800.0</t>
        </is>
      </c>
      <c r="BM2103" t="inlineStr">
        <is>
          <t>0.0</t>
        </is>
      </c>
      <c r="BN2103" t="inlineStr">
        <is>
          <t>View Company Page</t>
        </is>
      </c>
      <c r="BO2103" s="4">
        <v>46143.02513888889</v>
      </c>
      <c r="BP2103">
        <v>167133</v>
      </c>
      <c r="BQ2103">
        <v>79472</v>
      </c>
      <c r="BR2103" t="inlineStr">
        <is>
          <t>Online</t>
        </is>
      </c>
      <c r="BS2103"/>
      <c r="BT2103">
        <v>79472</v>
      </c>
      <c r="BU2103"/>
      <c r="BV2103">
        <v>2737490</v>
      </c>
      <c r="BW2103" t="inlineStr">
        <is>
          <t>Follow Up : Decision Pending</t>
        </is>
      </c>
      <c r="BX2103">
        <v>6</v>
      </c>
      <c r="BY2103">
        <v>-94</v>
      </c>
      <c r="BZ2103" s="4">
        <v>46137.556226851855</v>
      </c>
      <c r="CA2103">
        <v>445</v>
      </c>
      <c r="CB2103">
        <v>445</v>
      </c>
      <c r="CC2103" s="4"/>
      <c r="CD2103" t="inlineStr">
        <is>
          <t>30</t>
        </is>
      </c>
      <c r="CE2103" t="inlineStr">
        <is>
          <t>0</t>
        </is>
      </c>
      <c r="CF2103" t="inlineStr">
        <is>
          <t>Q2-W02</t>
        </is>
      </c>
      <c r="CG2103"/>
      <c r="CH2103"/>
      <c r="CI2103"/>
      <c r="CJ2103" t="inlineStr">
        <is>
          <t>Paid</t>
        </is>
      </c>
      <c r="CK2103" t="inlineStr">
        <is>
          <t>Eligible</t>
        </is>
      </c>
      <c r="CL2103"/>
      <c r="CM2103"/>
    </row>
    <row r="2104" ht="25.5" customHeight="1">
      <c r="A2104" t="inlineStr">
        <is>
          <t>203252</t>
        </is>
      </c>
      <c r="B2104" s="2"/>
      <c r="C2104"/>
      <c r="D2104" s="3">
        <v>46127.46306712963</v>
      </c>
      <c r="E2104" t="inlineStr">
        <is>
          <t>Q2-W02</t>
        </is>
      </c>
      <c r="F2104" t="inlineStr">
        <is>
          <t>Carmen</t>
        </is>
      </c>
      <c r="G2104" t="inlineStr">
        <is>
          <t>Customer</t>
        </is>
      </c>
      <c r="H2104" s="2" t="str">
        <f>=HYPERLINK("https://upbox.ajobthing.my/customer/203252", "https://upbox.ajobthing.my/customer/203252")</f>
        <v>https://upbox.ajobthing.my/customer/203252</v>
      </c>
      <c r="I2104" t="inlineStr">
        <is>
          <t>Panord New Materials Sdn Bhd</t>
        </is>
      </c>
      <c r="J2104" t="inlineStr">
        <is>
          <t>Whale</t>
        </is>
      </c>
      <c r="K2104" t="inlineStr">
        <is>
          <t>Carmen</t>
        </is>
      </c>
      <c r="L2104" s="4"/>
      <c r="M2104" s="4">
        <v>46127.46331018519</v>
      </c>
      <c r="N2104"/>
      <c r="O2104">
        <v>6048</v>
      </c>
      <c r="P2104" s="4"/>
      <c r="Q2104" s="4">
        <v>46142.36953703704</v>
      </c>
      <c r="R2104"/>
      <c r="S2104">
        <v>0</v>
      </c>
      <c r="T2104" s="4">
        <v>46136.585486111115</v>
      </c>
      <c r="U2104" s="4"/>
      <c r="V2104"/>
      <c r="W2104">
        <v>6048</v>
      </c>
      <c r="X2104"/>
      <c r="Y2104" t="inlineStr">
        <is>
          <t>Pending Appointment</t>
        </is>
      </c>
      <c r="Z2104" t="inlineStr">
        <is>
          <t>Hiring Now</t>
        </is>
      </c>
      <c r="AA2104">
        <v>8</v>
      </c>
      <c r="AB2104" t="inlineStr">
        <is>
          <t>No Appointment Made</t>
        </is>
      </c>
      <c r="AC2104"/>
      <c r="AD2104" t="inlineStr">
        <is>
          <t>1) Inventory (prefer female) - 2 position (仓库管理员最好是两个人，每人12小时)
2) Logistic cum Shipping Executive (prefer female)  - 1 position 出入口/船务专员 双休 
3) QC Operator - 2 position (每人12小时)
4) Sales Executive - 2 position 底薪 + 佣金 + 奖金  (最好是在建筑材料，塑料，或者玻璃行业有相关经验的)
5) HR cum Accounts Executive (prefer female) - 1 position 双休</t>
        </is>
      </c>
      <c r="AE2104"/>
      <c r="AF2104">
        <v>5000</v>
      </c>
      <c r="AG2104" s="4"/>
      <c r="AH2104" s="4"/>
      <c r="AI2104"/>
      <c r="AJ2104"/>
      <c r="AK2104"/>
      <c r="AL2104"/>
      <c r="AM2104"/>
      <c r="AN2104"/>
      <c r="AO2104"/>
      <c r="AP2104" t="inlineStr">
        <is>
          <t>Once a year (25%)</t>
        </is>
      </c>
      <c r="AQ2104"/>
      <c r="AR2104"/>
      <c r="AS2104" t="inlineStr">
        <is>
          <t>- Headcount: 8
- Hiring Job Details: 5 roles (2 inventory, 1 logistic cum shipping exec, 2 QC op, 2 sales exec, 1 HR cum accounts exec)
- Hiring Urgency: Hiring Now
- Number of outlets: N/A
- Have recruiter team: N/A
- Number of recruiter in company: N/A
- Have ATS system: N/A
- Have career website: N/A
- Current hiring budget: RM5,000.00
- Whole year budget: N/A
- Whole year number of vacancies: N/A
- Hiring frequency: Once a year (25%)
- External job portal: N/A</t>
        </is>
      </c>
      <c r="AT2104">
        <v>35</v>
      </c>
      <c r="AU2104" t="inlineStr">
        <is>
          <t>0.35</t>
        </is>
      </c>
      <c r="AV2104" t="inlineStr">
        <is>
          <t>20</t>
        </is>
      </c>
      <c r="AW2104" t="inlineStr">
        <is>
          <t>0</t>
        </is>
      </c>
      <c r="AX2104" t="inlineStr">
        <is>
          <t>Not Qualified</t>
        </is>
      </c>
      <c r="AY2104" s="4"/>
      <c r="AZ2104"/>
      <c r="BA2104"/>
      <c r="BB2104"/>
      <c r="BC2104" t="inlineStr">
        <is>
          <t>posted</t>
        </is>
      </c>
      <c r="BD2104" s="4">
        <v>46140.48401620371</v>
      </c>
      <c r="BE2104" t="inlineStr">
        <is>
          <t>paid</t>
        </is>
      </c>
      <c r="BF2104" t="inlineStr">
        <is>
          <t>Q2-W04</t>
        </is>
      </c>
      <c r="BG2104" t="inlineStr">
        <is>
          <t>Reschedule</t>
        </is>
      </c>
      <c r="BH2104" t="inlineStr">
        <is>
          <t>Reagen</t>
        </is>
      </c>
      <c r="BI2104"/>
      <c r="BJ2104" s="4">
        <v>46144.75425925926</v>
      </c>
      <c r="BK2104" s="4">
        <v>46127.45927083334</v>
      </c>
      <c r="BL2104" t="inlineStr">
        <is>
          <t>6048.0</t>
        </is>
      </c>
      <c r="BM2104" t="inlineStr">
        <is>
          <t>0.0</t>
        </is>
      </c>
      <c r="BN2104" t="inlineStr">
        <is>
          <t>View Company Page</t>
        </is>
      </c>
      <c r="BO2104" s="4">
        <v>46143.48997685185</v>
      </c>
      <c r="BP2104">
        <v>167137</v>
      </c>
      <c r="BQ2104">
        <v>124135</v>
      </c>
      <c r="BR2104" t="inlineStr">
        <is>
          <t>Proforma</t>
        </is>
      </c>
      <c r="BS2104" t="inlineStr">
        <is>
          <t>Free Internship Job</t>
        </is>
      </c>
      <c r="BT2104">
        <v>7640</v>
      </c>
      <c r="BU2104"/>
      <c r="BV2104">
        <v>2732189</v>
      </c>
      <c r="BW2104" t="inlineStr">
        <is>
          <t>Service / Technical : Help To Post Job</t>
        </is>
      </c>
      <c r="BX2104">
        <v>17</v>
      </c>
      <c r="BY2104">
        <v>12</v>
      </c>
      <c r="BZ2104" s="4">
        <v>46140.38989583333</v>
      </c>
      <c r="CA2104">
        <v>160</v>
      </c>
      <c r="CB2104">
        <v>160</v>
      </c>
      <c r="CC2104" s="4"/>
      <c r="CD2104" t="inlineStr">
        <is>
          <t>30</t>
        </is>
      </c>
      <c r="CE2104" t="inlineStr">
        <is>
          <t>0</t>
        </is>
      </c>
      <c r="CF2104" t="inlineStr">
        <is>
          <t>Q2-W02</t>
        </is>
      </c>
      <c r="CG2104" t="inlineStr">
        <is>
          <t>Q2-W04</t>
        </is>
      </c>
      <c r="CH2104" t="inlineStr">
        <is>
          <t>Q2-W04</t>
        </is>
      </c>
      <c r="CI2104"/>
      <c r="CJ2104" t="inlineStr">
        <is>
          <t>Paid</t>
        </is>
      </c>
      <c r="CK2104" t="inlineStr">
        <is>
          <t>Eligible</t>
        </is>
      </c>
      <c r="CL2104"/>
      <c r="CM2104"/>
    </row>
    <row r="2105" ht="25.5" customHeight="1">
      <c r="A2105" t="inlineStr">
        <is>
          <t>136952</t>
        </is>
      </c>
      <c r="B2105" s="2"/>
      <c r="C2105"/>
      <c r="D2105" s="3">
        <v>46127.47445601852</v>
      </c>
      <c r="E2105" t="inlineStr">
        <is>
          <t>Q2-W02</t>
        </is>
      </c>
      <c r="F2105" t="inlineStr">
        <is>
          <t>Luqman</t>
        </is>
      </c>
      <c r="G2105" t="inlineStr">
        <is>
          <t>Customer</t>
        </is>
      </c>
      <c r="H2105" s="2" t="str">
        <f>=HYPERLINK("https://upbox.ajobthing.my/customer/136952", "https://upbox.ajobthing.my/customer/136952")</f>
        <v>https://upbox.ajobthing.my/customer/136952</v>
      </c>
      <c r="I2105" t="inlineStr">
        <is>
          <t>PopoMama Sdn Bhd</t>
        </is>
      </c>
      <c r="J2105" t="inlineStr">
        <is>
          <t>Whale</t>
        </is>
      </c>
      <c r="K2105" t="inlineStr">
        <is>
          <t>Luqman</t>
        </is>
      </c>
      <c r="L2105" s="4"/>
      <c r="M2105" s="4">
        <v>46127.47460648148</v>
      </c>
      <c r="N2105"/>
      <c r="O2105">
        <v>3888</v>
      </c>
      <c r="P2105" s="4"/>
      <c r="Q2105" s="4">
        <v>46091.633784722224</v>
      </c>
      <c r="R2105"/>
      <c r="S2105">
        <v>3888</v>
      </c>
      <c r="T2105" s="4">
        <v>45625.43292824074</v>
      </c>
      <c r="U2105" s="4"/>
      <c r="V2105"/>
      <c r="W2105">
        <v>2604.96</v>
      </c>
      <c r="X2105"/>
      <c r="Y2105" t="inlineStr">
        <is>
          <t>Pending Appointment</t>
        </is>
      </c>
      <c r="Z2105" t="inlineStr">
        <is>
          <t>Hiring Later</t>
        </is>
      </c>
      <c r="AA2105">
        <v>1</v>
      </c>
      <c r="AB2105" t="inlineStr">
        <is>
          <t>No Appointment Made</t>
        </is>
      </c>
      <c r="AC2105"/>
      <c r="AD2105" t="inlineStr">
        <is>
          <t xml:space="preserve">1. Sales Executive </t>
        </is>
      </c>
      <c r="AE2105"/>
      <c r="AF2105">
        <v>1200</v>
      </c>
      <c r="AG2105" s="4"/>
      <c r="AH2105" s="4"/>
      <c r="AI2105">
        <v>1200</v>
      </c>
      <c r="AJ2105"/>
      <c r="AK2105" t="inlineStr">
        <is>
          <t>No, I don't need at all</t>
        </is>
      </c>
      <c r="AL2105">
        <v>1</v>
      </c>
      <c r="AM2105" t="inlineStr">
        <is>
          <t>No, I don't need at all</t>
        </is>
      </c>
      <c r="AN2105"/>
      <c r="AO2105" t="inlineStr">
        <is>
          <t>No, I don't need at all</t>
        </is>
      </c>
      <c r="AP2105" t="inlineStr">
        <is>
          <t>Once a year (25%)</t>
        </is>
      </c>
      <c r="AQ2105">
        <v>3</v>
      </c>
      <c r="AR2105" t="inlineStr">
        <is>
          <t>Free Job Portal</t>
        </is>
      </c>
      <c r="AS2105" t="inlineStr">
        <is>
          <t>- Headcount: 1
- Hiring Job Details: 1 Sales Executive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3
- Hiring frequency: Once a year (25%)
- External job portal: Free Job Portal</t>
        </is>
      </c>
      <c r="AT2105">
        <v>105</v>
      </c>
      <c r="AU2105" t="inlineStr">
        <is>
          <t>1.05</t>
        </is>
      </c>
      <c r="AV2105" t="inlineStr">
        <is>
          <t>15</t>
        </is>
      </c>
      <c r="AW2105" t="inlineStr">
        <is>
          <t>0</t>
        </is>
      </c>
      <c r="AX2105" t="inlineStr">
        <is>
          <t>Not Qualified</t>
        </is>
      </c>
      <c r="AY2105" s="4"/>
      <c r="AZ2105"/>
      <c r="BA2105"/>
      <c r="BB2105"/>
      <c r="BC2105" t="inlineStr">
        <is>
          <t>Budget concern</t>
        </is>
      </c>
      <c r="BD2105" s="4">
        <v>46133.52033564815</v>
      </c>
      <c r="BE2105" t="inlineStr">
        <is>
          <t>pending</t>
        </is>
      </c>
      <c r="BF2105"/>
      <c r="BG2105" t="inlineStr">
        <is>
          <t>Reschedule</t>
        </is>
      </c>
      <c r="BH2105" t="inlineStr">
        <is>
          <t>Edward Hoo</t>
        </is>
      </c>
      <c r="BI2105" t="inlineStr">
        <is>
          <t>Food / Beverage</t>
        </is>
      </c>
      <c r="BJ2105" s="4">
        <v>46144.75059027778</v>
      </c>
      <c r="BK2105" s="4">
        <v>44298.6062962963</v>
      </c>
      <c r="BL2105" t="inlineStr">
        <is>
          <t>0.0</t>
        </is>
      </c>
      <c r="BM2105" t="inlineStr">
        <is>
          <t>6000.0</t>
        </is>
      </c>
      <c r="BN2105" t="inlineStr">
        <is>
          <t>User Visit(Logged In)</t>
        </is>
      </c>
      <c r="BO2105" s="4">
        <v>45988.47256944444</v>
      </c>
      <c r="BP2105">
        <v>167148</v>
      </c>
      <c r="BQ2105">
        <v>116597</v>
      </c>
      <c r="BR2105" t="inlineStr">
        <is>
          <t>Proforma</t>
        </is>
      </c>
      <c r="BS2105" t="inlineStr">
        <is>
          <t>AI Yearly Standard Plan (Jan 26)</t>
        </is>
      </c>
      <c r="BT2105">
        <v>75022</v>
      </c>
      <c r="BU2105"/>
      <c r="BV2105">
        <v>2717736</v>
      </c>
      <c r="BW2105" t="inlineStr">
        <is>
          <t>Follow Up : Budget Concern</t>
        </is>
      </c>
      <c r="BX2105"/>
      <c r="BY2105"/>
      <c r="BZ2105" s="4"/>
      <c r="CA2105"/>
      <c r="CB2105"/>
      <c r="CC2105" s="4"/>
      <c r="CD2105" t="inlineStr">
        <is>
          <t>20</t>
        </is>
      </c>
      <c r="CE2105" t="inlineStr">
        <is>
          <t>0</t>
        </is>
      </c>
      <c r="CF2105" t="inlineStr">
        <is>
          <t>Q2-W02</t>
        </is>
      </c>
      <c r="CG2105" t="inlineStr">
        <is>
          <t>Q1-W10</t>
        </is>
      </c>
      <c r="CH2105"/>
      <c r="CI2105"/>
      <c r="CJ2105" t="inlineStr">
        <is>
          <t>Paid</t>
        </is>
      </c>
      <c r="CK2105" t="inlineStr">
        <is>
          <t>Eligible</t>
        </is>
      </c>
      <c r="CL2105"/>
      <c r="CM2105"/>
    </row>
    <row r="2106" ht="25.5" customHeight="1">
      <c r="A2106" t="inlineStr">
        <is>
          <t>203252</t>
        </is>
      </c>
      <c r="B2106" s="2"/>
      <c r="C2106"/>
      <c r="D2106" s="3">
        <v>46127.485763888886</v>
      </c>
      <c r="E2106" t="inlineStr">
        <is>
          <t>Q2-W02</t>
        </is>
      </c>
      <c r="F2106" t="inlineStr">
        <is>
          <t>Carmen</t>
        </is>
      </c>
      <c r="G2106" t="inlineStr">
        <is>
          <t>Customer</t>
        </is>
      </c>
      <c r="H2106" s="2" t="str">
        <f>=HYPERLINK("https://upbox.ajobthing.my/customer/203252", "https://upbox.ajobthing.my/customer/203252")</f>
        <v>https://upbox.ajobthing.my/customer/203252</v>
      </c>
      <c r="I2106" t="inlineStr">
        <is>
          <t>Panord New Materials Sdn Bhd</t>
        </is>
      </c>
      <c r="J2106" t="inlineStr">
        <is>
          <t>Whale</t>
        </is>
      </c>
      <c r="K2106" t="inlineStr">
        <is>
          <t>Carmen</t>
        </is>
      </c>
      <c r="L2106" s="4"/>
      <c r="M2106" s="4">
        <v>46127.46331018519</v>
      </c>
      <c r="N2106"/>
      <c r="O2106">
        <v>6048</v>
      </c>
      <c r="P2106" s="4"/>
      <c r="Q2106" s="4">
        <v>46142.36953703704</v>
      </c>
      <c r="R2106"/>
      <c r="S2106">
        <v>0</v>
      </c>
      <c r="T2106" s="4">
        <v>46136.585486111115</v>
      </c>
      <c r="U2106" s="4"/>
      <c r="V2106"/>
      <c r="W2106">
        <v>6048</v>
      </c>
      <c r="X2106"/>
      <c r="Y2106" t="inlineStr">
        <is>
          <t>Pending Appointment</t>
        </is>
      </c>
      <c r="Z2106" t="inlineStr">
        <is>
          <t>Continuous Hiring</t>
        </is>
      </c>
      <c r="AA2106">
        <v>6</v>
      </c>
      <c r="AB2106" t="inlineStr">
        <is>
          <t>No Appointment Made</t>
        </is>
      </c>
      <c r="AC2106"/>
      <c r="AD2106" t="inlineStr">
        <is>
          <t>2 inventory ; 1 logistic ; 1 qc ; 1 sales ; 1 hr cum account</t>
        </is>
      </c>
      <c r="AE2106"/>
      <c r="AF2106">
        <v>3000</v>
      </c>
      <c r="AG2106" s="4"/>
      <c r="AH2106" s="4"/>
      <c r="AI2106"/>
      <c r="AJ2106"/>
      <c r="AK2106" t="inlineStr">
        <is>
          <t>Yes, I have</t>
        </is>
      </c>
      <c r="AL2106"/>
      <c r="AM2106"/>
      <c r="AN2106"/>
      <c r="AO2106"/>
      <c r="AP2106" t="inlineStr">
        <is>
          <t>Every month (100%)</t>
        </is>
      </c>
      <c r="AQ2106"/>
      <c r="AR2106"/>
      <c r="AS2106" t="inlineStr">
        <is>
          <t>- Headcount: 6
- Hiring Job Details: 2 inventory; 1 logistic; 1 qc; 1 sales; 1 hr cum account
- Hiring Urgency: Continuous Hiring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Every month (100%)
- External job portal: Not available</t>
        </is>
      </c>
      <c r="AT2106">
        <v>95</v>
      </c>
      <c r="AU2106" t="inlineStr">
        <is>
          <t>0.95</t>
        </is>
      </c>
      <c r="AV2106" t="inlineStr">
        <is>
          <t>20</t>
        </is>
      </c>
      <c r="AW2106" t="inlineStr">
        <is>
          <t>0</t>
        </is>
      </c>
      <c r="AX2106" t="inlineStr">
        <is>
          <t>Not Qualified</t>
        </is>
      </c>
      <c r="AY2106" s="4"/>
      <c r="AZ2106"/>
      <c r="BA2106"/>
      <c r="BB2106"/>
      <c r="BC2106" t="inlineStr">
        <is>
          <t>posted</t>
        </is>
      </c>
      <c r="BD2106" s="4">
        <v>46140.48401620371</v>
      </c>
      <c r="BE2106" t="inlineStr">
        <is>
          <t>paid</t>
        </is>
      </c>
      <c r="BF2106" t="inlineStr">
        <is>
          <t>Q2-W04</t>
        </is>
      </c>
      <c r="BG2106" t="inlineStr">
        <is>
          <t>Reschedule</t>
        </is>
      </c>
      <c r="BH2106" t="inlineStr">
        <is>
          <t>Reagen</t>
        </is>
      </c>
      <c r="BI2106"/>
      <c r="BJ2106" s="4">
        <v>46144.75425925926</v>
      </c>
      <c r="BK2106" s="4">
        <v>46127.45927083334</v>
      </c>
      <c r="BL2106" t="inlineStr">
        <is>
          <t>6048.0</t>
        </is>
      </c>
      <c r="BM2106" t="inlineStr">
        <is>
          <t>0.0</t>
        </is>
      </c>
      <c r="BN2106" t="inlineStr">
        <is>
          <t>View Company Page</t>
        </is>
      </c>
      <c r="BO2106" s="4">
        <v>46143.48997685185</v>
      </c>
      <c r="BP2106">
        <v>167137</v>
      </c>
      <c r="BQ2106">
        <v>124135</v>
      </c>
      <c r="BR2106" t="inlineStr">
        <is>
          <t>Proforma</t>
        </is>
      </c>
      <c r="BS2106" t="inlineStr">
        <is>
          <t>Free Internship Job</t>
        </is>
      </c>
      <c r="BT2106">
        <v>7640</v>
      </c>
      <c r="BU2106"/>
      <c r="BV2106">
        <v>2732189</v>
      </c>
      <c r="BW2106" t="inlineStr">
        <is>
          <t>Service / Technical : Help To Post Job</t>
        </is>
      </c>
      <c r="BX2106">
        <v>17</v>
      </c>
      <c r="BY2106">
        <v>12</v>
      </c>
      <c r="BZ2106" s="4">
        <v>46140.38989583333</v>
      </c>
      <c r="CA2106">
        <v>160</v>
      </c>
      <c r="CB2106">
        <v>160</v>
      </c>
      <c r="CC2106" s="4"/>
      <c r="CD2106" t="inlineStr">
        <is>
          <t>30</t>
        </is>
      </c>
      <c r="CE2106" t="inlineStr">
        <is>
          <t>0</t>
        </is>
      </c>
      <c r="CF2106" t="inlineStr">
        <is>
          <t>Q2-W02</t>
        </is>
      </c>
      <c r="CG2106" t="inlineStr">
        <is>
          <t>Q2-W04</t>
        </is>
      </c>
      <c r="CH2106" t="inlineStr">
        <is>
          <t>Q2-W04</t>
        </is>
      </c>
      <c r="CI2106"/>
      <c r="CJ2106" t="inlineStr">
        <is>
          <t>Paid</t>
        </is>
      </c>
      <c r="CK2106" t="inlineStr">
        <is>
          <t>Eligible</t>
        </is>
      </c>
      <c r="CL2106"/>
      <c r="CM2106"/>
    </row>
    <row r="2107" ht="25.5" customHeight="1">
      <c r="A2107" t="inlineStr">
        <is>
          <t>152737</t>
        </is>
      </c>
      <c r="B2107" s="2"/>
      <c r="C2107"/>
      <c r="D2107" s="3">
        <v>46127.48679398148</v>
      </c>
      <c r="E2107" t="inlineStr">
        <is>
          <t>Q2-W02</t>
        </is>
      </c>
      <c r="F2107" t="inlineStr">
        <is>
          <t>Jess</t>
        </is>
      </c>
      <c r="G2107" t="inlineStr">
        <is>
          <t>Customer</t>
        </is>
      </c>
      <c r="H2107" s="2" t="str">
        <f>=HYPERLINK("https://upbox.ajobthing.my/customer/152737", "https://upbox.ajobthing.my/customer/152737")</f>
        <v>https://upbox.ajobthing.my/customer/152737</v>
      </c>
      <c r="I2107" t="inlineStr">
        <is>
          <t>PropNex Realty Sdn Bhd</t>
        </is>
      </c>
      <c r="J2107" t="inlineStr">
        <is>
          <t>Whale</t>
        </is>
      </c>
      <c r="K2107" t="inlineStr">
        <is>
          <t>Jess Lim</t>
        </is>
      </c>
      <c r="L2107" s="4"/>
      <c r="M2107" s="4">
        <v>46127.49253472222</v>
      </c>
      <c r="N2107"/>
      <c r="O2107">
        <v>10908</v>
      </c>
      <c r="P2107" s="4"/>
      <c r="Q2107" s="4">
        <v>46136.58020833333</v>
      </c>
      <c r="R2107"/>
      <c r="S2107">
        <v>5832</v>
      </c>
      <c r="T2107" s="4">
        <v>46136.58020833333</v>
      </c>
      <c r="U2107" s="4"/>
      <c r="V2107"/>
      <c r="W2107">
        <v>5832</v>
      </c>
      <c r="X2107"/>
      <c r="Y2107" t="inlineStr">
        <is>
          <t>Pending Appointment</t>
        </is>
      </c>
      <c r="Z2107" t="inlineStr">
        <is>
          <t>Hiring Now</t>
        </is>
      </c>
      <c r="AA2107">
        <v>1</v>
      </c>
      <c r="AB2107" t="inlineStr">
        <is>
          <t>No Appointment Made</t>
        </is>
      </c>
      <c r="AC2107"/>
      <c r="AD2107" t="inlineStr">
        <is>
          <t>videor graphic marketing</t>
        </is>
      </c>
      <c r="AE2107"/>
      <c r="AF2107">
        <v>5400</v>
      </c>
      <c r="AG2107" s="4"/>
      <c r="AH2107" s="4"/>
      <c r="AI2107"/>
      <c r="AJ2107">
        <v>1</v>
      </c>
      <c r="AK2107" t="inlineStr">
        <is>
          <t>No, I don't need at all</t>
        </is>
      </c>
      <c r="AL2107">
        <v>1</v>
      </c>
      <c r="AM2107" t="inlineStr">
        <is>
          <t>No, I don't need at all</t>
        </is>
      </c>
      <c r="AN2107"/>
      <c r="AO2107" t="inlineStr">
        <is>
          <t>No, I don't need at all</t>
        </is>
      </c>
      <c r="AP2107" t="inlineStr">
        <is>
          <t>Once a year (25%)</t>
        </is>
      </c>
      <c r="AQ2107"/>
      <c r="AR2107" t="inlineStr">
        <is>
          <t>Jobstreet</t>
        </is>
      </c>
      <c r="AS2107" t="inlineStr">
        <is>
          <t>- Headcount: 1
- Hiring Job Details: videor graphic marketing
- Hiring Urgency: Hiring Now
- Number of outlets: 1
- Have recruiter team: No, I don't need at all
- Number of recruiter in company: 1
- Have ATS system: No, I don't need at all
- Have career website: No, I don't need at all
- Current hiring budget: RM5,400.00
- Whole year budget: N/A
- Whole year number of vacancies: N/A
- Hiring frequency: Once a year (25%)
- External job portal: Jobstreet</t>
        </is>
      </c>
      <c r="AT2107">
        <v>95</v>
      </c>
      <c r="AU2107" t="inlineStr">
        <is>
          <t>0.95</t>
        </is>
      </c>
      <c r="AV2107" t="inlineStr">
        <is>
          <t>15</t>
        </is>
      </c>
      <c r="AW2107" t="inlineStr">
        <is>
          <t>0</t>
        </is>
      </c>
      <c r="AX2107" t="inlineStr">
        <is>
          <t>Not Qualified</t>
        </is>
      </c>
      <c r="AY2107" s="4"/>
      <c r="AZ2107"/>
      <c r="BA2107"/>
      <c r="BB2107"/>
      <c r="BC2107" t="inlineStr">
        <is>
          <t>remind to check job posting</t>
        </is>
      </c>
      <c r="BD2107" s="4">
        <v>46140.50010416667</v>
      </c>
      <c r="BE2107" t="inlineStr">
        <is>
          <t>paid</t>
        </is>
      </c>
      <c r="BF2107" t="inlineStr">
        <is>
          <t>Q2-W04</t>
        </is>
      </c>
      <c r="BG2107" t="inlineStr">
        <is>
          <t>Reschedule</t>
        </is>
      </c>
      <c r="BH2107" t="inlineStr">
        <is>
          <t>Fauziah Maharan</t>
        </is>
      </c>
      <c r="BI2107" t="inlineStr">
        <is>
          <t>Property / Real Estate</t>
        </is>
      </c>
      <c r="BJ2107" s="4">
        <v>46144.750914351855</v>
      </c>
      <c r="BK2107" s="4">
        <v>44672.38616898148</v>
      </c>
      <c r="BL2107" t="inlineStr">
        <is>
          <t>11245.0</t>
        </is>
      </c>
      <c r="BM2107" t="inlineStr">
        <is>
          <t>13500.0</t>
        </is>
      </c>
      <c r="BN2107" t="inlineStr">
        <is>
          <t>View Jobmanager Page</t>
        </is>
      </c>
      <c r="BO2107" s="4">
        <v>46142.53628472222</v>
      </c>
      <c r="BP2107">
        <v>167162</v>
      </c>
      <c r="BQ2107">
        <v>94717</v>
      </c>
      <c r="BR2107" t="inlineStr">
        <is>
          <t>Online</t>
        </is>
      </c>
      <c r="BS2107"/>
      <c r="BT2107">
        <v>94717</v>
      </c>
      <c r="BU2107"/>
      <c r="BV2107">
        <v>2732321</v>
      </c>
      <c r="BW2107" t="inlineStr">
        <is>
          <t>Service / Technical : Job Outcome Enquiry</t>
        </is>
      </c>
      <c r="BX2107">
        <v>32</v>
      </c>
      <c r="BY2107">
        <v>14</v>
      </c>
      <c r="BZ2107" s="4">
        <v>46140.70012731481</v>
      </c>
      <c r="CA2107">
        <v>320</v>
      </c>
      <c r="CB2107">
        <v>320</v>
      </c>
      <c r="CC2107" s="4"/>
      <c r="CD2107" t="inlineStr">
        <is>
          <t>20</t>
        </is>
      </c>
      <c r="CE2107" t="inlineStr">
        <is>
          <t>0</t>
        </is>
      </c>
      <c r="CF2107" t="inlineStr">
        <is>
          <t>Q2-W02</t>
        </is>
      </c>
      <c r="CG2107" t="inlineStr">
        <is>
          <t>Q2-W04</t>
        </is>
      </c>
      <c r="CH2107" t="inlineStr">
        <is>
          <t>Q2-W04</t>
        </is>
      </c>
      <c r="CI2107"/>
      <c r="CJ2107" t="inlineStr">
        <is>
          <t>Paid</t>
        </is>
      </c>
      <c r="CK2107" t="inlineStr">
        <is>
          <t>Eligible</t>
        </is>
      </c>
      <c r="CL2107"/>
      <c r="CM2107"/>
    </row>
    <row r="2108" ht="25.5" customHeight="1">
      <c r="A2108" t="inlineStr">
        <is>
          <t>40014</t>
        </is>
      </c>
      <c r="B2108" s="2"/>
      <c r="C2108"/>
      <c r="D2108" s="3">
        <v>46127.48695601852</v>
      </c>
      <c r="E2108" t="inlineStr">
        <is>
          <t>Q2-W02</t>
        </is>
      </c>
      <c r="F2108" t="inlineStr">
        <is>
          <t>Josh</t>
        </is>
      </c>
      <c r="G2108" t="inlineStr">
        <is>
          <t>Customer</t>
        </is>
      </c>
      <c r="H2108" s="2" t="str">
        <f>=HYPERLINK("https://upbox.ajobthing.my/customer/40014", "https://upbox.ajobthing.my/customer/40014")</f>
        <v>https://upbox.ajobthing.my/customer/40014</v>
      </c>
      <c r="I2108" t="inlineStr">
        <is>
          <t>Arasy Salsabiila Sdn Bhd</t>
        </is>
      </c>
      <c r="J2108" t="inlineStr">
        <is>
          <t>Whale</t>
        </is>
      </c>
      <c r="K2108" t="inlineStr">
        <is>
          <t>Josh</t>
        </is>
      </c>
      <c r="L2108" s="4"/>
      <c r="M2108" s="4">
        <v>46127.474016203705</v>
      </c>
      <c r="N2108"/>
      <c r="O2108">
        <v>3576.96</v>
      </c>
      <c r="P2108" s="4"/>
      <c r="Q2108" s="4">
        <v>46127.68633101852</v>
      </c>
      <c r="R2108"/>
      <c r="S2108">
        <v>0</v>
      </c>
      <c r="T2108" s="4">
        <v>46127.60466435185</v>
      </c>
      <c r="U2108" s="4"/>
      <c r="V2108"/>
      <c r="W2108">
        <v>1080</v>
      </c>
      <c r="X2108"/>
      <c r="Y2108" t="inlineStr">
        <is>
          <t>Pending Appointment</t>
        </is>
      </c>
      <c r="Z2108" t="inlineStr">
        <is>
          <t>Hiring Now</t>
        </is>
      </c>
      <c r="AA2108">
        <v>1</v>
      </c>
      <c r="AB2108" t="inlineStr">
        <is>
          <t>No Appointment Made</t>
        </is>
      </c>
      <c r="AC2108"/>
      <c r="AD2108" t="inlineStr">
        <is>
          <t xml:space="preserve">1 preschool teacher </t>
        </is>
      </c>
      <c r="AE2108"/>
      <c r="AF2108">
        <v>1000</v>
      </c>
      <c r="AG2108" s="4"/>
      <c r="AH2108" s="4"/>
      <c r="AI2108"/>
      <c r="AJ2108"/>
      <c r="AK2108" t="inlineStr">
        <is>
          <t>Yes, I have</t>
        </is>
      </c>
      <c r="AL2108"/>
      <c r="AM2108"/>
      <c r="AN2108"/>
      <c r="AO2108"/>
      <c r="AP2108" t="inlineStr">
        <is>
          <t>Once a year (25%)</t>
        </is>
      </c>
      <c r="AQ2108"/>
      <c r="AR2108"/>
      <c r="AS2108" t="inlineStr">
        <is>
          <t>- Headcount: 1
- Hiring Job Details: 1 preschool teacher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2108">
        <v>90</v>
      </c>
      <c r="AU2108" t="inlineStr">
        <is>
          <t>0.90</t>
        </is>
      </c>
      <c r="AV2108" t="inlineStr">
        <is>
          <t>15</t>
        </is>
      </c>
      <c r="AW2108" t="inlineStr">
        <is>
          <t>0</t>
        </is>
      </c>
      <c r="AX2108" t="inlineStr">
        <is>
          <t>Not Qualified</t>
        </is>
      </c>
      <c r="AY2108" s="4"/>
      <c r="AZ2108"/>
      <c r="BA2108"/>
      <c r="BB2108"/>
      <c r="BC2108" t="inlineStr">
        <is>
          <t>- Headcount: 1
- Hiring Job Details: 1 preschool teacher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BD2108" s="4">
        <v>46127.50003472222</v>
      </c>
      <c r="BE2108" t="inlineStr">
        <is>
          <t>paid</t>
        </is>
      </c>
      <c r="BF2108" t="inlineStr">
        <is>
          <t>Q2-W02</t>
        </is>
      </c>
      <c r="BG2108" t="inlineStr">
        <is>
          <t>Reschedule</t>
        </is>
      </c>
      <c r="BH2108" t="inlineStr">
        <is>
          <t>Fauziah Maharan</t>
        </is>
      </c>
      <c r="BI2108" t="inlineStr">
        <is>
          <t>Education / Training</t>
        </is>
      </c>
      <c r="BJ2108" s="4">
        <v>46144.75518518518</v>
      </c>
      <c r="BK2108" s="4">
        <v>42941.538611111115</v>
      </c>
      <c r="BL2108" t="inlineStr">
        <is>
          <t>5184.0</t>
        </is>
      </c>
      <c r="BM2108" t="inlineStr">
        <is>
          <t>0.0</t>
        </is>
      </c>
      <c r="BN2108" t="inlineStr">
        <is>
          <t>User Visit(Logged In)</t>
        </is>
      </c>
      <c r="BO2108" s="4">
        <v>46142.49269675926</v>
      </c>
      <c r="BP2108">
        <v>167146</v>
      </c>
      <c r="BQ2108">
        <v>122561</v>
      </c>
      <c r="BR2108" t="inlineStr">
        <is>
          <t>Proforma</t>
        </is>
      </c>
      <c r="BS2108" t="inlineStr">
        <is>
          <t>Free Part-Time Job</t>
        </is>
      </c>
      <c r="BT2108">
        <v>93643</v>
      </c>
      <c r="BU2108"/>
      <c r="BV2108">
        <v>2705583</v>
      </c>
      <c r="BW2108" t="inlineStr">
        <is>
          <t>Customer Inquiry</t>
        </is>
      </c>
      <c r="BX2108">
        <v>7</v>
      </c>
      <c r="BY2108">
        <v>0</v>
      </c>
      <c r="BZ2108" s="4">
        <v>46127.69474537037</v>
      </c>
      <c r="CA2108">
        <v>130</v>
      </c>
      <c r="CB2108">
        <v>115</v>
      </c>
      <c r="CC2108" s="4">
        <v>45854.4487037037</v>
      </c>
      <c r="CD2108" t="inlineStr">
        <is>
          <t>20</t>
        </is>
      </c>
      <c r="CE2108" t="inlineStr">
        <is>
          <t>0</t>
        </is>
      </c>
      <c r="CF2108" t="inlineStr">
        <is>
          <t>Q2-W02</t>
        </is>
      </c>
      <c r="CG2108" t="inlineStr">
        <is>
          <t>Q2-W02</t>
        </is>
      </c>
      <c r="CH2108" t="inlineStr">
        <is>
          <t>Q2-W02</t>
        </is>
      </c>
      <c r="CI2108"/>
      <c r="CJ2108" t="inlineStr">
        <is>
          <t>Paid</t>
        </is>
      </c>
      <c r="CK2108" t="inlineStr">
        <is>
          <t>Eligible</t>
        </is>
      </c>
      <c r="CL2108"/>
      <c r="CM2108"/>
    </row>
    <row r="2109" ht="25.5" customHeight="1">
      <c r="A2109" t="inlineStr">
        <is>
          <t>161766</t>
        </is>
      </c>
      <c r="B2109" s="2"/>
      <c r="C2109"/>
      <c r="D2109" s="3">
        <v>46127.49018518518</v>
      </c>
      <c r="E2109" t="inlineStr">
        <is>
          <t>Q2-W02</t>
        </is>
      </c>
      <c r="F2109" t="inlineStr">
        <is>
          <t>Jia Hui</t>
        </is>
      </c>
      <c r="G2109" t="inlineStr">
        <is>
          <t>Customer</t>
        </is>
      </c>
      <c r="H2109" s="2" t="str">
        <f>=HYPERLINK("https://upbox.ajobthing.my/customer/161766", "https://upbox.ajobthing.my/customer/161766")</f>
        <v>https://upbox.ajobthing.my/customer/161766</v>
      </c>
      <c r="I2109" t="inlineStr">
        <is>
          <t>3CCat Sdn. Bhd.</t>
        </is>
      </c>
      <c r="J2109" t="inlineStr">
        <is>
          <t>Whale</t>
        </is>
      </c>
      <c r="K2109" t="inlineStr">
        <is>
          <t>Jia Hui</t>
        </is>
      </c>
      <c r="L2109" s="4"/>
      <c r="M2109" s="4">
        <v>46127.49230324074</v>
      </c>
      <c r="N2109"/>
      <c r="O2109">
        <v>10908</v>
      </c>
      <c r="P2109" s="4"/>
      <c r="Q2109" s="4">
        <v>46127.43283564815</v>
      </c>
      <c r="R2109"/>
      <c r="S2109">
        <v>6048</v>
      </c>
      <c r="T2109" s="4">
        <v>46127.43283564815</v>
      </c>
      <c r="U2109" s="4"/>
      <c r="V2109"/>
      <c r="W2109">
        <v>6048</v>
      </c>
      <c r="X2109"/>
      <c r="Y2109" t="inlineStr">
        <is>
          <t>Pending Appointment</t>
        </is>
      </c>
      <c r="Z2109" t="inlineStr">
        <is>
          <t>Hiring Now</t>
        </is>
      </c>
      <c r="AA2109">
        <v>5</v>
      </c>
      <c r="AB2109" t="inlineStr">
        <is>
          <t>No Appointment Made</t>
        </is>
      </c>
      <c r="AC2109"/>
      <c r="AD2109" t="inlineStr">
        <is>
          <t>3 finance, 2 marketing</t>
        </is>
      </c>
      <c r="AE2109"/>
      <c r="AF2109">
        <v>5000</v>
      </c>
      <c r="AG2109" s="4"/>
      <c r="AH2109" s="4"/>
      <c r="AI2109"/>
      <c r="AJ2109"/>
      <c r="AK2109" t="inlineStr">
        <is>
          <t>Yes, I have</t>
        </is>
      </c>
      <c r="AL2109"/>
      <c r="AM2109"/>
      <c r="AN2109"/>
      <c r="AO2109"/>
      <c r="AP2109" t="inlineStr">
        <is>
          <t>Twice a year (50%)</t>
        </is>
      </c>
      <c r="AQ2109"/>
      <c r="AR2109"/>
      <c r="AS2109" t="inlineStr">
        <is>
          <t>- Headcount: 5
- Hiring Job Details: 3 finance, 2 marketing
- Hiring Urgency: Hiring Now
- Number of outlets: Not available
- Have recruiter team: Yes
- Number of recruiter in company: Not available
- Have ATS system: Not available
- Have career website: Not available
- Current hiring budget: RM5,000.00
- Whole year budget: Not available
- Whole year number of vacancies: Not available
- Hiring frequency: Twice a year (50%)
- External job portal: Not available</t>
        </is>
      </c>
      <c r="AT2109">
        <v>95</v>
      </c>
      <c r="AU2109" t="inlineStr">
        <is>
          <t>0.95</t>
        </is>
      </c>
      <c r="AV2109" t="inlineStr">
        <is>
          <t>20</t>
        </is>
      </c>
      <c r="AW2109" t="inlineStr">
        <is>
          <t>0</t>
        </is>
      </c>
      <c r="AX2109" t="inlineStr">
        <is>
          <t>Not Qualified</t>
        </is>
      </c>
      <c r="AY2109" s="4"/>
      <c r="AZ2109"/>
      <c r="BA2109"/>
      <c r="BB2109"/>
      <c r="BC2109" t="inlineStr">
        <is>
          <t>sent quotation for enhanced yearly plan</t>
        </is>
      </c>
      <c r="BD2109" s="4">
        <v>46127.54709490741</v>
      </c>
      <c r="BE2109" t="inlineStr">
        <is>
          <t>paid</t>
        </is>
      </c>
      <c r="BF2109" t="inlineStr">
        <is>
          <t>Q2-W02</t>
        </is>
      </c>
      <c r="BG2109" t="inlineStr">
        <is>
          <t>Reschedule</t>
        </is>
      </c>
      <c r="BH2109" t="inlineStr">
        <is>
          <t>Reagen</t>
        </is>
      </c>
      <c r="BI2109" t="inlineStr">
        <is>
          <t>Retail / Merchandise</t>
        </is>
      </c>
      <c r="BJ2109" s="4">
        <v>46144.751122685186</v>
      </c>
      <c r="BK2109" s="4">
        <v>44869.51730324074</v>
      </c>
      <c r="BL2109" t="inlineStr">
        <is>
          <t>6480.0</t>
        </is>
      </c>
      <c r="BM2109" t="inlineStr">
        <is>
          <t>0.0</t>
        </is>
      </c>
      <c r="BN2109" t="inlineStr">
        <is>
          <t>View Company Page</t>
        </is>
      </c>
      <c r="BO2109" s="4">
        <v>46142.463900462964</v>
      </c>
      <c r="BP2109">
        <v>167161</v>
      </c>
      <c r="BQ2109">
        <v>93530</v>
      </c>
      <c r="BR2109" t="inlineStr">
        <is>
          <t>Online</t>
        </is>
      </c>
      <c r="BS2109"/>
      <c r="BT2109">
        <v>93530</v>
      </c>
      <c r="BU2109"/>
      <c r="BV2109">
        <v>2705725</v>
      </c>
      <c r="BW2109" t="inlineStr">
        <is>
          <t>Follow Up : Quotation Sent 50%</t>
        </is>
      </c>
      <c r="BX2109">
        <v>23</v>
      </c>
      <c r="BY2109">
        <v>15</v>
      </c>
      <c r="BZ2109" s="4">
        <v>46142.45390046296</v>
      </c>
      <c r="CA2109">
        <v>233</v>
      </c>
      <c r="CB2109">
        <v>233</v>
      </c>
      <c r="CC2109" s="4"/>
      <c r="CD2109" t="inlineStr">
        <is>
          <t>30</t>
        </is>
      </c>
      <c r="CE2109" t="inlineStr">
        <is>
          <t>0</t>
        </is>
      </c>
      <c r="CF2109" t="inlineStr">
        <is>
          <t>Q2-W02</t>
        </is>
      </c>
      <c r="CG2109" t="inlineStr">
        <is>
          <t>Q2-W02</t>
        </is>
      </c>
      <c r="CH2109" t="inlineStr">
        <is>
          <t>Q2-W02</t>
        </is>
      </c>
      <c r="CI2109"/>
      <c r="CJ2109" t="inlineStr">
        <is>
          <t>Paid</t>
        </is>
      </c>
      <c r="CK2109" t="inlineStr">
        <is>
          <t>Eligible</t>
        </is>
      </c>
      <c r="CL2109"/>
      <c r="CM2109"/>
    </row>
    <row r="2110" ht="25.5" customHeight="1">
      <c r="A2110" t="inlineStr">
        <is>
          <t>177091</t>
        </is>
      </c>
      <c r="B2110" s="2"/>
      <c r="C2110"/>
      <c r="D2110" s="3">
        <v>46127.49314814815</v>
      </c>
      <c r="E2110" t="inlineStr">
        <is>
          <t>Q2-W02</t>
        </is>
      </c>
      <c r="F2110" t="inlineStr">
        <is>
          <t>Luqman</t>
        </is>
      </c>
      <c r="G2110" t="inlineStr">
        <is>
          <t>Customer</t>
        </is>
      </c>
      <c r="H2110" s="2" t="str">
        <f>=HYPERLINK("https://upbox.ajobthing.my/customer/177091", "https://upbox.ajobthing.my/customer/177091")</f>
        <v>https://upbox.ajobthing.my/customer/177091</v>
      </c>
      <c r="I2110" t="inlineStr">
        <is>
          <t>Anran Nano Health Digital Intelligent Technology Sdn. Bhd.</t>
        </is>
      </c>
      <c r="J2110" t="inlineStr">
        <is>
          <t>Whale</t>
        </is>
      </c>
      <c r="K2110" t="inlineStr">
        <is>
          <t>Luqman</t>
        </is>
      </c>
      <c r="L2110" s="4"/>
      <c r="M2110" s="4">
        <v>46127.49327546296</v>
      </c>
      <c r="N2110"/>
      <c r="O2110">
        <v>6048</v>
      </c>
      <c r="P2110" s="4"/>
      <c r="Q2110" s="4">
        <v>45425.38212962963</v>
      </c>
      <c r="R2110"/>
      <c r="S2110">
        <v>0</v>
      </c>
      <c r="T2110" s="4">
        <v>45412.664814814816</v>
      </c>
      <c r="U2110" s="4"/>
      <c r="V2110"/>
      <c r="W2110">
        <v>1944</v>
      </c>
      <c r="X2110"/>
      <c r="Y2110" t="inlineStr">
        <is>
          <t>Pending Appointment</t>
        </is>
      </c>
      <c r="Z2110" t="inlineStr">
        <is>
          <t>Hiring Later</t>
        </is>
      </c>
      <c r="AA2110">
        <v>1</v>
      </c>
      <c r="AB2110" t="inlineStr">
        <is>
          <t>No Appointment Made</t>
        </is>
      </c>
      <c r="AC2110"/>
      <c r="AD2110" t="inlineStr">
        <is>
          <t>1. Therapist</t>
        </is>
      </c>
      <c r="AE2110"/>
      <c r="AF2110">
        <v>3600</v>
      </c>
      <c r="AG2110" s="4"/>
      <c r="AH2110" s="4"/>
      <c r="AI2110">
        <v>3600</v>
      </c>
      <c r="AJ2110"/>
      <c r="AK2110" t="inlineStr">
        <is>
          <t>No, I don't need at all</t>
        </is>
      </c>
      <c r="AL2110">
        <v>4</v>
      </c>
      <c r="AM2110" t="inlineStr">
        <is>
          <t>No, I don't need at all</t>
        </is>
      </c>
      <c r="AN2110"/>
      <c r="AO2110" t="inlineStr">
        <is>
          <t>No, I don't need at all</t>
        </is>
      </c>
      <c r="AP2110" t="inlineStr">
        <is>
          <t>Once a year (25%)</t>
        </is>
      </c>
      <c r="AQ2110">
        <v>3</v>
      </c>
      <c r="AR2110" t="inlineStr">
        <is>
          <t>Jobstreet</t>
        </is>
      </c>
      <c r="AS2110" t="inlineStr">
        <is>
          <t>- Headcount: 1
- Hiring Job Details: 1 therapist
- Hiring Urgency: Hiring Later
- Number of outlets: N/A
- Have recruiter team: No, I don't need at all
- Number of recruiter in company: 4
- Have ATS system: No, I don't need at all
- Have career website: No, I don't need at all
- Current hiring budget: RM3,600
- Whole year budget: RM3,600.00
- Whole year number of vacancies: 3
- Hiring frequency: Once a year (25%)
- External job portal: Jobstreet</t>
        </is>
      </c>
      <c r="AT2110">
        <v>115</v>
      </c>
      <c r="AU2110" t="inlineStr">
        <is>
          <t>1.15</t>
        </is>
      </c>
      <c r="AV2110" t="inlineStr">
        <is>
          <t>15</t>
        </is>
      </c>
      <c r="AW2110" t="inlineStr">
        <is>
          <t>0</t>
        </is>
      </c>
      <c r="AX2110" t="inlineStr">
        <is>
          <t>Not Qualified</t>
        </is>
      </c>
      <c r="AY2110" s="4"/>
      <c r="AZ2110"/>
      <c r="BA2110"/>
      <c r="BB2110"/>
      <c r="BC2110" t="inlineStr">
        <is>
          <t>Lost</t>
        </is>
      </c>
      <c r="BD2110" s="4">
        <v>46139.44430555555</v>
      </c>
      <c r="BE2110" t="inlineStr">
        <is>
          <t>paid</t>
        </is>
      </c>
      <c r="BF2110"/>
      <c r="BG2110" t="inlineStr">
        <is>
          <t>Reschedule</t>
        </is>
      </c>
      <c r="BH2110" t="inlineStr">
        <is>
          <t>Edward Hoo</t>
        </is>
      </c>
      <c r="BI2110" t="inlineStr">
        <is>
          <t>Healthcare / Medical</t>
        </is>
      </c>
      <c r="BJ2110" s="4">
        <v>46144.75167824074</v>
      </c>
      <c r="BK2110" s="4">
        <v>45386.60627314815</v>
      </c>
      <c r="BL2110" t="inlineStr">
        <is>
          <t>0.0</t>
        </is>
      </c>
      <c r="BM2110" t="inlineStr">
        <is>
          <t>5400.0</t>
        </is>
      </c>
      <c r="BN2110" t="inlineStr">
        <is>
          <t>View Account User</t>
        </is>
      </c>
      <c r="BO2110" s="4">
        <v>46133.452581018515</v>
      </c>
      <c r="BP2110">
        <v>167164</v>
      </c>
      <c r="BQ2110">
        <v>89926</v>
      </c>
      <c r="BR2110" t="inlineStr">
        <is>
          <t>Proforma</t>
        </is>
      </c>
      <c r="BS2110" t="inlineStr">
        <is>
          <t>SLG 10</t>
        </is>
      </c>
      <c r="BT2110">
        <v>68599</v>
      </c>
      <c r="BU2110"/>
      <c r="BV2110">
        <v>2728421</v>
      </c>
      <c r="BW2110" t="inlineStr">
        <is>
          <t>Follow Up : Lost - Free Portal</t>
        </is>
      </c>
      <c r="BX2110"/>
      <c r="BY2110"/>
      <c r="BZ2110" s="4"/>
      <c r="CA2110"/>
      <c r="CB2110"/>
      <c r="CC2110" s="4"/>
      <c r="CD2110" t="inlineStr">
        <is>
          <t>20</t>
        </is>
      </c>
      <c r="CE2110" t="inlineStr">
        <is>
          <t>0</t>
        </is>
      </c>
      <c r="CF2110" t="inlineStr">
        <is>
          <t>Q2-W02</t>
        </is>
      </c>
      <c r="CG2110"/>
      <c r="CH2110"/>
      <c r="CI2110"/>
      <c r="CJ2110" t="inlineStr">
        <is>
          <t>Paid</t>
        </is>
      </c>
      <c r="CK2110" t="inlineStr">
        <is>
          <t>Eligible</t>
        </is>
      </c>
      <c r="CL2110"/>
      <c r="CM2110"/>
    </row>
    <row r="2111" ht="25.5" customHeight="1">
      <c r="A2111" t="inlineStr">
        <is>
          <t>4284445</t>
        </is>
      </c>
      <c r="B2111" s="2"/>
      <c r="C2111"/>
      <c r="D2111" s="3">
        <v>46127.54540509259</v>
      </c>
      <c r="E2111" t="inlineStr">
        <is>
          <t>Q2-W02</t>
        </is>
      </c>
      <c r="F2111" t="inlineStr">
        <is>
          <t>Yuli</t>
        </is>
      </c>
      <c r="G2111" t="inlineStr">
        <is>
          <t>Lead</t>
        </is>
      </c>
      <c r="H2111" s="2" t="str">
        <f>=HYPERLINK("https://upbox.ajobthing.my/leads/4284445", "https://upbox.ajobthing.my/leads/4284445")</f>
        <v>https://upbox.ajobthing.my/leads/4284445</v>
      </c>
      <c r="I2111" t="inlineStr">
        <is>
          <t>Seremban Engineering Berhad</t>
        </is>
      </c>
      <c r="J2111" t="inlineStr">
        <is>
          <t>Whale</t>
        </is>
      </c>
      <c r="K2111" t="inlineStr">
        <is>
          <t>YuLi</t>
        </is>
      </c>
      <c r="L2111" s="4"/>
      <c r="M2111" s="4">
        <v>46127.5444212963</v>
      </c>
      <c r="N2111"/>
      <c r="O2111">
        <v>11448</v>
      </c>
      <c r="P2111" s="4"/>
      <c r="Q2111" s="4"/>
      <c r="R2111"/>
      <c r="S2111"/>
      <c r="T2111" s="4"/>
      <c r="U2111" s="4"/>
      <c r="V2111"/>
      <c r="W2111"/>
      <c r="X2111"/>
      <c r="Y2111" t="inlineStr">
        <is>
          <t>Pending Appointment</t>
        </is>
      </c>
      <c r="Z2111" t="inlineStr">
        <is>
          <t>Hiring Now</t>
        </is>
      </c>
      <c r="AA2111">
        <v>5</v>
      </c>
      <c r="AB2111" t="inlineStr">
        <is>
          <t>No Appointment Made</t>
        </is>
      </c>
      <c r="AC2111"/>
      <c r="AD2111" t="inlineStr">
        <is>
          <t>1) Junior Project Engineer (based at Seremban)-1
2) Logistic Executive (based at Seremban)-1
3) Logistic Assistant Manager (based at Puchong)-1
4) Senior Account Executive (based at Seremban)-1
5) Structural Engineer - Contract (Seremban - Johor site office if required)-1</t>
        </is>
      </c>
      <c r="AE2111"/>
      <c r="AF2111"/>
      <c r="AG2111" s="4"/>
      <c r="AH2111" s="4"/>
      <c r="AI2111"/>
      <c r="AJ2111"/>
      <c r="AK2111"/>
      <c r="AL2111"/>
      <c r="AM2111"/>
      <c r="AN2111"/>
      <c r="AO2111"/>
      <c r="AP2111"/>
      <c r="AQ2111"/>
      <c r="AR2111" t="inlineStr">
        <is>
          <t>Jobstreet</t>
        </is>
      </c>
      <c r="AS2111" t="inlineStr">
        <is>
          <t>- Headcount: 5
- Hiring Job Details: 1 Junior Project Engineer (Seremban), 1 Logistic Executive (Seremban), 1 Logistic Assistant Manager (Puchong), 1 Senior Account Executive (Seremban), 1 Structural Engineer - Contract (Seremban/Johor if needed)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2111">
        <v>95</v>
      </c>
      <c r="AU2111" t="inlineStr">
        <is>
          <t>0.95</t>
        </is>
      </c>
      <c r="AV2111" t="inlineStr">
        <is>
          <t>10</t>
        </is>
      </c>
      <c r="AW2111" t="inlineStr">
        <is>
          <t>0</t>
        </is>
      </c>
      <c r="AX2111" t="inlineStr">
        <is>
          <t>Not Qualified</t>
        </is>
      </c>
      <c r="AY2111" s="4"/>
      <c r="AZ2111"/>
      <c r="BA2111"/>
      <c r="BB2111"/>
      <c r="BC2111"/>
      <c r="BD2111" s="4"/>
      <c r="BE2111"/>
      <c r="BF2111"/>
      <c r="BG2111" t="inlineStr">
        <is>
          <t>Reschedule</t>
        </is>
      </c>
      <c r="BH2111" t="inlineStr">
        <is>
          <t>Fauziah Maharan</t>
        </is>
      </c>
      <c r="BI2111"/>
      <c r="BJ2111" s="4">
        <v>46144.755833333336</v>
      </c>
      <c r="BK2111" s="4">
        <v>46127.42980324074</v>
      </c>
      <c r="BL2111" t="inlineStr">
        <is>
          <t>0.0</t>
        </is>
      </c>
      <c r="BM2111" t="inlineStr">
        <is>
          <t>5400.0</t>
        </is>
      </c>
      <c r="BN2111"/>
      <c r="BO2111" s="4"/>
      <c r="BP2111">
        <v>167168</v>
      </c>
      <c r="BQ2111"/>
      <c r="BR2111"/>
      <c r="BS2111"/>
      <c r="BT2111"/>
      <c r="BU2111"/>
      <c r="BV2111"/>
      <c r="BW2111"/>
      <c r="BX2111"/>
      <c r="BY2111"/>
      <c r="BZ2111" s="4"/>
      <c r="CA2111"/>
      <c r="CB2111"/>
      <c r="CC2111" s="4"/>
      <c r="CD2111" t="inlineStr">
        <is>
          <t>15</t>
        </is>
      </c>
      <c r="CE2111" t="inlineStr">
        <is>
          <t>0</t>
        </is>
      </c>
      <c r="CF2111" t="inlineStr">
        <is>
          <t>Q2-W02</t>
        </is>
      </c>
      <c r="CG2111"/>
      <c r="CH2111"/>
      <c r="CI2111"/>
      <c r="CJ2111" t="inlineStr">
        <is>
          <t>No Paid</t>
        </is>
      </c>
      <c r="CK2111" t="inlineStr">
        <is>
          <t>Eligible</t>
        </is>
      </c>
      <c r="CL2111"/>
      <c r="CM2111"/>
    </row>
    <row r="2112" ht="25.5" customHeight="1">
      <c r="A2112" t="inlineStr">
        <is>
          <t>146188</t>
        </is>
      </c>
      <c r="B2112" s="2"/>
      <c r="C2112"/>
      <c r="D2112" s="3">
        <v>46127.60202546296</v>
      </c>
      <c r="E2112" t="inlineStr">
        <is>
          <t>Q2-W02</t>
        </is>
      </c>
      <c r="F2112" t="inlineStr">
        <is>
          <t>Yuli</t>
        </is>
      </c>
      <c r="G2112" t="inlineStr">
        <is>
          <t>Customer</t>
        </is>
      </c>
      <c r="H2112" s="2" t="str">
        <f>=HYPERLINK("https://upbox.ajobthing.my/customer/146188", "https://upbox.ajobthing.my/customer/146188")</f>
        <v>https://upbox.ajobthing.my/customer/146188</v>
      </c>
      <c r="I2112" t="inlineStr">
        <is>
          <t>Swee Seng Electrical Engineering Sdn Bhd</t>
        </is>
      </c>
      <c r="J2112" t="inlineStr">
        <is>
          <t>Whale</t>
        </is>
      </c>
      <c r="K2112" t="inlineStr">
        <is>
          <t>YuLi</t>
        </is>
      </c>
      <c r="L2112" s="4"/>
      <c r="M2112" s="4">
        <v>46127.628703703704</v>
      </c>
      <c r="N2112"/>
      <c r="O2112">
        <v>3672</v>
      </c>
      <c r="P2112" s="4"/>
      <c r="Q2112" s="4">
        <v>46130.60377314815</v>
      </c>
      <c r="R2112"/>
      <c r="S2112">
        <v>3672</v>
      </c>
      <c r="T2112" s="4">
        <v>46130.60377314815</v>
      </c>
      <c r="U2112" s="4"/>
      <c r="V2112"/>
      <c r="W2112">
        <v>3672</v>
      </c>
      <c r="X2112"/>
      <c r="Y2112" t="inlineStr">
        <is>
          <t>Pending Appointment</t>
        </is>
      </c>
      <c r="Z2112" t="inlineStr">
        <is>
          <t>Hiring Now</t>
        </is>
      </c>
      <c r="AA2112">
        <v>1</v>
      </c>
      <c r="AB2112" t="inlineStr">
        <is>
          <t>No Appointment Made</t>
        </is>
      </c>
      <c r="AC2112"/>
      <c r="AD2112" t="inlineStr">
        <is>
          <t>Outdoor Sales-Full time and freelances-as many as they can
Mandarin speaker needed-, JOhor and KL</t>
        </is>
      </c>
      <c r="AE2112"/>
      <c r="AF2112">
        <v>3000</v>
      </c>
      <c r="AG2112" s="4"/>
      <c r="AH2112" s="4"/>
      <c r="AI2112"/>
      <c r="AJ2112">
        <v>1</v>
      </c>
      <c r="AK2112"/>
      <c r="AL2112"/>
      <c r="AM2112"/>
      <c r="AN2112"/>
      <c r="AO2112"/>
      <c r="AP2112" t="inlineStr">
        <is>
          <t>Every month (100%)</t>
        </is>
      </c>
      <c r="AQ2112"/>
      <c r="AR2112" t="inlineStr">
        <is>
          <t>Did not use any job portal</t>
        </is>
      </c>
      <c r="AS2112" t="inlineStr">
        <is>
          <t>- Headcount: 1
- Hiring Job Details: Outdoor Sales-Full time and freelances-as many as they can; Mandarin speaker needed; JOhor and KL
- Hiring Urgency: Hiring Now
- Number of outlets: 1
- Have recruiter team: Not specified
- Number of recruiter in company: Not specified
- Have ATS system: Not specified
- Have career website: Not specified
- Current hiring budget: RM3,000.00
- Whole year budget: Not specified
- Whole year number of vacancies: Not specified
- Hiring frequency: Every month (100%)
- External job portal: Did not use any job portal</t>
        </is>
      </c>
      <c r="AT2112">
        <v>75</v>
      </c>
      <c r="AU2112" t="inlineStr">
        <is>
          <t>0.75</t>
        </is>
      </c>
      <c r="AV2112" t="inlineStr">
        <is>
          <t>15</t>
        </is>
      </c>
      <c r="AW2112" t="inlineStr">
        <is>
          <t>0</t>
        </is>
      </c>
      <c r="AX2112" t="inlineStr">
        <is>
          <t>Not Qualified</t>
        </is>
      </c>
      <c r="AY2112" s="4"/>
      <c r="AZ2112"/>
      <c r="BA2112"/>
      <c r="BB2112"/>
      <c r="BC2112" t="inlineStr">
        <is>
          <t>Received message from Swee Seng mentioned majority of applications not in JB area, get Kina to boost up</t>
        </is>
      </c>
      <c r="BD2112" s="4">
        <v>46139.700902777775</v>
      </c>
      <c r="BE2112" t="inlineStr">
        <is>
          <t>paid</t>
        </is>
      </c>
      <c r="BF2112" t="inlineStr">
        <is>
          <t>Q2-W03</t>
        </is>
      </c>
      <c r="BG2112" t="inlineStr">
        <is>
          <t>Reschedule</t>
        </is>
      </c>
      <c r="BH2112" t="inlineStr">
        <is>
          <t>Fauziah Maharan</t>
        </is>
      </c>
      <c r="BI2112" t="inlineStr">
        <is>
          <t>Utilities / Power</t>
        </is>
      </c>
      <c r="BJ2112" s="4">
        <v>46144.75077546296</v>
      </c>
      <c r="BK2112" s="4">
        <v>44559.45379629629</v>
      </c>
      <c r="BL2112" t="inlineStr">
        <is>
          <t>8748.0</t>
        </is>
      </c>
      <c r="BM2112" t="inlineStr">
        <is>
          <t>0.0</t>
        </is>
      </c>
      <c r="BN2112" t="inlineStr">
        <is>
          <t>PA Visit - Job Card</t>
        </is>
      </c>
      <c r="BO2112" s="4">
        <v>46139.678090277775</v>
      </c>
      <c r="BP2112">
        <v>167197</v>
      </c>
      <c r="BQ2112">
        <v>94193</v>
      </c>
      <c r="BR2112" t="inlineStr">
        <is>
          <t>Online</t>
        </is>
      </c>
      <c r="BS2112"/>
      <c r="BT2112">
        <v>94193</v>
      </c>
      <c r="BU2112"/>
      <c r="BV2112">
        <v>2731311</v>
      </c>
      <c r="BW2112" t="inlineStr">
        <is>
          <t>Service / Technical : Job Outcome Enquiry</t>
        </is>
      </c>
      <c r="BX2112">
        <v>12</v>
      </c>
      <c r="BY2112">
        <v>4</v>
      </c>
      <c r="BZ2112" s="4">
        <v>46132.50880787037</v>
      </c>
      <c r="CA2112">
        <v>120</v>
      </c>
      <c r="CB2112">
        <v>59</v>
      </c>
      <c r="CC2112" s="4">
        <v>46136.707453703704</v>
      </c>
      <c r="CD2112" t="inlineStr">
        <is>
          <t>20</t>
        </is>
      </c>
      <c r="CE2112" t="inlineStr">
        <is>
          <t>0</t>
        </is>
      </c>
      <c r="CF2112" t="inlineStr">
        <is>
          <t>Q2-W02</t>
        </is>
      </c>
      <c r="CG2112" t="inlineStr">
        <is>
          <t>Q2-W03</t>
        </is>
      </c>
      <c r="CH2112" t="inlineStr">
        <is>
          <t>Q2-W03</t>
        </is>
      </c>
      <c r="CI2112"/>
      <c r="CJ2112" t="inlineStr">
        <is>
          <t>Paid</t>
        </is>
      </c>
      <c r="CK2112" t="inlineStr">
        <is>
          <t>Eligible</t>
        </is>
      </c>
      <c r="CL2112"/>
      <c r="CM2112"/>
    </row>
    <row r="2113" ht="25.5" customHeight="1">
      <c r="A2113" t="inlineStr">
        <is>
          <t>203179</t>
        </is>
      </c>
      <c r="B2113" s="2"/>
      <c r="C2113"/>
      <c r="D2113" s="3">
        <v>46127.6484375</v>
      </c>
      <c r="E2113" t="inlineStr">
        <is>
          <t>Q2-W02</t>
        </is>
      </c>
      <c r="F2113" t="inlineStr">
        <is>
          <t>Carmen</t>
        </is>
      </c>
      <c r="G2113" t="inlineStr">
        <is>
          <t>Customer</t>
        </is>
      </c>
      <c r="H2113" s="2" t="str">
        <f>=HYPERLINK("https://upbox.ajobthing.my/customer/203179", "https://upbox.ajobthing.my/customer/203179")</f>
        <v>https://upbox.ajobthing.my/customer/203179</v>
      </c>
      <c r="I2113" t="inlineStr">
        <is>
          <t>anbitech precision manufacturing sdn bhd</t>
        </is>
      </c>
      <c r="J2113" t="inlineStr">
        <is>
          <t>Whale</t>
        </is>
      </c>
      <c r="K2113" t="inlineStr">
        <is>
          <t>Carmen</t>
        </is>
      </c>
      <c r="L2113" s="4"/>
      <c r="M2113" s="4">
        <v>46132.69546296296</v>
      </c>
      <c r="N2113"/>
      <c r="O2113">
        <v>5508</v>
      </c>
      <c r="P2113" s="4"/>
      <c r="Q2113" s="4">
        <v>46133.63988425926</v>
      </c>
      <c r="R2113"/>
      <c r="S2113">
        <v>5508</v>
      </c>
      <c r="T2113" s="4">
        <v>46133.63988425926</v>
      </c>
      <c r="U2113" s="4"/>
      <c r="V2113"/>
      <c r="W2113">
        <v>5508</v>
      </c>
      <c r="X2113" t="inlineStr">
        <is>
          <t>Reagen</t>
        </is>
      </c>
      <c r="Y2113" t="inlineStr">
        <is>
          <t>Pending Appointment</t>
        </is>
      </c>
      <c r="Z2113" t="inlineStr">
        <is>
          <t>Continuous Hiring</t>
        </is>
      </c>
      <c r="AA2113">
        <v>10</v>
      </c>
      <c r="AB2113" t="inlineStr">
        <is>
          <t>Appointment Made</t>
        </is>
      </c>
      <c r="AC2113" t="inlineStr">
        <is>
          <t>Large (101-300 employees)</t>
        </is>
      </c>
      <c r="AD2113" t="inlineStr">
        <is>
          <t>10 people</t>
        </is>
      </c>
      <c r="AE2113" t="inlineStr">
        <is>
          <t>HR Director / Senior HR Lead</t>
        </is>
      </c>
      <c r="AF2113">
        <v>5000</v>
      </c>
      <c r="AG2113" s="4">
        <v>46128.4375</v>
      </c>
      <c r="AH2113" s="4">
        <v>46128.479166666664</v>
      </c>
      <c r="AI2113"/>
      <c r="AJ2113"/>
      <c r="AK2113" t="inlineStr">
        <is>
          <t>Yes, I have</t>
        </is>
      </c>
      <c r="AL2113"/>
      <c r="AM2113"/>
      <c r="AN2113"/>
      <c r="AO2113"/>
      <c r="AP2113" t="inlineStr">
        <is>
          <t>Every month (100%)</t>
        </is>
      </c>
      <c r="AQ2113"/>
      <c r="AR2113"/>
      <c r="AS2113" t="inlineStr">
        <is>
          <t>- Headcount: 10
- Hiring Job Details: 10 people
- Number of outlets: Not available
- Have recruiter team: Yes
- Number of recruiter in company: Not available
- Have ATS system: Not available
- Have career website: Not available
- Current hiring budget: RM5,000.00
- Whole year budget: Not available
- Whole year number of vacancies: Not available
- Hiring frequency: Every month (100%)
- External job portal: Not available
- Hiring Urgency: Continuous Hiring</t>
        </is>
      </c>
      <c r="AT2113">
        <v>40</v>
      </c>
      <c r="AU2113" t="inlineStr">
        <is>
          <t>0.40</t>
        </is>
      </c>
      <c r="AV2113" t="inlineStr">
        <is>
          <t>50</t>
        </is>
      </c>
      <c r="AW2113" t="inlineStr">
        <is>
          <t>0.5</t>
        </is>
      </c>
      <c r="AX2113" t="inlineStr">
        <is>
          <t>Not Qualified</t>
        </is>
      </c>
      <c r="AY2113" s="4"/>
      <c r="AZ2113"/>
      <c r="BA2113"/>
      <c r="BB2113"/>
      <c r="BC2113" t="inlineStr">
        <is>
          <t>inform her the cdd rejected</t>
        </is>
      </c>
      <c r="BD2113" s="4">
        <v>46140.459189814814</v>
      </c>
      <c r="BE2113" t="inlineStr">
        <is>
          <t>paid</t>
        </is>
      </c>
      <c r="BF2113" t="inlineStr">
        <is>
          <t>Q2-W03</t>
        </is>
      </c>
      <c r="BG2113" t="inlineStr">
        <is>
          <t>Reschedule</t>
        </is>
      </c>
      <c r="BH2113" t="inlineStr">
        <is>
          <t>Reagen</t>
        </is>
      </c>
      <c r="BI2113"/>
      <c r="BJ2113" s="4">
        <v>46144.75423611111</v>
      </c>
      <c r="BK2113" s="4">
        <v>46125.683275462965</v>
      </c>
      <c r="BL2113" t="inlineStr">
        <is>
          <t>5508.0</t>
        </is>
      </c>
      <c r="BM2113" t="inlineStr">
        <is>
          <t>0.0</t>
        </is>
      </c>
      <c r="BN2113" t="inlineStr">
        <is>
          <t>User Visit(Logged In)</t>
        </is>
      </c>
      <c r="BO2113" s="4">
        <v>46140.55648148148</v>
      </c>
      <c r="BP2113">
        <v>167890</v>
      </c>
      <c r="BQ2113">
        <v>7668</v>
      </c>
      <c r="BR2113" t="inlineStr">
        <is>
          <t>Manual (Paid)</t>
        </is>
      </c>
      <c r="BS2113" t="inlineStr">
        <is>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 Special Discount valid until 23th April 2026</t>
        </is>
      </c>
      <c r="BT2113">
        <v>7668</v>
      </c>
      <c r="BU2113"/>
      <c r="BV2113">
        <v>2732011</v>
      </c>
      <c r="BW2113" t="inlineStr">
        <is>
          <t>Service / Technical : Job Outcome Enquiry</t>
        </is>
      </c>
      <c r="BX2113">
        <v>16</v>
      </c>
      <c r="BY2113">
        <v>15</v>
      </c>
      <c r="BZ2113" s="4">
        <v>46134.40505787037</v>
      </c>
      <c r="CA2113">
        <v>173</v>
      </c>
      <c r="CB2113">
        <v>159</v>
      </c>
      <c r="CC2113" s="4">
        <v>46140.565775462965</v>
      </c>
      <c r="CD2113" t="inlineStr">
        <is>
          <t>70</t>
        </is>
      </c>
      <c r="CE2113" t="inlineStr">
        <is>
          <t>0</t>
        </is>
      </c>
      <c r="CF2113" t="inlineStr">
        <is>
          <t>Q2-W03</t>
        </is>
      </c>
      <c r="CG2113" t="inlineStr">
        <is>
          <t>Q2-W03</t>
        </is>
      </c>
      <c r="CH2113" t="inlineStr">
        <is>
          <t>Q2-W03</t>
        </is>
      </c>
      <c r="CI2113"/>
      <c r="CJ2113" t="inlineStr">
        <is>
          <t>Paid</t>
        </is>
      </c>
      <c r="CK2113" t="inlineStr">
        <is>
          <t>Eligible</t>
        </is>
      </c>
      <c r="CL2113"/>
      <c r="CM2113"/>
    </row>
    <row r="2114" ht="25.5" customHeight="1">
      <c r="A2114" t="inlineStr">
        <is>
          <t>189753</t>
        </is>
      </c>
      <c r="B2114" s="2"/>
      <c r="C2114"/>
      <c r="D2114" s="3">
        <v>46127.66101851852</v>
      </c>
      <c r="E2114" t="inlineStr">
        <is>
          <t>Q2-W02</t>
        </is>
      </c>
      <c r="F2114" t="inlineStr">
        <is>
          <t>Keegan</t>
        </is>
      </c>
      <c r="G2114" t="inlineStr">
        <is>
          <t>Customer</t>
        </is>
      </c>
      <c r="H2114" s="2" t="str">
        <f>=HYPERLINK("https://upbox.ajobthing.my/customer/189753", "https://upbox.ajobthing.my/customer/189753")</f>
        <v>https://upbox.ajobthing.my/customer/189753</v>
      </c>
      <c r="I2114" t="inlineStr">
        <is>
          <t>Chando (Malaysia) Sdn. Bhd.</t>
        </is>
      </c>
      <c r="J2114" t="inlineStr">
        <is>
          <t>Whale</t>
        </is>
      </c>
      <c r="K2114" t="inlineStr">
        <is>
          <t>Keegan</t>
        </is>
      </c>
      <c r="L2114" s="4"/>
      <c r="M2114" s="4">
        <v>46127.66134259259</v>
      </c>
      <c r="N2114"/>
      <c r="O2114">
        <v>6048</v>
      </c>
      <c r="P2114" s="4"/>
      <c r="Q2114" s="4">
        <v>46121.431238425925</v>
      </c>
      <c r="R2114"/>
      <c r="S2114">
        <v>0</v>
      </c>
      <c r="T2114" s="4">
        <v>45923.43181712963</v>
      </c>
      <c r="U2114" s="4"/>
      <c r="V2114"/>
      <c r="W2114">
        <v>3888</v>
      </c>
      <c r="X2114"/>
      <c r="Y2114" t="inlineStr">
        <is>
          <t>Pending Appointment</t>
        </is>
      </c>
      <c r="Z2114" t="inlineStr">
        <is>
          <t>Continuous Hiring</t>
        </is>
      </c>
      <c r="AA2114">
        <v>3</v>
      </c>
      <c r="AB2114" t="inlineStr">
        <is>
          <t>No Appointment Made</t>
        </is>
      </c>
      <c r="AC2114"/>
      <c r="AD2114" t="inlineStr">
        <is>
          <t>1. HR 
2. Warehouse
3. Lorry Driver</t>
        </is>
      </c>
      <c r="AE2114"/>
      <c r="AF2114"/>
      <c r="AG2114" s="4"/>
      <c r="AH2114" s="4"/>
      <c r="AI2114"/>
      <c r="AJ2114">
        <v>1</v>
      </c>
      <c r="AK2114" t="inlineStr">
        <is>
          <t>No, I don't need at all</t>
        </is>
      </c>
      <c r="AL2114">
        <v>0</v>
      </c>
      <c r="AM2114" t="inlineStr">
        <is>
          <t>No, I don't need at all</t>
        </is>
      </c>
      <c r="AN2114"/>
      <c r="AO2114" t="inlineStr">
        <is>
          <t>No, I don't need at all</t>
        </is>
      </c>
      <c r="AP2114" t="inlineStr">
        <is>
          <t>Once per quarter (75%)</t>
        </is>
      </c>
      <c r="AQ2114"/>
      <c r="AR2114" t="inlineStr">
        <is>
          <t>Did not use any job portal</t>
        </is>
      </c>
      <c r="AS2114" t="inlineStr">
        <is>
          <t>- Headcount: 3
- Hiring Job Details: 1. HR\n2. Warehouse\n3. Lorry Driver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114">
        <v>75</v>
      </c>
      <c r="AU2114" t="inlineStr">
        <is>
          <t>0.75</t>
        </is>
      </c>
      <c r="AV2114" t="inlineStr">
        <is>
          <t>5</t>
        </is>
      </c>
      <c r="AW2114" t="inlineStr">
        <is>
          <t>0</t>
        </is>
      </c>
      <c r="AX2114" t="inlineStr">
        <is>
          <t>Not Qualified</t>
        </is>
      </c>
      <c r="AY2114" s="4"/>
      <c r="AZ2114"/>
      <c r="BA2114"/>
      <c r="BB2114"/>
      <c r="BC2114" t="inlineStr">
        <is>
          <t>Share out the latest hiring promo to PIC</t>
        </is>
      </c>
      <c r="BD2114" s="4">
        <v>46140.701215277775</v>
      </c>
      <c r="BE2114" t="inlineStr">
        <is>
          <t>paid</t>
        </is>
      </c>
      <c r="BF2114"/>
      <c r="BG2114" t="inlineStr">
        <is>
          <t>Reschedule</t>
        </is>
      </c>
      <c r="BH2114" t="inlineStr">
        <is>
          <t>Edward Hoo</t>
        </is>
      </c>
      <c r="BI2114" t="inlineStr">
        <is>
          <t>Consumer Products / FMCG</t>
        </is>
      </c>
      <c r="BJ2114" s="4">
        <v>46144.75232638889</v>
      </c>
      <c r="BK2114" s="4">
        <v>45756.569247685184</v>
      </c>
      <c r="BL2114" t="inlineStr">
        <is>
          <t>6804.0</t>
        </is>
      </c>
      <c r="BM2114" t="inlineStr">
        <is>
          <t>3750.0</t>
        </is>
      </c>
      <c r="BN2114" t="inlineStr">
        <is>
          <t>User Visit(Logged In)</t>
        </is>
      </c>
      <c r="BO2114" s="4">
        <v>46132.46275462963</v>
      </c>
      <c r="BP2114">
        <v>167230</v>
      </c>
      <c r="BQ2114">
        <v>121228</v>
      </c>
      <c r="BR2114" t="inlineStr">
        <is>
          <t>Proforma</t>
        </is>
      </c>
      <c r="BS2114" t="inlineStr">
        <is>
          <t>Free Part-Time Job</t>
        </is>
      </c>
      <c r="BT2114">
        <v>82625</v>
      </c>
      <c r="BU2114"/>
      <c r="BV2114">
        <v>2733578</v>
      </c>
      <c r="BW2114" t="inlineStr">
        <is>
          <t>Service / Technical : Job Outcome Enquiry</t>
        </is>
      </c>
      <c r="BX2114">
        <v>1</v>
      </c>
      <c r="BY2114">
        <v>-4</v>
      </c>
      <c r="BZ2114" s="4">
        <v>46121.73719907407</v>
      </c>
      <c r="CA2114">
        <v>145</v>
      </c>
      <c r="CB2114">
        <v>145</v>
      </c>
      <c r="CC2114" s="4"/>
      <c r="CD2114" t="inlineStr">
        <is>
          <t>5</t>
        </is>
      </c>
      <c r="CE2114" t="inlineStr">
        <is>
          <t>0</t>
        </is>
      </c>
      <c r="CF2114" t="inlineStr">
        <is>
          <t>Q2-W02</t>
        </is>
      </c>
      <c r="CG2114" t="inlineStr">
        <is>
          <t>Q2-W01</t>
        </is>
      </c>
      <c r="CH2114"/>
      <c r="CI2114"/>
      <c r="CJ2114" t="inlineStr">
        <is>
          <t>Paid</t>
        </is>
      </c>
      <c r="CK2114" t="inlineStr">
        <is>
          <t>Eligible</t>
        </is>
      </c>
      <c r="CL2114"/>
      <c r="CM2114"/>
    </row>
    <row r="2115" ht="25.5" customHeight="1">
      <c r="A2115" t="inlineStr">
        <is>
          <t>166038</t>
        </is>
      </c>
      <c r="B2115" s="2"/>
      <c r="C2115"/>
      <c r="D2115" s="3">
        <v>46127.67600694444</v>
      </c>
      <c r="E2115" t="inlineStr">
        <is>
          <t>Q2-W02</t>
        </is>
      </c>
      <c r="F2115" t="inlineStr">
        <is>
          <t>Guest User 97313</t>
        </is>
      </c>
      <c r="G2115" t="inlineStr">
        <is>
          <t>Customer</t>
        </is>
      </c>
      <c r="H2115" s="2" t="str">
        <f>=HYPERLINK("https://upbox.ajobthing.my/customer/166038", "https://upbox.ajobthing.my/customer/166038")</f>
        <v>https://upbox.ajobthing.my/customer/166038</v>
      </c>
      <c r="I2115" t="inlineStr">
        <is>
          <t>Agensi Pekerjaan JobScoper Sdn Bhd</t>
        </is>
      </c>
      <c r="J2115" t="inlineStr">
        <is>
          <t>Whale</t>
        </is>
      </c>
      <c r="K2115" t="inlineStr">
        <is>
          <t>Dandy</t>
        </is>
      </c>
      <c r="L2115" s="4"/>
      <c r="M2115" s="4">
        <v>46132.81421296296</v>
      </c>
      <c r="N2115"/>
      <c r="O2115">
        <v>19440</v>
      </c>
      <c r="P2115" s="4"/>
      <c r="Q2115" s="4">
        <v>46133.67186342592</v>
      </c>
      <c r="R2115"/>
      <c r="S2115">
        <v>12960</v>
      </c>
      <c r="T2115" s="4">
        <v>46133.67186342592</v>
      </c>
      <c r="U2115" s="4"/>
      <c r="V2115"/>
      <c r="W2115">
        <v>12960</v>
      </c>
      <c r="X2115"/>
      <c r="Y2115" t="inlineStr">
        <is>
          <t>Pending Appointment</t>
        </is>
      </c>
      <c r="Z2115" t="inlineStr">
        <is>
          <t>Continuous Hiring</t>
        </is>
      </c>
      <c r="AA2115">
        <v>100</v>
      </c>
      <c r="AB2115" t="inlineStr">
        <is>
          <t>No Appointment Made</t>
        </is>
      </c>
      <c r="AC2115"/>
      <c r="AD2115" t="inlineStr">
        <is>
          <t>100 different positions. recruitment agency</t>
        </is>
      </c>
      <c r="AE2115"/>
      <c r="AF2115">
        <v>30000</v>
      </c>
      <c r="AG2115" s="4"/>
      <c r="AH2115" s="4"/>
      <c r="AI2115">
        <v>50000</v>
      </c>
      <c r="AJ2115"/>
      <c r="AK2115" t="inlineStr">
        <is>
          <t>Yes, I have</t>
        </is>
      </c>
      <c r="AL2115">
        <v>8</v>
      </c>
      <c r="AM2115" t="inlineStr">
        <is>
          <t>No, but I want in future</t>
        </is>
      </c>
      <c r="AN2115"/>
      <c r="AO2115" t="inlineStr">
        <is>
          <t>No, but I want in future</t>
        </is>
      </c>
      <c r="AP2115" t="inlineStr">
        <is>
          <t>Every month (100%)</t>
        </is>
      </c>
      <c r="AQ2115">
        <v>200</v>
      </c>
      <c r="AR2115" t="inlineStr">
        <is>
          <t>Jobstreet, Linkedin (Paid)</t>
        </is>
      </c>
      <c r="AS2115" t="inlineStr">
        <is>
          <t>- Headcount: 100
- Hiring Job Details: 100 different positions, recruitment agency
- Hiring Urgency: Continuous Hiring
- Number of outlets: N/A
- Have recruiter team: Yes
- Number of recruiter in company: 8
- Have ATS system: No, but want in future
- Have career website: No, but want in future
- Current hiring budget: RM30,000
- Whole year budget: RM50,000.00
- Whole year number of vacancies: 200
- Hiring frequency: Every month (100%)
- External job portal: Jobstreet, Linkedin (Paid)</t>
        </is>
      </c>
      <c r="AT2115">
        <v>85</v>
      </c>
      <c r="AU2115" t="inlineStr">
        <is>
          <t>0.85</t>
        </is>
      </c>
      <c r="AV2115" t="inlineStr">
        <is>
          <t>50</t>
        </is>
      </c>
      <c r="AW2115" t="inlineStr">
        <is>
          <t>0.5</t>
        </is>
      </c>
      <c r="AX2115" t="inlineStr">
        <is>
          <t>Not Qualified</t>
        </is>
      </c>
      <c r="AY2115" s="4"/>
      <c r="AZ2115"/>
      <c r="BA2115"/>
      <c r="BB2115"/>
      <c r="BC2115" t="inlineStr">
        <is>
          <t>will proceed for 2000 candidate search</t>
        </is>
      </c>
      <c r="BD2115" s="4">
        <v>46133.517384259256</v>
      </c>
      <c r="BE2115" t="inlineStr">
        <is>
          <t>paid</t>
        </is>
      </c>
      <c r="BF2115" t="inlineStr">
        <is>
          <t>Q2-W03</t>
        </is>
      </c>
      <c r="BG2115" t="inlineStr">
        <is>
          <t>Reschedule</t>
        </is>
      </c>
      <c r="BH2115"/>
      <c r="BI2115" t="inlineStr">
        <is>
          <t>HR Mgmt / Consulting</t>
        </is>
      </c>
      <c r="BJ2115" s="4">
        <v>46144.75127314815</v>
      </c>
      <c r="BK2115" s="4">
        <v>45022.619571759256</v>
      </c>
      <c r="BL2115" t="inlineStr">
        <is>
          <t>34927.0</t>
        </is>
      </c>
      <c r="BM2115" t="inlineStr">
        <is>
          <t>450.0</t>
        </is>
      </c>
      <c r="BN2115" t="inlineStr">
        <is>
          <t>User Login</t>
        </is>
      </c>
      <c r="BO2115" s="4">
        <v>46142.76188657407</v>
      </c>
      <c r="BP2115">
        <v>167926</v>
      </c>
      <c r="BQ2115">
        <v>94542</v>
      </c>
      <c r="BR2115" t="inlineStr">
        <is>
          <t>Online</t>
        </is>
      </c>
      <c r="BS2115"/>
      <c r="BT2115">
        <v>94542</v>
      </c>
      <c r="BU2115"/>
      <c r="BV2115">
        <v>2717712</v>
      </c>
      <c r="BW2115" t="inlineStr">
        <is>
          <t>Follow Up : Payment Pending</t>
        </is>
      </c>
      <c r="BX2115">
        <v>2</v>
      </c>
      <c r="BY2115">
        <v>2</v>
      </c>
      <c r="BZ2115" s="4"/>
      <c r="CA2115"/>
      <c r="CB2115"/>
      <c r="CC2115" s="4"/>
      <c r="CD2115" t="inlineStr">
        <is>
          <t>70</t>
        </is>
      </c>
      <c r="CE2115" t="inlineStr">
        <is>
          <t>0</t>
        </is>
      </c>
      <c r="CF2115" t="inlineStr">
        <is>
          <t>Q2-W03</t>
        </is>
      </c>
      <c r="CG2115" t="inlineStr">
        <is>
          <t>Q2-W03</t>
        </is>
      </c>
      <c r="CH2115" t="inlineStr">
        <is>
          <t>Q2-W03</t>
        </is>
      </c>
      <c r="CI2115"/>
      <c r="CJ2115" t="inlineStr">
        <is>
          <t>Paid</t>
        </is>
      </c>
      <c r="CK2115" t="inlineStr">
        <is>
          <t>Eligible</t>
        </is>
      </c>
      <c r="CL2115"/>
      <c r="CM2115"/>
    </row>
    <row r="2116" ht="25.5" customHeight="1">
      <c r="A2116" t="inlineStr">
        <is>
          <t>190177</t>
        </is>
      </c>
      <c r="B2116" s="2"/>
      <c r="C2116"/>
      <c r="D2116" s="3">
        <v>46127.69188657407</v>
      </c>
      <c r="E2116" t="inlineStr">
        <is>
          <t>Q2-W02</t>
        </is>
      </c>
      <c r="F2116" t="inlineStr">
        <is>
          <t>Jess</t>
        </is>
      </c>
      <c r="G2116" t="inlineStr">
        <is>
          <t>Customer</t>
        </is>
      </c>
      <c r="H2116" s="2" t="str">
        <f>=HYPERLINK("https://upbox.ajobthing.my/customer/190177", "https://upbox.ajobthing.my/customer/190177")</f>
        <v>https://upbox.ajobthing.my/customer/190177</v>
      </c>
      <c r="I2116" t="inlineStr">
        <is>
          <t>De Ocean Marketing Sdn Bhd</t>
        </is>
      </c>
      <c r="J2116" t="inlineStr">
        <is>
          <t>Whale</t>
        </is>
      </c>
      <c r="K2116" t="inlineStr">
        <is>
          <t>Jess Lim</t>
        </is>
      </c>
      <c r="L2116" s="4"/>
      <c r="M2116" s="4">
        <v>46128.618738425925</v>
      </c>
      <c r="N2116"/>
      <c r="O2116">
        <v>5508</v>
      </c>
      <c r="P2116" s="4"/>
      <c r="Q2116" s="4">
        <v>46140.59496527778</v>
      </c>
      <c r="R2116"/>
      <c r="S2116">
        <v>5508</v>
      </c>
      <c r="T2116" s="4">
        <v>46140.59496527778</v>
      </c>
      <c r="U2116" s="4"/>
      <c r="V2116"/>
      <c r="W2116">
        <v>5508</v>
      </c>
      <c r="X2116"/>
      <c r="Y2116" t="inlineStr">
        <is>
          <t>Pending Appointment</t>
        </is>
      </c>
      <c r="Z2116" t="inlineStr">
        <is>
          <t>Hiring Now</t>
        </is>
      </c>
      <c r="AA2116">
        <v>1</v>
      </c>
      <c r="AB2116" t="inlineStr">
        <is>
          <t>No Appointment Made</t>
        </is>
      </c>
      <c r="AC2116"/>
      <c r="AD2116" t="inlineStr">
        <is>
          <t>driver account assitant</t>
        </is>
      </c>
      <c r="AE2116"/>
      <c r="AF2116">
        <v>5000</v>
      </c>
      <c r="AG2116" s="4"/>
      <c r="AH2116" s="4"/>
      <c r="AI2116"/>
      <c r="AJ2116">
        <v>1</v>
      </c>
      <c r="AK2116" t="inlineStr">
        <is>
          <t>No, I don't need at all</t>
        </is>
      </c>
      <c r="AL2116">
        <v>1</v>
      </c>
      <c r="AM2116" t="inlineStr">
        <is>
          <t>No, I don't need at all</t>
        </is>
      </c>
      <c r="AN2116"/>
      <c r="AO2116" t="inlineStr">
        <is>
          <t>No, I don't need at all</t>
        </is>
      </c>
      <c r="AP2116" t="inlineStr">
        <is>
          <t>Once a year (25%)</t>
        </is>
      </c>
      <c r="AQ2116"/>
      <c r="AR2116" t="inlineStr">
        <is>
          <t>Jobstreet</t>
        </is>
      </c>
      <c r="AS2116" t="inlineStr">
        <is>
          <t>- Headcount: 1
- Hiring Job Details: driver account assistant
- Hiring Urgency: Hiring Now
- Number of outlets: 1
- Have recruiter team: No, I don't need at all
- Number of recruiter in company: 1
- Have ATS system: No, I don't need at all
- Have career website: No, I don't need at all
- Current hiring budget: RM5,000.00
- Whole year budget: Not provided
- Whole year number of vacancies: Not provided
- Hiring frequency: Once a year (25%)
- External job portal: Jobstreet</t>
        </is>
      </c>
      <c r="AT2116">
        <v>100</v>
      </c>
      <c r="AU2116" t="inlineStr">
        <is>
          <t>1.00</t>
        </is>
      </c>
      <c r="AV2116" t="inlineStr">
        <is>
          <t>15</t>
        </is>
      </c>
      <c r="AW2116" t="inlineStr">
        <is>
          <t>0</t>
        </is>
      </c>
      <c r="AX2116" t="inlineStr">
        <is>
          <t>Not Qualified</t>
        </is>
      </c>
      <c r="AY2116" s="4"/>
      <c r="AZ2116"/>
      <c r="BA2116"/>
      <c r="BB2116"/>
      <c r="BC2116" t="inlineStr">
        <is>
          <t>paid</t>
        </is>
      </c>
      <c r="BD2116" s="4">
        <v>46140.52392361111</v>
      </c>
      <c r="BE2116" t="inlineStr">
        <is>
          <t>paid</t>
        </is>
      </c>
      <c r="BF2116" t="inlineStr">
        <is>
          <t>Q2-W04</t>
        </is>
      </c>
      <c r="BG2116" t="inlineStr">
        <is>
          <t>Reschedule</t>
        </is>
      </c>
      <c r="BH2116" t="inlineStr">
        <is>
          <t>Fauziah Maharan</t>
        </is>
      </c>
      <c r="BI2116" t="inlineStr">
        <is>
          <t>Agriculture / Poultry / Fisheries</t>
        </is>
      </c>
      <c r="BJ2116" s="4">
        <v>46144.75234953704</v>
      </c>
      <c r="BK2116" s="4">
        <v>45764.59986111111</v>
      </c>
      <c r="BL2116" t="inlineStr">
        <is>
          <t>5508.0</t>
        </is>
      </c>
      <c r="BM2116" t="inlineStr">
        <is>
          <t>0.0</t>
        </is>
      </c>
      <c r="BN2116" t="inlineStr">
        <is>
          <t>View Company Page</t>
        </is>
      </c>
      <c r="BO2116" s="4">
        <v>46142.4687037037</v>
      </c>
      <c r="BP2116">
        <v>167417</v>
      </c>
      <c r="BQ2116">
        <v>7734</v>
      </c>
      <c r="BR2116" t="inlineStr">
        <is>
          <t>Manual (Paid)</t>
        </is>
      </c>
      <c r="BS2116" t="inlineStr">
        <is>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116">
        <v>7734</v>
      </c>
      <c r="BU2116"/>
      <c r="BV2116">
        <v>2732468</v>
      </c>
      <c r="BW2116" t="inlineStr">
        <is>
          <t>Follow Up : Win - Customer Paid</t>
        </is>
      </c>
      <c r="BX2116">
        <v>16</v>
      </c>
      <c r="BY2116">
        <v>16</v>
      </c>
      <c r="BZ2116" s="4"/>
      <c r="CA2116">
        <v>160</v>
      </c>
      <c r="CB2116">
        <v>160</v>
      </c>
      <c r="CC2116" s="4"/>
      <c r="CD2116" t="inlineStr">
        <is>
          <t>20</t>
        </is>
      </c>
      <c r="CE2116" t="inlineStr">
        <is>
          <t>0</t>
        </is>
      </c>
      <c r="CF2116" t="inlineStr">
        <is>
          <t>Q2-W02</t>
        </is>
      </c>
      <c r="CG2116" t="inlineStr">
        <is>
          <t>Q2-W04</t>
        </is>
      </c>
      <c r="CH2116" t="inlineStr">
        <is>
          <t>Q2-W04</t>
        </is>
      </c>
      <c r="CI2116"/>
      <c r="CJ2116" t="inlineStr">
        <is>
          <t>Paid</t>
        </is>
      </c>
      <c r="CK2116" t="inlineStr">
        <is>
          <t>Eligible</t>
        </is>
      </c>
      <c r="CL2116"/>
      <c r="CM2116"/>
    </row>
    <row r="2117" ht="25.5" customHeight="1">
      <c r="A2117" t="inlineStr">
        <is>
          <t>138184</t>
        </is>
      </c>
      <c r="B2117" s="2"/>
      <c r="C2117"/>
      <c r="D2117" s="3">
        <v>46127.69440972222</v>
      </c>
      <c r="E2117" t="inlineStr">
        <is>
          <t>Q2-W02</t>
        </is>
      </c>
      <c r="F2117" t="inlineStr">
        <is>
          <t>Jess</t>
        </is>
      </c>
      <c r="G2117" t="inlineStr">
        <is>
          <t>Customer</t>
        </is>
      </c>
      <c r="H2117" s="2" t="str">
        <f>=HYPERLINK("https://upbox.ajobthing.my/customer/138184", "https://upbox.ajobthing.my/customer/138184")</f>
        <v>https://upbox.ajobthing.my/customer/138184</v>
      </c>
      <c r="I2117" t="inlineStr">
        <is>
          <t>Sigma Technology Sdn. Bhd.</t>
        </is>
      </c>
      <c r="J2117" t="inlineStr">
        <is>
          <t>Whale</t>
        </is>
      </c>
      <c r="K2117" t="inlineStr">
        <is>
          <t>Jess Lim</t>
        </is>
      </c>
      <c r="L2117" s="4"/>
      <c r="M2117" s="4">
        <v>46133.521203703705</v>
      </c>
      <c r="N2117"/>
      <c r="O2117">
        <v>5832</v>
      </c>
      <c r="P2117" s="4"/>
      <c r="Q2117" s="4">
        <v>45965.58167824074</v>
      </c>
      <c r="R2117"/>
      <c r="S2117">
        <v>0</v>
      </c>
      <c r="T2117" s="4">
        <v>45719.46429398148</v>
      </c>
      <c r="U2117" s="4"/>
      <c r="V2117"/>
      <c r="W2117">
        <v>2818.8</v>
      </c>
      <c r="X2117"/>
      <c r="Y2117" t="inlineStr">
        <is>
          <t>Pending Appointment</t>
        </is>
      </c>
      <c r="Z2117" t="inlineStr">
        <is>
          <t>Hiring Now</t>
        </is>
      </c>
      <c r="AA2117">
        <v>1</v>
      </c>
      <c r="AB2117" t="inlineStr">
        <is>
          <t>No Appointment Made</t>
        </is>
      </c>
      <c r="AC2117"/>
      <c r="AD2117" t="inlineStr">
        <is>
          <t>content creator</t>
        </is>
      </c>
      <c r="AE2117"/>
      <c r="AF2117">
        <v>5600</v>
      </c>
      <c r="AG2117" s="4"/>
      <c r="AH2117" s="4"/>
      <c r="AI2117"/>
      <c r="AJ2117">
        <v>1</v>
      </c>
      <c r="AK2117" t="inlineStr">
        <is>
          <t>No, I don't need at all</t>
        </is>
      </c>
      <c r="AL2117">
        <v>1</v>
      </c>
      <c r="AM2117" t="inlineStr">
        <is>
          <t>No, I don't need at all</t>
        </is>
      </c>
      <c r="AN2117"/>
      <c r="AO2117" t="inlineStr">
        <is>
          <t>No, I don't need at all</t>
        </is>
      </c>
      <c r="AP2117" t="inlineStr">
        <is>
          <t>Once a year (25%)</t>
        </is>
      </c>
      <c r="AQ2117"/>
      <c r="AR2117" t="inlineStr">
        <is>
          <t>Jobstreet</t>
        </is>
      </c>
      <c r="AS2117" t="inlineStr">
        <is>
          <t>- Headcount: 1
- Hiring Job Details: 1 content creator
- Hiring Urgency: Hiring Now
- Number of outlets: 1
- Have recruiter team: No, I don't need at all
- Number of recruiter in company: 1
- Have ATS system: No, I don't need at all
- Have career website: No, I don't need at all
- Current hiring budget: RM5,600.00
- Whole year budget: Not specified
- Whole year number of vacancies: Not specified
- Hiring frequency: Once a year (25%)
- External job portal: Jobstreet</t>
        </is>
      </c>
      <c r="AT2117">
        <v>105</v>
      </c>
      <c r="AU2117" t="inlineStr">
        <is>
          <t>1.05</t>
        </is>
      </c>
      <c r="AV2117" t="inlineStr">
        <is>
          <t>15</t>
        </is>
      </c>
      <c r="AW2117" t="inlineStr">
        <is>
          <t>0</t>
        </is>
      </c>
      <c r="AX2117" t="inlineStr">
        <is>
          <t>Not Qualified</t>
        </is>
      </c>
      <c r="AY2117" s="4"/>
      <c r="AZ2117"/>
      <c r="BA2117"/>
      <c r="BB2117"/>
      <c r="BC2117" t="inlineStr">
        <is>
          <t>payment pending</t>
        </is>
      </c>
      <c r="BD2117" s="4">
        <v>46141.68011574074</v>
      </c>
      <c r="BE2117" t="inlineStr">
        <is>
          <t>paid</t>
        </is>
      </c>
      <c r="BF2117"/>
      <c r="BG2117" t="inlineStr">
        <is>
          <t>Reschedule</t>
        </is>
      </c>
      <c r="BH2117" t="inlineStr">
        <is>
          <t>Fauziah Maharan</t>
        </is>
      </c>
      <c r="BI2117" t="inlineStr">
        <is>
          <t>Manufacturing / Production</t>
        </is>
      </c>
      <c r="BJ2117" s="4">
        <v>46144.750613425924</v>
      </c>
      <c r="BK2117" s="4">
        <v>44333.51528935185</v>
      </c>
      <c r="BL2117" t="inlineStr">
        <is>
          <t>0.0</t>
        </is>
      </c>
      <c r="BM2117" t="inlineStr">
        <is>
          <t>0.0</t>
        </is>
      </c>
      <c r="BN2117" t="inlineStr">
        <is>
          <t>View Company Page</t>
        </is>
      </c>
      <c r="BO2117" s="4">
        <v>46129.68096064815</v>
      </c>
      <c r="BP2117">
        <v>168010</v>
      </c>
      <c r="BQ2117">
        <v>111535</v>
      </c>
      <c r="BR2117" t="inlineStr">
        <is>
          <t>Proforma</t>
        </is>
      </c>
      <c r="BS2117" t="inlineStr">
        <is>
          <t>A La Carte AI Job Ad Free</t>
        </is>
      </c>
      <c r="BT2117">
        <v>77256</v>
      </c>
      <c r="BU2117"/>
      <c r="BV2117">
        <v>2735871</v>
      </c>
      <c r="BW2117" t="inlineStr">
        <is>
          <t>Follow Up : Payment Pending</t>
        </is>
      </c>
      <c r="BX2117"/>
      <c r="BY2117"/>
      <c r="BZ2117" s="4"/>
      <c r="CA2117"/>
      <c r="CB2117"/>
      <c r="CC2117" s="4"/>
      <c r="CD2117" t="inlineStr">
        <is>
          <t>20</t>
        </is>
      </c>
      <c r="CE2117" t="inlineStr">
        <is>
          <t>0</t>
        </is>
      </c>
      <c r="CF2117" t="inlineStr">
        <is>
          <t>Q2-W03</t>
        </is>
      </c>
      <c r="CG2117"/>
      <c r="CH2117"/>
      <c r="CI2117"/>
      <c r="CJ2117" t="inlineStr">
        <is>
          <t>Paid</t>
        </is>
      </c>
      <c r="CK2117" t="inlineStr">
        <is>
          <t>Eligible</t>
        </is>
      </c>
      <c r="CL2117"/>
      <c r="CM2117"/>
    </row>
    <row r="2118" ht="25.5" customHeight="1">
      <c r="A2118" t="inlineStr">
        <is>
          <t>144406</t>
        </is>
      </c>
      <c r="B2118" s="2"/>
      <c r="C2118"/>
      <c r="D2118" s="3">
        <v>46127.70041666667</v>
      </c>
      <c r="E2118" t="inlineStr">
        <is>
          <t>Q2-W02</t>
        </is>
      </c>
      <c r="F2118" t="inlineStr">
        <is>
          <t>Alan KY</t>
        </is>
      </c>
      <c r="G2118" t="inlineStr">
        <is>
          <t>Customer</t>
        </is>
      </c>
      <c r="H2118" s="2" t="str">
        <f>=HYPERLINK("https://upbox.ajobthing.my/customer/144406", "https://upbox.ajobthing.my/customer/144406")</f>
        <v>https://upbox.ajobthing.my/customer/144406</v>
      </c>
      <c r="I2118" t="inlineStr">
        <is>
          <t>Qube Apps Solutions Sdn Bhd</t>
        </is>
      </c>
      <c r="J2118" t="inlineStr">
        <is>
          <t>Whale</t>
        </is>
      </c>
      <c r="K2118" t="inlineStr">
        <is>
          <t>Alan KY</t>
        </is>
      </c>
      <c r="L2118" s="4"/>
      <c r="M2118" s="4">
        <v>46127.696863425925</v>
      </c>
      <c r="N2118"/>
      <c r="O2118">
        <v>20628</v>
      </c>
      <c r="P2118" s="4"/>
      <c r="Q2118" s="4">
        <v>46141.72280092593</v>
      </c>
      <c r="R2118"/>
      <c r="S2118">
        <v>0</v>
      </c>
      <c r="T2118" s="4">
        <v>46134.451875</v>
      </c>
      <c r="U2118" s="4"/>
      <c r="V2118"/>
      <c r="W2118">
        <v>5832</v>
      </c>
      <c r="X2118"/>
      <c r="Y2118" t="inlineStr">
        <is>
          <t>Pending Appointment</t>
        </is>
      </c>
      <c r="Z2118" t="inlineStr">
        <is>
          <t>Continuous Hiring</t>
        </is>
      </c>
      <c r="AA2118">
        <v>1</v>
      </c>
      <c r="AB2118" t="inlineStr">
        <is>
          <t>No Appointment Made</t>
        </is>
      </c>
      <c r="AC2118"/>
      <c r="AD2118" t="inlineStr">
        <is>
          <t>R&amp;D and technical role</t>
        </is>
      </c>
      <c r="AE2118"/>
      <c r="AF2118"/>
      <c r="AG2118" s="4"/>
      <c r="AH2118" s="4"/>
      <c r="AI2118"/>
      <c r="AJ2118">
        <v>2</v>
      </c>
      <c r="AK2118" t="inlineStr">
        <is>
          <t>No, I don't need at all</t>
        </is>
      </c>
      <c r="AL2118"/>
      <c r="AM2118" t="inlineStr">
        <is>
          <t>No, I don't need at all</t>
        </is>
      </c>
      <c r="AN2118"/>
      <c r="AO2118" t="inlineStr">
        <is>
          <t>No, I don't need at all</t>
        </is>
      </c>
      <c r="AP2118" t="inlineStr">
        <is>
          <t>Once per quarter (75%)</t>
        </is>
      </c>
      <c r="AQ2118"/>
      <c r="AR2118" t="inlineStr">
        <is>
          <t>Jobstreet</t>
        </is>
      </c>
      <c r="AS2118" t="inlineStr">
        <is>
          <t>- Headcount: 1
- Hiring Job Details: R&amp;D and technical role
- Hiring Urgency: Continuous Hiring
- Number of outlets: 2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2118">
        <v>75</v>
      </c>
      <c r="AU2118" t="inlineStr">
        <is>
          <t>0.75</t>
        </is>
      </c>
      <c r="AV2118" t="inlineStr">
        <is>
          <t>5</t>
        </is>
      </c>
      <c r="AW2118" t="inlineStr">
        <is>
          <t>0</t>
        </is>
      </c>
      <c r="AX2118" t="inlineStr">
        <is>
          <t>Not Qualified</t>
        </is>
      </c>
      <c r="AY2118" s="4"/>
      <c r="AZ2118"/>
      <c r="BA2118"/>
      <c r="BB2118"/>
      <c r="BC2118" t="inlineStr">
        <is>
          <t>payment done - notify by finance</t>
        </is>
      </c>
      <c r="BD2118" s="4">
        <v>46134.4434375</v>
      </c>
      <c r="BE2118" t="inlineStr">
        <is>
          <t>paid</t>
        </is>
      </c>
      <c r="BF2118" t="inlineStr">
        <is>
          <t>Q2-W03</t>
        </is>
      </c>
      <c r="BG2118" t="inlineStr">
        <is>
          <t>Reschedule</t>
        </is>
      </c>
      <c r="BH2118" t="inlineStr">
        <is>
          <t>Reagen</t>
        </is>
      </c>
      <c r="BI2118" t="inlineStr">
        <is>
          <t>IT / Software</t>
        </is>
      </c>
      <c r="BJ2118" s="4">
        <v>46144.75071759259</v>
      </c>
      <c r="BK2118" s="4">
        <v>44524.65777777778</v>
      </c>
      <c r="BL2118" t="inlineStr">
        <is>
          <t>11124.0</t>
        </is>
      </c>
      <c r="BM2118" t="inlineStr">
        <is>
          <t>13500.0</t>
        </is>
      </c>
      <c r="BN2118" t="inlineStr">
        <is>
          <t>People Search Page : Unlock Candidate</t>
        </is>
      </c>
      <c r="BO2118" s="4">
        <v>46143.9584837963</v>
      </c>
      <c r="BP2118">
        <v>167246</v>
      </c>
      <c r="BQ2118">
        <v>124109</v>
      </c>
      <c r="BR2118" t="inlineStr">
        <is>
          <t>Proforma</t>
        </is>
      </c>
      <c r="BS2118" t="inlineStr">
        <is>
          <t>Free Internship Job</t>
        </is>
      </c>
      <c r="BT2118">
        <v>94585</v>
      </c>
      <c r="BU2118"/>
      <c r="BV2118">
        <v>2719745</v>
      </c>
      <c r="BW2118" t="inlineStr">
        <is>
          <t>Follow Up : Win - Customer Paid</t>
        </is>
      </c>
      <c r="BX2118">
        <v>17</v>
      </c>
      <c r="BY2118">
        <v>15</v>
      </c>
      <c r="BZ2118" s="4">
        <v>46141.48134259259</v>
      </c>
      <c r="CA2118">
        <v>160</v>
      </c>
      <c r="CB2118">
        <v>157</v>
      </c>
      <c r="CC2118" s="4">
        <v>46142.85675925926</v>
      </c>
      <c r="CD2118" t="inlineStr">
        <is>
          <t>5</t>
        </is>
      </c>
      <c r="CE2118" t="inlineStr">
        <is>
          <t>0</t>
        </is>
      </c>
      <c r="CF2118" t="inlineStr">
        <is>
          <t>Q2-W02</t>
        </is>
      </c>
      <c r="CG2118" t="inlineStr">
        <is>
          <t>Q2-W04</t>
        </is>
      </c>
      <c r="CH2118" t="inlineStr">
        <is>
          <t>Q2-W03</t>
        </is>
      </c>
      <c r="CI2118"/>
      <c r="CJ2118" t="inlineStr">
        <is>
          <t>Paid</t>
        </is>
      </c>
      <c r="CK2118" t="inlineStr">
        <is>
          <t>Eligible</t>
        </is>
      </c>
      <c r="CL2118"/>
      <c r="CM2118"/>
    </row>
    <row r="2119" ht="25.5" customHeight="1">
      <c r="A2119" t="inlineStr">
        <is>
          <t>203277</t>
        </is>
      </c>
      <c r="B2119" s="2"/>
      <c r="C2119"/>
      <c r="D2119" s="3">
        <v>46127.702893518515</v>
      </c>
      <c r="E2119" t="inlineStr">
        <is>
          <t>Q2-W02</t>
        </is>
      </c>
      <c r="F2119" t="inlineStr">
        <is>
          <t>Yuli</t>
        </is>
      </c>
      <c r="G2119" t="inlineStr">
        <is>
          <t>Customer</t>
        </is>
      </c>
      <c r="H2119" s="2" t="str">
        <f>=HYPERLINK("https://upbox.ajobthing.my/customer/203277", "https://upbox.ajobthing.my/customer/203277")</f>
        <v>https://upbox.ajobthing.my/customer/203277</v>
      </c>
      <c r="I2119" t="inlineStr">
        <is>
          <t>Amelia Resources (m) Sdn. Bhd.</t>
        </is>
      </c>
      <c r="J2119" t="inlineStr">
        <is>
          <t>Whale</t>
        </is>
      </c>
      <c r="K2119" t="inlineStr">
        <is>
          <t>YuLi</t>
        </is>
      </c>
      <c r="L2119" s="4"/>
      <c r="M2119" s="4">
        <v>46140.46965277778</v>
      </c>
      <c r="N2119"/>
      <c r="O2119">
        <v>5412.96</v>
      </c>
      <c r="P2119" s="4"/>
      <c r="Q2119" s="4">
        <v>46140.456296296295</v>
      </c>
      <c r="R2119"/>
      <c r="S2119">
        <v>0</v>
      </c>
      <c r="T2119" s="4"/>
      <c r="U2119" s="4"/>
      <c r="V2119"/>
      <c r="W2119"/>
      <c r="X2119"/>
      <c r="Y2119" t="inlineStr">
        <is>
          <t>Pending Appointment</t>
        </is>
      </c>
      <c r="Z2119" t="inlineStr">
        <is>
          <t>Hiring Now</t>
        </is>
      </c>
      <c r="AA2119">
        <v>8</v>
      </c>
      <c r="AB2119" t="inlineStr">
        <is>
          <t>No Appointment Made</t>
        </is>
      </c>
      <c r="AC2119"/>
      <c r="AD2119" t="inlineStr">
        <is>
          <t>live host-2-Shah Alam
admin -3 SPM-Shah Alam
content creator-2 -Shah Alam
Sales consultant-1 ( Kedai Mas) -Shah Alam</t>
        </is>
      </c>
      <c r="AE2119"/>
      <c r="AF2119"/>
      <c r="AG2119" s="4"/>
      <c r="AH2119" s="4"/>
      <c r="AI2119"/>
      <c r="AJ2119">
        <v>1</v>
      </c>
      <c r="AK2119"/>
      <c r="AL2119"/>
      <c r="AM2119"/>
      <c r="AN2119"/>
      <c r="AO2119"/>
      <c r="AP2119"/>
      <c r="AQ2119"/>
      <c r="AR2119" t="inlineStr">
        <is>
          <t>Jobstreet</t>
        </is>
      </c>
      <c r="AS2119" t="inlineStr">
        <is>
          <t>- Headcount: 8
- Hiring Job Details: live host-2-Shah Alam, admin-3 SPM-Shah Alam, content creator-2-Shah Alam, Sales consultant-1 (Kedai Mas)-Shah Alam
- Number of outlets: 1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Jobstreet
- Hiring Urgency: Hiring Now</t>
        </is>
      </c>
      <c r="AT2119">
        <v>95</v>
      </c>
      <c r="AU2119" t="inlineStr">
        <is>
          <t>0.95</t>
        </is>
      </c>
      <c r="AV2119" t="inlineStr">
        <is>
          <t>10</t>
        </is>
      </c>
      <c r="AW2119" t="inlineStr">
        <is>
          <t>0</t>
        </is>
      </c>
      <c r="AX2119" t="inlineStr">
        <is>
          <t>Not Qualified</t>
        </is>
      </c>
      <c r="AY2119" s="4"/>
      <c r="AZ2119"/>
      <c r="BA2119"/>
      <c r="BB2119"/>
      <c r="BC2119" t="inlineStr">
        <is>
          <t>quotation shared</t>
        </is>
      </c>
      <c r="BD2119" s="4">
        <v>46141.42207175926</v>
      </c>
      <c r="BE2119" t="inlineStr">
        <is>
          <t>paid</t>
        </is>
      </c>
      <c r="BF2119"/>
      <c r="BG2119" t="inlineStr">
        <is>
          <t>Reschedule</t>
        </is>
      </c>
      <c r="BH2119" t="inlineStr">
        <is>
          <t>Fauziah Maharan</t>
        </is>
      </c>
      <c r="BI2119"/>
      <c r="BJ2119" s="4">
        <v>46144.75425925926</v>
      </c>
      <c r="BK2119" s="4">
        <v>46127.68719907408</v>
      </c>
      <c r="BL2119" t="inlineStr">
        <is>
          <t>0.0</t>
        </is>
      </c>
      <c r="BM2119" t="inlineStr">
        <is>
          <t>10800.0</t>
        </is>
      </c>
      <c r="BN2119" t="inlineStr">
        <is>
          <t>View Company Page</t>
        </is>
      </c>
      <c r="BO2119" s="4">
        <v>46140.45961805555</v>
      </c>
      <c r="BP2119">
        <v>169171</v>
      </c>
      <c r="BQ2119">
        <v>123841</v>
      </c>
      <c r="BR2119" t="inlineStr">
        <is>
          <t>Proforma</t>
        </is>
      </c>
      <c r="BS2119" t="inlineStr">
        <is>
          <t>Free Internship Job</t>
        </is>
      </c>
      <c r="BT2119"/>
      <c r="BU2119"/>
      <c r="BV2119">
        <v>2734304</v>
      </c>
      <c r="BW2119" t="inlineStr">
        <is>
          <t>Customer Inquiry</t>
        </is>
      </c>
      <c r="BX2119">
        <v>1</v>
      </c>
      <c r="BY2119">
        <v>1</v>
      </c>
      <c r="BZ2119" s="4"/>
      <c r="CA2119"/>
      <c r="CB2119"/>
      <c r="CC2119" s="4"/>
      <c r="CD2119" t="inlineStr">
        <is>
          <t>15</t>
        </is>
      </c>
      <c r="CE2119" t="inlineStr">
        <is>
          <t>0</t>
        </is>
      </c>
      <c r="CF2119" t="inlineStr">
        <is>
          <t>Q2-W04</t>
        </is>
      </c>
      <c r="CG2119" t="inlineStr">
        <is>
          <t>Q2-W04</t>
        </is>
      </c>
      <c r="CH2119"/>
      <c r="CI2119"/>
      <c r="CJ2119" t="inlineStr">
        <is>
          <t>No Paid</t>
        </is>
      </c>
      <c r="CK2119" t="inlineStr">
        <is>
          <t>Eligible</t>
        </is>
      </c>
      <c r="CL2119"/>
      <c r="CM2119"/>
    </row>
    <row r="2120" ht="25.5" customHeight="1">
      <c r="A2120" t="inlineStr">
        <is>
          <t>132687</t>
        </is>
      </c>
      <c r="B2120" s="2"/>
      <c r="C2120"/>
      <c r="D2120" s="3">
        <v>46127.72002314815</v>
      </c>
      <c r="E2120" t="inlineStr">
        <is>
          <t>Q2-W02</t>
        </is>
      </c>
      <c r="F2120" t="inlineStr">
        <is>
          <t>Yuli</t>
        </is>
      </c>
      <c r="G2120" t="inlineStr">
        <is>
          <t>Customer</t>
        </is>
      </c>
      <c r="H2120" s="2" t="str">
        <f>=HYPERLINK("https://upbox.ajobthing.my/customer/132687", "https://upbox.ajobthing.my/customer/132687")</f>
        <v>https://upbox.ajobthing.my/customer/132687</v>
      </c>
      <c r="I2120" t="inlineStr">
        <is>
          <t>WL Great Builder Engineering Sdn Bhd</t>
        </is>
      </c>
      <c r="J2120" t="inlineStr">
        <is>
          <t>Whale</t>
        </is>
      </c>
      <c r="K2120" t="inlineStr">
        <is>
          <t>YuLi</t>
        </is>
      </c>
      <c r="L2120" s="4"/>
      <c r="M2120" s="4">
        <v>46141.39633101852</v>
      </c>
      <c r="N2120"/>
      <c r="O2120">
        <v>5412.96</v>
      </c>
      <c r="P2120" s="4"/>
      <c r="Q2120" s="4">
        <v>46007.61701388889</v>
      </c>
      <c r="R2120"/>
      <c r="S2120">
        <v>3348</v>
      </c>
      <c r="T2120" s="4">
        <v>46007.61701388889</v>
      </c>
      <c r="U2120" s="4"/>
      <c r="V2120"/>
      <c r="W2120">
        <v>3348</v>
      </c>
      <c r="X2120"/>
      <c r="Y2120" t="inlineStr">
        <is>
          <t>Pending Appointment</t>
        </is>
      </c>
      <c r="Z2120" t="inlineStr">
        <is>
          <t>Hiring Now</t>
        </is>
      </c>
      <c r="AA2120">
        <v>2</v>
      </c>
      <c r="AB2120" t="inlineStr">
        <is>
          <t>No Appointment Made</t>
        </is>
      </c>
      <c r="AC2120"/>
      <c r="AD2120" t="inlineStr">
        <is>
          <t>Interior Designer
Senior Account</t>
        </is>
      </c>
      <c r="AE2120"/>
      <c r="AF2120"/>
      <c r="AG2120" s="4"/>
      <c r="AH2120" s="4"/>
      <c r="AI2120"/>
      <c r="AJ2120"/>
      <c r="AK2120"/>
      <c r="AL2120"/>
      <c r="AM2120"/>
      <c r="AN2120"/>
      <c r="AO2120"/>
      <c r="AP2120"/>
      <c r="AQ2120"/>
      <c r="AR2120" t="inlineStr">
        <is>
          <t>Jobstreet</t>
        </is>
      </c>
      <c r="AS2120" t="inlineStr">
        <is>
          <t>- Headcount: 2
- Hiring Job Details: Interior Designer, Senior Account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
- Hiring Urgency: Hiring Now</t>
        </is>
      </c>
      <c r="AT2120">
        <v>65</v>
      </c>
      <c r="AU2120" t="inlineStr">
        <is>
          <t>0.65</t>
        </is>
      </c>
      <c r="AV2120" t="inlineStr">
        <is>
          <t>5</t>
        </is>
      </c>
      <c r="AW2120" t="inlineStr">
        <is>
          <t>0</t>
        </is>
      </c>
      <c r="AX2120" t="inlineStr">
        <is>
          <t>Not Qualified</t>
        </is>
      </c>
      <c r="AY2120" s="4"/>
      <c r="AZ2120"/>
      <c r="BA2120"/>
      <c r="BB2120"/>
      <c r="BC2120" t="inlineStr">
        <is>
          <t>- Headcount: 3
- Hiring Job Details: Interior Designer, Senior Accounts Executive, Assistant Interior Designer
- Hiring Urgency: Hiring Now
- Number of outlets: Not provided
- Have recruiter team: No, I don't need at all
- Number of recruiter in company: 1
- Have ATS system: Not provided
- Have career website: Not provided
- Current hiring budget: Not provided
- Whole year budget: Not provided
- Whole year number of vacancies: Not provided
- Hiring frequency: Once per quarter (75%)
- External job portal: Did not use any job portal</t>
        </is>
      </c>
      <c r="BD2120" s="4">
        <v>46141.41667824074</v>
      </c>
      <c r="BE2120" t="inlineStr">
        <is>
          <t>paid</t>
        </is>
      </c>
      <c r="BF2120"/>
      <c r="BG2120" t="inlineStr">
        <is>
          <t>Reschedule</t>
        </is>
      </c>
      <c r="BH2120" t="inlineStr">
        <is>
          <t>Fauziah Maharan</t>
        </is>
      </c>
      <c r="BI2120" t="inlineStr">
        <is>
          <t>Construction / Building</t>
        </is>
      </c>
      <c r="BJ2120" s="4">
        <v>46144.75050925926</v>
      </c>
      <c r="BK2120" s="4">
        <v>44187.82944444445</v>
      </c>
      <c r="BL2120" t="inlineStr">
        <is>
          <t>3348.0</t>
        </is>
      </c>
      <c r="BM2120" t="inlineStr">
        <is>
          <t>0.0</t>
        </is>
      </c>
      <c r="BN2120" t="inlineStr">
        <is>
          <t>PA Visit - Job Card</t>
        </is>
      </c>
      <c r="BO2120" s="4">
        <v>46144.02746527778</v>
      </c>
      <c r="BP2120">
        <v>169391</v>
      </c>
      <c r="BQ2120">
        <v>85012</v>
      </c>
      <c r="BR2120" t="inlineStr">
        <is>
          <t>Online</t>
        </is>
      </c>
      <c r="BS2120"/>
      <c r="BT2120">
        <v>85012</v>
      </c>
      <c r="BU2120"/>
      <c r="BV2120">
        <v>2734261</v>
      </c>
      <c r="BW2120" t="inlineStr">
        <is>
          <t>Customer Inquiry</t>
        </is>
      </c>
      <c r="BX2120">
        <v>6</v>
      </c>
      <c r="BY2120">
        <v>0</v>
      </c>
      <c r="BZ2120" s="4">
        <v>46127.71822916667</v>
      </c>
      <c r="CA2120">
        <v>60</v>
      </c>
      <c r="CB2120">
        <v>17</v>
      </c>
      <c r="CC2120" s="4">
        <v>46134.46670138889</v>
      </c>
      <c r="CD2120" t="inlineStr">
        <is>
          <t>5</t>
        </is>
      </c>
      <c r="CE2120" t="inlineStr">
        <is>
          <t>0</t>
        </is>
      </c>
      <c r="CF2120" t="inlineStr">
        <is>
          <t>Q2-W04</t>
        </is>
      </c>
      <c r="CG2120"/>
      <c r="CH2120"/>
      <c r="CI2120"/>
      <c r="CJ2120" t="inlineStr">
        <is>
          <t>Paid</t>
        </is>
      </c>
      <c r="CK2120" t="inlineStr">
        <is>
          <t>Eligible</t>
        </is>
      </c>
      <c r="CL2120"/>
      <c r="CM2120"/>
    </row>
    <row r="2121" ht="25.5" customHeight="1">
      <c r="A2121" t="inlineStr">
        <is>
          <t>4279756</t>
        </is>
      </c>
      <c r="B2121" s="2"/>
      <c r="C2121"/>
      <c r="D2121" s="3">
        <v>46127.90723379629</v>
      </c>
      <c r="E2121" t="inlineStr">
        <is>
          <t>Q2-W02</t>
        </is>
      </c>
      <c r="F2121" t="inlineStr">
        <is>
          <t>Yuli</t>
        </is>
      </c>
      <c r="G2121" t="inlineStr">
        <is>
          <t>Lead</t>
        </is>
      </c>
      <c r="H2121" s="2" t="str">
        <f>=HYPERLINK("https://upbox.ajobthing.my/leads/4279756", "https://upbox.ajobthing.my/leads/4279756")</f>
        <v>https://upbox.ajobthing.my/leads/4279756</v>
      </c>
      <c r="I2121" t="inlineStr">
        <is>
          <t>GM Klang</t>
        </is>
      </c>
      <c r="J2121" t="inlineStr">
        <is>
          <t>Whale</t>
        </is>
      </c>
      <c r="K2121" t="inlineStr">
        <is>
          <t>YuLi</t>
        </is>
      </c>
      <c r="L2121" s="4"/>
      <c r="M2121" s="4">
        <v>46140.66195601852</v>
      </c>
      <c r="N2121"/>
      <c r="O2121">
        <v>5412.96</v>
      </c>
      <c r="P2121" s="4"/>
      <c r="Q2121" s="4"/>
      <c r="R2121"/>
      <c r="S2121"/>
      <c r="T2121" s="4"/>
      <c r="U2121" s="4"/>
      <c r="V2121"/>
      <c r="W2121"/>
      <c r="X2121"/>
      <c r="Y2121" t="inlineStr">
        <is>
          <t>Pending Appointment</t>
        </is>
      </c>
      <c r="Z2121" t="inlineStr">
        <is>
          <t>Hiring Now</t>
        </is>
      </c>
      <c r="AA2121">
        <v>1</v>
      </c>
      <c r="AB2121" t="inlineStr">
        <is>
          <t>No Appointment Made</t>
        </is>
      </c>
      <c r="AC2121"/>
      <c r="AD2121" t="inlineStr">
        <is>
          <t>1 Leasing Marketing
Part time and full time for retail sales
prefer mandarin speaker</t>
        </is>
      </c>
      <c r="AE2121"/>
      <c r="AF2121"/>
      <c r="AG2121" s="4"/>
      <c r="AH2121" s="4"/>
      <c r="AI2121"/>
      <c r="AJ2121"/>
      <c r="AK2121" t="inlineStr">
        <is>
          <t>Yes, I have</t>
        </is>
      </c>
      <c r="AL2121"/>
      <c r="AM2121"/>
      <c r="AN2121"/>
      <c r="AO2121"/>
      <c r="AP2121"/>
      <c r="AQ2121"/>
      <c r="AR2121" t="inlineStr">
        <is>
          <t>Jobstreet</t>
        </is>
      </c>
      <c r="AS2121" t="inlineStr">
        <is>
          <t>- Headcount: 1
- Hiring Job Details: 1 Leasing Marketing; Part time and full time for retail sales; Prefer mandarin speaker
- Hiring Urgency: Hiring Now
- Number of outlets: Not available
- Have recruiter team: Yes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2121">
        <v>75</v>
      </c>
      <c r="AU2121" t="inlineStr">
        <is>
          <t>0.75</t>
        </is>
      </c>
      <c r="AV2121" t="inlineStr">
        <is>
          <t>5</t>
        </is>
      </c>
      <c r="AW2121" t="inlineStr">
        <is>
          <t>0</t>
        </is>
      </c>
      <c r="AX2121" t="inlineStr">
        <is>
          <t>Not Qualified</t>
        </is>
      </c>
      <c r="AY2121" s="4"/>
      <c r="AZ2121"/>
      <c r="BA2121"/>
      <c r="BB2121"/>
      <c r="BC2121"/>
      <c r="BD2121" s="4"/>
      <c r="BE2121"/>
      <c r="BF2121"/>
      <c r="BG2121" t="inlineStr">
        <is>
          <t>Reschedule</t>
        </is>
      </c>
      <c r="BH2121" t="inlineStr">
        <is>
          <t>Fauziah Maharan</t>
        </is>
      </c>
      <c r="BI2121"/>
      <c r="BJ2121" s="4">
        <v>46144.75581018518</v>
      </c>
      <c r="BK2121" s="4">
        <v>46126.373344907406</v>
      </c>
      <c r="BL2121" t="inlineStr">
        <is>
          <t>0.0</t>
        </is>
      </c>
      <c r="BM2121" t="inlineStr">
        <is>
          <t>9000.0</t>
        </is>
      </c>
      <c r="BN2121"/>
      <c r="BO2121" s="4"/>
      <c r="BP2121">
        <v>169306</v>
      </c>
      <c r="BQ2121"/>
      <c r="BR2121"/>
      <c r="BS2121"/>
      <c r="BT2121"/>
      <c r="BU2121"/>
      <c r="BV2121"/>
      <c r="BW2121"/>
      <c r="BX2121"/>
      <c r="BY2121"/>
      <c r="BZ2121" s="4"/>
      <c r="CA2121"/>
      <c r="CB2121"/>
      <c r="CC2121" s="4"/>
      <c r="CD2121" t="inlineStr">
        <is>
          <t>5</t>
        </is>
      </c>
      <c r="CE2121" t="inlineStr">
        <is>
          <t>0</t>
        </is>
      </c>
      <c r="CF2121" t="inlineStr">
        <is>
          <t>Q2-W04</t>
        </is>
      </c>
      <c r="CG2121"/>
      <c r="CH2121"/>
      <c r="CI2121"/>
      <c r="CJ2121" t="inlineStr">
        <is>
          <t>No Paid</t>
        </is>
      </c>
      <c r="CK2121" t="inlineStr">
        <is>
          <t>Eligible</t>
        </is>
      </c>
      <c r="CL2121"/>
      <c r="CM2121"/>
    </row>
    <row r="2122" ht="25.5" customHeight="1">
      <c r="A2122" t="inlineStr">
        <is>
          <t>172567</t>
        </is>
      </c>
      <c r="B2122" s="2"/>
      <c r="C2122"/>
      <c r="D2122" s="3">
        <v>46128.442094907405</v>
      </c>
      <c r="E2122" t="inlineStr">
        <is>
          <t>Q2-W02</t>
        </is>
      </c>
      <c r="F2122" t="inlineStr">
        <is>
          <t>Jess</t>
        </is>
      </c>
      <c r="G2122" t="inlineStr">
        <is>
          <t>Customer</t>
        </is>
      </c>
      <c r="H2122" s="2" t="str">
        <f>=HYPERLINK("https://upbox.ajobthing.my/customer/172567", "https://upbox.ajobthing.my/customer/172567")</f>
        <v>https://upbox.ajobthing.my/customer/172567</v>
      </c>
      <c r="I2122" t="inlineStr">
        <is>
          <t>Da Hua Marketing Sdn Bhd</t>
        </is>
      </c>
      <c r="J2122" t="inlineStr">
        <is>
          <t>Whale</t>
        </is>
      </c>
      <c r="K2122" t="inlineStr">
        <is>
          <t>Jess Lim</t>
        </is>
      </c>
      <c r="L2122" s="4"/>
      <c r="M2122" s="4">
        <v>46128.44163194444</v>
      </c>
      <c r="N2122"/>
      <c r="O2122">
        <v>3672</v>
      </c>
      <c r="P2122" s="4"/>
      <c r="Q2122" s="4">
        <v>46129.820289351854</v>
      </c>
      <c r="R2122"/>
      <c r="S2122">
        <v>3672</v>
      </c>
      <c r="T2122" s="4">
        <v>46129.820289351854</v>
      </c>
      <c r="U2122" s="4"/>
      <c r="V2122"/>
      <c r="W2122">
        <v>3672</v>
      </c>
      <c r="X2122"/>
      <c r="Y2122" t="inlineStr">
        <is>
          <t>Pending Appointment</t>
        </is>
      </c>
      <c r="Z2122" t="inlineStr">
        <is>
          <t>Hiring Now</t>
        </is>
      </c>
      <c r="AA2122">
        <v>2</v>
      </c>
      <c r="AB2122" t="inlineStr">
        <is>
          <t>No Appointment Made</t>
        </is>
      </c>
      <c r="AC2122"/>
      <c r="AD2122" t="inlineStr">
        <is>
          <t>driver csutomer servive</t>
        </is>
      </c>
      <c r="AE2122"/>
      <c r="AF2122">
        <v>3600</v>
      </c>
      <c r="AG2122" s="4"/>
      <c r="AH2122" s="4"/>
      <c r="AI2122"/>
      <c r="AJ2122"/>
      <c r="AK2122" t="inlineStr">
        <is>
          <t>No, I don't need at all</t>
        </is>
      </c>
      <c r="AL2122">
        <v>1</v>
      </c>
      <c r="AM2122" t="inlineStr">
        <is>
          <t>No, I don't need at all</t>
        </is>
      </c>
      <c r="AN2122"/>
      <c r="AO2122" t="inlineStr">
        <is>
          <t>No, I don't need at all</t>
        </is>
      </c>
      <c r="AP2122" t="inlineStr">
        <is>
          <t>Once a year (25%)</t>
        </is>
      </c>
      <c r="AQ2122"/>
      <c r="AR2122" t="inlineStr">
        <is>
          <t>Jobstreet</t>
        </is>
      </c>
      <c r="AS2122" t="inlineStr">
        <is>
          <t>- Headcount: 2
- Hiring Job Details: driver, customer service
- Hiring Urgency: Hiring Now
- Number of outlets: N/A
- Have recruiter team: No, I don't need at all
- Number of recruiter in company: 1
- Have ATS system: No, I don't need at all
- Have career website: No, I don't need at all
- Current hiring budget: RM3,600.00
- Whole year budget: N/A
- Whole year number of vacancies: N/A
- Hiring frequency: Once a year (25%)
- External job portal: Jobstreet</t>
        </is>
      </c>
      <c r="AT2122">
        <v>75</v>
      </c>
      <c r="AU2122" t="inlineStr">
        <is>
          <t>0.75</t>
        </is>
      </c>
      <c r="AV2122" t="inlineStr">
        <is>
          <t>15</t>
        </is>
      </c>
      <c r="AW2122" t="inlineStr">
        <is>
          <t>0</t>
        </is>
      </c>
      <c r="AX2122" t="inlineStr">
        <is>
          <t>Not Qualified</t>
        </is>
      </c>
      <c r="AY2122" s="4"/>
      <c r="AZ2122"/>
      <c r="BA2122"/>
      <c r="BB2122"/>
      <c r="BC2122" t="inlineStr">
        <is>
          <t>educate how to post job psoting , left 1 job posting customer due to duplicare</t>
        </is>
      </c>
      <c r="BD2122" s="4">
        <v>46132.517488425925</v>
      </c>
      <c r="BE2122" t="inlineStr">
        <is>
          <t>paid</t>
        </is>
      </c>
      <c r="BF2122" t="inlineStr">
        <is>
          <t>Q2-W03</t>
        </is>
      </c>
      <c r="BG2122" t="inlineStr">
        <is>
          <t>Reschedule</t>
        </is>
      </c>
      <c r="BH2122" t="inlineStr">
        <is>
          <t>Fauziah Maharan</t>
        </is>
      </c>
      <c r="BI2122" t="inlineStr">
        <is>
          <t>Retail / Merchandise</t>
        </is>
      </c>
      <c r="BJ2122" s="4">
        <v>46144.75148148148</v>
      </c>
      <c r="BK2122" s="4">
        <v>45232.437789351854</v>
      </c>
      <c r="BL2122" t="inlineStr">
        <is>
          <t>7344.0</t>
        </is>
      </c>
      <c r="BM2122" t="inlineStr">
        <is>
          <t>1200.0</t>
        </is>
      </c>
      <c r="BN2122" t="inlineStr">
        <is>
          <t>View Company Page</t>
        </is>
      </c>
      <c r="BO2122" s="4">
        <v>46142.482199074075</v>
      </c>
      <c r="BP2122">
        <v>167317</v>
      </c>
      <c r="BQ2122">
        <v>94156</v>
      </c>
      <c r="BR2122" t="inlineStr">
        <is>
          <t>Online</t>
        </is>
      </c>
      <c r="BS2122"/>
      <c r="BT2122">
        <v>94156</v>
      </c>
      <c r="BU2122"/>
      <c r="BV2122">
        <v>2715402</v>
      </c>
      <c r="BW2122" t="inlineStr">
        <is>
          <t>Service / Technical : Job Outcome Enquiry</t>
        </is>
      </c>
      <c r="BX2122">
        <v>12</v>
      </c>
      <c r="BY2122">
        <v>4</v>
      </c>
      <c r="BZ2122" s="4">
        <v>46132.42842592593</v>
      </c>
      <c r="CA2122">
        <v>120</v>
      </c>
      <c r="CB2122">
        <v>102</v>
      </c>
      <c r="CC2122" s="4">
        <v>46141.56381944445</v>
      </c>
      <c r="CD2122" t="inlineStr">
        <is>
          <t>20</t>
        </is>
      </c>
      <c r="CE2122" t="inlineStr">
        <is>
          <t>0</t>
        </is>
      </c>
      <c r="CF2122" t="inlineStr">
        <is>
          <t>Q2-W02</t>
        </is>
      </c>
      <c r="CG2122" t="inlineStr">
        <is>
          <t>Q2-W03</t>
        </is>
      </c>
      <c r="CH2122" t="inlineStr">
        <is>
          <t>Q2-W03</t>
        </is>
      </c>
      <c r="CI2122"/>
      <c r="CJ2122" t="inlineStr">
        <is>
          <t>Paid</t>
        </is>
      </c>
      <c r="CK2122" t="inlineStr">
        <is>
          <t>Eligible</t>
        </is>
      </c>
      <c r="CL2122"/>
      <c r="CM2122"/>
    </row>
    <row r="2123" ht="25.5" customHeight="1">
      <c r="A2123" t="inlineStr">
        <is>
          <t>182122</t>
        </is>
      </c>
      <c r="B2123" s="2"/>
      <c r="C2123"/>
      <c r="D2123" s="3">
        <v>46128.4522337963</v>
      </c>
      <c r="E2123" t="inlineStr">
        <is>
          <t>Q2-W02</t>
        </is>
      </c>
      <c r="F2123" t="inlineStr">
        <is>
          <t>Ken Yi</t>
        </is>
      </c>
      <c r="G2123" t="inlineStr">
        <is>
          <t>Customer</t>
        </is>
      </c>
      <c r="H2123" s="2" t="str">
        <f>=HYPERLINK("https://upbox.ajobthing.my/customer/182122", "https://upbox.ajobthing.my/customer/182122")</f>
        <v>https://upbox.ajobthing.my/customer/182122</v>
      </c>
      <c r="I2123" t="inlineStr">
        <is>
          <t>Multigain Entity Sdn Bhd</t>
        </is>
      </c>
      <c r="J2123" t="inlineStr">
        <is>
          <t>Whale</t>
        </is>
      </c>
      <c r="K2123" t="inlineStr">
        <is>
          <t>Kenyi</t>
        </is>
      </c>
      <c r="L2123" s="4"/>
      <c r="M2123" s="4">
        <v>46128.45155092593</v>
      </c>
      <c r="N2123"/>
      <c r="O2123">
        <v>3024</v>
      </c>
      <c r="P2123" s="4"/>
      <c r="Q2123" s="4">
        <v>46115.44787037037</v>
      </c>
      <c r="R2123"/>
      <c r="S2123">
        <v>864</v>
      </c>
      <c r="T2123" s="4">
        <v>46115.44787037037</v>
      </c>
      <c r="U2123" s="4"/>
      <c r="V2123"/>
      <c r="W2123">
        <v>864</v>
      </c>
      <c r="X2123"/>
      <c r="Y2123" t="inlineStr">
        <is>
          <t>Pending Appointment</t>
        </is>
      </c>
      <c r="Z2123" t="inlineStr">
        <is>
          <t>Hiring Now</t>
        </is>
      </c>
      <c r="AA2123">
        <v>1</v>
      </c>
      <c r="AB2123" t="inlineStr">
        <is>
          <t>No Appointment Made</t>
        </is>
      </c>
      <c r="AC2123"/>
      <c r="AD2123" t="inlineStr">
        <is>
          <t>Customer service 2</t>
        </is>
      </c>
      <c r="AE2123"/>
      <c r="AF2123">
        <v>0</v>
      </c>
      <c r="AG2123" s="4"/>
      <c r="AH2123" s="4"/>
      <c r="AI2123">
        <v>0</v>
      </c>
      <c r="AJ2123">
        <v>1</v>
      </c>
      <c r="AK2123" t="inlineStr">
        <is>
          <t>Yes, I have</t>
        </is>
      </c>
      <c r="AL2123">
        <v>1</v>
      </c>
      <c r="AM2123" t="inlineStr">
        <is>
          <t>No, I don't need at all</t>
        </is>
      </c>
      <c r="AN2123"/>
      <c r="AO2123" t="inlineStr">
        <is>
          <t>No, I don't need at all</t>
        </is>
      </c>
      <c r="AP2123" t="inlineStr">
        <is>
          <t>Every month (100%)</t>
        </is>
      </c>
      <c r="AQ2123">
        <v>2</v>
      </c>
      <c r="AR2123" t="inlineStr">
        <is>
          <t>Did not use any job portal, Jobstreet</t>
        </is>
      </c>
      <c r="AS2123" t="inlineStr">
        <is>
          <t>- Headcount: 1
- Hiring Job Details: Customer service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Did not use any job portal,Jobstreet</t>
        </is>
      </c>
      <c r="AT2123">
        <v>115</v>
      </c>
      <c r="AU2123" t="inlineStr">
        <is>
          <t>1.15</t>
        </is>
      </c>
      <c r="AV2123" t="inlineStr">
        <is>
          <t>15</t>
        </is>
      </c>
      <c r="AW2123" t="inlineStr">
        <is>
          <t>0</t>
        </is>
      </c>
      <c r="AX2123" t="inlineStr">
        <is>
          <t>Not Qualified</t>
        </is>
      </c>
      <c r="AY2123" s="4"/>
      <c r="AZ2123"/>
      <c r="BA2123"/>
      <c r="BB2123"/>
      <c r="BC2123" t="inlineStr">
        <is>
          <t>No Answer</t>
        </is>
      </c>
      <c r="BD2123" s="4">
        <v>46141.43914351852</v>
      </c>
      <c r="BE2123" t="inlineStr">
        <is>
          <t>paid</t>
        </is>
      </c>
      <c r="BF2123" t="inlineStr">
        <is>
          <t>Q2-W01</t>
        </is>
      </c>
      <c r="BG2123" t="inlineStr">
        <is>
          <t>Reschedule</t>
        </is>
      </c>
      <c r="BH2123" t="inlineStr">
        <is>
          <t>Fauziah Maharan</t>
        </is>
      </c>
      <c r="BI2123" t="inlineStr">
        <is>
          <t>Banking / Finance</t>
        </is>
      </c>
      <c r="BJ2123" s="4">
        <v>46144.751921296294</v>
      </c>
      <c r="BK2123" s="4">
        <v>45532.38768518518</v>
      </c>
      <c r="BL2123" t="inlineStr">
        <is>
          <t>0.0</t>
        </is>
      </c>
      <c r="BM2123" t="inlineStr">
        <is>
          <t>0.0</t>
        </is>
      </c>
      <c r="BN2123" t="inlineStr">
        <is>
          <t>User Visit(Logged In)</t>
        </is>
      </c>
      <c r="BO2123" s="4">
        <v>46142.51534722222</v>
      </c>
      <c r="BP2123">
        <v>167329</v>
      </c>
      <c r="BQ2123">
        <v>90993</v>
      </c>
      <c r="BR2123" t="inlineStr">
        <is>
          <t>Online</t>
        </is>
      </c>
      <c r="BS2123"/>
      <c r="BT2123">
        <v>90993</v>
      </c>
      <c r="BU2123"/>
      <c r="BV2123">
        <v>2734454</v>
      </c>
      <c r="BW2123" t="inlineStr">
        <is>
          <t>No Answer : Voicemail - WA sent to customer</t>
        </is>
      </c>
      <c r="BX2123"/>
      <c r="BY2123"/>
      <c r="BZ2123" s="4"/>
      <c r="CA2123">
        <v>23</v>
      </c>
      <c r="CB2123">
        <v>23</v>
      </c>
      <c r="CC2123" s="4"/>
      <c r="CD2123" t="inlineStr">
        <is>
          <t>20</t>
        </is>
      </c>
      <c r="CE2123" t="inlineStr">
        <is>
          <t>0</t>
        </is>
      </c>
      <c r="CF2123" t="inlineStr">
        <is>
          <t>Q2-W02</t>
        </is>
      </c>
      <c r="CG2123" t="inlineStr">
        <is>
          <t>Q2-W01</t>
        </is>
      </c>
      <c r="CH2123" t="inlineStr">
        <is>
          <t>Q2-W01</t>
        </is>
      </c>
      <c r="CI2123"/>
      <c r="CJ2123" t="inlineStr">
        <is>
          <t>Paid</t>
        </is>
      </c>
      <c r="CK2123" t="inlineStr">
        <is>
          <t>Eligible</t>
        </is>
      </c>
      <c r="CL2123"/>
      <c r="CM2123"/>
    </row>
    <row r="2124" ht="25.5" customHeight="1">
      <c r="A2124" t="inlineStr">
        <is>
          <t>181760</t>
        </is>
      </c>
      <c r="B2124" s="2"/>
      <c r="C2124"/>
      <c r="D2124" s="3">
        <v>46128.454050925924</v>
      </c>
      <c r="E2124" t="inlineStr">
        <is>
          <t>Q2-W02</t>
        </is>
      </c>
      <c r="F2124" t="inlineStr">
        <is>
          <t>Janice Yap</t>
        </is>
      </c>
      <c r="G2124" t="inlineStr">
        <is>
          <t>Customer</t>
        </is>
      </c>
      <c r="H2124" s="2" t="str">
        <f>=HYPERLINK("https://upbox.ajobthing.my/customer/181760", "https://upbox.ajobthing.my/customer/181760")</f>
        <v>https://upbox.ajobthing.my/customer/181760</v>
      </c>
      <c r="I2124" t="inlineStr">
        <is>
          <t>Kit Cheong Enterprise Sdn Bhd</t>
        </is>
      </c>
      <c r="J2124" t="inlineStr">
        <is>
          <t>Whale</t>
        </is>
      </c>
      <c r="K2124" t="inlineStr">
        <is>
          <t>Janice</t>
        </is>
      </c>
      <c r="L2124" s="4"/>
      <c r="M2124" s="4">
        <v>46128.45287037037</v>
      </c>
      <c r="N2124"/>
      <c r="O2124">
        <v>3888</v>
      </c>
      <c r="P2124" s="4"/>
      <c r="Q2124" s="4">
        <v>45817.60266203704</v>
      </c>
      <c r="R2124"/>
      <c r="S2124">
        <v>648</v>
      </c>
      <c r="T2124" s="4">
        <v>45817.60266203704</v>
      </c>
      <c r="U2124" s="4"/>
      <c r="V2124"/>
      <c r="W2124">
        <v>648</v>
      </c>
      <c r="X2124"/>
      <c r="Y2124" t="inlineStr">
        <is>
          <t>Pending Appointment</t>
        </is>
      </c>
      <c r="Z2124" t="inlineStr">
        <is>
          <t>Hiring Now</t>
        </is>
      </c>
      <c r="AA2124">
        <v>1</v>
      </c>
      <c r="AB2124" t="inlineStr">
        <is>
          <t>No Appointment Made</t>
        </is>
      </c>
      <c r="AC2124"/>
      <c r="AD2124" t="inlineStr">
        <is>
          <t>1 draftman</t>
        </is>
      </c>
      <c r="AE2124"/>
      <c r="AF2124">
        <v>0</v>
      </c>
      <c r="AG2124" s="4"/>
      <c r="AH2124" s="4"/>
      <c r="AI2124">
        <v>0</v>
      </c>
      <c r="AJ2124"/>
      <c r="AK2124" t="inlineStr">
        <is>
          <t>No, I don't need at all</t>
        </is>
      </c>
      <c r="AL2124">
        <v>0</v>
      </c>
      <c r="AM2124" t="inlineStr">
        <is>
          <t>No, I don't need at all</t>
        </is>
      </c>
      <c r="AN2124"/>
      <c r="AO2124" t="inlineStr">
        <is>
          <t>No, I don't need at all</t>
        </is>
      </c>
      <c r="AP2124" t="inlineStr">
        <is>
          <t>Once a year (25%)</t>
        </is>
      </c>
      <c r="AQ2124">
        <v>1</v>
      </c>
      <c r="AR2124" t="inlineStr">
        <is>
          <t>Jobstreet</t>
        </is>
      </c>
      <c r="AS2124" t="inlineStr">
        <is>
          <t>- Headcount: 1
- Hiring Job Details: 1 draftman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124">
        <v>115</v>
      </c>
      <c r="AU2124" t="inlineStr">
        <is>
          <t>1.15</t>
        </is>
      </c>
      <c r="AV2124" t="inlineStr">
        <is>
          <t>15</t>
        </is>
      </c>
      <c r="AW2124" t="inlineStr">
        <is>
          <t>0</t>
        </is>
      </c>
      <c r="AX2124" t="inlineStr">
        <is>
          <t>Not Qualified</t>
        </is>
      </c>
      <c r="AY2124" s="4"/>
      <c r="AZ2124"/>
      <c r="BA2124"/>
      <c r="BB2124"/>
      <c r="BC2124" t="inlineStr">
        <is>
          <t>Log call for screenshot QN as references</t>
        </is>
      </c>
      <c r="BD2124" s="4">
        <v>46128.48792824074</v>
      </c>
      <c r="BE2124" t="inlineStr">
        <is>
          <t>paid</t>
        </is>
      </c>
      <c r="BF2124"/>
      <c r="BG2124" t="inlineStr">
        <is>
          <t>Reschedule</t>
        </is>
      </c>
      <c r="BH2124" t="inlineStr">
        <is>
          <t>Yee Hang</t>
        </is>
      </c>
      <c r="BI2124" t="inlineStr">
        <is>
          <t>Construction / Building</t>
        </is>
      </c>
      <c r="BJ2124" s="4">
        <v>46144.75188657407</v>
      </c>
      <c r="BK2124" s="4">
        <v>45523.41872685185</v>
      </c>
      <c r="BL2124" t="inlineStr">
        <is>
          <t>648.0</t>
        </is>
      </c>
      <c r="BM2124" t="inlineStr">
        <is>
          <t>6000.0</t>
        </is>
      </c>
      <c r="BN2124" t="inlineStr">
        <is>
          <t>View Company Page</t>
        </is>
      </c>
      <c r="BO2124" s="4">
        <v>46076.40818287037</v>
      </c>
      <c r="BP2124">
        <v>167331</v>
      </c>
      <c r="BQ2124">
        <v>79932</v>
      </c>
      <c r="BR2124" t="inlineStr">
        <is>
          <t>Online</t>
        </is>
      </c>
      <c r="BS2124"/>
      <c r="BT2124">
        <v>79932</v>
      </c>
      <c r="BU2124"/>
      <c r="BV2124">
        <v>2708545</v>
      </c>
      <c r="BW2124" t="inlineStr">
        <is>
          <t>No Answer : Voicemail - WA sent to customer</t>
        </is>
      </c>
      <c r="BX2124"/>
      <c r="BY2124"/>
      <c r="BZ2124" s="4"/>
      <c r="CA2124"/>
      <c r="CB2124"/>
      <c r="CC2124" s="4"/>
      <c r="CD2124" t="inlineStr">
        <is>
          <t>20</t>
        </is>
      </c>
      <c r="CE2124" t="inlineStr">
        <is>
          <t>0</t>
        </is>
      </c>
      <c r="CF2124" t="inlineStr">
        <is>
          <t>Q2-W02</t>
        </is>
      </c>
      <c r="CG2124"/>
      <c r="CH2124"/>
      <c r="CI2124"/>
      <c r="CJ2124" t="inlineStr">
        <is>
          <t>Paid</t>
        </is>
      </c>
      <c r="CK2124" t="inlineStr">
        <is>
          <t>Eligible</t>
        </is>
      </c>
      <c r="CL2124"/>
      <c r="CM2124"/>
    </row>
    <row r="2125" ht="25.5" customHeight="1">
      <c r="A2125" t="inlineStr">
        <is>
          <t>152231</t>
        </is>
      </c>
      <c r="B2125" s="2"/>
      <c r="C2125"/>
      <c r="D2125" s="3">
        <v>46128.45961805555</v>
      </c>
      <c r="E2125" t="inlineStr">
        <is>
          <t>Q2-W02</t>
        </is>
      </c>
      <c r="F2125" t="inlineStr">
        <is>
          <t>Alan KY</t>
        </is>
      </c>
      <c r="G2125" t="inlineStr">
        <is>
          <t>Customer</t>
        </is>
      </c>
      <c r="H2125" s="2" t="str">
        <f>=HYPERLINK("https://upbox.ajobthing.my/customer/152231", "https://upbox.ajobthing.my/customer/152231")</f>
        <v>https://upbox.ajobthing.my/customer/152231</v>
      </c>
      <c r="I2125" t="inlineStr">
        <is>
          <t>Versa Asia Sdn Bhd</t>
        </is>
      </c>
      <c r="J2125" t="inlineStr">
        <is>
          <t>Whale</t>
        </is>
      </c>
      <c r="K2125" t="inlineStr">
        <is>
          <t>Alan KY</t>
        </is>
      </c>
      <c r="L2125" s="4"/>
      <c r="M2125" s="4">
        <v>46128.45512731482</v>
      </c>
      <c r="N2125"/>
      <c r="O2125">
        <v>3888</v>
      </c>
      <c r="P2125" s="4"/>
      <c r="Q2125" s="4"/>
      <c r="R2125"/>
      <c r="S2125"/>
      <c r="T2125" s="4"/>
      <c r="U2125" s="4"/>
      <c r="V2125"/>
      <c r="W2125"/>
      <c r="X2125"/>
      <c r="Y2125" t="inlineStr">
        <is>
          <t>Pending Appointment</t>
        </is>
      </c>
      <c r="Z2125" t="inlineStr">
        <is>
          <t>Hiring Now</t>
        </is>
      </c>
      <c r="AA2125">
        <v>2</v>
      </c>
      <c r="AB2125" t="inlineStr">
        <is>
          <t>No Appointment Made</t>
        </is>
      </c>
      <c r="AC2125"/>
      <c r="AD2125" t="inlineStr">
        <is>
          <t xml:space="preserve">1 software junior IT, 1 cs. Based in KL </t>
        </is>
      </c>
      <c r="AE2125"/>
      <c r="AF2125"/>
      <c r="AG2125" s="4"/>
      <c r="AH2125" s="4"/>
      <c r="AI2125"/>
      <c r="AJ2125"/>
      <c r="AK2125" t="inlineStr">
        <is>
          <t>No, I don't need at all</t>
        </is>
      </c>
      <c r="AL2125"/>
      <c r="AM2125" t="inlineStr">
        <is>
          <t>No, I don't need at all</t>
        </is>
      </c>
      <c r="AN2125"/>
      <c r="AO2125" t="inlineStr">
        <is>
          <t>No, I don't need at all</t>
        </is>
      </c>
      <c r="AP2125" t="inlineStr">
        <is>
          <t>Once per quarter (75%)</t>
        </is>
      </c>
      <c r="AQ2125"/>
      <c r="AR2125" t="inlineStr">
        <is>
          <t>Jobstreet, Linkedin (Paid)</t>
        </is>
      </c>
      <c r="AS2125" t="inlineStr">
        <is>
          <t>- Headcount: 2
- Hiring Job Details: 1 software junior IT, 1 cs (Based in KL)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Linkedin (Paid)</t>
        </is>
      </c>
      <c r="AT2125">
        <v>95</v>
      </c>
      <c r="AU2125" t="inlineStr">
        <is>
          <t>0.95</t>
        </is>
      </c>
      <c r="AV2125" t="inlineStr">
        <is>
          <t>5</t>
        </is>
      </c>
      <c r="AW2125" t="inlineStr">
        <is>
          <t>0</t>
        </is>
      </c>
      <c r="AX2125" t="inlineStr">
        <is>
          <t>Not Qualified</t>
        </is>
      </c>
      <c r="AY2125" s="4"/>
      <c r="AZ2125"/>
      <c r="BA2125"/>
      <c r="BB2125"/>
      <c r="BC2125" t="inlineStr">
        <is>
          <t>Pending decision, schedule next follow up date. Pending</t>
        </is>
      </c>
      <c r="BD2125" s="4">
        <v>46135.67530092593</v>
      </c>
      <c r="BE2125"/>
      <c r="BF2125"/>
      <c r="BG2125" t="inlineStr">
        <is>
          <t>Reschedule</t>
        </is>
      </c>
      <c r="BH2125" t="inlineStr">
        <is>
          <t>Reagen</t>
        </is>
      </c>
      <c r="BI2125"/>
      <c r="BJ2125" s="4">
        <v>46144.750914351855</v>
      </c>
      <c r="BK2125" s="4">
        <v>44664.42556712963</v>
      </c>
      <c r="BL2125" t="inlineStr">
        <is>
          <t>0.0</t>
        </is>
      </c>
      <c r="BM2125" t="inlineStr">
        <is>
          <t>13800.0</t>
        </is>
      </c>
      <c r="BN2125" t="inlineStr">
        <is>
          <t>View Create Job Page</t>
        </is>
      </c>
      <c r="BO2125" s="4">
        <v>44664.42622685185</v>
      </c>
      <c r="BP2125">
        <v>167334</v>
      </c>
      <c r="BQ2125"/>
      <c r="BR2125"/>
      <c r="BS2125"/>
      <c r="BT2125"/>
      <c r="BU2125"/>
      <c r="BV2125">
        <v>2724629</v>
      </c>
      <c r="BW2125" t="inlineStr">
        <is>
          <t>Follow Up : Decision Pending</t>
        </is>
      </c>
      <c r="BX2125"/>
      <c r="BY2125"/>
      <c r="BZ2125" s="4"/>
      <c r="CA2125"/>
      <c r="CB2125"/>
      <c r="CC2125" s="4"/>
      <c r="CD2125" t="inlineStr">
        <is>
          <t>5</t>
        </is>
      </c>
      <c r="CE2125" t="inlineStr">
        <is>
          <t>0</t>
        </is>
      </c>
      <c r="CF2125" t="inlineStr">
        <is>
          <t>Q2-W02</t>
        </is>
      </c>
      <c r="CG2125"/>
      <c r="CH2125"/>
      <c r="CI2125"/>
      <c r="CJ2125" t="inlineStr">
        <is>
          <t>No Paid</t>
        </is>
      </c>
      <c r="CK2125" t="inlineStr">
        <is>
          <t>Eligible</t>
        </is>
      </c>
      <c r="CL2125"/>
      <c r="CM2125"/>
    </row>
    <row r="2126" ht="25.5" customHeight="1">
      <c r="A2126" t="inlineStr">
        <is>
          <t>132372</t>
        </is>
      </c>
      <c r="B2126" s="2"/>
      <c r="C2126"/>
      <c r="D2126" s="3">
        <v>46128.47207175926</v>
      </c>
      <c r="E2126" t="inlineStr">
        <is>
          <t>Q2-W02</t>
        </is>
      </c>
      <c r="F2126" t="inlineStr">
        <is>
          <t>Clover</t>
        </is>
      </c>
      <c r="G2126" t="inlineStr">
        <is>
          <t>Customer</t>
        </is>
      </c>
      <c r="H2126" s="2" t="str">
        <f>=HYPERLINK("https://upbox.ajobthing.my/customer/132372", "https://upbox.ajobthing.my/customer/132372")</f>
        <v>https://upbox.ajobthing.my/customer/132372</v>
      </c>
      <c r="I2126" t="inlineStr">
        <is>
          <t>MOM Properties Sdn Bhd</t>
        </is>
      </c>
      <c r="J2126" t="inlineStr">
        <is>
          <t>Whale</t>
        </is>
      </c>
      <c r="K2126" t="inlineStr">
        <is>
          <t>Clover</t>
        </is>
      </c>
      <c r="L2126" s="4"/>
      <c r="M2126" s="4">
        <v>46128.472349537034</v>
      </c>
      <c r="N2126"/>
      <c r="O2126">
        <v>6048</v>
      </c>
      <c r="P2126" s="4"/>
      <c r="Q2126" s="4">
        <v>46134.407488425924</v>
      </c>
      <c r="R2126"/>
      <c r="S2126">
        <v>5616</v>
      </c>
      <c r="T2126" s="4">
        <v>46134.407488425924</v>
      </c>
      <c r="U2126" s="4"/>
      <c r="V2126"/>
      <c r="W2126">
        <v>5616</v>
      </c>
      <c r="X2126"/>
      <c r="Y2126" t="inlineStr">
        <is>
          <t>Pending Appointment</t>
        </is>
      </c>
      <c r="Z2126" t="inlineStr">
        <is>
          <t>Hiring Now</t>
        </is>
      </c>
      <c r="AA2126">
        <v>18</v>
      </c>
      <c r="AB2126" t="inlineStr">
        <is>
          <t>No Appointment Made</t>
        </is>
      </c>
      <c r="AC2126"/>
      <c r="AD2126" t="inlineStr">
        <is>
          <t>Hire sales exec &amp; marketing FT x1 chi/ malay, social media FT x1, internship sales &amp; marketing x5-10, internship admin &amp; PA x5-10, property KL, suggest pro, explain last year buy6free6 , now buy8free8</t>
        </is>
      </c>
      <c r="AE2126"/>
      <c r="AF2126">
        <v>5000</v>
      </c>
      <c r="AG2126" s="4"/>
      <c r="AH2126" s="4"/>
      <c r="AI2126">
        <v>5000</v>
      </c>
      <c r="AJ2126">
        <v>1</v>
      </c>
      <c r="AK2126" t="inlineStr">
        <is>
          <t>No, but I want in future</t>
        </is>
      </c>
      <c r="AL2126">
        <v>1</v>
      </c>
      <c r="AM2126" t="inlineStr">
        <is>
          <t>No, but I want in future</t>
        </is>
      </c>
      <c r="AN2126"/>
      <c r="AO2126" t="inlineStr">
        <is>
          <t>No, but I want in future</t>
        </is>
      </c>
      <c r="AP2126" t="inlineStr">
        <is>
          <t>Twice a year (50%)</t>
        </is>
      </c>
      <c r="AQ2126">
        <v>10</v>
      </c>
      <c r="AR2126" t="inlineStr">
        <is>
          <t>Did not use any job portal</t>
        </is>
      </c>
      <c r="AS2126" t="inlineStr">
        <is>
          <t>- Headcount: 18
- Hiring Job Details: Hire sales exec &amp; marketing FT x1 (chi/malay), social media FT x1, sales &amp; marketing intern x5-10, admin &amp; PA intern x5-10; property KL, suggest pro, explain last year buy6free6 &amp; now buy8free8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10
- Hiring frequency: Twice a year (50%)
- External job portal: Did not use any</t>
        </is>
      </c>
      <c r="AT2126">
        <v>95</v>
      </c>
      <c r="AU2126" t="inlineStr">
        <is>
          <t>0.95</t>
        </is>
      </c>
      <c r="AV2126" t="inlineStr">
        <is>
          <t>25</t>
        </is>
      </c>
      <c r="AW2126" t="inlineStr">
        <is>
          <t>0</t>
        </is>
      </c>
      <c r="AX2126" t="inlineStr">
        <is>
          <t>Not Qualified</t>
        </is>
      </c>
      <c r="AY2126" s="4"/>
      <c r="AZ2126"/>
      <c r="BA2126"/>
      <c r="BB2126"/>
      <c r="BC2126" t="inlineStr">
        <is>
          <t>service - linked</t>
        </is>
      </c>
      <c r="BD2126" s="4">
        <v>46140.43686342592</v>
      </c>
      <c r="BE2126" t="inlineStr">
        <is>
          <t>paid</t>
        </is>
      </c>
      <c r="BF2126" t="inlineStr">
        <is>
          <t>Q2-W03</t>
        </is>
      </c>
      <c r="BG2126" t="inlineStr">
        <is>
          <t>Reschedule</t>
        </is>
      </c>
      <c r="BH2126" t="inlineStr">
        <is>
          <t>Reagen</t>
        </is>
      </c>
      <c r="BI2126" t="inlineStr">
        <is>
          <t>Property / Real Estate</t>
        </is>
      </c>
      <c r="BJ2126" s="4">
        <v>46144.75050925926</v>
      </c>
      <c r="BK2126" s="4">
        <v>44174.68439814815</v>
      </c>
      <c r="BL2126" t="inlineStr">
        <is>
          <t>14277.6</t>
        </is>
      </c>
      <c r="BM2126" t="inlineStr">
        <is>
          <t>0.0</t>
        </is>
      </c>
      <c r="BN2126" t="inlineStr">
        <is>
          <t>View Company Page</t>
        </is>
      </c>
      <c r="BO2126" s="4">
        <v>46142.53635416667</v>
      </c>
      <c r="BP2126">
        <v>167349</v>
      </c>
      <c r="BQ2126">
        <v>94582</v>
      </c>
      <c r="BR2126" t="inlineStr">
        <is>
          <t>Online</t>
        </is>
      </c>
      <c r="BS2126"/>
      <c r="BT2126">
        <v>94582</v>
      </c>
      <c r="BU2126"/>
      <c r="BV2126">
        <v>2731825</v>
      </c>
      <c r="BW2126" t="inlineStr">
        <is>
          <t>Service / Technical : Help To Post Job</t>
        </is>
      </c>
      <c r="BX2126">
        <v>31</v>
      </c>
      <c r="BY2126">
        <v>14</v>
      </c>
      <c r="BZ2126" s="4">
        <v>46142.533738425926</v>
      </c>
      <c r="CA2126">
        <v>280</v>
      </c>
      <c r="CB2126">
        <v>254</v>
      </c>
      <c r="CC2126" s="4">
        <v>46140.70532407407</v>
      </c>
      <c r="CD2126" t="inlineStr">
        <is>
          <t>35</t>
        </is>
      </c>
      <c r="CE2126" t="inlineStr">
        <is>
          <t>0</t>
        </is>
      </c>
      <c r="CF2126" t="inlineStr">
        <is>
          <t>Q2-W02</t>
        </is>
      </c>
      <c r="CG2126" t="inlineStr">
        <is>
          <t>Q2-W03</t>
        </is>
      </c>
      <c r="CH2126" t="inlineStr">
        <is>
          <t>Q2-W03</t>
        </is>
      </c>
      <c r="CI2126"/>
      <c r="CJ2126" t="inlineStr">
        <is>
          <t>Paid</t>
        </is>
      </c>
      <c r="CK2126" t="inlineStr">
        <is>
          <t>Eligible</t>
        </is>
      </c>
      <c r="CL2126"/>
      <c r="CM2126"/>
    </row>
    <row r="2127" ht="25.5" customHeight="1">
      <c r="A2127" t="inlineStr">
        <is>
          <t>203202</t>
        </is>
      </c>
      <c r="B2127" s="2"/>
      <c r="C2127"/>
      <c r="D2127" s="3">
        <v>46128.47461805555</v>
      </c>
      <c r="E2127" t="inlineStr">
        <is>
          <t>Q2-W02</t>
        </is>
      </c>
      <c r="F2127" t="inlineStr">
        <is>
          <t>Ratha</t>
        </is>
      </c>
      <c r="G2127" t="inlineStr">
        <is>
          <t>Customer</t>
        </is>
      </c>
      <c r="H2127" s="2" t="str">
        <f>=HYPERLINK("https://upbox.ajobthing.my/customer/203202", "https://upbox.ajobthing.my/customer/203202")</f>
        <v>https://upbox.ajobthing.my/customer/203202</v>
      </c>
      <c r="I2127" t="inlineStr">
        <is>
          <t>SHJ Interia Sdn Bhd</t>
        </is>
      </c>
      <c r="J2127" t="inlineStr">
        <is>
          <t>Whale</t>
        </is>
      </c>
      <c r="K2127" t="inlineStr">
        <is>
          <t>Ratha</t>
        </is>
      </c>
      <c r="L2127" s="4"/>
      <c r="M2127" s="4">
        <v>46128.475173611114</v>
      </c>
      <c r="N2127"/>
      <c r="O2127">
        <v>3888</v>
      </c>
      <c r="P2127" s="4"/>
      <c r="Q2127" s="4">
        <v>46126.437372685185</v>
      </c>
      <c r="R2127"/>
      <c r="S2127">
        <v>0</v>
      </c>
      <c r="T2127" s="4"/>
      <c r="U2127" s="4"/>
      <c r="V2127"/>
      <c r="W2127"/>
      <c r="X2127"/>
      <c r="Y2127" t="inlineStr">
        <is>
          <t>Pending Appointment</t>
        </is>
      </c>
      <c r="Z2127" t="inlineStr">
        <is>
          <t>Hiring Now</t>
        </is>
      </c>
      <c r="AA2127">
        <v>2</v>
      </c>
      <c r="AB2127" t="inlineStr">
        <is>
          <t>No Appointment Made</t>
        </is>
      </c>
      <c r="AC2127"/>
      <c r="AD2127" t="inlineStr">
        <is>
          <t>Engineering &amp; Purchasing 
Rawang</t>
        </is>
      </c>
      <c r="AE2127"/>
      <c r="AF2127"/>
      <c r="AG2127" s="4"/>
      <c r="AH2127" s="4"/>
      <c r="AI2127">
        <v>0</v>
      </c>
      <c r="AJ2127">
        <v>1</v>
      </c>
      <c r="AK2127" t="inlineStr">
        <is>
          <t>Yes, I have</t>
        </is>
      </c>
      <c r="AL2127">
        <v>2</v>
      </c>
      <c r="AM2127" t="inlineStr">
        <is>
          <t>No, I don't need at all</t>
        </is>
      </c>
      <c r="AN2127"/>
      <c r="AO2127" t="inlineStr">
        <is>
          <t>No, I don't need at all</t>
        </is>
      </c>
      <c r="AP2127" t="inlineStr">
        <is>
          <t>Once per quarter (75%)</t>
        </is>
      </c>
      <c r="AQ2127">
        <v>0</v>
      </c>
      <c r="AR2127" t="inlineStr">
        <is>
          <t>Free Job Portal</t>
        </is>
      </c>
      <c r="AS2127" t="inlineStr">
        <is>
          <t>- Headcount: 2
- Hiring Job Details: Engineering &amp; Purchasing \nRawang
- Hiring Urgency: Hiring Now
- Number of outlets: 1
- Have recruiter team: Yes, I have
- Number of recruiter in company: 2
- Have ATS system: No, I don't need at all
- Have career website: No, I don't need at all
- Current hiring budget: 
- Whole year budget: RM0.00
- Whole year number of vacancies: 0
- Hiring frequency: Once per quarter (75%)
- External job portal: Free Job Portal</t>
        </is>
      </c>
      <c r="AT2127">
        <v>75</v>
      </c>
      <c r="AU2127" t="inlineStr">
        <is>
          <t>0.75</t>
        </is>
      </c>
      <c r="AV2127" t="inlineStr">
        <is>
          <t>5</t>
        </is>
      </c>
      <c r="AW2127" t="inlineStr">
        <is>
          <t>0</t>
        </is>
      </c>
      <c r="AX2127" t="inlineStr">
        <is>
          <t>Not Qualified</t>
        </is>
      </c>
      <c r="AY2127" s="4"/>
      <c r="AZ2127"/>
      <c r="BA2127"/>
      <c r="BB2127"/>
      <c r="BC2127" t="inlineStr">
        <is>
          <t>busy all days thus not sure when can talk</t>
        </is>
      </c>
      <c r="BD2127" s="4">
        <v>46133.73954861111</v>
      </c>
      <c r="BE2127" t="inlineStr">
        <is>
          <t>paid</t>
        </is>
      </c>
      <c r="BF2127"/>
      <c r="BG2127" t="inlineStr">
        <is>
          <t>Reschedule</t>
        </is>
      </c>
      <c r="BH2127" t="inlineStr">
        <is>
          <t>Fauziah Maharan</t>
        </is>
      </c>
      <c r="BI2127" t="inlineStr">
        <is>
          <t>Manufacturing / Production</t>
        </is>
      </c>
      <c r="BJ2127" s="4">
        <v>46144.75425925926</v>
      </c>
      <c r="BK2127" s="4">
        <v>46126.436423611114</v>
      </c>
      <c r="BL2127" t="inlineStr">
        <is>
          <t>0.0</t>
        </is>
      </c>
      <c r="BM2127" t="inlineStr">
        <is>
          <t>0.0</t>
        </is>
      </c>
      <c r="BN2127" t="inlineStr">
        <is>
          <t>View Company Page</t>
        </is>
      </c>
      <c r="BO2127" s="4">
        <v>46127.33739583333</v>
      </c>
      <c r="BP2127">
        <v>167350</v>
      </c>
      <c r="BQ2127">
        <v>122166</v>
      </c>
      <c r="BR2127" t="inlineStr">
        <is>
          <t>Proforma</t>
        </is>
      </c>
      <c r="BS2127" t="inlineStr">
        <is>
          <t>Free High Pay Job</t>
        </is>
      </c>
      <c r="BT2127"/>
      <c r="BU2127"/>
      <c r="BV2127">
        <v>2719145</v>
      </c>
      <c r="BW2127" t="inlineStr">
        <is>
          <t>Follow Up : Lost - Free Portal</t>
        </is>
      </c>
      <c r="BX2127"/>
      <c r="BY2127"/>
      <c r="BZ2127" s="4"/>
      <c r="CA2127"/>
      <c r="CB2127"/>
      <c r="CC2127" s="4"/>
      <c r="CD2127" t="inlineStr">
        <is>
          <t>5</t>
        </is>
      </c>
      <c r="CE2127" t="inlineStr">
        <is>
          <t>0</t>
        </is>
      </c>
      <c r="CF2127" t="inlineStr">
        <is>
          <t>Q2-W02</t>
        </is>
      </c>
      <c r="CG2127" t="inlineStr">
        <is>
          <t>Q2-W02</t>
        </is>
      </c>
      <c r="CH2127"/>
      <c r="CI2127"/>
      <c r="CJ2127" t="inlineStr">
        <is>
          <t>No Paid</t>
        </is>
      </c>
      <c r="CK2127" t="inlineStr">
        <is>
          <t>Eligible</t>
        </is>
      </c>
      <c r="CL2127"/>
      <c r="CM2127"/>
    </row>
    <row r="2128" ht="25.5" customHeight="1">
      <c r="A2128" t="inlineStr">
        <is>
          <t>4289172</t>
        </is>
      </c>
      <c r="B2128" s="2"/>
      <c r="C2128"/>
      <c r="D2128" s="3">
        <v>46128.47819444445</v>
      </c>
      <c r="E2128" t="inlineStr">
        <is>
          <t>Q2-W02</t>
        </is>
      </c>
      <c r="F2128" t="inlineStr">
        <is>
          <t>Luqman</t>
        </is>
      </c>
      <c r="G2128" t="inlineStr">
        <is>
          <t>Lead</t>
        </is>
      </c>
      <c r="H2128" s="2" t="str">
        <f>=HYPERLINK("https://upbox.ajobthing.my/leads/4289172", "https://upbox.ajobthing.my/leads/4289172")</f>
        <v>https://upbox.ajobthing.my/leads/4289172</v>
      </c>
      <c r="I2128" t="inlineStr">
        <is>
          <t>United Industries Sdn. Bhd.</t>
        </is>
      </c>
      <c r="J2128" t="inlineStr">
        <is>
          <t>Whale</t>
        </is>
      </c>
      <c r="K2128" t="inlineStr">
        <is>
          <t>Luqman</t>
        </is>
      </c>
      <c r="L2128" s="4"/>
      <c r="M2128" s="4">
        <v>46128.479155092595</v>
      </c>
      <c r="N2128"/>
      <c r="O2128">
        <v>3888</v>
      </c>
      <c r="P2128" s="4"/>
      <c r="Q2128" s="4"/>
      <c r="R2128"/>
      <c r="S2128"/>
      <c r="T2128" s="4"/>
      <c r="U2128" s="4"/>
      <c r="V2128"/>
      <c r="W2128"/>
      <c r="X2128"/>
      <c r="Y2128" t="inlineStr">
        <is>
          <t>Pending Appointment</t>
        </is>
      </c>
      <c r="Z2128" t="inlineStr">
        <is>
          <t>Hiring Later</t>
        </is>
      </c>
      <c r="AA2128">
        <v>1</v>
      </c>
      <c r="AB2128" t="inlineStr">
        <is>
          <t>No Appointment Made</t>
        </is>
      </c>
      <c r="AC2128"/>
      <c r="AD2128" t="inlineStr">
        <is>
          <t xml:space="preserve">1. Business Development Exec </t>
        </is>
      </c>
      <c r="AE2128"/>
      <c r="AF2128">
        <v>1200</v>
      </c>
      <c r="AG2128" s="4"/>
      <c r="AH2128" s="4"/>
      <c r="AI2128">
        <v>3600</v>
      </c>
      <c r="AJ2128"/>
      <c r="AK2128" t="inlineStr">
        <is>
          <t>No, I don't need at all</t>
        </is>
      </c>
      <c r="AL2128">
        <v>2</v>
      </c>
      <c r="AM2128" t="inlineStr">
        <is>
          <t>No, I don't need at all</t>
        </is>
      </c>
      <c r="AN2128"/>
      <c r="AO2128" t="inlineStr">
        <is>
          <t>Yes, I have</t>
        </is>
      </c>
      <c r="AP2128" t="inlineStr">
        <is>
          <t>Once a year (25%)</t>
        </is>
      </c>
      <c r="AQ2128">
        <v>3</v>
      </c>
      <c r="AR2128"/>
      <c r="AS2128" t="inlineStr">
        <is>
          <t>- Headcount: 1
- Hiring Job Details: 1 Business Development Exec
- Hiring Urgency: Hiring Later
- Number of outlets: Not provided
- Have recruiter team: No, I don't need at all
- Number of recruiter in company: 2
- Have ATS system: No, I don't need at all
- Have career website: Yes
- Current hiring budget: RM1,200
- Whole year budget: RM3,600.00
- Whole year number of vacancies: 3
- Hiring frequency: Once a year (25%)
- External job portal: Not provided</t>
        </is>
      </c>
      <c r="AT2128">
        <v>105</v>
      </c>
      <c r="AU2128" t="inlineStr">
        <is>
          <t>1.05</t>
        </is>
      </c>
      <c r="AV2128" t="inlineStr">
        <is>
          <t>15</t>
        </is>
      </c>
      <c r="AW2128" t="inlineStr">
        <is>
          <t>0</t>
        </is>
      </c>
      <c r="AX2128" t="inlineStr">
        <is>
          <t>Not Qualified</t>
        </is>
      </c>
      <c r="AY2128" s="4"/>
      <c r="AZ2128"/>
      <c r="BA2128"/>
      <c r="BB2128"/>
      <c r="BC2128"/>
      <c r="BD2128" s="4"/>
      <c r="BE2128"/>
      <c r="BF2128"/>
      <c r="BG2128" t="inlineStr">
        <is>
          <t>Reschedule</t>
        </is>
      </c>
      <c r="BH2128" t="inlineStr">
        <is>
          <t>Edward Hoo</t>
        </is>
      </c>
      <c r="BI2128"/>
      <c r="BJ2128" s="4">
        <v>46144.755833333336</v>
      </c>
      <c r="BK2128" s="4">
        <v>46128.455509259256</v>
      </c>
      <c r="BL2128" t="inlineStr">
        <is>
          <t>0.0</t>
        </is>
      </c>
      <c r="BM2128" t="inlineStr">
        <is>
          <t>0.0</t>
        </is>
      </c>
      <c r="BN2128"/>
      <c r="BO2128" s="4"/>
      <c r="BP2128">
        <v>167354</v>
      </c>
      <c r="BQ2128"/>
      <c r="BR2128"/>
      <c r="BS2128"/>
      <c r="BT2128"/>
      <c r="BU2128"/>
      <c r="BV2128"/>
      <c r="BW2128"/>
      <c r="BX2128"/>
      <c r="BY2128"/>
      <c r="BZ2128" s="4"/>
      <c r="CA2128"/>
      <c r="CB2128"/>
      <c r="CC2128" s="4"/>
      <c r="CD2128" t="inlineStr">
        <is>
          <t>20</t>
        </is>
      </c>
      <c r="CE2128" t="inlineStr">
        <is>
          <t>0</t>
        </is>
      </c>
      <c r="CF2128" t="inlineStr">
        <is>
          <t>Q2-W02</t>
        </is>
      </c>
      <c r="CG2128"/>
      <c r="CH2128"/>
      <c r="CI2128"/>
      <c r="CJ2128" t="inlineStr">
        <is>
          <t>No Paid</t>
        </is>
      </c>
      <c r="CK2128" t="inlineStr">
        <is>
          <t>Eligible</t>
        </is>
      </c>
      <c r="CL2128"/>
      <c r="CM2128"/>
    </row>
    <row r="2129" ht="25.5" customHeight="1">
      <c r="A2129" t="inlineStr">
        <is>
          <t>187758</t>
        </is>
      </c>
      <c r="B2129" s="2"/>
      <c r="C2129"/>
      <c r="D2129" s="3">
        <v>46128.57016203704</v>
      </c>
      <c r="E2129" t="inlineStr">
        <is>
          <t>Q2-W02</t>
        </is>
      </c>
      <c r="F2129" t="inlineStr">
        <is>
          <t>Alan KY</t>
        </is>
      </c>
      <c r="G2129" t="inlineStr">
        <is>
          <t>Customer</t>
        </is>
      </c>
      <c r="H2129" s="2" t="str">
        <f>=HYPERLINK("https://upbox.ajobthing.my/customer/187758", "https://upbox.ajobthing.my/customer/187758")</f>
        <v>https://upbox.ajobthing.my/customer/187758</v>
      </c>
      <c r="I2129" t="inlineStr">
        <is>
          <t>MBC Management Services</t>
        </is>
      </c>
      <c r="J2129" t="inlineStr">
        <is>
          <t>Whale</t>
        </is>
      </c>
      <c r="K2129" t="inlineStr">
        <is>
          <t>Alan KY</t>
        </is>
      </c>
      <c r="L2129" s="4"/>
      <c r="M2129" s="4">
        <v>46128.46150462963</v>
      </c>
      <c r="N2129"/>
      <c r="O2129">
        <v>3888</v>
      </c>
      <c r="P2129" s="4"/>
      <c r="Q2129" s="4">
        <v>46136.62747685185</v>
      </c>
      <c r="R2129"/>
      <c r="S2129">
        <v>3672</v>
      </c>
      <c r="T2129" s="4">
        <v>45939.494479166664</v>
      </c>
      <c r="U2129" s="4"/>
      <c r="V2129"/>
      <c r="W2129">
        <v>324</v>
      </c>
      <c r="X2129"/>
      <c r="Y2129" t="inlineStr">
        <is>
          <t>Pending Appointment</t>
        </is>
      </c>
      <c r="Z2129" t="inlineStr">
        <is>
          <t>Hiring Now</t>
        </is>
      </c>
      <c r="AA2129">
        <v>2</v>
      </c>
      <c r="AB2129" t="inlineStr">
        <is>
          <t>No Appointment Made</t>
        </is>
      </c>
      <c r="AC2129"/>
      <c r="AD2129" t="inlineStr">
        <is>
          <t xml:space="preserve">1 account 1 sales , selangor </t>
        </is>
      </c>
      <c r="AE2129"/>
      <c r="AF2129"/>
      <c r="AG2129" s="4"/>
      <c r="AH2129" s="4"/>
      <c r="AI2129"/>
      <c r="AJ2129"/>
      <c r="AK2129" t="inlineStr">
        <is>
          <t>No, I don't need at all</t>
        </is>
      </c>
      <c r="AL2129">
        <v>0</v>
      </c>
      <c r="AM2129" t="inlineStr">
        <is>
          <t>No, I don't need at all</t>
        </is>
      </c>
      <c r="AN2129"/>
      <c r="AO2129" t="inlineStr">
        <is>
          <t>No, I don't need at all</t>
        </is>
      </c>
      <c r="AP2129" t="inlineStr">
        <is>
          <t>Once per quarter (75%)</t>
        </is>
      </c>
      <c r="AQ2129"/>
      <c r="AR2129" t="inlineStr">
        <is>
          <t>Jobstreet</t>
        </is>
      </c>
      <c r="AS2129" t="inlineStr">
        <is>
          <t>- Headcount: 2
- Hiring Job Details: 1 account, 1 sales, Selangor
- Hiring Urgency: Hiring Now
- Number of outlets: N/A
- Have recruiter team: No, I don't need at all
- Number of recruiter in company: 0
- Have ATS system: No, I don't need at all
- Have career website: No, I don't need at all
- Current hiring budget: N/A
- Whole year budget: N/A
- Whole year number of vacancies: N/A
- Hiring frequency: Once per quarter (75%)
- External job portal: Jobstreet</t>
        </is>
      </c>
      <c r="AT2129">
        <v>95</v>
      </c>
      <c r="AU2129" t="inlineStr">
        <is>
          <t>0.95</t>
        </is>
      </c>
      <c r="AV2129" t="inlineStr">
        <is>
          <t>5</t>
        </is>
      </c>
      <c r="AW2129" t="inlineStr">
        <is>
          <t>0</t>
        </is>
      </c>
      <c r="AX2129" t="inlineStr">
        <is>
          <t>Not Qualified</t>
        </is>
      </c>
      <c r="AY2129" s="4"/>
      <c r="AZ2129"/>
      <c r="BA2129"/>
      <c r="BB2129"/>
      <c r="BC2129" t="inlineStr">
        <is>
          <t>assist client on job posting side</t>
        </is>
      </c>
      <c r="BD2129" s="4">
        <v>46142.7427662037</v>
      </c>
      <c r="BE2129" t="inlineStr">
        <is>
          <t>pending</t>
        </is>
      </c>
      <c r="BF2129"/>
      <c r="BG2129" t="inlineStr">
        <is>
          <t>Reschedule</t>
        </is>
      </c>
      <c r="BH2129" t="inlineStr">
        <is>
          <t>Reagen</t>
        </is>
      </c>
      <c r="BI2129" t="inlineStr">
        <is>
          <t>Food / Beverage</t>
        </is>
      </c>
      <c r="BJ2129" s="4">
        <v>46144.75219907407</v>
      </c>
      <c r="BK2129" s="4">
        <v>45705.562430555554</v>
      </c>
      <c r="BL2129" t="inlineStr">
        <is>
          <t>4644.0</t>
        </is>
      </c>
      <c r="BM2129" t="inlineStr">
        <is>
          <t>600.0</t>
        </is>
      </c>
      <c r="BN2129" t="inlineStr">
        <is>
          <t>View Company Page</t>
        </is>
      </c>
      <c r="BO2129" s="4">
        <v>46142.581400462965</v>
      </c>
      <c r="BP2129">
        <v>167338</v>
      </c>
      <c r="BQ2129">
        <v>123680</v>
      </c>
      <c r="BR2129" t="inlineStr">
        <is>
          <t>Proforma</t>
        </is>
      </c>
      <c r="BS2129" t="inlineStr">
        <is>
          <t>AI Yearly Standard Plan (Jan 26)</t>
        </is>
      </c>
      <c r="BT2129">
        <v>83146</v>
      </c>
      <c r="BU2129"/>
      <c r="BV2129">
        <v>2738462</v>
      </c>
      <c r="BW2129" t="inlineStr">
        <is>
          <t>Service / Technical : Job Outcome Enquiry</t>
        </is>
      </c>
      <c r="BX2129">
        <v>6</v>
      </c>
      <c r="BY2129">
        <v>0</v>
      </c>
      <c r="BZ2129" s="4">
        <v>46119.796481481484</v>
      </c>
      <c r="CA2129">
        <v>60</v>
      </c>
      <c r="CB2129">
        <v>60</v>
      </c>
      <c r="CC2129" s="4"/>
      <c r="CD2129" t="inlineStr">
        <is>
          <t>5</t>
        </is>
      </c>
      <c r="CE2129" t="inlineStr">
        <is>
          <t>0</t>
        </is>
      </c>
      <c r="CF2129" t="inlineStr">
        <is>
          <t>Q2-W02</t>
        </is>
      </c>
      <c r="CG2129" t="inlineStr">
        <is>
          <t>Q2-W04</t>
        </is>
      </c>
      <c r="CH2129"/>
      <c r="CI2129"/>
      <c r="CJ2129" t="inlineStr">
        <is>
          <t>Paid</t>
        </is>
      </c>
      <c r="CK2129" t="inlineStr">
        <is>
          <t>Eligible</t>
        </is>
      </c>
      <c r="CL2129"/>
      <c r="CM2129"/>
    </row>
    <row r="2130" ht="25.5" customHeight="1">
      <c r="A2130" t="inlineStr">
        <is>
          <t>199002</t>
        </is>
      </c>
      <c r="B2130" s="2"/>
      <c r="C2130"/>
      <c r="D2130" s="3">
        <v>46128.6016087963</v>
      </c>
      <c r="E2130" t="inlineStr">
        <is>
          <t>Q2-W02</t>
        </is>
      </c>
      <c r="F2130" t="inlineStr">
        <is>
          <t>Angel  Low</t>
        </is>
      </c>
      <c r="G2130" t="inlineStr">
        <is>
          <t>Customer</t>
        </is>
      </c>
      <c r="H2130" s="2" t="str">
        <f>=HYPERLINK("https://upbox.ajobthing.my/customer/199002", "https://upbox.ajobthing.my/customer/199002")</f>
        <v>https://upbox.ajobthing.my/customer/199002</v>
      </c>
      <c r="I2130" t="inlineStr">
        <is>
          <t>Yuu Marketing Sdn. Bhd.	</t>
        </is>
      </c>
      <c r="J2130" t="inlineStr">
        <is>
          <t>Whale</t>
        </is>
      </c>
      <c r="K2130" t="inlineStr">
        <is>
          <t>Angel Low</t>
        </is>
      </c>
      <c r="L2130" s="4"/>
      <c r="M2130" s="4">
        <v>46128.60208333333</v>
      </c>
      <c r="N2130"/>
      <c r="O2130">
        <v>3240</v>
      </c>
      <c r="P2130" s="4"/>
      <c r="Q2130" s="4">
        <v>45995.435219907406</v>
      </c>
      <c r="R2130"/>
      <c r="S2130">
        <v>5832</v>
      </c>
      <c r="T2130" s="4">
        <v>45995.435219907406</v>
      </c>
      <c r="U2130" s="4"/>
      <c r="V2130"/>
      <c r="W2130">
        <v>5832</v>
      </c>
      <c r="X2130"/>
      <c r="Y2130" t="inlineStr">
        <is>
          <t>Pending Appointment</t>
        </is>
      </c>
      <c r="Z2130"/>
      <c r="AA2130">
        <v>1</v>
      </c>
      <c r="AB2130" t="inlineStr">
        <is>
          <t>No Appointment Made</t>
        </is>
      </c>
      <c r="AC2130"/>
      <c r="AD2130" t="inlineStr">
        <is>
          <t xml:space="preserve">livehost </t>
        </is>
      </c>
      <c r="AE2130"/>
      <c r="AF2130"/>
      <c r="AG2130" s="4"/>
      <c r="AH2130" s="4"/>
      <c r="AI2130"/>
      <c r="AJ2130"/>
      <c r="AK2130"/>
      <c r="AL2130"/>
      <c r="AM2130"/>
      <c r="AN2130"/>
      <c r="AO2130"/>
      <c r="AP2130"/>
      <c r="AQ2130"/>
      <c r="AR2130"/>
      <c r="AS2130" t="inlineStr">
        <is>
          <t>- Headcount: 1
- Hiring Job Details: livehost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130">
        <v>60</v>
      </c>
      <c r="AU2130" t="inlineStr">
        <is>
          <t>0.60</t>
        </is>
      </c>
      <c r="AV2130" t="inlineStr">
        <is>
          <t>5</t>
        </is>
      </c>
      <c r="AW2130" t="inlineStr">
        <is>
          <t>0</t>
        </is>
      </c>
      <c r="AX2130" t="inlineStr">
        <is>
          <t>Not Qualified</t>
        </is>
      </c>
      <c r="AY2130" s="4"/>
      <c r="AZ2130"/>
      <c r="BA2130"/>
      <c r="BB2130"/>
      <c r="BC2130" t="inlineStr">
        <is>
          <t>pending</t>
        </is>
      </c>
      <c r="BD2130" s="4">
        <v>46133.405636574076</v>
      </c>
      <c r="BE2130" t="inlineStr">
        <is>
          <t>paid</t>
        </is>
      </c>
      <c r="BF2130"/>
      <c r="BG2130" t="inlineStr">
        <is>
          <t>Reschedule</t>
        </is>
      </c>
      <c r="BH2130" t="inlineStr">
        <is>
          <t>Fauziah Maharan</t>
        </is>
      </c>
      <c r="BI2130" t="inlineStr">
        <is>
          <t>Advertising / Marketing</t>
        </is>
      </c>
      <c r="BJ2130" s="4">
        <v>46144.75320601852</v>
      </c>
      <c r="BK2130" s="4">
        <v>45994.74439814815</v>
      </c>
      <c r="BL2130" t="inlineStr">
        <is>
          <t>5832.0</t>
        </is>
      </c>
      <c r="BM2130" t="inlineStr">
        <is>
          <t>0.0</t>
        </is>
      </c>
      <c r="BN2130" t="inlineStr">
        <is>
          <t>View Company Page</t>
        </is>
      </c>
      <c r="BO2130" s="4">
        <v>46142.79914351852</v>
      </c>
      <c r="BP2130">
        <v>167405</v>
      </c>
      <c r="BQ2130">
        <v>84703</v>
      </c>
      <c r="BR2130" t="inlineStr">
        <is>
          <t>Online</t>
        </is>
      </c>
      <c r="BS2130"/>
      <c r="BT2130">
        <v>84703</v>
      </c>
      <c r="BU2130"/>
      <c r="BV2130">
        <v>2716921</v>
      </c>
      <c r="BW2130" t="inlineStr">
        <is>
          <t>Follow Up : Budget Concern</t>
        </is>
      </c>
      <c r="BX2130">
        <v>12</v>
      </c>
      <c r="BY2130">
        <v>8</v>
      </c>
      <c r="BZ2130" s="4">
        <v>46132.485347222224</v>
      </c>
      <c r="CA2130">
        <v>120</v>
      </c>
      <c r="CB2130">
        <v>0</v>
      </c>
      <c r="CC2130" s="4">
        <v>46098.659108796295</v>
      </c>
      <c r="CD2130" t="inlineStr">
        <is>
          <t>5</t>
        </is>
      </c>
      <c r="CE2130" t="inlineStr">
        <is>
          <t>0</t>
        </is>
      </c>
      <c r="CF2130" t="inlineStr">
        <is>
          <t>Q2-W02</t>
        </is>
      </c>
      <c r="CG2130"/>
      <c r="CH2130"/>
      <c r="CI2130"/>
      <c r="CJ2130" t="inlineStr">
        <is>
          <t>Paid</t>
        </is>
      </c>
      <c r="CK2130" t="inlineStr">
        <is>
          <t>Eligible</t>
        </is>
      </c>
      <c r="CL2130"/>
      <c r="CM2130"/>
    </row>
    <row r="2131" ht="25.5" customHeight="1">
      <c r="A2131" t="inlineStr">
        <is>
          <t>143157</t>
        </is>
      </c>
      <c r="B2131" s="2"/>
      <c r="C2131"/>
      <c r="D2131" s="3">
        <v>46128.61032407408</v>
      </c>
      <c r="E2131" t="inlineStr">
        <is>
          <t>Q2-W02</t>
        </is>
      </c>
      <c r="F2131" t="inlineStr">
        <is>
          <t>Josh</t>
        </is>
      </c>
      <c r="G2131" t="inlineStr">
        <is>
          <t>Customer</t>
        </is>
      </c>
      <c r="H2131" s="2" t="str">
        <f>=HYPERLINK("https://upbox.ajobthing.my/customer/143157", "https://upbox.ajobthing.my/customer/143157")</f>
        <v>https://upbox.ajobthing.my/customer/143157</v>
      </c>
      <c r="I2131" t="inlineStr">
        <is>
          <t>K&amp;K Gypsum Marketing Sdn Bhd</t>
        </is>
      </c>
      <c r="J2131" t="inlineStr">
        <is>
          <t>Whale</t>
        </is>
      </c>
      <c r="K2131" t="inlineStr">
        <is>
          <t>Josh</t>
        </is>
      </c>
      <c r="L2131" s="4"/>
      <c r="M2131" s="4">
        <v>46128.61119212963</v>
      </c>
      <c r="N2131"/>
      <c r="O2131">
        <v>3672</v>
      </c>
      <c r="P2131" s="4"/>
      <c r="Q2131" s="4">
        <v>46132.7550462963</v>
      </c>
      <c r="R2131"/>
      <c r="S2131">
        <v>3672</v>
      </c>
      <c r="T2131" s="4">
        <v>46132.7550462963</v>
      </c>
      <c r="U2131" s="4"/>
      <c r="V2131"/>
      <c r="W2131">
        <v>3672</v>
      </c>
      <c r="X2131"/>
      <c r="Y2131" t="inlineStr">
        <is>
          <t>Pending Appointment</t>
        </is>
      </c>
      <c r="Z2131" t="inlineStr">
        <is>
          <t>Hiring Now</t>
        </is>
      </c>
      <c r="AA2131">
        <v>1</v>
      </c>
      <c r="AB2131" t="inlineStr">
        <is>
          <t>No Appointment Made</t>
        </is>
      </c>
      <c r="AC2131"/>
      <c r="AD2131" t="inlineStr">
        <is>
          <t xml:space="preserve">1 lorry driver </t>
        </is>
      </c>
      <c r="AE2131"/>
      <c r="AF2131">
        <v>3000</v>
      </c>
      <c r="AG2131" s="4"/>
      <c r="AH2131" s="4"/>
      <c r="AI2131"/>
      <c r="AJ2131"/>
      <c r="AK2131"/>
      <c r="AL2131"/>
      <c r="AM2131"/>
      <c r="AN2131"/>
      <c r="AO2131"/>
      <c r="AP2131" t="inlineStr">
        <is>
          <t>Once a year (25%)</t>
        </is>
      </c>
      <c r="AQ2131"/>
      <c r="AR2131"/>
      <c r="AS2131" t="inlineStr">
        <is>
          <t>- Headcount: 1
- Hiring Job Details: 1 lorry driver
- Hiring Urgency: Hiring Now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2131">
        <v>95</v>
      </c>
      <c r="AU2131" t="inlineStr">
        <is>
          <t>0.95</t>
        </is>
      </c>
      <c r="AV2131" t="inlineStr">
        <is>
          <t>15</t>
        </is>
      </c>
      <c r="AW2131" t="inlineStr">
        <is>
          <t>0</t>
        </is>
      </c>
      <c r="AX2131" t="inlineStr">
        <is>
          <t>Not Qualified</t>
        </is>
      </c>
      <c r="AY2131" s="4"/>
      <c r="AZ2131"/>
      <c r="BA2131"/>
      <c r="BB2131"/>
      <c r="BC2131" t="inlineStr">
        <is>
          <t>go for 6 jobs</t>
        </is>
      </c>
      <c r="BD2131" s="4">
        <v>46132.655856481484</v>
      </c>
      <c r="BE2131" t="inlineStr">
        <is>
          <t>paid</t>
        </is>
      </c>
      <c r="BF2131" t="inlineStr">
        <is>
          <t>Q2-W03</t>
        </is>
      </c>
      <c r="BG2131" t="inlineStr">
        <is>
          <t>Reschedule</t>
        </is>
      </c>
      <c r="BH2131" t="inlineStr">
        <is>
          <t>Fauziah Maharan</t>
        </is>
      </c>
      <c r="BI2131" t="inlineStr">
        <is>
          <t>Construction / Building</t>
        </is>
      </c>
      <c r="BJ2131" s="4">
        <v>46144.75069444445</v>
      </c>
      <c r="BK2131" s="4">
        <v>44501.8906712963</v>
      </c>
      <c r="BL2131" t="inlineStr">
        <is>
          <t>4968.0</t>
        </is>
      </c>
      <c r="BM2131" t="inlineStr">
        <is>
          <t>0.0</t>
        </is>
      </c>
      <c r="BN2131" t="inlineStr">
        <is>
          <t>User Visit(Logged In)</t>
        </is>
      </c>
      <c r="BO2131" s="4">
        <v>46137.89053240741</v>
      </c>
      <c r="BP2131">
        <v>167413</v>
      </c>
      <c r="BQ2131">
        <v>94444</v>
      </c>
      <c r="BR2131" t="inlineStr">
        <is>
          <t>Online</t>
        </is>
      </c>
      <c r="BS2131"/>
      <c r="BT2131">
        <v>94444</v>
      </c>
      <c r="BU2131"/>
      <c r="BV2131">
        <v>2716106</v>
      </c>
      <c r="BW2131" t="inlineStr">
        <is>
          <t>Follow Up : Invoice Sent 75%</t>
        </is>
      </c>
      <c r="BX2131">
        <v>6</v>
      </c>
      <c r="BY2131">
        <v>5</v>
      </c>
      <c r="BZ2131" s="4">
        <v>46133.50541666667</v>
      </c>
      <c r="CA2131">
        <v>60</v>
      </c>
      <c r="CB2131">
        <v>57</v>
      </c>
      <c r="CC2131" s="4">
        <v>46133.72457175926</v>
      </c>
      <c r="CD2131" t="inlineStr">
        <is>
          <t>20</t>
        </is>
      </c>
      <c r="CE2131" t="inlineStr">
        <is>
          <t>0</t>
        </is>
      </c>
      <c r="CF2131" t="inlineStr">
        <is>
          <t>Q2-W02</t>
        </is>
      </c>
      <c r="CG2131" t="inlineStr">
        <is>
          <t>Q2-W03</t>
        </is>
      </c>
      <c r="CH2131" t="inlineStr">
        <is>
          <t>Q2-W03</t>
        </is>
      </c>
      <c r="CI2131"/>
      <c r="CJ2131" t="inlineStr">
        <is>
          <t>Paid</t>
        </is>
      </c>
      <c r="CK2131" t="inlineStr">
        <is>
          <t>Eligible</t>
        </is>
      </c>
      <c r="CL2131"/>
      <c r="CM2131"/>
    </row>
    <row r="2132" ht="25.5" customHeight="1">
      <c r="A2132" t="inlineStr">
        <is>
          <t>187374</t>
        </is>
      </c>
      <c r="B2132" s="2"/>
      <c r="C2132"/>
      <c r="D2132" s="3">
        <v>46128.62542824074</v>
      </c>
      <c r="E2132" t="inlineStr">
        <is>
          <t>Q2-W02</t>
        </is>
      </c>
      <c r="F2132" t="inlineStr">
        <is>
          <t>Josh</t>
        </is>
      </c>
      <c r="G2132" t="inlineStr">
        <is>
          <t>Customer</t>
        </is>
      </c>
      <c r="H2132" s="2" t="str">
        <f>=HYPERLINK("https://upbox.ajobthing.my/customer/187374", "https://upbox.ajobthing.my/customer/187374")</f>
        <v>https://upbox.ajobthing.my/customer/187374</v>
      </c>
      <c r="I2132" t="inlineStr">
        <is>
          <t>Flex Precision Manufacturing (Malaysia) Sdn. Bhd.</t>
        </is>
      </c>
      <c r="J2132" t="inlineStr">
        <is>
          <t>Whale</t>
        </is>
      </c>
      <c r="K2132" t="inlineStr">
        <is>
          <t>Josh</t>
        </is>
      </c>
      <c r="L2132" s="4"/>
      <c r="M2132" s="4">
        <v>46139.59395833333</v>
      </c>
      <c r="N2132"/>
      <c r="O2132">
        <v>9180</v>
      </c>
      <c r="P2132" s="4"/>
      <c r="Q2132" s="4">
        <v>46128.57844907408</v>
      </c>
      <c r="R2132"/>
      <c r="S2132">
        <v>0</v>
      </c>
      <c r="T2132" s="4">
        <v>45712.607199074075</v>
      </c>
      <c r="U2132" s="4"/>
      <c r="V2132"/>
      <c r="W2132">
        <v>8650.8</v>
      </c>
      <c r="X2132"/>
      <c r="Y2132" t="inlineStr">
        <is>
          <t>Pending Appointment</t>
        </is>
      </c>
      <c r="Z2132" t="inlineStr">
        <is>
          <t>Hiring Now</t>
        </is>
      </c>
      <c r="AA2132">
        <v>1</v>
      </c>
      <c r="AB2132" t="inlineStr">
        <is>
          <t>No Appointment Made</t>
        </is>
      </c>
      <c r="AC2132"/>
      <c r="AD2132" t="inlineStr">
        <is>
          <t xml:space="preserve">1 manager </t>
        </is>
      </c>
      <c r="AE2132"/>
      <c r="AF2132">
        <v>3000</v>
      </c>
      <c r="AG2132" s="4"/>
      <c r="AH2132" s="4"/>
      <c r="AI2132"/>
      <c r="AJ2132"/>
      <c r="AK2132" t="inlineStr">
        <is>
          <t>Yes, I have</t>
        </is>
      </c>
      <c r="AL2132"/>
      <c r="AM2132"/>
      <c r="AN2132"/>
      <c r="AO2132"/>
      <c r="AP2132" t="inlineStr">
        <is>
          <t>Once a year (25%)</t>
        </is>
      </c>
      <c r="AQ2132"/>
      <c r="AR2132"/>
      <c r="AS2132" t="inlineStr">
        <is>
          <t>- Headcount: 1
- Hiring Job Details: 1 manager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2132">
        <v>75</v>
      </c>
      <c r="AU2132" t="inlineStr">
        <is>
          <t>0.75</t>
        </is>
      </c>
      <c r="AV2132" t="inlineStr">
        <is>
          <t>15</t>
        </is>
      </c>
      <c r="AW2132" t="inlineStr">
        <is>
          <t>0</t>
        </is>
      </c>
      <c r="AX2132" t="inlineStr">
        <is>
          <t>Not Qualified</t>
        </is>
      </c>
      <c r="AY2132" s="4"/>
      <c r="AZ2132"/>
      <c r="BA2132"/>
      <c r="BB2132"/>
      <c r="BC2132" t="inlineStr">
        <is>
          <t>- Headcount: 1
- Hiring Job Details: 1 engineer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Every month (100%)
- External job portal: Not provided
- Hiring Urgency: Continuous Hiring</t>
        </is>
      </c>
      <c r="BD2132" s="4">
        <v>46139.62505787037</v>
      </c>
      <c r="BE2132" t="inlineStr">
        <is>
          <t>paid</t>
        </is>
      </c>
      <c r="BF2132"/>
      <c r="BG2132" t="inlineStr">
        <is>
          <t>Reschedule</t>
        </is>
      </c>
      <c r="BH2132" t="inlineStr">
        <is>
          <t>Fauziah Maharan</t>
        </is>
      </c>
      <c r="BI2132" t="inlineStr">
        <is>
          <t>Manufacturing / Production</t>
        </is>
      </c>
      <c r="BJ2132" s="4">
        <v>46144.752175925925</v>
      </c>
      <c r="BK2132" s="4">
        <v>45695.407060185185</v>
      </c>
      <c r="BL2132" t="inlineStr">
        <is>
          <t>0.0</t>
        </is>
      </c>
      <c r="BM2132" t="inlineStr">
        <is>
          <t>450.0</t>
        </is>
      </c>
      <c r="BN2132" t="inlineStr">
        <is>
          <t>PA Visit - Job Card</t>
        </is>
      </c>
      <c r="BO2132" s="4">
        <v>46139.71952546296</v>
      </c>
      <c r="BP2132">
        <v>169029</v>
      </c>
      <c r="BQ2132">
        <v>122713</v>
      </c>
      <c r="BR2132" t="inlineStr">
        <is>
          <t>Proforma</t>
        </is>
      </c>
      <c r="BS2132" t="inlineStr">
        <is>
          <t>Free High Pay Job</t>
        </is>
      </c>
      <c r="BT2132">
        <v>77064</v>
      </c>
      <c r="BU2132"/>
      <c r="BV2132">
        <v>2730118</v>
      </c>
      <c r="BW2132" t="inlineStr">
        <is>
          <t>Customer Inquiry</t>
        </is>
      </c>
      <c r="BX2132"/>
      <c r="BY2132"/>
      <c r="BZ2132" s="4"/>
      <c r="CA2132">
        <v>10</v>
      </c>
      <c r="CB2132">
        <v>7</v>
      </c>
      <c r="CC2132" s="4">
        <v>46126.884467592594</v>
      </c>
      <c r="CD2132" t="inlineStr">
        <is>
          <t>20</t>
        </is>
      </c>
      <c r="CE2132" t="inlineStr">
        <is>
          <t>0</t>
        </is>
      </c>
      <c r="CF2132" t="inlineStr">
        <is>
          <t>Q2-W04</t>
        </is>
      </c>
      <c r="CG2132" t="inlineStr">
        <is>
          <t>Q2-W02</t>
        </is>
      </c>
      <c r="CH2132"/>
      <c r="CI2132"/>
      <c r="CJ2132" t="inlineStr">
        <is>
          <t>Paid</t>
        </is>
      </c>
      <c r="CK2132" t="inlineStr">
        <is>
          <t>Eligible</t>
        </is>
      </c>
      <c r="CL2132"/>
      <c r="CM2132"/>
    </row>
    <row r="2133" ht="25.5" customHeight="1">
      <c r="A2133" t="inlineStr">
        <is>
          <t>146489</t>
        </is>
      </c>
      <c r="B2133" s="2"/>
      <c r="C2133"/>
      <c r="D2133" s="3">
        <v>46128.63916666667</v>
      </c>
      <c r="E2133" t="inlineStr">
        <is>
          <t>Q2-W02</t>
        </is>
      </c>
      <c r="F2133" t="inlineStr">
        <is>
          <t>Jess</t>
        </is>
      </c>
      <c r="G2133" t="inlineStr">
        <is>
          <t>Customer</t>
        </is>
      </c>
      <c r="H2133" s="2" t="str">
        <f>=HYPERLINK("https://upbox.ajobthing.my/customer/146489", "https://upbox.ajobthing.my/customer/146489")</f>
        <v>https://upbox.ajobthing.my/customer/146489</v>
      </c>
      <c r="I2133" t="inlineStr">
        <is>
          <t>Basset Sdn Bhd</t>
        </is>
      </c>
      <c r="J2133" t="inlineStr">
        <is>
          <t>Whale</t>
        </is>
      </c>
      <c r="K2133" t="inlineStr">
        <is>
          <t>Jess Lim</t>
        </is>
      </c>
      <c r="L2133" s="4"/>
      <c r="M2133" s="4">
        <v>46134.525983796295</v>
      </c>
      <c r="N2133"/>
      <c r="O2133">
        <v>5832</v>
      </c>
      <c r="P2133" s="4"/>
      <c r="Q2133" s="4">
        <v>46142.374456018515</v>
      </c>
      <c r="R2133"/>
      <c r="S2133">
        <v>5832</v>
      </c>
      <c r="T2133" s="4">
        <v>46142.374456018515</v>
      </c>
      <c r="U2133" s="4"/>
      <c r="V2133"/>
      <c r="W2133">
        <v>5832</v>
      </c>
      <c r="X2133"/>
      <c r="Y2133" t="inlineStr">
        <is>
          <t>Pending Appointment</t>
        </is>
      </c>
      <c r="Z2133" t="inlineStr">
        <is>
          <t>Hiring Now</t>
        </is>
      </c>
      <c r="AA2133">
        <v>1</v>
      </c>
      <c r="AB2133" t="inlineStr">
        <is>
          <t>No Appointment Made</t>
        </is>
      </c>
      <c r="AC2133"/>
      <c r="AD2133" t="inlineStr">
        <is>
          <t>customer service</t>
        </is>
      </c>
      <c r="AE2133"/>
      <c r="AF2133">
        <v>5600</v>
      </c>
      <c r="AG2133" s="4"/>
      <c r="AH2133" s="4"/>
      <c r="AI2133"/>
      <c r="AJ2133"/>
      <c r="AK2133" t="inlineStr">
        <is>
          <t>No, I don't need at all</t>
        </is>
      </c>
      <c r="AL2133">
        <v>1</v>
      </c>
      <c r="AM2133" t="inlineStr">
        <is>
          <t>No, I don't need at all</t>
        </is>
      </c>
      <c r="AN2133"/>
      <c r="AO2133" t="inlineStr">
        <is>
          <t>No, I don't need at all</t>
        </is>
      </c>
      <c r="AP2133" t="inlineStr">
        <is>
          <t>Once a year (25%)</t>
        </is>
      </c>
      <c r="AQ2133"/>
      <c r="AR2133" t="inlineStr">
        <is>
          <t>Jobstreet</t>
        </is>
      </c>
      <c r="AS2133" t="inlineStr">
        <is>
          <t>- Headcount: 1
- Hiring Job Details: customer service
- Hiring Urgency: Hiring Now
- Number of outlets: Not provided
- Have recruiter team: No, I don't need at all
- Number of recruiter in company: 1
- Have ATS system: No, I don't need at all
- Have career website: No, I don't need at all
- Current hiring budget: RM5,600.00
- Whole year budget: Not provided
- Whole year number of vacancies: Not provided
- Hiring frequency: Once a year (25%)
- External job portal: Jobstreet</t>
        </is>
      </c>
      <c r="AT2133">
        <v>95</v>
      </c>
      <c r="AU2133" t="inlineStr">
        <is>
          <t>0.95</t>
        </is>
      </c>
      <c r="AV2133" t="inlineStr">
        <is>
          <t>15</t>
        </is>
      </c>
      <c r="AW2133" t="inlineStr">
        <is>
          <t>0</t>
        </is>
      </c>
      <c r="AX2133" t="inlineStr">
        <is>
          <t>Not Qualified</t>
        </is>
      </c>
      <c r="AY2133" s="4"/>
      <c r="AZ2133"/>
      <c r="BA2133"/>
      <c r="BB2133"/>
      <c r="BC2133" t="inlineStr">
        <is>
          <t>paid</t>
        </is>
      </c>
      <c r="BD2133" s="4">
        <v>46142.40962962963</v>
      </c>
      <c r="BE2133" t="inlineStr">
        <is>
          <t>paid</t>
        </is>
      </c>
      <c r="BF2133" t="inlineStr">
        <is>
          <t>Q2-W04</t>
        </is>
      </c>
      <c r="BG2133" t="inlineStr">
        <is>
          <t>Reschedule</t>
        </is>
      </c>
      <c r="BH2133" t="inlineStr">
        <is>
          <t>Fauziah Maharan</t>
        </is>
      </c>
      <c r="BI2133"/>
      <c r="BJ2133" s="4">
        <v>46144.75077546296</v>
      </c>
      <c r="BK2133" s="4">
        <v>44564.690405092595</v>
      </c>
      <c r="BL2133" t="inlineStr">
        <is>
          <t>5832.0</t>
        </is>
      </c>
      <c r="BM2133" t="inlineStr">
        <is>
          <t>0.0</t>
        </is>
      </c>
      <c r="BN2133" t="inlineStr">
        <is>
          <t>User Visit(Logged In)</t>
        </is>
      </c>
      <c r="BO2133" s="4">
        <v>46142.410462962966</v>
      </c>
      <c r="BP2133">
        <v>168285</v>
      </c>
      <c r="BQ2133">
        <v>7675</v>
      </c>
      <c r="BR2133" t="inlineStr">
        <is>
          <t>Manual (Paid)</t>
        </is>
      </c>
      <c r="BS2133" t="inlineStr">
        <is>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t>
        </is>
      </c>
      <c r="BT2133">
        <v>7675</v>
      </c>
      <c r="BU2133"/>
      <c r="BV2133">
        <v>2736583</v>
      </c>
      <c r="BW2133" t="inlineStr">
        <is>
          <t>Follow Up : Win - Customer Paid</t>
        </is>
      </c>
      <c r="BX2133">
        <v>16</v>
      </c>
      <c r="BY2133">
        <v>16</v>
      </c>
      <c r="BZ2133" s="4"/>
      <c r="CA2133">
        <v>160</v>
      </c>
      <c r="CB2133">
        <v>160</v>
      </c>
      <c r="CC2133" s="4"/>
      <c r="CD2133" t="inlineStr">
        <is>
          <t>20</t>
        </is>
      </c>
      <c r="CE2133" t="inlineStr">
        <is>
          <t>0</t>
        </is>
      </c>
      <c r="CF2133" t="inlineStr">
        <is>
          <t>Q2-W03</t>
        </is>
      </c>
      <c r="CG2133" t="inlineStr">
        <is>
          <t>Q2-W04</t>
        </is>
      </c>
      <c r="CH2133" t="inlineStr">
        <is>
          <t>Q2-W04</t>
        </is>
      </c>
      <c r="CI2133"/>
      <c r="CJ2133" t="inlineStr">
        <is>
          <t>Paid</t>
        </is>
      </c>
      <c r="CK2133" t="inlineStr">
        <is>
          <t>Eligible</t>
        </is>
      </c>
      <c r="CL2133"/>
      <c r="CM2133"/>
    </row>
    <row r="2134" ht="25.5" customHeight="1">
      <c r="A2134" t="inlineStr">
        <is>
          <t>159025</t>
        </is>
      </c>
      <c r="B2134" s="2"/>
      <c r="C2134"/>
      <c r="D2134" s="3">
        <v>46128.663518518515</v>
      </c>
      <c r="E2134" t="inlineStr">
        <is>
          <t>Q2-W02</t>
        </is>
      </c>
      <c r="F2134" t="inlineStr">
        <is>
          <t>Alex Chan</t>
        </is>
      </c>
      <c r="G2134" t="inlineStr">
        <is>
          <t>Customer</t>
        </is>
      </c>
      <c r="H2134" s="2" t="str">
        <f>=HYPERLINK("https://upbox.ajobthing.my/customer/159025", "https://upbox.ajobthing.my/customer/159025")</f>
        <v>https://upbox.ajobthing.my/customer/159025</v>
      </c>
      <c r="I2134" t="inlineStr">
        <is>
          <t>Cardbiz Payment Services Sdn. Bhd.</t>
        </is>
      </c>
      <c r="J2134" t="inlineStr">
        <is>
          <t>Whale</t>
        </is>
      </c>
      <c r="K2134" t="inlineStr">
        <is>
          <t>Alex Chan</t>
        </is>
      </c>
      <c r="L2134" s="4"/>
      <c r="M2134" s="4">
        <v>46132.39275462963</v>
      </c>
      <c r="N2134"/>
      <c r="O2134">
        <v>16416</v>
      </c>
      <c r="P2134" s="4"/>
      <c r="Q2134" s="4">
        <v>45930.402233796296</v>
      </c>
      <c r="R2134"/>
      <c r="S2134">
        <v>5400</v>
      </c>
      <c r="T2134" s="4">
        <v>45930.402233796296</v>
      </c>
      <c r="U2134" s="4"/>
      <c r="V2134"/>
      <c r="W2134">
        <v>5400</v>
      </c>
      <c r="X2134"/>
      <c r="Y2134" t="inlineStr">
        <is>
          <t>Pending Appointment</t>
        </is>
      </c>
      <c r="Z2134" t="inlineStr">
        <is>
          <t>Continuous Hiring</t>
        </is>
      </c>
      <c r="AA2134">
        <v>6</v>
      </c>
      <c r="AB2134" t="inlineStr">
        <is>
          <t>No Appointment Made</t>
        </is>
      </c>
      <c r="AC2134"/>
      <c r="AD2134" t="inlineStr">
        <is>
          <t xml:space="preserve"> 1x Admin, 5x BD </t>
        </is>
      </c>
      <c r="AE2134"/>
      <c r="AF2134">
        <v>6000</v>
      </c>
      <c r="AG2134" s="4"/>
      <c r="AH2134" s="4"/>
      <c r="AI2134">
        <v>6000</v>
      </c>
      <c r="AJ2134">
        <v>1</v>
      </c>
      <c r="AK2134" t="inlineStr">
        <is>
          <t>No, I don't need at all</t>
        </is>
      </c>
      <c r="AL2134">
        <v>2</v>
      </c>
      <c r="AM2134" t="inlineStr">
        <is>
          <t>No, I don't need at all</t>
        </is>
      </c>
      <c r="AN2134"/>
      <c r="AO2134" t="inlineStr">
        <is>
          <t>No, I don't need at all</t>
        </is>
      </c>
      <c r="AP2134" t="inlineStr">
        <is>
          <t>Once a year (25%)</t>
        </is>
      </c>
      <c r="AQ2134">
        <v>1</v>
      </c>
      <c r="AR2134" t="inlineStr">
        <is>
          <t>Jobstreet</t>
        </is>
      </c>
      <c r="AS2134" t="inlineStr">
        <is>
          <t>- Headcount: 6
- Hiring Job Details: 1x Admin, 5x BD
- Hiring Urgency: Continuous Hiring
- Number of outlets: 1
- Have recruiter team: No, I don't need at all
- Number of recruiter in company: 2
- Have ATS system: No, I don't need at all
- Have career website: No, I don't need at all
- Current hiring budget: RM6,000
- Whole year budget: RM6,000.00
- Whole year number of vacancies: 1
- Hiring frequency: Once a year (25%)
- External job portal: Jobstreet</t>
        </is>
      </c>
      <c r="AT2134">
        <v>95</v>
      </c>
      <c r="AU2134" t="inlineStr">
        <is>
          <t>0.95</t>
        </is>
      </c>
      <c r="AV2134" t="inlineStr">
        <is>
          <t>20</t>
        </is>
      </c>
      <c r="AW2134" t="inlineStr">
        <is>
          <t>0</t>
        </is>
      </c>
      <c r="AX2134" t="inlineStr">
        <is>
          <t>Not Qualified</t>
        </is>
      </c>
      <c r="AY2134" s="4"/>
      <c r="AZ2134"/>
      <c r="BA2134"/>
      <c r="BB2134"/>
      <c r="BC2134" t="inlineStr">
        <is>
          <t>- Called - Explained the Package</t>
        </is>
      </c>
      <c r="BD2134" s="4">
        <v>46134.39828703704</v>
      </c>
      <c r="BE2134" t="inlineStr">
        <is>
          <t>paid</t>
        </is>
      </c>
      <c r="BF2134"/>
      <c r="BG2134" t="inlineStr">
        <is>
          <t>Reschedule</t>
        </is>
      </c>
      <c r="BH2134" t="inlineStr">
        <is>
          <t>Reagen</t>
        </is>
      </c>
      <c r="BI2134" t="inlineStr">
        <is>
          <t>IT / Hardware</t>
        </is>
      </c>
      <c r="BJ2134" s="4">
        <v>46144.751064814816</v>
      </c>
      <c r="BK2134" s="4">
        <v>44798.61146990741</v>
      </c>
      <c r="BL2134" t="inlineStr">
        <is>
          <t>11232.0</t>
        </is>
      </c>
      <c r="BM2134" t="inlineStr">
        <is>
          <t>600.0</t>
        </is>
      </c>
      <c r="BN2134" t="inlineStr">
        <is>
          <t>View Company Page</t>
        </is>
      </c>
      <c r="BO2134" s="4">
        <v>46135.74502314815</v>
      </c>
      <c r="BP2134">
        <v>167737</v>
      </c>
      <c r="BQ2134">
        <v>6460</v>
      </c>
      <c r="BR2134" t="inlineStr">
        <is>
          <t>Manual (Paid)</t>
        </is>
      </c>
      <c r="BS2134" t="inlineStr">
        <is>
          <t>Job Slot SME
- Job Slot SME of 2 Job Slot + 1 Free Job Slot
- 3 Job Slot will be published on Maukerja, Ricebowl, and our partner platforms
- 3 Job Slot will be published for 1 year
- 200 People Search
- Premium Company Page for 12 months
- Package valid for 12 months
- 3 Free Upgrade to Premium Job Ad
- Free Company Page Consultation
- Extra 20 Resume Search 
- 8 Internship Job Posting in Total</t>
        </is>
      </c>
      <c r="BT2134">
        <v>6460</v>
      </c>
      <c r="BU2134"/>
      <c r="BV2134">
        <v>2719391</v>
      </c>
      <c r="BW2134" t="inlineStr">
        <is>
          <t>Follow Up : Decision Pending</t>
        </is>
      </c>
      <c r="BX2134">
        <v>6</v>
      </c>
      <c r="BY2134">
        <v>-24</v>
      </c>
      <c r="BZ2134" s="4">
        <v>46108.49940972222</v>
      </c>
      <c r="CA2134">
        <v>490</v>
      </c>
      <c r="CB2134">
        <v>471</v>
      </c>
      <c r="CC2134" s="4">
        <v>46135.69008101852</v>
      </c>
      <c r="CD2134" t="inlineStr">
        <is>
          <t>30</t>
        </is>
      </c>
      <c r="CE2134" t="inlineStr">
        <is>
          <t>0</t>
        </is>
      </c>
      <c r="CF2134" t="inlineStr">
        <is>
          <t>Q2-W03</t>
        </is>
      </c>
      <c r="CG2134"/>
      <c r="CH2134"/>
      <c r="CI2134"/>
      <c r="CJ2134" t="inlineStr">
        <is>
          <t>Paid</t>
        </is>
      </c>
      <c r="CK2134" t="inlineStr">
        <is>
          <t>Eligible</t>
        </is>
      </c>
      <c r="CL2134"/>
      <c r="CM2134"/>
    </row>
    <row r="2135" ht="25.5" customHeight="1">
      <c r="A2135" t="inlineStr">
        <is>
          <t>143450</t>
        </is>
      </c>
      <c r="B2135" s="2"/>
      <c r="C2135"/>
      <c r="D2135" s="3">
        <v>46128.66369212963</v>
      </c>
      <c r="E2135" t="inlineStr">
        <is>
          <t>Q2-W02</t>
        </is>
      </c>
      <c r="F2135" t="inlineStr">
        <is>
          <t>Alan KY</t>
        </is>
      </c>
      <c r="G2135" t="inlineStr">
        <is>
          <t>Customer</t>
        </is>
      </c>
      <c r="H2135" s="2" t="str">
        <f>=HYPERLINK("https://upbox.ajobthing.my/customer/143450", "https://upbox.ajobthing.my/customer/143450")</f>
        <v>https://upbox.ajobthing.my/customer/143450</v>
      </c>
      <c r="I2135" t="inlineStr">
        <is>
          <t>BilaBila Retail Sdn Bhd</t>
        </is>
      </c>
      <c r="J2135" t="inlineStr">
        <is>
          <t>Whale</t>
        </is>
      </c>
      <c r="K2135" t="inlineStr">
        <is>
          <t>Alan KY</t>
        </is>
      </c>
      <c r="L2135" s="4"/>
      <c r="M2135" s="4">
        <v>46128.658101851855</v>
      </c>
      <c r="N2135"/>
      <c r="O2135">
        <v>11448</v>
      </c>
      <c r="P2135" s="4"/>
      <c r="Q2135" s="4">
        <v>45384.428449074076</v>
      </c>
      <c r="R2135"/>
      <c r="S2135">
        <v>6048</v>
      </c>
      <c r="T2135" s="4">
        <v>45383.00001157408</v>
      </c>
      <c r="U2135" s="4"/>
      <c r="V2135"/>
      <c r="W2135">
        <v>6048</v>
      </c>
      <c r="X2135"/>
      <c r="Y2135" t="inlineStr">
        <is>
          <t>Pending Appointment</t>
        </is>
      </c>
      <c r="Z2135" t="inlineStr">
        <is>
          <t>Hiring Now</t>
        </is>
      </c>
      <c r="AA2135">
        <v>1</v>
      </c>
      <c r="AB2135" t="inlineStr">
        <is>
          <t>No Appointment Made</t>
        </is>
      </c>
      <c r="AC2135"/>
      <c r="AD2135" t="inlineStr">
        <is>
          <t xml:space="preserve">Retail(ongoing), loss and prevention manager, based in KL / selangor </t>
        </is>
      </c>
      <c r="AE2135"/>
      <c r="AF2135"/>
      <c r="AG2135" s="4"/>
      <c r="AH2135" s="4"/>
      <c r="AI2135"/>
      <c r="AJ2135"/>
      <c r="AK2135" t="inlineStr">
        <is>
          <t>No, I don't need at all</t>
        </is>
      </c>
      <c r="AL2135"/>
      <c r="AM2135" t="inlineStr">
        <is>
          <t>No, I don't need at all</t>
        </is>
      </c>
      <c r="AN2135"/>
      <c r="AO2135" t="inlineStr">
        <is>
          <t>No, I don't need at all</t>
        </is>
      </c>
      <c r="AP2135" t="inlineStr">
        <is>
          <t>Once per quarter (75%)</t>
        </is>
      </c>
      <c r="AQ2135"/>
      <c r="AR2135" t="inlineStr">
        <is>
          <t>Jobstreet, Indeed (Paid), Linkedin (Paid), Hiredly</t>
        </is>
      </c>
      <c r="AS2135" t="inlineStr">
        <is>
          <t>- Headcount: 1
- Hiring Job Details: Retail(ongoing), loss and prevention manager, based in KL /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Jobstreet,Indeed (Paid),Linkedin (Paid),Hiredly</t>
        </is>
      </c>
      <c r="AT2135">
        <v>75</v>
      </c>
      <c r="AU2135" t="inlineStr">
        <is>
          <t>0.75</t>
        </is>
      </c>
      <c r="AV2135" t="inlineStr">
        <is>
          <t>5</t>
        </is>
      </c>
      <c r="AW2135" t="inlineStr">
        <is>
          <t>0</t>
        </is>
      </c>
      <c r="AX2135" t="inlineStr">
        <is>
          <t>Not Qualified</t>
        </is>
      </c>
      <c r="AY2135" s="4"/>
      <c r="AZ2135"/>
      <c r="BA2135"/>
      <c r="BB2135"/>
      <c r="BC2135" t="inlineStr">
        <is>
          <t>no answer vm</t>
        </is>
      </c>
      <c r="BD2135" s="4">
        <v>46135.594143518516</v>
      </c>
      <c r="BE2135" t="inlineStr">
        <is>
          <t>paid</t>
        </is>
      </c>
      <c r="BF2135"/>
      <c r="BG2135" t="inlineStr">
        <is>
          <t>Reschedule</t>
        </is>
      </c>
      <c r="BH2135" t="inlineStr">
        <is>
          <t>Reagen</t>
        </is>
      </c>
      <c r="BI2135" t="inlineStr">
        <is>
          <t>Retail / Merchandise</t>
        </is>
      </c>
      <c r="BJ2135" s="4">
        <v>46144.75071759259</v>
      </c>
      <c r="BK2135" s="4">
        <v>44508.467881944445</v>
      </c>
      <c r="BL2135" t="inlineStr">
        <is>
          <t>0.0</t>
        </is>
      </c>
      <c r="BM2135" t="inlineStr">
        <is>
          <t>2250.0</t>
        </is>
      </c>
      <c r="BN2135" t="inlineStr">
        <is>
          <t>View Jobmanager Page</t>
        </is>
      </c>
      <c r="BO2135" s="4">
        <v>45811.606990740744</v>
      </c>
      <c r="BP2135">
        <v>167445</v>
      </c>
      <c r="BQ2135">
        <v>87811</v>
      </c>
      <c r="BR2135" t="inlineStr">
        <is>
          <t>Proforma</t>
        </is>
      </c>
      <c r="BS2135" t="inlineStr">
        <is>
          <t>Instant Job Slot - SME Package Feb</t>
        </is>
      </c>
      <c r="BT2135">
        <v>67379</v>
      </c>
      <c r="BU2135"/>
      <c r="BV2135">
        <v>2723372</v>
      </c>
      <c r="BW2135" t="inlineStr">
        <is>
          <t>No Answer : Voicemail - WA sent to customer</t>
        </is>
      </c>
      <c r="BX2135"/>
      <c r="BY2135"/>
      <c r="BZ2135" s="4"/>
      <c r="CA2135"/>
      <c r="CB2135"/>
      <c r="CC2135" s="4"/>
      <c r="CD2135" t="inlineStr">
        <is>
          <t>5</t>
        </is>
      </c>
      <c r="CE2135" t="inlineStr">
        <is>
          <t>0</t>
        </is>
      </c>
      <c r="CF2135" t="inlineStr">
        <is>
          <t>Q2-W02</t>
        </is>
      </c>
      <c r="CG2135"/>
      <c r="CH2135"/>
      <c r="CI2135"/>
      <c r="CJ2135" t="inlineStr">
        <is>
          <t>Paid</t>
        </is>
      </c>
      <c r="CK2135" t="inlineStr">
        <is>
          <t>Eligible</t>
        </is>
      </c>
      <c r="CL2135"/>
      <c r="CM2135"/>
    </row>
    <row r="2136" ht="25.5" customHeight="1">
      <c r="A2136" t="inlineStr">
        <is>
          <t>159421</t>
        </is>
      </c>
      <c r="B2136" s="2"/>
      <c r="C2136"/>
      <c r="D2136" s="3">
        <v>46128.671793981484</v>
      </c>
      <c r="E2136" t="inlineStr">
        <is>
          <t>Q2-W02</t>
        </is>
      </c>
      <c r="F2136" t="inlineStr">
        <is>
          <t>Ratha</t>
        </is>
      </c>
      <c r="G2136" t="inlineStr">
        <is>
          <t>Customer</t>
        </is>
      </c>
      <c r="H2136" s="2" t="str">
        <f>=HYPERLINK("https://upbox.ajobthing.my/customer/159421", "https://upbox.ajobthing.my/customer/159421")</f>
        <v>https://upbox.ajobthing.my/customer/159421</v>
      </c>
      <c r="I2136" t="inlineStr">
        <is>
          <t>Wok Hey Sdn Bhd</t>
        </is>
      </c>
      <c r="J2136" t="inlineStr">
        <is>
          <t>Whale</t>
        </is>
      </c>
      <c r="K2136" t="inlineStr">
        <is>
          <t>Ratha</t>
        </is>
      </c>
      <c r="L2136" s="4"/>
      <c r="M2136" s="4">
        <v>46128.67221064815</v>
      </c>
      <c r="N2136"/>
      <c r="O2136">
        <v>6048</v>
      </c>
      <c r="P2136" s="4"/>
      <c r="Q2136" s="4"/>
      <c r="R2136"/>
      <c r="S2136"/>
      <c r="T2136" s="4"/>
      <c r="U2136" s="4"/>
      <c r="V2136"/>
      <c r="W2136"/>
      <c r="X2136"/>
      <c r="Y2136" t="inlineStr">
        <is>
          <t>Pending Appointment</t>
        </is>
      </c>
      <c r="Z2136" t="inlineStr">
        <is>
          <t>Hiring Later</t>
        </is>
      </c>
      <c r="AA2136">
        <v>2</v>
      </c>
      <c r="AB2136" t="inlineStr">
        <is>
          <t>No Appointment Made</t>
        </is>
      </c>
      <c r="AC2136"/>
      <c r="AD2136" t="inlineStr">
        <is>
          <t>HR &amp; Foods Service positions
frequent hiring 
Location : 4 locations</t>
        </is>
      </c>
      <c r="AE2136"/>
      <c r="AF2136"/>
      <c r="AG2136" s="4"/>
      <c r="AH2136" s="4"/>
      <c r="AI2136">
        <v>0</v>
      </c>
      <c r="AJ2136">
        <v>4</v>
      </c>
      <c r="AK2136" t="inlineStr">
        <is>
          <t>Yes, I have</t>
        </is>
      </c>
      <c r="AL2136">
        <v>2</v>
      </c>
      <c r="AM2136" t="inlineStr">
        <is>
          <t>No, I don't need at all</t>
        </is>
      </c>
      <c r="AN2136"/>
      <c r="AO2136" t="inlineStr">
        <is>
          <t>Yes, I have</t>
        </is>
      </c>
      <c r="AP2136" t="inlineStr">
        <is>
          <t>Once per quarter (75%)</t>
        </is>
      </c>
      <c r="AQ2136">
        <v>0</v>
      </c>
      <c r="AR2136" t="inlineStr">
        <is>
          <t>Jobstreet, Free Job Portal</t>
        </is>
      </c>
      <c r="AS2136" t="inlineStr">
        <is>
          <t>- Headcount: Not specified
- Hiring Job Details: HR &amp; Foods Service positions, frequent hiring, 4 locations
- Hiring Urgency: Hiring Later
- Number of outlets: 4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is>
      </c>
      <c r="AT2136">
        <v>55</v>
      </c>
      <c r="AU2136" t="inlineStr">
        <is>
          <t>0.55</t>
        </is>
      </c>
      <c r="AV2136" t="inlineStr">
        <is>
          <t>5</t>
        </is>
      </c>
      <c r="AW2136" t="inlineStr">
        <is>
          <t>0</t>
        </is>
      </c>
      <c r="AX2136" t="inlineStr">
        <is>
          <t>Not Qualified</t>
        </is>
      </c>
      <c r="AY2136" s="4"/>
      <c r="AZ2136"/>
      <c r="BA2136"/>
      <c r="BB2136"/>
      <c r="BC2136" t="inlineStr">
        <is>
          <t>not proceed</t>
        </is>
      </c>
      <c r="BD2136" s="4">
        <v>46134.49435185185</v>
      </c>
      <c r="BE2136"/>
      <c r="BF2136"/>
      <c r="BG2136" t="inlineStr">
        <is>
          <t>Reschedule</t>
        </is>
      </c>
      <c r="BH2136" t="inlineStr">
        <is>
          <t>Fauziah Maharan</t>
        </is>
      </c>
      <c r="BI2136" t="inlineStr">
        <is>
          <t>Food / Beverage</t>
        </is>
      </c>
      <c r="BJ2136" s="4">
        <v>46144.751064814816</v>
      </c>
      <c r="BK2136" s="4">
        <v>44810.43667824074</v>
      </c>
      <c r="BL2136" t="inlineStr">
        <is>
          <t>0.0</t>
        </is>
      </c>
      <c r="BM2136" t="inlineStr">
        <is>
          <t>6000.0</t>
        </is>
      </c>
      <c r="BN2136" t="inlineStr">
        <is>
          <t>View Jobmanager Page</t>
        </is>
      </c>
      <c r="BO2136" s="4">
        <v>45905.69974537037</v>
      </c>
      <c r="BP2136">
        <v>167453</v>
      </c>
      <c r="BQ2136"/>
      <c r="BR2136"/>
      <c r="BS2136"/>
      <c r="BT2136"/>
      <c r="BU2136"/>
      <c r="BV2136">
        <v>2720153</v>
      </c>
      <c r="BW2136" t="inlineStr">
        <is>
          <t>Follow Up : Budget Concern</t>
        </is>
      </c>
      <c r="BX2136"/>
      <c r="BY2136"/>
      <c r="BZ2136" s="4"/>
      <c r="CA2136"/>
      <c r="CB2136"/>
      <c r="CC2136" s="4"/>
      <c r="CD2136" t="inlineStr">
        <is>
          <t>5</t>
        </is>
      </c>
      <c r="CE2136" t="inlineStr">
        <is>
          <t>0</t>
        </is>
      </c>
      <c r="CF2136" t="inlineStr">
        <is>
          <t>Q2-W02</t>
        </is>
      </c>
      <c r="CG2136"/>
      <c r="CH2136"/>
      <c r="CI2136"/>
      <c r="CJ2136" t="inlineStr">
        <is>
          <t>No Paid</t>
        </is>
      </c>
      <c r="CK2136" t="inlineStr">
        <is>
          <t>Eligible</t>
        </is>
      </c>
      <c r="CL2136"/>
      <c r="CM2136"/>
    </row>
    <row r="2137" ht="25.5" customHeight="1">
      <c r="A2137" t="inlineStr">
        <is>
          <t>137244</t>
        </is>
      </c>
      <c r="B2137" s="2"/>
      <c r="C2137"/>
      <c r="D2137" s="3">
        <v>46128.68892361111</v>
      </c>
      <c r="E2137" t="inlineStr">
        <is>
          <t>Q2-W02</t>
        </is>
      </c>
      <c r="F2137" t="inlineStr">
        <is>
          <t>Alan KY</t>
        </is>
      </c>
      <c r="G2137" t="inlineStr">
        <is>
          <t>Customer</t>
        </is>
      </c>
      <c r="H2137" s="2" t="str">
        <f>=HYPERLINK("https://upbox.ajobthing.my/customer/137244", "https://upbox.ajobthing.my/customer/137244")</f>
        <v>https://upbox.ajobthing.my/customer/137244</v>
      </c>
      <c r="I2137" t="inlineStr">
        <is>
          <t>Fair Work (M) Sdn Bhd</t>
        </is>
      </c>
      <c r="J2137" t="inlineStr">
        <is>
          <t>Whale</t>
        </is>
      </c>
      <c r="K2137" t="inlineStr">
        <is>
          <t>Alan KY</t>
        </is>
      </c>
      <c r="L2137" s="4"/>
      <c r="M2137" s="4">
        <v>46139.73434027778</v>
      </c>
      <c r="N2137"/>
      <c r="O2137">
        <v>6048</v>
      </c>
      <c r="P2137" s="4"/>
      <c r="Q2137" s="4">
        <v>44304.505057870374</v>
      </c>
      <c r="R2137"/>
      <c r="S2137">
        <v>159</v>
      </c>
      <c r="T2137" s="4">
        <v>44304.505057870374</v>
      </c>
      <c r="U2137" s="4"/>
      <c r="V2137"/>
      <c r="W2137">
        <v>159</v>
      </c>
      <c r="X2137"/>
      <c r="Y2137" t="inlineStr">
        <is>
          <t>Pending Appointment</t>
        </is>
      </c>
      <c r="Z2137" t="inlineStr">
        <is>
          <t>Hiring Now</t>
        </is>
      </c>
      <c r="AA2137">
        <v>175</v>
      </c>
      <c r="AB2137" t="inlineStr">
        <is>
          <t>No Appointment Made</t>
        </is>
      </c>
      <c r="AC2137"/>
      <c r="AD2137" t="inlineStr">
        <is>
          <t xml:space="preserve">Looking for operators (150-200 vacancies) on going hire 
And other position as well, Penang </t>
        </is>
      </c>
      <c r="AE2137"/>
      <c r="AF2137"/>
      <c r="AG2137" s="4"/>
      <c r="AH2137" s="4"/>
      <c r="AI2137"/>
      <c r="AJ2137"/>
      <c r="AK2137" t="inlineStr">
        <is>
          <t>Yes, I have</t>
        </is>
      </c>
      <c r="AL2137">
        <v>3</v>
      </c>
      <c r="AM2137" t="inlineStr">
        <is>
          <t>No, I don't need at all</t>
        </is>
      </c>
      <c r="AN2137"/>
      <c r="AO2137" t="inlineStr">
        <is>
          <t>No, I don't need at all</t>
        </is>
      </c>
      <c r="AP2137" t="inlineStr">
        <is>
          <t>Every month (100%)</t>
        </is>
      </c>
      <c r="AQ2137"/>
      <c r="AR2137" t="inlineStr">
        <is>
          <t>Jobstreet, Hiredly, Indeed (Paid), Free Job Portal</t>
        </is>
      </c>
      <c r="AS2137" t="inlineStr">
        <is>
          <t>- Headcount: 175
- Hiring Job Details: Ongoing hire for 150-200 operators and other positions in Penang
- Hiring Urgency: Hiring Now
- Number of outlets: Not provided
- Have recruiter team: Yes
- Number of recruiter in company: 3
- Have ATS system: No, don't need at all
- Have career website: No, don't need at all
- Current hiring budget: Not provided
- Whole year budget: Not provided
- Whole year number of vacancies: Not provided
- Hiring frequency: Every month (100%)
- External job portal: Jobstreet, Hiredly, Indeed (Paid), Free Job Portal</t>
        </is>
      </c>
      <c r="AT2137">
        <v>95</v>
      </c>
      <c r="AU2137" t="inlineStr">
        <is>
          <t>0.95</t>
        </is>
      </c>
      <c r="AV2137" t="inlineStr">
        <is>
          <t>25</t>
        </is>
      </c>
      <c r="AW2137" t="inlineStr">
        <is>
          <t>0</t>
        </is>
      </c>
      <c r="AX2137" t="inlineStr">
        <is>
          <t>Not Qualified</t>
        </is>
      </c>
      <c r="AY2137" s="4"/>
      <c r="AZ2137"/>
      <c r="BA2137"/>
      <c r="BB2137"/>
      <c r="BC2137" t="inlineStr">
        <is>
          <t>Still need more time to review. Will let me know if any news 
Follow up in mid may again</t>
        </is>
      </c>
      <c r="BD2137" s="4">
        <v>46142.71440972222</v>
      </c>
      <c r="BE2137" t="inlineStr">
        <is>
          <t>paid</t>
        </is>
      </c>
      <c r="BF2137"/>
      <c r="BG2137" t="inlineStr">
        <is>
          <t>Reschedule</t>
        </is>
      </c>
      <c r="BH2137" t="inlineStr">
        <is>
          <t>Reagen</t>
        </is>
      </c>
      <c r="BI2137"/>
      <c r="BJ2137" s="4">
        <v>46144.75059027778</v>
      </c>
      <c r="BK2137" s="4">
        <v>44304.49890046296</v>
      </c>
      <c r="BL2137" t="inlineStr">
        <is>
          <t>0.0</t>
        </is>
      </c>
      <c r="BM2137" t="inlineStr">
        <is>
          <t>18000.0</t>
        </is>
      </c>
      <c r="BN2137" t="inlineStr">
        <is>
          <t>View Jobmanager Page</t>
        </is>
      </c>
      <c r="BO2137" s="4">
        <v>46126.73515046296</v>
      </c>
      <c r="BP2137">
        <v>169110</v>
      </c>
      <c r="BQ2137">
        <v>32551</v>
      </c>
      <c r="BR2137" t="inlineStr">
        <is>
          <t>Online</t>
        </is>
      </c>
      <c r="BS2137"/>
      <c r="BT2137">
        <v>32551</v>
      </c>
      <c r="BU2137"/>
      <c r="BV2137">
        <v>2738323</v>
      </c>
      <c r="BW2137" t="inlineStr">
        <is>
          <t>Follow Up : Budget Concern</t>
        </is>
      </c>
      <c r="BX2137"/>
      <c r="BY2137"/>
      <c r="BZ2137" s="4"/>
      <c r="CA2137"/>
      <c r="CB2137"/>
      <c r="CC2137" s="4"/>
      <c r="CD2137" t="inlineStr">
        <is>
          <t>35</t>
        </is>
      </c>
      <c r="CE2137" t="inlineStr">
        <is>
          <t>0</t>
        </is>
      </c>
      <c r="CF2137" t="inlineStr">
        <is>
          <t>Q2-W04</t>
        </is>
      </c>
      <c r="CG2137"/>
      <c r="CH2137"/>
      <c r="CI2137"/>
      <c r="CJ2137" t="inlineStr">
        <is>
          <t>Paid</t>
        </is>
      </c>
      <c r="CK2137" t="inlineStr">
        <is>
          <t>Eligible</t>
        </is>
      </c>
      <c r="CL2137"/>
      <c r="CM2137"/>
    </row>
    <row r="2138" ht="25.5" customHeight="1">
      <c r="A2138" t="inlineStr">
        <is>
          <t>27160</t>
        </is>
      </c>
      <c r="B2138" s="2"/>
      <c r="C2138"/>
      <c r="D2138" s="3">
        <v>46128.70034722222</v>
      </c>
      <c r="E2138" t="inlineStr">
        <is>
          <t>Q2-W02</t>
        </is>
      </c>
      <c r="F2138" t="inlineStr">
        <is>
          <t>Josh</t>
        </is>
      </c>
      <c r="G2138" t="inlineStr">
        <is>
          <t>Customer</t>
        </is>
      </c>
      <c r="H2138" s="2" t="str">
        <f>=HYPERLINK("https://upbox.ajobthing.my/customer/27160", "https://upbox.ajobthing.my/customer/27160")</f>
        <v>https://upbox.ajobthing.my/customer/27160</v>
      </c>
      <c r="I2138" t="inlineStr">
        <is>
          <t>Yonghuat Marketing Sdn Bhd</t>
        </is>
      </c>
      <c r="J2138" t="inlineStr">
        <is>
          <t>Whale</t>
        </is>
      </c>
      <c r="K2138" t="inlineStr">
        <is>
          <t>Josh</t>
        </is>
      </c>
      <c r="L2138" s="4"/>
      <c r="M2138" s="4">
        <v>46128.70043981481</v>
      </c>
      <c r="N2138"/>
      <c r="O2138">
        <v>6048</v>
      </c>
      <c r="P2138" s="4"/>
      <c r="Q2138" s="4">
        <v>44946.67943287037</v>
      </c>
      <c r="R2138"/>
      <c r="S2138">
        <v>2756</v>
      </c>
      <c r="T2138" s="4">
        <v>44946.67943287037</v>
      </c>
      <c r="U2138" s="4"/>
      <c r="V2138"/>
      <c r="W2138">
        <v>2756</v>
      </c>
      <c r="X2138"/>
      <c r="Y2138" t="inlineStr">
        <is>
          <t>Pending Appointment</t>
        </is>
      </c>
      <c r="Z2138" t="inlineStr">
        <is>
          <t>Hiring Later</t>
        </is>
      </c>
      <c r="AA2138">
        <v>1</v>
      </c>
      <c r="AB2138" t="inlineStr">
        <is>
          <t>No Appointment Made</t>
        </is>
      </c>
      <c r="AC2138"/>
      <c r="AD2138" t="inlineStr">
        <is>
          <t xml:space="preserve">1 admin </t>
        </is>
      </c>
      <c r="AE2138"/>
      <c r="AF2138">
        <v>3000</v>
      </c>
      <c r="AG2138" s="4"/>
      <c r="AH2138" s="4"/>
      <c r="AI2138"/>
      <c r="AJ2138"/>
      <c r="AK2138" t="inlineStr">
        <is>
          <t>Yes, I have</t>
        </is>
      </c>
      <c r="AL2138"/>
      <c r="AM2138"/>
      <c r="AN2138"/>
      <c r="AO2138"/>
      <c r="AP2138" t="inlineStr">
        <is>
          <t>Once a year (25%)</t>
        </is>
      </c>
      <c r="AQ2138"/>
      <c r="AR2138"/>
      <c r="AS2138" t="inlineStr">
        <is>
          <t>- Headcount: 1
- Hiring Job Details: 1 admin
- Hiring Urgency: Hiring Later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2138">
        <v>75</v>
      </c>
      <c r="AU2138" t="inlineStr">
        <is>
          <t>0.75</t>
        </is>
      </c>
      <c r="AV2138" t="inlineStr">
        <is>
          <t>15</t>
        </is>
      </c>
      <c r="AW2138" t="inlineStr">
        <is>
          <t>0</t>
        </is>
      </c>
      <c r="AX2138" t="inlineStr">
        <is>
          <t>Not Qualified</t>
        </is>
      </c>
      <c r="AY2138" s="4"/>
      <c r="AZ2138"/>
      <c r="BA2138"/>
      <c r="BB2138"/>
      <c r="BC2138" t="inlineStr">
        <is>
          <t>still planning, may share offer by email</t>
        </is>
      </c>
      <c r="BD2138" s="4">
        <v>46128.702731481484</v>
      </c>
      <c r="BE2138" t="inlineStr">
        <is>
          <t>paid</t>
        </is>
      </c>
      <c r="BF2138"/>
      <c r="BG2138" t="inlineStr">
        <is>
          <t>Reschedule</t>
        </is>
      </c>
      <c r="BH2138" t="inlineStr">
        <is>
          <t>Fauziah Maharan</t>
        </is>
      </c>
      <c r="BI2138" t="inlineStr">
        <is>
          <t>Consumer Products / FMCG</t>
        </is>
      </c>
      <c r="BJ2138" s="4">
        <v>46144.75449074074</v>
      </c>
      <c r="BK2138" s="4">
        <v>42597.37851851852</v>
      </c>
      <c r="BL2138" t="inlineStr">
        <is>
          <t>0.0</t>
        </is>
      </c>
      <c r="BM2138" t="inlineStr">
        <is>
          <t>1200.0</t>
        </is>
      </c>
      <c r="BN2138" t="inlineStr">
        <is>
          <t>View Company Page</t>
        </is>
      </c>
      <c r="BO2138" s="4">
        <v>45869.707453703704</v>
      </c>
      <c r="BP2138">
        <v>167480</v>
      </c>
      <c r="BQ2138">
        <v>54698</v>
      </c>
      <c r="BR2138" t="inlineStr">
        <is>
          <t>Online</t>
        </is>
      </c>
      <c r="BS2138"/>
      <c r="BT2138">
        <v>54698</v>
      </c>
      <c r="BU2138"/>
      <c r="BV2138">
        <v>2710317</v>
      </c>
      <c r="BW2138" t="inlineStr">
        <is>
          <t>Inquire for Hiring Needs : Quotation Sent 50%</t>
        </is>
      </c>
      <c r="BX2138"/>
      <c r="BY2138"/>
      <c r="BZ2138" s="4"/>
      <c r="CA2138"/>
      <c r="CB2138"/>
      <c r="CC2138" s="4"/>
      <c r="CD2138" t="inlineStr">
        <is>
          <t>20</t>
        </is>
      </c>
      <c r="CE2138" t="inlineStr">
        <is>
          <t>0</t>
        </is>
      </c>
      <c r="CF2138" t="inlineStr">
        <is>
          <t>Q2-W02</t>
        </is>
      </c>
      <c r="CG2138"/>
      <c r="CH2138"/>
      <c r="CI2138"/>
      <c r="CJ2138" t="inlineStr">
        <is>
          <t>Paid</t>
        </is>
      </c>
      <c r="CK2138" t="inlineStr">
        <is>
          <t>Eligible</t>
        </is>
      </c>
      <c r="CL2138"/>
      <c r="CM2138"/>
    </row>
    <row r="2139" ht="25.5" customHeight="1">
      <c r="A2139" t="inlineStr">
        <is>
          <t>137244</t>
        </is>
      </c>
      <c r="B2139" s="2"/>
      <c r="C2139"/>
      <c r="D2139" s="3">
        <v>46128.70459490741</v>
      </c>
      <c r="E2139" t="inlineStr">
        <is>
          <t>Q2-W02</t>
        </is>
      </c>
      <c r="F2139" t="inlineStr">
        <is>
          <t>Alan KY</t>
        </is>
      </c>
      <c r="G2139" t="inlineStr">
        <is>
          <t>Customer</t>
        </is>
      </c>
      <c r="H2139" s="2" t="str">
        <f>=HYPERLINK("https://upbox.ajobthing.my/customer/137244", "https://upbox.ajobthing.my/customer/137244")</f>
        <v>https://upbox.ajobthing.my/customer/137244</v>
      </c>
      <c r="I2139" t="inlineStr">
        <is>
          <t>Fair Work (M) Sdn Bhd</t>
        </is>
      </c>
      <c r="J2139" t="inlineStr">
        <is>
          <t>Whale</t>
        </is>
      </c>
      <c r="K2139" t="inlineStr">
        <is>
          <t>Alan KY</t>
        </is>
      </c>
      <c r="L2139" s="4"/>
      <c r="M2139" s="4">
        <v>46139.73434027778</v>
      </c>
      <c r="N2139"/>
      <c r="O2139">
        <v>6048</v>
      </c>
      <c r="P2139" s="4"/>
      <c r="Q2139" s="4">
        <v>44304.505057870374</v>
      </c>
      <c r="R2139"/>
      <c r="S2139">
        <v>159</v>
      </c>
      <c r="T2139" s="4">
        <v>44304.505057870374</v>
      </c>
      <c r="U2139" s="4"/>
      <c r="V2139"/>
      <c r="W2139">
        <v>159</v>
      </c>
      <c r="X2139"/>
      <c r="Y2139" t="inlineStr">
        <is>
          <t>Pending Appointment</t>
        </is>
      </c>
      <c r="Z2139" t="inlineStr">
        <is>
          <t>Continuous Hiring</t>
        </is>
      </c>
      <c r="AA2139">
        <v>175</v>
      </c>
      <c r="AB2139" t="inlineStr">
        <is>
          <t>No Appointment Made</t>
        </is>
      </c>
      <c r="AC2139"/>
      <c r="AD2139" t="inlineStr">
        <is>
          <t xml:space="preserve">Looking for operators (150-200 vacancies) on going hire 
And other position as well, Penang </t>
        </is>
      </c>
      <c r="AE2139"/>
      <c r="AF2139"/>
      <c r="AG2139" s="4"/>
      <c r="AH2139" s="4"/>
      <c r="AI2139"/>
      <c r="AJ2139"/>
      <c r="AK2139" t="inlineStr">
        <is>
          <t>Yes, I have</t>
        </is>
      </c>
      <c r="AL2139">
        <v>3</v>
      </c>
      <c r="AM2139" t="inlineStr">
        <is>
          <t>No, I don't need at all</t>
        </is>
      </c>
      <c r="AN2139"/>
      <c r="AO2139" t="inlineStr">
        <is>
          <t>Yes, I have</t>
        </is>
      </c>
      <c r="AP2139" t="inlineStr">
        <is>
          <t>Every month (100%)</t>
        </is>
      </c>
      <c r="AQ2139"/>
      <c r="AR2139" t="inlineStr">
        <is>
          <t>Jobstreet, Hiredly, Indeed (Paid), Linkedin (Paid)</t>
        </is>
      </c>
      <c r="AS2139" t="inlineStr">
        <is>
          <t>- Headcount: 175
- Hiring Job Details: Ongoing hire for 150-200 operators and other positions in Penang
- Hiring Urgency: Continuous Hiring
- Number of outlets: Not provided
- Have recruiter team: Yes
- Number of recruiter in company: 3
- Have ATS system: No, I don't need at all
- Have career website: Yes
- Current hiring budget: Not provided
- Whole year budget: Not provided
- Whole year number of vacancies: Not provided
- Hiring frequency: Every month (100%)
- External job portal: Jobstreet,Hiredly,Indeed (Paid),Linkedin (Paid)</t>
        </is>
      </c>
      <c r="AT2139">
        <v>75</v>
      </c>
      <c r="AU2139" t="inlineStr">
        <is>
          <t>0.75</t>
        </is>
      </c>
      <c r="AV2139" t="inlineStr">
        <is>
          <t>25</t>
        </is>
      </c>
      <c r="AW2139" t="inlineStr">
        <is>
          <t>0</t>
        </is>
      </c>
      <c r="AX2139" t="inlineStr">
        <is>
          <t>Not Qualified</t>
        </is>
      </c>
      <c r="AY2139" s="4"/>
      <c r="AZ2139"/>
      <c r="BA2139"/>
      <c r="BB2139"/>
      <c r="BC2139" t="inlineStr">
        <is>
          <t>Still need more time to review. Will let me know if any news 
Follow up in mid may again</t>
        </is>
      </c>
      <c r="BD2139" s="4">
        <v>46142.71440972222</v>
      </c>
      <c r="BE2139" t="inlineStr">
        <is>
          <t>paid</t>
        </is>
      </c>
      <c r="BF2139"/>
      <c r="BG2139" t="inlineStr">
        <is>
          <t>Reschedule</t>
        </is>
      </c>
      <c r="BH2139" t="inlineStr">
        <is>
          <t>Reagen</t>
        </is>
      </c>
      <c r="BI2139"/>
      <c r="BJ2139" s="4">
        <v>46144.75059027778</v>
      </c>
      <c r="BK2139" s="4">
        <v>44304.49890046296</v>
      </c>
      <c r="BL2139" t="inlineStr">
        <is>
          <t>0.0</t>
        </is>
      </c>
      <c r="BM2139" t="inlineStr">
        <is>
          <t>18000.0</t>
        </is>
      </c>
      <c r="BN2139" t="inlineStr">
        <is>
          <t>View Jobmanager Page</t>
        </is>
      </c>
      <c r="BO2139" s="4">
        <v>46126.73515046296</v>
      </c>
      <c r="BP2139">
        <v>169110</v>
      </c>
      <c r="BQ2139">
        <v>32551</v>
      </c>
      <c r="BR2139" t="inlineStr">
        <is>
          <t>Online</t>
        </is>
      </c>
      <c r="BS2139"/>
      <c r="BT2139">
        <v>32551</v>
      </c>
      <c r="BU2139"/>
      <c r="BV2139">
        <v>2738323</v>
      </c>
      <c r="BW2139" t="inlineStr">
        <is>
          <t>Follow Up : Budget Concern</t>
        </is>
      </c>
      <c r="BX2139"/>
      <c r="BY2139"/>
      <c r="BZ2139" s="4"/>
      <c r="CA2139"/>
      <c r="CB2139"/>
      <c r="CC2139" s="4"/>
      <c r="CD2139" t="inlineStr">
        <is>
          <t>35</t>
        </is>
      </c>
      <c r="CE2139" t="inlineStr">
        <is>
          <t>0</t>
        </is>
      </c>
      <c r="CF2139" t="inlineStr">
        <is>
          <t>Q2-W04</t>
        </is>
      </c>
      <c r="CG2139"/>
      <c r="CH2139"/>
      <c r="CI2139"/>
      <c r="CJ2139" t="inlineStr">
        <is>
          <t>Paid</t>
        </is>
      </c>
      <c r="CK2139" t="inlineStr">
        <is>
          <t>Eligible</t>
        </is>
      </c>
      <c r="CL2139"/>
      <c r="CM2139"/>
    </row>
    <row r="2140" ht="25.5" customHeight="1">
      <c r="A2140" t="inlineStr">
        <is>
          <t>23013</t>
        </is>
      </c>
      <c r="B2140" s="2"/>
      <c r="C2140"/>
      <c r="D2140" s="3">
        <v>46128.70616898148</v>
      </c>
      <c r="E2140" t="inlineStr">
        <is>
          <t>Q2-W02</t>
        </is>
      </c>
      <c r="F2140" t="inlineStr">
        <is>
          <t>Yuli</t>
        </is>
      </c>
      <c r="G2140" t="inlineStr">
        <is>
          <t>Customer</t>
        </is>
      </c>
      <c r="H2140" s="2" t="str">
        <f>=HYPERLINK("https://upbox.ajobthing.my/customer/23013", "https://upbox.ajobthing.my/customer/23013")</f>
        <v>https://upbox.ajobthing.my/customer/23013</v>
      </c>
      <c r="I2140" t="inlineStr">
        <is>
          <t>CKP Digital Corporate Services Sdn. Bhd.</t>
        </is>
      </c>
      <c r="J2140" t="inlineStr">
        <is>
          <t>Whale</t>
        </is>
      </c>
      <c r="K2140" t="inlineStr">
        <is>
          <t>YuLi</t>
        </is>
      </c>
      <c r="L2140" s="4"/>
      <c r="M2140" s="4">
        <v>46128.70552083333</v>
      </c>
      <c r="N2140"/>
      <c r="O2140">
        <v>5832</v>
      </c>
      <c r="P2140" s="4"/>
      <c r="Q2140" s="4">
        <v>46129.82065972222</v>
      </c>
      <c r="R2140"/>
      <c r="S2140">
        <v>5832</v>
      </c>
      <c r="T2140" s="4">
        <v>46129.82065972222</v>
      </c>
      <c r="U2140" s="4"/>
      <c r="V2140"/>
      <c r="W2140">
        <v>5832</v>
      </c>
      <c r="X2140"/>
      <c r="Y2140" t="inlineStr">
        <is>
          <t>Pending Appointment</t>
        </is>
      </c>
      <c r="Z2140" t="inlineStr">
        <is>
          <t>Hiring Now</t>
        </is>
      </c>
      <c r="AA2140">
        <v>1</v>
      </c>
      <c r="AB2140" t="inlineStr">
        <is>
          <t>No Appointment Made</t>
        </is>
      </c>
      <c r="AC2140"/>
      <c r="AD2140" t="inlineStr">
        <is>
          <t>Business License
Senior Accounts Executive</t>
        </is>
      </c>
      <c r="AE2140"/>
      <c r="AF2140">
        <v>5000</v>
      </c>
      <c r="AG2140" s="4"/>
      <c r="AH2140" s="4"/>
      <c r="AI2140"/>
      <c r="AJ2140"/>
      <c r="AK2140"/>
      <c r="AL2140"/>
      <c r="AM2140"/>
      <c r="AN2140"/>
      <c r="AO2140"/>
      <c r="AP2140" t="inlineStr">
        <is>
          <t>Once per quarter (75%)</t>
        </is>
      </c>
      <c r="AQ2140"/>
      <c r="AR2140" t="inlineStr">
        <is>
          <t>Jobstreet, Free Job Portal</t>
        </is>
      </c>
      <c r="AS2140" t="inlineStr">
        <is>
          <t>- Headcount: 1
- Hiring Job Details: Business License, Senior Accounts Executive
- Hiring Urgency: Hiring Now
- Number of outlets: Not provided
- Have recruiter team: Not provided
- Number of recruiter in company: Not provided
- Have ATS system: Not provided
- Have career website: Not provided
- Current hiring budget: RM5,000.00
- Whole year budget: Not provided
- Whole year number of vacancies: Not provided
- Hiring frequency: Once per quarter (75%)
- External job portal: Jobstreet, Free Job Portal</t>
        </is>
      </c>
      <c r="AT2140">
        <v>75</v>
      </c>
      <c r="AU2140" t="inlineStr">
        <is>
          <t>0.75</t>
        </is>
      </c>
      <c r="AV2140" t="inlineStr">
        <is>
          <t>15</t>
        </is>
      </c>
      <c r="AW2140" t="inlineStr">
        <is>
          <t>0</t>
        </is>
      </c>
      <c r="AX2140" t="inlineStr">
        <is>
          <t>Not Qualified</t>
        </is>
      </c>
      <c r="AY2140" s="4"/>
      <c r="AZ2140"/>
      <c r="BA2140"/>
      <c r="BB2140"/>
      <c r="BC2140" t="inlineStr">
        <is>
          <t>received message from Yegi ask to share invoice. for record purpose.</t>
        </is>
      </c>
      <c r="BD2140" s="4">
        <v>46133.70298611111</v>
      </c>
      <c r="BE2140" t="inlineStr">
        <is>
          <t>paid</t>
        </is>
      </c>
      <c r="BF2140" t="inlineStr">
        <is>
          <t>Q2-W03</t>
        </is>
      </c>
      <c r="BG2140" t="inlineStr">
        <is>
          <t>Reschedule</t>
        </is>
      </c>
      <c r="BH2140" t="inlineStr">
        <is>
          <t>Fauziah Maharan</t>
        </is>
      </c>
      <c r="BI2140" t="inlineStr">
        <is>
          <t>Accounting / Tax Services</t>
        </is>
      </c>
      <c r="BJ2140" s="4">
        <v>46144.75444444444</v>
      </c>
      <c r="BK2140" s="4">
        <v>42502.61056712963</v>
      </c>
      <c r="BL2140" t="inlineStr">
        <is>
          <t>12096.0</t>
        </is>
      </c>
      <c r="BM2140" t="inlineStr">
        <is>
          <t>0.0</t>
        </is>
      </c>
      <c r="BN2140" t="inlineStr">
        <is>
          <t>View Company Page</t>
        </is>
      </c>
      <c r="BO2140" s="4">
        <v>46140.72652777778</v>
      </c>
      <c r="BP2140">
        <v>167482</v>
      </c>
      <c r="BQ2140">
        <v>94157</v>
      </c>
      <c r="BR2140" t="inlineStr">
        <is>
          <t>Online</t>
        </is>
      </c>
      <c r="BS2140"/>
      <c r="BT2140">
        <v>94157</v>
      </c>
      <c r="BU2140"/>
      <c r="BV2140">
        <v>2718921</v>
      </c>
      <c r="BW2140" t="inlineStr">
        <is>
          <t>Service / Technical : Job Outcome Enquiry</t>
        </is>
      </c>
      <c r="BX2140">
        <v>28</v>
      </c>
      <c r="BY2140">
        <v>11</v>
      </c>
      <c r="BZ2140" s="4">
        <v>46140.726331018515</v>
      </c>
      <c r="CA2140">
        <v>280</v>
      </c>
      <c r="CB2140">
        <v>280</v>
      </c>
      <c r="CC2140" s="4"/>
      <c r="CD2140" t="inlineStr">
        <is>
          <t>20</t>
        </is>
      </c>
      <c r="CE2140" t="inlineStr">
        <is>
          <t>0</t>
        </is>
      </c>
      <c r="CF2140" t="inlineStr">
        <is>
          <t>Q2-W02</t>
        </is>
      </c>
      <c r="CG2140" t="inlineStr">
        <is>
          <t>Q2-W03</t>
        </is>
      </c>
      <c r="CH2140" t="inlineStr">
        <is>
          <t>Q2-W03</t>
        </is>
      </c>
      <c r="CI2140"/>
      <c r="CJ2140" t="inlineStr">
        <is>
          <t>Paid</t>
        </is>
      </c>
      <c r="CK2140" t="inlineStr">
        <is>
          <t>Eligible</t>
        </is>
      </c>
      <c r="CL2140"/>
      <c r="CM2140"/>
    </row>
    <row r="2141" ht="25.5" customHeight="1">
      <c r="A2141" t="inlineStr">
        <is>
          <t>164738</t>
        </is>
      </c>
      <c r="B2141" s="2"/>
      <c r="C2141"/>
      <c r="D2141" s="3">
        <v>46128.71905092592</v>
      </c>
      <c r="E2141" t="inlineStr">
        <is>
          <t>Q2-W02</t>
        </is>
      </c>
      <c r="F2141" t="inlineStr">
        <is>
          <t>Josh</t>
        </is>
      </c>
      <c r="G2141" t="inlineStr">
        <is>
          <t>Customer</t>
        </is>
      </c>
      <c r="H2141" s="2" t="str">
        <f>=HYPERLINK("https://upbox.ajobthing.my/customer/164738", "https://upbox.ajobthing.my/customer/164738")</f>
        <v>https://upbox.ajobthing.my/customer/164738</v>
      </c>
      <c r="I2141" t="inlineStr">
        <is>
          <t>K Master Construction Sdn Bhd</t>
        </is>
      </c>
      <c r="J2141" t="inlineStr">
        <is>
          <t>Whale</t>
        </is>
      </c>
      <c r="K2141" t="inlineStr">
        <is>
          <t>Josh</t>
        </is>
      </c>
      <c r="L2141" s="4"/>
      <c r="M2141" s="4">
        <v>46128.719189814816</v>
      </c>
      <c r="N2141"/>
      <c r="O2141">
        <v>8208</v>
      </c>
      <c r="P2141" s="4"/>
      <c r="Q2141" s="4">
        <v>45887.66304398148</v>
      </c>
      <c r="R2141"/>
      <c r="S2141">
        <v>324</v>
      </c>
      <c r="T2141" s="4">
        <v>45887.66304398148</v>
      </c>
      <c r="U2141" s="4"/>
      <c r="V2141"/>
      <c r="W2141">
        <v>324</v>
      </c>
      <c r="X2141"/>
      <c r="Y2141" t="inlineStr">
        <is>
          <t>Pending Appointment</t>
        </is>
      </c>
      <c r="Z2141" t="inlineStr">
        <is>
          <t>Hiring Now</t>
        </is>
      </c>
      <c r="AA2141">
        <v>1</v>
      </c>
      <c r="AB2141" t="inlineStr">
        <is>
          <t>No Appointment Made</t>
        </is>
      </c>
      <c r="AC2141"/>
      <c r="AD2141" t="inlineStr">
        <is>
          <t xml:space="preserve">1 site supervisor </t>
        </is>
      </c>
      <c r="AE2141"/>
      <c r="AF2141">
        <v>3000</v>
      </c>
      <c r="AG2141" s="4"/>
      <c r="AH2141" s="4"/>
      <c r="AI2141"/>
      <c r="AJ2141"/>
      <c r="AK2141" t="inlineStr">
        <is>
          <t>Yes, I have</t>
        </is>
      </c>
      <c r="AL2141">
        <v>1</v>
      </c>
      <c r="AM2141"/>
      <c r="AN2141"/>
      <c r="AO2141"/>
      <c r="AP2141" t="inlineStr">
        <is>
          <t>Once a year (25%)</t>
        </is>
      </c>
      <c r="AQ2141"/>
      <c r="AR2141"/>
      <c r="AS2141" t="inlineStr">
        <is>
          <t>- Headcount: 1
- Hiring Job Details: 1 site supervisor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AT2141">
        <v>95</v>
      </c>
      <c r="AU2141" t="inlineStr">
        <is>
          <t>0.95</t>
        </is>
      </c>
      <c r="AV2141" t="inlineStr">
        <is>
          <t>15</t>
        </is>
      </c>
      <c r="AW2141" t="inlineStr">
        <is>
          <t>0</t>
        </is>
      </c>
      <c r="AX2141" t="inlineStr">
        <is>
          <t>Not Qualified</t>
        </is>
      </c>
      <c r="AY2141" s="4"/>
      <c r="AZ2141"/>
      <c r="BA2141"/>
      <c r="BB2141"/>
      <c r="BC2141" t="inlineStr">
        <is>
          <t>havent got update</t>
        </is>
      </c>
      <c r="BD2141" s="4">
        <v>46135.67787037037</v>
      </c>
      <c r="BE2141" t="inlineStr">
        <is>
          <t>paid</t>
        </is>
      </c>
      <c r="BF2141"/>
      <c r="BG2141" t="inlineStr">
        <is>
          <t>Reschedule</t>
        </is>
      </c>
      <c r="BH2141" t="inlineStr">
        <is>
          <t>Fauziah Maharan</t>
        </is>
      </c>
      <c r="BI2141" t="inlineStr">
        <is>
          <t>Construction / Building</t>
        </is>
      </c>
      <c r="BJ2141" s="4">
        <v>46144.751226851855</v>
      </c>
      <c r="BK2141" s="4">
        <v>44979.43709490741</v>
      </c>
      <c r="BL2141" t="inlineStr">
        <is>
          <t>324.0</t>
        </is>
      </c>
      <c r="BM2141" t="inlineStr">
        <is>
          <t>600.0</t>
        </is>
      </c>
      <c r="BN2141" t="inlineStr">
        <is>
          <t>View Jobmanager Page</t>
        </is>
      </c>
      <c r="BO2141" s="4">
        <v>45985.466782407406</v>
      </c>
      <c r="BP2141">
        <v>167494</v>
      </c>
      <c r="BQ2141">
        <v>81647</v>
      </c>
      <c r="BR2141" t="inlineStr">
        <is>
          <t>Online</t>
        </is>
      </c>
      <c r="BS2141"/>
      <c r="BT2141">
        <v>81647</v>
      </c>
      <c r="BU2141"/>
      <c r="BV2141">
        <v>2724699</v>
      </c>
      <c r="BW2141" t="inlineStr">
        <is>
          <t>Follow Up : Decision Pending</t>
        </is>
      </c>
      <c r="BX2141"/>
      <c r="BY2141"/>
      <c r="BZ2141" s="4"/>
      <c r="CA2141"/>
      <c r="CB2141"/>
      <c r="CC2141" s="4"/>
      <c r="CD2141" t="inlineStr">
        <is>
          <t>20</t>
        </is>
      </c>
      <c r="CE2141" t="inlineStr">
        <is>
          <t>0</t>
        </is>
      </c>
      <c r="CF2141" t="inlineStr">
        <is>
          <t>Q2-W02</t>
        </is>
      </c>
      <c r="CG2141"/>
      <c r="CH2141"/>
      <c r="CI2141"/>
      <c r="CJ2141" t="inlineStr">
        <is>
          <t>Paid</t>
        </is>
      </c>
      <c r="CK2141" t="inlineStr">
        <is>
          <t>Eligible</t>
        </is>
      </c>
      <c r="CL2141"/>
      <c r="CM2141"/>
    </row>
    <row r="2142" ht="25.5" customHeight="1">
      <c r="A2142" t="inlineStr">
        <is>
          <t>201987</t>
        </is>
      </c>
      <c r="B2142" s="2"/>
      <c r="C2142"/>
      <c r="D2142" s="3">
        <v>46128.72472222222</v>
      </c>
      <c r="E2142" t="inlineStr">
        <is>
          <t>Q2-W02</t>
        </is>
      </c>
      <c r="F2142" t="inlineStr">
        <is>
          <t>Josh</t>
        </is>
      </c>
      <c r="G2142" t="inlineStr">
        <is>
          <t>Customer</t>
        </is>
      </c>
      <c r="H2142" s="2" t="str">
        <f>=HYPERLINK("https://upbox.ajobthing.my/customer/201987", "https://upbox.ajobthing.my/customer/201987")</f>
        <v>https://upbox.ajobthing.my/customer/201987</v>
      </c>
      <c r="I2142" t="inlineStr">
        <is>
          <t>Titanicom Tech Limited</t>
        </is>
      </c>
      <c r="J2142" t="inlineStr">
        <is>
          <t>Whale</t>
        </is>
      </c>
      <c r="K2142" t="inlineStr">
        <is>
          <t>Josh</t>
        </is>
      </c>
      <c r="L2142" s="4"/>
      <c r="M2142" s="4">
        <v>46128.72576388889</v>
      </c>
      <c r="N2142"/>
      <c r="O2142">
        <v>11448</v>
      </c>
      <c r="P2142" s="4"/>
      <c r="Q2142" s="4">
        <v>46092.70921296296</v>
      </c>
      <c r="R2142"/>
      <c r="S2142">
        <v>0</v>
      </c>
      <c r="T2142" s="4"/>
      <c r="U2142" s="4"/>
      <c r="V2142"/>
      <c r="W2142"/>
      <c r="X2142"/>
      <c r="Y2142" t="inlineStr">
        <is>
          <t>Pending Appointment</t>
        </is>
      </c>
      <c r="Z2142" t="inlineStr">
        <is>
          <t>Hiring Now</t>
        </is>
      </c>
      <c r="AA2142">
        <v>1</v>
      </c>
      <c r="AB2142" t="inlineStr">
        <is>
          <t>No Appointment Made</t>
        </is>
      </c>
      <c r="AC2142"/>
      <c r="AD2142" t="inlineStr">
        <is>
          <t>1 IT SUPPORT</t>
        </is>
      </c>
      <c r="AE2142"/>
      <c r="AF2142">
        <v>5000</v>
      </c>
      <c r="AG2142" s="4"/>
      <c r="AH2142" s="4"/>
      <c r="AI2142"/>
      <c r="AJ2142"/>
      <c r="AK2142" t="inlineStr">
        <is>
          <t>Yes, I have</t>
        </is>
      </c>
      <c r="AL2142">
        <v>1</v>
      </c>
      <c r="AM2142"/>
      <c r="AN2142"/>
      <c r="AO2142"/>
      <c r="AP2142" t="inlineStr">
        <is>
          <t>Every month (100%)</t>
        </is>
      </c>
      <c r="AQ2142"/>
      <c r="AR2142"/>
      <c r="AS2142" t="inlineStr">
        <is>
          <t>- Headcount: 1
- Hiring Job Details: 1 IT SUPPORT
- Hiring Urgency: Hiring Now
- Number of outlets: Not specified
- Have recruiter team: Yes
- Number of recruiter in company: 1
- Have ATS system: Not specified
- Have career website: Not specified
- Current hiring budget: RM5,000.00
- Whole year budget: Not specified
- Whole year number of vacancies: Not specified
- Hiring frequency: Every month (100%)
- External job portal: Not specified</t>
        </is>
      </c>
      <c r="AT2142">
        <v>95</v>
      </c>
      <c r="AU2142" t="inlineStr">
        <is>
          <t>0.95</t>
        </is>
      </c>
      <c r="AV2142" t="inlineStr">
        <is>
          <t>15</t>
        </is>
      </c>
      <c r="AW2142" t="inlineStr">
        <is>
          <t>0</t>
        </is>
      </c>
      <c r="AX2142" t="inlineStr">
        <is>
          <t>Not Qualified</t>
        </is>
      </c>
      <c r="AY2142" s="4"/>
      <c r="AZ2142"/>
      <c r="BA2142"/>
      <c r="BB2142"/>
      <c r="BC2142" t="inlineStr">
        <is>
          <t>npu</t>
        </is>
      </c>
      <c r="BD2142" s="4">
        <v>46136.43666666667</v>
      </c>
      <c r="BE2142" t="inlineStr">
        <is>
          <t>paid</t>
        </is>
      </c>
      <c r="BF2142"/>
      <c r="BG2142" t="inlineStr">
        <is>
          <t>Reschedule</t>
        </is>
      </c>
      <c r="BH2142" t="inlineStr">
        <is>
          <t>Fauziah Maharan</t>
        </is>
      </c>
      <c r="BI2142"/>
      <c r="BJ2142" s="4">
        <v>46144.75392361111</v>
      </c>
      <c r="BK2142" s="4">
        <v>46092.698530092595</v>
      </c>
      <c r="BL2142" t="inlineStr">
        <is>
          <t>0.0</t>
        </is>
      </c>
      <c r="BM2142" t="inlineStr">
        <is>
          <t>50400.0</t>
        </is>
      </c>
      <c r="BN2142" t="inlineStr">
        <is>
          <t>User Visit(Logged In)</t>
        </is>
      </c>
      <c r="BO2142" s="4">
        <v>46092.69856481482</v>
      </c>
      <c r="BP2142">
        <v>167498</v>
      </c>
      <c r="BQ2142">
        <v>116904</v>
      </c>
      <c r="BR2142" t="inlineStr">
        <is>
          <t>Proforma</t>
        </is>
      </c>
      <c r="BS2142" t="inlineStr">
        <is>
          <t>Free Part-Time Job</t>
        </is>
      </c>
      <c r="BT2142"/>
      <c r="BU2142"/>
      <c r="BV2142">
        <v>2725601</v>
      </c>
      <c r="BW2142" t="inlineStr">
        <is>
          <t>No Answer : Voicemail - WA sent to customer</t>
        </is>
      </c>
      <c r="BX2142"/>
      <c r="BY2142"/>
      <c r="BZ2142" s="4"/>
      <c r="CA2142"/>
      <c r="CB2142"/>
      <c r="CC2142" s="4"/>
      <c r="CD2142" t="inlineStr">
        <is>
          <t>20</t>
        </is>
      </c>
      <c r="CE2142" t="inlineStr">
        <is>
          <t>0</t>
        </is>
      </c>
      <c r="CF2142" t="inlineStr">
        <is>
          <t>Q2-W02</t>
        </is>
      </c>
      <c r="CG2142" t="inlineStr">
        <is>
          <t>Q1-W10</t>
        </is>
      </c>
      <c r="CH2142"/>
      <c r="CI2142"/>
      <c r="CJ2142" t="inlineStr">
        <is>
          <t>No Paid</t>
        </is>
      </c>
      <c r="CK2142" t="inlineStr">
        <is>
          <t>Eligible</t>
        </is>
      </c>
      <c r="CL2142"/>
      <c r="CM2142"/>
    </row>
    <row r="2143" ht="25.5" customHeight="1">
      <c r="A2143" t="inlineStr">
        <is>
          <t>166621</t>
        </is>
      </c>
      <c r="B2143" s="2"/>
      <c r="C2143"/>
      <c r="D2143" s="3">
        <v>46128.7331712963</v>
      </c>
      <c r="E2143" t="inlineStr">
        <is>
          <t>Q2-W02</t>
        </is>
      </c>
      <c r="F2143" t="inlineStr">
        <is>
          <t>Josh</t>
        </is>
      </c>
      <c r="G2143" t="inlineStr">
        <is>
          <t>Customer</t>
        </is>
      </c>
      <c r="H2143" s="2" t="str">
        <f>=HYPERLINK("https://upbox.ajobthing.my/customer/166621", "https://upbox.ajobthing.my/customer/166621")</f>
        <v>https://upbox.ajobthing.my/customer/166621</v>
      </c>
      <c r="I2143" t="inlineStr">
        <is>
          <t>Pine Hills International Sdn Bhd</t>
        </is>
      </c>
      <c r="J2143" t="inlineStr">
        <is>
          <t>Whale</t>
        </is>
      </c>
      <c r="K2143" t="inlineStr">
        <is>
          <t>Josh</t>
        </is>
      </c>
      <c r="L2143" s="4"/>
      <c r="M2143" s="4">
        <v>46128.730787037035</v>
      </c>
      <c r="N2143"/>
      <c r="O2143">
        <v>5832</v>
      </c>
      <c r="P2143" s="4"/>
      <c r="Q2143" s="4">
        <v>46058.49657407407</v>
      </c>
      <c r="R2143"/>
      <c r="S2143">
        <v>3888</v>
      </c>
      <c r="T2143" s="4">
        <v>46058.49657407407</v>
      </c>
      <c r="U2143" s="4"/>
      <c r="V2143"/>
      <c r="W2143">
        <v>3888</v>
      </c>
      <c r="X2143"/>
      <c r="Y2143" t="inlineStr">
        <is>
          <t>Pending Appointment</t>
        </is>
      </c>
      <c r="Z2143" t="inlineStr">
        <is>
          <t>Hiring Now</t>
        </is>
      </c>
      <c r="AA2143">
        <v>1</v>
      </c>
      <c r="AB2143" t="inlineStr">
        <is>
          <t>No Appointment Made</t>
        </is>
      </c>
      <c r="AC2143"/>
      <c r="AD2143" t="inlineStr">
        <is>
          <t xml:space="preserve">1 marketing </t>
        </is>
      </c>
      <c r="AE2143"/>
      <c r="AF2143">
        <v>3000</v>
      </c>
      <c r="AG2143" s="4"/>
      <c r="AH2143" s="4"/>
      <c r="AI2143"/>
      <c r="AJ2143"/>
      <c r="AK2143" t="inlineStr">
        <is>
          <t>Yes, I have</t>
        </is>
      </c>
      <c r="AL2143"/>
      <c r="AM2143"/>
      <c r="AN2143"/>
      <c r="AO2143"/>
      <c r="AP2143" t="inlineStr">
        <is>
          <t>Once a year (25%)</t>
        </is>
      </c>
      <c r="AQ2143"/>
      <c r="AR2143"/>
      <c r="AS2143" t="inlineStr">
        <is>
          <t>- Headcount: 1
- Hiring Job Details: 1 marketing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2143">
        <v>75</v>
      </c>
      <c r="AU2143" t="inlineStr">
        <is>
          <t>0.75</t>
        </is>
      </c>
      <c r="AV2143" t="inlineStr">
        <is>
          <t>15</t>
        </is>
      </c>
      <c r="AW2143" t="inlineStr">
        <is>
          <t>0</t>
        </is>
      </c>
      <c r="AX2143" t="inlineStr">
        <is>
          <t>Not Qualified</t>
        </is>
      </c>
      <c r="AY2143" s="4"/>
      <c r="AZ2143"/>
      <c r="BA2143"/>
      <c r="BB2143"/>
      <c r="BC2143" t="inlineStr">
        <is>
          <t>still no any decision</t>
        </is>
      </c>
      <c r="BD2143" s="4">
        <v>46140.662465277775</v>
      </c>
      <c r="BE2143" t="inlineStr">
        <is>
          <t>paid</t>
        </is>
      </c>
      <c r="BF2143" t="inlineStr">
        <is>
          <t>Q1-W05</t>
        </is>
      </c>
      <c r="BG2143" t="inlineStr">
        <is>
          <t>Reschedule</t>
        </is>
      </c>
      <c r="BH2143" t="inlineStr">
        <is>
          <t>Fauziah Maharan</t>
        </is>
      </c>
      <c r="BI2143" t="inlineStr">
        <is>
          <t>Education / Training</t>
        </is>
      </c>
      <c r="BJ2143" s="4">
        <v>46144.751296296294</v>
      </c>
      <c r="BK2143" s="4">
        <v>45048.509097222224</v>
      </c>
      <c r="BL2143" t="inlineStr">
        <is>
          <t>3888.0</t>
        </is>
      </c>
      <c r="BM2143" t="inlineStr">
        <is>
          <t>0.0</t>
        </is>
      </c>
      <c r="BN2143" t="inlineStr">
        <is>
          <t>View Candidate Search Page</t>
        </is>
      </c>
      <c r="BO2143" s="4">
        <v>46144.524502314816</v>
      </c>
      <c r="BP2143">
        <v>167501</v>
      </c>
      <c r="BQ2143">
        <v>86402</v>
      </c>
      <c r="BR2143" t="inlineStr">
        <is>
          <t>Online</t>
        </is>
      </c>
      <c r="BS2143"/>
      <c r="BT2143">
        <v>86402</v>
      </c>
      <c r="BU2143"/>
      <c r="BV2143">
        <v>2733245</v>
      </c>
      <c r="BW2143" t="inlineStr">
        <is>
          <t>Follow Up : Decision Pending</t>
        </is>
      </c>
      <c r="BX2143">
        <v>6</v>
      </c>
      <c r="BY2143">
        <v>5</v>
      </c>
      <c r="BZ2143" s="4">
        <v>46113.74252314815</v>
      </c>
      <c r="CA2143">
        <v>60</v>
      </c>
      <c r="CB2143">
        <v>60</v>
      </c>
      <c r="CC2143" s="4"/>
      <c r="CD2143" t="inlineStr">
        <is>
          <t>20</t>
        </is>
      </c>
      <c r="CE2143" t="inlineStr">
        <is>
          <t>0</t>
        </is>
      </c>
      <c r="CF2143" t="inlineStr">
        <is>
          <t>Q2-W02</t>
        </is>
      </c>
      <c r="CG2143" t="inlineStr">
        <is>
          <t>Q1-W05</t>
        </is>
      </c>
      <c r="CH2143" t="inlineStr">
        <is>
          <t>Q1-W05</t>
        </is>
      </c>
      <c r="CI2143"/>
      <c r="CJ2143" t="inlineStr">
        <is>
          <t>Paid</t>
        </is>
      </c>
      <c r="CK2143" t="inlineStr">
        <is>
          <t>Eligible</t>
        </is>
      </c>
      <c r="CL2143"/>
      <c r="CM2143"/>
    </row>
    <row r="2144" ht="25.5" customHeight="1">
      <c r="A2144" t="inlineStr">
        <is>
          <t>176099</t>
        </is>
      </c>
      <c r="B2144" s="2"/>
      <c r="C2144"/>
      <c r="D2144" s="3">
        <v>46128.73688657407</v>
      </c>
      <c r="E2144" t="inlineStr">
        <is>
          <t>Q2-W02</t>
        </is>
      </c>
      <c r="F2144" t="inlineStr">
        <is>
          <t>Eugene</t>
        </is>
      </c>
      <c r="G2144" t="inlineStr">
        <is>
          <t>Customer</t>
        </is>
      </c>
      <c r="H2144" s="2" t="str">
        <f>=HYPERLINK("https://upbox.ajobthing.my/customer/176099", "https://upbox.ajobthing.my/customer/176099")</f>
        <v>https://upbox.ajobthing.my/customer/176099</v>
      </c>
      <c r="I2144" t="inlineStr">
        <is>
          <t>Topwill Printronics (M) Sdn. Bhd.</t>
        </is>
      </c>
      <c r="J2144" t="inlineStr">
        <is>
          <t>Whale</t>
        </is>
      </c>
      <c r="K2144" t="inlineStr">
        <is>
          <t>Eugene</t>
        </is>
      </c>
      <c r="L2144" s="4"/>
      <c r="M2144" s="4">
        <v>46129.65319444444</v>
      </c>
      <c r="N2144"/>
      <c r="O2144">
        <v>5724</v>
      </c>
      <c r="P2144" s="4"/>
      <c r="Q2144" s="4">
        <v>45670.48207175926</v>
      </c>
      <c r="R2144"/>
      <c r="S2144">
        <v>5734.8</v>
      </c>
      <c r="T2144" s="4">
        <v>45670.48207175926</v>
      </c>
      <c r="U2144" s="4"/>
      <c r="V2144"/>
      <c r="W2144">
        <v>5734.8</v>
      </c>
      <c r="X2144"/>
      <c r="Y2144" t="inlineStr">
        <is>
          <t>Pending Appointment</t>
        </is>
      </c>
      <c r="Z2144" t="inlineStr">
        <is>
          <t>Hiring Now</t>
        </is>
      </c>
      <c r="AA2144">
        <v>10</v>
      </c>
      <c r="AB2144" t="inlineStr">
        <is>
          <t>No Appointment Made</t>
        </is>
      </c>
      <c r="AC2144"/>
      <c r="AD2144" t="inlineStr">
        <is>
          <t>10 positions, based in KL</t>
        </is>
      </c>
      <c r="AE2144"/>
      <c r="AF2144">
        <v>5000</v>
      </c>
      <c r="AG2144" s="4"/>
      <c r="AH2144" s="4"/>
      <c r="AI2144">
        <v>5000</v>
      </c>
      <c r="AJ2144">
        <v>1</v>
      </c>
      <c r="AK2144" t="inlineStr">
        <is>
          <t>No, I don't need at all</t>
        </is>
      </c>
      <c r="AL2144">
        <v>1</v>
      </c>
      <c r="AM2144" t="inlineStr">
        <is>
          <t>No, I don't need at all</t>
        </is>
      </c>
      <c r="AN2144"/>
      <c r="AO2144" t="inlineStr">
        <is>
          <t>No, I don't need at all</t>
        </is>
      </c>
      <c r="AP2144" t="inlineStr">
        <is>
          <t>Once a year (25%)</t>
        </is>
      </c>
      <c r="AQ2144">
        <v>10</v>
      </c>
      <c r="AR2144" t="inlineStr">
        <is>
          <t>Free Job Portal</t>
        </is>
      </c>
      <c r="AS2144" t="inlineStr">
        <is>
          <t>- Headcount: 10
- Hiring Job Details: 10 positions, based in KL
- Hiring Urgency: Hiring Now
- Number of outlets: 1
- Have recruiter team: No, I don't need at all
- Number of recruiter in company: 1
- Have ATS system: No, I don't need at all
- Have career website: No, I don't need at all
- Current hiring budget: RM5,000
- Whole year budget: RM5,000.00
- Whole year number of vacancies: 10
- Hiring frequency: Once a year (25%)
- External job portal: Free Job Portal</t>
        </is>
      </c>
      <c r="AT2144">
        <v>95</v>
      </c>
      <c r="AU2144" t="inlineStr">
        <is>
          <t>0.95</t>
        </is>
      </c>
      <c r="AV2144" t="inlineStr">
        <is>
          <t>20</t>
        </is>
      </c>
      <c r="AW2144" t="inlineStr">
        <is>
          <t>0</t>
        </is>
      </c>
      <c r="AX2144" t="inlineStr">
        <is>
          <t>Not Qualified</t>
        </is>
      </c>
      <c r="AY2144" s="4"/>
      <c r="AZ2144"/>
      <c r="BA2144"/>
      <c r="BB2144"/>
      <c r="BC2144" t="inlineStr">
        <is>
          <t>pending</t>
        </is>
      </c>
      <c r="BD2144" s="4">
        <v>46134.66076388889</v>
      </c>
      <c r="BE2144" t="inlineStr">
        <is>
          <t>paid</t>
        </is>
      </c>
      <c r="BF2144"/>
      <c r="BG2144" t="inlineStr">
        <is>
          <t>Reschedule</t>
        </is>
      </c>
      <c r="BH2144" t="inlineStr">
        <is>
          <t>Edward Hoo</t>
        </is>
      </c>
      <c r="BI2144" t="inlineStr">
        <is>
          <t>Manufacturing / Production</t>
        </is>
      </c>
      <c r="BJ2144" s="4">
        <v>46144.75163194445</v>
      </c>
      <c r="BK2144" s="4">
        <v>45357.406122685185</v>
      </c>
      <c r="BL2144" t="inlineStr">
        <is>
          <t>0.0</t>
        </is>
      </c>
      <c r="BM2144" t="inlineStr">
        <is>
          <t>0.0</t>
        </is>
      </c>
      <c r="BN2144" t="inlineStr">
        <is>
          <t>View Company Page</t>
        </is>
      </c>
      <c r="BO2144" s="4">
        <v>46044.674988425926</v>
      </c>
      <c r="BP2144">
        <v>167656</v>
      </c>
      <c r="BQ2144">
        <v>76071</v>
      </c>
      <c r="BR2144" t="inlineStr">
        <is>
          <t>Online</t>
        </is>
      </c>
      <c r="BS2144"/>
      <c r="BT2144">
        <v>76071</v>
      </c>
      <c r="BU2144"/>
      <c r="BV2144">
        <v>2721270</v>
      </c>
      <c r="BW2144" t="inlineStr">
        <is>
          <t>Follow Up : Decision Pending</t>
        </is>
      </c>
      <c r="BX2144"/>
      <c r="BY2144"/>
      <c r="BZ2144" s="4"/>
      <c r="CA2144"/>
      <c r="CB2144"/>
      <c r="CC2144" s="4"/>
      <c r="CD2144" t="inlineStr">
        <is>
          <t>30</t>
        </is>
      </c>
      <c r="CE2144" t="inlineStr">
        <is>
          <t>0</t>
        </is>
      </c>
      <c r="CF2144" t="inlineStr">
        <is>
          <t>Q2-W03</t>
        </is>
      </c>
      <c r="CG2144"/>
      <c r="CH2144"/>
      <c r="CI2144"/>
      <c r="CJ2144" t="inlineStr">
        <is>
          <t>Paid</t>
        </is>
      </c>
      <c r="CK2144" t="inlineStr">
        <is>
          <t>Eligible</t>
        </is>
      </c>
      <c r="CL2144"/>
      <c r="CM2144"/>
    </row>
    <row r="2145" ht="25.5" customHeight="1">
      <c r="A2145" t="inlineStr">
        <is>
          <t>43815</t>
        </is>
      </c>
      <c r="B2145" s="2"/>
      <c r="C2145"/>
      <c r="D2145" s="3">
        <v>46128.75030092592</v>
      </c>
      <c r="E2145" t="inlineStr">
        <is>
          <t>Q2-W02</t>
        </is>
      </c>
      <c r="F2145" t="inlineStr">
        <is>
          <t>Josh</t>
        </is>
      </c>
      <c r="G2145" t="inlineStr">
        <is>
          <t>Customer</t>
        </is>
      </c>
      <c r="H2145" s="2" t="str">
        <f>=HYPERLINK("https://upbox.ajobthing.my/customer/43815", "https://upbox.ajobthing.my/customer/43815")</f>
        <v>https://upbox.ajobthing.my/customer/43815</v>
      </c>
      <c r="I2145" t="inlineStr">
        <is>
          <t>Seedcupbean sdb Bhd</t>
        </is>
      </c>
      <c r="J2145" t="inlineStr">
        <is>
          <t>Whale</t>
        </is>
      </c>
      <c r="K2145" t="inlineStr">
        <is>
          <t>Josh</t>
        </is>
      </c>
      <c r="L2145" s="4"/>
      <c r="M2145" s="4">
        <v>46128.75046296296</v>
      </c>
      <c r="N2145"/>
      <c r="O2145">
        <v>3672</v>
      </c>
      <c r="P2145" s="4"/>
      <c r="Q2145" s="4"/>
      <c r="R2145"/>
      <c r="S2145"/>
      <c r="T2145" s="4"/>
      <c r="U2145" s="4"/>
      <c r="V2145"/>
      <c r="W2145"/>
      <c r="X2145"/>
      <c r="Y2145" t="inlineStr">
        <is>
          <t>Pending Appointment</t>
        </is>
      </c>
      <c r="Z2145" t="inlineStr">
        <is>
          <t>Hiring Now</t>
        </is>
      </c>
      <c r="AA2145">
        <v>2</v>
      </c>
      <c r="AB2145" t="inlineStr">
        <is>
          <t>No Appointment Made</t>
        </is>
      </c>
      <c r="AC2145"/>
      <c r="AD2145" t="inlineStr">
        <is>
          <t xml:space="preserve">2 kitchen helper </t>
        </is>
      </c>
      <c r="AE2145"/>
      <c r="AF2145">
        <v>3000</v>
      </c>
      <c r="AG2145" s="4"/>
      <c r="AH2145" s="4"/>
      <c r="AI2145"/>
      <c r="AJ2145"/>
      <c r="AK2145"/>
      <c r="AL2145"/>
      <c r="AM2145"/>
      <c r="AN2145"/>
      <c r="AO2145"/>
      <c r="AP2145" t="inlineStr">
        <is>
          <t>Once a year (25%)</t>
        </is>
      </c>
      <c r="AQ2145"/>
      <c r="AR2145"/>
      <c r="AS2145" t="inlineStr">
        <is>
          <t>- Headcount: 2
- Hiring Job Details: 2 kitchen helper
- Hiring Urgency: Hiring Now
- Number of outlets: N/A
- Have recruiter team: N/A
- Number of recruiter in company: N/A
- Have ATS system: N/A
- Have career website: N/A
- Current hiring budget: RM3,000.00
- Whole year budget: N/A
- Whole year number of vacancies: N/A
- Hiring frequency: Once a year (25%)
- External job portal: N/A</t>
        </is>
      </c>
      <c r="AT2145">
        <v>85</v>
      </c>
      <c r="AU2145" t="inlineStr">
        <is>
          <t>0.85</t>
        </is>
      </c>
      <c r="AV2145" t="inlineStr">
        <is>
          <t>15</t>
        </is>
      </c>
      <c r="AW2145" t="inlineStr">
        <is>
          <t>0</t>
        </is>
      </c>
      <c r="AX2145" t="inlineStr">
        <is>
          <t>Not Qualified</t>
        </is>
      </c>
      <c r="AY2145" s="4"/>
      <c r="AZ2145"/>
      <c r="BA2145"/>
      <c r="BB2145"/>
      <c r="BC2145" t="inlineStr">
        <is>
          <t>on hold first</t>
        </is>
      </c>
      <c r="BD2145" s="4">
        <v>46134.48575231482</v>
      </c>
      <c r="BE2145"/>
      <c r="BF2145"/>
      <c r="BG2145" t="inlineStr">
        <is>
          <t>Reschedule</t>
        </is>
      </c>
      <c r="BH2145" t="inlineStr">
        <is>
          <t>Fauziah Maharan</t>
        </is>
      </c>
      <c r="BI2145"/>
      <c r="BJ2145" s="4">
        <v>46144.755949074075</v>
      </c>
      <c r="BK2145" s="4">
        <v>43058.645891203705</v>
      </c>
      <c r="BL2145" t="inlineStr">
        <is>
          <t>0.0</t>
        </is>
      </c>
      <c r="BM2145" t="inlineStr">
        <is>
          <t>0.0</t>
        </is>
      </c>
      <c r="BN2145"/>
      <c r="BO2145" s="4"/>
      <c r="BP2145">
        <v>167511</v>
      </c>
      <c r="BQ2145"/>
      <c r="BR2145"/>
      <c r="BS2145"/>
      <c r="BT2145"/>
      <c r="BU2145"/>
      <c r="BV2145">
        <v>2720083</v>
      </c>
      <c r="BW2145" t="inlineStr">
        <is>
          <t>Inquire for Hiring Needs : No Hiring</t>
        </is>
      </c>
      <c r="BX2145"/>
      <c r="BY2145"/>
      <c r="BZ2145" s="4"/>
      <c r="CA2145"/>
      <c r="CB2145"/>
      <c r="CC2145" s="4"/>
      <c r="CD2145" t="inlineStr">
        <is>
          <t>20</t>
        </is>
      </c>
      <c r="CE2145" t="inlineStr">
        <is>
          <t>0</t>
        </is>
      </c>
      <c r="CF2145" t="inlineStr">
        <is>
          <t>Q2-W02</t>
        </is>
      </c>
      <c r="CG2145"/>
      <c r="CH2145"/>
      <c r="CI2145"/>
      <c r="CJ2145" t="inlineStr">
        <is>
          <t>No Paid</t>
        </is>
      </c>
      <c r="CK2145" t="inlineStr">
        <is>
          <t>Eligible</t>
        </is>
      </c>
      <c r="CL2145"/>
      <c r="CM2145"/>
    </row>
    <row r="2146" ht="25.5" customHeight="1">
      <c r="A2146" t="inlineStr">
        <is>
          <t>4290589</t>
        </is>
      </c>
      <c r="B2146" s="2"/>
      <c r="C2146"/>
      <c r="D2146" s="3">
        <v>46128.7525</v>
      </c>
      <c r="E2146" t="inlineStr">
        <is>
          <t>Q2-W02</t>
        </is>
      </c>
      <c r="F2146" t="inlineStr">
        <is>
          <t>Ratha</t>
        </is>
      </c>
      <c r="G2146" t="inlineStr">
        <is>
          <t>Lead</t>
        </is>
      </c>
      <c r="H2146" s="2" t="str">
        <f>=HYPERLINK("https://upbox.ajobthing.my/leads/4290589", "https://upbox.ajobthing.my/leads/4290589")</f>
        <v>https://upbox.ajobthing.my/leads/4290589</v>
      </c>
      <c r="I2146" t="inlineStr">
        <is>
          <t>FWD Insurance</t>
        </is>
      </c>
      <c r="J2146" t="inlineStr">
        <is>
          <t>Whale</t>
        </is>
      </c>
      <c r="K2146" t="inlineStr">
        <is>
          <t>Ratha</t>
        </is>
      </c>
      <c r="L2146" s="4"/>
      <c r="M2146" s="4">
        <v>46128.7533912037</v>
      </c>
      <c r="N2146"/>
      <c r="O2146">
        <v>3888</v>
      </c>
      <c r="P2146" s="4"/>
      <c r="Q2146" s="4"/>
      <c r="R2146"/>
      <c r="S2146"/>
      <c r="T2146" s="4"/>
      <c r="U2146" s="4"/>
      <c r="V2146"/>
      <c r="W2146"/>
      <c r="X2146"/>
      <c r="Y2146" t="inlineStr">
        <is>
          <t>Pending Appointment</t>
        </is>
      </c>
      <c r="Z2146" t="inlineStr">
        <is>
          <t>Continuous Hiring</t>
        </is>
      </c>
      <c r="AA2146">
        <v>10</v>
      </c>
      <c r="AB2146" t="inlineStr">
        <is>
          <t>No Appointment Made</t>
        </is>
      </c>
      <c r="AC2146"/>
      <c r="AD2146" t="inlineStr">
        <is>
          <t>Insurance Agent :10
Location : Sabah</t>
        </is>
      </c>
      <c r="AE2146"/>
      <c r="AF2146"/>
      <c r="AG2146" s="4"/>
      <c r="AH2146" s="4"/>
      <c r="AI2146">
        <v>0</v>
      </c>
      <c r="AJ2146">
        <v>1</v>
      </c>
      <c r="AK2146" t="inlineStr">
        <is>
          <t>Yes, I have</t>
        </is>
      </c>
      <c r="AL2146">
        <v>2</v>
      </c>
      <c r="AM2146" t="inlineStr">
        <is>
          <t>No, I don't need at all</t>
        </is>
      </c>
      <c r="AN2146"/>
      <c r="AO2146" t="inlineStr">
        <is>
          <t>No, I don't need at all</t>
        </is>
      </c>
      <c r="AP2146" t="inlineStr">
        <is>
          <t>Every month (100%)</t>
        </is>
      </c>
      <c r="AQ2146">
        <v>0</v>
      </c>
      <c r="AR2146" t="inlineStr">
        <is>
          <t>Hiredly, Free Job Portal</t>
        </is>
      </c>
      <c r="AS2146" t="inlineStr">
        <is>
          <t>- Headcount: 10
- Hiring Job Details: 10 Insurance Agent
- Hiring Urgency: Continuous Hiring
- Number of outlets: 1
- Have recruiter team: Yes
- Number of recruiter in company: 2
- Have ATS system: No, I don't need at all
- Have career website: No, I don't need at all
- Current hiring budget: RM (empty)
- Whole year budget: RM0.00
- Whole year number of vacancies: 0
- Hiring frequency: Every month (100%)
- External job portal: Hiredly, Free Job Portal</t>
        </is>
      </c>
      <c r="AT2146">
        <v>100</v>
      </c>
      <c r="AU2146" t="inlineStr">
        <is>
          <t>1.00</t>
        </is>
      </c>
      <c r="AV2146" t="inlineStr">
        <is>
          <t>10</t>
        </is>
      </c>
      <c r="AW2146" t="inlineStr">
        <is>
          <t>0</t>
        </is>
      </c>
      <c r="AX2146" t="inlineStr">
        <is>
          <t>Not Qualified</t>
        </is>
      </c>
      <c r="AY2146" s="4"/>
      <c r="AZ2146"/>
      <c r="BA2146"/>
      <c r="BB2146"/>
      <c r="BC2146"/>
      <c r="BD2146" s="4"/>
      <c r="BE2146"/>
      <c r="BF2146"/>
      <c r="BG2146" t="inlineStr">
        <is>
          <t>Reschedule</t>
        </is>
      </c>
      <c r="BH2146" t="inlineStr">
        <is>
          <t>Fauziah Maharan</t>
        </is>
      </c>
      <c r="BI2146"/>
      <c r="BJ2146" s="4">
        <v>46144.75585648148</v>
      </c>
      <c r="BK2146" s="4">
        <v>46128.71728009259</v>
      </c>
      <c r="BL2146" t="inlineStr">
        <is>
          <t>0.0</t>
        </is>
      </c>
      <c r="BM2146" t="inlineStr">
        <is>
          <t>7350.0</t>
        </is>
      </c>
      <c r="BN2146"/>
      <c r="BO2146" s="4"/>
      <c r="BP2146">
        <v>167513</v>
      </c>
      <c r="BQ2146"/>
      <c r="BR2146"/>
      <c r="BS2146"/>
      <c r="BT2146"/>
      <c r="BU2146"/>
      <c r="BV2146"/>
      <c r="BW2146"/>
      <c r="BX2146"/>
      <c r="BY2146"/>
      <c r="BZ2146" s="4"/>
      <c r="CA2146"/>
      <c r="CB2146"/>
      <c r="CC2146" s="4"/>
      <c r="CD2146" t="inlineStr">
        <is>
          <t>15</t>
        </is>
      </c>
      <c r="CE2146" t="inlineStr">
        <is>
          <t>0</t>
        </is>
      </c>
      <c r="CF2146" t="inlineStr">
        <is>
          <t>Q2-W02</t>
        </is>
      </c>
      <c r="CG2146"/>
      <c r="CH2146"/>
      <c r="CI2146"/>
      <c r="CJ2146" t="inlineStr">
        <is>
          <t>No Paid</t>
        </is>
      </c>
      <c r="CK2146" t="inlineStr">
        <is>
          <t>Eligible</t>
        </is>
      </c>
      <c r="CL2146"/>
      <c r="CM2146"/>
    </row>
    <row r="2147" ht="25.5" customHeight="1">
      <c r="A2147" t="inlineStr">
        <is>
          <t>177691</t>
        </is>
      </c>
      <c r="B2147" s="2"/>
      <c r="C2147"/>
      <c r="D2147" s="3">
        <v>46128.760659722226</v>
      </c>
      <c r="E2147" t="inlineStr">
        <is>
          <t>Q2-W02</t>
        </is>
      </c>
      <c r="F2147" t="inlineStr">
        <is>
          <t>Yuli</t>
        </is>
      </c>
      <c r="G2147" t="inlineStr">
        <is>
          <t>Customer</t>
        </is>
      </c>
      <c r="H2147" s="2" t="str">
        <f>=HYPERLINK("https://upbox.ajobthing.my/customer/177691", "https://upbox.ajobthing.my/customer/177691")</f>
        <v>https://upbox.ajobthing.my/customer/177691</v>
      </c>
      <c r="I2147" t="inlineStr">
        <is>
          <t>Tongda Smart Tech (M) Sdn Bhd</t>
        </is>
      </c>
      <c r="J2147" t="inlineStr">
        <is>
          <t>Whale</t>
        </is>
      </c>
      <c r="K2147" t="inlineStr">
        <is>
          <t>YuLi</t>
        </is>
      </c>
      <c r="L2147" s="4"/>
      <c r="M2147" s="4">
        <v>46129.35728009259</v>
      </c>
      <c r="N2147"/>
      <c r="O2147">
        <v>11448</v>
      </c>
      <c r="P2147" s="4"/>
      <c r="Q2147" s="4">
        <v>46063.40130787037</v>
      </c>
      <c r="R2147"/>
      <c r="S2147">
        <v>0</v>
      </c>
      <c r="T2147" s="4">
        <v>46002.93357638889</v>
      </c>
      <c r="U2147" s="4"/>
      <c r="V2147"/>
      <c r="W2147">
        <v>5184</v>
      </c>
      <c r="X2147"/>
      <c r="Y2147" t="inlineStr">
        <is>
          <t>Pending Appointment</t>
        </is>
      </c>
      <c r="Z2147" t="inlineStr">
        <is>
          <t>Hiring Now</t>
        </is>
      </c>
      <c r="AA2147">
        <v>4</v>
      </c>
      <c r="AB2147" t="inlineStr">
        <is>
          <t>No Appointment Made</t>
        </is>
      </c>
      <c r="AC2147"/>
      <c r="AD2147" t="inlineStr">
        <is>
          <t>maintenance Engineer, Automation Engineer, Supervisor and Planner, Engineer can be mandarin or non mandarin, but for supervisor and planner require mandarin</t>
        </is>
      </c>
      <c r="AE2147"/>
      <c r="AF2147"/>
      <c r="AG2147" s="4"/>
      <c r="AH2147" s="4"/>
      <c r="AI2147"/>
      <c r="AJ2147"/>
      <c r="AK2147"/>
      <c r="AL2147"/>
      <c r="AM2147"/>
      <c r="AN2147"/>
      <c r="AO2147"/>
      <c r="AP2147"/>
      <c r="AQ2147"/>
      <c r="AR2147" t="inlineStr">
        <is>
          <t>Jobstreet</t>
        </is>
      </c>
      <c r="AS2147" t="inlineStr">
        <is>
          <t>- Headcount: 4
- Hiring Job Details: maintenance Engineer, Automation Engineer, Supervisor and Planner; Engineers can be mandarin or non-mandarin, Supervisor and Planner require mandarin
- Number of outlets: N/A
- Have recruiter team: N/A
- Number of recruiter in company: N/A
- Have ATS system: N/A
- Have career website: N/A
- Current hiring budget: N/A
- Whole year budget: N/A
- Whole year number of vacancies: N/A
- Hiring frequency: N/A
- External job portal: Jobstreet
- Hiring Urgency: Hiring Now</t>
        </is>
      </c>
      <c r="AT2147">
        <v>65</v>
      </c>
      <c r="AU2147" t="inlineStr">
        <is>
          <t>0.65</t>
        </is>
      </c>
      <c r="AV2147" t="inlineStr">
        <is>
          <t>5</t>
        </is>
      </c>
      <c r="AW2147" t="inlineStr">
        <is>
          <t>0</t>
        </is>
      </c>
      <c r="AX2147" t="inlineStr">
        <is>
          <t>Not Qualified</t>
        </is>
      </c>
      <c r="AY2147" s="4"/>
      <c r="AZ2147"/>
      <c r="BA2147"/>
      <c r="BB2147"/>
      <c r="BC2147" t="inlineStr">
        <is>
          <t>Received message from Ms. may not to proceed</t>
        </is>
      </c>
      <c r="BD2147" s="4">
        <v>46141.53355324074</v>
      </c>
      <c r="BE2147" t="inlineStr">
        <is>
          <t>paid</t>
        </is>
      </c>
      <c r="BF2147"/>
      <c r="BG2147" t="inlineStr">
        <is>
          <t>Reschedule</t>
        </is>
      </c>
      <c r="BH2147" t="inlineStr">
        <is>
          <t>Fauziah Maharan</t>
        </is>
      </c>
      <c r="BI2147" t="inlineStr">
        <is>
          <t>Manufacturing / Production</t>
        </is>
      </c>
      <c r="BJ2147" s="4">
        <v>46144.75171296296</v>
      </c>
      <c r="BK2147" s="4">
        <v>45406.66787037037</v>
      </c>
      <c r="BL2147" t="inlineStr">
        <is>
          <t>5184.0</t>
        </is>
      </c>
      <c r="BM2147" t="inlineStr">
        <is>
          <t>33600.0</t>
        </is>
      </c>
      <c r="BN2147" t="inlineStr">
        <is>
          <t>View Company Page</t>
        </is>
      </c>
      <c r="BO2147" s="4">
        <v>46140.70028935185</v>
      </c>
      <c r="BP2147">
        <v>167516</v>
      </c>
      <c r="BQ2147">
        <v>114901</v>
      </c>
      <c r="BR2147" t="inlineStr">
        <is>
          <t>Proforma</t>
        </is>
      </c>
      <c r="BS2147" t="inlineStr">
        <is>
          <t>A La Carte AI Job Ad Free</t>
        </is>
      </c>
      <c r="BT2147">
        <v>6864</v>
      </c>
      <c r="BU2147"/>
      <c r="BV2147">
        <v>2734978</v>
      </c>
      <c r="BW2147" t="inlineStr">
        <is>
          <t>Service / Technical : Job Outcome Enquiry</t>
        </is>
      </c>
      <c r="BX2147">
        <v>12</v>
      </c>
      <c r="BY2147">
        <v>1</v>
      </c>
      <c r="BZ2147" s="4">
        <v>46115.69042824074</v>
      </c>
      <c r="CA2147">
        <v>165</v>
      </c>
      <c r="CB2147">
        <v>156</v>
      </c>
      <c r="CC2147" s="4">
        <v>46139.787314814814</v>
      </c>
      <c r="CD2147" t="inlineStr">
        <is>
          <t>5</t>
        </is>
      </c>
      <c r="CE2147" t="inlineStr">
        <is>
          <t>0</t>
        </is>
      </c>
      <c r="CF2147" t="inlineStr">
        <is>
          <t>Q2-W03</t>
        </is>
      </c>
      <c r="CG2147" t="inlineStr">
        <is>
          <t>Q1-W06</t>
        </is>
      </c>
      <c r="CH2147"/>
      <c r="CI2147"/>
      <c r="CJ2147" t="inlineStr">
        <is>
          <t>Paid</t>
        </is>
      </c>
      <c r="CK2147" t="inlineStr">
        <is>
          <t>Eligible</t>
        </is>
      </c>
      <c r="CL2147"/>
      <c r="CM2147"/>
    </row>
    <row r="2148" ht="25.5" customHeight="1">
      <c r="A2148" t="inlineStr">
        <is>
          <t>4265948</t>
        </is>
      </c>
      <c r="B2148" s="2"/>
      <c r="C2148"/>
      <c r="D2148" s="3">
        <v>46122.43981481482</v>
      </c>
      <c r="E2148" t="inlineStr">
        <is>
          <t>Q2-W02</t>
        </is>
      </c>
      <c r="F2148" t="inlineStr">
        <is>
          <t>Josh</t>
        </is>
      </c>
      <c r="G2148" t="inlineStr">
        <is>
          <t>Lead</t>
        </is>
      </c>
      <c r="H2148" s="2" t="str">
        <f>=HYPERLINK("https://upbox.ajobthing.my/leads/4265948", "https://upbox.ajobthing.my/leads/4265948")</f>
        <v>https://upbox.ajobthing.my/leads/4265948</v>
      </c>
      <c r="I2148" t="inlineStr">
        <is>
          <t>Mr snackish</t>
        </is>
      </c>
      <c r="J2148"/>
      <c r="K2148" t="inlineStr">
        <is>
          <t>Josh</t>
        </is>
      </c>
      <c r="L2148" s="4"/>
      <c r="M2148" s="4">
        <v>46122.44013888889</v>
      </c>
      <c r="N2148"/>
      <c r="O2148">
        <v>3888</v>
      </c>
      <c r="P2148" s="4"/>
      <c r="Q2148" s="4"/>
      <c r="R2148"/>
      <c r="S2148"/>
      <c r="T2148" s="4"/>
      <c r="U2148" s="4"/>
      <c r="V2148"/>
      <c r="W2148"/>
      <c r="X2148"/>
      <c r="Y2148" t="inlineStr">
        <is>
          <t>Pending Appointment</t>
        </is>
      </c>
      <c r="Z2148" t="inlineStr">
        <is>
          <t>Hiring Now</t>
        </is>
      </c>
      <c r="AA2148">
        <v>3</v>
      </c>
      <c r="AB2148" t="inlineStr">
        <is>
          <t>No Appointment Made</t>
        </is>
      </c>
      <c r="AC2148"/>
      <c r="AD2148" t="inlineStr">
        <is>
          <t>1 barista, 1 cashier,  1 kitchen helper</t>
        </is>
      </c>
      <c r="AE2148"/>
      <c r="AF2148">
        <v>1000</v>
      </c>
      <c r="AG2148" s="4"/>
      <c r="AH2148" s="4"/>
      <c r="AI2148"/>
      <c r="AJ2148"/>
      <c r="AK2148" t="inlineStr">
        <is>
          <t>Yes, I have</t>
        </is>
      </c>
      <c r="AL2148"/>
      <c r="AM2148"/>
      <c r="AN2148"/>
      <c r="AO2148"/>
      <c r="AP2148" t="inlineStr">
        <is>
          <t>Once a year (25%)</t>
        </is>
      </c>
      <c r="AQ2148"/>
      <c r="AR2148"/>
      <c r="AS2148" t="inlineStr">
        <is>
          <t>- Headcount: 3
- Hiring Job Details: 1 barista, 1 cashier, 1 kitchen helper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148">
        <v>95</v>
      </c>
      <c r="AU2148" t="inlineStr">
        <is>
          <t>0.95</t>
        </is>
      </c>
      <c r="AV2148" t="inlineStr">
        <is>
          <t>15</t>
        </is>
      </c>
      <c r="AW2148" t="inlineStr">
        <is>
          <t>0</t>
        </is>
      </c>
      <c r="AX2148" t="inlineStr">
        <is>
          <t>Not Qualified</t>
        </is>
      </c>
      <c r="AY2148" s="4"/>
      <c r="AZ2148"/>
      <c r="BA2148"/>
      <c r="BB2148"/>
      <c r="BC2148"/>
      <c r="BD2148" s="4"/>
      <c r="BE2148"/>
      <c r="BF2148"/>
      <c r="BG2148" t="inlineStr">
        <is>
          <t>Reschedule</t>
        </is>
      </c>
      <c r="BH2148" t="inlineStr">
        <is>
          <t>Fauziah Maharan</t>
        </is>
      </c>
      <c r="BI2148"/>
      <c r="BJ2148" s="4">
        <v>46144.75578703704</v>
      </c>
      <c r="BK2148" s="4">
        <v>46121.76898148148</v>
      </c>
      <c r="BL2148"/>
      <c r="BM2148"/>
      <c r="BN2148"/>
      <c r="BO2148" s="4"/>
      <c r="BP2148">
        <v>166352</v>
      </c>
      <c r="BQ2148"/>
      <c r="BR2148"/>
      <c r="BS2148"/>
      <c r="BT2148"/>
      <c r="BU2148"/>
      <c r="BV2148"/>
      <c r="BW2148"/>
      <c r="BX2148"/>
      <c r="BY2148"/>
      <c r="BZ2148" s="4"/>
      <c r="CA2148"/>
      <c r="CB2148"/>
      <c r="CC2148" s="4"/>
      <c r="CD2148" t="inlineStr">
        <is>
          <t>20</t>
        </is>
      </c>
      <c r="CE2148" t="inlineStr">
        <is>
          <t>0</t>
        </is>
      </c>
      <c r="CF2148" t="inlineStr">
        <is>
          <t>Q2-W02</t>
        </is>
      </c>
      <c r="CG2148"/>
      <c r="CH2148"/>
      <c r="CI2148"/>
      <c r="CJ2148" t="inlineStr">
        <is>
          <t>No Paid</t>
        </is>
      </c>
      <c r="CK2148" t="inlineStr">
        <is>
          <t>Not Eligible</t>
        </is>
      </c>
      <c r="CL2148"/>
      <c r="CM2148"/>
    </row>
    <row r="2149" ht="25.5" customHeight="1">
      <c r="A2149" t="inlineStr">
        <is>
          <t>4266590</t>
        </is>
      </c>
      <c r="B2149" s="2"/>
      <c r="C2149"/>
      <c r="D2149" s="3">
        <v>46122.447384259256</v>
      </c>
      <c r="E2149" t="inlineStr">
        <is>
          <t>Q2-W02</t>
        </is>
      </c>
      <c r="F2149" t="inlineStr">
        <is>
          <t>Ken Yi</t>
        </is>
      </c>
      <c r="G2149" t="inlineStr">
        <is>
          <t>Lead</t>
        </is>
      </c>
      <c r="H2149" s="2" t="str">
        <f>=HYPERLINK("https://upbox.ajobthing.my/leads/4266590", "https://upbox.ajobthing.my/leads/4266590")</f>
        <v>https://upbox.ajobthing.my/leads/4266590</v>
      </c>
      <c r="I2149" t="inlineStr">
        <is>
          <t>Citrus Hotel Johor Bahru</t>
        </is>
      </c>
      <c r="J2149"/>
      <c r="K2149" t="inlineStr">
        <is>
          <t>Kenyi</t>
        </is>
      </c>
      <c r="L2149" s="4"/>
      <c r="M2149" s="4">
        <v>46122.44912037037</v>
      </c>
      <c r="N2149"/>
      <c r="O2149">
        <v>3888</v>
      </c>
      <c r="P2149" s="4"/>
      <c r="Q2149" s="4"/>
      <c r="R2149"/>
      <c r="S2149"/>
      <c r="T2149" s="4"/>
      <c r="U2149" s="4"/>
      <c r="V2149"/>
      <c r="W2149"/>
      <c r="X2149"/>
      <c r="Y2149" t="inlineStr">
        <is>
          <t>Pending Appointment</t>
        </is>
      </c>
      <c r="Z2149" t="inlineStr">
        <is>
          <t>Hiring Now</t>
        </is>
      </c>
      <c r="AA2149">
        <v>3</v>
      </c>
      <c r="AB2149" t="inlineStr">
        <is>
          <t>No Appointment Made</t>
        </is>
      </c>
      <c r="AC2149"/>
      <c r="AD2149" t="inlineStr">
        <is>
          <t>Hr 1, Marketing 1, Front office 1</t>
        </is>
      </c>
      <c r="AE2149"/>
      <c r="AF2149">
        <v>0</v>
      </c>
      <c r="AG2149" s="4"/>
      <c r="AH2149" s="4"/>
      <c r="AI2149">
        <v>0</v>
      </c>
      <c r="AJ2149">
        <v>1</v>
      </c>
      <c r="AK2149" t="inlineStr">
        <is>
          <t>Yes, I have</t>
        </is>
      </c>
      <c r="AL2149">
        <v>1</v>
      </c>
      <c r="AM2149" t="inlineStr">
        <is>
          <t>No, I don't need at all</t>
        </is>
      </c>
      <c r="AN2149"/>
      <c r="AO2149" t="inlineStr">
        <is>
          <t>No, I don't need at all</t>
        </is>
      </c>
      <c r="AP2149" t="inlineStr">
        <is>
          <t>Every month (100%)</t>
        </is>
      </c>
      <c r="AQ2149">
        <v>3</v>
      </c>
      <c r="AR2149" t="inlineStr">
        <is>
          <t>Linkedin (Paid), Jobstreet</t>
        </is>
      </c>
      <c r="AS2149" t="inlineStr">
        <is>
          <t>- Headcount: 3
- Hiring Job Details: Hr 1, Marketing 1, Front office 1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Linkedin (Paid),Jobstreet</t>
        </is>
      </c>
      <c r="AT2149">
        <v>110</v>
      </c>
      <c r="AU2149" t="inlineStr">
        <is>
          <t>1.10</t>
        </is>
      </c>
      <c r="AV2149" t="inlineStr">
        <is>
          <t>15</t>
        </is>
      </c>
      <c r="AW2149" t="inlineStr">
        <is>
          <t>0</t>
        </is>
      </c>
      <c r="AX2149" t="inlineStr">
        <is>
          <t>Not Qualified</t>
        </is>
      </c>
      <c r="AY2149" s="4"/>
      <c r="AZ2149"/>
      <c r="BA2149"/>
      <c r="BB2149"/>
      <c r="BC2149"/>
      <c r="BD2149" s="4"/>
      <c r="BE2149"/>
      <c r="BF2149"/>
      <c r="BG2149" t="inlineStr">
        <is>
          <t>Reschedule</t>
        </is>
      </c>
      <c r="BH2149" t="inlineStr">
        <is>
          <t>Fauziah Maharan</t>
        </is>
      </c>
      <c r="BI2149"/>
      <c r="BJ2149" s="4">
        <v>46144.75578703704</v>
      </c>
      <c r="BK2149" s="4">
        <v>46121.97372685185</v>
      </c>
      <c r="BL2149"/>
      <c r="BM2149"/>
      <c r="BN2149"/>
      <c r="BO2149" s="4"/>
      <c r="BP2149">
        <v>166354</v>
      </c>
      <c r="BQ2149"/>
      <c r="BR2149"/>
      <c r="BS2149"/>
      <c r="BT2149"/>
      <c r="BU2149"/>
      <c r="BV2149"/>
      <c r="BW2149"/>
      <c r="BX2149"/>
      <c r="BY2149"/>
      <c r="BZ2149" s="4"/>
      <c r="CA2149"/>
      <c r="CB2149"/>
      <c r="CC2149" s="4"/>
      <c r="CD2149" t="inlineStr">
        <is>
          <t>20</t>
        </is>
      </c>
      <c r="CE2149" t="inlineStr">
        <is>
          <t>0</t>
        </is>
      </c>
      <c r="CF2149" t="inlineStr">
        <is>
          <t>Q2-W02</t>
        </is>
      </c>
      <c r="CG2149"/>
      <c r="CH2149"/>
      <c r="CI2149"/>
      <c r="CJ2149" t="inlineStr">
        <is>
          <t>No Paid</t>
        </is>
      </c>
      <c r="CK2149" t="inlineStr">
        <is>
          <t>Not Eligible</t>
        </is>
      </c>
      <c r="CL2149"/>
      <c r="CM2149"/>
    </row>
    <row r="2150" ht="25.5" customHeight="1">
      <c r="A2150" t="inlineStr">
        <is>
          <t>4265788</t>
        </is>
      </c>
      <c r="B2150" s="2"/>
      <c r="C2150"/>
      <c r="D2150" s="3">
        <v>46122.46256944445</v>
      </c>
      <c r="E2150" t="inlineStr">
        <is>
          <t>Q2-W02</t>
        </is>
      </c>
      <c r="F2150" t="inlineStr">
        <is>
          <t>Janice Yap</t>
        </is>
      </c>
      <c r="G2150" t="inlineStr">
        <is>
          <t>Lead</t>
        </is>
      </c>
      <c r="H2150" s="2" t="str">
        <f>=HYPERLINK("https://upbox.ajobthing.my/leads/4265788", "https://upbox.ajobthing.my/leads/4265788")</f>
        <v>https://upbox.ajobthing.my/leads/4265788</v>
      </c>
      <c r="I2150" t="inlineStr">
        <is>
          <t xml:space="preserve">SlimHaus Technology Sdn Bhd </t>
        </is>
      </c>
      <c r="J2150"/>
      <c r="K2150" t="inlineStr">
        <is>
          <t>Janice</t>
        </is>
      </c>
      <c r="L2150" s="4"/>
      <c r="M2150" s="4">
        <v>46122.46010416667</v>
      </c>
      <c r="N2150"/>
      <c r="O2150">
        <v>3888</v>
      </c>
      <c r="P2150" s="4"/>
      <c r="Q2150" s="4"/>
      <c r="R2150"/>
      <c r="S2150"/>
      <c r="T2150" s="4"/>
      <c r="U2150" s="4"/>
      <c r="V2150"/>
      <c r="W2150"/>
      <c r="X2150"/>
      <c r="Y2150" t="inlineStr">
        <is>
          <t>Pending Appointment</t>
        </is>
      </c>
      <c r="Z2150" t="inlineStr">
        <is>
          <t>Hiring Now</t>
        </is>
      </c>
      <c r="AA2150">
        <v>1</v>
      </c>
      <c r="AB2150" t="inlineStr">
        <is>
          <t>No Appointment Made</t>
        </is>
      </c>
      <c r="AC2150"/>
      <c r="AD2150" t="inlineStr">
        <is>
          <t>1 designer</t>
        </is>
      </c>
      <c r="AE2150"/>
      <c r="AF2150">
        <v>0</v>
      </c>
      <c r="AG2150" s="4"/>
      <c r="AH2150" s="4"/>
      <c r="AI2150">
        <v>0</v>
      </c>
      <c r="AJ2150"/>
      <c r="AK2150" t="inlineStr">
        <is>
          <t>No, I don't need at all</t>
        </is>
      </c>
      <c r="AL2150">
        <v>0</v>
      </c>
      <c r="AM2150" t="inlineStr">
        <is>
          <t>No, I don't need at all</t>
        </is>
      </c>
      <c r="AN2150"/>
      <c r="AO2150" t="inlineStr">
        <is>
          <t>No, I don't need at all</t>
        </is>
      </c>
      <c r="AP2150" t="inlineStr">
        <is>
          <t>Once a year (25%)</t>
        </is>
      </c>
      <c r="AQ2150">
        <v>1</v>
      </c>
      <c r="AR2150"/>
      <c r="AS2150" t="inlineStr">
        <is>
          <t>- Headcount: 1
- Hiring Job Details: 1 designer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is>
      </c>
      <c r="AT2150">
        <v>110</v>
      </c>
      <c r="AU2150" t="inlineStr">
        <is>
          <t>1.10</t>
        </is>
      </c>
      <c r="AV2150" t="inlineStr">
        <is>
          <t>15</t>
        </is>
      </c>
      <c r="AW2150" t="inlineStr">
        <is>
          <t>0</t>
        </is>
      </c>
      <c r="AX2150" t="inlineStr">
        <is>
          <t>Not Qualified</t>
        </is>
      </c>
      <c r="AY2150" s="4"/>
      <c r="AZ2150"/>
      <c r="BA2150"/>
      <c r="BB2150"/>
      <c r="BC2150"/>
      <c r="BD2150" s="4"/>
      <c r="BE2150"/>
      <c r="BF2150"/>
      <c r="BG2150" t="inlineStr">
        <is>
          <t>Reschedule</t>
        </is>
      </c>
      <c r="BH2150" t="inlineStr">
        <is>
          <t>Yee Hang</t>
        </is>
      </c>
      <c r="BI2150"/>
      <c r="BJ2150" s="4">
        <v>46144.75578703704</v>
      </c>
      <c r="BK2150" s="4">
        <v>46121.743738425925</v>
      </c>
      <c r="BL2150"/>
      <c r="BM2150"/>
      <c r="BN2150"/>
      <c r="BO2150" s="4"/>
      <c r="BP2150">
        <v>166370</v>
      </c>
      <c r="BQ2150"/>
      <c r="BR2150"/>
      <c r="BS2150"/>
      <c r="BT2150"/>
      <c r="BU2150"/>
      <c r="BV2150"/>
      <c r="BW2150"/>
      <c r="BX2150"/>
      <c r="BY2150"/>
      <c r="BZ2150" s="4"/>
      <c r="CA2150"/>
      <c r="CB2150"/>
      <c r="CC2150" s="4"/>
      <c r="CD2150" t="inlineStr">
        <is>
          <t>20</t>
        </is>
      </c>
      <c r="CE2150" t="inlineStr">
        <is>
          <t>0</t>
        </is>
      </c>
      <c r="CF2150" t="inlineStr">
        <is>
          <t>Q2-W02</t>
        </is>
      </c>
      <c r="CG2150"/>
      <c r="CH2150"/>
      <c r="CI2150"/>
      <c r="CJ2150" t="inlineStr">
        <is>
          <t>No Paid</t>
        </is>
      </c>
      <c r="CK2150" t="inlineStr">
        <is>
          <t>Not Eligible</t>
        </is>
      </c>
      <c r="CL2150"/>
      <c r="CM2150"/>
    </row>
    <row r="2151" ht="25.5" customHeight="1">
      <c r="A2151" t="inlineStr">
        <is>
          <t>4268367</t>
        </is>
      </c>
      <c r="B2151" s="2"/>
      <c r="C2151"/>
      <c r="D2151" s="3">
        <v>46122.477013888885</v>
      </c>
      <c r="E2151" t="inlineStr">
        <is>
          <t>Q2-W02</t>
        </is>
      </c>
      <c r="F2151" t="inlineStr">
        <is>
          <t>Lucas</t>
        </is>
      </c>
      <c r="G2151" t="inlineStr">
        <is>
          <t>Lead</t>
        </is>
      </c>
      <c r="H2151" s="2" t="str">
        <f>=HYPERLINK("https://upbox.ajobthing.my/leads/4268367", "https://upbox.ajobthing.my/leads/4268367")</f>
        <v>https://upbox.ajobthing.my/leads/4268367</v>
      </c>
      <c r="I2151" t="inlineStr">
        <is>
          <t>Marisa</t>
        </is>
      </c>
      <c r="J2151"/>
      <c r="K2151" t="inlineStr">
        <is>
          <t>Lucas</t>
        </is>
      </c>
      <c r="L2151" s="4"/>
      <c r="M2151" s="4">
        <v>46122.47603009259</v>
      </c>
      <c r="N2151"/>
      <c r="O2151">
        <v>3888</v>
      </c>
      <c r="P2151" s="4"/>
      <c r="Q2151" s="4"/>
      <c r="R2151"/>
      <c r="S2151"/>
      <c r="T2151" s="4"/>
      <c r="U2151" s="4"/>
      <c r="V2151"/>
      <c r="W2151"/>
      <c r="X2151"/>
      <c r="Y2151" t="inlineStr">
        <is>
          <t>Pending Appointment</t>
        </is>
      </c>
      <c r="Z2151" t="inlineStr">
        <is>
          <t>Hiring Now</t>
        </is>
      </c>
      <c r="AA2151">
        <v>2</v>
      </c>
      <c r="AB2151" t="inlineStr">
        <is>
          <t>No Appointment Made</t>
        </is>
      </c>
      <c r="AC2151"/>
      <c r="AD2151" t="inlineStr">
        <is>
          <t>1 wherehouse assistance  , 1 marketing content  creator</t>
        </is>
      </c>
      <c r="AE2151"/>
      <c r="AF2151">
        <v>0</v>
      </c>
      <c r="AG2151" s="4"/>
      <c r="AH2151" s="4"/>
      <c r="AI2151">
        <v>0</v>
      </c>
      <c r="AJ2151">
        <v>0</v>
      </c>
      <c r="AK2151" t="inlineStr">
        <is>
          <t>No, I don't need at all</t>
        </is>
      </c>
      <c r="AL2151">
        <v>0</v>
      </c>
      <c r="AM2151" t="inlineStr">
        <is>
          <t>No, I don't need at all</t>
        </is>
      </c>
      <c r="AN2151"/>
      <c r="AO2151" t="inlineStr">
        <is>
          <t>No, I don't need at all</t>
        </is>
      </c>
      <c r="AP2151" t="inlineStr">
        <is>
          <t>Once a year (25%)</t>
        </is>
      </c>
      <c r="AQ2151">
        <v>2</v>
      </c>
      <c r="AR2151" t="inlineStr">
        <is>
          <t>Did not use any job portal</t>
        </is>
      </c>
      <c r="AS2151" t="inlineStr">
        <is>
          <t>- Headcount: 2
- Hiring Job Details: 1 warehouse assistant, 1 marketing content creator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2151">
        <v>115</v>
      </c>
      <c r="AU2151" t="inlineStr">
        <is>
          <t>1.15</t>
        </is>
      </c>
      <c r="AV2151" t="inlineStr">
        <is>
          <t>15</t>
        </is>
      </c>
      <c r="AW2151" t="inlineStr">
        <is>
          <t>0</t>
        </is>
      </c>
      <c r="AX2151" t="inlineStr">
        <is>
          <t>Not Qualified</t>
        </is>
      </c>
      <c r="AY2151" s="4"/>
      <c r="AZ2151"/>
      <c r="BA2151"/>
      <c r="BB2151"/>
      <c r="BC2151"/>
      <c r="BD2151" s="4"/>
      <c r="BE2151"/>
      <c r="BF2151"/>
      <c r="BG2151" t="inlineStr">
        <is>
          <t>Reschedule</t>
        </is>
      </c>
      <c r="BH2151" t="inlineStr">
        <is>
          <t>Yee Hang</t>
        </is>
      </c>
      <c r="BI2151"/>
      <c r="BJ2151" s="4">
        <v>46144.75578703704</v>
      </c>
      <c r="BK2151" s="4">
        <v>46122.45914351852</v>
      </c>
      <c r="BL2151"/>
      <c r="BM2151"/>
      <c r="BN2151"/>
      <c r="BO2151" s="4"/>
      <c r="BP2151">
        <v>166383</v>
      </c>
      <c r="BQ2151"/>
      <c r="BR2151"/>
      <c r="BS2151"/>
      <c r="BT2151"/>
      <c r="BU2151"/>
      <c r="BV2151"/>
      <c r="BW2151"/>
      <c r="BX2151"/>
      <c r="BY2151"/>
      <c r="BZ2151" s="4"/>
      <c r="CA2151"/>
      <c r="CB2151"/>
      <c r="CC2151" s="4"/>
      <c r="CD2151" t="inlineStr">
        <is>
          <t>20</t>
        </is>
      </c>
      <c r="CE2151" t="inlineStr">
        <is>
          <t>0</t>
        </is>
      </c>
      <c r="CF2151" t="inlineStr">
        <is>
          <t>Q2-W02</t>
        </is>
      </c>
      <c r="CG2151"/>
      <c r="CH2151"/>
      <c r="CI2151"/>
      <c r="CJ2151" t="inlineStr">
        <is>
          <t>No Paid</t>
        </is>
      </c>
      <c r="CK2151" t="inlineStr">
        <is>
          <t>Not Eligible</t>
        </is>
      </c>
      <c r="CL2151"/>
      <c r="CM2151"/>
    </row>
    <row r="2152" ht="25.5" customHeight="1">
      <c r="A2152" t="inlineStr">
        <is>
          <t>4269403</t>
        </is>
      </c>
      <c r="B2152" s="2"/>
      <c r="C2152"/>
      <c r="D2152" s="3">
        <v>46122.64542824074</v>
      </c>
      <c r="E2152" t="inlineStr">
        <is>
          <t>Q2-W02</t>
        </is>
      </c>
      <c r="F2152" t="inlineStr">
        <is>
          <t>Chia Yee</t>
        </is>
      </c>
      <c r="G2152" t="inlineStr">
        <is>
          <t>Lead</t>
        </is>
      </c>
      <c r="H2152" s="2" t="str">
        <f>=HYPERLINK("https://upbox.ajobthing.my/leads/4269403", "https://upbox.ajobthing.my/leads/4269403")</f>
        <v>https://upbox.ajobthing.my/leads/4269403</v>
      </c>
      <c r="I2152" t="inlineStr">
        <is>
          <t>KPH Builders</t>
        </is>
      </c>
      <c r="J2152"/>
      <c r="K2152" t="inlineStr">
        <is>
          <t>Chia Yee</t>
        </is>
      </c>
      <c r="L2152" s="4"/>
      <c r="M2152" s="4">
        <v>46122.64665509259</v>
      </c>
      <c r="N2152"/>
      <c r="O2152">
        <v>3888</v>
      </c>
      <c r="P2152" s="4"/>
      <c r="Q2152" s="4"/>
      <c r="R2152"/>
      <c r="S2152"/>
      <c r="T2152" s="4"/>
      <c r="U2152" s="4"/>
      <c r="V2152"/>
      <c r="W2152"/>
      <c r="X2152"/>
      <c r="Y2152" t="inlineStr">
        <is>
          <t>Pending Appointment</t>
        </is>
      </c>
      <c r="Z2152" t="inlineStr">
        <is>
          <t>Hiring Now</t>
        </is>
      </c>
      <c r="AA2152">
        <v>1</v>
      </c>
      <c r="AB2152" t="inlineStr">
        <is>
          <t>No Appointment Made</t>
        </is>
      </c>
      <c r="AC2152"/>
      <c r="AD2152" t="inlineStr">
        <is>
          <t>1 Site Coordinator</t>
        </is>
      </c>
      <c r="AE2152"/>
      <c r="AF2152">
        <v>0</v>
      </c>
      <c r="AG2152" s="4"/>
      <c r="AH2152" s="4"/>
      <c r="AI2152">
        <v>0</v>
      </c>
      <c r="AJ2152">
        <v>1</v>
      </c>
      <c r="AK2152" t="inlineStr">
        <is>
          <t>No, I don't need at all</t>
        </is>
      </c>
      <c r="AL2152">
        <v>1</v>
      </c>
      <c r="AM2152" t="inlineStr">
        <is>
          <t>No, I don't need at all</t>
        </is>
      </c>
      <c r="AN2152"/>
      <c r="AO2152" t="inlineStr">
        <is>
          <t>No, I don't need at all</t>
        </is>
      </c>
      <c r="AP2152" t="inlineStr">
        <is>
          <t>Once a year (25%)</t>
        </is>
      </c>
      <c r="AQ2152">
        <v>1</v>
      </c>
      <c r="AR2152" t="inlineStr">
        <is>
          <t>Did not use any job portal</t>
        </is>
      </c>
      <c r="AS2152" t="inlineStr">
        <is>
          <t>- Headcount: 1
- Hiring Job Details: 1 Site Coordinator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152">
        <v>110</v>
      </c>
      <c r="AU2152" t="inlineStr">
        <is>
          <t>1.10</t>
        </is>
      </c>
      <c r="AV2152" t="inlineStr">
        <is>
          <t>15</t>
        </is>
      </c>
      <c r="AW2152" t="inlineStr">
        <is>
          <t>0</t>
        </is>
      </c>
      <c r="AX2152" t="inlineStr">
        <is>
          <t>Not Qualified</t>
        </is>
      </c>
      <c r="AY2152" s="4"/>
      <c r="AZ2152"/>
      <c r="BA2152"/>
      <c r="BB2152"/>
      <c r="BC2152"/>
      <c r="BD2152" s="4"/>
      <c r="BE2152"/>
      <c r="BF2152"/>
      <c r="BG2152" t="inlineStr">
        <is>
          <t>Reschedule</t>
        </is>
      </c>
      <c r="BH2152" t="inlineStr">
        <is>
          <t>Reagen</t>
        </is>
      </c>
      <c r="BI2152"/>
      <c r="BJ2152" s="4">
        <v>46144.75578703704</v>
      </c>
      <c r="BK2152" s="4">
        <v>46122.62023148148</v>
      </c>
      <c r="BL2152"/>
      <c r="BM2152"/>
      <c r="BN2152"/>
      <c r="BO2152" s="4"/>
      <c r="BP2152">
        <v>166477</v>
      </c>
      <c r="BQ2152"/>
      <c r="BR2152"/>
      <c r="BS2152"/>
      <c r="BT2152"/>
      <c r="BU2152"/>
      <c r="BV2152"/>
      <c r="BW2152"/>
      <c r="BX2152"/>
      <c r="BY2152"/>
      <c r="BZ2152" s="4"/>
      <c r="CA2152"/>
      <c r="CB2152"/>
      <c r="CC2152" s="4"/>
      <c r="CD2152" t="inlineStr">
        <is>
          <t>20</t>
        </is>
      </c>
      <c r="CE2152" t="inlineStr">
        <is>
          <t>0</t>
        </is>
      </c>
      <c r="CF2152" t="inlineStr">
        <is>
          <t>Q2-W02</t>
        </is>
      </c>
      <c r="CG2152"/>
      <c r="CH2152"/>
      <c r="CI2152"/>
      <c r="CJ2152" t="inlineStr">
        <is>
          <t>No Paid</t>
        </is>
      </c>
      <c r="CK2152" t="inlineStr">
        <is>
          <t>Not Eligible</t>
        </is>
      </c>
      <c r="CL2152"/>
      <c r="CM2152"/>
    </row>
    <row r="2153" ht="25.5" customHeight="1">
      <c r="A2153" t="inlineStr">
        <is>
          <t>4269451</t>
        </is>
      </c>
      <c r="B2153" s="2"/>
      <c r="C2153"/>
      <c r="D2153" s="3">
        <v>46122.66318287037</v>
      </c>
      <c r="E2153" t="inlineStr">
        <is>
          <t>Q2-W02</t>
        </is>
      </c>
      <c r="F2153" t="inlineStr">
        <is>
          <t>Josh</t>
        </is>
      </c>
      <c r="G2153" t="inlineStr">
        <is>
          <t>Lead</t>
        </is>
      </c>
      <c r="H2153" s="2" t="str">
        <f>=HYPERLINK("https://upbox.ajobthing.my/leads/4269451", "https://upbox.ajobthing.my/leads/4269451")</f>
        <v>https://upbox.ajobthing.my/leads/4269451</v>
      </c>
      <c r="I2153" t="inlineStr">
        <is>
          <t>Nilkamal Homes</t>
        </is>
      </c>
      <c r="J2153"/>
      <c r="K2153" t="inlineStr">
        <is>
          <t>Josh</t>
        </is>
      </c>
      <c r="L2153" s="4"/>
      <c r="M2153" s="4">
        <v>46122.66336805555</v>
      </c>
      <c r="N2153"/>
      <c r="O2153">
        <v>864</v>
      </c>
      <c r="P2153" s="4"/>
      <c r="Q2153" s="4"/>
      <c r="R2153"/>
      <c r="S2153"/>
      <c r="T2153" s="4"/>
      <c r="U2153" s="4"/>
      <c r="V2153"/>
      <c r="W2153"/>
      <c r="X2153"/>
      <c r="Y2153" t="inlineStr">
        <is>
          <t>Pending Appointment</t>
        </is>
      </c>
      <c r="Z2153" t="inlineStr">
        <is>
          <t>Hiring Now</t>
        </is>
      </c>
      <c r="AA2153">
        <v>1</v>
      </c>
      <c r="AB2153" t="inlineStr">
        <is>
          <t>No Appointment Made</t>
        </is>
      </c>
      <c r="AC2153"/>
      <c r="AD2153" t="inlineStr">
        <is>
          <t xml:space="preserve">customer service cum admin </t>
        </is>
      </c>
      <c r="AE2153"/>
      <c r="AF2153">
        <v>1000</v>
      </c>
      <c r="AG2153" s="4"/>
      <c r="AH2153" s="4"/>
      <c r="AI2153"/>
      <c r="AJ2153"/>
      <c r="AK2153" t="inlineStr">
        <is>
          <t>Yes, I have</t>
        </is>
      </c>
      <c r="AL2153"/>
      <c r="AM2153"/>
      <c r="AN2153"/>
      <c r="AO2153"/>
      <c r="AP2153" t="inlineStr">
        <is>
          <t>Once a year (25%)</t>
        </is>
      </c>
      <c r="AQ2153"/>
      <c r="AR2153"/>
      <c r="AS2153" t="inlineStr">
        <is>
          <t>- Headcount: 1
- Hiring Job Details: customer service cum admin
- Hiring Urgency: Hiring Now
- Number of outlets: N/A
- Have recruiter team: Yes
- Number of recruiter in company: N/A
- Have ATS system: N/A
- Have career website: N/A
- Current hiring budget: RM1,000.00
- Whole year budget: N/A
- Whole year number of vacancies: N/A
- Hiring frequency: Once a year (25%)
- External job portal: N/A</t>
        </is>
      </c>
      <c r="AT2153">
        <v>75</v>
      </c>
      <c r="AU2153" t="inlineStr">
        <is>
          <t>0.75</t>
        </is>
      </c>
      <c r="AV2153" t="inlineStr">
        <is>
          <t>15</t>
        </is>
      </c>
      <c r="AW2153" t="inlineStr">
        <is>
          <t>0</t>
        </is>
      </c>
      <c r="AX2153" t="inlineStr">
        <is>
          <t>Not Qualified</t>
        </is>
      </c>
      <c r="AY2153" s="4"/>
      <c r="AZ2153"/>
      <c r="BA2153"/>
      <c r="BB2153"/>
      <c r="BC2153"/>
      <c r="BD2153" s="4"/>
      <c r="BE2153"/>
      <c r="BF2153"/>
      <c r="BG2153" t="inlineStr">
        <is>
          <t>Reschedule</t>
        </is>
      </c>
      <c r="BH2153" t="inlineStr">
        <is>
          <t>Fauziah Maharan</t>
        </is>
      </c>
      <c r="BI2153"/>
      <c r="BJ2153" s="4">
        <v>46144.75578703704</v>
      </c>
      <c r="BK2153" s="4">
        <v>46122.62857638889</v>
      </c>
      <c r="BL2153"/>
      <c r="BM2153"/>
      <c r="BN2153"/>
      <c r="BO2153" s="4"/>
      <c r="BP2153">
        <v>166490</v>
      </c>
      <c r="BQ2153"/>
      <c r="BR2153"/>
      <c r="BS2153"/>
      <c r="BT2153"/>
      <c r="BU2153"/>
      <c r="BV2153"/>
      <c r="BW2153"/>
      <c r="BX2153"/>
      <c r="BY2153"/>
      <c r="BZ2153" s="4"/>
      <c r="CA2153"/>
      <c r="CB2153"/>
      <c r="CC2153" s="4"/>
      <c r="CD2153" t="inlineStr">
        <is>
          <t>20</t>
        </is>
      </c>
      <c r="CE2153" t="inlineStr">
        <is>
          <t>0</t>
        </is>
      </c>
      <c r="CF2153" t="inlineStr">
        <is>
          <t>Q2-W02</t>
        </is>
      </c>
      <c r="CG2153"/>
      <c r="CH2153"/>
      <c r="CI2153"/>
      <c r="CJ2153" t="inlineStr">
        <is>
          <t>No Paid</t>
        </is>
      </c>
      <c r="CK2153" t="inlineStr">
        <is>
          <t>Not Eligible</t>
        </is>
      </c>
      <c r="CL2153"/>
      <c r="CM2153"/>
    </row>
    <row r="2154" ht="25.5" customHeight="1">
      <c r="A2154" t="inlineStr">
        <is>
          <t>4271275</t>
        </is>
      </c>
      <c r="B2154" s="2"/>
      <c r="C2154"/>
      <c r="D2154" s="3">
        <v>46125.40268518519</v>
      </c>
      <c r="E2154" t="inlineStr">
        <is>
          <t>Q2-W02</t>
        </is>
      </c>
      <c r="F2154" t="inlineStr">
        <is>
          <t>Yuli</t>
        </is>
      </c>
      <c r="G2154" t="inlineStr">
        <is>
          <t>Lead</t>
        </is>
      </c>
      <c r="H2154" s="2" t="str">
        <f>=HYPERLINK("https://upbox.ajobthing.my/leads/4271275", "https://upbox.ajobthing.my/leads/4271275")</f>
        <v>https://upbox.ajobthing.my/leads/4271275</v>
      </c>
      <c r="I2154" t="inlineStr">
        <is>
          <t>R pharmacy</t>
        </is>
      </c>
      <c r="J2154"/>
      <c r="K2154" t="inlineStr">
        <is>
          <t>YuLi</t>
        </is>
      </c>
      <c r="L2154" s="4"/>
      <c r="M2154" s="4">
        <v>46125.43916666666</v>
      </c>
      <c r="N2154"/>
      <c r="O2154">
        <v>3888</v>
      </c>
      <c r="P2154" s="4"/>
      <c r="Q2154" s="4"/>
      <c r="R2154"/>
      <c r="S2154"/>
      <c r="T2154" s="4"/>
      <c r="U2154" s="4"/>
      <c r="V2154"/>
      <c r="W2154"/>
      <c r="X2154"/>
      <c r="Y2154" t="inlineStr">
        <is>
          <t>Pending Appointment</t>
        </is>
      </c>
      <c r="Z2154" t="inlineStr">
        <is>
          <t>Hiring Now</t>
        </is>
      </c>
      <c r="AA2154">
        <v>1</v>
      </c>
      <c r="AB2154" t="inlineStr">
        <is>
          <t>No Appointment Made</t>
        </is>
      </c>
      <c r="AC2154"/>
      <c r="AD2154" t="inlineStr">
        <is>
          <t>1 sales assistant</t>
        </is>
      </c>
      <c r="AE2154"/>
      <c r="AF2154"/>
      <c r="AG2154" s="4"/>
      <c r="AH2154" s="4"/>
      <c r="AI2154"/>
      <c r="AJ2154"/>
      <c r="AK2154"/>
      <c r="AL2154"/>
      <c r="AM2154"/>
      <c r="AN2154"/>
      <c r="AO2154"/>
      <c r="AP2154"/>
      <c r="AQ2154"/>
      <c r="AR2154" t="inlineStr">
        <is>
          <t>Did not use any job portal</t>
        </is>
      </c>
      <c r="AS2154" t="inlineStr">
        <is>
          <t>- Headcount: 1
- Hiring Job Details: 1 sales assistant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is>
      </c>
      <c r="AT2154">
        <v>80</v>
      </c>
      <c r="AU2154" t="inlineStr">
        <is>
          <t>0.80</t>
        </is>
      </c>
      <c r="AV2154" t="inlineStr">
        <is>
          <t>5</t>
        </is>
      </c>
      <c r="AW2154" t="inlineStr">
        <is>
          <t>0</t>
        </is>
      </c>
      <c r="AX2154" t="inlineStr">
        <is>
          <t>Not Qualified</t>
        </is>
      </c>
      <c r="AY2154" s="4"/>
      <c r="AZ2154"/>
      <c r="BA2154"/>
      <c r="BB2154"/>
      <c r="BC2154"/>
      <c r="BD2154" s="4"/>
      <c r="BE2154"/>
      <c r="BF2154"/>
      <c r="BG2154" t="inlineStr">
        <is>
          <t>Reschedule</t>
        </is>
      </c>
      <c r="BH2154" t="inlineStr">
        <is>
          <t>Fauziah Maharan</t>
        </is>
      </c>
      <c r="BI2154"/>
      <c r="BJ2154" s="4">
        <v>46144.75581018518</v>
      </c>
      <c r="BK2154" s="4">
        <v>46123.42086805555</v>
      </c>
      <c r="BL2154"/>
      <c r="BM2154"/>
      <c r="BN2154"/>
      <c r="BO2154" s="4"/>
      <c r="BP2154">
        <v>166647</v>
      </c>
      <c r="BQ2154"/>
      <c r="BR2154"/>
      <c r="BS2154"/>
      <c r="BT2154"/>
      <c r="BU2154"/>
      <c r="BV2154"/>
      <c r="BW2154"/>
      <c r="BX2154"/>
      <c r="BY2154"/>
      <c r="BZ2154" s="4"/>
      <c r="CA2154"/>
      <c r="CB2154"/>
      <c r="CC2154" s="4"/>
      <c r="CD2154" t="inlineStr">
        <is>
          <t>5</t>
        </is>
      </c>
      <c r="CE2154" t="inlineStr">
        <is>
          <t>0</t>
        </is>
      </c>
      <c r="CF2154" t="inlineStr">
        <is>
          <t>Q2-W02</t>
        </is>
      </c>
      <c r="CG2154"/>
      <c r="CH2154"/>
      <c r="CI2154"/>
      <c r="CJ2154" t="inlineStr">
        <is>
          <t>No Paid</t>
        </is>
      </c>
      <c r="CK2154" t="inlineStr">
        <is>
          <t>Not Eligible</t>
        </is>
      </c>
      <c r="CL2154"/>
      <c r="CM2154"/>
    </row>
    <row r="2155" ht="25.5" customHeight="1">
      <c r="A2155" t="inlineStr">
        <is>
          <t>4274249</t>
        </is>
      </c>
      <c r="B2155" s="2"/>
      <c r="C2155"/>
      <c r="D2155" s="3">
        <v>46125.43230324074</v>
      </c>
      <c r="E2155" t="inlineStr">
        <is>
          <t>Q2-W02</t>
        </is>
      </c>
      <c r="F2155" t="inlineStr">
        <is>
          <t>Lucas</t>
        </is>
      </c>
      <c r="G2155" t="inlineStr">
        <is>
          <t>Lead</t>
        </is>
      </c>
      <c r="H2155" s="2" t="str">
        <f>=HYPERLINK("https://upbox.ajobthing.my/leads/4274249", "https://upbox.ajobthing.my/leads/4274249")</f>
        <v>https://upbox.ajobthing.my/leads/4274249</v>
      </c>
      <c r="I2155" t="inlineStr">
        <is>
          <t>Turn Design Interior Sdn Bhd</t>
        </is>
      </c>
      <c r="J2155"/>
      <c r="K2155" t="inlineStr">
        <is>
          <t>Lucas</t>
        </is>
      </c>
      <c r="L2155" s="4"/>
      <c r="M2155" s="4">
        <v>46125.43138888889</v>
      </c>
      <c r="N2155"/>
      <c r="O2155">
        <v>3888</v>
      </c>
      <c r="P2155" s="4"/>
      <c r="Q2155" s="4"/>
      <c r="R2155"/>
      <c r="S2155"/>
      <c r="T2155" s="4"/>
      <c r="U2155" s="4"/>
      <c r="V2155"/>
      <c r="W2155"/>
      <c r="X2155"/>
      <c r="Y2155" t="inlineStr">
        <is>
          <t>Pending Appointment</t>
        </is>
      </c>
      <c r="Z2155" t="inlineStr">
        <is>
          <t>Hiring Now</t>
        </is>
      </c>
      <c r="AA2155">
        <v>1</v>
      </c>
      <c r="AB2155" t="inlineStr">
        <is>
          <t>No Appointment Made</t>
        </is>
      </c>
      <c r="AC2155"/>
      <c r="AD2155" t="inlineStr">
        <is>
          <t xml:space="preserve">1 interior design </t>
        </is>
      </c>
      <c r="AE2155"/>
      <c r="AF2155">
        <v>0</v>
      </c>
      <c r="AG2155" s="4"/>
      <c r="AH2155" s="4"/>
      <c r="AI2155">
        <v>0</v>
      </c>
      <c r="AJ2155">
        <v>0</v>
      </c>
      <c r="AK2155" t="inlineStr">
        <is>
          <t>No, I don't need at all</t>
        </is>
      </c>
      <c r="AL2155">
        <v>0</v>
      </c>
      <c r="AM2155" t="inlineStr">
        <is>
          <t>No, I don't need at all</t>
        </is>
      </c>
      <c r="AN2155"/>
      <c r="AO2155" t="inlineStr">
        <is>
          <t>No, I don't need at all</t>
        </is>
      </c>
      <c r="AP2155" t="inlineStr">
        <is>
          <t>Once a year (25%)</t>
        </is>
      </c>
      <c r="AQ2155">
        <v>1</v>
      </c>
      <c r="AR2155" t="inlineStr">
        <is>
          <t>Did not use any job portal</t>
        </is>
      </c>
      <c r="AS2155" t="inlineStr">
        <is>
          <t>- Headcount: 1
- Hiring Job Details: 1 interior design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155">
        <v>100</v>
      </c>
      <c r="AU2155" t="inlineStr">
        <is>
          <t>1.00</t>
        </is>
      </c>
      <c r="AV2155" t="inlineStr">
        <is>
          <t>15</t>
        </is>
      </c>
      <c r="AW2155" t="inlineStr">
        <is>
          <t>0</t>
        </is>
      </c>
      <c r="AX2155" t="inlineStr">
        <is>
          <t>Not Qualified</t>
        </is>
      </c>
      <c r="AY2155" s="4"/>
      <c r="AZ2155"/>
      <c r="BA2155"/>
      <c r="BB2155"/>
      <c r="BC2155"/>
      <c r="BD2155" s="4"/>
      <c r="BE2155"/>
      <c r="BF2155"/>
      <c r="BG2155" t="inlineStr">
        <is>
          <t>Reschedule</t>
        </is>
      </c>
      <c r="BH2155" t="inlineStr">
        <is>
          <t>Yee Hang</t>
        </is>
      </c>
      <c r="BI2155"/>
      <c r="BJ2155" s="4">
        <v>46144.75581018518</v>
      </c>
      <c r="BK2155" s="4">
        <v>46124.78361111111</v>
      </c>
      <c r="BL2155"/>
      <c r="BM2155"/>
      <c r="BN2155"/>
      <c r="BO2155" s="4"/>
      <c r="BP2155">
        <v>166644</v>
      </c>
      <c r="BQ2155"/>
      <c r="BR2155"/>
      <c r="BS2155"/>
      <c r="BT2155"/>
      <c r="BU2155"/>
      <c r="BV2155"/>
      <c r="BW2155"/>
      <c r="BX2155"/>
      <c r="BY2155"/>
      <c r="BZ2155" s="4"/>
      <c r="CA2155"/>
      <c r="CB2155"/>
      <c r="CC2155" s="4"/>
      <c r="CD2155" t="inlineStr">
        <is>
          <t>20</t>
        </is>
      </c>
      <c r="CE2155" t="inlineStr">
        <is>
          <t>0</t>
        </is>
      </c>
      <c r="CF2155" t="inlineStr">
        <is>
          <t>Q2-W02</t>
        </is>
      </c>
      <c r="CG2155"/>
      <c r="CH2155"/>
      <c r="CI2155"/>
      <c r="CJ2155" t="inlineStr">
        <is>
          <t>No Paid</t>
        </is>
      </c>
      <c r="CK2155" t="inlineStr">
        <is>
          <t>Not Eligible</t>
        </is>
      </c>
      <c r="CL2155"/>
      <c r="CM2155"/>
    </row>
    <row r="2156" ht="25.5" customHeight="1">
      <c r="A2156" t="inlineStr">
        <is>
          <t>4276437</t>
        </is>
      </c>
      <c r="B2156" s="2"/>
      <c r="C2156"/>
      <c r="D2156" s="3">
        <v>46125.588912037034</v>
      </c>
      <c r="E2156" t="inlineStr">
        <is>
          <t>Q2-W02</t>
        </is>
      </c>
      <c r="F2156" t="inlineStr">
        <is>
          <t>Alan KY</t>
        </is>
      </c>
      <c r="G2156" t="inlineStr">
        <is>
          <t>Lead</t>
        </is>
      </c>
      <c r="H2156" s="2" t="str">
        <f>=HYPERLINK("https://upbox.ajobthing.my/leads/4276437", "https://upbox.ajobthing.my/leads/4276437")</f>
        <v>https://upbox.ajobthing.my/leads/4276437</v>
      </c>
      <c r="I2156" t="inlineStr">
        <is>
          <t>SKA MARINE</t>
        </is>
      </c>
      <c r="J2156"/>
      <c r="K2156" t="inlineStr">
        <is>
          <t>Alan KY</t>
        </is>
      </c>
      <c r="L2156" s="4"/>
      <c r="M2156" s="4">
        <v>46125.598032407404</v>
      </c>
      <c r="N2156"/>
      <c r="O2156">
        <v>3888</v>
      </c>
      <c r="P2156" s="4"/>
      <c r="Q2156" s="4"/>
      <c r="R2156"/>
      <c r="S2156"/>
      <c r="T2156" s="4"/>
      <c r="U2156" s="4"/>
      <c r="V2156"/>
      <c r="W2156"/>
      <c r="X2156"/>
      <c r="Y2156" t="inlineStr">
        <is>
          <t>Pending Appointment</t>
        </is>
      </c>
      <c r="Z2156" t="inlineStr">
        <is>
          <t>Hiring Now</t>
        </is>
      </c>
      <c r="AA2156">
        <v>3</v>
      </c>
      <c r="AB2156" t="inlineStr">
        <is>
          <t>No Appointment Made</t>
        </is>
      </c>
      <c r="AC2156"/>
      <c r="AD2156" t="inlineStr">
        <is>
          <t xml:space="preserve">1 purchasing 1 storekeeper, 1 sales(upcoming), in Penang </t>
        </is>
      </c>
      <c r="AE2156"/>
      <c r="AF2156"/>
      <c r="AG2156" s="4"/>
      <c r="AH2156" s="4"/>
      <c r="AI2156"/>
      <c r="AJ2156"/>
      <c r="AK2156" t="inlineStr">
        <is>
          <t>No, I don't need at all</t>
        </is>
      </c>
      <c r="AL2156"/>
      <c r="AM2156" t="inlineStr">
        <is>
          <t>No, I don't need at all</t>
        </is>
      </c>
      <c r="AN2156"/>
      <c r="AO2156" t="inlineStr">
        <is>
          <t>No, I don't need at all</t>
        </is>
      </c>
      <c r="AP2156" t="inlineStr">
        <is>
          <t>Once per quarter (75%)</t>
        </is>
      </c>
      <c r="AQ2156"/>
      <c r="AR2156" t="inlineStr">
        <is>
          <t>Jobstreet</t>
        </is>
      </c>
      <c r="AS2156" t="inlineStr">
        <is>
          <t>- Headcount: 3
- Hiring Job Details: 1 purchasing, 1 storekeeper, 1 sales (upcoming) in Penang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2156">
        <v>85</v>
      </c>
      <c r="AU2156" t="inlineStr">
        <is>
          <t>0.85</t>
        </is>
      </c>
      <c r="AV2156" t="inlineStr">
        <is>
          <t>5</t>
        </is>
      </c>
      <c r="AW2156" t="inlineStr">
        <is>
          <t>0</t>
        </is>
      </c>
      <c r="AX2156" t="inlineStr">
        <is>
          <t>Not Qualified</t>
        </is>
      </c>
      <c r="AY2156" s="4"/>
      <c r="AZ2156"/>
      <c r="BA2156"/>
      <c r="BB2156"/>
      <c r="BC2156"/>
      <c r="BD2156" s="4"/>
      <c r="BE2156"/>
      <c r="BF2156"/>
      <c r="BG2156" t="inlineStr">
        <is>
          <t>Reschedule</t>
        </is>
      </c>
      <c r="BH2156" t="inlineStr">
        <is>
          <t>Reagen</t>
        </is>
      </c>
      <c r="BI2156"/>
      <c r="BJ2156" s="4">
        <v>46144.75581018518</v>
      </c>
      <c r="BK2156" s="4">
        <v>46125.573796296296</v>
      </c>
      <c r="BL2156"/>
      <c r="BM2156"/>
      <c r="BN2156"/>
      <c r="BO2156" s="4"/>
      <c r="BP2156">
        <v>166764</v>
      </c>
      <c r="BQ2156"/>
      <c r="BR2156"/>
      <c r="BS2156"/>
      <c r="BT2156"/>
      <c r="BU2156"/>
      <c r="BV2156"/>
      <c r="BW2156"/>
      <c r="BX2156"/>
      <c r="BY2156"/>
      <c r="BZ2156" s="4"/>
      <c r="CA2156"/>
      <c r="CB2156"/>
      <c r="CC2156" s="4"/>
      <c r="CD2156" t="inlineStr">
        <is>
          <t>5</t>
        </is>
      </c>
      <c r="CE2156" t="inlineStr">
        <is>
          <t>0</t>
        </is>
      </c>
      <c r="CF2156" t="inlineStr">
        <is>
          <t>Q2-W02</t>
        </is>
      </c>
      <c r="CG2156"/>
      <c r="CH2156"/>
      <c r="CI2156"/>
      <c r="CJ2156" t="inlineStr">
        <is>
          <t>No Paid</t>
        </is>
      </c>
      <c r="CK2156" t="inlineStr">
        <is>
          <t>Not Eligible</t>
        </is>
      </c>
      <c r="CL2156"/>
      <c r="CM2156"/>
    </row>
    <row r="2157" ht="25.5" customHeight="1">
      <c r="A2157" t="inlineStr">
        <is>
          <t>4276923</t>
        </is>
      </c>
      <c r="B2157" s="2"/>
      <c r="C2157"/>
      <c r="D2157" s="3">
        <v>46125.676469907405</v>
      </c>
      <c r="E2157" t="inlineStr">
        <is>
          <t>Q2-W02</t>
        </is>
      </c>
      <c r="F2157" t="inlineStr">
        <is>
          <t>Derek Lim</t>
        </is>
      </c>
      <c r="G2157" t="inlineStr">
        <is>
          <t>Lead</t>
        </is>
      </c>
      <c r="H2157" s="2" t="str">
        <f>=HYPERLINK("https://upbox.ajobthing.my/leads/4276923", "https://upbox.ajobthing.my/leads/4276923")</f>
        <v>https://upbox.ajobthing.my/leads/4276923</v>
      </c>
      <c r="I2157" t="inlineStr">
        <is>
          <t xml:space="preserve">GT STAR </t>
        </is>
      </c>
      <c r="J2157"/>
      <c r="K2157" t="inlineStr">
        <is>
          <t>Derek Lim</t>
        </is>
      </c>
      <c r="L2157" s="4"/>
      <c r="M2157" s="4">
        <v>46125.67701388889</v>
      </c>
      <c r="N2157"/>
      <c r="O2157">
        <v>6048</v>
      </c>
      <c r="P2157" s="4"/>
      <c r="Q2157" s="4"/>
      <c r="R2157"/>
      <c r="S2157"/>
      <c r="T2157" s="4"/>
      <c r="U2157" s="4"/>
      <c r="V2157"/>
      <c r="W2157"/>
      <c r="X2157"/>
      <c r="Y2157" t="inlineStr">
        <is>
          <t>Pending Appointment</t>
        </is>
      </c>
      <c r="Z2157"/>
      <c r="AA2157">
        <v>4</v>
      </c>
      <c r="AB2157" t="inlineStr">
        <is>
          <t>No Appointment Made</t>
        </is>
      </c>
      <c r="AC2157"/>
      <c r="AD2157" t="inlineStr">
        <is>
          <t>Sales executive - 4, Penang</t>
        </is>
      </c>
      <c r="AE2157"/>
      <c r="AF2157"/>
      <c r="AG2157" s="4"/>
      <c r="AH2157" s="4"/>
      <c r="AI2157">
        <v>0</v>
      </c>
      <c r="AJ2157">
        <v>2</v>
      </c>
      <c r="AK2157" t="inlineStr">
        <is>
          <t>No, I don't need at all</t>
        </is>
      </c>
      <c r="AL2157">
        <v>0</v>
      </c>
      <c r="AM2157" t="inlineStr">
        <is>
          <t>No, I don't need at all</t>
        </is>
      </c>
      <c r="AN2157"/>
      <c r="AO2157" t="inlineStr">
        <is>
          <t>No, I don't need at all</t>
        </is>
      </c>
      <c r="AP2157" t="inlineStr">
        <is>
          <t>Once a year (25%)</t>
        </is>
      </c>
      <c r="AQ2157">
        <v>4</v>
      </c>
      <c r="AR2157" t="inlineStr">
        <is>
          <t>Free Job Portal</t>
        </is>
      </c>
      <c r="AS2157" t="inlineStr">
        <is>
          <t>- Headcount: 4
- Hiring Job Details: 4 sales executives (Penang)
- Hiring Urgency: Not specified
- Number of outlets: 2
- Have recruiter team: No, don't need at all
- Number of recruiter in company: 0
- Have ATS system: No, don't need at all
- Have career website: No, don't need at all
- Current hiring budget: Not specified
- Whole year budget: RM0.00
- Whole year number of vacancies: 4
- Hiring frequency: Once a year (25%)
- External job portal: Free Job Portal</t>
        </is>
      </c>
      <c r="AT2157">
        <v>85</v>
      </c>
      <c r="AU2157" t="inlineStr">
        <is>
          <t>0.85</t>
        </is>
      </c>
      <c r="AV2157" t="inlineStr">
        <is>
          <t>5</t>
        </is>
      </c>
      <c r="AW2157" t="inlineStr">
        <is>
          <t>0</t>
        </is>
      </c>
      <c r="AX2157" t="inlineStr">
        <is>
          <t>Not Qualified</t>
        </is>
      </c>
      <c r="AY2157" s="4"/>
      <c r="AZ2157"/>
      <c r="BA2157"/>
      <c r="BB2157"/>
      <c r="BC2157"/>
      <c r="BD2157" s="4"/>
      <c r="BE2157"/>
      <c r="BF2157"/>
      <c r="BG2157" t="inlineStr">
        <is>
          <t>Reschedule</t>
        </is>
      </c>
      <c r="BH2157" t="inlineStr">
        <is>
          <t>Edward Hoo</t>
        </is>
      </c>
      <c r="BI2157"/>
      <c r="BJ2157" s="4">
        <v>46144.75581018518</v>
      </c>
      <c r="BK2157" s="4">
        <v>46125.66508101852</v>
      </c>
      <c r="BL2157"/>
      <c r="BM2157"/>
      <c r="BN2157"/>
      <c r="BO2157" s="4"/>
      <c r="BP2157">
        <v>166820</v>
      </c>
      <c r="BQ2157"/>
      <c r="BR2157"/>
      <c r="BS2157"/>
      <c r="BT2157"/>
      <c r="BU2157"/>
      <c r="BV2157"/>
      <c r="BW2157"/>
      <c r="BX2157"/>
      <c r="BY2157"/>
      <c r="BZ2157" s="4"/>
      <c r="CA2157"/>
      <c r="CB2157"/>
      <c r="CC2157" s="4"/>
      <c r="CD2157" t="inlineStr">
        <is>
          <t>5</t>
        </is>
      </c>
      <c r="CE2157" t="inlineStr">
        <is>
          <t>0</t>
        </is>
      </c>
      <c r="CF2157" t="inlineStr">
        <is>
          <t>Q2-W02</t>
        </is>
      </c>
      <c r="CG2157"/>
      <c r="CH2157"/>
      <c r="CI2157"/>
      <c r="CJ2157" t="inlineStr">
        <is>
          <t>No Paid</t>
        </is>
      </c>
      <c r="CK2157" t="inlineStr">
        <is>
          <t>Not Eligible</t>
        </is>
      </c>
      <c r="CL2157"/>
      <c r="CM2157"/>
    </row>
    <row r="2158" ht="25.5" customHeight="1">
      <c r="A2158" t="inlineStr">
        <is>
          <t>4278458</t>
        </is>
      </c>
      <c r="B2158" s="2"/>
      <c r="C2158"/>
      <c r="D2158" s="3">
        <v>46126.578252314815</v>
      </c>
      <c r="E2158" t="inlineStr">
        <is>
          <t>Q2-W02</t>
        </is>
      </c>
      <c r="F2158" t="inlineStr">
        <is>
          <t>Carmen</t>
        </is>
      </c>
      <c r="G2158" t="inlineStr">
        <is>
          <t>Lead</t>
        </is>
      </c>
      <c r="H2158" s="2" t="str">
        <f>=HYPERLINK("https://upbox.ajobthing.my/leads/4278458", "https://upbox.ajobthing.my/leads/4278458")</f>
        <v>https://upbox.ajobthing.my/leads/4278458</v>
      </c>
      <c r="I2158" t="inlineStr">
        <is>
          <t xml:space="preserve">Wisdomap </t>
        </is>
      </c>
      <c r="J2158"/>
      <c r="K2158" t="inlineStr">
        <is>
          <t>Carmen</t>
        </is>
      </c>
      <c r="L2158" s="4"/>
      <c r="M2158" s="4">
        <v>46126.57842592592</v>
      </c>
      <c r="N2158"/>
      <c r="O2158">
        <v>6048</v>
      </c>
      <c r="P2158" s="4"/>
      <c r="Q2158" s="4"/>
      <c r="R2158"/>
      <c r="S2158"/>
      <c r="T2158" s="4"/>
      <c r="U2158" s="4"/>
      <c r="V2158"/>
      <c r="W2158"/>
      <c r="X2158"/>
      <c r="Y2158" t="inlineStr">
        <is>
          <t>Pending Appointment</t>
        </is>
      </c>
      <c r="Z2158" t="inlineStr">
        <is>
          <t>Continuous Hiring</t>
        </is>
      </c>
      <c r="AA2158">
        <v>4</v>
      </c>
      <c r="AB2158" t="inlineStr">
        <is>
          <t>No Appointment Made</t>
        </is>
      </c>
      <c r="AC2158"/>
      <c r="AD2158" t="inlineStr">
        <is>
          <t>1 minister ; 3 teachers</t>
        </is>
      </c>
      <c r="AE2158"/>
      <c r="AF2158">
        <v>0</v>
      </c>
      <c r="AG2158" s="4"/>
      <c r="AH2158" s="4"/>
      <c r="AI2158"/>
      <c r="AJ2158"/>
      <c r="AK2158"/>
      <c r="AL2158"/>
      <c r="AM2158"/>
      <c r="AN2158"/>
      <c r="AO2158"/>
      <c r="AP2158"/>
      <c r="AQ2158"/>
      <c r="AR2158"/>
      <c r="AS2158" t="inlineStr">
        <is>
          <t>- Headcount: 4
- Hiring Job Details: 1 minister ; 3 teachers
- Hiring Urgency: Continuous Hiring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2158">
        <v>75</v>
      </c>
      <c r="AU2158" t="inlineStr">
        <is>
          <t>0.75</t>
        </is>
      </c>
      <c r="AV2158" t="inlineStr">
        <is>
          <t>15</t>
        </is>
      </c>
      <c r="AW2158" t="inlineStr">
        <is>
          <t>0</t>
        </is>
      </c>
      <c r="AX2158" t="inlineStr">
        <is>
          <t>Not Qualified</t>
        </is>
      </c>
      <c r="AY2158" s="4"/>
      <c r="AZ2158"/>
      <c r="BA2158"/>
      <c r="BB2158"/>
      <c r="BC2158"/>
      <c r="BD2158" s="4"/>
      <c r="BE2158"/>
      <c r="BF2158"/>
      <c r="BG2158" t="inlineStr">
        <is>
          <t>Reschedule</t>
        </is>
      </c>
      <c r="BH2158" t="inlineStr">
        <is>
          <t>Reagen</t>
        </is>
      </c>
      <c r="BI2158"/>
      <c r="BJ2158" s="4">
        <v>46144.75581018518</v>
      </c>
      <c r="BK2158" s="4">
        <v>46126.03586805556</v>
      </c>
      <c r="BL2158"/>
      <c r="BM2158"/>
      <c r="BN2158"/>
      <c r="BO2158" s="4"/>
      <c r="BP2158">
        <v>166943</v>
      </c>
      <c r="BQ2158"/>
      <c r="BR2158"/>
      <c r="BS2158"/>
      <c r="BT2158"/>
      <c r="BU2158"/>
      <c r="BV2158"/>
      <c r="BW2158"/>
      <c r="BX2158"/>
      <c r="BY2158"/>
      <c r="BZ2158" s="4"/>
      <c r="CA2158"/>
      <c r="CB2158"/>
      <c r="CC2158" s="4"/>
      <c r="CD2158" t="inlineStr">
        <is>
          <t>20</t>
        </is>
      </c>
      <c r="CE2158" t="inlineStr">
        <is>
          <t>0</t>
        </is>
      </c>
      <c r="CF2158" t="inlineStr">
        <is>
          <t>Q2-W02</t>
        </is>
      </c>
      <c r="CG2158"/>
      <c r="CH2158"/>
      <c r="CI2158"/>
      <c r="CJ2158" t="inlineStr">
        <is>
          <t>No Paid</t>
        </is>
      </c>
      <c r="CK2158" t="inlineStr">
        <is>
          <t>Not Eligible</t>
        </is>
      </c>
      <c r="CL2158"/>
      <c r="CM2158"/>
    </row>
    <row r="2159" ht="25.5" customHeight="1">
      <c r="A2159" t="inlineStr">
        <is>
          <t>4277637</t>
        </is>
      </c>
      <c r="B2159" s="2"/>
      <c r="C2159"/>
      <c r="D2159" s="3">
        <v>46126.59751157407</v>
      </c>
      <c r="E2159" t="inlineStr">
        <is>
          <t>Q2-W02</t>
        </is>
      </c>
      <c r="F2159" t="inlineStr">
        <is>
          <t>Angel  Low</t>
        </is>
      </c>
      <c r="G2159" t="inlineStr">
        <is>
          <t>Lead</t>
        </is>
      </c>
      <c r="H2159" s="2" t="str">
        <f>=HYPERLINK("https://upbox.ajobthing.my/leads/4277637", "https://upbox.ajobthing.my/leads/4277637")</f>
        <v>https://upbox.ajobthing.my/leads/4277637</v>
      </c>
      <c r="I2159" t="inlineStr">
        <is>
          <t xml:space="preserve">Alyakin Trading Company </t>
        </is>
      </c>
      <c r="J2159"/>
      <c r="K2159" t="inlineStr">
        <is>
          <t>Angel Low</t>
        </is>
      </c>
      <c r="L2159" s="4"/>
      <c r="M2159" s="4">
        <v>46126.436898148146</v>
      </c>
      <c r="N2159"/>
      <c r="O2159">
        <v>3672</v>
      </c>
      <c r="P2159" s="4"/>
      <c r="Q2159" s="4"/>
      <c r="R2159"/>
      <c r="S2159"/>
      <c r="T2159" s="4"/>
      <c r="U2159" s="4"/>
      <c r="V2159"/>
      <c r="W2159"/>
      <c r="X2159"/>
      <c r="Y2159" t="inlineStr">
        <is>
          <t>Pending Appointment</t>
        </is>
      </c>
      <c r="Z2159"/>
      <c r="AA2159">
        <v>1</v>
      </c>
      <c r="AB2159" t="inlineStr">
        <is>
          <t>No Appointment Made</t>
        </is>
      </c>
      <c r="AC2159"/>
      <c r="AD2159" t="inlineStr">
        <is>
          <t xml:space="preserve">1 manamgement assistant , johor </t>
        </is>
      </c>
      <c r="AE2159"/>
      <c r="AF2159"/>
      <c r="AG2159" s="4"/>
      <c r="AH2159" s="4"/>
      <c r="AI2159"/>
      <c r="AJ2159"/>
      <c r="AK2159"/>
      <c r="AL2159"/>
      <c r="AM2159"/>
      <c r="AN2159"/>
      <c r="AO2159"/>
      <c r="AP2159"/>
      <c r="AQ2159"/>
      <c r="AR2159"/>
      <c r="AS2159" t="inlineStr">
        <is>
          <t>- Headcount: 1
- Hiring Job Details: 1 management assistant, Johor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159">
        <v>65</v>
      </c>
      <c r="AU2159" t="inlineStr">
        <is>
          <t>0.65</t>
        </is>
      </c>
      <c r="AV2159" t="inlineStr">
        <is>
          <t>5</t>
        </is>
      </c>
      <c r="AW2159" t="inlineStr">
        <is>
          <t>0</t>
        </is>
      </c>
      <c r="AX2159" t="inlineStr">
        <is>
          <t>Not Qualified</t>
        </is>
      </c>
      <c r="AY2159" s="4"/>
      <c r="AZ2159"/>
      <c r="BA2159"/>
      <c r="BB2159"/>
      <c r="BC2159"/>
      <c r="BD2159" s="4"/>
      <c r="BE2159"/>
      <c r="BF2159"/>
      <c r="BG2159" t="inlineStr">
        <is>
          <t>Reschedule</t>
        </is>
      </c>
      <c r="BH2159" t="inlineStr">
        <is>
          <t>Fauziah Maharan</t>
        </is>
      </c>
      <c r="BI2159"/>
      <c r="BJ2159" s="4">
        <v>46144.75581018518</v>
      </c>
      <c r="BK2159" s="4">
        <v>46125.78524305556</v>
      </c>
      <c r="BL2159"/>
      <c r="BM2159"/>
      <c r="BN2159"/>
      <c r="BO2159" s="4"/>
      <c r="BP2159">
        <v>166879</v>
      </c>
      <c r="BQ2159"/>
      <c r="BR2159"/>
      <c r="BS2159"/>
      <c r="BT2159"/>
      <c r="BU2159"/>
      <c r="BV2159"/>
      <c r="BW2159"/>
      <c r="BX2159"/>
      <c r="BY2159"/>
      <c r="BZ2159" s="4"/>
      <c r="CA2159"/>
      <c r="CB2159"/>
      <c r="CC2159" s="4"/>
      <c r="CD2159" t="inlineStr">
        <is>
          <t>5</t>
        </is>
      </c>
      <c r="CE2159" t="inlineStr">
        <is>
          <t>0</t>
        </is>
      </c>
      <c r="CF2159" t="inlineStr">
        <is>
          <t>Q2-W02</t>
        </is>
      </c>
      <c r="CG2159"/>
      <c r="CH2159"/>
      <c r="CI2159"/>
      <c r="CJ2159" t="inlineStr">
        <is>
          <t>No Paid</t>
        </is>
      </c>
      <c r="CK2159" t="inlineStr">
        <is>
          <t>Not Eligible</t>
        </is>
      </c>
      <c r="CL2159"/>
      <c r="CM2159"/>
    </row>
    <row r="2160" ht="25.5" customHeight="1">
      <c r="A2160" t="inlineStr">
        <is>
          <t>4281606</t>
        </is>
      </c>
      <c r="B2160" s="2"/>
      <c r="C2160"/>
      <c r="D2160" s="3">
        <v>46126.72237268519</v>
      </c>
      <c r="E2160" t="inlineStr">
        <is>
          <t>Q2-W02</t>
        </is>
      </c>
      <c r="F2160" t="inlineStr">
        <is>
          <t>Derek Lim</t>
        </is>
      </c>
      <c r="G2160" t="inlineStr">
        <is>
          <t>Lead</t>
        </is>
      </c>
      <c r="H2160" s="2" t="str">
        <f>=HYPERLINK("https://upbox.ajobthing.my/leads/4281606", "https://upbox.ajobthing.my/leads/4281606")</f>
        <v>https://upbox.ajobthing.my/leads/4281606</v>
      </c>
      <c r="I2160" t="inlineStr">
        <is>
          <t>Treco Electrics Sdn Bhd</t>
        </is>
      </c>
      <c r="J2160"/>
      <c r="K2160" t="inlineStr">
        <is>
          <t>Derek Lim</t>
        </is>
      </c>
      <c r="L2160" s="4"/>
      <c r="M2160" s="4">
        <v>46126.72268518519</v>
      </c>
      <c r="N2160"/>
      <c r="O2160">
        <v>6048</v>
      </c>
      <c r="P2160" s="4"/>
      <c r="Q2160" s="4"/>
      <c r="R2160"/>
      <c r="S2160"/>
      <c r="T2160" s="4"/>
      <c r="U2160" s="4"/>
      <c r="V2160"/>
      <c r="W2160"/>
      <c r="X2160"/>
      <c r="Y2160" t="inlineStr">
        <is>
          <t>Pending Appointment</t>
        </is>
      </c>
      <c r="Z2160" t="inlineStr">
        <is>
          <t>Hiring Now</t>
        </is>
      </c>
      <c r="AA2160">
        <v>3</v>
      </c>
      <c r="AB2160" t="inlineStr">
        <is>
          <t>No Appointment Made</t>
        </is>
      </c>
      <c r="AC2160"/>
      <c r="AD2160" t="inlineStr">
        <is>
          <t>Engineer - 2, business development - 1</t>
        </is>
      </c>
      <c r="AE2160"/>
      <c r="AF2160">
        <v>0</v>
      </c>
      <c r="AG2160" s="4"/>
      <c r="AH2160" s="4"/>
      <c r="AI2160">
        <v>0</v>
      </c>
      <c r="AJ2160">
        <v>1</v>
      </c>
      <c r="AK2160" t="inlineStr">
        <is>
          <t>No, I don't need at all</t>
        </is>
      </c>
      <c r="AL2160">
        <v>0</v>
      </c>
      <c r="AM2160" t="inlineStr">
        <is>
          <t>No, I don't need at all</t>
        </is>
      </c>
      <c r="AN2160"/>
      <c r="AO2160" t="inlineStr">
        <is>
          <t>No, but I want in future</t>
        </is>
      </c>
      <c r="AP2160" t="inlineStr">
        <is>
          <t>Once a year (25%)</t>
        </is>
      </c>
      <c r="AQ2160"/>
      <c r="AR2160" t="inlineStr">
        <is>
          <t>Did not use any job portal</t>
        </is>
      </c>
      <c r="AS2160" t="inlineStr">
        <is>
          <t>- Headcount: 3
- Hiring Job Details: 2 Engineer, 1 business development
- Hiring Urgency: Hiring Now
- Number of outlets: 1
- Have recruiter team: No, I don't need at all
- Number of recruiter in company: 0
- Have ATS system: No, I don't need at all
- Have career website: No, but I want in future
- Current hiring budget: RM0.00
- Whole year budget: RM0.00
- Whole year number of vacancies: N/A
- Hiring frequency: Once a year (25%)
- External job portal: Did not use any job portal</t>
        </is>
      </c>
      <c r="AT2160">
        <v>75</v>
      </c>
      <c r="AU2160" t="inlineStr">
        <is>
          <t>0.75</t>
        </is>
      </c>
      <c r="AV2160" t="inlineStr">
        <is>
          <t>15</t>
        </is>
      </c>
      <c r="AW2160" t="inlineStr">
        <is>
          <t>0</t>
        </is>
      </c>
      <c r="AX2160" t="inlineStr">
        <is>
          <t>Not Qualified</t>
        </is>
      </c>
      <c r="AY2160" s="4"/>
      <c r="AZ2160"/>
      <c r="BA2160"/>
      <c r="BB2160"/>
      <c r="BC2160"/>
      <c r="BD2160" s="4"/>
      <c r="BE2160"/>
      <c r="BF2160"/>
      <c r="BG2160" t="inlineStr">
        <is>
          <t>Reschedule</t>
        </is>
      </c>
      <c r="BH2160" t="inlineStr">
        <is>
          <t>Edward Hoo</t>
        </is>
      </c>
      <c r="BI2160"/>
      <c r="BJ2160" s="4">
        <v>46144.755833333336</v>
      </c>
      <c r="BK2160" s="4">
        <v>46126.67028935185</v>
      </c>
      <c r="BL2160"/>
      <c r="BM2160"/>
      <c r="BN2160"/>
      <c r="BO2160" s="4"/>
      <c r="BP2160">
        <v>167049</v>
      </c>
      <c r="BQ2160"/>
      <c r="BR2160"/>
      <c r="BS2160"/>
      <c r="BT2160"/>
      <c r="BU2160"/>
      <c r="BV2160"/>
      <c r="BW2160"/>
      <c r="BX2160"/>
      <c r="BY2160"/>
      <c r="BZ2160" s="4"/>
      <c r="CA2160"/>
      <c r="CB2160"/>
      <c r="CC2160" s="4"/>
      <c r="CD2160" t="inlineStr">
        <is>
          <t>20</t>
        </is>
      </c>
      <c r="CE2160" t="inlineStr">
        <is>
          <t>0</t>
        </is>
      </c>
      <c r="CF2160" t="inlineStr">
        <is>
          <t>Q2-W02</t>
        </is>
      </c>
      <c r="CG2160"/>
      <c r="CH2160"/>
      <c r="CI2160"/>
      <c r="CJ2160" t="inlineStr">
        <is>
          <t>No Paid</t>
        </is>
      </c>
      <c r="CK2160" t="inlineStr">
        <is>
          <t>Not Eligible</t>
        </is>
      </c>
      <c r="CL2160"/>
      <c r="CM2160"/>
    </row>
    <row r="2161" ht="25.5" customHeight="1">
      <c r="A2161" t="inlineStr">
        <is>
          <t>4281441</t>
        </is>
      </c>
      <c r="B2161" s="2"/>
      <c r="C2161"/>
      <c r="D2161" s="3">
        <v>46126.76515046296</v>
      </c>
      <c r="E2161" t="inlineStr">
        <is>
          <t>Q2-W02</t>
        </is>
      </c>
      <c r="F2161" t="inlineStr">
        <is>
          <t>Josh</t>
        </is>
      </c>
      <c r="G2161" t="inlineStr">
        <is>
          <t>Lead</t>
        </is>
      </c>
      <c r="H2161" s="2" t="str">
        <f>=HYPERLINK("https://upbox.ajobthing.my/leads/4281441", "https://upbox.ajobthing.my/leads/4281441")</f>
        <v>https://upbox.ajobthing.my/leads/4281441</v>
      </c>
      <c r="I2161" t="inlineStr">
        <is>
          <t xml:space="preserve">Apricity Sdn Bhd </t>
        </is>
      </c>
      <c r="J2161"/>
      <c r="K2161" t="inlineStr">
        <is>
          <t>Josh</t>
        </is>
      </c>
      <c r="L2161" s="4"/>
      <c r="M2161" s="4">
        <v>46126.76849537037</v>
      </c>
      <c r="N2161"/>
      <c r="O2161">
        <v>3672</v>
      </c>
      <c r="P2161" s="4"/>
      <c r="Q2161" s="4"/>
      <c r="R2161"/>
      <c r="S2161"/>
      <c r="T2161" s="4"/>
      <c r="U2161" s="4"/>
      <c r="V2161"/>
      <c r="W2161"/>
      <c r="X2161"/>
      <c r="Y2161" t="inlineStr">
        <is>
          <t>Pending Appointment</t>
        </is>
      </c>
      <c r="Z2161" t="inlineStr">
        <is>
          <t>Hiring Now</t>
        </is>
      </c>
      <c r="AA2161">
        <v>10</v>
      </c>
      <c r="AB2161" t="inlineStr">
        <is>
          <t>No Appointment Made</t>
        </is>
      </c>
      <c r="AC2161"/>
      <c r="AD2161" t="inlineStr">
        <is>
          <t>10 property consultant</t>
        </is>
      </c>
      <c r="AE2161"/>
      <c r="AF2161">
        <v>3000</v>
      </c>
      <c r="AG2161" s="4"/>
      <c r="AH2161" s="4"/>
      <c r="AI2161"/>
      <c r="AJ2161"/>
      <c r="AK2161" t="inlineStr">
        <is>
          <t>Yes, I have</t>
        </is>
      </c>
      <c r="AL2161">
        <v>1</v>
      </c>
      <c r="AM2161"/>
      <c r="AN2161"/>
      <c r="AO2161"/>
      <c r="AP2161" t="inlineStr">
        <is>
          <t>Once a year (25%)</t>
        </is>
      </c>
      <c r="AQ2161"/>
      <c r="AR2161"/>
      <c r="AS2161" t="inlineStr">
        <is>
          <t>- Headcount: 10
- Hiring Job Details: 10 property consultant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
- Hiring Urgency: Hiring Now</t>
        </is>
      </c>
      <c r="AT2161">
        <v>100</v>
      </c>
      <c r="AU2161" t="inlineStr">
        <is>
          <t>1.00</t>
        </is>
      </c>
      <c r="AV2161" t="inlineStr">
        <is>
          <t>20</t>
        </is>
      </c>
      <c r="AW2161" t="inlineStr">
        <is>
          <t>0</t>
        </is>
      </c>
      <c r="AX2161" t="inlineStr">
        <is>
          <t>Not Qualified</t>
        </is>
      </c>
      <c r="AY2161" s="4"/>
      <c r="AZ2161"/>
      <c r="BA2161"/>
      <c r="BB2161"/>
      <c r="BC2161"/>
      <c r="BD2161" s="4"/>
      <c r="BE2161"/>
      <c r="BF2161"/>
      <c r="BG2161" t="inlineStr">
        <is>
          <t>Reschedule</t>
        </is>
      </c>
      <c r="BH2161" t="inlineStr">
        <is>
          <t>Fauziah Maharan</t>
        </is>
      </c>
      <c r="BI2161"/>
      <c r="BJ2161" s="4">
        <v>46144.755833333336</v>
      </c>
      <c r="BK2161" s="4">
        <v>46126.64341435185</v>
      </c>
      <c r="BL2161"/>
      <c r="BM2161"/>
      <c r="BN2161"/>
      <c r="BO2161" s="4"/>
      <c r="BP2161">
        <v>167066</v>
      </c>
      <c r="BQ2161"/>
      <c r="BR2161"/>
      <c r="BS2161"/>
      <c r="BT2161"/>
      <c r="BU2161"/>
      <c r="BV2161"/>
      <c r="BW2161"/>
      <c r="BX2161"/>
      <c r="BY2161"/>
      <c r="BZ2161" s="4"/>
      <c r="CA2161"/>
      <c r="CB2161"/>
      <c r="CC2161" s="4"/>
      <c r="CD2161" t="inlineStr">
        <is>
          <t>30</t>
        </is>
      </c>
      <c r="CE2161" t="inlineStr">
        <is>
          <t>0</t>
        </is>
      </c>
      <c r="CF2161" t="inlineStr">
        <is>
          <t>Q2-W02</t>
        </is>
      </c>
      <c r="CG2161"/>
      <c r="CH2161"/>
      <c r="CI2161"/>
      <c r="CJ2161" t="inlineStr">
        <is>
          <t>No Paid</t>
        </is>
      </c>
      <c r="CK2161" t="inlineStr">
        <is>
          <t>Eligible</t>
        </is>
      </c>
      <c r="CL2161"/>
      <c r="CM2161"/>
    </row>
    <row r="2162" ht="25.5" customHeight="1">
      <c r="A2162" t="inlineStr">
        <is>
          <t>4276175</t>
        </is>
      </c>
      <c r="B2162" s="2"/>
      <c r="C2162"/>
      <c r="D2162" s="3">
        <v>46127.44994212963</v>
      </c>
      <c r="E2162" t="inlineStr">
        <is>
          <t>Q2-W02</t>
        </is>
      </c>
      <c r="F2162" t="inlineStr">
        <is>
          <t>Lucas</t>
        </is>
      </c>
      <c r="G2162" t="inlineStr">
        <is>
          <t>Lead</t>
        </is>
      </c>
      <c r="H2162" s="2" t="str">
        <f>=HYPERLINK("https://upbox.ajobthing.my/leads/4276175", "https://upbox.ajobthing.my/leads/4276175")</f>
        <v>https://upbox.ajobthing.my/leads/4276175</v>
      </c>
      <c r="I2162" t="inlineStr">
        <is>
          <t xml:space="preserve">PROVIEW OPTOMETRIST </t>
        </is>
      </c>
      <c r="J2162"/>
      <c r="K2162" t="inlineStr">
        <is>
          <t>Lucas</t>
        </is>
      </c>
      <c r="L2162" s="4"/>
      <c r="M2162" s="4">
        <v>46127.44226851852</v>
      </c>
      <c r="N2162"/>
      <c r="O2162">
        <v>3888</v>
      </c>
      <c r="P2162" s="4"/>
      <c r="Q2162" s="4"/>
      <c r="R2162"/>
      <c r="S2162"/>
      <c r="T2162" s="4"/>
      <c r="U2162" s="4"/>
      <c r="V2162"/>
      <c r="W2162"/>
      <c r="X2162"/>
      <c r="Y2162" t="inlineStr">
        <is>
          <t>Pending Appointment</t>
        </is>
      </c>
      <c r="Z2162" t="inlineStr">
        <is>
          <t>Hiring Now</t>
        </is>
      </c>
      <c r="AA2162">
        <v>1</v>
      </c>
      <c r="AB2162" t="inlineStr">
        <is>
          <t>No Appointment Made</t>
        </is>
      </c>
      <c r="AC2162"/>
      <c r="AD2162" t="inlineStr">
        <is>
          <t>1 OPTOMETRIST</t>
        </is>
      </c>
      <c r="AE2162"/>
      <c r="AF2162">
        <v>0</v>
      </c>
      <c r="AG2162" s="4"/>
      <c r="AH2162" s="4"/>
      <c r="AI2162">
        <v>0</v>
      </c>
      <c r="AJ2162"/>
      <c r="AK2162" t="inlineStr">
        <is>
          <t>No, I don't need at all</t>
        </is>
      </c>
      <c r="AL2162">
        <v>0</v>
      </c>
      <c r="AM2162" t="inlineStr">
        <is>
          <t>No, I don't need at all</t>
        </is>
      </c>
      <c r="AN2162"/>
      <c r="AO2162" t="inlineStr">
        <is>
          <t>No, I don't need at all</t>
        </is>
      </c>
      <c r="AP2162" t="inlineStr">
        <is>
          <t>Once a year (25%)</t>
        </is>
      </c>
      <c r="AQ2162">
        <v>1</v>
      </c>
      <c r="AR2162" t="inlineStr">
        <is>
          <t>Did not use any job portal</t>
        </is>
      </c>
      <c r="AS2162" t="inlineStr">
        <is>
          <t>- Headcount: 1
- Hiring Job Details: 1 OPTOMETRIST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162">
        <v>115</v>
      </c>
      <c r="AU2162" t="inlineStr">
        <is>
          <t>1.15</t>
        </is>
      </c>
      <c r="AV2162" t="inlineStr">
        <is>
          <t>15</t>
        </is>
      </c>
      <c r="AW2162" t="inlineStr">
        <is>
          <t>0</t>
        </is>
      </c>
      <c r="AX2162" t="inlineStr">
        <is>
          <t>Not Qualified</t>
        </is>
      </c>
      <c r="AY2162" s="4"/>
      <c r="AZ2162"/>
      <c r="BA2162"/>
      <c r="BB2162"/>
      <c r="BC2162"/>
      <c r="BD2162" s="4"/>
      <c r="BE2162"/>
      <c r="BF2162"/>
      <c r="BG2162" t="inlineStr">
        <is>
          <t>Reschedule</t>
        </is>
      </c>
      <c r="BH2162" t="inlineStr">
        <is>
          <t>Yee Hang</t>
        </is>
      </c>
      <c r="BI2162"/>
      <c r="BJ2162" s="4">
        <v>46144.75581018518</v>
      </c>
      <c r="BK2162" s="4">
        <v>46125.525729166664</v>
      </c>
      <c r="BL2162"/>
      <c r="BM2162"/>
      <c r="BN2162"/>
      <c r="BO2162" s="4"/>
      <c r="BP2162">
        <v>167110</v>
      </c>
      <c r="BQ2162"/>
      <c r="BR2162"/>
      <c r="BS2162"/>
      <c r="BT2162"/>
      <c r="BU2162"/>
      <c r="BV2162"/>
      <c r="BW2162"/>
      <c r="BX2162"/>
      <c r="BY2162"/>
      <c r="BZ2162" s="4"/>
      <c r="CA2162"/>
      <c r="CB2162"/>
      <c r="CC2162" s="4"/>
      <c r="CD2162" t="inlineStr">
        <is>
          <t>20</t>
        </is>
      </c>
      <c r="CE2162" t="inlineStr">
        <is>
          <t>0</t>
        </is>
      </c>
      <c r="CF2162" t="inlineStr">
        <is>
          <t>Q2-W02</t>
        </is>
      </c>
      <c r="CG2162"/>
      <c r="CH2162"/>
      <c r="CI2162"/>
      <c r="CJ2162" t="inlineStr">
        <is>
          <t>No Paid</t>
        </is>
      </c>
      <c r="CK2162" t="inlineStr">
        <is>
          <t>Not Eligible</t>
        </is>
      </c>
      <c r="CL2162"/>
      <c r="CM2162"/>
    </row>
    <row r="2163" ht="25.5" customHeight="1">
      <c r="A2163" t="inlineStr">
        <is>
          <t>4285227</t>
        </is>
      </c>
      <c r="B2163" s="2"/>
      <c r="C2163"/>
      <c r="D2163" s="3">
        <v>46127.566099537034</v>
      </c>
      <c r="E2163" t="inlineStr">
        <is>
          <t>Q2-W02</t>
        </is>
      </c>
      <c r="F2163" t="inlineStr">
        <is>
          <t>Xin Hui</t>
        </is>
      </c>
      <c r="G2163" t="inlineStr">
        <is>
          <t>Lead</t>
        </is>
      </c>
      <c r="H2163" s="2" t="str">
        <f>=HYPERLINK("https://upbox.ajobthing.my/leads/4285227", "https://upbox.ajobthing.my/leads/4285227")</f>
        <v>https://upbox.ajobthing.my/leads/4285227</v>
      </c>
      <c r="I2163" t="inlineStr">
        <is>
          <t xml:space="preserve">Tasty Food Venture </t>
        </is>
      </c>
      <c r="J2163"/>
      <c r="K2163" t="inlineStr">
        <is>
          <t>Xin Hui</t>
        </is>
      </c>
      <c r="L2163" s="4"/>
      <c r="M2163" s="4">
        <v>46127.567199074074</v>
      </c>
      <c r="N2163"/>
      <c r="O2163">
        <v>3888</v>
      </c>
      <c r="P2163" s="4"/>
      <c r="Q2163" s="4"/>
      <c r="R2163"/>
      <c r="S2163"/>
      <c r="T2163" s="4"/>
      <c r="U2163" s="4"/>
      <c r="V2163"/>
      <c r="W2163"/>
      <c r="X2163"/>
      <c r="Y2163" t="inlineStr">
        <is>
          <t>Pending Appointment</t>
        </is>
      </c>
      <c r="Z2163" t="inlineStr">
        <is>
          <t>Hiring Now</t>
        </is>
      </c>
      <c r="AA2163">
        <v>1</v>
      </c>
      <c r="AB2163" t="inlineStr">
        <is>
          <t>No Appointment Made</t>
        </is>
      </c>
      <c r="AC2163"/>
      <c r="AD2163" t="inlineStr">
        <is>
          <t>hawker stall manage</t>
        </is>
      </c>
      <c r="AE2163"/>
      <c r="AF2163">
        <v>0</v>
      </c>
      <c r="AG2163" s="4"/>
      <c r="AH2163" s="4"/>
      <c r="AI2163"/>
      <c r="AJ2163"/>
      <c r="AK2163" t="inlineStr">
        <is>
          <t>No, I don't need at all</t>
        </is>
      </c>
      <c r="AL2163"/>
      <c r="AM2163" t="inlineStr">
        <is>
          <t>No, I don't need at all</t>
        </is>
      </c>
      <c r="AN2163"/>
      <c r="AO2163" t="inlineStr">
        <is>
          <t>No, I don't need at all</t>
        </is>
      </c>
      <c r="AP2163" t="inlineStr">
        <is>
          <t>Once a year (25%)</t>
        </is>
      </c>
      <c r="AQ2163"/>
      <c r="AR2163"/>
      <c r="AS2163" t="inlineStr">
        <is>
          <t>- Headcount: 1
- Hiring Job Details: hawker stall manage
- Hiring Urgency: Hiring Now
- Number of outlets: Not specified
- Have recruiter team: No, I don't need at all
- Number of recruiter in company: Not specified
- Have ATS system: No, I don't need at all
- Have career website: No, I don't need at all
- Current hiring budget: RM0.00
- Whole year budget: Not specified
- Whole year number of vacancies: Not specified
- Hiring frequency: Once a year (25%)
- External job portal: Not specified</t>
        </is>
      </c>
      <c r="AT2163">
        <v>75</v>
      </c>
      <c r="AU2163" t="inlineStr">
        <is>
          <t>0.75</t>
        </is>
      </c>
      <c r="AV2163" t="inlineStr">
        <is>
          <t>15</t>
        </is>
      </c>
      <c r="AW2163" t="inlineStr">
        <is>
          <t>0</t>
        </is>
      </c>
      <c r="AX2163" t="inlineStr">
        <is>
          <t>Not Qualified</t>
        </is>
      </c>
      <c r="AY2163" s="4"/>
      <c r="AZ2163"/>
      <c r="BA2163"/>
      <c r="BB2163"/>
      <c r="BC2163"/>
      <c r="BD2163" s="4"/>
      <c r="BE2163"/>
      <c r="BF2163"/>
      <c r="BG2163" t="inlineStr">
        <is>
          <t>Reschedule</t>
        </is>
      </c>
      <c r="BH2163" t="inlineStr">
        <is>
          <t>Yee Hang</t>
        </is>
      </c>
      <c r="BI2163"/>
      <c r="BJ2163" s="4">
        <v>46144.755833333336</v>
      </c>
      <c r="BK2163" s="4">
        <v>46127.5547337963</v>
      </c>
      <c r="BL2163"/>
      <c r="BM2163"/>
      <c r="BN2163"/>
      <c r="BO2163" s="4"/>
      <c r="BP2163">
        <v>167172</v>
      </c>
      <c r="BQ2163"/>
      <c r="BR2163"/>
      <c r="BS2163"/>
      <c r="BT2163"/>
      <c r="BU2163"/>
      <c r="BV2163"/>
      <c r="BW2163"/>
      <c r="BX2163"/>
      <c r="BY2163"/>
      <c r="BZ2163" s="4"/>
      <c r="CA2163"/>
      <c r="CB2163"/>
      <c r="CC2163" s="4"/>
      <c r="CD2163" t="inlineStr">
        <is>
          <t>20</t>
        </is>
      </c>
      <c r="CE2163" t="inlineStr">
        <is>
          <t>0</t>
        </is>
      </c>
      <c r="CF2163" t="inlineStr">
        <is>
          <t>Q2-W02</t>
        </is>
      </c>
      <c r="CG2163"/>
      <c r="CH2163"/>
      <c r="CI2163"/>
      <c r="CJ2163" t="inlineStr">
        <is>
          <t>No Paid</t>
        </is>
      </c>
      <c r="CK2163" t="inlineStr">
        <is>
          <t>Not Eligible</t>
        </is>
      </c>
      <c r="CL2163"/>
      <c r="CM2163"/>
    </row>
    <row r="2164" ht="25.5" customHeight="1">
      <c r="A2164" t="inlineStr">
        <is>
          <t>4284740</t>
        </is>
      </c>
      <c r="B2164" s="2"/>
      <c r="C2164"/>
      <c r="D2164" s="3">
        <v>46127.609988425924</v>
      </c>
      <c r="E2164" t="inlineStr">
        <is>
          <t>Q2-W02</t>
        </is>
      </c>
      <c r="F2164" t="inlineStr">
        <is>
          <t>Alan KY</t>
        </is>
      </c>
      <c r="G2164" t="inlineStr">
        <is>
          <t>Lead</t>
        </is>
      </c>
      <c r="H2164" s="2" t="str">
        <f>=HYPERLINK("https://upbox.ajobthing.my/leads/4284740", "https://upbox.ajobthing.my/leads/4284740")</f>
        <v>https://upbox.ajobthing.my/leads/4284740</v>
      </c>
      <c r="I2164" t="inlineStr">
        <is>
          <t xml:space="preserve">SJRMS Solution Sdn Bhd </t>
        </is>
      </c>
      <c r="J2164"/>
      <c r="K2164" t="inlineStr">
        <is>
          <t>Alan KY</t>
        </is>
      </c>
      <c r="L2164" s="4"/>
      <c r="M2164" s="4">
        <v>46127.60103009259</v>
      </c>
      <c r="N2164"/>
      <c r="O2164">
        <v>3888</v>
      </c>
      <c r="P2164" s="4"/>
      <c r="Q2164" s="4"/>
      <c r="R2164"/>
      <c r="S2164"/>
      <c r="T2164" s="4"/>
      <c r="U2164" s="4"/>
      <c r="V2164"/>
      <c r="W2164"/>
      <c r="X2164"/>
      <c r="Y2164" t="inlineStr">
        <is>
          <t>Pending Appointment</t>
        </is>
      </c>
      <c r="Z2164" t="inlineStr">
        <is>
          <t>Hiring Now</t>
        </is>
      </c>
      <c r="AA2164">
        <v>2</v>
      </c>
      <c r="AB2164" t="inlineStr">
        <is>
          <t>No Appointment Made</t>
        </is>
      </c>
      <c r="AC2164"/>
      <c r="AD2164" t="inlineStr">
        <is>
          <t xml:space="preserve">operation assistant 1 
account executive 1 
based in Klang  </t>
        </is>
      </c>
      <c r="AE2164"/>
      <c r="AF2164"/>
      <c r="AG2164" s="4"/>
      <c r="AH2164" s="4"/>
      <c r="AI2164"/>
      <c r="AJ2164">
        <v>1</v>
      </c>
      <c r="AK2164" t="inlineStr">
        <is>
          <t>No, I don't need at all</t>
        </is>
      </c>
      <c r="AL2164">
        <v>0</v>
      </c>
      <c r="AM2164" t="inlineStr">
        <is>
          <t>No, I don't need at all</t>
        </is>
      </c>
      <c r="AN2164"/>
      <c r="AO2164" t="inlineStr">
        <is>
          <t>No, I don't need at all</t>
        </is>
      </c>
      <c r="AP2164" t="inlineStr">
        <is>
          <t>Once per quarter (75%)</t>
        </is>
      </c>
      <c r="AQ2164"/>
      <c r="AR2164" t="inlineStr">
        <is>
          <t>Indeed (Paid)</t>
        </is>
      </c>
      <c r="AS2164" t="inlineStr">
        <is>
          <t>- Headcount: 2
- Hiring Job Details: 1 operation assistant, 1 account executive, based in Klang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Indeed (Paid)</t>
        </is>
      </c>
      <c r="AT2164">
        <v>110</v>
      </c>
      <c r="AU2164" t="inlineStr">
        <is>
          <t>1.10</t>
        </is>
      </c>
      <c r="AV2164" t="inlineStr">
        <is>
          <t>5</t>
        </is>
      </c>
      <c r="AW2164" t="inlineStr">
        <is>
          <t>0</t>
        </is>
      </c>
      <c r="AX2164" t="inlineStr">
        <is>
          <t>Not Qualified</t>
        </is>
      </c>
      <c r="AY2164" s="4"/>
      <c r="AZ2164"/>
      <c r="BA2164"/>
      <c r="BB2164"/>
      <c r="BC2164"/>
      <c r="BD2164" s="4"/>
      <c r="BE2164"/>
      <c r="BF2164"/>
      <c r="BG2164" t="inlineStr">
        <is>
          <t>Reschedule</t>
        </is>
      </c>
      <c r="BH2164" t="inlineStr">
        <is>
          <t>Reagen</t>
        </is>
      </c>
      <c r="BI2164"/>
      <c r="BJ2164" s="4">
        <v>46144.755833333336</v>
      </c>
      <c r="BK2164" s="4">
        <v>46127.47045138889</v>
      </c>
      <c r="BL2164"/>
      <c r="BM2164"/>
      <c r="BN2164"/>
      <c r="BO2164" s="4"/>
      <c r="BP2164">
        <v>167186</v>
      </c>
      <c r="BQ2164"/>
      <c r="BR2164"/>
      <c r="BS2164"/>
      <c r="BT2164"/>
      <c r="BU2164"/>
      <c r="BV2164"/>
      <c r="BW2164"/>
      <c r="BX2164"/>
      <c r="BY2164"/>
      <c r="BZ2164" s="4"/>
      <c r="CA2164"/>
      <c r="CB2164"/>
      <c r="CC2164" s="4"/>
      <c r="CD2164" t="inlineStr">
        <is>
          <t>5</t>
        </is>
      </c>
      <c r="CE2164" t="inlineStr">
        <is>
          <t>0</t>
        </is>
      </c>
      <c r="CF2164" t="inlineStr">
        <is>
          <t>Q2-W02</t>
        </is>
      </c>
      <c r="CG2164"/>
      <c r="CH2164"/>
      <c r="CI2164"/>
      <c r="CJ2164" t="inlineStr">
        <is>
          <t>No Paid</t>
        </is>
      </c>
      <c r="CK2164" t="inlineStr">
        <is>
          <t>Not Eligible</t>
        </is>
      </c>
      <c r="CL2164"/>
      <c r="CM2164"/>
    </row>
    <row r="2165" ht="25.5" customHeight="1">
      <c r="A2165" t="inlineStr">
        <is>
          <t>4264629</t>
        </is>
      </c>
      <c r="B2165" s="2"/>
      <c r="C2165"/>
      <c r="D2165" s="3">
        <v>46127.63414351852</v>
      </c>
      <c r="E2165" t="inlineStr">
        <is>
          <t>Q2-W02</t>
        </is>
      </c>
      <c r="F2165" t="inlineStr">
        <is>
          <t>Jia Hui</t>
        </is>
      </c>
      <c r="G2165" t="inlineStr">
        <is>
          <t>Lead</t>
        </is>
      </c>
      <c r="H2165" s="2" t="str">
        <f>=HYPERLINK("https://upbox.ajobthing.my/leads/4264629", "https://upbox.ajobthing.my/leads/4264629")</f>
        <v>https://upbox.ajobthing.my/leads/4264629</v>
      </c>
      <c r="I2165" t="inlineStr">
        <is>
          <t>Imandarin Learning Centre</t>
        </is>
      </c>
      <c r="J2165"/>
      <c r="K2165" t="inlineStr">
        <is>
          <t>Jia Hui</t>
        </is>
      </c>
      <c r="L2165" s="4"/>
      <c r="M2165" s="4">
        <v>46127.634363425925</v>
      </c>
      <c r="N2165"/>
      <c r="O2165">
        <v>1296</v>
      </c>
      <c r="P2165" s="4"/>
      <c r="Q2165" s="4"/>
      <c r="R2165"/>
      <c r="S2165"/>
      <c r="T2165" s="4"/>
      <c r="U2165" s="4"/>
      <c r="V2165"/>
      <c r="W2165"/>
      <c r="X2165"/>
      <c r="Y2165" t="inlineStr">
        <is>
          <t>Pending Appointment</t>
        </is>
      </c>
      <c r="Z2165" t="inlineStr">
        <is>
          <t>Hiring Now</t>
        </is>
      </c>
      <c r="AA2165">
        <v>2.5</v>
      </c>
      <c r="AB2165" t="inlineStr">
        <is>
          <t>No Appointment Made</t>
        </is>
      </c>
      <c r="AC2165"/>
      <c r="AD2165" t="inlineStr">
        <is>
          <t>2-3 day care teachers</t>
        </is>
      </c>
      <c r="AE2165"/>
      <c r="AF2165">
        <v>500</v>
      </c>
      <c r="AG2165" s="4"/>
      <c r="AH2165" s="4"/>
      <c r="AI2165"/>
      <c r="AJ2165"/>
      <c r="AK2165" t="inlineStr">
        <is>
          <t>No, but I want in future</t>
        </is>
      </c>
      <c r="AL2165"/>
      <c r="AM2165"/>
      <c r="AN2165"/>
      <c r="AO2165"/>
      <c r="AP2165" t="inlineStr">
        <is>
          <t>Twice a year (50%)</t>
        </is>
      </c>
      <c r="AQ2165"/>
      <c r="AR2165"/>
      <c r="AS2165" t="inlineStr">
        <is>
          <t>- Headcount: 2
- Hiring Job Details: 2-3 day care teachers
- Hiring Urgency: Hiring Now
- Number of outlets: Not provided
- Have recruiter team: No, but I want in future
- Number of recruiter in company: Not provided
- Have ATS system: Not provided
- Have career website: Not provided
- Current hiring budget: RM500.00
- Whole year budget: Not provided
- Whole year number of vacancies: Not provided
- Hiring frequency: Twice a year (50%)
- External job portal: Not provided</t>
        </is>
      </c>
      <c r="AT2165">
        <v>75</v>
      </c>
      <c r="AU2165" t="inlineStr">
        <is>
          <t>0.75</t>
        </is>
      </c>
      <c r="AV2165" t="inlineStr">
        <is>
          <t>15</t>
        </is>
      </c>
      <c r="AW2165" t="inlineStr">
        <is>
          <t>0</t>
        </is>
      </c>
      <c r="AX2165" t="inlineStr">
        <is>
          <t>Not Qualified</t>
        </is>
      </c>
      <c r="AY2165" s="4"/>
      <c r="AZ2165"/>
      <c r="BA2165"/>
      <c r="BB2165"/>
      <c r="BC2165"/>
      <c r="BD2165" s="4"/>
      <c r="BE2165"/>
      <c r="BF2165"/>
      <c r="BG2165" t="inlineStr">
        <is>
          <t>Reschedule</t>
        </is>
      </c>
      <c r="BH2165" t="inlineStr">
        <is>
          <t>Reagen</t>
        </is>
      </c>
      <c r="BI2165"/>
      <c r="BJ2165" s="4">
        <v>46144.75578703704</v>
      </c>
      <c r="BK2165" s="4">
        <v>46121.546747685185</v>
      </c>
      <c r="BL2165"/>
      <c r="BM2165"/>
      <c r="BN2165"/>
      <c r="BO2165" s="4"/>
      <c r="BP2165">
        <v>167204</v>
      </c>
      <c r="BQ2165"/>
      <c r="BR2165"/>
      <c r="BS2165"/>
      <c r="BT2165"/>
      <c r="BU2165"/>
      <c r="BV2165"/>
      <c r="BW2165"/>
      <c r="BX2165"/>
      <c r="BY2165"/>
      <c r="BZ2165" s="4"/>
      <c r="CA2165"/>
      <c r="CB2165"/>
      <c r="CC2165" s="4"/>
      <c r="CD2165" t="inlineStr">
        <is>
          <t>20</t>
        </is>
      </c>
      <c r="CE2165" t="inlineStr">
        <is>
          <t>0</t>
        </is>
      </c>
      <c r="CF2165" t="inlineStr">
        <is>
          <t>Q2-W02</t>
        </is>
      </c>
      <c r="CG2165"/>
      <c r="CH2165"/>
      <c r="CI2165"/>
      <c r="CJ2165" t="inlineStr">
        <is>
          <t>No Paid</t>
        </is>
      </c>
      <c r="CK2165" t="inlineStr">
        <is>
          <t>Not Eligible</t>
        </is>
      </c>
      <c r="CL2165"/>
      <c r="CM2165"/>
    </row>
    <row r="2166" ht="25.5" customHeight="1">
      <c r="A2166" t="inlineStr">
        <is>
          <t>4285971</t>
        </is>
      </c>
      <c r="B2166" s="2"/>
      <c r="C2166"/>
      <c r="D2166" s="3">
        <v>46127.7140162037</v>
      </c>
      <c r="E2166" t="inlineStr">
        <is>
          <t>Q2-W02</t>
        </is>
      </c>
      <c r="F2166" t="inlineStr">
        <is>
          <t>Janice Yap</t>
        </is>
      </c>
      <c r="G2166" t="inlineStr">
        <is>
          <t>Lead</t>
        </is>
      </c>
      <c r="H2166" s="2" t="str">
        <f>=HYPERLINK("https://upbox.ajobthing.my/leads/4285971", "https://upbox.ajobthing.my/leads/4285971")</f>
        <v>https://upbox.ajobthing.my/leads/4285971</v>
      </c>
      <c r="I2166" t="inlineStr">
        <is>
          <t>Aroha hapori</t>
        </is>
      </c>
      <c r="J2166"/>
      <c r="K2166" t="inlineStr">
        <is>
          <t>Janice</t>
        </is>
      </c>
      <c r="L2166" s="4"/>
      <c r="M2166" s="4">
        <v>46127.71020833333</v>
      </c>
      <c r="N2166"/>
      <c r="O2166">
        <v>3888</v>
      </c>
      <c r="P2166" s="4"/>
      <c r="Q2166" s="4"/>
      <c r="R2166"/>
      <c r="S2166"/>
      <c r="T2166" s="4"/>
      <c r="U2166" s="4"/>
      <c r="V2166"/>
      <c r="W2166"/>
      <c r="X2166"/>
      <c r="Y2166" t="inlineStr">
        <is>
          <t>Pending Appointment</t>
        </is>
      </c>
      <c r="Z2166" t="inlineStr">
        <is>
          <t>Hiring Now</t>
        </is>
      </c>
      <c r="AA2166">
        <v>1</v>
      </c>
      <c r="AB2166" t="inlineStr">
        <is>
          <t>No Appointment Made</t>
        </is>
      </c>
      <c r="AC2166"/>
      <c r="AD2166" t="inlineStr">
        <is>
          <t>1 kindergarden teacher</t>
        </is>
      </c>
      <c r="AE2166"/>
      <c r="AF2166">
        <v>0</v>
      </c>
      <c r="AG2166" s="4"/>
      <c r="AH2166" s="4"/>
      <c r="AI2166">
        <v>0</v>
      </c>
      <c r="AJ2166"/>
      <c r="AK2166" t="inlineStr">
        <is>
          <t>No, I don't need at all</t>
        </is>
      </c>
      <c r="AL2166">
        <v>0</v>
      </c>
      <c r="AM2166" t="inlineStr">
        <is>
          <t>No, I don't need at all</t>
        </is>
      </c>
      <c r="AN2166"/>
      <c r="AO2166" t="inlineStr">
        <is>
          <t>No, I don't need at all</t>
        </is>
      </c>
      <c r="AP2166" t="inlineStr">
        <is>
          <t>Once a year (25%)</t>
        </is>
      </c>
      <c r="AQ2166">
        <v>1</v>
      </c>
      <c r="AR2166" t="inlineStr">
        <is>
          <t>Jobstreet, Indeed (Paid)</t>
        </is>
      </c>
      <c r="AS2166" t="inlineStr">
        <is>
          <t>- Headcount: 1
- Hiring Job Details: 1 kindergarten teacher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Jobstreet,Indeed (Paid)</t>
        </is>
      </c>
      <c r="AT2166">
        <v>115</v>
      </c>
      <c r="AU2166" t="inlineStr">
        <is>
          <t>1.15</t>
        </is>
      </c>
      <c r="AV2166" t="inlineStr">
        <is>
          <t>15</t>
        </is>
      </c>
      <c r="AW2166" t="inlineStr">
        <is>
          <t>0</t>
        </is>
      </c>
      <c r="AX2166" t="inlineStr">
        <is>
          <t>Not Qualified</t>
        </is>
      </c>
      <c r="AY2166" s="4"/>
      <c r="AZ2166"/>
      <c r="BA2166"/>
      <c r="BB2166"/>
      <c r="BC2166"/>
      <c r="BD2166" s="4"/>
      <c r="BE2166"/>
      <c r="BF2166"/>
      <c r="BG2166" t="inlineStr">
        <is>
          <t>Reschedule</t>
        </is>
      </c>
      <c r="BH2166" t="inlineStr">
        <is>
          <t>Yee Hang</t>
        </is>
      </c>
      <c r="BI2166"/>
      <c r="BJ2166" s="4">
        <v>46144.755833333336</v>
      </c>
      <c r="BK2166" s="4">
        <v>46127.69201388889</v>
      </c>
      <c r="BL2166"/>
      <c r="BM2166"/>
      <c r="BN2166"/>
      <c r="BO2166" s="4"/>
      <c r="BP2166">
        <v>167247</v>
      </c>
      <c r="BQ2166"/>
      <c r="BR2166"/>
      <c r="BS2166"/>
      <c r="BT2166"/>
      <c r="BU2166"/>
      <c r="BV2166"/>
      <c r="BW2166"/>
      <c r="BX2166"/>
      <c r="BY2166"/>
      <c r="BZ2166" s="4"/>
      <c r="CA2166"/>
      <c r="CB2166"/>
      <c r="CC2166" s="4"/>
      <c r="CD2166" t="inlineStr">
        <is>
          <t>20</t>
        </is>
      </c>
      <c r="CE2166" t="inlineStr">
        <is>
          <t>0</t>
        </is>
      </c>
      <c r="CF2166" t="inlineStr">
        <is>
          <t>Q2-W02</t>
        </is>
      </c>
      <c r="CG2166"/>
      <c r="CH2166"/>
      <c r="CI2166"/>
      <c r="CJ2166" t="inlineStr">
        <is>
          <t>No Paid</t>
        </is>
      </c>
      <c r="CK2166" t="inlineStr">
        <is>
          <t>Not Eligible</t>
        </is>
      </c>
      <c r="CL2166"/>
      <c r="CM2166"/>
    </row>
    <row r="2167" ht="25.5" customHeight="1">
      <c r="A2167" t="inlineStr">
        <is>
          <t>4285568</t>
        </is>
      </c>
      <c r="B2167" s="2"/>
      <c r="C2167"/>
      <c r="D2167" s="3">
        <v>46127.71913194445</v>
      </c>
      <c r="E2167" t="inlineStr">
        <is>
          <t>Q2-W02</t>
        </is>
      </c>
      <c r="F2167" t="inlineStr">
        <is>
          <t>Janice Yap</t>
        </is>
      </c>
      <c r="G2167" t="inlineStr">
        <is>
          <t>Lead</t>
        </is>
      </c>
      <c r="H2167" s="2" t="str">
        <f>=HYPERLINK("https://upbox.ajobthing.my/leads/4285568", "https://upbox.ajobthing.my/leads/4285568")</f>
        <v>https://upbox.ajobthing.my/leads/4285568</v>
      </c>
      <c r="I2167" t="inlineStr">
        <is>
          <t xml:space="preserve">Aathini's Homemade Catering Services </t>
        </is>
      </c>
      <c r="J2167"/>
      <c r="K2167" t="inlineStr">
        <is>
          <t>Janice</t>
        </is>
      </c>
      <c r="L2167" s="4"/>
      <c r="M2167" s="4">
        <v>46127.71685185185</v>
      </c>
      <c r="N2167"/>
      <c r="O2167">
        <v>3888</v>
      </c>
      <c r="P2167" s="4"/>
      <c r="Q2167" s="4"/>
      <c r="R2167"/>
      <c r="S2167"/>
      <c r="T2167" s="4"/>
      <c r="U2167" s="4"/>
      <c r="V2167"/>
      <c r="W2167"/>
      <c r="X2167"/>
      <c r="Y2167" t="inlineStr">
        <is>
          <t>Pending Appointment</t>
        </is>
      </c>
      <c r="Z2167" t="inlineStr">
        <is>
          <t>Hiring Now</t>
        </is>
      </c>
      <c r="AA2167">
        <v>1</v>
      </c>
      <c r="AB2167" t="inlineStr">
        <is>
          <t>No Appointment Made</t>
        </is>
      </c>
      <c r="AC2167"/>
      <c r="AD2167" t="inlineStr">
        <is>
          <t>1 driver</t>
        </is>
      </c>
      <c r="AE2167"/>
      <c r="AF2167">
        <v>0</v>
      </c>
      <c r="AG2167" s="4"/>
      <c r="AH2167" s="4"/>
      <c r="AI2167">
        <v>0</v>
      </c>
      <c r="AJ2167"/>
      <c r="AK2167" t="inlineStr">
        <is>
          <t>No, I don't need at all</t>
        </is>
      </c>
      <c r="AL2167">
        <v>0</v>
      </c>
      <c r="AM2167" t="inlineStr">
        <is>
          <t>No, I don't need at all</t>
        </is>
      </c>
      <c r="AN2167"/>
      <c r="AO2167" t="inlineStr">
        <is>
          <t>No, I don't need at all</t>
        </is>
      </c>
      <c r="AP2167" t="inlineStr">
        <is>
          <t>Once a year (25%)</t>
        </is>
      </c>
      <c r="AQ2167">
        <v>1</v>
      </c>
      <c r="AR2167" t="inlineStr">
        <is>
          <t>Did not use any job portal</t>
        </is>
      </c>
      <c r="AS2167" t="inlineStr">
        <is>
          <t>- Headcount: 1
- Hiring Job Details: 1 driver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167">
        <v>115</v>
      </c>
      <c r="AU2167" t="inlineStr">
        <is>
          <t>1.15</t>
        </is>
      </c>
      <c r="AV2167" t="inlineStr">
        <is>
          <t>15</t>
        </is>
      </c>
      <c r="AW2167" t="inlineStr">
        <is>
          <t>0</t>
        </is>
      </c>
      <c r="AX2167" t="inlineStr">
        <is>
          <t>Not Qualified</t>
        </is>
      </c>
      <c r="AY2167" s="4"/>
      <c r="AZ2167"/>
      <c r="BA2167"/>
      <c r="BB2167"/>
      <c r="BC2167"/>
      <c r="BD2167" s="4"/>
      <c r="BE2167"/>
      <c r="BF2167"/>
      <c r="BG2167" t="inlineStr">
        <is>
          <t>Reschedule</t>
        </is>
      </c>
      <c r="BH2167" t="inlineStr">
        <is>
          <t>Yee Hang</t>
        </is>
      </c>
      <c r="BI2167"/>
      <c r="BJ2167" s="4">
        <v>46144.755833333336</v>
      </c>
      <c r="BK2167" s="4">
        <v>46127.62125</v>
      </c>
      <c r="BL2167"/>
      <c r="BM2167"/>
      <c r="BN2167"/>
      <c r="BO2167" s="4"/>
      <c r="BP2167">
        <v>167250</v>
      </c>
      <c r="BQ2167"/>
      <c r="BR2167"/>
      <c r="BS2167"/>
      <c r="BT2167"/>
      <c r="BU2167"/>
      <c r="BV2167"/>
      <c r="BW2167"/>
      <c r="BX2167"/>
      <c r="BY2167"/>
      <c r="BZ2167" s="4"/>
      <c r="CA2167"/>
      <c r="CB2167"/>
      <c r="CC2167" s="4"/>
      <c r="CD2167" t="inlineStr">
        <is>
          <t>20</t>
        </is>
      </c>
      <c r="CE2167" t="inlineStr">
        <is>
          <t>0</t>
        </is>
      </c>
      <c r="CF2167" t="inlineStr">
        <is>
          <t>Q2-W02</t>
        </is>
      </c>
      <c r="CG2167"/>
      <c r="CH2167"/>
      <c r="CI2167"/>
      <c r="CJ2167" t="inlineStr">
        <is>
          <t>No Paid</t>
        </is>
      </c>
      <c r="CK2167" t="inlineStr">
        <is>
          <t>Not Eligible</t>
        </is>
      </c>
      <c r="CL2167"/>
      <c r="CM2167"/>
    </row>
    <row r="2168" ht="25.5" customHeight="1">
      <c r="A2168" t="inlineStr">
        <is>
          <t>4253580</t>
        </is>
      </c>
      <c r="B2168" s="2"/>
      <c r="C2168"/>
      <c r="D2168" s="3">
        <v>46128.40164351852</v>
      </c>
      <c r="E2168" t="inlineStr">
        <is>
          <t>Q2-W02</t>
        </is>
      </c>
      <c r="F2168" t="inlineStr">
        <is>
          <t>Yuli</t>
        </is>
      </c>
      <c r="G2168" t="inlineStr">
        <is>
          <t>Lead</t>
        </is>
      </c>
      <c r="H2168" s="2" t="str">
        <f>=HYPERLINK("https://upbox.ajobthing.my/leads/4253580", "https://upbox.ajobthing.my/leads/4253580")</f>
        <v>https://upbox.ajobthing.my/leads/4253580</v>
      </c>
      <c r="I2168" t="inlineStr">
        <is>
          <t>GESE FURNITURE INDUSTRY (M) SDN BHD</t>
        </is>
      </c>
      <c r="J2168"/>
      <c r="K2168" t="inlineStr">
        <is>
          <t>YuLi</t>
        </is>
      </c>
      <c r="L2168" s="4"/>
      <c r="M2168" s="4">
        <v>46128.407847222225</v>
      </c>
      <c r="N2168"/>
      <c r="O2168">
        <v>13068</v>
      </c>
      <c r="P2168" s="4"/>
      <c r="Q2168" s="4"/>
      <c r="R2168"/>
      <c r="S2168"/>
      <c r="T2168" s="4"/>
      <c r="U2168" s="4"/>
      <c r="V2168"/>
      <c r="W2168"/>
      <c r="X2168"/>
      <c r="Y2168" t="inlineStr">
        <is>
          <t>Pending Appointment</t>
        </is>
      </c>
      <c r="Z2168" t="inlineStr">
        <is>
          <t>Hiring Now</t>
        </is>
      </c>
      <c r="AA2168">
        <v>8</v>
      </c>
      <c r="AB2168" t="inlineStr">
        <is>
          <t>No Appointment Made</t>
        </is>
      </c>
      <c r="AC2168"/>
      <c r="AD2168" t="inlineStr">
        <is>
          <t xml:space="preserve"> Sales and Operation Manager-1, Multimedia Designer-1, Export Sales-2 ( Based China) , Retail Sales-3,Sales Executive Stay Malaysi</t>
        </is>
      </c>
      <c r="AE2168"/>
      <c r="AF2168"/>
      <c r="AG2168" s="4"/>
      <c r="AH2168" s="4"/>
      <c r="AI2168"/>
      <c r="AJ2168"/>
      <c r="AK2168" t="inlineStr">
        <is>
          <t>Yes, I have</t>
        </is>
      </c>
      <c r="AL2168"/>
      <c r="AM2168"/>
      <c r="AN2168"/>
      <c r="AO2168"/>
      <c r="AP2168" t="inlineStr">
        <is>
          <t>Every month (100%)</t>
        </is>
      </c>
      <c r="AQ2168"/>
      <c r="AR2168" t="inlineStr">
        <is>
          <t>Jobstreet</t>
        </is>
      </c>
      <c r="AS2168" t="inlineStr">
        <is>
          <t>- Headcount: 8
- Hiring Job Details: Sales and Operation Manager-1, Multimedia Designer-1, Export Sales-2 (Based China), Retail Sales-3, Sales Executive Stay Malaysi
- Hiring Urgency: Hiring Now
- Number of outlets: Not available
- Have recruiter team: Yes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Jobstreet</t>
        </is>
      </c>
      <c r="AT2168">
        <v>75</v>
      </c>
      <c r="AU2168" t="inlineStr">
        <is>
          <t>0.75</t>
        </is>
      </c>
      <c r="AV2168" t="inlineStr">
        <is>
          <t>10</t>
        </is>
      </c>
      <c r="AW2168" t="inlineStr">
        <is>
          <t>0</t>
        </is>
      </c>
      <c r="AX2168" t="inlineStr">
        <is>
          <t>Not Qualified</t>
        </is>
      </c>
      <c r="AY2168" s="4"/>
      <c r="AZ2168"/>
      <c r="BA2168"/>
      <c r="BB2168"/>
      <c r="BC2168"/>
      <c r="BD2168" s="4"/>
      <c r="BE2168"/>
      <c r="BF2168"/>
      <c r="BG2168" t="inlineStr">
        <is>
          <t>Reschedule</t>
        </is>
      </c>
      <c r="BH2168" t="inlineStr">
        <is>
          <t>Fauziah Maharan</t>
        </is>
      </c>
      <c r="BI2168"/>
      <c r="BJ2168" s="4">
        <v>46144.755740740744</v>
      </c>
      <c r="BK2168" s="4">
        <v>46118.89417824074</v>
      </c>
      <c r="BL2168"/>
      <c r="BM2168"/>
      <c r="BN2168"/>
      <c r="BO2168" s="4"/>
      <c r="BP2168">
        <v>167284</v>
      </c>
      <c r="BQ2168"/>
      <c r="BR2168"/>
      <c r="BS2168"/>
      <c r="BT2168"/>
      <c r="BU2168"/>
      <c r="BV2168"/>
      <c r="BW2168"/>
      <c r="BX2168"/>
      <c r="BY2168"/>
      <c r="BZ2168" s="4"/>
      <c r="CA2168"/>
      <c r="CB2168"/>
      <c r="CC2168" s="4"/>
      <c r="CD2168" t="inlineStr">
        <is>
          <t>15</t>
        </is>
      </c>
      <c r="CE2168" t="inlineStr">
        <is>
          <t>0</t>
        </is>
      </c>
      <c r="CF2168" t="inlineStr">
        <is>
          <t>Q2-W02</t>
        </is>
      </c>
      <c r="CG2168"/>
      <c r="CH2168"/>
      <c r="CI2168"/>
      <c r="CJ2168" t="inlineStr">
        <is>
          <t>No Paid</t>
        </is>
      </c>
      <c r="CK2168" t="inlineStr">
        <is>
          <t>Eligible</t>
        </is>
      </c>
      <c r="CL2168"/>
      <c r="CM2168"/>
    </row>
    <row r="2169" ht="25.5" customHeight="1">
      <c r="A2169" t="inlineStr">
        <is>
          <t>4266200</t>
        </is>
      </c>
      <c r="B2169" s="2"/>
      <c r="C2169"/>
      <c r="D2169" s="3">
        <v>46128.411203703705</v>
      </c>
      <c r="E2169" t="inlineStr">
        <is>
          <t>Q2-W02</t>
        </is>
      </c>
      <c r="F2169" t="inlineStr">
        <is>
          <t>Ratha</t>
        </is>
      </c>
      <c r="G2169" t="inlineStr">
        <is>
          <t>Lead</t>
        </is>
      </c>
      <c r="H2169" s="2" t="str">
        <f>=HYPERLINK("https://upbox.ajobthing.my/leads/4266200", "https://upbox.ajobthing.my/leads/4266200")</f>
        <v>https://upbox.ajobthing.my/leads/4266200</v>
      </c>
      <c r="I2169" t="inlineStr">
        <is>
          <t>AF ENERGY CENTRE ENTERPRISE</t>
        </is>
      </c>
      <c r="J2169"/>
      <c r="K2169" t="inlineStr">
        <is>
          <t>Ratha</t>
        </is>
      </c>
      <c r="L2169" s="4"/>
      <c r="M2169" s="4">
        <v>46128.42518518519</v>
      </c>
      <c r="N2169"/>
      <c r="O2169">
        <v>10800</v>
      </c>
      <c r="P2169" s="4"/>
      <c r="Q2169" s="4"/>
      <c r="R2169"/>
      <c r="S2169"/>
      <c r="T2169" s="4"/>
      <c r="U2169" s="4"/>
      <c r="V2169"/>
      <c r="W2169"/>
      <c r="X2169"/>
      <c r="Y2169" t="inlineStr">
        <is>
          <t>Pending Appointment</t>
        </is>
      </c>
      <c r="Z2169" t="inlineStr">
        <is>
          <t>Hiring Now</t>
        </is>
      </c>
      <c r="AA2169">
        <v>2</v>
      </c>
      <c r="AB2169" t="inlineStr">
        <is>
          <t>No Appointment Made</t>
        </is>
      </c>
      <c r="AC2169"/>
      <c r="AD2169" t="inlineStr">
        <is>
          <t>Social &amp; Technician
Location : Melaka</t>
        </is>
      </c>
      <c r="AE2169"/>
      <c r="AF2169"/>
      <c r="AG2169" s="4"/>
      <c r="AH2169" s="4"/>
      <c r="AI2169"/>
      <c r="AJ2169">
        <v>1</v>
      </c>
      <c r="AK2169" t="inlineStr">
        <is>
          <t>Yes, I have</t>
        </is>
      </c>
      <c r="AL2169">
        <v>2</v>
      </c>
      <c r="AM2169" t="inlineStr">
        <is>
          <t>No, I don't need at all</t>
        </is>
      </c>
      <c r="AN2169"/>
      <c r="AO2169" t="inlineStr">
        <is>
          <t>No, I don't need at all</t>
        </is>
      </c>
      <c r="AP2169" t="inlineStr">
        <is>
          <t>Every month (100%)</t>
        </is>
      </c>
      <c r="AQ2169"/>
      <c r="AR2169" t="inlineStr">
        <is>
          <t>Jobstreet, Free Job Portal</t>
        </is>
      </c>
      <c r="AS2169" t="inlineStr">
        <is>
          <t>- Headcount: 2
- Hiring Job Details: Social &amp; Technician, Location: Melaka
- Hiring Urgency: Hiring Now
- Number of outlets: 1
- Have recruiter team: Yes
- Number of recruiter in company: 2
- Have ATS system: No, I don't need at all
- Have career website: No, I don't need at all
- Current hiring budget: Not provided
- Whole year budget: Not provided
- Whole year number of vacancies: Not provided
- Hiring frequency: Every month (100%)
- External job portal: Jobstreet, Free Job Portal</t>
        </is>
      </c>
      <c r="AT2169">
        <v>100</v>
      </c>
      <c r="AU2169" t="inlineStr">
        <is>
          <t>1.00</t>
        </is>
      </c>
      <c r="AV2169" t="inlineStr">
        <is>
          <t>5</t>
        </is>
      </c>
      <c r="AW2169" t="inlineStr">
        <is>
          <t>0</t>
        </is>
      </c>
      <c r="AX2169" t="inlineStr">
        <is>
          <t>Not Qualified</t>
        </is>
      </c>
      <c r="AY2169" s="4"/>
      <c r="AZ2169"/>
      <c r="BA2169"/>
      <c r="BB2169"/>
      <c r="BC2169"/>
      <c r="BD2169" s="4"/>
      <c r="BE2169"/>
      <c r="BF2169"/>
      <c r="BG2169" t="inlineStr">
        <is>
          <t>Reschedule</t>
        </is>
      </c>
      <c r="BH2169" t="inlineStr">
        <is>
          <t>Fauziah Maharan</t>
        </is>
      </c>
      <c r="BI2169"/>
      <c r="BJ2169" s="4">
        <v>46144.75578703704</v>
      </c>
      <c r="BK2169" s="4">
        <v>46121.87657407407</v>
      </c>
      <c r="BL2169"/>
      <c r="BM2169"/>
      <c r="BN2169"/>
      <c r="BO2169" s="4"/>
      <c r="BP2169">
        <v>167302</v>
      </c>
      <c r="BQ2169"/>
      <c r="BR2169"/>
      <c r="BS2169"/>
      <c r="BT2169"/>
      <c r="BU2169"/>
      <c r="BV2169"/>
      <c r="BW2169"/>
      <c r="BX2169"/>
      <c r="BY2169"/>
      <c r="BZ2169" s="4"/>
      <c r="CA2169"/>
      <c r="CB2169"/>
      <c r="CC2169" s="4"/>
      <c r="CD2169" t="inlineStr">
        <is>
          <t>5</t>
        </is>
      </c>
      <c r="CE2169" t="inlineStr">
        <is>
          <t>0</t>
        </is>
      </c>
      <c r="CF2169" t="inlineStr">
        <is>
          <t>Q2-W02</t>
        </is>
      </c>
      <c r="CG2169"/>
      <c r="CH2169"/>
      <c r="CI2169"/>
      <c r="CJ2169" t="inlineStr">
        <is>
          <t>No Paid</t>
        </is>
      </c>
      <c r="CK2169" t="inlineStr">
        <is>
          <t>Not Eligible</t>
        </is>
      </c>
      <c r="CL2169"/>
      <c r="CM2169"/>
    </row>
    <row r="2170" ht="25.5" customHeight="1">
      <c r="A2170" t="inlineStr">
        <is>
          <t>4287107</t>
        </is>
      </c>
      <c r="B2170" s="2"/>
      <c r="C2170"/>
      <c r="D2170" s="3">
        <v>46128.43418981481</v>
      </c>
      <c r="E2170" t="inlineStr">
        <is>
          <t>Q2-W02</t>
        </is>
      </c>
      <c r="F2170" t="inlineStr">
        <is>
          <t>Jia Hui</t>
        </is>
      </c>
      <c r="G2170" t="inlineStr">
        <is>
          <t>Lead</t>
        </is>
      </c>
      <c r="H2170" s="2" t="str">
        <f>=HYPERLINK("https://upbox.ajobthing.my/leads/4287107", "https://upbox.ajobthing.my/leads/4287107")</f>
        <v>https://upbox.ajobthing.my/leads/4287107</v>
      </c>
      <c r="I2170" t="inlineStr">
        <is>
          <t>Pasaraya Jaya Gading Sdn Bhd</t>
        </is>
      </c>
      <c r="J2170"/>
      <c r="K2170" t="inlineStr">
        <is>
          <t>Jia Hui</t>
        </is>
      </c>
      <c r="L2170" s="4"/>
      <c r="M2170" s="4">
        <v>46128.43446759259</v>
      </c>
      <c r="N2170"/>
      <c r="O2170">
        <v>3888</v>
      </c>
      <c r="P2170" s="4"/>
      <c r="Q2170" s="4"/>
      <c r="R2170"/>
      <c r="S2170"/>
      <c r="T2170" s="4"/>
      <c r="U2170" s="4"/>
      <c r="V2170"/>
      <c r="W2170"/>
      <c r="X2170"/>
      <c r="Y2170" t="inlineStr">
        <is>
          <t>Pending Appointment</t>
        </is>
      </c>
      <c r="Z2170" t="inlineStr">
        <is>
          <t>Hiring Now</t>
        </is>
      </c>
      <c r="AA2170">
        <v>1</v>
      </c>
      <c r="AB2170" t="inlineStr">
        <is>
          <t>No Appointment Made</t>
        </is>
      </c>
      <c r="AC2170"/>
      <c r="AD2170" t="inlineStr">
        <is>
          <t>1 brand marketing</t>
        </is>
      </c>
      <c r="AE2170"/>
      <c r="AF2170">
        <v>500</v>
      </c>
      <c r="AG2170" s="4"/>
      <c r="AH2170" s="4"/>
      <c r="AI2170"/>
      <c r="AJ2170"/>
      <c r="AK2170"/>
      <c r="AL2170"/>
      <c r="AM2170"/>
      <c r="AN2170"/>
      <c r="AO2170"/>
      <c r="AP2170" t="inlineStr">
        <is>
          <t>Once a year (25%)</t>
        </is>
      </c>
      <c r="AQ2170"/>
      <c r="AR2170"/>
      <c r="AS2170" t="inlineStr">
        <is>
          <t>- Headcount: 1
- Hiring Job Details: 1 brand marketing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170">
        <v>65</v>
      </c>
      <c r="AU2170" t="inlineStr">
        <is>
          <t>0.65</t>
        </is>
      </c>
      <c r="AV2170" t="inlineStr">
        <is>
          <t>15</t>
        </is>
      </c>
      <c r="AW2170" t="inlineStr">
        <is>
          <t>0</t>
        </is>
      </c>
      <c r="AX2170" t="inlineStr">
        <is>
          <t>Not Qualified</t>
        </is>
      </c>
      <c r="AY2170" s="4"/>
      <c r="AZ2170"/>
      <c r="BA2170"/>
      <c r="BB2170"/>
      <c r="BC2170"/>
      <c r="BD2170" s="4"/>
      <c r="BE2170"/>
      <c r="BF2170"/>
      <c r="BG2170" t="inlineStr">
        <is>
          <t>Reschedule</t>
        </is>
      </c>
      <c r="BH2170" t="inlineStr">
        <is>
          <t>Reagen</t>
        </is>
      </c>
      <c r="BI2170"/>
      <c r="BJ2170" s="4">
        <v>46144.755833333336</v>
      </c>
      <c r="BK2170" s="4">
        <v>46127.94085648148</v>
      </c>
      <c r="BL2170"/>
      <c r="BM2170"/>
      <c r="BN2170"/>
      <c r="BO2170" s="4"/>
      <c r="BP2170">
        <v>167307</v>
      </c>
      <c r="BQ2170"/>
      <c r="BR2170"/>
      <c r="BS2170"/>
      <c r="BT2170"/>
      <c r="BU2170"/>
      <c r="BV2170"/>
      <c r="BW2170"/>
      <c r="BX2170"/>
      <c r="BY2170"/>
      <c r="BZ2170" s="4"/>
      <c r="CA2170"/>
      <c r="CB2170"/>
      <c r="CC2170" s="4"/>
      <c r="CD2170" t="inlineStr">
        <is>
          <t>20</t>
        </is>
      </c>
      <c r="CE2170" t="inlineStr">
        <is>
          <t>0</t>
        </is>
      </c>
      <c r="CF2170" t="inlineStr">
        <is>
          <t>Q2-W02</t>
        </is>
      </c>
      <c r="CG2170"/>
      <c r="CH2170"/>
      <c r="CI2170"/>
      <c r="CJ2170" t="inlineStr">
        <is>
          <t>No Paid</t>
        </is>
      </c>
      <c r="CK2170" t="inlineStr">
        <is>
          <t>Not Eligible</t>
        </is>
      </c>
      <c r="CL2170"/>
      <c r="CM2170"/>
    </row>
    <row r="2171" ht="25.5" customHeight="1">
      <c r="A2171" t="inlineStr">
        <is>
          <t>4261949</t>
        </is>
      </c>
      <c r="B2171" s="2"/>
      <c r="C2171"/>
      <c r="D2171" s="3">
        <v>46128.44458333333</v>
      </c>
      <c r="E2171" t="inlineStr">
        <is>
          <t>Q2-W02</t>
        </is>
      </c>
      <c r="F2171" t="inlineStr">
        <is>
          <t>Clover</t>
        </is>
      </c>
      <c r="G2171" t="inlineStr">
        <is>
          <t>Lead</t>
        </is>
      </c>
      <c r="H2171" s="2" t="str">
        <f>=HYPERLINK("https://upbox.ajobthing.my/leads/4261949", "https://upbox.ajobthing.my/leads/4261949")</f>
        <v>https://upbox.ajobthing.my/leads/4261949</v>
      </c>
      <c r="I2171" t="inlineStr">
        <is>
          <t>VENUS EXCELLENT SDN BHD</t>
        </is>
      </c>
      <c r="J2171"/>
      <c r="K2171" t="inlineStr">
        <is>
          <t>Clover</t>
        </is>
      </c>
      <c r="L2171" s="4"/>
      <c r="M2171" s="4">
        <v>46128.4465162037</v>
      </c>
      <c r="N2171"/>
      <c r="O2171">
        <v>3888</v>
      </c>
      <c r="P2171" s="4"/>
      <c r="Q2171" s="4"/>
      <c r="R2171"/>
      <c r="S2171"/>
      <c r="T2171" s="4"/>
      <c r="U2171" s="4"/>
      <c r="V2171"/>
      <c r="W2171"/>
      <c r="X2171"/>
      <c r="Y2171" t="inlineStr">
        <is>
          <t>Pending Appointment</t>
        </is>
      </c>
      <c r="Z2171" t="inlineStr">
        <is>
          <t>Hiring Later</t>
        </is>
      </c>
      <c r="AA2171">
        <v>2</v>
      </c>
      <c r="AB2171" t="inlineStr">
        <is>
          <t>No Appointment Made</t>
        </is>
      </c>
      <c r="AC2171"/>
      <c r="AD2171" t="inlineStr">
        <is>
          <t>HR Ms Syuhadah, job filled now post at JS Indeed, normally hiring blue collars lorry diver, operator, x1-2, maybe future have hiring, suggest stand</t>
        </is>
      </c>
      <c r="AE2171"/>
      <c r="AF2171">
        <v>3000</v>
      </c>
      <c r="AG2171" s="4"/>
      <c r="AH2171" s="4"/>
      <c r="AI2171">
        <v>3000</v>
      </c>
      <c r="AJ2171">
        <v>1</v>
      </c>
      <c r="AK2171" t="inlineStr">
        <is>
          <t>No, but I want in future</t>
        </is>
      </c>
      <c r="AL2171">
        <v>1</v>
      </c>
      <c r="AM2171" t="inlineStr">
        <is>
          <t>No, but I want in future</t>
        </is>
      </c>
      <c r="AN2171"/>
      <c r="AO2171" t="inlineStr">
        <is>
          <t>No, but I want in future</t>
        </is>
      </c>
      <c r="AP2171" t="inlineStr">
        <is>
          <t>Twice a year (50%)</t>
        </is>
      </c>
      <c r="AQ2171">
        <v>2</v>
      </c>
      <c r="AR2171" t="inlineStr">
        <is>
          <t>Jobstreet, Indeed (Paid)</t>
        </is>
      </c>
      <c r="AS2171" t="inlineStr">
        <is>
          <t>- Headcount: 2
- Hiring Job Details: HR Ms Syuhadah's post filled on JS Indeed; normally hires 1-2 blue-collar lorry drivers/operators; possible future hires suggested to stand by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 Indeed (Paid)</t>
        </is>
      </c>
      <c r="AT2171">
        <v>115</v>
      </c>
      <c r="AU2171" t="inlineStr">
        <is>
          <t>1.15</t>
        </is>
      </c>
      <c r="AV2171" t="inlineStr">
        <is>
          <t>15</t>
        </is>
      </c>
      <c r="AW2171" t="inlineStr">
        <is>
          <t>0</t>
        </is>
      </c>
      <c r="AX2171" t="inlineStr">
        <is>
          <t>Not Qualified</t>
        </is>
      </c>
      <c r="AY2171" s="4"/>
      <c r="AZ2171"/>
      <c r="BA2171"/>
      <c r="BB2171"/>
      <c r="BC2171"/>
      <c r="BD2171" s="4"/>
      <c r="BE2171"/>
      <c r="BF2171"/>
      <c r="BG2171" t="inlineStr">
        <is>
          <t>Reschedule</t>
        </is>
      </c>
      <c r="BH2171" t="inlineStr">
        <is>
          <t>Reagen</t>
        </is>
      </c>
      <c r="BI2171"/>
      <c r="BJ2171" s="4">
        <v>46144.75576388889</v>
      </c>
      <c r="BK2171" s="4">
        <v>46120.886516203704</v>
      </c>
      <c r="BL2171"/>
      <c r="BM2171"/>
      <c r="BN2171"/>
      <c r="BO2171" s="4"/>
      <c r="BP2171">
        <v>167324</v>
      </c>
      <c r="BQ2171"/>
      <c r="BR2171"/>
      <c r="BS2171"/>
      <c r="BT2171"/>
      <c r="BU2171"/>
      <c r="BV2171"/>
      <c r="BW2171"/>
      <c r="BX2171"/>
      <c r="BY2171"/>
      <c r="BZ2171" s="4"/>
      <c r="CA2171"/>
      <c r="CB2171"/>
      <c r="CC2171" s="4"/>
      <c r="CD2171" t="inlineStr">
        <is>
          <t>20</t>
        </is>
      </c>
      <c r="CE2171" t="inlineStr">
        <is>
          <t>0</t>
        </is>
      </c>
      <c r="CF2171" t="inlineStr">
        <is>
          <t>Q2-W02</t>
        </is>
      </c>
      <c r="CG2171"/>
      <c r="CH2171"/>
      <c r="CI2171"/>
      <c r="CJ2171" t="inlineStr">
        <is>
          <t>No Paid</t>
        </is>
      </c>
      <c r="CK2171" t="inlineStr">
        <is>
          <t>Not Eligible</t>
        </is>
      </c>
      <c r="CL2171"/>
      <c r="CM2171"/>
    </row>
    <row r="2172" ht="25.5" customHeight="1">
      <c r="A2172" t="inlineStr">
        <is>
          <t>4261949</t>
        </is>
      </c>
      <c r="B2172" s="2"/>
      <c r="C2172"/>
      <c r="D2172" s="3">
        <v>46128.44605324074</v>
      </c>
      <c r="E2172" t="inlineStr">
        <is>
          <t>Q2-W02</t>
        </is>
      </c>
      <c r="F2172" t="inlineStr">
        <is>
          <t>Clover</t>
        </is>
      </c>
      <c r="G2172" t="inlineStr">
        <is>
          <t>Lead</t>
        </is>
      </c>
      <c r="H2172" s="2" t="str">
        <f>=HYPERLINK("https://upbox.ajobthing.my/leads/4261949", "https://upbox.ajobthing.my/leads/4261949")</f>
        <v>https://upbox.ajobthing.my/leads/4261949</v>
      </c>
      <c r="I2172" t="inlineStr">
        <is>
          <t>VENUS EXCELLENT SDN BHD</t>
        </is>
      </c>
      <c r="J2172"/>
      <c r="K2172" t="inlineStr">
        <is>
          <t>Clover</t>
        </is>
      </c>
      <c r="L2172" s="4"/>
      <c r="M2172" s="4">
        <v>46128.4465162037</v>
      </c>
      <c r="N2172"/>
      <c r="O2172">
        <v>3888</v>
      </c>
      <c r="P2172" s="4"/>
      <c r="Q2172" s="4"/>
      <c r="R2172"/>
      <c r="S2172"/>
      <c r="T2172" s="4"/>
      <c r="U2172" s="4"/>
      <c r="V2172"/>
      <c r="W2172"/>
      <c r="X2172"/>
      <c r="Y2172" t="inlineStr">
        <is>
          <t>Pending Appointment</t>
        </is>
      </c>
      <c r="Z2172" t="inlineStr">
        <is>
          <t>Hiring Later</t>
        </is>
      </c>
      <c r="AA2172">
        <v>2</v>
      </c>
      <c r="AB2172" t="inlineStr">
        <is>
          <t>No Appointment Made</t>
        </is>
      </c>
      <c r="AC2172"/>
      <c r="AD2172" t="inlineStr">
        <is>
          <t>HR Ms Syuhadah, job filled now post at JS Indeed, normally hiring blue collars lorry diver, operator, maybe future have hiring, canva trading perak, suggest stand</t>
        </is>
      </c>
      <c r="AE2172"/>
      <c r="AF2172">
        <v>3000</v>
      </c>
      <c r="AG2172" s="4"/>
      <c r="AH2172" s="4"/>
      <c r="AI2172">
        <v>3000</v>
      </c>
      <c r="AJ2172">
        <v>1</v>
      </c>
      <c r="AK2172" t="inlineStr">
        <is>
          <t>No, but I want in future</t>
        </is>
      </c>
      <c r="AL2172">
        <v>1</v>
      </c>
      <c r="AM2172" t="inlineStr">
        <is>
          <t>No, but I want in future</t>
        </is>
      </c>
      <c r="AN2172"/>
      <c r="AO2172" t="inlineStr">
        <is>
          <t>No, but I want in future</t>
        </is>
      </c>
      <c r="AP2172" t="inlineStr">
        <is>
          <t>Twice a year (50%)</t>
        </is>
      </c>
      <c r="AQ2172">
        <v>2</v>
      </c>
      <c r="AR2172" t="inlineStr">
        <is>
          <t>Jobstreet, Indeed (Paid)</t>
        </is>
      </c>
      <c r="AS2172" t="inlineStr">
        <is>
          <t>- Headcount: 2
- Hiring Job Details: HR Ms Syuhadah's post filled on JS Indeed; normally hires blue-collar lorry drivers, operators; potential future hires; Canva Trading Perak,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Jobstreet, Indeed (Paid)</t>
        </is>
      </c>
      <c r="AT2172">
        <v>105</v>
      </c>
      <c r="AU2172" t="inlineStr">
        <is>
          <t>1.05</t>
        </is>
      </c>
      <c r="AV2172" t="inlineStr">
        <is>
          <t>15</t>
        </is>
      </c>
      <c r="AW2172" t="inlineStr">
        <is>
          <t>0</t>
        </is>
      </c>
      <c r="AX2172" t="inlineStr">
        <is>
          <t>Not Qualified</t>
        </is>
      </c>
      <c r="AY2172" s="4"/>
      <c r="AZ2172"/>
      <c r="BA2172"/>
      <c r="BB2172"/>
      <c r="BC2172"/>
      <c r="BD2172" s="4"/>
      <c r="BE2172"/>
      <c r="BF2172"/>
      <c r="BG2172" t="inlineStr">
        <is>
          <t>Reschedule</t>
        </is>
      </c>
      <c r="BH2172" t="inlineStr">
        <is>
          <t>Reagen</t>
        </is>
      </c>
      <c r="BI2172"/>
      <c r="BJ2172" s="4">
        <v>46144.75576388889</v>
      </c>
      <c r="BK2172" s="4">
        <v>46120.886516203704</v>
      </c>
      <c r="BL2172"/>
      <c r="BM2172"/>
      <c r="BN2172"/>
      <c r="BO2172" s="4"/>
      <c r="BP2172">
        <v>167324</v>
      </c>
      <c r="BQ2172"/>
      <c r="BR2172"/>
      <c r="BS2172"/>
      <c r="BT2172"/>
      <c r="BU2172"/>
      <c r="BV2172"/>
      <c r="BW2172"/>
      <c r="BX2172"/>
      <c r="BY2172"/>
      <c r="BZ2172" s="4"/>
      <c r="CA2172"/>
      <c r="CB2172"/>
      <c r="CC2172" s="4"/>
      <c r="CD2172" t="inlineStr">
        <is>
          <t>20</t>
        </is>
      </c>
      <c r="CE2172" t="inlineStr">
        <is>
          <t>0</t>
        </is>
      </c>
      <c r="CF2172" t="inlineStr">
        <is>
          <t>Q2-W02</t>
        </is>
      </c>
      <c r="CG2172"/>
      <c r="CH2172"/>
      <c r="CI2172"/>
      <c r="CJ2172" t="inlineStr">
        <is>
          <t>No Paid</t>
        </is>
      </c>
      <c r="CK2172" t="inlineStr">
        <is>
          <t>Not Eligible</t>
        </is>
      </c>
      <c r="CL2172"/>
      <c r="CM2172"/>
    </row>
    <row r="2173" ht="25.5" customHeight="1">
      <c r="A2173" t="inlineStr">
        <is>
          <t>4118239</t>
        </is>
      </c>
      <c r="B2173" s="2"/>
      <c r="C2173"/>
      <c r="D2173" s="3">
        <v>46128.4462037037</v>
      </c>
      <c r="E2173" t="inlineStr">
        <is>
          <t>Q2-W02</t>
        </is>
      </c>
      <c r="F2173" t="inlineStr">
        <is>
          <t>Janice Yap</t>
        </is>
      </c>
      <c r="G2173" t="inlineStr">
        <is>
          <t>Lead</t>
        </is>
      </c>
      <c r="H2173" s="2" t="str">
        <f>=HYPERLINK("https://upbox.ajobthing.my/leads/4118239", "https://upbox.ajobthing.my/leads/4118239")</f>
        <v>https://upbox.ajobthing.my/leads/4118239</v>
      </c>
      <c r="I2173" t="inlineStr">
        <is>
          <t>Allied Group Property Services Sdn Bhd</t>
        </is>
      </c>
      <c r="J2173"/>
      <c r="K2173" t="inlineStr">
        <is>
          <t>Janice</t>
        </is>
      </c>
      <c r="L2173" s="4"/>
      <c r="M2173" s="4">
        <v>46128.43418981481</v>
      </c>
      <c r="N2173"/>
      <c r="O2173">
        <v>6048</v>
      </c>
      <c r="P2173" s="4"/>
      <c r="Q2173" s="4"/>
      <c r="R2173"/>
      <c r="S2173"/>
      <c r="T2173" s="4"/>
      <c r="U2173" s="4"/>
      <c r="V2173"/>
      <c r="W2173"/>
      <c r="X2173"/>
      <c r="Y2173" t="inlineStr">
        <is>
          <t>Pending Appointment</t>
        </is>
      </c>
      <c r="Z2173" t="inlineStr">
        <is>
          <t>Hiring Now</t>
        </is>
      </c>
      <c r="AA2173">
        <v>3</v>
      </c>
      <c r="AB2173" t="inlineStr">
        <is>
          <t>No Appointment Made</t>
        </is>
      </c>
      <c r="AC2173"/>
      <c r="AD2173" t="inlineStr">
        <is>
          <t>1 manager // 1 admin // 1 technician</t>
        </is>
      </c>
      <c r="AE2173"/>
      <c r="AF2173">
        <v>0</v>
      </c>
      <c r="AG2173" s="4"/>
      <c r="AH2173" s="4"/>
      <c r="AI2173">
        <v>0</v>
      </c>
      <c r="AJ2173"/>
      <c r="AK2173" t="inlineStr">
        <is>
          <t>No, I don't need at all</t>
        </is>
      </c>
      <c r="AL2173">
        <v>0</v>
      </c>
      <c r="AM2173" t="inlineStr">
        <is>
          <t>No, I don't need at all</t>
        </is>
      </c>
      <c r="AN2173"/>
      <c r="AO2173" t="inlineStr">
        <is>
          <t>No, I don't need at all</t>
        </is>
      </c>
      <c r="AP2173" t="inlineStr">
        <is>
          <t>Once a year (25%)</t>
        </is>
      </c>
      <c r="AQ2173">
        <v>3</v>
      </c>
      <c r="AR2173" t="inlineStr">
        <is>
          <t>Jobstreet, Indeed (Paid)</t>
        </is>
      </c>
      <c r="AS2173" t="inlineStr">
        <is>
          <t>- Headcount: 3
- Hiring Job Details: 1 manager // 1 admin // 1 technician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Jobstreet,Indeed (Paid)</t>
        </is>
      </c>
      <c r="AT2173">
        <v>100</v>
      </c>
      <c r="AU2173" t="inlineStr">
        <is>
          <t>1.00</t>
        </is>
      </c>
      <c r="AV2173" t="inlineStr">
        <is>
          <t>15</t>
        </is>
      </c>
      <c r="AW2173" t="inlineStr">
        <is>
          <t>0</t>
        </is>
      </c>
      <c r="AX2173" t="inlineStr">
        <is>
          <t>Not Qualified</t>
        </is>
      </c>
      <c r="AY2173" s="4"/>
      <c r="AZ2173"/>
      <c r="BA2173"/>
      <c r="BB2173"/>
      <c r="BC2173"/>
      <c r="BD2173" s="4"/>
      <c r="BE2173"/>
      <c r="BF2173"/>
      <c r="BG2173" t="inlineStr">
        <is>
          <t>Reschedule</t>
        </is>
      </c>
      <c r="BH2173" t="inlineStr">
        <is>
          <t>Yee Hang</t>
        </is>
      </c>
      <c r="BI2173"/>
      <c r="BJ2173" s="4">
        <v>46144.75539351852</v>
      </c>
      <c r="BK2173" s="4">
        <v>46083.53680555556</v>
      </c>
      <c r="BL2173"/>
      <c r="BM2173"/>
      <c r="BN2173"/>
      <c r="BO2173" s="4"/>
      <c r="BP2173">
        <v>167306</v>
      </c>
      <c r="BQ2173"/>
      <c r="BR2173"/>
      <c r="BS2173"/>
      <c r="BT2173"/>
      <c r="BU2173"/>
      <c r="BV2173"/>
      <c r="BW2173"/>
      <c r="BX2173"/>
      <c r="BY2173"/>
      <c r="BZ2173" s="4"/>
      <c r="CA2173"/>
      <c r="CB2173"/>
      <c r="CC2173" s="4"/>
      <c r="CD2173" t="inlineStr">
        <is>
          <t>20</t>
        </is>
      </c>
      <c r="CE2173" t="inlineStr">
        <is>
          <t>0</t>
        </is>
      </c>
      <c r="CF2173" t="inlineStr">
        <is>
          <t>Q2-W02</t>
        </is>
      </c>
      <c r="CG2173"/>
      <c r="CH2173"/>
      <c r="CI2173"/>
      <c r="CJ2173" t="inlineStr">
        <is>
          <t>No Paid</t>
        </is>
      </c>
      <c r="CK2173" t="inlineStr">
        <is>
          <t>Not Eligible</t>
        </is>
      </c>
      <c r="CL2173"/>
      <c r="CM2173"/>
    </row>
    <row r="2174" ht="25.5" customHeight="1">
      <c r="A2174" t="inlineStr">
        <is>
          <t>4287107</t>
        </is>
      </c>
      <c r="B2174" s="2"/>
      <c r="C2174"/>
      <c r="D2174" s="3">
        <v>46128.45023148148</v>
      </c>
      <c r="E2174" t="inlineStr">
        <is>
          <t>Q2-W02</t>
        </is>
      </c>
      <c r="F2174" t="inlineStr">
        <is>
          <t>Jia Hui</t>
        </is>
      </c>
      <c r="G2174" t="inlineStr">
        <is>
          <t>Lead</t>
        </is>
      </c>
      <c r="H2174" s="2" t="str">
        <f>=HYPERLINK("https://upbox.ajobthing.my/leads/4287107", "https://upbox.ajobthing.my/leads/4287107")</f>
        <v>https://upbox.ajobthing.my/leads/4287107</v>
      </c>
      <c r="I2174" t="inlineStr">
        <is>
          <t>Pasaraya Jaya Gading Sdn Bhd</t>
        </is>
      </c>
      <c r="J2174"/>
      <c r="K2174" t="inlineStr">
        <is>
          <t>Jia Hui</t>
        </is>
      </c>
      <c r="L2174" s="4"/>
      <c r="M2174" s="4">
        <v>46128.43446759259</v>
      </c>
      <c r="N2174"/>
      <c r="O2174">
        <v>3888</v>
      </c>
      <c r="P2174" s="4"/>
      <c r="Q2174" s="4"/>
      <c r="R2174"/>
      <c r="S2174"/>
      <c r="T2174" s="4"/>
      <c r="U2174" s="4"/>
      <c r="V2174"/>
      <c r="W2174"/>
      <c r="X2174"/>
      <c r="Y2174" t="inlineStr">
        <is>
          <t>Pending Appointment</t>
        </is>
      </c>
      <c r="Z2174" t="inlineStr">
        <is>
          <t>Hiring Now</t>
        </is>
      </c>
      <c r="AA2174">
        <v>1</v>
      </c>
      <c r="AB2174" t="inlineStr">
        <is>
          <t>No Appointment Made</t>
        </is>
      </c>
      <c r="AC2174"/>
      <c r="AD2174" t="inlineStr">
        <is>
          <t>1 digital marketing</t>
        </is>
      </c>
      <c r="AE2174"/>
      <c r="AF2174">
        <v>500</v>
      </c>
      <c r="AG2174" s="4"/>
      <c r="AH2174" s="4"/>
      <c r="AI2174"/>
      <c r="AJ2174"/>
      <c r="AK2174" t="inlineStr">
        <is>
          <t>No, but I want in future</t>
        </is>
      </c>
      <c r="AL2174"/>
      <c r="AM2174"/>
      <c r="AN2174"/>
      <c r="AO2174"/>
      <c r="AP2174" t="inlineStr">
        <is>
          <t>Once a year (25%)</t>
        </is>
      </c>
      <c r="AQ2174"/>
      <c r="AR2174"/>
      <c r="AS2174" t="inlineStr">
        <is>
          <t>- Headcount: 1
- Hiring Job Details: 1 digital marketing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is>
      </c>
      <c r="AT2174">
        <v>75</v>
      </c>
      <c r="AU2174" t="inlineStr">
        <is>
          <t>0.75</t>
        </is>
      </c>
      <c r="AV2174" t="inlineStr">
        <is>
          <t>15</t>
        </is>
      </c>
      <c r="AW2174" t="inlineStr">
        <is>
          <t>0</t>
        </is>
      </c>
      <c r="AX2174" t="inlineStr">
        <is>
          <t>Not Qualified</t>
        </is>
      </c>
      <c r="AY2174" s="4"/>
      <c r="AZ2174"/>
      <c r="BA2174"/>
      <c r="BB2174"/>
      <c r="BC2174"/>
      <c r="BD2174" s="4"/>
      <c r="BE2174"/>
      <c r="BF2174"/>
      <c r="BG2174" t="inlineStr">
        <is>
          <t>Reschedule</t>
        </is>
      </c>
      <c r="BH2174" t="inlineStr">
        <is>
          <t>Reagen</t>
        </is>
      </c>
      <c r="BI2174"/>
      <c r="BJ2174" s="4">
        <v>46144.755833333336</v>
      </c>
      <c r="BK2174" s="4">
        <v>46127.94085648148</v>
      </c>
      <c r="BL2174"/>
      <c r="BM2174"/>
      <c r="BN2174"/>
      <c r="BO2174" s="4"/>
      <c r="BP2174">
        <v>167307</v>
      </c>
      <c r="BQ2174"/>
      <c r="BR2174"/>
      <c r="BS2174"/>
      <c r="BT2174"/>
      <c r="BU2174"/>
      <c r="BV2174"/>
      <c r="BW2174"/>
      <c r="BX2174"/>
      <c r="BY2174"/>
      <c r="BZ2174" s="4"/>
      <c r="CA2174"/>
      <c r="CB2174"/>
      <c r="CC2174" s="4"/>
      <c r="CD2174" t="inlineStr">
        <is>
          <t>20</t>
        </is>
      </c>
      <c r="CE2174" t="inlineStr">
        <is>
          <t>0</t>
        </is>
      </c>
      <c r="CF2174" t="inlineStr">
        <is>
          <t>Q2-W02</t>
        </is>
      </c>
      <c r="CG2174"/>
      <c r="CH2174"/>
      <c r="CI2174"/>
      <c r="CJ2174" t="inlineStr">
        <is>
          <t>No Paid</t>
        </is>
      </c>
      <c r="CK2174" t="inlineStr">
        <is>
          <t>Not Eligible</t>
        </is>
      </c>
      <c r="CL2174"/>
      <c r="CM2174"/>
    </row>
    <row r="2175" ht="25.5" customHeight="1">
      <c r="A2175" t="inlineStr">
        <is>
          <t>4266133</t>
        </is>
      </c>
      <c r="B2175" s="2"/>
      <c r="C2175"/>
      <c r="D2175" s="3">
        <v>46128.45407407408</v>
      </c>
      <c r="E2175" t="inlineStr">
        <is>
          <t>Q2-W02</t>
        </is>
      </c>
      <c r="F2175" t="inlineStr">
        <is>
          <t>Josh</t>
        </is>
      </c>
      <c r="G2175" t="inlineStr">
        <is>
          <t>Lead</t>
        </is>
      </c>
      <c r="H2175" s="2" t="str">
        <f>=HYPERLINK("https://upbox.ajobthing.my/leads/4266133", "https://upbox.ajobthing.my/leads/4266133")</f>
        <v>https://upbox.ajobthing.my/leads/4266133</v>
      </c>
      <c r="I2175" t="inlineStr">
        <is>
          <t>Tiny Bees Child Care Centre</t>
        </is>
      </c>
      <c r="J2175"/>
      <c r="K2175" t="inlineStr">
        <is>
          <t>Josh</t>
        </is>
      </c>
      <c r="L2175" s="4"/>
      <c r="M2175" s="4">
        <v>46128.4543287037</v>
      </c>
      <c r="N2175"/>
      <c r="O2175">
        <v>864</v>
      </c>
      <c r="P2175" s="4"/>
      <c r="Q2175" s="4"/>
      <c r="R2175"/>
      <c r="S2175"/>
      <c r="T2175" s="4"/>
      <c r="U2175" s="4"/>
      <c r="V2175"/>
      <c r="W2175"/>
      <c r="X2175"/>
      <c r="Y2175" t="inlineStr">
        <is>
          <t>Pending Appointment</t>
        </is>
      </c>
      <c r="Z2175" t="inlineStr">
        <is>
          <t>Hiring Now</t>
        </is>
      </c>
      <c r="AA2175">
        <v>1</v>
      </c>
      <c r="AB2175" t="inlineStr">
        <is>
          <t>No Appointment Made</t>
        </is>
      </c>
      <c r="AC2175"/>
      <c r="AD2175" t="inlineStr">
        <is>
          <t xml:space="preserve">1 teacher </t>
        </is>
      </c>
      <c r="AE2175"/>
      <c r="AF2175">
        <v>1000</v>
      </c>
      <c r="AG2175" s="4"/>
      <c r="AH2175" s="4"/>
      <c r="AI2175"/>
      <c r="AJ2175"/>
      <c r="AK2175" t="inlineStr">
        <is>
          <t>Yes, I have</t>
        </is>
      </c>
      <c r="AL2175"/>
      <c r="AM2175"/>
      <c r="AN2175"/>
      <c r="AO2175"/>
      <c r="AP2175" t="inlineStr">
        <is>
          <t>Once a year (25%)</t>
        </is>
      </c>
      <c r="AQ2175"/>
      <c r="AR2175"/>
      <c r="AS2175" t="inlineStr">
        <is>
          <t>- Headcount: 1
- Hiring Job Details: 1 teacher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175">
        <v>90</v>
      </c>
      <c r="AU2175" t="inlineStr">
        <is>
          <t>0.90</t>
        </is>
      </c>
      <c r="AV2175" t="inlineStr">
        <is>
          <t>15</t>
        </is>
      </c>
      <c r="AW2175" t="inlineStr">
        <is>
          <t>0</t>
        </is>
      </c>
      <c r="AX2175" t="inlineStr">
        <is>
          <t>Not Qualified</t>
        </is>
      </c>
      <c r="AY2175" s="4"/>
      <c r="AZ2175"/>
      <c r="BA2175"/>
      <c r="BB2175"/>
      <c r="BC2175"/>
      <c r="BD2175" s="4"/>
      <c r="BE2175"/>
      <c r="BF2175"/>
      <c r="BG2175" t="inlineStr">
        <is>
          <t>Reschedule</t>
        </is>
      </c>
      <c r="BH2175" t="inlineStr">
        <is>
          <t>Fauziah Maharan</t>
        </is>
      </c>
      <c r="BI2175"/>
      <c r="BJ2175" s="4">
        <v>46144.75578703704</v>
      </c>
      <c r="BK2175" s="4">
        <v>46121.8491087963</v>
      </c>
      <c r="BL2175"/>
      <c r="BM2175"/>
      <c r="BN2175"/>
      <c r="BO2175" s="4"/>
      <c r="BP2175">
        <v>167332</v>
      </c>
      <c r="BQ2175"/>
      <c r="BR2175"/>
      <c r="BS2175"/>
      <c r="BT2175"/>
      <c r="BU2175"/>
      <c r="BV2175"/>
      <c r="BW2175"/>
      <c r="BX2175"/>
      <c r="BY2175"/>
      <c r="BZ2175" s="4"/>
      <c r="CA2175"/>
      <c r="CB2175"/>
      <c r="CC2175" s="4"/>
      <c r="CD2175" t="inlineStr">
        <is>
          <t>20</t>
        </is>
      </c>
      <c r="CE2175" t="inlineStr">
        <is>
          <t>0</t>
        </is>
      </c>
      <c r="CF2175" t="inlineStr">
        <is>
          <t>Q2-W02</t>
        </is>
      </c>
      <c r="CG2175"/>
      <c r="CH2175"/>
      <c r="CI2175"/>
      <c r="CJ2175" t="inlineStr">
        <is>
          <t>No Paid</t>
        </is>
      </c>
      <c r="CK2175" t="inlineStr">
        <is>
          <t>Not Eligible</t>
        </is>
      </c>
      <c r="CL2175"/>
      <c r="CM2175"/>
    </row>
    <row r="2176" ht="25.5" customHeight="1">
      <c r="A2176" t="inlineStr">
        <is>
          <t>4261947</t>
        </is>
      </c>
      <c r="B2176" s="2"/>
      <c r="C2176"/>
      <c r="D2176" s="3">
        <v>46128.45599537037</v>
      </c>
      <c r="E2176" t="inlineStr">
        <is>
          <t>Q2-W02</t>
        </is>
      </c>
      <c r="F2176" t="inlineStr">
        <is>
          <t>Ratha</t>
        </is>
      </c>
      <c r="G2176" t="inlineStr">
        <is>
          <t>Lead</t>
        </is>
      </c>
      <c r="H2176" s="2" t="str">
        <f>=HYPERLINK("https://upbox.ajobthing.my/leads/4261947", "https://upbox.ajobthing.my/leads/4261947")</f>
        <v>https://upbox.ajobthing.my/leads/4261947</v>
      </c>
      <c r="I2176" t="inlineStr">
        <is>
          <t>T &amp; K Tax Savvy Sdn Bhd</t>
        </is>
      </c>
      <c r="J2176"/>
      <c r="K2176" t="inlineStr">
        <is>
          <t>Ratha</t>
        </is>
      </c>
      <c r="L2176" s="4"/>
      <c r="M2176" s="4">
        <v>46128.45681712963</v>
      </c>
      <c r="N2176"/>
      <c r="O2176">
        <v>3888</v>
      </c>
      <c r="P2176" s="4"/>
      <c r="Q2176" s="4"/>
      <c r="R2176"/>
      <c r="S2176"/>
      <c r="T2176" s="4"/>
      <c r="U2176" s="4"/>
      <c r="V2176"/>
      <c r="W2176"/>
      <c r="X2176"/>
      <c r="Y2176" t="inlineStr">
        <is>
          <t>Pending Appointment</t>
        </is>
      </c>
      <c r="Z2176" t="inlineStr">
        <is>
          <t>Hiring Now</t>
        </is>
      </c>
      <c r="AA2176">
        <v>1</v>
      </c>
      <c r="AB2176" t="inlineStr">
        <is>
          <t>No Appointment Made</t>
        </is>
      </c>
      <c r="AC2176"/>
      <c r="AD2176" t="inlineStr">
        <is>
          <t>Junior Accountant :1
Location : Gelugor</t>
        </is>
      </c>
      <c r="AE2176"/>
      <c r="AF2176"/>
      <c r="AG2176" s="4"/>
      <c r="AH2176" s="4"/>
      <c r="AI2176">
        <v>0</v>
      </c>
      <c r="AJ2176">
        <v>1</v>
      </c>
      <c r="AK2176" t="inlineStr">
        <is>
          <t>Yes, I have</t>
        </is>
      </c>
      <c r="AL2176">
        <v>2</v>
      </c>
      <c r="AM2176" t="inlineStr">
        <is>
          <t>No, I don't need at all</t>
        </is>
      </c>
      <c r="AN2176"/>
      <c r="AO2176" t="inlineStr">
        <is>
          <t>No, I don't need at all</t>
        </is>
      </c>
      <c r="AP2176" t="inlineStr">
        <is>
          <t>Twice a year (50%)</t>
        </is>
      </c>
      <c r="AQ2176">
        <v>0</v>
      </c>
      <c r="AR2176" t="inlineStr">
        <is>
          <t>Jobstreet, Free Job Portal</t>
        </is>
      </c>
      <c r="AS2176" t="inlineStr">
        <is>
          <t>- Headcount: 1
- Hiring Job Details: 1 Junior Accountant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Jobstreet, Free Job Portal</t>
        </is>
      </c>
      <c r="AT2176">
        <v>110</v>
      </c>
      <c r="AU2176" t="inlineStr">
        <is>
          <t>1.10</t>
        </is>
      </c>
      <c r="AV2176" t="inlineStr">
        <is>
          <t>5</t>
        </is>
      </c>
      <c r="AW2176" t="inlineStr">
        <is>
          <t>0</t>
        </is>
      </c>
      <c r="AX2176" t="inlineStr">
        <is>
          <t>Not Qualified</t>
        </is>
      </c>
      <c r="AY2176" s="4"/>
      <c r="AZ2176"/>
      <c r="BA2176"/>
      <c r="BB2176"/>
      <c r="BC2176"/>
      <c r="BD2176" s="4"/>
      <c r="BE2176"/>
      <c r="BF2176"/>
      <c r="BG2176" t="inlineStr">
        <is>
          <t>Reschedule</t>
        </is>
      </c>
      <c r="BH2176" t="inlineStr">
        <is>
          <t>Fauziah Maharan</t>
        </is>
      </c>
      <c r="BI2176"/>
      <c r="BJ2176" s="4">
        <v>46144.75576388889</v>
      </c>
      <c r="BK2176" s="4">
        <v>46120.88628472222</v>
      </c>
      <c r="BL2176"/>
      <c r="BM2176"/>
      <c r="BN2176"/>
      <c r="BO2176" s="4"/>
      <c r="BP2176">
        <v>167335</v>
      </c>
      <c r="BQ2176"/>
      <c r="BR2176"/>
      <c r="BS2176"/>
      <c r="BT2176"/>
      <c r="BU2176"/>
      <c r="BV2176"/>
      <c r="BW2176"/>
      <c r="BX2176"/>
      <c r="BY2176"/>
      <c r="BZ2176" s="4"/>
      <c r="CA2176"/>
      <c r="CB2176"/>
      <c r="CC2176" s="4"/>
      <c r="CD2176" t="inlineStr">
        <is>
          <t>5</t>
        </is>
      </c>
      <c r="CE2176" t="inlineStr">
        <is>
          <t>0</t>
        </is>
      </c>
      <c r="CF2176" t="inlineStr">
        <is>
          <t>Q2-W02</t>
        </is>
      </c>
      <c r="CG2176"/>
      <c r="CH2176"/>
      <c r="CI2176"/>
      <c r="CJ2176" t="inlineStr">
        <is>
          <t>No Paid</t>
        </is>
      </c>
      <c r="CK2176" t="inlineStr">
        <is>
          <t>Not Eligible</t>
        </is>
      </c>
      <c r="CL2176"/>
      <c r="CM2176"/>
    </row>
    <row r="2177" ht="25.5" customHeight="1">
      <c r="A2177" t="inlineStr">
        <is>
          <t>4289689</t>
        </is>
      </c>
      <c r="B2177" s="2"/>
      <c r="C2177"/>
      <c r="D2177" s="3">
        <v>46128.54111111111</v>
      </c>
      <c r="E2177" t="inlineStr">
        <is>
          <t>Q2-W02</t>
        </is>
      </c>
      <c r="F2177" t="inlineStr">
        <is>
          <t>Chia Yee</t>
        </is>
      </c>
      <c r="G2177" t="inlineStr">
        <is>
          <t>Lead</t>
        </is>
      </c>
      <c r="H2177" s="2" t="str">
        <f>=HYPERLINK("https://upbox.ajobthing.my/leads/4289689", "https://upbox.ajobthing.my/leads/4289689")</f>
        <v>https://upbox.ajobthing.my/leads/4289689</v>
      </c>
      <c r="I2177" t="inlineStr">
        <is>
          <t xml:space="preserve">Big Panda Office Furniture </t>
        </is>
      </c>
      <c r="J2177"/>
      <c r="K2177" t="inlineStr">
        <is>
          <t>Chia Yee</t>
        </is>
      </c>
      <c r="L2177" s="4"/>
      <c r="M2177" s="4">
        <v>46128.54174768519</v>
      </c>
      <c r="N2177"/>
      <c r="O2177">
        <v>6048</v>
      </c>
      <c r="P2177" s="4"/>
      <c r="Q2177" s="4"/>
      <c r="R2177"/>
      <c r="S2177"/>
      <c r="T2177" s="4"/>
      <c r="U2177" s="4"/>
      <c r="V2177"/>
      <c r="W2177"/>
      <c r="X2177"/>
      <c r="Y2177" t="inlineStr">
        <is>
          <t>Pending Appointment</t>
        </is>
      </c>
      <c r="Z2177" t="inlineStr">
        <is>
          <t>Hiring Now</t>
        </is>
      </c>
      <c r="AA2177">
        <v>1</v>
      </c>
      <c r="AB2177" t="inlineStr">
        <is>
          <t>No Appointment Made</t>
        </is>
      </c>
      <c r="AC2177"/>
      <c r="AD2177" t="inlineStr">
        <is>
          <t xml:space="preserve">1 Marketing Intern </t>
        </is>
      </c>
      <c r="AE2177"/>
      <c r="AF2177">
        <v>0</v>
      </c>
      <c r="AG2177" s="4"/>
      <c r="AH2177" s="4"/>
      <c r="AI2177">
        <v>0</v>
      </c>
      <c r="AJ2177">
        <v>1</v>
      </c>
      <c r="AK2177" t="inlineStr">
        <is>
          <t>Yes, I have</t>
        </is>
      </c>
      <c r="AL2177">
        <v>1</v>
      </c>
      <c r="AM2177" t="inlineStr">
        <is>
          <t>No, I don't need at all</t>
        </is>
      </c>
      <c r="AN2177"/>
      <c r="AO2177" t="inlineStr">
        <is>
          <t>No, I don't need at all</t>
        </is>
      </c>
      <c r="AP2177" t="inlineStr">
        <is>
          <t>Once a year (25%)</t>
        </is>
      </c>
      <c r="AQ2177">
        <v>1</v>
      </c>
      <c r="AR2177" t="inlineStr">
        <is>
          <t>Did not use any job portal</t>
        </is>
      </c>
      <c r="AS2177" t="inlineStr">
        <is>
          <t>- Headcount: 1
- Hiring Job Details: 1 Marketing Intern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2177">
        <v>115</v>
      </c>
      <c r="AU2177" t="inlineStr">
        <is>
          <t>1.15</t>
        </is>
      </c>
      <c r="AV2177" t="inlineStr">
        <is>
          <t>15</t>
        </is>
      </c>
      <c r="AW2177" t="inlineStr">
        <is>
          <t>0</t>
        </is>
      </c>
      <c r="AX2177" t="inlineStr">
        <is>
          <t>Not Qualified</t>
        </is>
      </c>
      <c r="AY2177" s="4"/>
      <c r="AZ2177"/>
      <c r="BA2177"/>
      <c r="BB2177"/>
      <c r="BC2177"/>
      <c r="BD2177" s="4"/>
      <c r="BE2177"/>
      <c r="BF2177"/>
      <c r="BG2177" t="inlineStr">
        <is>
          <t>Reschedule</t>
        </is>
      </c>
      <c r="BH2177" t="inlineStr">
        <is>
          <t>Reagen</t>
        </is>
      </c>
      <c r="BI2177"/>
      <c r="BJ2177" s="4">
        <v>46144.755833333336</v>
      </c>
      <c r="BK2177" s="4">
        <v>46128.53130787037</v>
      </c>
      <c r="BL2177"/>
      <c r="BM2177"/>
      <c r="BN2177"/>
      <c r="BO2177" s="4"/>
      <c r="BP2177">
        <v>167378</v>
      </c>
      <c r="BQ2177"/>
      <c r="BR2177"/>
      <c r="BS2177"/>
      <c r="BT2177"/>
      <c r="BU2177"/>
      <c r="BV2177"/>
      <c r="BW2177"/>
      <c r="BX2177"/>
      <c r="BY2177"/>
      <c r="BZ2177" s="4"/>
      <c r="CA2177"/>
      <c r="CB2177"/>
      <c r="CC2177" s="4"/>
      <c r="CD2177" t="inlineStr">
        <is>
          <t>20</t>
        </is>
      </c>
      <c r="CE2177" t="inlineStr">
        <is>
          <t>0</t>
        </is>
      </c>
      <c r="CF2177" t="inlineStr">
        <is>
          <t>Q2-W02</t>
        </is>
      </c>
      <c r="CG2177"/>
      <c r="CH2177"/>
      <c r="CI2177"/>
      <c r="CJ2177" t="inlineStr">
        <is>
          <t>No Paid</t>
        </is>
      </c>
      <c r="CK2177" t="inlineStr">
        <is>
          <t>Not Eligible</t>
        </is>
      </c>
      <c r="CL2177"/>
      <c r="CM2177"/>
    </row>
    <row r="2178" ht="25.5" customHeight="1">
      <c r="A2178" t="inlineStr">
        <is>
          <t>4261859</t>
        </is>
      </c>
      <c r="B2178" s="2"/>
      <c r="C2178"/>
      <c r="D2178" s="3">
        <v>46128.54357638889</v>
      </c>
      <c r="E2178" t="inlineStr">
        <is>
          <t>Q2-W02</t>
        </is>
      </c>
      <c r="F2178" t="inlineStr">
        <is>
          <t>Luqman</t>
        </is>
      </c>
      <c r="G2178" t="inlineStr">
        <is>
          <t>Lead</t>
        </is>
      </c>
      <c r="H2178" s="2" t="str">
        <f>=HYPERLINK("https://upbox.ajobthing.my/leads/4261859", "https://upbox.ajobthing.my/leads/4261859")</f>
        <v>https://upbox.ajobthing.my/leads/4261859</v>
      </c>
      <c r="I2178" t="inlineStr">
        <is>
          <t>FIZIDRIS MEDIQ SDN. BHD.</t>
        </is>
      </c>
      <c r="J2178"/>
      <c r="K2178" t="inlineStr">
        <is>
          <t>Luqman</t>
        </is>
      </c>
      <c r="L2178" s="4"/>
      <c r="M2178" s="4">
        <v>46128.72511574074</v>
      </c>
      <c r="N2178"/>
      <c r="O2178">
        <v>3888</v>
      </c>
      <c r="P2178" s="4"/>
      <c r="Q2178" s="4"/>
      <c r="R2178"/>
      <c r="S2178"/>
      <c r="T2178" s="4"/>
      <c r="U2178" s="4"/>
      <c r="V2178"/>
      <c r="W2178"/>
      <c r="X2178"/>
      <c r="Y2178" t="inlineStr">
        <is>
          <t>Pending Appointment</t>
        </is>
      </c>
      <c r="Z2178" t="inlineStr">
        <is>
          <t>Hiring Later</t>
        </is>
      </c>
      <c r="AA2178">
        <v>1</v>
      </c>
      <c r="AB2178" t="inlineStr">
        <is>
          <t>No Appointment Made</t>
        </is>
      </c>
      <c r="AC2178"/>
      <c r="AD2178" t="inlineStr">
        <is>
          <t xml:space="preserve">1. Admin </t>
        </is>
      </c>
      <c r="AE2178"/>
      <c r="AF2178">
        <v>1200</v>
      </c>
      <c r="AG2178" s="4"/>
      <c r="AH2178" s="4"/>
      <c r="AI2178">
        <v>1200</v>
      </c>
      <c r="AJ2178"/>
      <c r="AK2178" t="inlineStr">
        <is>
          <t>No, I don't need at all</t>
        </is>
      </c>
      <c r="AL2178">
        <v>2</v>
      </c>
      <c r="AM2178" t="inlineStr">
        <is>
          <t>No, I don't need at all</t>
        </is>
      </c>
      <c r="AN2178"/>
      <c r="AO2178" t="inlineStr">
        <is>
          <t>No, I don't need at all</t>
        </is>
      </c>
      <c r="AP2178" t="inlineStr">
        <is>
          <t>Once a year (25%)</t>
        </is>
      </c>
      <c r="AQ2178">
        <v>1</v>
      </c>
      <c r="AR2178" t="inlineStr">
        <is>
          <t>Free Job Portal</t>
        </is>
      </c>
      <c r="AS2178" t="inlineStr">
        <is>
          <t>- Headcount: 1
- Hiring Job Details: 1 Admin
- Hiring Urgency: Hiring Later
- Number of outlets: Not specified
- Have recruiter team: No, I don't need at all
- Number of recruiter in company: 2
- Have ATS system: No, I don't need at all
- Have career website: No, I don't need at all
- Current hiring budget: RM1,200
- Whole year budget: RM1,200.00
- Whole year number of vacancies: 1
- Hiring frequency: Once a year (25%)
- External job portal: Free Job Portal</t>
        </is>
      </c>
      <c r="AT2178">
        <v>115</v>
      </c>
      <c r="AU2178" t="inlineStr">
        <is>
          <t>1.15</t>
        </is>
      </c>
      <c r="AV2178" t="inlineStr">
        <is>
          <t>15</t>
        </is>
      </c>
      <c r="AW2178" t="inlineStr">
        <is>
          <t>0</t>
        </is>
      </c>
      <c r="AX2178" t="inlineStr">
        <is>
          <t>Not Qualified</t>
        </is>
      </c>
      <c r="AY2178" s="4"/>
      <c r="AZ2178"/>
      <c r="BA2178"/>
      <c r="BB2178"/>
      <c r="BC2178"/>
      <c r="BD2178" s="4"/>
      <c r="BE2178"/>
      <c r="BF2178"/>
      <c r="BG2178" t="inlineStr">
        <is>
          <t>Reschedule</t>
        </is>
      </c>
      <c r="BH2178" t="inlineStr">
        <is>
          <t>Edward Hoo</t>
        </is>
      </c>
      <c r="BI2178"/>
      <c r="BJ2178" s="4">
        <v>46144.75576388889</v>
      </c>
      <c r="BK2178" s="4">
        <v>46120.84783564815</v>
      </c>
      <c r="BL2178"/>
      <c r="BM2178"/>
      <c r="BN2178"/>
      <c r="BO2178" s="4"/>
      <c r="BP2178">
        <v>167496</v>
      </c>
      <c r="BQ2178"/>
      <c r="BR2178"/>
      <c r="BS2178"/>
      <c r="BT2178"/>
      <c r="BU2178"/>
      <c r="BV2178"/>
      <c r="BW2178"/>
      <c r="BX2178"/>
      <c r="BY2178"/>
      <c r="BZ2178" s="4"/>
      <c r="CA2178"/>
      <c r="CB2178"/>
      <c r="CC2178" s="4"/>
      <c r="CD2178" t="inlineStr">
        <is>
          <t>20</t>
        </is>
      </c>
      <c r="CE2178" t="inlineStr">
        <is>
          <t>0</t>
        </is>
      </c>
      <c r="CF2178" t="inlineStr">
        <is>
          <t>Q2-W02</t>
        </is>
      </c>
      <c r="CG2178"/>
      <c r="CH2178"/>
      <c r="CI2178"/>
      <c r="CJ2178" t="inlineStr">
        <is>
          <t>No Paid</t>
        </is>
      </c>
      <c r="CK2178" t="inlineStr">
        <is>
          <t>Not Eligible</t>
        </is>
      </c>
      <c r="CL2178"/>
      <c r="CM2178"/>
    </row>
    <row r="2179" ht="25.5" customHeight="1">
      <c r="A2179" t="inlineStr">
        <is>
          <t>4289842</t>
        </is>
      </c>
      <c r="B2179" s="2"/>
      <c r="C2179"/>
      <c r="D2179" s="3">
        <v>46128.58744212963</v>
      </c>
      <c r="E2179" t="inlineStr">
        <is>
          <t>Q2-W02</t>
        </is>
      </c>
      <c r="F2179" t="inlineStr">
        <is>
          <t>Josh</t>
        </is>
      </c>
      <c r="G2179" t="inlineStr">
        <is>
          <t>Lead</t>
        </is>
      </c>
      <c r="H2179" s="2" t="str">
        <f>=HYPERLINK("https://upbox.ajobthing.my/leads/4289842", "https://upbox.ajobthing.my/leads/4289842")</f>
        <v>https://upbox.ajobthing.my/leads/4289842</v>
      </c>
      <c r="I2179" t="inlineStr">
        <is>
          <t xml:space="preserve">D&amp;J Capital management </t>
        </is>
      </c>
      <c r="J2179"/>
      <c r="K2179" t="inlineStr">
        <is>
          <t>Josh</t>
        </is>
      </c>
      <c r="L2179" s="4"/>
      <c r="M2179" s="4">
        <v>46128.58806712963</v>
      </c>
      <c r="N2179"/>
      <c r="O2179">
        <v>3672</v>
      </c>
      <c r="P2179" s="4"/>
      <c r="Q2179" s="4"/>
      <c r="R2179"/>
      <c r="S2179"/>
      <c r="T2179" s="4"/>
      <c r="U2179" s="4"/>
      <c r="V2179"/>
      <c r="W2179"/>
      <c r="X2179"/>
      <c r="Y2179" t="inlineStr">
        <is>
          <t>Pending Appointment</t>
        </is>
      </c>
      <c r="Z2179" t="inlineStr">
        <is>
          <t>Hiring Now</t>
        </is>
      </c>
      <c r="AA2179">
        <v>5</v>
      </c>
      <c r="AB2179" t="inlineStr">
        <is>
          <t>No Appointment Made</t>
        </is>
      </c>
      <c r="AC2179"/>
      <c r="AD2179" t="inlineStr">
        <is>
          <t xml:space="preserve">5 sales </t>
        </is>
      </c>
      <c r="AE2179"/>
      <c r="AF2179">
        <v>3000</v>
      </c>
      <c r="AG2179" s="4"/>
      <c r="AH2179" s="4"/>
      <c r="AI2179"/>
      <c r="AJ2179"/>
      <c r="AK2179" t="inlineStr">
        <is>
          <t>Yes, I have</t>
        </is>
      </c>
      <c r="AL2179">
        <v>1</v>
      </c>
      <c r="AM2179"/>
      <c r="AN2179"/>
      <c r="AO2179"/>
      <c r="AP2179" t="inlineStr">
        <is>
          <t>Once a year (25%)</t>
        </is>
      </c>
      <c r="AQ2179"/>
      <c r="AR2179"/>
      <c r="AS2179" t="inlineStr">
        <is>
          <t>- Headcount: 5
- Hiring Job Details: 5 sales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
- Hiring Urgency: Hiring Now</t>
        </is>
      </c>
      <c r="AT2179">
        <v>95</v>
      </c>
      <c r="AU2179" t="inlineStr">
        <is>
          <t>0.95</t>
        </is>
      </c>
      <c r="AV2179" t="inlineStr">
        <is>
          <t>20</t>
        </is>
      </c>
      <c r="AW2179" t="inlineStr">
        <is>
          <t>0</t>
        </is>
      </c>
      <c r="AX2179" t="inlineStr">
        <is>
          <t>Not Qualified</t>
        </is>
      </c>
      <c r="AY2179" s="4"/>
      <c r="AZ2179"/>
      <c r="BA2179"/>
      <c r="BB2179"/>
      <c r="BC2179"/>
      <c r="BD2179" s="4"/>
      <c r="BE2179"/>
      <c r="BF2179"/>
      <c r="BG2179" t="inlineStr">
        <is>
          <t>Reschedule</t>
        </is>
      </c>
      <c r="BH2179" t="inlineStr">
        <is>
          <t>Fauziah Maharan</t>
        </is>
      </c>
      <c r="BI2179"/>
      <c r="BJ2179" s="4">
        <v>46144.755833333336</v>
      </c>
      <c r="BK2179" s="4">
        <v>46128.567662037036</v>
      </c>
      <c r="BL2179"/>
      <c r="BM2179"/>
      <c r="BN2179"/>
      <c r="BO2179" s="4"/>
      <c r="BP2179">
        <v>167394</v>
      </c>
      <c r="BQ2179"/>
      <c r="BR2179"/>
      <c r="BS2179"/>
      <c r="BT2179"/>
      <c r="BU2179"/>
      <c r="BV2179"/>
      <c r="BW2179"/>
      <c r="BX2179"/>
      <c r="BY2179"/>
      <c r="BZ2179" s="4"/>
      <c r="CA2179"/>
      <c r="CB2179"/>
      <c r="CC2179" s="4"/>
      <c r="CD2179" t="inlineStr">
        <is>
          <t>30</t>
        </is>
      </c>
      <c r="CE2179" t="inlineStr">
        <is>
          <t>0</t>
        </is>
      </c>
      <c r="CF2179" t="inlineStr">
        <is>
          <t>Q2-W02</t>
        </is>
      </c>
      <c r="CG2179"/>
      <c r="CH2179"/>
      <c r="CI2179"/>
      <c r="CJ2179" t="inlineStr">
        <is>
          <t>No Paid</t>
        </is>
      </c>
      <c r="CK2179" t="inlineStr">
        <is>
          <t>Not Eligible</t>
        </is>
      </c>
      <c r="CL2179"/>
      <c r="CM2179"/>
    </row>
    <row r="2180" ht="25.5" customHeight="1">
      <c r="A2180" t="inlineStr">
        <is>
          <t>4270509</t>
        </is>
      </c>
      <c r="B2180" s="2"/>
      <c r="C2180"/>
      <c r="D2180" s="3">
        <v>46128.591944444444</v>
      </c>
      <c r="E2180" t="inlineStr">
        <is>
          <t>Q2-W02</t>
        </is>
      </c>
      <c r="F2180" t="inlineStr">
        <is>
          <t>Lucas</t>
        </is>
      </c>
      <c r="G2180" t="inlineStr">
        <is>
          <t>Lead</t>
        </is>
      </c>
      <c r="H2180" s="2" t="str">
        <f>=HYPERLINK("https://upbox.ajobthing.my/leads/4270509", "https://upbox.ajobthing.my/leads/4270509")</f>
        <v>https://upbox.ajobthing.my/leads/4270509</v>
      </c>
      <c r="I2180" t="inlineStr">
        <is>
          <t>MUZ MAJU RESOURCES</t>
        </is>
      </c>
      <c r="J2180"/>
      <c r="K2180" t="inlineStr">
        <is>
          <t>Lucas</t>
        </is>
      </c>
      <c r="L2180" s="4"/>
      <c r="M2180" s="4">
        <v>46128.590729166666</v>
      </c>
      <c r="N2180"/>
      <c r="O2180">
        <v>6048</v>
      </c>
      <c r="P2180" s="4"/>
      <c r="Q2180" s="4"/>
      <c r="R2180"/>
      <c r="S2180"/>
      <c r="T2180" s="4"/>
      <c r="U2180" s="4"/>
      <c r="V2180"/>
      <c r="W2180"/>
      <c r="X2180"/>
      <c r="Y2180" t="inlineStr">
        <is>
          <t>Pending Appointment</t>
        </is>
      </c>
      <c r="Z2180" t="inlineStr">
        <is>
          <t>Hiring Later</t>
        </is>
      </c>
      <c r="AA2180">
        <v>2</v>
      </c>
      <c r="AB2180" t="inlineStr">
        <is>
          <t>No Appointment Made</t>
        </is>
      </c>
      <c r="AC2180"/>
      <c r="AD2180" t="inlineStr">
        <is>
          <t xml:space="preserve">2 designer </t>
        </is>
      </c>
      <c r="AE2180"/>
      <c r="AF2180">
        <v>0</v>
      </c>
      <c r="AG2180" s="4"/>
      <c r="AH2180" s="4"/>
      <c r="AI2180">
        <v>0</v>
      </c>
      <c r="AJ2180"/>
      <c r="AK2180" t="inlineStr">
        <is>
          <t>No, I don't need at all</t>
        </is>
      </c>
      <c r="AL2180">
        <v>0</v>
      </c>
      <c r="AM2180" t="inlineStr">
        <is>
          <t>No, I don't need at all</t>
        </is>
      </c>
      <c r="AN2180"/>
      <c r="AO2180" t="inlineStr">
        <is>
          <t>No, I don't need at all</t>
        </is>
      </c>
      <c r="AP2180" t="inlineStr">
        <is>
          <t>Once a year (25%)</t>
        </is>
      </c>
      <c r="AQ2180">
        <v>2</v>
      </c>
      <c r="AR2180" t="inlineStr">
        <is>
          <t>Did not use any job portal</t>
        </is>
      </c>
      <c r="AS2180" t="inlineStr">
        <is>
          <t>- Headcount: 2
- Hiring Job Details: 2 designer
- Hiring Urgency: Hiring Later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2180">
        <v>105</v>
      </c>
      <c r="AU2180" t="inlineStr">
        <is>
          <t>1.05</t>
        </is>
      </c>
      <c r="AV2180" t="inlineStr">
        <is>
          <t>15</t>
        </is>
      </c>
      <c r="AW2180" t="inlineStr">
        <is>
          <t>0</t>
        </is>
      </c>
      <c r="AX2180" t="inlineStr">
        <is>
          <t>Not Qualified</t>
        </is>
      </c>
      <c r="AY2180" s="4"/>
      <c r="AZ2180"/>
      <c r="BA2180"/>
      <c r="BB2180"/>
      <c r="BC2180"/>
      <c r="BD2180" s="4"/>
      <c r="BE2180"/>
      <c r="BF2180"/>
      <c r="BG2180" t="inlineStr">
        <is>
          <t>Reschedule</t>
        </is>
      </c>
      <c r="BH2180" t="inlineStr">
        <is>
          <t>Yee Hang</t>
        </is>
      </c>
      <c r="BI2180"/>
      <c r="BJ2180" s="4">
        <v>46144.75581018518</v>
      </c>
      <c r="BK2180" s="4">
        <v>46122.85072916667</v>
      </c>
      <c r="BL2180"/>
      <c r="BM2180"/>
      <c r="BN2180"/>
      <c r="BO2180" s="4"/>
      <c r="BP2180">
        <v>167397</v>
      </c>
      <c r="BQ2180"/>
      <c r="BR2180"/>
      <c r="BS2180"/>
      <c r="BT2180"/>
      <c r="BU2180"/>
      <c r="BV2180"/>
      <c r="BW2180"/>
      <c r="BX2180"/>
      <c r="BY2180"/>
      <c r="BZ2180" s="4"/>
      <c r="CA2180"/>
      <c r="CB2180"/>
      <c r="CC2180" s="4"/>
      <c r="CD2180" t="inlineStr">
        <is>
          <t>20</t>
        </is>
      </c>
      <c r="CE2180" t="inlineStr">
        <is>
          <t>0</t>
        </is>
      </c>
      <c r="CF2180" t="inlineStr">
        <is>
          <t>Q2-W02</t>
        </is>
      </c>
      <c r="CG2180"/>
      <c r="CH2180"/>
      <c r="CI2180"/>
      <c r="CJ2180" t="inlineStr">
        <is>
          <t>No Paid</t>
        </is>
      </c>
      <c r="CK2180" t="inlineStr">
        <is>
          <t>Not Eligible</t>
        </is>
      </c>
      <c r="CL2180"/>
      <c r="CM2180"/>
    </row>
    <row r="2181" ht="25.5" customHeight="1">
      <c r="A2181" t="inlineStr">
        <is>
          <t>4261859</t>
        </is>
      </c>
      <c r="B2181" s="2"/>
      <c r="C2181"/>
      <c r="D2181" s="3">
        <v>46128.72466435185</v>
      </c>
      <c r="E2181" t="inlineStr">
        <is>
          <t>Q2-W02</t>
        </is>
      </c>
      <c r="F2181" t="inlineStr">
        <is>
          <t>Clover</t>
        </is>
      </c>
      <c r="G2181" t="inlineStr">
        <is>
          <t>Lead</t>
        </is>
      </c>
      <c r="H2181" s="2" t="str">
        <f>=HYPERLINK("https://upbox.ajobthing.my/leads/4261859", "https://upbox.ajobthing.my/leads/4261859")</f>
        <v>https://upbox.ajobthing.my/leads/4261859</v>
      </c>
      <c r="I2181" t="inlineStr">
        <is>
          <t>FIZIDRIS MEDIQ SDN. BHD.</t>
        </is>
      </c>
      <c r="J2181"/>
      <c r="K2181" t="inlineStr">
        <is>
          <t>Clover</t>
        </is>
      </c>
      <c r="L2181" s="4"/>
      <c r="M2181" s="4">
        <v>46128.72511574074</v>
      </c>
      <c r="N2181"/>
      <c r="O2181">
        <v>3888</v>
      </c>
      <c r="P2181" s="4"/>
      <c r="Q2181" s="4"/>
      <c r="R2181"/>
      <c r="S2181"/>
      <c r="T2181" s="4"/>
      <c r="U2181" s="4"/>
      <c r="V2181"/>
      <c r="W2181"/>
      <c r="X2181"/>
      <c r="Y2181" t="inlineStr">
        <is>
          <t>Pending Appointment</t>
        </is>
      </c>
      <c r="Z2181" t="inlineStr">
        <is>
          <t>Hiring Now</t>
        </is>
      </c>
      <c r="AA2181">
        <v>1</v>
      </c>
      <c r="AB2181" t="inlineStr">
        <is>
          <t>No Appointment Made</t>
        </is>
      </c>
      <c r="AC2181"/>
      <c r="AD2181" t="inlineStr">
        <is>
          <t>Have hiring, hire business developmentx1, all races, medical devices supply, selangor, suggest stand</t>
        </is>
      </c>
      <c r="AE2181"/>
      <c r="AF2181">
        <v>3000</v>
      </c>
      <c r="AG2181" s="4"/>
      <c r="AH2181" s="4"/>
      <c r="AI2181">
        <v>3000</v>
      </c>
      <c r="AJ2181">
        <v>1</v>
      </c>
      <c r="AK2181" t="inlineStr">
        <is>
          <t>No, but I want in future</t>
        </is>
      </c>
      <c r="AL2181">
        <v>1</v>
      </c>
      <c r="AM2181" t="inlineStr">
        <is>
          <t>No, but I want in future</t>
        </is>
      </c>
      <c r="AN2181"/>
      <c r="AO2181" t="inlineStr">
        <is>
          <t>No, but I want in future</t>
        </is>
      </c>
      <c r="AP2181" t="inlineStr">
        <is>
          <t>Twice a year (50%)</t>
        </is>
      </c>
      <c r="AQ2181">
        <v>2</v>
      </c>
      <c r="AR2181" t="inlineStr">
        <is>
          <t>Did not use any job portal</t>
        </is>
      </c>
      <c r="AS2181" t="inlineStr">
        <is>
          <t>- Headcount: 1
- Hiring Job Details: 1 business development (all races, medical devices supply, Selangor, suggest stand; hiring ongoing)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None used</t>
        </is>
      </c>
      <c r="AT2181">
        <v>115</v>
      </c>
      <c r="AU2181" t="inlineStr">
        <is>
          <t>1.15</t>
        </is>
      </c>
      <c r="AV2181" t="inlineStr">
        <is>
          <t>15</t>
        </is>
      </c>
      <c r="AW2181" t="inlineStr">
        <is>
          <t>0</t>
        </is>
      </c>
      <c r="AX2181" t="inlineStr">
        <is>
          <t>Not Qualified</t>
        </is>
      </c>
      <c r="AY2181" s="4"/>
      <c r="AZ2181"/>
      <c r="BA2181"/>
      <c r="BB2181"/>
      <c r="BC2181"/>
      <c r="BD2181" s="4"/>
      <c r="BE2181"/>
      <c r="BF2181"/>
      <c r="BG2181" t="inlineStr">
        <is>
          <t>Reschedule</t>
        </is>
      </c>
      <c r="BH2181" t="inlineStr">
        <is>
          <t>Reagen</t>
        </is>
      </c>
      <c r="BI2181"/>
      <c r="BJ2181" s="4">
        <v>46144.75576388889</v>
      </c>
      <c r="BK2181" s="4">
        <v>46120.84783564815</v>
      </c>
      <c r="BL2181"/>
      <c r="BM2181"/>
      <c r="BN2181"/>
      <c r="BO2181" s="4"/>
      <c r="BP2181">
        <v>167496</v>
      </c>
      <c r="BQ2181"/>
      <c r="BR2181"/>
      <c r="BS2181"/>
      <c r="BT2181"/>
      <c r="BU2181"/>
      <c r="BV2181"/>
      <c r="BW2181"/>
      <c r="BX2181"/>
      <c r="BY2181"/>
      <c r="BZ2181" s="4"/>
      <c r="CA2181"/>
      <c r="CB2181"/>
      <c r="CC2181" s="4"/>
      <c r="CD2181" t="inlineStr">
        <is>
          <t>20</t>
        </is>
      </c>
      <c r="CE2181" t="inlineStr">
        <is>
          <t>0</t>
        </is>
      </c>
      <c r="CF2181" t="inlineStr">
        <is>
          <t>Q2-W02</t>
        </is>
      </c>
      <c r="CG2181"/>
      <c r="CH2181"/>
      <c r="CI2181"/>
      <c r="CJ2181" t="inlineStr">
        <is>
          <t>No Paid</t>
        </is>
      </c>
      <c r="CK2181" t="inlineStr">
        <is>
          <t>Not Eligible</t>
        </is>
      </c>
      <c r="CL2181"/>
      <c r="CM2181"/>
    </row>
    <row r="2182" ht="25.5" customHeight="1">
      <c r="A2182" t="inlineStr">
        <is>
          <t>148703</t>
        </is>
      </c>
      <c r="B2182" s="2"/>
      <c r="C2182"/>
      <c r="D2182" s="3">
        <v>46115.412453703706</v>
      </c>
      <c r="E2182" t="inlineStr">
        <is>
          <t>Q2-W01</t>
        </is>
      </c>
      <c r="F2182" t="inlineStr">
        <is>
          <t>Keegan</t>
        </is>
      </c>
      <c r="G2182" t="inlineStr">
        <is>
          <t>Customer</t>
        </is>
      </c>
      <c r="H2182" s="2" t="str">
        <f>=HYPERLINK("https://upbox.ajobthing.my/customer/148703", "https://upbox.ajobthing.my/customer/148703")</f>
        <v>https://upbox.ajobthing.my/customer/148703</v>
      </c>
      <c r="I2182" t="inlineStr">
        <is>
          <t>The Notes Studio</t>
        </is>
      </c>
      <c r="J2182" t="inlineStr">
        <is>
          <t>Dolphin</t>
        </is>
      </c>
      <c r="K2182" t="inlineStr">
        <is>
          <t>Keegan</t>
        </is>
      </c>
      <c r="L2182" s="4"/>
      <c r="M2182" s="4">
        <v>46115.41253472222</v>
      </c>
      <c r="N2182"/>
      <c r="O2182">
        <v>6048</v>
      </c>
      <c r="P2182" s="4"/>
      <c r="Q2182" s="4">
        <v>46128.679189814815</v>
      </c>
      <c r="R2182"/>
      <c r="S2182">
        <v>0</v>
      </c>
      <c r="T2182" s="4">
        <v>45354.981203703705</v>
      </c>
      <c r="U2182" s="4"/>
      <c r="V2182"/>
      <c r="W2182">
        <v>324</v>
      </c>
      <c r="X2182"/>
      <c r="Y2182" t="inlineStr">
        <is>
          <t>Pending Appointment</t>
        </is>
      </c>
      <c r="Z2182" t="inlineStr">
        <is>
          <t>Hiring Now</t>
        </is>
      </c>
      <c r="AA2182">
        <v>3</v>
      </c>
      <c r="AB2182" t="inlineStr">
        <is>
          <t>No Appointment Made</t>
        </is>
      </c>
      <c r="AC2182"/>
      <c r="AD2182" t="inlineStr">
        <is>
          <t xml:space="preserve">1. Sales 
2. Admin 
3. Markerting </t>
        </is>
      </c>
      <c r="AE2182"/>
      <c r="AF2182"/>
      <c r="AG2182" s="4"/>
      <c r="AH2182" s="4"/>
      <c r="AI2182"/>
      <c r="AJ2182">
        <v>1</v>
      </c>
      <c r="AK2182" t="inlineStr">
        <is>
          <t>No, I don't need at all</t>
        </is>
      </c>
      <c r="AL2182">
        <v>0</v>
      </c>
      <c r="AM2182" t="inlineStr">
        <is>
          <t>No, I don't need at all</t>
        </is>
      </c>
      <c r="AN2182"/>
      <c r="AO2182" t="inlineStr">
        <is>
          <t>No, I don't need at all</t>
        </is>
      </c>
      <c r="AP2182" t="inlineStr">
        <is>
          <t>Once per quarter (75%)</t>
        </is>
      </c>
      <c r="AQ2182"/>
      <c r="AR2182" t="inlineStr">
        <is>
          <t>Did not use any job portal</t>
        </is>
      </c>
      <c r="AS2182" t="inlineStr">
        <is>
          <t>- Headcount: 3
- Hiring Job Details: 1. Sales 2. Admin 3. Markerting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182">
        <v>75</v>
      </c>
      <c r="AU2182" t="inlineStr">
        <is>
          <t>0.75</t>
        </is>
      </c>
      <c r="AV2182" t="inlineStr">
        <is>
          <t>5</t>
        </is>
      </c>
      <c r="AW2182" t="inlineStr">
        <is>
          <t>0</t>
        </is>
      </c>
      <c r="AX2182" t="inlineStr">
        <is>
          <t>Not Qualified</t>
        </is>
      </c>
      <c r="AY2182" s="4"/>
      <c r="AZ2182"/>
      <c r="BA2182"/>
      <c r="BB2182"/>
      <c r="BC2182" t="inlineStr">
        <is>
          <t>F/up on decision</t>
        </is>
      </c>
      <c r="BD2182" s="4">
        <v>46119.70096064815</v>
      </c>
      <c r="BE2182" t="inlineStr">
        <is>
          <t>paid</t>
        </is>
      </c>
      <c r="BF2182"/>
      <c r="BG2182" t="inlineStr">
        <is>
          <t>Reschedule</t>
        </is>
      </c>
      <c r="BH2182" t="inlineStr">
        <is>
          <t>Edward Hoo</t>
        </is>
      </c>
      <c r="BI2182" t="inlineStr">
        <is>
          <t>Education / Training</t>
        </is>
      </c>
      <c r="BJ2182" s="4">
        <v>46144.75079861111</v>
      </c>
      <c r="BK2182" s="4">
        <v>44610.623761574076</v>
      </c>
      <c r="BL2182" t="inlineStr">
        <is>
          <t>0.0</t>
        </is>
      </c>
      <c r="BM2182" t="inlineStr">
        <is>
          <t>0.0</t>
        </is>
      </c>
      <c r="BN2182" t="inlineStr">
        <is>
          <t>View Company Page</t>
        </is>
      </c>
      <c r="BO2182" s="4">
        <v>46128.68009259259</v>
      </c>
      <c r="BP2182">
        <v>165086</v>
      </c>
      <c r="BQ2182">
        <v>122767</v>
      </c>
      <c r="BR2182" t="inlineStr">
        <is>
          <t>Proforma</t>
        </is>
      </c>
      <c r="BS2182" t="inlineStr">
        <is>
          <t>Free High Pay Job</t>
        </is>
      </c>
      <c r="BT2182">
        <v>66537</v>
      </c>
      <c r="BU2182"/>
      <c r="BV2182">
        <v>2690224</v>
      </c>
      <c r="BW2182" t="inlineStr">
        <is>
          <t>Follow Up : Decision Pending</t>
        </is>
      </c>
      <c r="BX2182"/>
      <c r="BY2182"/>
      <c r="BZ2182" s="4"/>
      <c r="CA2182"/>
      <c r="CB2182"/>
      <c r="CC2182" s="4"/>
      <c r="CD2182" t="inlineStr">
        <is>
          <t>5</t>
        </is>
      </c>
      <c r="CE2182" t="inlineStr">
        <is>
          <t>0</t>
        </is>
      </c>
      <c r="CF2182" t="inlineStr">
        <is>
          <t>Q2-W01</t>
        </is>
      </c>
      <c r="CG2182" t="inlineStr">
        <is>
          <t>Q2-W02</t>
        </is>
      </c>
      <c r="CH2182"/>
      <c r="CI2182"/>
      <c r="CJ2182" t="inlineStr">
        <is>
          <t>Paid</t>
        </is>
      </c>
      <c r="CK2182" t="inlineStr">
        <is>
          <t>Not Eligible</t>
        </is>
      </c>
      <c r="CL2182"/>
      <c r="CM2182"/>
    </row>
    <row r="2183" ht="25.5" customHeight="1">
      <c r="A2183" t="inlineStr">
        <is>
          <t>202763</t>
        </is>
      </c>
      <c r="B2183" s="2"/>
      <c r="C2183"/>
      <c r="D2183" s="3">
        <v>46115.42377314815</v>
      </c>
      <c r="E2183" t="inlineStr">
        <is>
          <t>Q2-W01</t>
        </is>
      </c>
      <c r="F2183" t="inlineStr">
        <is>
          <t>Ken Yi</t>
        </is>
      </c>
      <c r="G2183" t="inlineStr">
        <is>
          <t>Customer</t>
        </is>
      </c>
      <c r="H2183" s="2" t="str">
        <f>=HYPERLINK("https://upbox.ajobthing.my/customer/202763", "https://upbox.ajobthing.my/customer/202763")</f>
        <v>https://upbox.ajobthing.my/customer/202763</v>
      </c>
      <c r="I2183" t="inlineStr">
        <is>
          <t>Sparkgo Sdn Bhd</t>
        </is>
      </c>
      <c r="J2183" t="inlineStr">
        <is>
          <t>Dolphin</t>
        </is>
      </c>
      <c r="K2183" t="inlineStr">
        <is>
          <t>Kenyi</t>
        </is>
      </c>
      <c r="L2183" s="4"/>
      <c r="M2183" s="4">
        <v>46115.509618055556</v>
      </c>
      <c r="N2183"/>
      <c r="O2183">
        <v>3672</v>
      </c>
      <c r="P2183" s="4"/>
      <c r="Q2183" s="4">
        <v>46115.6078125</v>
      </c>
      <c r="R2183"/>
      <c r="S2183">
        <v>1296</v>
      </c>
      <c r="T2183" s="4">
        <v>46115.6078125</v>
      </c>
      <c r="U2183" s="4"/>
      <c r="V2183"/>
      <c r="W2183">
        <v>1296</v>
      </c>
      <c r="X2183"/>
      <c r="Y2183" t="inlineStr">
        <is>
          <t>Pending Appointment</t>
        </is>
      </c>
      <c r="Z2183" t="inlineStr">
        <is>
          <t>Hiring Now</t>
        </is>
      </c>
      <c r="AA2183">
        <v>4</v>
      </c>
      <c r="AB2183" t="inlineStr">
        <is>
          <t>No Appointment Made</t>
        </is>
      </c>
      <c r="AC2183"/>
      <c r="AD2183" t="inlineStr">
        <is>
          <t>Admin 2, general clerk 1, operation 1</t>
        </is>
      </c>
      <c r="AE2183"/>
      <c r="AF2183">
        <v>0</v>
      </c>
      <c r="AG2183" s="4"/>
      <c r="AH2183" s="4"/>
      <c r="AI2183">
        <v>0</v>
      </c>
      <c r="AJ2183">
        <v>1</v>
      </c>
      <c r="AK2183" t="inlineStr">
        <is>
          <t>No, I don't need at all</t>
        </is>
      </c>
      <c r="AL2183">
        <v>1</v>
      </c>
      <c r="AM2183" t="inlineStr">
        <is>
          <t>No, I don't need at all</t>
        </is>
      </c>
      <c r="AN2183"/>
      <c r="AO2183" t="inlineStr">
        <is>
          <t>No, I don't need at all</t>
        </is>
      </c>
      <c r="AP2183" t="inlineStr">
        <is>
          <t>Every month (100%)</t>
        </is>
      </c>
      <c r="AQ2183">
        <v>3</v>
      </c>
      <c r="AR2183" t="inlineStr">
        <is>
          <t>Free Job Portal, Did not use any job portal</t>
        </is>
      </c>
      <c r="AS2183" t="inlineStr">
        <is>
          <t>- Headcount: 4
- Hiring Job Details: Admin 2, general clerk 1, operation 1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Every month (100%)
- External job portal: Free Job Portal,Did not use any job portal</t>
        </is>
      </c>
      <c r="AT2183">
        <v>75</v>
      </c>
      <c r="AU2183" t="inlineStr">
        <is>
          <t>0.75</t>
        </is>
      </c>
      <c r="AV2183" t="inlineStr">
        <is>
          <t>15</t>
        </is>
      </c>
      <c r="AW2183" t="inlineStr">
        <is>
          <t>0</t>
        </is>
      </c>
      <c r="AX2183" t="inlineStr">
        <is>
          <t>Not Qualified</t>
        </is>
      </c>
      <c r="AY2183" s="4"/>
      <c r="AZ2183"/>
      <c r="BA2183"/>
      <c r="BB2183"/>
      <c r="BC2183" t="inlineStr">
        <is>
          <t>Job outcome</t>
        </is>
      </c>
      <c r="BD2183" s="4">
        <v>46136.66297453704</v>
      </c>
      <c r="BE2183" t="inlineStr">
        <is>
          <t>paid</t>
        </is>
      </c>
      <c r="BF2183" t="inlineStr">
        <is>
          <t>Q2-W01</t>
        </is>
      </c>
      <c r="BG2183" t="inlineStr">
        <is>
          <t>Reschedule</t>
        </is>
      </c>
      <c r="BH2183" t="inlineStr">
        <is>
          <t>Fauziah Maharan</t>
        </is>
      </c>
      <c r="BI2183" t="inlineStr">
        <is>
          <t>Retail / Merchandise</t>
        </is>
      </c>
      <c r="BJ2183" s="4">
        <v>46144.75412037037</v>
      </c>
      <c r="BK2183" s="4">
        <v>46115.31684027778</v>
      </c>
      <c r="BL2183" t="inlineStr">
        <is>
          <t>1296.0</t>
        </is>
      </c>
      <c r="BM2183" t="inlineStr">
        <is>
          <t>600.0</t>
        </is>
      </c>
      <c r="BN2183" t="inlineStr">
        <is>
          <t>View Company Page</t>
        </is>
      </c>
      <c r="BO2183" s="4">
        <v>46124.74199074074</v>
      </c>
      <c r="BP2183">
        <v>165166</v>
      </c>
      <c r="BQ2183">
        <v>91091</v>
      </c>
      <c r="BR2183" t="inlineStr">
        <is>
          <t>Online</t>
        </is>
      </c>
      <c r="BS2183"/>
      <c r="BT2183">
        <v>91091</v>
      </c>
      <c r="BU2183"/>
      <c r="BV2183">
        <v>2726933</v>
      </c>
      <c r="BW2183" t="inlineStr">
        <is>
          <t>Service / Technical : Job Outcome Enquiry</t>
        </is>
      </c>
      <c r="BX2183"/>
      <c r="BY2183"/>
      <c r="BZ2183" s="4"/>
      <c r="CA2183">
        <v>10</v>
      </c>
      <c r="CB2183">
        <v>10</v>
      </c>
      <c r="CC2183" s="4"/>
      <c r="CD2183" t="inlineStr">
        <is>
          <t>20</t>
        </is>
      </c>
      <c r="CE2183" t="inlineStr">
        <is>
          <t>0</t>
        </is>
      </c>
      <c r="CF2183" t="inlineStr">
        <is>
          <t>Q2-W01</t>
        </is>
      </c>
      <c r="CG2183" t="inlineStr">
        <is>
          <t>Q2-W01</t>
        </is>
      </c>
      <c r="CH2183" t="inlineStr">
        <is>
          <t>Q2-W01</t>
        </is>
      </c>
      <c r="CI2183"/>
      <c r="CJ2183" t="inlineStr">
        <is>
          <t>Paid</t>
        </is>
      </c>
      <c r="CK2183" t="inlineStr">
        <is>
          <t>Not Eligible</t>
        </is>
      </c>
      <c r="CL2183"/>
      <c r="CM2183"/>
    </row>
    <row r="2184" ht="25.5" customHeight="1">
      <c r="A2184" t="inlineStr">
        <is>
          <t>4229285</t>
        </is>
      </c>
      <c r="B2184" s="2"/>
      <c r="C2184"/>
      <c r="D2184" s="3">
        <v>46115.431226851855</v>
      </c>
      <c r="E2184" t="inlineStr">
        <is>
          <t>Q2-W01</t>
        </is>
      </c>
      <c r="F2184" t="inlineStr">
        <is>
          <t>Josh</t>
        </is>
      </c>
      <c r="G2184" t="inlineStr">
        <is>
          <t>Lead</t>
        </is>
      </c>
      <c r="H2184" s="2" t="str">
        <f>=HYPERLINK("https://upbox.ajobthing.my/leads/4229285", "https://upbox.ajobthing.my/leads/4229285")</f>
        <v>https://upbox.ajobthing.my/leads/4229285</v>
      </c>
      <c r="I2184" t="inlineStr">
        <is>
          <t>Wong &amp; Yuen Management Sdn Bhd</t>
        </is>
      </c>
      <c r="J2184" t="inlineStr">
        <is>
          <t>Dolphin</t>
        </is>
      </c>
      <c r="K2184" t="inlineStr">
        <is>
          <t>Josh</t>
        </is>
      </c>
      <c r="L2184" s="4"/>
      <c r="M2184" s="4">
        <v>46115.43271990741</v>
      </c>
      <c r="N2184"/>
      <c r="O2184">
        <v>3672</v>
      </c>
      <c r="P2184" s="4"/>
      <c r="Q2184" s="4"/>
      <c r="R2184"/>
      <c r="S2184"/>
      <c r="T2184" s="4"/>
      <c r="U2184" s="4"/>
      <c r="V2184"/>
      <c r="W2184"/>
      <c r="X2184"/>
      <c r="Y2184" t="inlineStr">
        <is>
          <t>Pending Appointment</t>
        </is>
      </c>
      <c r="Z2184" t="inlineStr">
        <is>
          <t>Hiring Now</t>
        </is>
      </c>
      <c r="AA2184">
        <v>2</v>
      </c>
      <c r="AB2184" t="inlineStr">
        <is>
          <t>No Appointment Made</t>
        </is>
      </c>
      <c r="AC2184"/>
      <c r="AD2184" t="inlineStr">
        <is>
          <t>1 secretary, 1 audit senior</t>
        </is>
      </c>
      <c r="AE2184"/>
      <c r="AF2184">
        <v>3000</v>
      </c>
      <c r="AG2184" s="4"/>
      <c r="AH2184" s="4"/>
      <c r="AI2184"/>
      <c r="AJ2184"/>
      <c r="AK2184" t="inlineStr">
        <is>
          <t>Yes, I have</t>
        </is>
      </c>
      <c r="AL2184">
        <v>1</v>
      </c>
      <c r="AM2184" t="inlineStr">
        <is>
          <t>Yes, I have</t>
        </is>
      </c>
      <c r="AN2184"/>
      <c r="AO2184"/>
      <c r="AP2184" t="inlineStr">
        <is>
          <t>Once a year (25%)</t>
        </is>
      </c>
      <c r="AQ2184"/>
      <c r="AR2184"/>
      <c r="AS2184" t="inlineStr">
        <is>
          <t>- Headcount: 2
- Hiring Job Details: 1 secretary, 1 audit senior
- Hiring Urgency: Hiring Now
- Number of outlets: Not available
- Have recruiter team: Yes
- Number of recruiter in company: 1
- Have ATS system: Yes
- Have career website: Not available
- Current hiring budget: RM3,000.00
- Whole year budget: Not available
- Whole year number of vacancies: Not available
- Hiring frequency: Once a year (25%)
- External job portal: Not available</t>
        </is>
      </c>
      <c r="AT2184">
        <v>95</v>
      </c>
      <c r="AU2184" t="inlineStr">
        <is>
          <t>0.95</t>
        </is>
      </c>
      <c r="AV2184" t="inlineStr">
        <is>
          <t>15</t>
        </is>
      </c>
      <c r="AW2184" t="inlineStr">
        <is>
          <t>0</t>
        </is>
      </c>
      <c r="AX2184" t="inlineStr">
        <is>
          <t>Not Qualified</t>
        </is>
      </c>
      <c r="AY2184" s="4"/>
      <c r="AZ2184"/>
      <c r="BA2184"/>
      <c r="BB2184"/>
      <c r="BC2184"/>
      <c r="BD2184" s="4"/>
      <c r="BE2184"/>
      <c r="BF2184"/>
      <c r="BG2184" t="inlineStr">
        <is>
          <t>Reschedule</t>
        </is>
      </c>
      <c r="BH2184" t="inlineStr">
        <is>
          <t>Fauziah Maharan</t>
        </is>
      </c>
      <c r="BI2184"/>
      <c r="BJ2184" s="4">
        <v>46144.755694444444</v>
      </c>
      <c r="BK2184" s="4">
        <v>46114.437731481485</v>
      </c>
      <c r="BL2184" t="inlineStr">
        <is>
          <t>0.0</t>
        </is>
      </c>
      <c r="BM2184" t="inlineStr">
        <is>
          <t>0.0</t>
        </is>
      </c>
      <c r="BN2184"/>
      <c r="BO2184" s="4"/>
      <c r="BP2184">
        <v>165102</v>
      </c>
      <c r="BQ2184"/>
      <c r="BR2184"/>
      <c r="BS2184"/>
      <c r="BT2184"/>
      <c r="BU2184"/>
      <c r="BV2184"/>
      <c r="BW2184"/>
      <c r="BX2184"/>
      <c r="BY2184"/>
      <c r="BZ2184" s="4"/>
      <c r="CA2184"/>
      <c r="CB2184"/>
      <c r="CC2184" s="4"/>
      <c r="CD2184" t="inlineStr">
        <is>
          <t>20</t>
        </is>
      </c>
      <c r="CE2184" t="inlineStr">
        <is>
          <t>0</t>
        </is>
      </c>
      <c r="CF2184" t="inlineStr">
        <is>
          <t>Q2-W01</t>
        </is>
      </c>
      <c r="CG2184"/>
      <c r="CH2184"/>
      <c r="CI2184"/>
      <c r="CJ2184" t="inlineStr">
        <is>
          <t>No Paid</t>
        </is>
      </c>
      <c r="CK2184" t="inlineStr">
        <is>
          <t>Not Eligible</t>
        </is>
      </c>
      <c r="CL2184"/>
      <c r="CM2184"/>
    </row>
    <row r="2185" ht="25.5" customHeight="1">
      <c r="A2185" t="inlineStr">
        <is>
          <t>93588</t>
        </is>
      </c>
      <c r="B2185" s="2"/>
      <c r="C2185"/>
      <c r="D2185" s="3">
        <v>46115.43212962963</v>
      </c>
      <c r="E2185" t="inlineStr">
        <is>
          <t>Q2-W01</t>
        </is>
      </c>
      <c r="F2185" t="inlineStr">
        <is>
          <t>Luqman</t>
        </is>
      </c>
      <c r="G2185" t="inlineStr">
        <is>
          <t>Customer</t>
        </is>
      </c>
      <c r="H2185" s="2" t="str">
        <f>=HYPERLINK("https://upbox.ajobthing.my/customer/93588", "https://upbox.ajobthing.my/customer/93588")</f>
        <v>https://upbox.ajobthing.my/customer/93588</v>
      </c>
      <c r="I2185" t="inlineStr">
        <is>
          <t>Fnc Global Sdn Bhd</t>
        </is>
      </c>
      <c r="J2185" t="inlineStr">
        <is>
          <t>Dolphin</t>
        </is>
      </c>
      <c r="K2185" t="inlineStr">
        <is>
          <t>Luqman</t>
        </is>
      </c>
      <c r="L2185" s="4"/>
      <c r="M2185" s="4">
        <v>46115.43225694444</v>
      </c>
      <c r="N2185"/>
      <c r="O2185">
        <v>3888</v>
      </c>
      <c r="P2185" s="4"/>
      <c r="Q2185" s="4">
        <v>45020.71082175926</v>
      </c>
      <c r="R2185"/>
      <c r="S2185">
        <v>742</v>
      </c>
      <c r="T2185" s="4">
        <v>45020.71082175926</v>
      </c>
      <c r="U2185" s="4"/>
      <c r="V2185"/>
      <c r="W2185">
        <v>742</v>
      </c>
      <c r="X2185"/>
      <c r="Y2185" t="inlineStr">
        <is>
          <t>Pending Appointment</t>
        </is>
      </c>
      <c r="Z2185" t="inlineStr">
        <is>
          <t>Hiring Later</t>
        </is>
      </c>
      <c r="AA2185">
        <v>2</v>
      </c>
      <c r="AB2185" t="inlineStr">
        <is>
          <t>No Appointment Made</t>
        </is>
      </c>
      <c r="AC2185"/>
      <c r="AD2185" t="inlineStr">
        <is>
          <t>1. Marketing 2. Operation Executive</t>
        </is>
      </c>
      <c r="AE2185"/>
      <c r="AF2185">
        <v>1600</v>
      </c>
      <c r="AG2185" s="4"/>
      <c r="AH2185" s="4"/>
      <c r="AI2185">
        <v>1600</v>
      </c>
      <c r="AJ2185"/>
      <c r="AK2185"/>
      <c r="AL2185"/>
      <c r="AM2185"/>
      <c r="AN2185"/>
      <c r="AO2185"/>
      <c r="AP2185" t="inlineStr">
        <is>
          <t>Once a year (25%)</t>
        </is>
      </c>
      <c r="AQ2185">
        <v>2</v>
      </c>
      <c r="AR2185"/>
      <c r="AS2185" t="inlineStr">
        <is>
          <t>- Headcount: 2
- Hiring Job Details: 1. Marketing 2. Operation Executive
- Hiring Urgency: Hiring Later
- Number of outlets: Not available
- Have recruiter team: Not available
- Number of recruiter in company: Not available
- Have ATS system: Not available
- Have career website: Not available
- Current hiring budget: RM1,600
- Whole year budget: RM1,600.00
- Whole year number of vacancies: 2
- Hiring frequency: Once a year (25%)
- External job portal: Not available</t>
        </is>
      </c>
      <c r="AT2185">
        <v>55</v>
      </c>
      <c r="AU2185" t="inlineStr">
        <is>
          <t>0.55</t>
        </is>
      </c>
      <c r="AV2185" t="inlineStr">
        <is>
          <t>15</t>
        </is>
      </c>
      <c r="AW2185" t="inlineStr">
        <is>
          <t>0</t>
        </is>
      </c>
      <c r="AX2185" t="inlineStr">
        <is>
          <t>Not Qualified</t>
        </is>
      </c>
      <c r="AY2185" s="4"/>
      <c r="AZ2185"/>
      <c r="BA2185"/>
      <c r="BB2185"/>
      <c r="BC2185" t="inlineStr">
        <is>
          <t>FNC Global shut down. PIC mentioned no longer operating.</t>
        </is>
      </c>
      <c r="BD2185" s="4">
        <v>46118.6271875</v>
      </c>
      <c r="BE2185" t="inlineStr">
        <is>
          <t>paid</t>
        </is>
      </c>
      <c r="BF2185"/>
      <c r="BG2185" t="inlineStr">
        <is>
          <t>Reschedule</t>
        </is>
      </c>
      <c r="BH2185" t="inlineStr">
        <is>
          <t>Edward Hoo</t>
        </is>
      </c>
      <c r="BI2185" t="inlineStr">
        <is>
          <t>Advertising / Marketing</t>
        </is>
      </c>
      <c r="BJ2185" s="4">
        <v>46144.756157407406</v>
      </c>
      <c r="BK2185" s="4">
        <v>43419.43497685185</v>
      </c>
      <c r="BL2185" t="inlineStr">
        <is>
          <t>0.0</t>
        </is>
      </c>
      <c r="BM2185" t="inlineStr">
        <is>
          <t>0.0</t>
        </is>
      </c>
      <c r="BN2185" t="inlineStr">
        <is>
          <t>View Account User</t>
        </is>
      </c>
      <c r="BO2185" s="4">
        <v>45903.427928240744</v>
      </c>
      <c r="BP2185">
        <v>165101</v>
      </c>
      <c r="BQ2185">
        <v>57343</v>
      </c>
      <c r="BR2185" t="inlineStr">
        <is>
          <t>Online</t>
        </is>
      </c>
      <c r="BS2185"/>
      <c r="BT2185">
        <v>57343</v>
      </c>
      <c r="BU2185"/>
      <c r="BV2185">
        <v>2686472</v>
      </c>
      <c r="BW2185" t="inlineStr">
        <is>
          <t>Invalid Account : Business Closed Down</t>
        </is>
      </c>
      <c r="BX2185"/>
      <c r="BY2185"/>
      <c r="BZ2185" s="4"/>
      <c r="CA2185"/>
      <c r="CB2185"/>
      <c r="CC2185" s="4"/>
      <c r="CD2185" t="inlineStr">
        <is>
          <t>20</t>
        </is>
      </c>
      <c r="CE2185" t="inlineStr">
        <is>
          <t>0</t>
        </is>
      </c>
      <c r="CF2185" t="inlineStr">
        <is>
          <t>Q2-W01</t>
        </is>
      </c>
      <c r="CG2185"/>
      <c r="CH2185"/>
      <c r="CI2185"/>
      <c r="CJ2185" t="inlineStr">
        <is>
          <t>Paid</t>
        </is>
      </c>
      <c r="CK2185" t="inlineStr">
        <is>
          <t>Not Eligible</t>
        </is>
      </c>
      <c r="CL2185"/>
      <c r="CM2185"/>
    </row>
    <row r="2186" ht="25.5" customHeight="1">
      <c r="A2186" t="inlineStr">
        <is>
          <t>7700</t>
        </is>
      </c>
      <c r="B2186" s="2"/>
      <c r="C2186"/>
      <c r="D2186" s="3">
        <v>46115.43850694445</v>
      </c>
      <c r="E2186" t="inlineStr">
        <is>
          <t>Q2-W01</t>
        </is>
      </c>
      <c r="F2186" t="inlineStr">
        <is>
          <t>Eugene</t>
        </is>
      </c>
      <c r="G2186" t="inlineStr">
        <is>
          <t>Customer</t>
        </is>
      </c>
      <c r="H2186" s="2" t="str">
        <f>=HYPERLINK("https://upbox.ajobthing.my/customer/7700", "https://upbox.ajobthing.my/customer/7700")</f>
        <v>https://upbox.ajobthing.my/customer/7700</v>
      </c>
      <c r="I2186" t="inlineStr">
        <is>
          <t>I K Management</t>
        </is>
      </c>
      <c r="J2186" t="inlineStr">
        <is>
          <t>Dolphin</t>
        </is>
      </c>
      <c r="K2186" t="inlineStr">
        <is>
          <t>Eugene</t>
        </is>
      </c>
      <c r="L2186" s="4"/>
      <c r="M2186" s="4">
        <v>46115.43858796296</v>
      </c>
      <c r="N2186"/>
      <c r="O2186">
        <v>3888</v>
      </c>
      <c r="P2186" s="4"/>
      <c r="Q2186" s="4">
        <v>46120.45990740741</v>
      </c>
      <c r="R2186"/>
      <c r="S2186">
        <v>0</v>
      </c>
      <c r="T2186" s="4">
        <v>46119.74905092592</v>
      </c>
      <c r="U2186" s="4"/>
      <c r="V2186"/>
      <c r="W2186">
        <v>1296</v>
      </c>
      <c r="X2186"/>
      <c r="Y2186" t="inlineStr">
        <is>
          <t>Pending Appointment</t>
        </is>
      </c>
      <c r="Z2186" t="inlineStr">
        <is>
          <t>Hiring Now</t>
        </is>
      </c>
      <c r="AA2186">
        <v>1</v>
      </c>
      <c r="AB2186" t="inlineStr">
        <is>
          <t>No Appointment Made</t>
        </is>
      </c>
      <c r="AC2186"/>
      <c r="AD2186" t="inlineStr">
        <is>
          <t>1 account exec, based in JB</t>
        </is>
      </c>
      <c r="AE2186"/>
      <c r="AF2186">
        <v>1200</v>
      </c>
      <c r="AG2186" s="4"/>
      <c r="AH2186" s="4"/>
      <c r="AI2186">
        <v>3000</v>
      </c>
      <c r="AJ2186">
        <v>1</v>
      </c>
      <c r="AK2186" t="inlineStr">
        <is>
          <t>No, I don't need at all</t>
        </is>
      </c>
      <c r="AL2186">
        <v>0</v>
      </c>
      <c r="AM2186" t="inlineStr">
        <is>
          <t>No, I don't need at all</t>
        </is>
      </c>
      <c r="AN2186"/>
      <c r="AO2186" t="inlineStr">
        <is>
          <t>No, I don't need at all</t>
        </is>
      </c>
      <c r="AP2186" t="inlineStr">
        <is>
          <t>Once a year (25%)</t>
        </is>
      </c>
      <c r="AQ2186">
        <v>2</v>
      </c>
      <c r="AR2186" t="inlineStr">
        <is>
          <t>Jobstreet</t>
        </is>
      </c>
      <c r="AS2186" t="inlineStr">
        <is>
          <t>- Headcount: 1
- Hiring Job Details: 1 account exec, based in JB
- Hiring Urgency: Hiring Now
- Number of outlets: 1
- Have recruiter team: No, I don't need at all
- Number of recruiter in company: 0
- Have ATS system: No, I don't need at all
- Have career website: No, I don't need at all
- Current hiring budget: RM1,200
- Whole year budget: RM3,000.00
- Whole year number of vacancies: 2
- Hiring frequency: Once a year (25%)
- External job portal: Jobstreet</t>
        </is>
      </c>
      <c r="AT2186">
        <v>110</v>
      </c>
      <c r="AU2186" t="inlineStr">
        <is>
          <t>1.10</t>
        </is>
      </c>
      <c r="AV2186" t="inlineStr">
        <is>
          <t>15</t>
        </is>
      </c>
      <c r="AW2186" t="inlineStr">
        <is>
          <t>0</t>
        </is>
      </c>
      <c r="AX2186" t="inlineStr">
        <is>
          <t>Not Qualified</t>
        </is>
      </c>
      <c r="AY2186" s="4"/>
      <c r="AZ2186"/>
      <c r="BA2186"/>
      <c r="BB2186"/>
      <c r="BC2186" t="inlineStr">
        <is>
          <t>boost job</t>
        </is>
      </c>
      <c r="BD2186" s="4">
        <v>46141.67697916667</v>
      </c>
      <c r="BE2186" t="inlineStr">
        <is>
          <t>paid</t>
        </is>
      </c>
      <c r="BF2186" t="inlineStr">
        <is>
          <t>Q2-W01</t>
        </is>
      </c>
      <c r="BG2186" t="inlineStr">
        <is>
          <t>Reschedule</t>
        </is>
      </c>
      <c r="BH2186" t="inlineStr">
        <is>
          <t>Edward Hoo</t>
        </is>
      </c>
      <c r="BI2186" t="inlineStr">
        <is>
          <t>Accounting / Tax Services</t>
        </is>
      </c>
      <c r="BJ2186" s="4">
        <v>46144.756157407406</v>
      </c>
      <c r="BK2186" s="4">
        <v>42466.48170138889</v>
      </c>
      <c r="BL2186" t="inlineStr">
        <is>
          <t>1296.0</t>
        </is>
      </c>
      <c r="BM2186" t="inlineStr">
        <is>
          <t>1200.0</t>
        </is>
      </c>
      <c r="BN2186" t="inlineStr">
        <is>
          <t>People Search Page : Unlock Candidate</t>
        </is>
      </c>
      <c r="BO2186" s="4">
        <v>46143.51025462963</v>
      </c>
      <c r="BP2186">
        <v>165106</v>
      </c>
      <c r="BQ2186">
        <v>120805</v>
      </c>
      <c r="BR2186" t="inlineStr">
        <is>
          <t>Proforma</t>
        </is>
      </c>
      <c r="BS2186" t="inlineStr">
        <is>
          <t>Free Internship Job</t>
        </is>
      </c>
      <c r="BT2186">
        <v>91776</v>
      </c>
      <c r="BU2186"/>
      <c r="BV2186">
        <v>2735854</v>
      </c>
      <c r="BW2186" t="inlineStr">
        <is>
          <t>Service / Technical : Job Complaint - Report To Marketing</t>
        </is>
      </c>
      <c r="BX2186">
        <v>1</v>
      </c>
      <c r="BY2186">
        <v>0</v>
      </c>
      <c r="BZ2186" s="4">
        <v>46120.73248842593</v>
      </c>
      <c r="CA2186">
        <v>23</v>
      </c>
      <c r="CB2186">
        <v>12</v>
      </c>
      <c r="CC2186" s="4">
        <v>46143.51025462963</v>
      </c>
      <c r="CD2186" t="inlineStr">
        <is>
          <t>20</t>
        </is>
      </c>
      <c r="CE2186" t="inlineStr">
        <is>
          <t>0</t>
        </is>
      </c>
      <c r="CF2186" t="inlineStr">
        <is>
          <t>Q2-W01</t>
        </is>
      </c>
      <c r="CG2186" t="inlineStr">
        <is>
          <t>Q2-W01</t>
        </is>
      </c>
      <c r="CH2186" t="inlineStr">
        <is>
          <t>Q2-W01</t>
        </is>
      </c>
      <c r="CI2186"/>
      <c r="CJ2186" t="inlineStr">
        <is>
          <t>Paid</t>
        </is>
      </c>
      <c r="CK2186" t="inlineStr">
        <is>
          <t>Not Eligible</t>
        </is>
      </c>
      <c r="CL2186"/>
      <c r="CM2186"/>
    </row>
    <row r="2187" ht="25.5" customHeight="1">
      <c r="A2187" t="inlineStr">
        <is>
          <t>158034</t>
        </is>
      </c>
      <c r="B2187" s="2"/>
      <c r="C2187"/>
      <c r="D2187" s="3">
        <v>46115.45162037037</v>
      </c>
      <c r="E2187" t="inlineStr">
        <is>
          <t>Q2-W01</t>
        </is>
      </c>
      <c r="F2187" t="inlineStr">
        <is>
          <t>Jia Hui</t>
        </is>
      </c>
      <c r="G2187" t="inlineStr">
        <is>
          <t>Customer</t>
        </is>
      </c>
      <c r="H2187" s="2" t="str">
        <f>=HYPERLINK("https://upbox.ajobthing.my/customer/158034", "https://upbox.ajobthing.my/customer/158034")</f>
        <v>https://upbox.ajobthing.my/customer/158034</v>
      </c>
      <c r="I2187" t="inlineStr">
        <is>
          <t xml:space="preserve">Finesse Moulding (m) Sdn Bhd </t>
        </is>
      </c>
      <c r="J2187" t="inlineStr">
        <is>
          <t>Dolphin</t>
        </is>
      </c>
      <c r="K2187" t="inlineStr">
        <is>
          <t>Jia Hui</t>
        </is>
      </c>
      <c r="L2187" s="4"/>
      <c r="M2187" s="4">
        <v>46115.45253472222</v>
      </c>
      <c r="N2187"/>
      <c r="O2187">
        <v>10800</v>
      </c>
      <c r="P2187" s="4"/>
      <c r="Q2187" s="4"/>
      <c r="R2187"/>
      <c r="S2187"/>
      <c r="T2187" s="4"/>
      <c r="U2187" s="4"/>
      <c r="V2187"/>
      <c r="W2187"/>
      <c r="X2187"/>
      <c r="Y2187" t="inlineStr">
        <is>
          <t>Pending Appointment</t>
        </is>
      </c>
      <c r="Z2187" t="inlineStr">
        <is>
          <t>Hiring Now</t>
        </is>
      </c>
      <c r="AA2187">
        <v>100</v>
      </c>
      <c r="AB2187" t="inlineStr">
        <is>
          <t>No Appointment Made</t>
        </is>
      </c>
      <c r="AC2187"/>
      <c r="AD2187" t="inlineStr">
        <is>
          <t>100 production staff</t>
        </is>
      </c>
      <c r="AE2187"/>
      <c r="AF2187">
        <v>5000</v>
      </c>
      <c r="AG2187" s="4"/>
      <c r="AH2187" s="4"/>
      <c r="AI2187"/>
      <c r="AJ2187"/>
      <c r="AK2187" t="inlineStr">
        <is>
          <t>Yes, I have</t>
        </is>
      </c>
      <c r="AL2187"/>
      <c r="AM2187"/>
      <c r="AN2187"/>
      <c r="AO2187"/>
      <c r="AP2187" t="inlineStr">
        <is>
          <t>Once a year (25%)</t>
        </is>
      </c>
      <c r="AQ2187"/>
      <c r="AR2187"/>
      <c r="AS2187" t="inlineStr">
        <is>
          <t>- Headcount: 100
- Hiring Job Details: 100 production staff
- Hiring Urgency: Hiring Now
- Number of outlets: Not available
- Have recruiter team: Yes
- Number of recruiter in company: Not available
- Have ATS system: Not available
- Have career website: Not available
- Current hiring budget: RM5,000.00
- Whole year budget: Not available
- Whole year number of vacancies: Not available
- Hiring frequency: Once a year (25%)
- External job portal: Not available</t>
        </is>
      </c>
      <c r="AT2187">
        <v>95</v>
      </c>
      <c r="AU2187" t="inlineStr">
        <is>
          <t>0.95</t>
        </is>
      </c>
      <c r="AV2187" t="inlineStr">
        <is>
          <t>35</t>
        </is>
      </c>
      <c r="AW2187" t="inlineStr">
        <is>
          <t>0</t>
        </is>
      </c>
      <c r="AX2187" t="inlineStr">
        <is>
          <t>Not Qualified</t>
        </is>
      </c>
      <c r="AY2187" s="4"/>
      <c r="AZ2187"/>
      <c r="BA2187"/>
      <c r="BB2187"/>
      <c r="BC2187" t="inlineStr">
        <is>
          <t>npu wa</t>
        </is>
      </c>
      <c r="BD2187" s="4">
        <v>46142.721550925926</v>
      </c>
      <c r="BE2187"/>
      <c r="BF2187"/>
      <c r="BG2187" t="inlineStr">
        <is>
          <t>Reschedule</t>
        </is>
      </c>
      <c r="BH2187" t="inlineStr">
        <is>
          <t>Reagen</t>
        </is>
      </c>
      <c r="BI2187"/>
      <c r="BJ2187" s="4">
        <v>46144.75104166667</v>
      </c>
      <c r="BK2187" s="4">
        <v>44776.69149305556</v>
      </c>
      <c r="BL2187" t="inlineStr">
        <is>
          <t>0.0</t>
        </is>
      </c>
      <c r="BM2187" t="inlineStr">
        <is>
          <t>0.0</t>
        </is>
      </c>
      <c r="BN2187" t="inlineStr">
        <is>
          <t>View Jobmanager Page</t>
        </is>
      </c>
      <c r="BO2187" s="4">
        <v>44789.677465277775</v>
      </c>
      <c r="BP2187">
        <v>165114</v>
      </c>
      <c r="BQ2187"/>
      <c r="BR2187"/>
      <c r="BS2187"/>
      <c r="BT2187"/>
      <c r="BU2187"/>
      <c r="BV2187">
        <v>2738353</v>
      </c>
      <c r="BW2187" t="inlineStr">
        <is>
          <t>No Answer : Voicemail - WA sent to customer</t>
        </is>
      </c>
      <c r="BX2187"/>
      <c r="BY2187"/>
      <c r="BZ2187" s="4"/>
      <c r="CA2187"/>
      <c r="CB2187"/>
      <c r="CC2187" s="4"/>
      <c r="CD2187" t="inlineStr">
        <is>
          <t>50</t>
        </is>
      </c>
      <c r="CE2187" t="inlineStr">
        <is>
          <t>0</t>
        </is>
      </c>
      <c r="CF2187" t="inlineStr">
        <is>
          <t>Q2-W01</t>
        </is>
      </c>
      <c r="CG2187"/>
      <c r="CH2187"/>
      <c r="CI2187"/>
      <c r="CJ2187" t="inlineStr">
        <is>
          <t>No Paid</t>
        </is>
      </c>
      <c r="CK2187" t="inlineStr">
        <is>
          <t>Eligible</t>
        </is>
      </c>
      <c r="CL2187"/>
      <c r="CM2187"/>
    </row>
    <row r="2188" ht="25.5" customHeight="1">
      <c r="A2188" t="inlineStr">
        <is>
          <t>7700</t>
        </is>
      </c>
      <c r="B2188" s="2"/>
      <c r="C2188"/>
      <c r="D2188" s="3">
        <v>46115.45732638889</v>
      </c>
      <c r="E2188" t="inlineStr">
        <is>
          <t>Q2-W01</t>
        </is>
      </c>
      <c r="F2188" t="inlineStr">
        <is>
          <t>Eugene</t>
        </is>
      </c>
      <c r="G2188" t="inlineStr">
        <is>
          <t>Customer</t>
        </is>
      </c>
      <c r="H2188" s="2" t="str">
        <f>=HYPERLINK("https://upbox.ajobthing.my/customer/7700", "https://upbox.ajobthing.my/customer/7700")</f>
        <v>https://upbox.ajobthing.my/customer/7700</v>
      </c>
      <c r="I2188" t="inlineStr">
        <is>
          <t>I K Management</t>
        </is>
      </c>
      <c r="J2188" t="inlineStr">
        <is>
          <t>Dolphin</t>
        </is>
      </c>
      <c r="K2188" t="inlineStr">
        <is>
          <t>Eugene</t>
        </is>
      </c>
      <c r="L2188" s="4"/>
      <c r="M2188" s="4">
        <v>46115.43858796296</v>
      </c>
      <c r="N2188"/>
      <c r="O2188">
        <v>3888</v>
      </c>
      <c r="P2188" s="4"/>
      <c r="Q2188" s="4">
        <v>46120.45990740741</v>
      </c>
      <c r="R2188"/>
      <c r="S2188">
        <v>0</v>
      </c>
      <c r="T2188" s="4">
        <v>46119.74905092592</v>
      </c>
      <c r="U2188" s="4"/>
      <c r="V2188"/>
      <c r="W2188">
        <v>1296</v>
      </c>
      <c r="X2188"/>
      <c r="Y2188" t="inlineStr">
        <is>
          <t>Pending Appointment</t>
        </is>
      </c>
      <c r="Z2188" t="inlineStr">
        <is>
          <t>Hiring Now</t>
        </is>
      </c>
      <c r="AA2188">
        <v>1</v>
      </c>
      <c r="AB2188" t="inlineStr">
        <is>
          <t>No Appointment Made</t>
        </is>
      </c>
      <c r="AC2188"/>
      <c r="AD2188" t="inlineStr">
        <is>
          <t>1 account exec, based in JB</t>
        </is>
      </c>
      <c r="AE2188"/>
      <c r="AF2188">
        <v>1200</v>
      </c>
      <c r="AG2188" s="4"/>
      <c r="AH2188" s="4"/>
      <c r="AI2188">
        <v>3000</v>
      </c>
      <c r="AJ2188">
        <v>1</v>
      </c>
      <c r="AK2188" t="inlineStr">
        <is>
          <t>No, I don't need at all</t>
        </is>
      </c>
      <c r="AL2188">
        <v>0</v>
      </c>
      <c r="AM2188" t="inlineStr">
        <is>
          <t>No, I don't need at all</t>
        </is>
      </c>
      <c r="AN2188"/>
      <c r="AO2188" t="inlineStr">
        <is>
          <t>No, I don't need at all</t>
        </is>
      </c>
      <c r="AP2188" t="inlineStr">
        <is>
          <t>Once a year (25%)</t>
        </is>
      </c>
      <c r="AQ2188">
        <v>2</v>
      </c>
      <c r="AR2188" t="inlineStr">
        <is>
          <t>Jobstreet</t>
        </is>
      </c>
      <c r="AS2188" t="inlineStr">
        <is>
          <t>- Headcount: 1
- Hiring Job Details: 1 account exec, based in JB
- Hiring Urgency: Hiring Now
- Number of outlets: 1
- Have recruiter team: No, I don't need at all
- Number of recruiter in company: 0
- Have ATS system: No, I don't need at all
- Have career website: No, I don't need at all
- Current hiring budget: RM1,200
- Whole year budget: RM3,000.00
- Whole year number of vacancies: 2
- Hiring frequency: Once a year (25%)
- External job portal: Jobstreet</t>
        </is>
      </c>
      <c r="AT2188">
        <v>110</v>
      </c>
      <c r="AU2188" t="inlineStr">
        <is>
          <t>1.10</t>
        </is>
      </c>
      <c r="AV2188" t="inlineStr">
        <is>
          <t>15</t>
        </is>
      </c>
      <c r="AW2188" t="inlineStr">
        <is>
          <t>0</t>
        </is>
      </c>
      <c r="AX2188" t="inlineStr">
        <is>
          <t>Not Qualified</t>
        </is>
      </c>
      <c r="AY2188" s="4"/>
      <c r="AZ2188"/>
      <c r="BA2188"/>
      <c r="BB2188"/>
      <c r="BC2188" t="inlineStr">
        <is>
          <t>boost job</t>
        </is>
      </c>
      <c r="BD2188" s="4">
        <v>46141.67697916667</v>
      </c>
      <c r="BE2188" t="inlineStr">
        <is>
          <t>paid</t>
        </is>
      </c>
      <c r="BF2188" t="inlineStr">
        <is>
          <t>Q2-W01</t>
        </is>
      </c>
      <c r="BG2188" t="inlineStr">
        <is>
          <t>Reschedule</t>
        </is>
      </c>
      <c r="BH2188" t="inlineStr">
        <is>
          <t>Edward Hoo</t>
        </is>
      </c>
      <c r="BI2188" t="inlineStr">
        <is>
          <t>Accounting / Tax Services</t>
        </is>
      </c>
      <c r="BJ2188" s="4">
        <v>46144.756157407406</v>
      </c>
      <c r="BK2188" s="4">
        <v>42466.48170138889</v>
      </c>
      <c r="BL2188" t="inlineStr">
        <is>
          <t>1296.0</t>
        </is>
      </c>
      <c r="BM2188" t="inlineStr">
        <is>
          <t>1200.0</t>
        </is>
      </c>
      <c r="BN2188" t="inlineStr">
        <is>
          <t>People Search Page : Unlock Candidate</t>
        </is>
      </c>
      <c r="BO2188" s="4">
        <v>46143.51025462963</v>
      </c>
      <c r="BP2188">
        <v>165106</v>
      </c>
      <c r="BQ2188">
        <v>120805</v>
      </c>
      <c r="BR2188" t="inlineStr">
        <is>
          <t>Proforma</t>
        </is>
      </c>
      <c r="BS2188" t="inlineStr">
        <is>
          <t>Free Internship Job</t>
        </is>
      </c>
      <c r="BT2188">
        <v>91776</v>
      </c>
      <c r="BU2188"/>
      <c r="BV2188">
        <v>2735854</v>
      </c>
      <c r="BW2188" t="inlineStr">
        <is>
          <t>Service / Technical : Job Complaint - Report To Marketing</t>
        </is>
      </c>
      <c r="BX2188">
        <v>1</v>
      </c>
      <c r="BY2188">
        <v>0</v>
      </c>
      <c r="BZ2188" s="4">
        <v>46120.73248842593</v>
      </c>
      <c r="CA2188">
        <v>23</v>
      </c>
      <c r="CB2188">
        <v>12</v>
      </c>
      <c r="CC2188" s="4">
        <v>46143.51025462963</v>
      </c>
      <c r="CD2188" t="inlineStr">
        <is>
          <t>20</t>
        </is>
      </c>
      <c r="CE2188" t="inlineStr">
        <is>
          <t>0</t>
        </is>
      </c>
      <c r="CF2188" t="inlineStr">
        <is>
          <t>Q2-W01</t>
        </is>
      </c>
      <c r="CG2188" t="inlineStr">
        <is>
          <t>Q2-W01</t>
        </is>
      </c>
      <c r="CH2188" t="inlineStr">
        <is>
          <t>Q2-W01</t>
        </is>
      </c>
      <c r="CI2188"/>
      <c r="CJ2188" t="inlineStr">
        <is>
          <t>Paid</t>
        </is>
      </c>
      <c r="CK2188" t="inlineStr">
        <is>
          <t>Not Eligible</t>
        </is>
      </c>
      <c r="CL2188"/>
      <c r="CM2188"/>
    </row>
    <row r="2189" ht="25.5" customHeight="1">
      <c r="A2189" t="inlineStr">
        <is>
          <t>4237159</t>
        </is>
      </c>
      <c r="B2189" s="2"/>
      <c r="C2189"/>
      <c r="D2189" s="3">
        <v>46115.470509259256</v>
      </c>
      <c r="E2189" t="inlineStr">
        <is>
          <t>Q2-W01</t>
        </is>
      </c>
      <c r="F2189" t="inlineStr">
        <is>
          <t>Jess</t>
        </is>
      </c>
      <c r="G2189" t="inlineStr">
        <is>
          <t>Lead</t>
        </is>
      </c>
      <c r="H2189" s="2" t="str">
        <f>=HYPERLINK("https://upbox.ajobthing.my/leads/4237159", "https://upbox.ajobthing.my/leads/4237159")</f>
        <v>https://upbox.ajobthing.my/leads/4237159</v>
      </c>
      <c r="I2189" t="inlineStr">
        <is>
          <t>Itvision Consulting Sdn Bhd</t>
        </is>
      </c>
      <c r="J2189" t="inlineStr">
        <is>
          <t>Dolphin</t>
        </is>
      </c>
      <c r="K2189" t="inlineStr">
        <is>
          <t>Jess Lim</t>
        </is>
      </c>
      <c r="L2189" s="4"/>
      <c r="M2189" s="4">
        <v>46115.47149305556</v>
      </c>
      <c r="N2189"/>
      <c r="O2189">
        <v>3888</v>
      </c>
      <c r="P2189" s="4"/>
      <c r="Q2189" s="4"/>
      <c r="R2189"/>
      <c r="S2189"/>
      <c r="T2189" s="4"/>
      <c r="U2189" s="4"/>
      <c r="V2189"/>
      <c r="W2189"/>
      <c r="X2189"/>
      <c r="Y2189" t="inlineStr">
        <is>
          <t>Pending Appointment</t>
        </is>
      </c>
      <c r="Z2189" t="inlineStr">
        <is>
          <t>Hiring Now</t>
        </is>
      </c>
      <c r="AA2189">
        <v>10</v>
      </c>
      <c r="AB2189" t="inlineStr">
        <is>
          <t>No Appointment Made</t>
        </is>
      </c>
      <c r="AC2189"/>
      <c r="AD2189" t="inlineStr">
        <is>
          <t>electrician , foreman
10</t>
        </is>
      </c>
      <c r="AE2189"/>
      <c r="AF2189">
        <v>1000</v>
      </c>
      <c r="AG2189" s="4"/>
      <c r="AH2189" s="4"/>
      <c r="AI2189"/>
      <c r="AJ2189">
        <v>1</v>
      </c>
      <c r="AK2189" t="inlineStr">
        <is>
          <t>No, I don't need at all</t>
        </is>
      </c>
      <c r="AL2189">
        <v>1</v>
      </c>
      <c r="AM2189" t="inlineStr">
        <is>
          <t>No, I don't need at all</t>
        </is>
      </c>
      <c r="AN2189"/>
      <c r="AO2189"/>
      <c r="AP2189" t="inlineStr">
        <is>
          <t>Once a year (25%)</t>
        </is>
      </c>
      <c r="AQ2189"/>
      <c r="AR2189" t="inlineStr">
        <is>
          <t>Jobstreet</t>
        </is>
      </c>
      <c r="AS2189" t="inlineStr">
        <is>
          <t>- Headcount: 10
- Hiring Job Details: electrician, foreman\n10
- Hiring Urgency: Hiring Now
- Number of outlets: 1
- Have recruiter team: No, I don't need at all
- Number of recruiter in company: 1
- Have ATS system: No, I don't need at all
- Have career website: 
- Current hiring budget: RM1,000
- Whole year budget: 
- Whole year number of vacancies: 
- Hiring frequency: Once a year (25%)
- External job portal: Jobstreet</t>
        </is>
      </c>
      <c r="AT2189">
        <v>65</v>
      </c>
      <c r="AU2189" t="inlineStr">
        <is>
          <t>0.65</t>
        </is>
      </c>
      <c r="AV2189" t="inlineStr">
        <is>
          <t>20</t>
        </is>
      </c>
      <c r="AW2189" t="inlineStr">
        <is>
          <t>0</t>
        </is>
      </c>
      <c r="AX2189" t="inlineStr">
        <is>
          <t>Not Qualified</t>
        </is>
      </c>
      <c r="AY2189" s="4"/>
      <c r="AZ2189"/>
      <c r="BA2189"/>
      <c r="BB2189"/>
      <c r="BC2189"/>
      <c r="BD2189" s="4"/>
      <c r="BE2189"/>
      <c r="BF2189"/>
      <c r="BG2189" t="inlineStr">
        <is>
          <t>Reschedule</t>
        </is>
      </c>
      <c r="BH2189" t="inlineStr">
        <is>
          <t>Fauziah Maharan</t>
        </is>
      </c>
      <c r="BI2189"/>
      <c r="BJ2189" s="4">
        <v>46144.75571759259</v>
      </c>
      <c r="BK2189" s="4">
        <v>46115.45516203704</v>
      </c>
      <c r="BL2189" t="inlineStr">
        <is>
          <t>0.0</t>
        </is>
      </c>
      <c r="BM2189" t="inlineStr">
        <is>
          <t>0.0</t>
        </is>
      </c>
      <c r="BN2189"/>
      <c r="BO2189" s="4"/>
      <c r="BP2189">
        <v>165140</v>
      </c>
      <c r="BQ2189"/>
      <c r="BR2189"/>
      <c r="BS2189"/>
      <c r="BT2189"/>
      <c r="BU2189"/>
      <c r="BV2189"/>
      <c r="BW2189"/>
      <c r="BX2189"/>
      <c r="BY2189"/>
      <c r="BZ2189" s="4"/>
      <c r="CA2189"/>
      <c r="CB2189"/>
      <c r="CC2189" s="4"/>
      <c r="CD2189" t="inlineStr">
        <is>
          <t>30</t>
        </is>
      </c>
      <c r="CE2189" t="inlineStr">
        <is>
          <t>0</t>
        </is>
      </c>
      <c r="CF2189" t="inlineStr">
        <is>
          <t>Q2-W01</t>
        </is>
      </c>
      <c r="CG2189"/>
      <c r="CH2189"/>
      <c r="CI2189"/>
      <c r="CJ2189" t="inlineStr">
        <is>
          <t>No Paid</t>
        </is>
      </c>
      <c r="CK2189" t="inlineStr">
        <is>
          <t>Eligible</t>
        </is>
      </c>
      <c r="CL2189"/>
      <c r="CM2189"/>
    </row>
    <row r="2190" ht="25.5" customHeight="1">
      <c r="A2190" t="inlineStr">
        <is>
          <t>202783</t>
        </is>
      </c>
      <c r="B2190" s="2"/>
      <c r="C2190"/>
      <c r="D2190" s="3">
        <v>46115.49625</v>
      </c>
      <c r="E2190" t="inlineStr">
        <is>
          <t>Q2-W01</t>
        </is>
      </c>
      <c r="F2190" t="inlineStr">
        <is>
          <t>Keegan</t>
        </is>
      </c>
      <c r="G2190" t="inlineStr">
        <is>
          <t>Customer</t>
        </is>
      </c>
      <c r="H2190" s="2" t="str">
        <f>=HYPERLINK("https://upbox.ajobthing.my/customer/202783", "https://upbox.ajobthing.my/customer/202783")</f>
        <v>https://upbox.ajobthing.my/customer/202783</v>
      </c>
      <c r="I2190" t="inlineStr">
        <is>
          <t>Kanglian Development Sdn Bhd</t>
        </is>
      </c>
      <c r="J2190" t="inlineStr">
        <is>
          <t>Dolphin</t>
        </is>
      </c>
      <c r="K2190" t="inlineStr">
        <is>
          <t>Keegan</t>
        </is>
      </c>
      <c r="L2190" s="4"/>
      <c r="M2190" s="4">
        <v>46115.49716435185</v>
      </c>
      <c r="N2190"/>
      <c r="O2190">
        <v>6048</v>
      </c>
      <c r="P2190" s="4"/>
      <c r="Q2190" s="4"/>
      <c r="R2190"/>
      <c r="S2190"/>
      <c r="T2190" s="4"/>
      <c r="U2190" s="4"/>
      <c r="V2190"/>
      <c r="W2190"/>
      <c r="X2190"/>
      <c r="Y2190" t="inlineStr">
        <is>
          <t>Pending Appointment</t>
        </is>
      </c>
      <c r="Z2190" t="inlineStr">
        <is>
          <t>Hiring Now</t>
        </is>
      </c>
      <c r="AA2190">
        <v>2</v>
      </c>
      <c r="AB2190" t="inlineStr">
        <is>
          <t>No Appointment Made</t>
        </is>
      </c>
      <c r="AC2190"/>
      <c r="AD2190" t="inlineStr">
        <is>
          <t xml:space="preserve">1. Sales 
2. Marketing </t>
        </is>
      </c>
      <c r="AE2190"/>
      <c r="AF2190"/>
      <c r="AG2190" s="4"/>
      <c r="AH2190" s="4"/>
      <c r="AI2190"/>
      <c r="AJ2190">
        <v>1</v>
      </c>
      <c r="AK2190" t="inlineStr">
        <is>
          <t>No, I don't need at all</t>
        </is>
      </c>
      <c r="AL2190">
        <v>0</v>
      </c>
      <c r="AM2190" t="inlineStr">
        <is>
          <t>No, I don't need at all</t>
        </is>
      </c>
      <c r="AN2190"/>
      <c r="AO2190" t="inlineStr">
        <is>
          <t>No, I don't need at all</t>
        </is>
      </c>
      <c r="AP2190" t="inlineStr">
        <is>
          <t>Once per quarter (75%)</t>
        </is>
      </c>
      <c r="AQ2190"/>
      <c r="AR2190" t="inlineStr">
        <is>
          <t>Did not use any job portal</t>
        </is>
      </c>
      <c r="AS2190" t="inlineStr">
        <is>
          <t>- Headcount: 2
- Hiring Job Details: 1. Sales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190">
        <v>55</v>
      </c>
      <c r="AU2190" t="inlineStr">
        <is>
          <t>0.55</t>
        </is>
      </c>
      <c r="AV2190" t="inlineStr">
        <is>
          <t>5</t>
        </is>
      </c>
      <c r="AW2190" t="inlineStr">
        <is>
          <t>0</t>
        </is>
      </c>
      <c r="AX2190" t="inlineStr">
        <is>
          <t>Not Qualified</t>
        </is>
      </c>
      <c r="AY2190" s="4"/>
      <c r="AZ2190"/>
      <c r="BA2190"/>
      <c r="BB2190"/>
      <c r="BC2190" t="inlineStr">
        <is>
          <t>- Headcount: 2
- Hiring Job Details: 1. Sales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190" s="4">
        <v>46115.5000462963</v>
      </c>
      <c r="BE2190"/>
      <c r="BF2190"/>
      <c r="BG2190" t="inlineStr">
        <is>
          <t>Reschedule</t>
        </is>
      </c>
      <c r="BH2190" t="inlineStr">
        <is>
          <t>Edward Hoo</t>
        </is>
      </c>
      <c r="BI2190"/>
      <c r="BJ2190" s="4">
        <v>46144.75412037037</v>
      </c>
      <c r="BK2190" s="4">
        <v>46115.49538194444</v>
      </c>
      <c r="BL2190" t="inlineStr">
        <is>
          <t>0.0</t>
        </is>
      </c>
      <c r="BM2190" t="inlineStr">
        <is>
          <t>2400.0</t>
        </is>
      </c>
      <c r="BN2190"/>
      <c r="BO2190" s="4"/>
      <c r="BP2190">
        <v>165159</v>
      </c>
      <c r="BQ2190"/>
      <c r="BR2190"/>
      <c r="BS2190"/>
      <c r="BT2190"/>
      <c r="BU2190"/>
      <c r="BV2190">
        <v>2682455</v>
      </c>
      <c r="BW2190" t="inlineStr">
        <is>
          <t>Customer Inquiry</t>
        </is>
      </c>
      <c r="BX2190"/>
      <c r="BY2190"/>
      <c r="BZ2190" s="4"/>
      <c r="CA2190"/>
      <c r="CB2190"/>
      <c r="CC2190" s="4"/>
      <c r="CD2190" t="inlineStr">
        <is>
          <t>5</t>
        </is>
      </c>
      <c r="CE2190" t="inlineStr">
        <is>
          <t>0</t>
        </is>
      </c>
      <c r="CF2190" t="inlineStr">
        <is>
          <t>Q2-W01</t>
        </is>
      </c>
      <c r="CG2190"/>
      <c r="CH2190"/>
      <c r="CI2190"/>
      <c r="CJ2190" t="inlineStr">
        <is>
          <t>No Paid</t>
        </is>
      </c>
      <c r="CK2190" t="inlineStr">
        <is>
          <t>Not Eligible</t>
        </is>
      </c>
      <c r="CL2190"/>
      <c r="CM2190"/>
    </row>
    <row r="2191" ht="25.5" customHeight="1">
      <c r="A2191" t="inlineStr">
        <is>
          <t>4230455</t>
        </is>
      </c>
      <c r="B2191" s="2"/>
      <c r="C2191"/>
      <c r="D2191" s="3">
        <v>46115.49679398148</v>
      </c>
      <c r="E2191" t="inlineStr">
        <is>
          <t>Q2-W01</t>
        </is>
      </c>
      <c r="F2191" t="inlineStr">
        <is>
          <t>Evan</t>
        </is>
      </c>
      <c r="G2191" t="inlineStr">
        <is>
          <t>Lead</t>
        </is>
      </c>
      <c r="H2191" s="2" t="str">
        <f>=HYPERLINK("https://upbox.ajobthing.my/leads/4230455", "https://upbox.ajobthing.my/leads/4230455")</f>
        <v>https://upbox.ajobthing.my/leads/4230455</v>
      </c>
      <c r="I2191" t="inlineStr">
        <is>
          <t>HANIZAH OPTOMETRY</t>
        </is>
      </c>
      <c r="J2191" t="inlineStr">
        <is>
          <t>Dolphin</t>
        </is>
      </c>
      <c r="K2191" t="inlineStr">
        <is>
          <t>Evan</t>
        </is>
      </c>
      <c r="L2191" s="4"/>
      <c r="M2191" s="4">
        <v>46115.495405092595</v>
      </c>
      <c r="N2191"/>
      <c r="O2191">
        <v>6048</v>
      </c>
      <c r="P2191" s="4"/>
      <c r="Q2191" s="4"/>
      <c r="R2191"/>
      <c r="S2191"/>
      <c r="T2191" s="4"/>
      <c r="U2191" s="4"/>
      <c r="V2191"/>
      <c r="W2191"/>
      <c r="X2191"/>
      <c r="Y2191" t="inlineStr">
        <is>
          <t>Pending Appointment</t>
        </is>
      </c>
      <c r="Z2191" t="inlineStr">
        <is>
          <t>Hiring Now</t>
        </is>
      </c>
      <c r="AA2191">
        <v>2</v>
      </c>
      <c r="AB2191" t="inlineStr">
        <is>
          <t>No Appointment Made</t>
        </is>
      </c>
      <c r="AC2191"/>
      <c r="AD2191" t="inlineStr">
        <is>
          <t>2 sales, all base in KL</t>
        </is>
      </c>
      <c r="AE2191"/>
      <c r="AF2191">
        <v>1</v>
      </c>
      <c r="AG2191" s="4"/>
      <c r="AH2191" s="4"/>
      <c r="AI2191">
        <v>1</v>
      </c>
      <c r="AJ2191">
        <v>5</v>
      </c>
      <c r="AK2191" t="inlineStr">
        <is>
          <t>No, I don't need at all</t>
        </is>
      </c>
      <c r="AL2191">
        <v>0</v>
      </c>
      <c r="AM2191" t="inlineStr">
        <is>
          <t>No, I don't need at all</t>
        </is>
      </c>
      <c r="AN2191"/>
      <c r="AO2191" t="inlineStr">
        <is>
          <t>No, I don't need at all</t>
        </is>
      </c>
      <c r="AP2191" t="inlineStr">
        <is>
          <t>Once a year (25%)</t>
        </is>
      </c>
      <c r="AQ2191">
        <v>2</v>
      </c>
      <c r="AR2191" t="inlineStr">
        <is>
          <t>Did not use any job portal</t>
        </is>
      </c>
      <c r="AS2191" t="inlineStr">
        <is>
          <t>- Headcount: 2
- Hiring Job Details: 2 sales, all base in KL
- Hiring Urgency: Hiring Now
- Number of outlets: 5
- Have recruiter team: No, I don't need at all
- Number of recruiter in company: 0
- Have ATS system: No, I don't need at all
- Have career website: No, I don't need at all
- Current hiring budget: RM1.00
- Whole year budget: RM1.00
- Whole year number of vacancies: 2
- Hiring frequency: Once a year (25%)
- External job portal: Did not use any job portal</t>
        </is>
      </c>
      <c r="AT2191">
        <v>110</v>
      </c>
      <c r="AU2191" t="inlineStr">
        <is>
          <t>1.10</t>
        </is>
      </c>
      <c r="AV2191" t="inlineStr">
        <is>
          <t>15</t>
        </is>
      </c>
      <c r="AW2191" t="inlineStr">
        <is>
          <t>0</t>
        </is>
      </c>
      <c r="AX2191" t="inlineStr">
        <is>
          <t>Not Qualified</t>
        </is>
      </c>
      <c r="AY2191" s="4"/>
      <c r="AZ2191"/>
      <c r="BA2191"/>
      <c r="BB2191"/>
      <c r="BC2191"/>
      <c r="BD2191" s="4"/>
      <c r="BE2191"/>
      <c r="BF2191"/>
      <c r="BG2191" t="inlineStr">
        <is>
          <t>Reschedule</t>
        </is>
      </c>
      <c r="BH2191" t="inlineStr">
        <is>
          <t>Edward Hoo</t>
        </is>
      </c>
      <c r="BI2191"/>
      <c r="BJ2191" s="4">
        <v>46144.755694444444</v>
      </c>
      <c r="BK2191" s="4">
        <v>46114.61728009259</v>
      </c>
      <c r="BL2191" t="inlineStr">
        <is>
          <t>0.0</t>
        </is>
      </c>
      <c r="BM2191" t="inlineStr">
        <is>
          <t>1350.0</t>
        </is>
      </c>
      <c r="BN2191"/>
      <c r="BO2191" s="4"/>
      <c r="BP2191">
        <v>165157</v>
      </c>
      <c r="BQ2191"/>
      <c r="BR2191"/>
      <c r="BS2191"/>
      <c r="BT2191"/>
      <c r="BU2191"/>
      <c r="BV2191"/>
      <c r="BW2191"/>
      <c r="BX2191"/>
      <c r="BY2191"/>
      <c r="BZ2191" s="4"/>
      <c r="CA2191"/>
      <c r="CB2191"/>
      <c r="CC2191" s="4"/>
      <c r="CD2191" t="inlineStr">
        <is>
          <t>20</t>
        </is>
      </c>
      <c r="CE2191" t="inlineStr">
        <is>
          <t>0</t>
        </is>
      </c>
      <c r="CF2191" t="inlineStr">
        <is>
          <t>Q2-W01</t>
        </is>
      </c>
      <c r="CG2191"/>
      <c r="CH2191"/>
      <c r="CI2191"/>
      <c r="CJ2191" t="inlineStr">
        <is>
          <t>No Paid</t>
        </is>
      </c>
      <c r="CK2191" t="inlineStr">
        <is>
          <t>Not Eligible</t>
        </is>
      </c>
      <c r="CL2191"/>
      <c r="CM2191"/>
    </row>
    <row r="2192" ht="25.5" customHeight="1">
      <c r="A2192" t="inlineStr">
        <is>
          <t>31168</t>
        </is>
      </c>
      <c r="B2192" s="2"/>
      <c r="C2192"/>
      <c r="D2192" s="3">
        <v>46115.498761574076</v>
      </c>
      <c r="E2192" t="inlineStr">
        <is>
          <t>Q2-W01</t>
        </is>
      </c>
      <c r="F2192" t="inlineStr">
        <is>
          <t>Angel  Low</t>
        </is>
      </c>
      <c r="G2192" t="inlineStr">
        <is>
          <t>Customer</t>
        </is>
      </c>
      <c r="H2192" s="2" t="str">
        <f>=HYPERLINK("https://upbox.ajobthing.my/customer/31168", "https://upbox.ajobthing.my/customer/31168")</f>
        <v>https://upbox.ajobthing.my/customer/31168</v>
      </c>
      <c r="I2192" t="inlineStr">
        <is>
          <t>MRS Resources Sdn Bhd</t>
        </is>
      </c>
      <c r="J2192" t="inlineStr">
        <is>
          <t>Dolphin</t>
        </is>
      </c>
      <c r="K2192" t="inlineStr">
        <is>
          <t>Angel Low</t>
        </is>
      </c>
      <c r="L2192" s="4"/>
      <c r="M2192" s="4">
        <v>46115.49898148148</v>
      </c>
      <c r="N2192"/>
      <c r="O2192">
        <v>3672</v>
      </c>
      <c r="P2192" s="4"/>
      <c r="Q2192" s="4">
        <v>46120.49556712963</v>
      </c>
      <c r="R2192"/>
      <c r="S2192">
        <v>864</v>
      </c>
      <c r="T2192" s="4">
        <v>46120.49556712963</v>
      </c>
      <c r="U2192" s="4"/>
      <c r="V2192"/>
      <c r="W2192">
        <v>864</v>
      </c>
      <c r="X2192"/>
      <c r="Y2192" t="inlineStr">
        <is>
          <t>Pending Appointment</t>
        </is>
      </c>
      <c r="Z2192" t="inlineStr">
        <is>
          <t>Hiring Now</t>
        </is>
      </c>
      <c r="AA2192">
        <v>1</v>
      </c>
      <c r="AB2192" t="inlineStr">
        <is>
          <t>No Appointment Made</t>
        </is>
      </c>
      <c r="AC2192"/>
      <c r="AD2192" t="inlineStr">
        <is>
          <t xml:space="preserve">technical engineering </t>
        </is>
      </c>
      <c r="AE2192"/>
      <c r="AF2192"/>
      <c r="AG2192" s="4"/>
      <c r="AH2192" s="4"/>
      <c r="AI2192"/>
      <c r="AJ2192"/>
      <c r="AK2192" t="inlineStr">
        <is>
          <t>No, I don't need at all</t>
        </is>
      </c>
      <c r="AL2192"/>
      <c r="AM2192" t="inlineStr">
        <is>
          <t>No, I don't need at all</t>
        </is>
      </c>
      <c r="AN2192"/>
      <c r="AO2192" t="inlineStr">
        <is>
          <t>No, I don't need at all</t>
        </is>
      </c>
      <c r="AP2192" t="inlineStr">
        <is>
          <t>Twice a year (50%)</t>
        </is>
      </c>
      <c r="AQ2192"/>
      <c r="AR2192"/>
      <c r="AS2192" t="inlineStr">
        <is>
          <t>- Headcount: 1
- Hiring Job Details: technical engineering
- Hiring Urgency: Hiring Now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Twice a year (50%)
- External job portal: Not specified</t>
        </is>
      </c>
      <c r="AT2192">
        <v>75</v>
      </c>
      <c r="AU2192" t="inlineStr">
        <is>
          <t>0.75</t>
        </is>
      </c>
      <c r="AV2192" t="inlineStr">
        <is>
          <t>5</t>
        </is>
      </c>
      <c r="AW2192" t="inlineStr">
        <is>
          <t>0</t>
        </is>
      </c>
      <c r="AX2192" t="inlineStr">
        <is>
          <t>Not Qualified</t>
        </is>
      </c>
      <c r="AY2192" s="4"/>
      <c r="AZ2192"/>
      <c r="BA2192"/>
      <c r="BB2192"/>
      <c r="BC2192" t="inlineStr">
        <is>
          <t>asissts invoice , today just start posting</t>
        </is>
      </c>
      <c r="BD2192" s="4">
        <v>46125.75032407408</v>
      </c>
      <c r="BE2192" t="inlineStr">
        <is>
          <t>paid</t>
        </is>
      </c>
      <c r="BF2192" t="inlineStr">
        <is>
          <t>Q2-W01</t>
        </is>
      </c>
      <c r="BG2192" t="inlineStr">
        <is>
          <t>Reschedule</t>
        </is>
      </c>
      <c r="BH2192" t="inlineStr">
        <is>
          <t>Fauziah Maharan</t>
        </is>
      </c>
      <c r="BI2192" t="inlineStr">
        <is>
          <t>IT / Hardware</t>
        </is>
      </c>
      <c r="BJ2192" s="4">
        <v>46144.75454861111</v>
      </c>
      <c r="BK2192" s="4">
        <v>42688.52782407407</v>
      </c>
      <c r="BL2192" t="inlineStr">
        <is>
          <t>864.0</t>
        </is>
      </c>
      <c r="BM2192" t="inlineStr">
        <is>
          <t>0.0</t>
        </is>
      </c>
      <c r="BN2192" t="inlineStr">
        <is>
          <t>User Visit(Logged In)</t>
        </is>
      </c>
      <c r="BO2192" s="4">
        <v>46142.41070601852</v>
      </c>
      <c r="BP2192">
        <v>165161</v>
      </c>
      <c r="BQ2192">
        <v>92026</v>
      </c>
      <c r="BR2192" t="inlineStr">
        <is>
          <t>Online</t>
        </is>
      </c>
      <c r="BS2192"/>
      <c r="BT2192">
        <v>92026</v>
      </c>
      <c r="BU2192"/>
      <c r="BV2192">
        <v>2702216</v>
      </c>
      <c r="BW2192" t="inlineStr">
        <is>
          <t>Service / Technical : Job Outcome Enquiry</t>
        </is>
      </c>
      <c r="BX2192">
        <v>1</v>
      </c>
      <c r="BY2192">
        <v>0</v>
      </c>
      <c r="BZ2192" s="4">
        <v>46125.535833333335</v>
      </c>
      <c r="CA2192">
        <v>10</v>
      </c>
      <c r="CB2192">
        <v>10</v>
      </c>
      <c r="CC2192" s="4"/>
      <c r="CD2192" t="inlineStr">
        <is>
          <t>5</t>
        </is>
      </c>
      <c r="CE2192" t="inlineStr">
        <is>
          <t>0</t>
        </is>
      </c>
      <c r="CF2192" t="inlineStr">
        <is>
          <t>Q2-W01</t>
        </is>
      </c>
      <c r="CG2192" t="inlineStr">
        <is>
          <t>Q2-W01</t>
        </is>
      </c>
      <c r="CH2192" t="inlineStr">
        <is>
          <t>Q2-W01</t>
        </is>
      </c>
      <c r="CI2192"/>
      <c r="CJ2192" t="inlineStr">
        <is>
          <t>Paid</t>
        </is>
      </c>
      <c r="CK2192" t="inlineStr">
        <is>
          <t>Not Eligible</t>
        </is>
      </c>
      <c r="CL2192"/>
      <c r="CM2192"/>
    </row>
    <row r="2193" ht="25.5" customHeight="1">
      <c r="A2193" t="inlineStr">
        <is>
          <t>189738</t>
        </is>
      </c>
      <c r="B2193" s="2"/>
      <c r="C2193"/>
      <c r="D2193" s="3">
        <v>46115.54561342593</v>
      </c>
      <c r="E2193" t="inlineStr">
        <is>
          <t>Q2-W01</t>
        </is>
      </c>
      <c r="F2193" t="inlineStr">
        <is>
          <t>Yuli</t>
        </is>
      </c>
      <c r="G2193" t="inlineStr">
        <is>
          <t>Customer</t>
        </is>
      </c>
      <c r="H2193" s="2" t="str">
        <f>=HYPERLINK("https://upbox.ajobthing.my/customer/189738", "https://upbox.ajobthing.my/customer/189738")</f>
        <v>https://upbox.ajobthing.my/customer/189738</v>
      </c>
      <c r="I2193" t="inlineStr">
        <is>
          <t>JP Centurion &amp; Partners PLT</t>
        </is>
      </c>
      <c r="J2193" t="inlineStr">
        <is>
          <t>Dolphin</t>
        </is>
      </c>
      <c r="K2193" t="inlineStr">
        <is>
          <t>YuLi</t>
        </is>
      </c>
      <c r="L2193" s="4"/>
      <c r="M2193" s="4">
        <v>46115.54646990741</v>
      </c>
      <c r="N2193"/>
      <c r="O2193">
        <v>5832</v>
      </c>
      <c r="P2193" s="4"/>
      <c r="Q2193" s="4">
        <v>45971.62332175926</v>
      </c>
      <c r="R2193"/>
      <c r="S2193">
        <v>0</v>
      </c>
      <c r="T2193" s="4">
        <v>45775.71450231481</v>
      </c>
      <c r="U2193" s="4"/>
      <c r="V2193"/>
      <c r="W2193">
        <v>2916</v>
      </c>
      <c r="X2193"/>
      <c r="Y2193" t="inlineStr">
        <is>
          <t>Pending Appointment</t>
        </is>
      </c>
      <c r="Z2193" t="inlineStr">
        <is>
          <t>Hiring Now</t>
        </is>
      </c>
      <c r="AA2193">
        <v>1</v>
      </c>
      <c r="AB2193" t="inlineStr">
        <is>
          <t>No Appointment Made</t>
        </is>
      </c>
      <c r="AC2193"/>
      <c r="AD2193" t="inlineStr">
        <is>
          <t>Auditor</t>
        </is>
      </c>
      <c r="AE2193"/>
      <c r="AF2193"/>
      <c r="AG2193" s="4"/>
      <c r="AH2193" s="4"/>
      <c r="AI2193"/>
      <c r="AJ2193"/>
      <c r="AK2193"/>
      <c r="AL2193"/>
      <c r="AM2193"/>
      <c r="AN2193"/>
      <c r="AO2193"/>
      <c r="AP2193"/>
      <c r="AQ2193"/>
      <c r="AR2193" t="inlineStr">
        <is>
          <t>Jobstreet</t>
        </is>
      </c>
      <c r="AS2193" t="inlineStr">
        <is>
          <t>- Headcount: 1
- Hiring Job Details: Auditor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
- Hiring Urgency: Hiring Now</t>
        </is>
      </c>
      <c r="AT2193">
        <v>65</v>
      </c>
      <c r="AU2193" t="inlineStr">
        <is>
          <t>0.65</t>
        </is>
      </c>
      <c r="AV2193" t="inlineStr">
        <is>
          <t>5</t>
        </is>
      </c>
      <c r="AW2193" t="inlineStr">
        <is>
          <t>0</t>
        </is>
      </c>
      <c r="AX2193" t="inlineStr">
        <is>
          <t>Not Qualified</t>
        </is>
      </c>
      <c r="AY2193" s="4"/>
      <c r="AZ2193"/>
      <c r="BA2193"/>
      <c r="BB2193"/>
      <c r="BC2193" t="inlineStr">
        <is>
          <t>called but no answered</t>
        </is>
      </c>
      <c r="BD2193" s="4">
        <v>46118.62017361111</v>
      </c>
      <c r="BE2193" t="inlineStr">
        <is>
          <t>paid</t>
        </is>
      </c>
      <c r="BF2193"/>
      <c r="BG2193" t="inlineStr">
        <is>
          <t>Reschedule</t>
        </is>
      </c>
      <c r="BH2193" t="inlineStr">
        <is>
          <t>Fauziah Maharan</t>
        </is>
      </c>
      <c r="BI2193" t="inlineStr">
        <is>
          <t>Accounting / Tax Services</t>
        </is>
      </c>
      <c r="BJ2193" s="4">
        <v>46144.75232638889</v>
      </c>
      <c r="BK2193" s="4">
        <v>45756.461481481485</v>
      </c>
      <c r="BL2193" t="inlineStr">
        <is>
          <t>2916.0</t>
        </is>
      </c>
      <c r="BM2193" t="inlineStr">
        <is>
          <t>1800.0</t>
        </is>
      </c>
      <c r="BN2193" t="inlineStr">
        <is>
          <t>View Jobmanager Page</t>
        </is>
      </c>
      <c r="BO2193" s="4">
        <v>46083.49891203704</v>
      </c>
      <c r="BP2193">
        <v>165170</v>
      </c>
      <c r="BQ2193">
        <v>111771</v>
      </c>
      <c r="BR2193" t="inlineStr">
        <is>
          <t>Proforma</t>
        </is>
      </c>
      <c r="BS2193" t="inlineStr">
        <is>
          <t>A La Carte AI Job Ad Free</t>
        </is>
      </c>
      <c r="BT2193">
        <v>78849</v>
      </c>
      <c r="BU2193"/>
      <c r="BV2193">
        <v>2686369</v>
      </c>
      <c r="BW2193" t="inlineStr">
        <is>
          <t>No Answer : Voicemail - WA sent to customer</t>
        </is>
      </c>
      <c r="BX2193"/>
      <c r="BY2193"/>
      <c r="BZ2193" s="4"/>
      <c r="CA2193"/>
      <c r="CB2193"/>
      <c r="CC2193" s="4"/>
      <c r="CD2193" t="inlineStr">
        <is>
          <t>5</t>
        </is>
      </c>
      <c r="CE2193" t="inlineStr">
        <is>
          <t>0</t>
        </is>
      </c>
      <c r="CF2193" t="inlineStr">
        <is>
          <t>Q2-W01</t>
        </is>
      </c>
      <c r="CG2193"/>
      <c r="CH2193"/>
      <c r="CI2193"/>
      <c r="CJ2193" t="inlineStr">
        <is>
          <t>Paid</t>
        </is>
      </c>
      <c r="CK2193" t="inlineStr">
        <is>
          <t>Not Eligible</t>
        </is>
      </c>
      <c r="CL2193"/>
      <c r="CM2193"/>
    </row>
    <row r="2194" ht="25.5" customHeight="1">
      <c r="A2194" t="inlineStr">
        <is>
          <t>202782</t>
        </is>
      </c>
      <c r="B2194" s="2"/>
      <c r="C2194"/>
      <c r="D2194" s="3">
        <v>46115.55642361111</v>
      </c>
      <c r="E2194" t="inlineStr">
        <is>
          <t>Q2-W01</t>
        </is>
      </c>
      <c r="F2194" t="inlineStr">
        <is>
          <t>Derek Lim</t>
        </is>
      </c>
      <c r="G2194" t="inlineStr">
        <is>
          <t>Customer</t>
        </is>
      </c>
      <c r="H2194" s="2" t="str">
        <f>=HYPERLINK("https://upbox.ajobthing.my/customer/202782", "https://upbox.ajobthing.my/customer/202782")</f>
        <v>https://upbox.ajobthing.my/customer/202782</v>
      </c>
      <c r="I2194" t="inlineStr">
        <is>
          <t>Teleoption Credit</t>
        </is>
      </c>
      <c r="J2194" t="inlineStr">
        <is>
          <t>Dolphin</t>
        </is>
      </c>
      <c r="K2194" t="inlineStr">
        <is>
          <t>Derek Lim</t>
        </is>
      </c>
      <c r="L2194" s="4"/>
      <c r="M2194" s="4">
        <v>46128.73780092593</v>
      </c>
      <c r="N2194"/>
      <c r="O2194">
        <v>3888</v>
      </c>
      <c r="P2194" s="4"/>
      <c r="Q2194" s="4"/>
      <c r="R2194"/>
      <c r="S2194"/>
      <c r="T2194" s="4"/>
      <c r="U2194" s="4"/>
      <c r="V2194"/>
      <c r="W2194"/>
      <c r="X2194"/>
      <c r="Y2194" t="inlineStr">
        <is>
          <t>Pending Appointment</t>
        </is>
      </c>
      <c r="Z2194" t="inlineStr">
        <is>
          <t>Hiring Now</t>
        </is>
      </c>
      <c r="AA2194">
        <v>3</v>
      </c>
      <c r="AB2194" t="inlineStr">
        <is>
          <t>No Appointment Made</t>
        </is>
      </c>
      <c r="AC2194"/>
      <c r="AD2194" t="inlineStr">
        <is>
          <t>Front desk - 1, sales executive - 2</t>
        </is>
      </c>
      <c r="AE2194"/>
      <c r="AF2194">
        <v>0</v>
      </c>
      <c r="AG2194" s="4"/>
      <c r="AH2194" s="4"/>
      <c r="AI2194">
        <v>0</v>
      </c>
      <c r="AJ2194">
        <v>1</v>
      </c>
      <c r="AK2194" t="inlineStr">
        <is>
          <t>No, I don't need at all</t>
        </is>
      </c>
      <c r="AL2194">
        <v>0</v>
      </c>
      <c r="AM2194" t="inlineStr">
        <is>
          <t>No, I don't need at all</t>
        </is>
      </c>
      <c r="AN2194"/>
      <c r="AO2194" t="inlineStr">
        <is>
          <t>No, I don't need at all</t>
        </is>
      </c>
      <c r="AP2194" t="inlineStr">
        <is>
          <t>Once a year (25%)</t>
        </is>
      </c>
      <c r="AQ2194">
        <v>3</v>
      </c>
      <c r="AR2194" t="inlineStr">
        <is>
          <t>Did not use any job portal</t>
        </is>
      </c>
      <c r="AS2194" t="inlineStr">
        <is>
          <t>- Headcount: 3
- Hiring Job Details: Front desk - 1, sales executive - 2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is>
      </c>
      <c r="AT2194">
        <v>110</v>
      </c>
      <c r="AU2194" t="inlineStr">
        <is>
          <t>1.10</t>
        </is>
      </c>
      <c r="AV2194" t="inlineStr">
        <is>
          <t>15</t>
        </is>
      </c>
      <c r="AW2194" t="inlineStr">
        <is>
          <t>0</t>
        </is>
      </c>
      <c r="AX2194" t="inlineStr">
        <is>
          <t>Not Qualified</t>
        </is>
      </c>
      <c r="AY2194" s="4"/>
      <c r="AZ2194"/>
      <c r="BA2194"/>
      <c r="BB2194"/>
      <c r="BC2194" t="inlineStr">
        <is>
          <t>BOSS MENTION KIV FOR NOW BECAUSE, HOLD FIRST THE PROJECT HAVENT WANT TO HIRE</t>
        </is>
      </c>
      <c r="BD2194" s="4">
        <v>46141.42592592593</v>
      </c>
      <c r="BE2194"/>
      <c r="BF2194"/>
      <c r="BG2194" t="inlineStr">
        <is>
          <t>Reschedule</t>
        </is>
      </c>
      <c r="BH2194" t="inlineStr">
        <is>
          <t>Edward Hoo</t>
        </is>
      </c>
      <c r="BI2194" t="inlineStr">
        <is>
          <t>Banking / Finance</t>
        </is>
      </c>
      <c r="BJ2194" s="4">
        <v>46144.75412037037</v>
      </c>
      <c r="BK2194" s="4">
        <v>46115.495092592595</v>
      </c>
      <c r="BL2194" t="inlineStr">
        <is>
          <t>0.0</t>
        </is>
      </c>
      <c r="BM2194" t="inlineStr">
        <is>
          <t>0.0</t>
        </is>
      </c>
      <c r="BN2194" t="inlineStr">
        <is>
          <t>View Company Page</t>
        </is>
      </c>
      <c r="BO2194" s="4">
        <v>46129.63443287037</v>
      </c>
      <c r="BP2194">
        <v>167507</v>
      </c>
      <c r="BQ2194"/>
      <c r="BR2194"/>
      <c r="BS2194"/>
      <c r="BT2194"/>
      <c r="BU2194"/>
      <c r="BV2194">
        <v>2734333</v>
      </c>
      <c r="BW2194" t="inlineStr">
        <is>
          <t>Follow Up : Budget Concern</t>
        </is>
      </c>
      <c r="BX2194"/>
      <c r="BY2194"/>
      <c r="BZ2194" s="4"/>
      <c r="CA2194"/>
      <c r="CB2194"/>
      <c r="CC2194" s="4"/>
      <c r="CD2194" t="inlineStr">
        <is>
          <t>20</t>
        </is>
      </c>
      <c r="CE2194" t="inlineStr">
        <is>
          <t>0</t>
        </is>
      </c>
      <c r="CF2194" t="inlineStr">
        <is>
          <t>Q2-W02</t>
        </is>
      </c>
      <c r="CG2194"/>
      <c r="CH2194"/>
      <c r="CI2194"/>
      <c r="CJ2194" t="inlineStr">
        <is>
          <t>No Paid</t>
        </is>
      </c>
      <c r="CK2194" t="inlineStr">
        <is>
          <t>Not Eligible</t>
        </is>
      </c>
      <c r="CL2194"/>
      <c r="CM2194"/>
    </row>
    <row r="2195" ht="25.5" customHeight="1">
      <c r="A2195" t="inlineStr">
        <is>
          <t>175523</t>
        </is>
      </c>
      <c r="B2195" s="2"/>
      <c r="C2195"/>
      <c r="D2195" s="3">
        <v>46115.564247685186</v>
      </c>
      <c r="E2195" t="inlineStr">
        <is>
          <t>Q2-W01</t>
        </is>
      </c>
      <c r="F2195" t="inlineStr">
        <is>
          <t>Luqman</t>
        </is>
      </c>
      <c r="G2195" t="inlineStr">
        <is>
          <t>Customer</t>
        </is>
      </c>
      <c r="H2195" s="2" t="str">
        <f>=HYPERLINK("https://upbox.ajobthing.my/customer/175523", "https://upbox.ajobthing.my/customer/175523")</f>
        <v>https://upbox.ajobthing.my/customer/175523</v>
      </c>
      <c r="I2195" t="inlineStr">
        <is>
          <t>Yilly Enterprise Sdn Bhd</t>
        </is>
      </c>
      <c r="J2195" t="inlineStr">
        <is>
          <t>Dolphin</t>
        </is>
      </c>
      <c r="K2195" t="inlineStr">
        <is>
          <t>Luqman</t>
        </is>
      </c>
      <c r="L2195" s="4"/>
      <c r="M2195" s="4">
        <v>46115.564421296294</v>
      </c>
      <c r="N2195"/>
      <c r="O2195">
        <v>1512</v>
      </c>
      <c r="P2195" s="4"/>
      <c r="Q2195" s="4">
        <v>46086.58449074074</v>
      </c>
      <c r="R2195"/>
      <c r="S2195">
        <v>0</v>
      </c>
      <c r="T2195" s="4"/>
      <c r="U2195" s="4"/>
      <c r="V2195"/>
      <c r="W2195"/>
      <c r="X2195"/>
      <c r="Y2195" t="inlineStr">
        <is>
          <t>Pending Appointment</t>
        </is>
      </c>
      <c r="Z2195" t="inlineStr">
        <is>
          <t>Hiring Later</t>
        </is>
      </c>
      <c r="AA2195">
        <v>1</v>
      </c>
      <c r="AB2195" t="inlineStr">
        <is>
          <t>No Appointment Made</t>
        </is>
      </c>
      <c r="AC2195"/>
      <c r="AD2195" t="inlineStr">
        <is>
          <t xml:space="preserve">1. Marketing Assistant </t>
        </is>
      </c>
      <c r="AE2195"/>
      <c r="AF2195">
        <v>1200</v>
      </c>
      <c r="AG2195" s="4"/>
      <c r="AH2195" s="4"/>
      <c r="AI2195">
        <v>1200</v>
      </c>
      <c r="AJ2195"/>
      <c r="AK2195"/>
      <c r="AL2195"/>
      <c r="AM2195"/>
      <c r="AN2195"/>
      <c r="AO2195"/>
      <c r="AP2195" t="inlineStr">
        <is>
          <t>Once a year (25%)</t>
        </is>
      </c>
      <c r="AQ2195">
        <v>1</v>
      </c>
      <c r="AR2195" t="inlineStr">
        <is>
          <t>Free Job Portal</t>
        </is>
      </c>
      <c r="AS2195" t="inlineStr">
        <is>
          <t>- Headcount: 1
- Hiring Job Details: 1 Marketing Assistant
- Hiring Urgency: Hiring Later
- Number of outlets: Not provided
- Have recruiter team: Not provided
- Number of recruiter in company: Not provided
- Have ATS system: Not provided
- Have career website: Not provided
- Current hiring budget: RM1,200
- Whole year budget: RM1,200.00
- Whole year number of vacancies: 1
- Hiring frequency: Once a year (25%)
- External job portal: Free Job Portal</t>
        </is>
      </c>
      <c r="AT2195">
        <v>110</v>
      </c>
      <c r="AU2195" t="inlineStr">
        <is>
          <t>1.10</t>
        </is>
      </c>
      <c r="AV2195" t="inlineStr">
        <is>
          <t>15</t>
        </is>
      </c>
      <c r="AW2195" t="inlineStr">
        <is>
          <t>0</t>
        </is>
      </c>
      <c r="AX2195" t="inlineStr">
        <is>
          <t>Not Qualified</t>
        </is>
      </c>
      <c r="AY2195" s="4"/>
      <c r="AZ2195"/>
      <c r="BA2195"/>
      <c r="BB2195"/>
      <c r="BC2195" t="inlineStr">
        <is>
          <t>- Headcount: 1
- Hiring Job Details: 1 Marketing Assistant
- Hiring Urgency: Hiring Later
- Number of outlets: Not provided
- Have recruiter team: Not provided
- Number of recruiter in company: Not provided
- Have ATS system: Not provided
- Have career website: Not provided
- Current hiring budget: RM1,200
- Whole year budget: RM1,200.00
- Whole year number of vacancies: 1
- Hiring frequency: Once a year (25%)
- External job portal: Free Job Portal</t>
        </is>
      </c>
      <c r="BD2195" s="4">
        <v>46115.58346064815</v>
      </c>
      <c r="BE2195" t="inlineStr">
        <is>
          <t>paid</t>
        </is>
      </c>
      <c r="BF2195"/>
      <c r="BG2195" t="inlineStr">
        <is>
          <t>Reschedule</t>
        </is>
      </c>
      <c r="BH2195" t="inlineStr">
        <is>
          <t>Edward Hoo</t>
        </is>
      </c>
      <c r="BI2195"/>
      <c r="BJ2195" s="4">
        <v>46144.751608796294</v>
      </c>
      <c r="BK2195" s="4">
        <v>45342.44561342592</v>
      </c>
      <c r="BL2195" t="inlineStr">
        <is>
          <t>0.0</t>
        </is>
      </c>
      <c r="BM2195" t="inlineStr">
        <is>
          <t>1200.0</t>
        </is>
      </c>
      <c r="BN2195" t="inlineStr">
        <is>
          <t>View Company Page</t>
        </is>
      </c>
      <c r="BO2195" s="4">
        <v>45342.445914351854</v>
      </c>
      <c r="BP2195">
        <v>165174</v>
      </c>
      <c r="BQ2195">
        <v>116055</v>
      </c>
      <c r="BR2195" t="inlineStr">
        <is>
          <t>Proforma</t>
        </is>
      </c>
      <c r="BS2195" t="inlineStr">
        <is>
          <t>Free Internship Job</t>
        </is>
      </c>
      <c r="BT2195"/>
      <c r="BU2195"/>
      <c r="BV2195">
        <v>2682849</v>
      </c>
      <c r="BW2195" t="inlineStr">
        <is>
          <t>Customer Inquiry</t>
        </is>
      </c>
      <c r="BX2195"/>
      <c r="BY2195"/>
      <c r="BZ2195" s="4"/>
      <c r="CA2195"/>
      <c r="CB2195"/>
      <c r="CC2195" s="4"/>
      <c r="CD2195" t="inlineStr">
        <is>
          <t>20</t>
        </is>
      </c>
      <c r="CE2195" t="inlineStr">
        <is>
          <t>0</t>
        </is>
      </c>
      <c r="CF2195" t="inlineStr">
        <is>
          <t>Q2-W01</t>
        </is>
      </c>
      <c r="CG2195" t="inlineStr">
        <is>
          <t>Q1-W09</t>
        </is>
      </c>
      <c r="CH2195"/>
      <c r="CI2195"/>
      <c r="CJ2195" t="inlineStr">
        <is>
          <t>No Paid</t>
        </is>
      </c>
      <c r="CK2195" t="inlineStr">
        <is>
          <t>Not Eligible</t>
        </is>
      </c>
      <c r="CL2195"/>
      <c r="CM2195"/>
    </row>
    <row r="2196" ht="25.5" customHeight="1">
      <c r="A2196" t="inlineStr">
        <is>
          <t>162755</t>
        </is>
      </c>
      <c r="B2196" s="2"/>
      <c r="C2196"/>
      <c r="D2196" s="3">
        <v>46115.58290509259</v>
      </c>
      <c r="E2196" t="inlineStr">
        <is>
          <t>Q2-W01</t>
        </is>
      </c>
      <c r="F2196" t="inlineStr">
        <is>
          <t>Evan</t>
        </is>
      </c>
      <c r="G2196" t="inlineStr">
        <is>
          <t>Customer</t>
        </is>
      </c>
      <c r="H2196" s="2" t="str">
        <f>=HYPERLINK("https://upbox.ajobthing.my/customer/162755", "https://upbox.ajobthing.my/customer/162755")</f>
        <v>https://upbox.ajobthing.my/customer/162755</v>
      </c>
      <c r="I2196" t="inlineStr">
        <is>
          <t>Ninetysix Media Production (M) Sdn Bhd</t>
        </is>
      </c>
      <c r="J2196" t="inlineStr">
        <is>
          <t>Dolphin</t>
        </is>
      </c>
      <c r="K2196" t="inlineStr">
        <is>
          <t>Evan</t>
        </is>
      </c>
      <c r="L2196" s="4"/>
      <c r="M2196" s="4">
        <v>46115.58118055556</v>
      </c>
      <c r="N2196"/>
      <c r="O2196">
        <v>3888</v>
      </c>
      <c r="P2196" s="4"/>
      <c r="Q2196" s="4">
        <v>46115.573379629626</v>
      </c>
      <c r="R2196"/>
      <c r="S2196">
        <v>0</v>
      </c>
      <c r="T2196" s="4">
        <v>44916.69263888889</v>
      </c>
      <c r="U2196" s="4"/>
      <c r="V2196"/>
      <c r="W2196">
        <v>1166</v>
      </c>
      <c r="X2196"/>
      <c r="Y2196" t="inlineStr">
        <is>
          <t>Pending Appointment</t>
        </is>
      </c>
      <c r="Z2196" t="inlineStr">
        <is>
          <t>Hiring Now</t>
        </is>
      </c>
      <c r="AA2196">
        <v>1</v>
      </c>
      <c r="AB2196" t="inlineStr">
        <is>
          <t>No Appointment Made</t>
        </is>
      </c>
      <c r="AC2196"/>
      <c r="AD2196" t="inlineStr">
        <is>
          <t>1 project exec, all base in KL</t>
        </is>
      </c>
      <c r="AE2196"/>
      <c r="AF2196">
        <v>1</v>
      </c>
      <c r="AG2196" s="4"/>
      <c r="AH2196" s="4"/>
      <c r="AI2196">
        <v>1</v>
      </c>
      <c r="AJ2196">
        <v>1</v>
      </c>
      <c r="AK2196" t="inlineStr">
        <is>
          <t>No, I don't need at all</t>
        </is>
      </c>
      <c r="AL2196">
        <v>0</v>
      </c>
      <c r="AM2196" t="inlineStr">
        <is>
          <t>No, I don't need at all</t>
        </is>
      </c>
      <c r="AN2196"/>
      <c r="AO2196" t="inlineStr">
        <is>
          <t>No, I don't need at all</t>
        </is>
      </c>
      <c r="AP2196" t="inlineStr">
        <is>
          <t>Once a year (25%)</t>
        </is>
      </c>
      <c r="AQ2196">
        <v>1</v>
      </c>
      <c r="AR2196" t="inlineStr">
        <is>
          <t>Did not use any job portal</t>
        </is>
      </c>
      <c r="AS2196" t="inlineStr">
        <is>
          <t>- Headcount: 1
- Hiring Job Details: 1 project exec,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2196">
        <v>115</v>
      </c>
      <c r="AU2196" t="inlineStr">
        <is>
          <t>1.15</t>
        </is>
      </c>
      <c r="AV2196" t="inlineStr">
        <is>
          <t>15</t>
        </is>
      </c>
      <c r="AW2196" t="inlineStr">
        <is>
          <t>0</t>
        </is>
      </c>
      <c r="AX2196" t="inlineStr">
        <is>
          <t>Not Qualified</t>
        </is>
      </c>
      <c r="AY2196" s="4"/>
      <c r="AZ2196"/>
      <c r="BA2196"/>
      <c r="BB2196"/>
      <c r="BC2196" t="inlineStr">
        <is>
          <t>- Headcount: 1
- Hiring Job Details: 1 project exec,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2196" s="4">
        <v>46115.58346064815</v>
      </c>
      <c r="BE2196" t="inlineStr">
        <is>
          <t>paid</t>
        </is>
      </c>
      <c r="BF2196"/>
      <c r="BG2196" t="inlineStr">
        <is>
          <t>Reschedule</t>
        </is>
      </c>
      <c r="BH2196" t="inlineStr">
        <is>
          <t>Edward Hoo</t>
        </is>
      </c>
      <c r="BI2196" t="inlineStr">
        <is>
          <t>Exhibitions / Event Mgmt</t>
        </is>
      </c>
      <c r="BJ2196" s="4">
        <v>46144.751180555555</v>
      </c>
      <c r="BK2196" s="4">
        <v>44903.624606481484</v>
      </c>
      <c r="BL2196" t="inlineStr">
        <is>
          <t>0.0</t>
        </is>
      </c>
      <c r="BM2196" t="inlineStr">
        <is>
          <t>0.0</t>
        </is>
      </c>
      <c r="BN2196" t="inlineStr">
        <is>
          <t>View Jobmanager Page</t>
        </is>
      </c>
      <c r="BO2196" s="4">
        <v>46115.57981481482</v>
      </c>
      <c r="BP2196">
        <v>165181</v>
      </c>
      <c r="BQ2196">
        <v>119861</v>
      </c>
      <c r="BR2196" t="inlineStr">
        <is>
          <t>Proforma</t>
        </is>
      </c>
      <c r="BS2196" t="inlineStr">
        <is>
          <t>Free Freelance Job</t>
        </is>
      </c>
      <c r="BT2196">
        <v>53884</v>
      </c>
      <c r="BU2196"/>
      <c r="BV2196">
        <v>2682854</v>
      </c>
      <c r="BW2196" t="inlineStr">
        <is>
          <t>Customer Inquiry</t>
        </is>
      </c>
      <c r="BX2196"/>
      <c r="BY2196"/>
      <c r="BZ2196" s="4"/>
      <c r="CA2196"/>
      <c r="CB2196"/>
      <c r="CC2196" s="4"/>
      <c r="CD2196" t="inlineStr">
        <is>
          <t>20</t>
        </is>
      </c>
      <c r="CE2196" t="inlineStr">
        <is>
          <t>0</t>
        </is>
      </c>
      <c r="CF2196" t="inlineStr">
        <is>
          <t>Q2-W01</t>
        </is>
      </c>
      <c r="CG2196" t="inlineStr">
        <is>
          <t>Q2-W01</t>
        </is>
      </c>
      <c r="CH2196"/>
      <c r="CI2196"/>
      <c r="CJ2196" t="inlineStr">
        <is>
          <t>Paid</t>
        </is>
      </c>
      <c r="CK2196" t="inlineStr">
        <is>
          <t>Not Eligible</t>
        </is>
      </c>
      <c r="CL2196"/>
      <c r="CM2196"/>
    </row>
    <row r="2197" ht="25.5" customHeight="1">
      <c r="A2197" t="inlineStr">
        <is>
          <t>142859</t>
        </is>
      </c>
      <c r="B2197" s="2"/>
      <c r="C2197"/>
      <c r="D2197" s="3">
        <v>46115.584652777776</v>
      </c>
      <c r="E2197" t="inlineStr">
        <is>
          <t>Q2-W01</t>
        </is>
      </c>
      <c r="F2197" t="inlineStr">
        <is>
          <t>Lucas</t>
        </is>
      </c>
      <c r="G2197" t="inlineStr">
        <is>
          <t>Customer</t>
        </is>
      </c>
      <c r="H2197" s="2" t="str">
        <f>=HYPERLINK("https://upbox.ajobthing.my/customer/142859", "https://upbox.ajobthing.my/customer/142859")</f>
        <v>https://upbox.ajobthing.my/customer/142859</v>
      </c>
      <c r="I2197" t="inlineStr">
        <is>
          <t>Pieces by Raeesa</t>
        </is>
      </c>
      <c r="J2197" t="inlineStr">
        <is>
          <t>Dolphin</t>
        </is>
      </c>
      <c r="K2197" t="inlineStr">
        <is>
          <t>Lucas</t>
        </is>
      </c>
      <c r="L2197" s="4"/>
      <c r="M2197" s="4">
        <v>46115.58423611111</v>
      </c>
      <c r="N2197"/>
      <c r="O2197">
        <v>3888</v>
      </c>
      <c r="P2197" s="4"/>
      <c r="Q2197" s="4"/>
      <c r="R2197"/>
      <c r="S2197"/>
      <c r="T2197" s="4"/>
      <c r="U2197" s="4"/>
      <c r="V2197"/>
      <c r="W2197"/>
      <c r="X2197"/>
      <c r="Y2197" t="inlineStr">
        <is>
          <t>Pending Appointment</t>
        </is>
      </c>
      <c r="Z2197" t="inlineStr">
        <is>
          <t>Hiring Now</t>
        </is>
      </c>
      <c r="AA2197">
        <v>3</v>
      </c>
      <c r="AB2197" t="inlineStr">
        <is>
          <t>No Appointment Made</t>
        </is>
      </c>
      <c r="AC2197"/>
      <c r="AD2197" t="inlineStr">
        <is>
          <t xml:space="preserve">1 admin cum account 
1 production 
1 tailor </t>
        </is>
      </c>
      <c r="AE2197"/>
      <c r="AF2197">
        <v>0</v>
      </c>
      <c r="AG2197" s="4"/>
      <c r="AH2197" s="4"/>
      <c r="AI2197">
        <v>0</v>
      </c>
      <c r="AJ2197">
        <v>0</v>
      </c>
      <c r="AK2197" t="inlineStr">
        <is>
          <t>No, I don't need at all</t>
        </is>
      </c>
      <c r="AL2197">
        <v>0</v>
      </c>
      <c r="AM2197" t="inlineStr">
        <is>
          <t>No, I don't need at all</t>
        </is>
      </c>
      <c r="AN2197"/>
      <c r="AO2197" t="inlineStr">
        <is>
          <t>No, I don't need at all</t>
        </is>
      </c>
      <c r="AP2197" t="inlineStr">
        <is>
          <t>Once a year (25%)</t>
        </is>
      </c>
      <c r="AQ2197">
        <v>3</v>
      </c>
      <c r="AR2197" t="inlineStr">
        <is>
          <t>Did not use any job portal</t>
        </is>
      </c>
      <c r="AS2197" t="inlineStr">
        <is>
          <t>- Headcount: 3
- Hiring Job Details: 1 admin cum account, 1 production, 1 tailor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is>
      </c>
      <c r="AT2197">
        <v>95</v>
      </c>
      <c r="AU2197" t="inlineStr">
        <is>
          <t>0.95</t>
        </is>
      </c>
      <c r="AV2197" t="inlineStr">
        <is>
          <t>15</t>
        </is>
      </c>
      <c r="AW2197" t="inlineStr">
        <is>
          <t>0</t>
        </is>
      </c>
      <c r="AX2197" t="inlineStr">
        <is>
          <t>Not Qualified</t>
        </is>
      </c>
      <c r="AY2197" s="4"/>
      <c r="AZ2197"/>
      <c r="BA2197"/>
      <c r="BB2197"/>
      <c r="BC2197" t="inlineStr">
        <is>
          <t>2call today (1m5s,15s), now got candidate , so on hold 1st</t>
        </is>
      </c>
      <c r="BD2197" s="4">
        <v>46126.60175925926</v>
      </c>
      <c r="BE2197"/>
      <c r="BF2197"/>
      <c r="BG2197" t="inlineStr">
        <is>
          <t>Reschedule</t>
        </is>
      </c>
      <c r="BH2197" t="inlineStr">
        <is>
          <t>Yee Hang</t>
        </is>
      </c>
      <c r="BI2197" t="inlineStr">
        <is>
          <t>Apparel</t>
        </is>
      </c>
      <c r="BJ2197" s="4">
        <v>46144.75069444445</v>
      </c>
      <c r="BK2197" s="4">
        <v>44496.45741898148</v>
      </c>
      <c r="BL2197" t="inlineStr">
        <is>
          <t>0.0</t>
        </is>
      </c>
      <c r="BM2197" t="inlineStr">
        <is>
          <t>0.0</t>
        </is>
      </c>
      <c r="BN2197" t="inlineStr">
        <is>
          <t>View Company Page</t>
        </is>
      </c>
      <c r="BO2197" s="4">
        <v>45065.50949074074</v>
      </c>
      <c r="BP2197">
        <v>165182</v>
      </c>
      <c r="BQ2197"/>
      <c r="BR2197"/>
      <c r="BS2197"/>
      <c r="BT2197"/>
      <c r="BU2197"/>
      <c r="BV2197">
        <v>2703636</v>
      </c>
      <c r="BW2197" t="inlineStr">
        <is>
          <t>Follow Up : Lost - Free Portal</t>
        </is>
      </c>
      <c r="BX2197"/>
      <c r="BY2197"/>
      <c r="BZ2197" s="4"/>
      <c r="CA2197"/>
      <c r="CB2197"/>
      <c r="CC2197" s="4"/>
      <c r="CD2197" t="inlineStr">
        <is>
          <t>20</t>
        </is>
      </c>
      <c r="CE2197" t="inlineStr">
        <is>
          <t>0</t>
        </is>
      </c>
      <c r="CF2197" t="inlineStr">
        <is>
          <t>Q2-W01</t>
        </is>
      </c>
      <c r="CG2197"/>
      <c r="CH2197"/>
      <c r="CI2197"/>
      <c r="CJ2197" t="inlineStr">
        <is>
          <t>No Paid</t>
        </is>
      </c>
      <c r="CK2197" t="inlineStr">
        <is>
          <t>Not Eligible</t>
        </is>
      </c>
      <c r="CL2197"/>
      <c r="CM2197"/>
    </row>
    <row r="2198" ht="25.5" customHeight="1">
      <c r="A2198" t="inlineStr">
        <is>
          <t>193694</t>
        </is>
      </c>
      <c r="B2198" s="2"/>
      <c r="C2198"/>
      <c r="D2198" s="3">
        <v>46115.589421296296</v>
      </c>
      <c r="E2198" t="inlineStr">
        <is>
          <t>Q2-W01</t>
        </is>
      </c>
      <c r="F2198" t="inlineStr">
        <is>
          <t>Keegan</t>
        </is>
      </c>
      <c r="G2198" t="inlineStr">
        <is>
          <t>Customer</t>
        </is>
      </c>
      <c r="H2198" s="2" t="str">
        <f>=HYPERLINK("https://upbox.ajobthing.my/customer/193694", "https://upbox.ajobthing.my/customer/193694")</f>
        <v>https://upbox.ajobthing.my/customer/193694</v>
      </c>
      <c r="I2198" t="inlineStr">
        <is>
          <t xml:space="preserve">Unismile Medic Sdn Bhd </t>
        </is>
      </c>
      <c r="J2198" t="inlineStr">
        <is>
          <t>Dolphin</t>
        </is>
      </c>
      <c r="K2198" t="inlineStr">
        <is>
          <t>Keegan</t>
        </is>
      </c>
      <c r="L2198" s="4"/>
      <c r="M2198" s="4">
        <v>46115.589525462965</v>
      </c>
      <c r="N2198"/>
      <c r="O2198">
        <v>3672</v>
      </c>
      <c r="P2198" s="4"/>
      <c r="Q2198" s="4">
        <v>46119.8771875</v>
      </c>
      <c r="R2198"/>
      <c r="S2198">
        <v>0</v>
      </c>
      <c r="T2198" s="4"/>
      <c r="U2198" s="4"/>
      <c r="V2198"/>
      <c r="W2198"/>
      <c r="X2198"/>
      <c r="Y2198" t="inlineStr">
        <is>
          <t>Pending Appointment</t>
        </is>
      </c>
      <c r="Z2198" t="inlineStr">
        <is>
          <t>Hiring Now</t>
        </is>
      </c>
      <c r="AA2198">
        <v>1</v>
      </c>
      <c r="AB2198" t="inlineStr">
        <is>
          <t>No Appointment Made</t>
        </is>
      </c>
      <c r="AC2198"/>
      <c r="AD2198" t="inlineStr">
        <is>
          <t xml:space="preserve">1. Clinic Assistant </t>
        </is>
      </c>
      <c r="AE2198"/>
      <c r="AF2198"/>
      <c r="AG2198" s="4"/>
      <c r="AH2198" s="4"/>
      <c r="AI2198"/>
      <c r="AJ2198">
        <v>1</v>
      </c>
      <c r="AK2198" t="inlineStr">
        <is>
          <t>No, I don't need at all</t>
        </is>
      </c>
      <c r="AL2198">
        <v>0</v>
      </c>
      <c r="AM2198" t="inlineStr">
        <is>
          <t>No, I don't need at all</t>
        </is>
      </c>
      <c r="AN2198"/>
      <c r="AO2198" t="inlineStr">
        <is>
          <t>No, I don't need at all</t>
        </is>
      </c>
      <c r="AP2198" t="inlineStr">
        <is>
          <t>Once per quarter (75%)</t>
        </is>
      </c>
      <c r="AQ2198"/>
      <c r="AR2198" t="inlineStr">
        <is>
          <t>Did not use any job portal</t>
        </is>
      </c>
      <c r="AS2198" t="inlineStr">
        <is>
          <t>- Headcount: 1
- Hiring Job Details: 1 Clinic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198">
        <v>95</v>
      </c>
      <c r="AU2198" t="inlineStr">
        <is>
          <t>0.95</t>
        </is>
      </c>
      <c r="AV2198" t="inlineStr">
        <is>
          <t>5</t>
        </is>
      </c>
      <c r="AW2198" t="inlineStr">
        <is>
          <t>0</t>
        </is>
      </c>
      <c r="AX2198" t="inlineStr">
        <is>
          <t>Not Qualified</t>
        </is>
      </c>
      <c r="AY2198" s="4"/>
      <c r="AZ2198"/>
      <c r="BA2198"/>
      <c r="BB2198"/>
      <c r="BC2198" t="inlineStr">
        <is>
          <t>Lost due to hiring postpone</t>
        </is>
      </c>
      <c r="BD2198" s="4">
        <v>46120.65798611111</v>
      </c>
      <c r="BE2198" t="inlineStr">
        <is>
          <t>paid</t>
        </is>
      </c>
      <c r="BF2198"/>
      <c r="BG2198" t="inlineStr">
        <is>
          <t>Reschedule</t>
        </is>
      </c>
      <c r="BH2198" t="inlineStr">
        <is>
          <t>Edward Hoo</t>
        </is>
      </c>
      <c r="BI2198" t="inlineStr">
        <is>
          <t>Healthcare / Medical</t>
        </is>
      </c>
      <c r="BJ2198" s="4">
        <v>46144.75263888889</v>
      </c>
      <c r="BK2198" s="4">
        <v>45851.71334490741</v>
      </c>
      <c r="BL2198" t="inlineStr">
        <is>
          <t>0.0</t>
        </is>
      </c>
      <c r="BM2198" t="inlineStr">
        <is>
          <t>1800.0</t>
        </is>
      </c>
      <c r="BN2198" t="inlineStr">
        <is>
          <t>View Create Job Page V4</t>
        </is>
      </c>
      <c r="BO2198" s="4">
        <v>46119.88612268519</v>
      </c>
      <c r="BP2198">
        <v>165185</v>
      </c>
      <c r="BQ2198">
        <v>120638</v>
      </c>
      <c r="BR2198" t="inlineStr">
        <is>
          <t>Proforma</t>
        </is>
      </c>
      <c r="BS2198" t="inlineStr">
        <is>
          <t>Free High Pay Job</t>
        </is>
      </c>
      <c r="BT2198"/>
      <c r="BU2198"/>
      <c r="BV2198">
        <v>2693222</v>
      </c>
      <c r="BW2198" t="inlineStr">
        <is>
          <t>Follow Up : Lost - Free Portal</t>
        </is>
      </c>
      <c r="BX2198"/>
      <c r="BY2198"/>
      <c r="BZ2198" s="4"/>
      <c r="CA2198"/>
      <c r="CB2198"/>
      <c r="CC2198" s="4"/>
      <c r="CD2198" t="inlineStr">
        <is>
          <t>5</t>
        </is>
      </c>
      <c r="CE2198" t="inlineStr">
        <is>
          <t>0</t>
        </is>
      </c>
      <c r="CF2198" t="inlineStr">
        <is>
          <t>Q2-W01</t>
        </is>
      </c>
      <c r="CG2198" t="inlineStr">
        <is>
          <t>Q2-W01</t>
        </is>
      </c>
      <c r="CH2198"/>
      <c r="CI2198"/>
      <c r="CJ2198" t="inlineStr">
        <is>
          <t>No Paid</t>
        </is>
      </c>
      <c r="CK2198" t="inlineStr">
        <is>
          <t>Not Eligible</t>
        </is>
      </c>
      <c r="CL2198"/>
      <c r="CM2198"/>
    </row>
    <row r="2199" ht="25.5" customHeight="1">
      <c r="A2199" t="inlineStr">
        <is>
          <t>202719</t>
        </is>
      </c>
      <c r="B2199" s="2"/>
      <c r="C2199"/>
      <c r="D2199" s="3">
        <v>46115.60824074074</v>
      </c>
      <c r="E2199" t="inlineStr">
        <is>
          <t>Q2-W01</t>
        </is>
      </c>
      <c r="F2199" t="inlineStr">
        <is>
          <t>Eugene</t>
        </is>
      </c>
      <c r="G2199" t="inlineStr">
        <is>
          <t>Customer</t>
        </is>
      </c>
      <c r="H2199" s="2" t="str">
        <f>=HYPERLINK("https://upbox.ajobthing.my/customer/202719", "https://upbox.ajobthing.my/customer/202719")</f>
        <v>https://upbox.ajobthing.my/customer/202719</v>
      </c>
      <c r="I2199" t="inlineStr">
        <is>
          <t>Bio-Pro Sales &amp; Services Sdn Bhd</t>
        </is>
      </c>
      <c r="J2199" t="inlineStr">
        <is>
          <t>Dolphin</t>
        </is>
      </c>
      <c r="K2199" t="inlineStr">
        <is>
          <t>Eugene</t>
        </is>
      </c>
      <c r="L2199" s="4"/>
      <c r="M2199" s="4">
        <v>46115.60903935185</v>
      </c>
      <c r="N2199"/>
      <c r="O2199">
        <v>3888</v>
      </c>
      <c r="P2199" s="4"/>
      <c r="Q2199" s="4"/>
      <c r="R2199"/>
      <c r="S2199"/>
      <c r="T2199" s="4"/>
      <c r="U2199" s="4"/>
      <c r="V2199"/>
      <c r="W2199"/>
      <c r="X2199"/>
      <c r="Y2199" t="inlineStr">
        <is>
          <t>Pending Appointment</t>
        </is>
      </c>
      <c r="Z2199" t="inlineStr">
        <is>
          <t>Hiring Now</t>
        </is>
      </c>
      <c r="AA2199">
        <v>3</v>
      </c>
      <c r="AB2199" t="inlineStr">
        <is>
          <t>No Appointment Made</t>
        </is>
      </c>
      <c r="AC2199"/>
      <c r="AD2199" t="inlineStr">
        <is>
          <t>2 account exec, 1 lorry driver, based in Klang</t>
        </is>
      </c>
      <c r="AE2199"/>
      <c r="AF2199">
        <v>3000</v>
      </c>
      <c r="AG2199" s="4"/>
      <c r="AH2199" s="4"/>
      <c r="AI2199">
        <v>3000</v>
      </c>
      <c r="AJ2199">
        <v>1</v>
      </c>
      <c r="AK2199" t="inlineStr">
        <is>
          <t>No, I don't need at all</t>
        </is>
      </c>
      <c r="AL2199">
        <v>0</v>
      </c>
      <c r="AM2199" t="inlineStr">
        <is>
          <t>No, but I want in future</t>
        </is>
      </c>
      <c r="AN2199"/>
      <c r="AO2199" t="inlineStr">
        <is>
          <t>No, I don't need at all</t>
        </is>
      </c>
      <c r="AP2199" t="inlineStr">
        <is>
          <t>Twice a year (50%)</t>
        </is>
      </c>
      <c r="AQ2199">
        <v>4</v>
      </c>
      <c r="AR2199" t="inlineStr">
        <is>
          <t>Did not use any job portal</t>
        </is>
      </c>
      <c r="AS2199" t="inlineStr">
        <is>
          <t>- Headcount: 3
- Hiring Job Details: 2 account exec, 1 lorry driver, based in Klang
- Hiring Urgency: Hiring Now
- Number of outlets: 1
- Have recruiter team: No, I don't need at all
- Number of recruiter in company: 0
- Have ATS system: No, but I want in future
- Have career website: No, I don't need at all
- Current hiring budget: RM3,000
- Whole year budget: RM3,000.00
- Whole year number of vacancies: 4
- Hiring frequency: Twice a year (50%)
- External job portal: Did not use any job portal</t>
        </is>
      </c>
      <c r="AT2199">
        <v>110</v>
      </c>
      <c r="AU2199" t="inlineStr">
        <is>
          <t>1.10</t>
        </is>
      </c>
      <c r="AV2199" t="inlineStr">
        <is>
          <t>15</t>
        </is>
      </c>
      <c r="AW2199" t="inlineStr">
        <is>
          <t>0</t>
        </is>
      </c>
      <c r="AX2199" t="inlineStr">
        <is>
          <t>Not Qualified</t>
        </is>
      </c>
      <c r="AY2199" s="4"/>
      <c r="AZ2199"/>
      <c r="BA2199"/>
      <c r="BB2199"/>
      <c r="BC2199" t="inlineStr">
        <is>
          <t>managed to hire - referral</t>
        </is>
      </c>
      <c r="BD2199" s="4">
        <v>46135.69237268518</v>
      </c>
      <c r="BE2199"/>
      <c r="BF2199"/>
      <c r="BG2199" t="inlineStr">
        <is>
          <t>Reschedule</t>
        </is>
      </c>
      <c r="BH2199" t="inlineStr">
        <is>
          <t>Edward Hoo</t>
        </is>
      </c>
      <c r="BI2199"/>
      <c r="BJ2199" s="4">
        <v>46144.75409722222</v>
      </c>
      <c r="BK2199" s="4">
        <v>46114.42974537037</v>
      </c>
      <c r="BL2199" t="inlineStr">
        <is>
          <t>0.0</t>
        </is>
      </c>
      <c r="BM2199" t="inlineStr">
        <is>
          <t>0.0</t>
        </is>
      </c>
      <c r="BN2199" t="inlineStr">
        <is>
          <t>View Company Page</t>
        </is>
      </c>
      <c r="BO2199" s="4">
        <v>46114.43</v>
      </c>
      <c r="BP2199">
        <v>165191</v>
      </c>
      <c r="BQ2199"/>
      <c r="BR2199"/>
      <c r="BS2199"/>
      <c r="BT2199"/>
      <c r="BU2199"/>
      <c r="BV2199">
        <v>2724824</v>
      </c>
      <c r="BW2199" t="inlineStr">
        <is>
          <t>Follow Up : Lost - Free Portal</t>
        </is>
      </c>
      <c r="BX2199"/>
      <c r="BY2199"/>
      <c r="BZ2199" s="4"/>
      <c r="CA2199"/>
      <c r="CB2199"/>
      <c r="CC2199" s="4"/>
      <c r="CD2199" t="inlineStr">
        <is>
          <t>20</t>
        </is>
      </c>
      <c r="CE2199" t="inlineStr">
        <is>
          <t>0</t>
        </is>
      </c>
      <c r="CF2199" t="inlineStr">
        <is>
          <t>Q2-W01</t>
        </is>
      </c>
      <c r="CG2199"/>
      <c r="CH2199"/>
      <c r="CI2199"/>
      <c r="CJ2199" t="inlineStr">
        <is>
          <t>No Paid</t>
        </is>
      </c>
      <c r="CK2199" t="inlineStr">
        <is>
          <t>Not Eligible</t>
        </is>
      </c>
      <c r="CL2199"/>
      <c r="CM2199"/>
    </row>
    <row r="2200" ht="25.5" customHeight="1">
      <c r="A2200" t="inlineStr">
        <is>
          <t>180514</t>
        </is>
      </c>
      <c r="B2200" s="2"/>
      <c r="C2200"/>
      <c r="D2200" s="3">
        <v>46115.6153587963</v>
      </c>
      <c r="E2200" t="inlineStr">
        <is>
          <t>Q2-W01</t>
        </is>
      </c>
      <c r="F2200" t="inlineStr">
        <is>
          <t>Josh</t>
        </is>
      </c>
      <c r="G2200" t="inlineStr">
        <is>
          <t>Customer</t>
        </is>
      </c>
      <c r="H2200" s="2" t="str">
        <f>=HYPERLINK("https://upbox.ajobthing.my/customer/180514", "https://upbox.ajobthing.my/customer/180514")</f>
        <v>https://upbox.ajobthing.my/customer/180514</v>
      </c>
      <c r="I2200" t="inlineStr">
        <is>
          <t>Electa Equipment (M) Sdn Bhd</t>
        </is>
      </c>
      <c r="J2200" t="inlineStr">
        <is>
          <t>Dolphin</t>
        </is>
      </c>
      <c r="K2200" t="inlineStr">
        <is>
          <t>Josh</t>
        </is>
      </c>
      <c r="L2200" s="4"/>
      <c r="M2200" s="4">
        <v>46115.61351851852</v>
      </c>
      <c r="N2200"/>
      <c r="O2200">
        <v>1728</v>
      </c>
      <c r="P2200" s="4"/>
      <c r="Q2200" s="4">
        <v>45870.63501157407</v>
      </c>
      <c r="R2200"/>
      <c r="S2200">
        <v>324</v>
      </c>
      <c r="T2200" s="4">
        <v>45870.63501157407</v>
      </c>
      <c r="U2200" s="4"/>
      <c r="V2200"/>
      <c r="W2200">
        <v>324</v>
      </c>
      <c r="X2200"/>
      <c r="Y2200" t="inlineStr">
        <is>
          <t>Pending Appointment</t>
        </is>
      </c>
      <c r="Z2200" t="inlineStr">
        <is>
          <t>Hiring Now</t>
        </is>
      </c>
      <c r="AA2200">
        <v>1</v>
      </c>
      <c r="AB2200" t="inlineStr">
        <is>
          <t>No Appointment Made</t>
        </is>
      </c>
      <c r="AC2200"/>
      <c r="AD2200" t="inlineStr">
        <is>
          <t xml:space="preserve">1 sales coordinator </t>
        </is>
      </c>
      <c r="AE2200"/>
      <c r="AF2200">
        <v>1000</v>
      </c>
      <c r="AG2200" s="4"/>
      <c r="AH2200" s="4"/>
      <c r="AI2200"/>
      <c r="AJ2200"/>
      <c r="AK2200" t="inlineStr">
        <is>
          <t>Yes, I have</t>
        </is>
      </c>
      <c r="AL2200">
        <v>1</v>
      </c>
      <c r="AM2200"/>
      <c r="AN2200"/>
      <c r="AO2200"/>
      <c r="AP2200" t="inlineStr">
        <is>
          <t>Once a year (25%)</t>
        </is>
      </c>
      <c r="AQ2200"/>
      <c r="AR2200"/>
      <c r="AS2200" t="inlineStr">
        <is>
          <t>- Headcount: 1
- Hiring Job Details: 1 sales coordinator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is>
      </c>
      <c r="AT2200">
        <v>95</v>
      </c>
      <c r="AU2200" t="inlineStr">
        <is>
          <t>0.95</t>
        </is>
      </c>
      <c r="AV2200" t="inlineStr">
        <is>
          <t>15</t>
        </is>
      </c>
      <c r="AW2200" t="inlineStr">
        <is>
          <t>0</t>
        </is>
      </c>
      <c r="AX2200" t="inlineStr">
        <is>
          <t>Not Qualified</t>
        </is>
      </c>
      <c r="AY2200" s="4"/>
      <c r="AZ2200"/>
      <c r="BA2200"/>
      <c r="BB2200"/>
      <c r="BC2200" t="inlineStr">
        <is>
          <t>will update within monday or tuesday</t>
        </is>
      </c>
      <c r="BD2200" s="4">
        <v>46122.69877314815</v>
      </c>
      <c r="BE2200" t="inlineStr">
        <is>
          <t>paid</t>
        </is>
      </c>
      <c r="BF2200"/>
      <c r="BG2200" t="inlineStr">
        <is>
          <t>Reschedule</t>
        </is>
      </c>
      <c r="BH2200" t="inlineStr">
        <is>
          <t>Fauziah Maharan</t>
        </is>
      </c>
      <c r="BI2200"/>
      <c r="BJ2200" s="4">
        <v>46144.75184027778</v>
      </c>
      <c r="BK2200" s="4">
        <v>45488.41857638889</v>
      </c>
      <c r="BL2200" t="inlineStr">
        <is>
          <t>324.0</t>
        </is>
      </c>
      <c r="BM2200" t="inlineStr">
        <is>
          <t>1200.0</t>
        </is>
      </c>
      <c r="BN2200" t="inlineStr">
        <is>
          <t>PA Email CTA Click</t>
        </is>
      </c>
      <c r="BO2200" s="4">
        <v>46084.600636574076</v>
      </c>
      <c r="BP2200">
        <v>165192</v>
      </c>
      <c r="BQ2200">
        <v>81225</v>
      </c>
      <c r="BR2200" t="inlineStr">
        <is>
          <t>Online</t>
        </is>
      </c>
      <c r="BS2200"/>
      <c r="BT2200">
        <v>81225</v>
      </c>
      <c r="BU2200"/>
      <c r="BV2200">
        <v>2698891</v>
      </c>
      <c r="BW2200" t="inlineStr">
        <is>
          <t>Follow Up : Decision Pending</t>
        </is>
      </c>
      <c r="BX2200"/>
      <c r="BY2200"/>
      <c r="BZ2200" s="4"/>
      <c r="CA2200"/>
      <c r="CB2200"/>
      <c r="CC2200" s="4"/>
      <c r="CD2200" t="inlineStr">
        <is>
          <t>20</t>
        </is>
      </c>
      <c r="CE2200" t="inlineStr">
        <is>
          <t>0</t>
        </is>
      </c>
      <c r="CF2200" t="inlineStr">
        <is>
          <t>Q2-W01</t>
        </is>
      </c>
      <c r="CG2200"/>
      <c r="CH2200"/>
      <c r="CI2200"/>
      <c r="CJ2200" t="inlineStr">
        <is>
          <t>Paid</t>
        </is>
      </c>
      <c r="CK2200" t="inlineStr">
        <is>
          <t>Not Eligible</t>
        </is>
      </c>
      <c r="CL2200"/>
      <c r="CM2200"/>
    </row>
    <row r="2201" ht="25.5" customHeight="1">
      <c r="A2201" t="inlineStr">
        <is>
          <t>202719</t>
        </is>
      </c>
      <c r="B2201" s="2"/>
      <c r="C2201"/>
      <c r="D2201" s="3">
        <v>46115.61701388889</v>
      </c>
      <c r="E2201" t="inlineStr">
        <is>
          <t>Q2-W01</t>
        </is>
      </c>
      <c r="F2201" t="inlineStr">
        <is>
          <t>Eugene</t>
        </is>
      </c>
      <c r="G2201" t="inlineStr">
        <is>
          <t>Customer</t>
        </is>
      </c>
      <c r="H2201" s="2" t="str">
        <f>=HYPERLINK("https://upbox.ajobthing.my/customer/202719", "https://upbox.ajobthing.my/customer/202719")</f>
        <v>https://upbox.ajobthing.my/customer/202719</v>
      </c>
      <c r="I2201" t="inlineStr">
        <is>
          <t>Bio-Pro Sales &amp; Services Sdn Bhd</t>
        </is>
      </c>
      <c r="J2201" t="inlineStr">
        <is>
          <t>Dolphin</t>
        </is>
      </c>
      <c r="K2201" t="inlineStr">
        <is>
          <t>Eugene</t>
        </is>
      </c>
      <c r="L2201" s="4"/>
      <c r="M2201" s="4">
        <v>46115.60903935185</v>
      </c>
      <c r="N2201"/>
      <c r="O2201">
        <v>3888</v>
      </c>
      <c r="P2201" s="4"/>
      <c r="Q2201" s="4"/>
      <c r="R2201"/>
      <c r="S2201"/>
      <c r="T2201" s="4"/>
      <c r="U2201" s="4"/>
      <c r="V2201"/>
      <c r="W2201"/>
      <c r="X2201"/>
      <c r="Y2201" t="inlineStr">
        <is>
          <t>Pending Appointment</t>
        </is>
      </c>
      <c r="Z2201" t="inlineStr">
        <is>
          <t>Hiring Now</t>
        </is>
      </c>
      <c r="AA2201">
        <v>3</v>
      </c>
      <c r="AB2201" t="inlineStr">
        <is>
          <t>No Appointment Made</t>
        </is>
      </c>
      <c r="AC2201"/>
      <c r="AD2201" t="inlineStr">
        <is>
          <t>2 account exec, 1 lorry driver, based in klang</t>
        </is>
      </c>
      <c r="AE2201"/>
      <c r="AF2201">
        <v>3000</v>
      </c>
      <c r="AG2201" s="4"/>
      <c r="AH2201" s="4"/>
      <c r="AI2201">
        <v>3000</v>
      </c>
      <c r="AJ2201">
        <v>1</v>
      </c>
      <c r="AK2201" t="inlineStr">
        <is>
          <t>No, I don't need at all</t>
        </is>
      </c>
      <c r="AL2201">
        <v>0</v>
      </c>
      <c r="AM2201" t="inlineStr">
        <is>
          <t>No, I don't need at all</t>
        </is>
      </c>
      <c r="AN2201"/>
      <c r="AO2201" t="inlineStr">
        <is>
          <t>No, I don't need at all</t>
        </is>
      </c>
      <c r="AP2201" t="inlineStr">
        <is>
          <t>Twice a year (50%)</t>
        </is>
      </c>
      <c r="AQ2201">
        <v>4</v>
      </c>
      <c r="AR2201" t="inlineStr">
        <is>
          <t>Did not use any job portal</t>
        </is>
      </c>
      <c r="AS2201" t="inlineStr">
        <is>
          <t>- Headcount: 3
- Hiring Job Details: 2 account exec, 1 lorry driver, based in klang
- Hiring Urgency: Hiring Now
- Number of outlets: 1
- Have recruiter team: No, I don't need at all
- Number of recruiter in company: 0
- Have ATS system: No, I don't need at all
- Have career website: No, I don't need at all
- Current hiring budget: RM3,000
- Whole year budget: RM3,000.00
- Whole year number of vacancies: 4
- Hiring frequency: Twice a year (50%)
- External job portal: Did not use any job portal</t>
        </is>
      </c>
      <c r="AT2201">
        <v>115</v>
      </c>
      <c r="AU2201" t="inlineStr">
        <is>
          <t>1.15</t>
        </is>
      </c>
      <c r="AV2201" t="inlineStr">
        <is>
          <t>15</t>
        </is>
      </c>
      <c r="AW2201" t="inlineStr">
        <is>
          <t>0</t>
        </is>
      </c>
      <c r="AX2201" t="inlineStr">
        <is>
          <t>Not Qualified</t>
        </is>
      </c>
      <c r="AY2201" s="4"/>
      <c r="AZ2201"/>
      <c r="BA2201"/>
      <c r="BB2201"/>
      <c r="BC2201" t="inlineStr">
        <is>
          <t>managed to hire - referral</t>
        </is>
      </c>
      <c r="BD2201" s="4">
        <v>46135.69237268518</v>
      </c>
      <c r="BE2201"/>
      <c r="BF2201"/>
      <c r="BG2201" t="inlineStr">
        <is>
          <t>Reschedule</t>
        </is>
      </c>
      <c r="BH2201" t="inlineStr">
        <is>
          <t>Edward Hoo</t>
        </is>
      </c>
      <c r="BI2201"/>
      <c r="BJ2201" s="4">
        <v>46144.75409722222</v>
      </c>
      <c r="BK2201" s="4">
        <v>46114.42974537037</v>
      </c>
      <c r="BL2201" t="inlineStr">
        <is>
          <t>0.0</t>
        </is>
      </c>
      <c r="BM2201" t="inlineStr">
        <is>
          <t>0.0</t>
        </is>
      </c>
      <c r="BN2201" t="inlineStr">
        <is>
          <t>View Company Page</t>
        </is>
      </c>
      <c r="BO2201" s="4">
        <v>46114.43</v>
      </c>
      <c r="BP2201">
        <v>165191</v>
      </c>
      <c r="BQ2201"/>
      <c r="BR2201"/>
      <c r="BS2201"/>
      <c r="BT2201"/>
      <c r="BU2201"/>
      <c r="BV2201">
        <v>2724824</v>
      </c>
      <c r="BW2201" t="inlineStr">
        <is>
          <t>Follow Up : Lost - Free Portal</t>
        </is>
      </c>
      <c r="BX2201"/>
      <c r="BY2201"/>
      <c r="BZ2201" s="4"/>
      <c r="CA2201"/>
      <c r="CB2201"/>
      <c r="CC2201" s="4"/>
      <c r="CD2201" t="inlineStr">
        <is>
          <t>20</t>
        </is>
      </c>
      <c r="CE2201" t="inlineStr">
        <is>
          <t>0</t>
        </is>
      </c>
      <c r="CF2201" t="inlineStr">
        <is>
          <t>Q2-W01</t>
        </is>
      </c>
      <c r="CG2201"/>
      <c r="CH2201"/>
      <c r="CI2201"/>
      <c r="CJ2201" t="inlineStr">
        <is>
          <t>No Paid</t>
        </is>
      </c>
      <c r="CK2201" t="inlineStr">
        <is>
          <t>Not Eligible</t>
        </is>
      </c>
      <c r="CL2201"/>
      <c r="CM2201"/>
    </row>
    <row r="2202" ht="25.5" customHeight="1">
      <c r="A2202" t="inlineStr">
        <is>
          <t>199115</t>
        </is>
      </c>
      <c r="B2202" s="2"/>
      <c r="C2202"/>
      <c r="D2202" s="3">
        <v>46115.62881944444</v>
      </c>
      <c r="E2202" t="inlineStr">
        <is>
          <t>Q2-W01</t>
        </is>
      </c>
      <c r="F2202" t="inlineStr">
        <is>
          <t>Chia Yee</t>
        </is>
      </c>
      <c r="G2202" t="inlineStr">
        <is>
          <t>Customer</t>
        </is>
      </c>
      <c r="H2202" s="2" t="str">
        <f>=HYPERLINK("https://upbox.ajobthing.my/customer/199115", "https://upbox.ajobthing.my/customer/199115")</f>
        <v>https://upbox.ajobthing.my/customer/199115</v>
      </c>
      <c r="I2202" t="inlineStr">
        <is>
          <t>M Gadget Sdn Bhd</t>
        </is>
      </c>
      <c r="J2202" t="inlineStr">
        <is>
          <t>Dolphin</t>
        </is>
      </c>
      <c r="K2202" t="inlineStr">
        <is>
          <t>Chia Yee</t>
        </is>
      </c>
      <c r="L2202" s="4"/>
      <c r="M2202" s="4">
        <v>46128.4165625</v>
      </c>
      <c r="N2202"/>
      <c r="O2202">
        <v>5508</v>
      </c>
      <c r="P2202" s="4"/>
      <c r="Q2202" s="4"/>
      <c r="R2202"/>
      <c r="S2202"/>
      <c r="T2202" s="4"/>
      <c r="U2202" s="4"/>
      <c r="V2202"/>
      <c r="W2202"/>
      <c r="X2202"/>
      <c r="Y2202" t="inlineStr">
        <is>
          <t>Pending Appointment</t>
        </is>
      </c>
      <c r="Z2202" t="inlineStr">
        <is>
          <t>Hiring Now</t>
        </is>
      </c>
      <c r="AA2202">
        <v>2</v>
      </c>
      <c r="AB2202" t="inlineStr">
        <is>
          <t>No Appointment Made</t>
        </is>
      </c>
      <c r="AC2202"/>
      <c r="AD2202" t="inlineStr">
        <is>
          <t>sales, warehouse</t>
        </is>
      </c>
      <c r="AE2202"/>
      <c r="AF2202">
        <v>0</v>
      </c>
      <c r="AG2202" s="4"/>
      <c r="AH2202" s="4"/>
      <c r="AI2202">
        <v>0</v>
      </c>
      <c r="AJ2202">
        <v>1</v>
      </c>
      <c r="AK2202" t="inlineStr">
        <is>
          <t>No, I don't need at all</t>
        </is>
      </c>
      <c r="AL2202">
        <v>1</v>
      </c>
      <c r="AM2202" t="inlineStr">
        <is>
          <t>No, I don't need at all</t>
        </is>
      </c>
      <c r="AN2202"/>
      <c r="AO2202" t="inlineStr">
        <is>
          <t>No, I don't need at all</t>
        </is>
      </c>
      <c r="AP2202" t="inlineStr">
        <is>
          <t>Twice a year (50%)</t>
        </is>
      </c>
      <c r="AQ2202">
        <v>10</v>
      </c>
      <c r="AR2202" t="inlineStr">
        <is>
          <t>Did not use any job portal</t>
        </is>
      </c>
      <c r="AS2202" t="inlineStr">
        <is>
          <t>- Headcount: 2
- Hiring Job Details: sales, warehouse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10
- Hiring frequency: Twice a year (50%)
- External job portal: Did not use any job portal</t>
        </is>
      </c>
      <c r="AT2202">
        <v>75</v>
      </c>
      <c r="AU2202" t="inlineStr">
        <is>
          <t>0.75</t>
        </is>
      </c>
      <c r="AV2202" t="inlineStr">
        <is>
          <t>15</t>
        </is>
      </c>
      <c r="AW2202" t="inlineStr">
        <is>
          <t>0</t>
        </is>
      </c>
      <c r="AX2202" t="inlineStr">
        <is>
          <t>Not Qualified</t>
        </is>
      </c>
      <c r="AY2202" s="4"/>
      <c r="AZ2202"/>
      <c r="BA2202"/>
      <c r="BB2202"/>
      <c r="BC2202" t="inlineStr">
        <is>
          <t>Called, not proceed atm. Budget</t>
        </is>
      </c>
      <c r="BD2202" s="4">
        <v>46133.63623842593</v>
      </c>
      <c r="BE2202"/>
      <c r="BF2202"/>
      <c r="BG2202" t="inlineStr">
        <is>
          <t>Reschedule</t>
        </is>
      </c>
      <c r="BH2202" t="inlineStr">
        <is>
          <t>Reagen</t>
        </is>
      </c>
      <c r="BI2202"/>
      <c r="BJ2202" s="4">
        <v>46144.75325231482</v>
      </c>
      <c r="BK2202" s="4">
        <v>45997.671261574076</v>
      </c>
      <c r="BL2202" t="inlineStr">
        <is>
          <t>0.0</t>
        </is>
      </c>
      <c r="BM2202" t="inlineStr">
        <is>
          <t>2700.0</t>
        </is>
      </c>
      <c r="BN2202" t="inlineStr">
        <is>
          <t>View Jobmanager Page</t>
        </is>
      </c>
      <c r="BO2202" s="4">
        <v>45997.68821759259</v>
      </c>
      <c r="BP2202">
        <v>167293</v>
      </c>
      <c r="BQ2202"/>
      <c r="BR2202"/>
      <c r="BS2202"/>
      <c r="BT2202"/>
      <c r="BU2202"/>
      <c r="BV2202">
        <v>2718479</v>
      </c>
      <c r="BW2202" t="inlineStr">
        <is>
          <t>Follow Up : Budget Concern</t>
        </is>
      </c>
      <c r="BX2202"/>
      <c r="BY2202"/>
      <c r="BZ2202" s="4"/>
      <c r="CA2202"/>
      <c r="CB2202"/>
      <c r="CC2202" s="4"/>
      <c r="CD2202" t="inlineStr">
        <is>
          <t>20</t>
        </is>
      </c>
      <c r="CE2202" t="inlineStr">
        <is>
          <t>0</t>
        </is>
      </c>
      <c r="CF2202" t="inlineStr">
        <is>
          <t>Q2-W02</t>
        </is>
      </c>
      <c r="CG2202"/>
      <c r="CH2202"/>
      <c r="CI2202"/>
      <c r="CJ2202" t="inlineStr">
        <is>
          <t>No Paid</t>
        </is>
      </c>
      <c r="CK2202" t="inlineStr">
        <is>
          <t>Not Eligible</t>
        </is>
      </c>
      <c r="CL2202"/>
      <c r="CM2202"/>
    </row>
    <row r="2203" ht="25.5" customHeight="1">
      <c r="A2203" t="inlineStr">
        <is>
          <t>193846</t>
        </is>
      </c>
      <c r="B2203" s="2"/>
      <c r="C2203"/>
      <c r="D2203" s="3">
        <v>46115.63857638889</v>
      </c>
      <c r="E2203" t="inlineStr">
        <is>
          <t>Q2-W01</t>
        </is>
      </c>
      <c r="F2203" t="inlineStr">
        <is>
          <t>Derek Lim</t>
        </is>
      </c>
      <c r="G2203" t="inlineStr">
        <is>
          <t>Customer</t>
        </is>
      </c>
      <c r="H2203" s="2" t="str">
        <f>=HYPERLINK("https://upbox.ajobthing.my/customer/193846", "https://upbox.ajobthing.my/customer/193846")</f>
        <v>https://upbox.ajobthing.my/customer/193846</v>
      </c>
      <c r="I2203" t="inlineStr">
        <is>
          <t xml:space="preserve">Mun Hean Sdn Bhd </t>
        </is>
      </c>
      <c r="J2203" t="inlineStr">
        <is>
          <t>Dolphin</t>
        </is>
      </c>
      <c r="K2203" t="inlineStr">
        <is>
          <t>Derek Lim</t>
        </is>
      </c>
      <c r="L2203" s="4"/>
      <c r="M2203" s="4">
        <v>46115.638819444444</v>
      </c>
      <c r="N2203"/>
      <c r="O2203">
        <v>6048</v>
      </c>
      <c r="P2203" s="4"/>
      <c r="Q2203" s="4"/>
      <c r="R2203"/>
      <c r="S2203"/>
      <c r="T2203" s="4"/>
      <c r="U2203" s="4"/>
      <c r="V2203"/>
      <c r="W2203"/>
      <c r="X2203"/>
      <c r="Y2203" t="inlineStr">
        <is>
          <t>Pending Appointment</t>
        </is>
      </c>
      <c r="Z2203" t="inlineStr">
        <is>
          <t>Hiring Now</t>
        </is>
      </c>
      <c r="AA2203">
        <v>5</v>
      </c>
      <c r="AB2203" t="inlineStr">
        <is>
          <t>No Appointment Made</t>
        </is>
      </c>
      <c r="AC2203"/>
      <c r="AD2203" t="inlineStr">
        <is>
          <t>senior account executive - 1, electrical wireman - 1, site supervisor - 1, sales engineer - 1, bd - 1</t>
        </is>
      </c>
      <c r="AE2203"/>
      <c r="AF2203">
        <v>1000</v>
      </c>
      <c r="AG2203" s="4"/>
      <c r="AH2203" s="4"/>
      <c r="AI2203">
        <v>2000</v>
      </c>
      <c r="AJ2203">
        <v>1</v>
      </c>
      <c r="AK2203" t="inlineStr">
        <is>
          <t>No, I don't need at all</t>
        </is>
      </c>
      <c r="AL2203">
        <v>0</v>
      </c>
      <c r="AM2203" t="inlineStr">
        <is>
          <t>No, I don't need at all</t>
        </is>
      </c>
      <c r="AN2203"/>
      <c r="AO2203" t="inlineStr">
        <is>
          <t>No, but I want in future</t>
        </is>
      </c>
      <c r="AP2203" t="inlineStr">
        <is>
          <t>Twice a year (50%)</t>
        </is>
      </c>
      <c r="AQ2203">
        <v>5</v>
      </c>
      <c r="AR2203" t="inlineStr">
        <is>
          <t>Jobstreet, Free Job Portal</t>
        </is>
      </c>
      <c r="AS2203" t="inlineStr">
        <is>
          <t>- Headcount: 5
- Hiring Job Details: senior account executive - 1, electrical wireman - 1, site supervisor - 1, sales engineer - 1, bd - 1
- Hiring Urgency: Hiring Now
- Number of outlets: 1
- Have recruiter team: No, I don't need at all
- Number of recruiter in company: 0
- Have ATS system: No, I don't need at all
- Have career website: No, but I want in future
- Current hiring budget: RM1,000
- Whole year budget: RM2,000.00
- Whole year number of vacancies: 5
- Hiring frequency: Twice a year (50%)
- External job portal: Jobstreet, Free Job Portal</t>
        </is>
      </c>
      <c r="AT2203">
        <v>110</v>
      </c>
      <c r="AU2203" t="inlineStr">
        <is>
          <t>1.10</t>
        </is>
      </c>
      <c r="AV2203" t="inlineStr">
        <is>
          <t>20</t>
        </is>
      </c>
      <c r="AW2203" t="inlineStr">
        <is>
          <t>0</t>
        </is>
      </c>
      <c r="AX2203" t="inlineStr">
        <is>
          <t>Not Qualified</t>
        </is>
      </c>
      <c r="AY2203" s="4"/>
      <c r="AZ2203"/>
      <c r="BA2203"/>
      <c r="BB2203"/>
      <c r="BC2203" t="inlineStr">
        <is>
          <t>NO ANSWER MORE THAN 3 TIMES, WHATSAPP NO RESPONSE</t>
        </is>
      </c>
      <c r="BD2203" s="4">
        <v>46141.66475694445</v>
      </c>
      <c r="BE2203"/>
      <c r="BF2203"/>
      <c r="BG2203" t="inlineStr">
        <is>
          <t>Reschedule</t>
        </is>
      </c>
      <c r="BH2203" t="inlineStr">
        <is>
          <t>Edward Hoo</t>
        </is>
      </c>
      <c r="BI2203"/>
      <c r="BJ2203" s="4">
        <v>46144.75267361111</v>
      </c>
      <c r="BK2203" s="4">
        <v>45854.588854166665</v>
      </c>
      <c r="BL2203" t="inlineStr">
        <is>
          <t>0.0</t>
        </is>
      </c>
      <c r="BM2203" t="inlineStr">
        <is>
          <t>2400.0</t>
        </is>
      </c>
      <c r="BN2203" t="inlineStr">
        <is>
          <t>View Company Page</t>
        </is>
      </c>
      <c r="BO2203" s="4">
        <v>45855.45505787037</v>
      </c>
      <c r="BP2203">
        <v>165213</v>
      </c>
      <c r="BQ2203"/>
      <c r="BR2203"/>
      <c r="BS2203"/>
      <c r="BT2203"/>
      <c r="BU2203"/>
      <c r="BV2203">
        <v>2735764</v>
      </c>
      <c r="BW2203" t="inlineStr">
        <is>
          <t>No Answer : 3 Days No Response</t>
        </is>
      </c>
      <c r="BX2203"/>
      <c r="BY2203"/>
      <c r="BZ2203" s="4"/>
      <c r="CA2203"/>
      <c r="CB2203"/>
      <c r="CC2203" s="4"/>
      <c r="CD2203" t="inlineStr">
        <is>
          <t>30</t>
        </is>
      </c>
      <c r="CE2203" t="inlineStr">
        <is>
          <t>0</t>
        </is>
      </c>
      <c r="CF2203" t="inlineStr">
        <is>
          <t>Q2-W01</t>
        </is>
      </c>
      <c r="CG2203"/>
      <c r="CH2203"/>
      <c r="CI2203"/>
      <c r="CJ2203" t="inlineStr">
        <is>
          <t>No Paid</t>
        </is>
      </c>
      <c r="CK2203" t="inlineStr">
        <is>
          <t>Not Eligible</t>
        </is>
      </c>
      <c r="CL2203"/>
      <c r="CM2203"/>
    </row>
    <row r="2204" ht="25.5" customHeight="1">
      <c r="A2204" t="inlineStr">
        <is>
          <t>173916</t>
        </is>
      </c>
      <c r="B2204" s="2"/>
      <c r="C2204"/>
      <c r="D2204" s="3">
        <v>46115.64003472222</v>
      </c>
      <c r="E2204" t="inlineStr">
        <is>
          <t>Q2-W01</t>
        </is>
      </c>
      <c r="F2204" t="inlineStr">
        <is>
          <t>Eugene</t>
        </is>
      </c>
      <c r="G2204" t="inlineStr">
        <is>
          <t>Customer</t>
        </is>
      </c>
      <c r="H2204" s="2" t="str">
        <f>=HYPERLINK("https://upbox.ajobthing.my/customer/173916", "https://upbox.ajobthing.my/customer/173916")</f>
        <v>https://upbox.ajobthing.my/customer/173916</v>
      </c>
      <c r="I2204" t="inlineStr">
        <is>
          <t>Advantis Network &amp; System Sdn. Bhd.</t>
        </is>
      </c>
      <c r="J2204" t="inlineStr">
        <is>
          <t>Dolphin</t>
        </is>
      </c>
      <c r="K2204" t="inlineStr">
        <is>
          <t>Eugene</t>
        </is>
      </c>
      <c r="L2204" s="4"/>
      <c r="M2204" s="4">
        <v>46115.640127314815</v>
      </c>
      <c r="N2204"/>
      <c r="O2204">
        <v>6048</v>
      </c>
      <c r="P2204" s="4"/>
      <c r="Q2204" s="4">
        <v>45959.612233796295</v>
      </c>
      <c r="R2204"/>
      <c r="S2204">
        <v>3888</v>
      </c>
      <c r="T2204" s="4">
        <v>45959.612233796295</v>
      </c>
      <c r="U2204" s="4"/>
      <c r="V2204"/>
      <c r="W2204">
        <v>3888</v>
      </c>
      <c r="X2204"/>
      <c r="Y2204" t="inlineStr">
        <is>
          <t>Pending Appointment</t>
        </is>
      </c>
      <c r="Z2204" t="inlineStr">
        <is>
          <t>Hiring Later</t>
        </is>
      </c>
      <c r="AA2204">
        <v>3</v>
      </c>
      <c r="AB2204" t="inlineStr">
        <is>
          <t>No Appointment Made</t>
        </is>
      </c>
      <c r="AC2204"/>
      <c r="AD2204" t="inlineStr">
        <is>
          <t>3 sales, 3 positions, based in KL</t>
        </is>
      </c>
      <c r="AE2204"/>
      <c r="AF2204">
        <v>5000</v>
      </c>
      <c r="AG2204" s="4"/>
      <c r="AH2204" s="4"/>
      <c r="AI2204">
        <v>5000</v>
      </c>
      <c r="AJ2204">
        <v>1</v>
      </c>
      <c r="AK2204" t="inlineStr">
        <is>
          <t>No, but I want in future</t>
        </is>
      </c>
      <c r="AL2204">
        <v>2</v>
      </c>
      <c r="AM2204" t="inlineStr">
        <is>
          <t>No, I don't need at all</t>
        </is>
      </c>
      <c r="AN2204"/>
      <c r="AO2204" t="inlineStr">
        <is>
          <t>No, I don't need at all</t>
        </is>
      </c>
      <c r="AP2204" t="inlineStr">
        <is>
          <t>Twice a year (50%)</t>
        </is>
      </c>
      <c r="AQ2204">
        <v>10</v>
      </c>
      <c r="AR2204" t="inlineStr">
        <is>
          <t>Free Job Portal, Jobstreet</t>
        </is>
      </c>
      <c r="AS2204" t="inlineStr">
        <is>
          <t>- Headcount: 3
- Hiring Job Details: 3 sales, 3 positions, based in KL
- Hiring Urgency: Hiring Later
- Number of outlets: 1
- Have recruiter team: No, but want in future
- Number of recruiter in company: 2
- Have ATS system: No, don't need at all
- Have career website: No, don't need at all
- Current hiring budget: RM5,000
- Whole year budget: RM5,000.00
- Whole year number of vacancies: 10
- Hiring frequency: Twice a year (50%)
- External job portal: Free Job Portal, Jobstreet</t>
        </is>
      </c>
      <c r="AT2204">
        <v>115</v>
      </c>
      <c r="AU2204" t="inlineStr">
        <is>
          <t>1.15</t>
        </is>
      </c>
      <c r="AV2204" t="inlineStr">
        <is>
          <t>15</t>
        </is>
      </c>
      <c r="AW2204" t="inlineStr">
        <is>
          <t>0</t>
        </is>
      </c>
      <c r="AX2204" t="inlineStr">
        <is>
          <t>Not Qualified</t>
        </is>
      </c>
      <c r="AY2204" s="4"/>
      <c r="AZ2204"/>
      <c r="BA2204"/>
      <c r="BB2204"/>
      <c r="BC2204" t="inlineStr">
        <is>
          <t>nh</t>
        </is>
      </c>
      <c r="BD2204" s="4">
        <v>46122.71802083333</v>
      </c>
      <c r="BE2204" t="inlineStr">
        <is>
          <t>paid</t>
        </is>
      </c>
      <c r="BF2204"/>
      <c r="BG2204" t="inlineStr">
        <is>
          <t>Reschedule</t>
        </is>
      </c>
      <c r="BH2204" t="inlineStr">
        <is>
          <t>Edward Hoo</t>
        </is>
      </c>
      <c r="BI2204" t="inlineStr">
        <is>
          <t>Architecture / Interior Design</t>
        </is>
      </c>
      <c r="BJ2204" s="4">
        <v>46144.75152777778</v>
      </c>
      <c r="BK2204" s="4">
        <v>45280.44101851852</v>
      </c>
      <c r="BL2204" t="inlineStr">
        <is>
          <t>3888.0</t>
        </is>
      </c>
      <c r="BM2204" t="inlineStr">
        <is>
          <t>600.0</t>
        </is>
      </c>
      <c r="BN2204" t="inlineStr">
        <is>
          <t>View Candidate Search Page</t>
        </is>
      </c>
      <c r="BO2204" s="4">
        <v>46122.715092592596</v>
      </c>
      <c r="BP2204">
        <v>165214</v>
      </c>
      <c r="BQ2204">
        <v>83746</v>
      </c>
      <c r="BR2204" t="inlineStr">
        <is>
          <t>Online</t>
        </is>
      </c>
      <c r="BS2204"/>
      <c r="BT2204">
        <v>83746</v>
      </c>
      <c r="BU2204"/>
      <c r="BV2204">
        <v>2699035</v>
      </c>
      <c r="BW2204" t="inlineStr">
        <is>
          <t>Inquire for Hiring Needs : No Hiring</t>
        </is>
      </c>
      <c r="BX2204">
        <v>6</v>
      </c>
      <c r="BY2204">
        <v>0</v>
      </c>
      <c r="BZ2204" s="4">
        <v>45995.516689814816</v>
      </c>
      <c r="CA2204">
        <v>60</v>
      </c>
      <c r="CB2204">
        <v>16</v>
      </c>
      <c r="CC2204" s="4">
        <v>46052.42089120371</v>
      </c>
      <c r="CD2204" t="inlineStr">
        <is>
          <t>20</t>
        </is>
      </c>
      <c r="CE2204" t="inlineStr">
        <is>
          <t>0</t>
        </is>
      </c>
      <c r="CF2204" t="inlineStr">
        <is>
          <t>Q2-W01</t>
        </is>
      </c>
      <c r="CG2204"/>
      <c r="CH2204"/>
      <c r="CI2204"/>
      <c r="CJ2204" t="inlineStr">
        <is>
          <t>Paid</t>
        </is>
      </c>
      <c r="CK2204" t="inlineStr">
        <is>
          <t>Not Eligible</t>
        </is>
      </c>
      <c r="CL2204"/>
      <c r="CM2204"/>
    </row>
    <row r="2205" ht="25.5" customHeight="1">
      <c r="A2205" t="inlineStr">
        <is>
          <t>142198</t>
        </is>
      </c>
      <c r="B2205" s="2"/>
      <c r="C2205"/>
      <c r="D2205" s="3">
        <v>46115.64871527778</v>
      </c>
      <c r="E2205" t="inlineStr">
        <is>
          <t>Q2-W01</t>
        </is>
      </c>
      <c r="F2205" t="inlineStr">
        <is>
          <t>Eugene</t>
        </is>
      </c>
      <c r="G2205" t="inlineStr">
        <is>
          <t>Customer</t>
        </is>
      </c>
      <c r="H2205" s="2" t="str">
        <f>=HYPERLINK("https://upbox.ajobthing.my/customer/142198", "https://upbox.ajobthing.my/customer/142198")</f>
        <v>https://upbox.ajobthing.my/customer/142198</v>
      </c>
      <c r="I2205" t="inlineStr">
        <is>
          <t>Seratech Systems (M) Sdn Bhd</t>
        </is>
      </c>
      <c r="J2205" t="inlineStr">
        <is>
          <t>Dolphin</t>
        </is>
      </c>
      <c r="K2205" t="inlineStr">
        <is>
          <t>Eugene</t>
        </is>
      </c>
      <c r="L2205" s="4"/>
      <c r="M2205" s="4">
        <v>46115.64921296296</v>
      </c>
      <c r="N2205"/>
      <c r="O2205">
        <v>11448</v>
      </c>
      <c r="P2205" s="4"/>
      <c r="Q2205" s="4">
        <v>45960.594988425924</v>
      </c>
      <c r="R2205"/>
      <c r="S2205">
        <v>3672</v>
      </c>
      <c r="T2205" s="4">
        <v>45960.594988425924</v>
      </c>
      <c r="U2205" s="4"/>
      <c r="V2205"/>
      <c r="W2205">
        <v>3672</v>
      </c>
      <c r="X2205"/>
      <c r="Y2205" t="inlineStr">
        <is>
          <t>Pending Appointment</t>
        </is>
      </c>
      <c r="Z2205" t="inlineStr">
        <is>
          <t>Hiring Later</t>
        </is>
      </c>
      <c r="AA2205">
        <v>6</v>
      </c>
      <c r="AB2205" t="inlineStr">
        <is>
          <t>No Appointment Made</t>
        </is>
      </c>
      <c r="AC2205"/>
      <c r="AD2205" t="inlineStr">
        <is>
          <t>6 positions, based in KL</t>
        </is>
      </c>
      <c r="AE2205"/>
      <c r="AF2205">
        <v>5000</v>
      </c>
      <c r="AG2205" s="4"/>
      <c r="AH2205" s="4"/>
      <c r="AI2205">
        <v>5000</v>
      </c>
      <c r="AJ2205">
        <v>1</v>
      </c>
      <c r="AK2205" t="inlineStr">
        <is>
          <t>No, I don't need at all</t>
        </is>
      </c>
      <c r="AL2205">
        <v>0</v>
      </c>
      <c r="AM2205" t="inlineStr">
        <is>
          <t>No, I don't need at all</t>
        </is>
      </c>
      <c r="AN2205"/>
      <c r="AO2205" t="inlineStr">
        <is>
          <t>No, I don't need at all</t>
        </is>
      </c>
      <c r="AP2205" t="inlineStr">
        <is>
          <t>Twice a year (50%)</t>
        </is>
      </c>
      <c r="AQ2205">
        <v>10</v>
      </c>
      <c r="AR2205" t="inlineStr">
        <is>
          <t>Did not use any job portal</t>
        </is>
      </c>
      <c r="AS2205" t="inlineStr">
        <is>
          <t>- Headcount: 6
- Hiring Job Details: 6 positions, based in KL
- Hiring Urgency: Hiring Later
- Number of outlets: 1
- Have recruiter team: No, I don't need at all
- Number of recruiter in company: 0
- Have ATS system: No, I don't need at all
- Have career website: No, I don't need at all
- Current hiring budget: RM5,000
- Whole year budget: RM5,000.00
- Whole year number of vacancies: 10
- Hiring frequency: Twice a year (50%)
- External job portal: Did not use any job portal</t>
        </is>
      </c>
      <c r="AT2205">
        <v>85</v>
      </c>
      <c r="AU2205" t="inlineStr">
        <is>
          <t>0.85</t>
        </is>
      </c>
      <c r="AV2205" t="inlineStr">
        <is>
          <t>20</t>
        </is>
      </c>
      <c r="AW2205" t="inlineStr">
        <is>
          <t>0</t>
        </is>
      </c>
      <c r="AX2205" t="inlineStr">
        <is>
          <t>Not Qualified</t>
        </is>
      </c>
      <c r="AY2205" s="4"/>
      <c r="AZ2205"/>
      <c r="BA2205"/>
      <c r="BB2205"/>
      <c r="BC2205" t="inlineStr">
        <is>
          <t>- Headcount: 6
- Hiring Job Details: 6 positions, based in KL
- Hiring Urgency: Hiring Later
- Number of outlets: 1
- Have recruiter team: No, I don't need at all
- Number of recruiter in company: 0
- Have ATS system: No, I don't need at all
- Have career website: No, I don't need at all
- Current hiring budget: RM5,000
- Whole year budget: RM5,000.00
- Whole year number of vacancies: 10
- Hiring frequency: Twice a year (50%)
- External job portal: Did not use any job portal</t>
        </is>
      </c>
      <c r="BD2205" s="4">
        <v>46115.66670138889</v>
      </c>
      <c r="BE2205" t="inlineStr">
        <is>
          <t>paid</t>
        </is>
      </c>
      <c r="BF2205"/>
      <c r="BG2205" t="inlineStr">
        <is>
          <t>Reschedule</t>
        </is>
      </c>
      <c r="BH2205" t="inlineStr">
        <is>
          <t>Edward Hoo</t>
        </is>
      </c>
      <c r="BI2205" t="inlineStr">
        <is>
          <t>Manufacturing / Production</t>
        </is>
      </c>
      <c r="BJ2205" s="4">
        <v>46144.75069444445</v>
      </c>
      <c r="BK2205" s="4">
        <v>44483.6066087963</v>
      </c>
      <c r="BL2205" t="inlineStr">
        <is>
          <t>3672.0</t>
        </is>
      </c>
      <c r="BM2205" t="inlineStr">
        <is>
          <t>0.0</t>
        </is>
      </c>
      <c r="BN2205" t="inlineStr">
        <is>
          <t>View Jobmanager Page</t>
        </is>
      </c>
      <c r="BO2205" s="4">
        <v>46020.54903935185</v>
      </c>
      <c r="BP2205">
        <v>165218</v>
      </c>
      <c r="BQ2205">
        <v>83780</v>
      </c>
      <c r="BR2205" t="inlineStr">
        <is>
          <t>Online</t>
        </is>
      </c>
      <c r="BS2205"/>
      <c r="BT2205">
        <v>83780</v>
      </c>
      <c r="BU2205"/>
      <c r="BV2205">
        <v>2683413</v>
      </c>
      <c r="BW2205" t="inlineStr">
        <is>
          <t>Customer Inquiry</t>
        </is>
      </c>
      <c r="BX2205">
        <v>6</v>
      </c>
      <c r="BY2205">
        <v>0</v>
      </c>
      <c r="BZ2205" s="4">
        <v>45960.99505787037</v>
      </c>
      <c r="CA2205">
        <v>60</v>
      </c>
      <c r="CB2205">
        <v>37</v>
      </c>
      <c r="CC2205" s="4">
        <v>46013.53616898148</v>
      </c>
      <c r="CD2205" t="inlineStr">
        <is>
          <t>30</t>
        </is>
      </c>
      <c r="CE2205" t="inlineStr">
        <is>
          <t>0</t>
        </is>
      </c>
      <c r="CF2205" t="inlineStr">
        <is>
          <t>Q2-W01</t>
        </is>
      </c>
      <c r="CG2205"/>
      <c r="CH2205"/>
      <c r="CI2205"/>
      <c r="CJ2205" t="inlineStr">
        <is>
          <t>Paid</t>
        </is>
      </c>
      <c r="CK2205" t="inlineStr">
        <is>
          <t>Not Eligible</t>
        </is>
      </c>
      <c r="CL2205"/>
      <c r="CM2205"/>
    </row>
    <row r="2206" ht="25.5" customHeight="1">
      <c r="A2206" t="inlineStr">
        <is>
          <t>179508</t>
        </is>
      </c>
      <c r="B2206" s="2"/>
      <c r="C2206"/>
      <c r="D2206" s="3">
        <v>46115.65268518519</v>
      </c>
      <c r="E2206" t="inlineStr">
        <is>
          <t>Q2-W01</t>
        </is>
      </c>
      <c r="F2206" t="inlineStr">
        <is>
          <t>Dickson</t>
        </is>
      </c>
      <c r="G2206" t="inlineStr">
        <is>
          <t>Customer</t>
        </is>
      </c>
      <c r="H2206" s="2" t="str">
        <f>=HYPERLINK("https://upbox.ajobthing.my/customer/179508", "https://upbox.ajobthing.my/customer/179508")</f>
        <v>https://upbox.ajobthing.my/customer/179508</v>
      </c>
      <c r="I2206" t="inlineStr">
        <is>
          <t>AG Food Truck Sdn Bhd</t>
        </is>
      </c>
      <c r="J2206" t="inlineStr">
        <is>
          <t>Dolphin</t>
        </is>
      </c>
      <c r="K2206" t="inlineStr">
        <is>
          <t>Dickson</t>
        </is>
      </c>
      <c r="L2206" s="4"/>
      <c r="M2206" s="4">
        <v>46115.653958333336</v>
      </c>
      <c r="N2206"/>
      <c r="O2206">
        <v>3888</v>
      </c>
      <c r="P2206" s="4"/>
      <c r="Q2206" s="4">
        <v>45467.717002314814</v>
      </c>
      <c r="R2206"/>
      <c r="S2206">
        <v>2916</v>
      </c>
      <c r="T2206" s="4">
        <v>45467.717002314814</v>
      </c>
      <c r="U2206" s="4"/>
      <c r="V2206"/>
      <c r="W2206">
        <v>2916</v>
      </c>
      <c r="X2206"/>
      <c r="Y2206" t="inlineStr">
        <is>
          <t>Pending Appointment</t>
        </is>
      </c>
      <c r="Z2206" t="inlineStr">
        <is>
          <t>Hiring Now</t>
        </is>
      </c>
      <c r="AA2206">
        <v>2</v>
      </c>
      <c r="AB2206" t="inlineStr">
        <is>
          <t>No Appointment Made</t>
        </is>
      </c>
      <c r="AC2206"/>
      <c r="AD2206" t="inlineStr">
        <is>
          <t>1 truck driver, 1 marketing executive</t>
        </is>
      </c>
      <c r="AE2206"/>
      <c r="AF2206"/>
      <c r="AG2206" s="4"/>
      <c r="AH2206" s="4"/>
      <c r="AI2206"/>
      <c r="AJ2206">
        <v>20</v>
      </c>
      <c r="AK2206" t="inlineStr">
        <is>
          <t>No, I don't need at all</t>
        </is>
      </c>
      <c r="AL2206"/>
      <c r="AM2206" t="inlineStr">
        <is>
          <t>No, I don't need at all</t>
        </is>
      </c>
      <c r="AN2206"/>
      <c r="AO2206" t="inlineStr">
        <is>
          <t>No, I don't need at all</t>
        </is>
      </c>
      <c r="AP2206" t="inlineStr">
        <is>
          <t>Once per quarter (75%)</t>
        </is>
      </c>
      <c r="AQ2206"/>
      <c r="AR2206" t="inlineStr">
        <is>
          <t>Jobstreet</t>
        </is>
      </c>
      <c r="AS2206" t="inlineStr">
        <is>
          <t>- Headcount: 2
- Hiring Job Details: 1 truck driver, 1 marketing executive
- Hiring Urgency: Hiring Now
- Number of outlets: 20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2206">
        <v>100</v>
      </c>
      <c r="AU2206" t="inlineStr">
        <is>
          <t>1.00</t>
        </is>
      </c>
      <c r="AV2206" t="inlineStr">
        <is>
          <t>5</t>
        </is>
      </c>
      <c r="AW2206" t="inlineStr">
        <is>
          <t>0</t>
        </is>
      </c>
      <c r="AX2206" t="inlineStr">
        <is>
          <t>Not Qualified</t>
        </is>
      </c>
      <c r="AY2206" s="4"/>
      <c r="AZ2206"/>
      <c r="BA2206"/>
      <c r="BB2206"/>
      <c r="BC2206" t="inlineStr">
        <is>
          <t>no response</t>
        </is>
      </c>
      <c r="BD2206" s="4">
        <v>46139.73386574074</v>
      </c>
      <c r="BE2206" t="inlineStr">
        <is>
          <t>paid</t>
        </is>
      </c>
      <c r="BF2206"/>
      <c r="BG2206" t="inlineStr">
        <is>
          <t>Reschedule</t>
        </is>
      </c>
      <c r="BH2206" t="inlineStr">
        <is>
          <t>Edward Hoo</t>
        </is>
      </c>
      <c r="BI2206" t="inlineStr">
        <is>
          <t>Food / Beverage</t>
        </is>
      </c>
      <c r="BJ2206" s="4">
        <v>46144.75178240741</v>
      </c>
      <c r="BK2206" s="4">
        <v>45460.77212962963</v>
      </c>
      <c r="BL2206" t="inlineStr">
        <is>
          <t>0.0</t>
        </is>
      </c>
      <c r="BM2206" t="inlineStr">
        <is>
          <t>0.0</t>
        </is>
      </c>
      <c r="BN2206" t="inlineStr">
        <is>
          <t>View Jobmanager Page</t>
        </is>
      </c>
      <c r="BO2206" s="4">
        <v>45775.53047453704</v>
      </c>
      <c r="BP2206">
        <v>165221</v>
      </c>
      <c r="BQ2206">
        <v>70365</v>
      </c>
      <c r="BR2206" t="inlineStr">
        <is>
          <t>Online</t>
        </is>
      </c>
      <c r="BS2206"/>
      <c r="BT2206">
        <v>70365</v>
      </c>
      <c r="BU2206"/>
      <c r="BV2206">
        <v>2731478</v>
      </c>
      <c r="BW2206" t="inlineStr">
        <is>
          <t>No Answer : Voicemail - WA sent to customer</t>
        </is>
      </c>
      <c r="BX2206"/>
      <c r="BY2206"/>
      <c r="BZ2206" s="4"/>
      <c r="CA2206"/>
      <c r="CB2206"/>
      <c r="CC2206" s="4"/>
      <c r="CD2206" t="inlineStr">
        <is>
          <t>5</t>
        </is>
      </c>
      <c r="CE2206" t="inlineStr">
        <is>
          <t>0</t>
        </is>
      </c>
      <c r="CF2206" t="inlineStr">
        <is>
          <t>Q2-W01</t>
        </is>
      </c>
      <c r="CG2206"/>
      <c r="CH2206"/>
      <c r="CI2206"/>
      <c r="CJ2206" t="inlineStr">
        <is>
          <t>Paid</t>
        </is>
      </c>
      <c r="CK2206" t="inlineStr">
        <is>
          <t>Not Eligible</t>
        </is>
      </c>
      <c r="CL2206"/>
      <c r="CM2206"/>
    </row>
    <row r="2207" ht="25.5" customHeight="1">
      <c r="A2207" t="inlineStr">
        <is>
          <t>177496</t>
        </is>
      </c>
      <c r="B2207" s="2"/>
      <c r="C2207"/>
      <c r="D2207" s="3">
        <v>46115.66909722222</v>
      </c>
      <c r="E2207" t="inlineStr">
        <is>
          <t>Q2-W01</t>
        </is>
      </c>
      <c r="F2207" t="inlineStr">
        <is>
          <t>Dickson</t>
        </is>
      </c>
      <c r="G2207" t="inlineStr">
        <is>
          <t>Customer</t>
        </is>
      </c>
      <c r="H2207" s="2" t="str">
        <f>=HYPERLINK("https://upbox.ajobthing.my/customer/177496", "https://upbox.ajobthing.my/customer/177496")</f>
        <v>https://upbox.ajobthing.my/customer/177496</v>
      </c>
      <c r="I2207" t="inlineStr">
        <is>
          <t>Sigton (M) Sdn Bhd</t>
        </is>
      </c>
      <c r="J2207" t="inlineStr">
        <is>
          <t>Dolphin</t>
        </is>
      </c>
      <c r="K2207" t="inlineStr">
        <is>
          <t>Dickson</t>
        </is>
      </c>
      <c r="L2207" s="4"/>
      <c r="M2207" s="4">
        <v>46115.670902777776</v>
      </c>
      <c r="N2207"/>
      <c r="O2207">
        <v>3888</v>
      </c>
      <c r="P2207" s="4"/>
      <c r="Q2207" s="4">
        <v>46066.90394675926</v>
      </c>
      <c r="R2207"/>
      <c r="S2207">
        <v>0</v>
      </c>
      <c r="T2207" s="4">
        <v>45436.00001157408</v>
      </c>
      <c r="U2207" s="4"/>
      <c r="V2207"/>
      <c r="W2207">
        <v>2916</v>
      </c>
      <c r="X2207"/>
      <c r="Y2207" t="inlineStr">
        <is>
          <t>Pending Appointment</t>
        </is>
      </c>
      <c r="Z2207"/>
      <c r="AA2207">
        <v>3</v>
      </c>
      <c r="AB2207" t="inlineStr">
        <is>
          <t>No Appointment Made</t>
        </is>
      </c>
      <c r="AC2207"/>
      <c r="AD2207" t="inlineStr">
        <is>
          <t>1 bim modeller, 1 safety health officer, 1 project engineer</t>
        </is>
      </c>
      <c r="AE2207"/>
      <c r="AF2207"/>
      <c r="AG2207" s="4"/>
      <c r="AH2207" s="4"/>
      <c r="AI2207"/>
      <c r="AJ2207">
        <v>1</v>
      </c>
      <c r="AK2207" t="inlineStr">
        <is>
          <t>No, I don't need at all</t>
        </is>
      </c>
      <c r="AL2207"/>
      <c r="AM2207" t="inlineStr">
        <is>
          <t>No, I don't need at all</t>
        </is>
      </c>
      <c r="AN2207"/>
      <c r="AO2207" t="inlineStr">
        <is>
          <t>No, I don't need at all</t>
        </is>
      </c>
      <c r="AP2207" t="inlineStr">
        <is>
          <t>Once per quarter (75%)</t>
        </is>
      </c>
      <c r="AQ2207"/>
      <c r="AR2207" t="inlineStr">
        <is>
          <t>Free Job Portal</t>
        </is>
      </c>
      <c r="AS2207" t="inlineStr">
        <is>
          <t>- Headcount: 3
- Hiring Job Details: 1 bim modeller, 1 safety health officer, 1 project engineer
- Hiring Urgency: Not specified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2207">
        <v>85</v>
      </c>
      <c r="AU2207" t="inlineStr">
        <is>
          <t>0.85</t>
        </is>
      </c>
      <c r="AV2207" t="inlineStr">
        <is>
          <t>5</t>
        </is>
      </c>
      <c r="AW2207" t="inlineStr">
        <is>
          <t>0</t>
        </is>
      </c>
      <c r="AX2207" t="inlineStr">
        <is>
          <t>Not Qualified</t>
        </is>
      </c>
      <c r="AY2207" s="4"/>
      <c r="AZ2207"/>
      <c r="BA2207"/>
      <c r="BB2207"/>
      <c r="BC2207" t="inlineStr">
        <is>
          <t>would like to try other job portal</t>
        </is>
      </c>
      <c r="BD2207" s="4">
        <v>46126.62971064815</v>
      </c>
      <c r="BE2207" t="inlineStr">
        <is>
          <t>paid</t>
        </is>
      </c>
      <c r="BF2207"/>
      <c r="BG2207" t="inlineStr">
        <is>
          <t>Reschedule</t>
        </is>
      </c>
      <c r="BH2207" t="inlineStr">
        <is>
          <t>Edward Hoo</t>
        </is>
      </c>
      <c r="BI2207" t="inlineStr">
        <is>
          <t>Engineering / Technical Consulting</t>
        </is>
      </c>
      <c r="BJ2207" s="4">
        <v>46144.75171296296</v>
      </c>
      <c r="BK2207" s="4">
        <v>45401.43130787037</v>
      </c>
      <c r="BL2207" t="inlineStr">
        <is>
          <t>0.0</t>
        </is>
      </c>
      <c r="BM2207" t="inlineStr">
        <is>
          <t>0.0</t>
        </is>
      </c>
      <c r="BN2207" t="inlineStr">
        <is>
          <t>View Jobmanager Page</t>
        </is>
      </c>
      <c r="BO2207" s="4">
        <v>45889.5809375</v>
      </c>
      <c r="BP2207">
        <v>165223</v>
      </c>
      <c r="BQ2207">
        <v>115172</v>
      </c>
      <c r="BR2207" t="inlineStr">
        <is>
          <t>Proforma</t>
        </is>
      </c>
      <c r="BS2207" t="inlineStr">
        <is>
          <t>Free Internship Job</t>
        </is>
      </c>
      <c r="BT2207">
        <v>69487</v>
      </c>
      <c r="BU2207"/>
      <c r="BV2207">
        <v>2703848</v>
      </c>
      <c r="BW2207" t="inlineStr">
        <is>
          <t>Follow Up : Lost - Free Portal</t>
        </is>
      </c>
      <c r="BX2207"/>
      <c r="BY2207"/>
      <c r="BZ2207" s="4"/>
      <c r="CA2207"/>
      <c r="CB2207"/>
      <c r="CC2207" s="4"/>
      <c r="CD2207" t="inlineStr">
        <is>
          <t>5</t>
        </is>
      </c>
      <c r="CE2207" t="inlineStr">
        <is>
          <t>0</t>
        </is>
      </c>
      <c r="CF2207" t="inlineStr">
        <is>
          <t>Q2-W01</t>
        </is>
      </c>
      <c r="CG2207" t="inlineStr">
        <is>
          <t>Q1-W07</t>
        </is>
      </c>
      <c r="CH2207"/>
      <c r="CI2207"/>
      <c r="CJ2207" t="inlineStr">
        <is>
          <t>Paid</t>
        </is>
      </c>
      <c r="CK2207" t="inlineStr">
        <is>
          <t>Not Eligible</t>
        </is>
      </c>
      <c r="CL2207"/>
      <c r="CM2207"/>
    </row>
    <row r="2208" ht="25.5" customHeight="1">
      <c r="A2208" t="inlineStr">
        <is>
          <t>174037</t>
        </is>
      </c>
      <c r="B2208" s="2"/>
      <c r="C2208"/>
      <c r="D2208" s="3">
        <v>46115.67356481482</v>
      </c>
      <c r="E2208" t="inlineStr">
        <is>
          <t>Q2-W01</t>
        </is>
      </c>
      <c r="F2208" t="inlineStr">
        <is>
          <t>Eugene</t>
        </is>
      </c>
      <c r="G2208" t="inlineStr">
        <is>
          <t>Customer</t>
        </is>
      </c>
      <c r="H2208" s="2" t="str">
        <f>=HYPERLINK("https://upbox.ajobthing.my/customer/174037", "https://upbox.ajobthing.my/customer/174037")</f>
        <v>https://upbox.ajobthing.my/customer/174037</v>
      </c>
      <c r="I2208" t="inlineStr">
        <is>
          <t>Sweet Home Candied Products Sdn Bhd</t>
        </is>
      </c>
      <c r="J2208" t="inlineStr">
        <is>
          <t>Dolphin</t>
        </is>
      </c>
      <c r="K2208" t="inlineStr">
        <is>
          <t>Eugene</t>
        </is>
      </c>
      <c r="L2208" s="4"/>
      <c r="M2208" s="4">
        <v>46115.6737037037</v>
      </c>
      <c r="N2208"/>
      <c r="O2208">
        <v>3888</v>
      </c>
      <c r="P2208" s="4"/>
      <c r="Q2208" s="4">
        <v>45289.00001157408</v>
      </c>
      <c r="R2208"/>
      <c r="S2208">
        <v>2544</v>
      </c>
      <c r="T2208" s="4">
        <v>45289.00001157408</v>
      </c>
      <c r="U2208" s="4"/>
      <c r="V2208"/>
      <c r="W2208">
        <v>2544</v>
      </c>
      <c r="X2208"/>
      <c r="Y2208" t="inlineStr">
        <is>
          <t>Pending Appointment</t>
        </is>
      </c>
      <c r="Z2208" t="inlineStr">
        <is>
          <t>Hiring Later</t>
        </is>
      </c>
      <c r="AA2208">
        <v>1</v>
      </c>
      <c r="AB2208" t="inlineStr">
        <is>
          <t>No Appointment Made</t>
        </is>
      </c>
      <c r="AC2208"/>
      <c r="AD2208" t="inlineStr">
        <is>
          <t>1 digital marketing and content, based in Rawang</t>
        </is>
      </c>
      <c r="AE2208"/>
      <c r="AF2208">
        <v>3000</v>
      </c>
      <c r="AG2208" s="4"/>
      <c r="AH2208" s="4"/>
      <c r="AI2208">
        <v>3000</v>
      </c>
      <c r="AJ2208">
        <v>1</v>
      </c>
      <c r="AK2208" t="inlineStr">
        <is>
          <t>No, I don't need at all</t>
        </is>
      </c>
      <c r="AL2208">
        <v>0</v>
      </c>
      <c r="AM2208" t="inlineStr">
        <is>
          <t>No, I don't need at all</t>
        </is>
      </c>
      <c r="AN2208"/>
      <c r="AO2208" t="inlineStr">
        <is>
          <t>No, I don't need at all</t>
        </is>
      </c>
      <c r="AP2208" t="inlineStr">
        <is>
          <t>Once a year (25%)</t>
        </is>
      </c>
      <c r="AQ2208">
        <v>1</v>
      </c>
      <c r="AR2208" t="inlineStr">
        <is>
          <t>Jobstreet, Free Job Portal</t>
        </is>
      </c>
      <c r="AS2208" t="inlineStr">
        <is>
          <t>- Headcount: 1
- Hiring Job Details: 1 digital marketing and content, based in Rawang
- Hiring Urgency: Hiring Later
- Number of outlets: 1
- Have recruiter team: No, I don't need at all
- Number of recruiter in company: 0
- Have ATS system: No, I don't need at all
- Have career website: No, I don't need at all
- Current hiring budget: RM3,000
- Whole year budget: RM3,000.00
- Whole year number of vacancies: 1
- Hiring frequency: Once a year (25%)
- External job portal: Jobstreet, Free Job Portal</t>
        </is>
      </c>
      <c r="AT2208">
        <v>115</v>
      </c>
      <c r="AU2208" t="inlineStr">
        <is>
          <t>1.15</t>
        </is>
      </c>
      <c r="AV2208" t="inlineStr">
        <is>
          <t>15</t>
        </is>
      </c>
      <c r="AW2208" t="inlineStr">
        <is>
          <t>0</t>
        </is>
      </c>
      <c r="AX2208" t="inlineStr">
        <is>
          <t>Not Qualified</t>
        </is>
      </c>
      <c r="AY2208" s="4"/>
      <c r="AZ2208"/>
      <c r="BA2208"/>
      <c r="BB2208"/>
      <c r="BC2208" t="inlineStr">
        <is>
          <t>- Headcount: 1
- Hiring Job Details: 1 digital marketing and content, based in Rawang
- Hiring Urgency: Hiring Later
- Number of outlets: 1
- Have recruiter team: No, I don't need at all
- Number of recruiter in company: 0
- Have ATS system: No, I don't need at all
- Have career website: No, I don't need at all
- Current hiring budget: RM3,000
- Whole year budget: RM3,000.00
- Whole year number of vacancies: 1
- Hiring frequency: Once a year (25%)
- External job portal: Jobstreet, Free Job Portal</t>
        </is>
      </c>
      <c r="BD2208" s="4">
        <v>46115.70856481481</v>
      </c>
      <c r="BE2208" t="inlineStr">
        <is>
          <t>paid</t>
        </is>
      </c>
      <c r="BF2208"/>
      <c r="BG2208" t="inlineStr">
        <is>
          <t>Reschedule</t>
        </is>
      </c>
      <c r="BH2208" t="inlineStr">
        <is>
          <t>Edward Hoo</t>
        </is>
      </c>
      <c r="BI2208" t="inlineStr">
        <is>
          <t>Manufacturing / Production</t>
        </is>
      </c>
      <c r="BJ2208" s="4">
        <v>46144.751550925925</v>
      </c>
      <c r="BK2208" s="4">
        <v>45286.64981481482</v>
      </c>
      <c r="BL2208" t="inlineStr">
        <is>
          <t>0.0</t>
        </is>
      </c>
      <c r="BM2208" t="inlineStr">
        <is>
          <t>0.0</t>
        </is>
      </c>
      <c r="BN2208" t="inlineStr">
        <is>
          <t>View Jobmanager Page</t>
        </is>
      </c>
      <c r="BO2208" s="4">
        <v>45985.64708333334</v>
      </c>
      <c r="BP2208">
        <v>165230</v>
      </c>
      <c r="BQ2208">
        <v>64846</v>
      </c>
      <c r="BR2208" t="inlineStr">
        <is>
          <t>Online</t>
        </is>
      </c>
      <c r="BS2208"/>
      <c r="BT2208">
        <v>64846</v>
      </c>
      <c r="BU2208"/>
      <c r="BV2208">
        <v>2683700</v>
      </c>
      <c r="BW2208" t="inlineStr">
        <is>
          <t>Customer Inquiry</t>
        </is>
      </c>
      <c r="BX2208"/>
      <c r="BY2208"/>
      <c r="BZ2208" s="4"/>
      <c r="CA2208"/>
      <c r="CB2208"/>
      <c r="CC2208" s="4"/>
      <c r="CD2208" t="inlineStr">
        <is>
          <t>20</t>
        </is>
      </c>
      <c r="CE2208" t="inlineStr">
        <is>
          <t>0</t>
        </is>
      </c>
      <c r="CF2208" t="inlineStr">
        <is>
          <t>Q2-W01</t>
        </is>
      </c>
      <c r="CG2208"/>
      <c r="CH2208"/>
      <c r="CI2208"/>
      <c r="CJ2208" t="inlineStr">
        <is>
          <t>Paid</t>
        </is>
      </c>
      <c r="CK2208" t="inlineStr">
        <is>
          <t>Not Eligible</t>
        </is>
      </c>
      <c r="CL2208"/>
      <c r="CM2208"/>
    </row>
    <row r="2209" ht="25.5" customHeight="1">
      <c r="A2209" t="inlineStr">
        <is>
          <t>4239288</t>
        </is>
      </c>
      <c r="B2209" s="2"/>
      <c r="C2209"/>
      <c r="D2209" s="3">
        <v>46115.68318287037</v>
      </c>
      <c r="E2209" t="inlineStr">
        <is>
          <t>Q2-W01</t>
        </is>
      </c>
      <c r="F2209" t="inlineStr">
        <is>
          <t>Evan</t>
        </is>
      </c>
      <c r="G2209" t="inlineStr">
        <is>
          <t>Lead</t>
        </is>
      </c>
      <c r="H2209" s="2" t="str">
        <f>=HYPERLINK("https://upbox.ajobthing.my/leads/4239288", "https://upbox.ajobthing.my/leads/4239288")</f>
        <v>https://upbox.ajobthing.my/leads/4239288</v>
      </c>
      <c r="I2209" t="inlineStr">
        <is>
          <t xml:space="preserve">Enzee Integrated Sdn Bhd </t>
        </is>
      </c>
      <c r="J2209" t="inlineStr">
        <is>
          <t>Dolphin</t>
        </is>
      </c>
      <c r="K2209" t="inlineStr">
        <is>
          <t>Evan</t>
        </is>
      </c>
      <c r="L2209" s="4"/>
      <c r="M2209" s="4">
        <v>46115.680625</v>
      </c>
      <c r="N2209"/>
      <c r="O2209">
        <v>11448</v>
      </c>
      <c r="P2209" s="4"/>
      <c r="Q2209" s="4"/>
      <c r="R2209"/>
      <c r="S2209"/>
      <c r="T2209" s="4"/>
      <c r="U2209" s="4"/>
      <c r="V2209"/>
      <c r="W2209"/>
      <c r="X2209"/>
      <c r="Y2209" t="inlineStr">
        <is>
          <t>Pending Appointment</t>
        </is>
      </c>
      <c r="Z2209" t="inlineStr">
        <is>
          <t>Hiring Now</t>
        </is>
      </c>
      <c r="AA2209">
        <v>10</v>
      </c>
      <c r="AB2209" t="inlineStr">
        <is>
          <t>No Appointment Made</t>
        </is>
      </c>
      <c r="AC2209"/>
      <c r="AD2209" t="inlineStr">
        <is>
          <t>10 marketing, all base in PJ</t>
        </is>
      </c>
      <c r="AE2209"/>
      <c r="AF2209">
        <v>1</v>
      </c>
      <c r="AG2209" s="4"/>
      <c r="AH2209" s="4"/>
      <c r="AI2209">
        <v>1</v>
      </c>
      <c r="AJ2209">
        <v>1</v>
      </c>
      <c r="AK2209" t="inlineStr">
        <is>
          <t>No, I don't need at all</t>
        </is>
      </c>
      <c r="AL2209">
        <v>1</v>
      </c>
      <c r="AM2209" t="inlineStr">
        <is>
          <t>No, I don't need at all</t>
        </is>
      </c>
      <c r="AN2209"/>
      <c r="AO2209" t="inlineStr">
        <is>
          <t>No, I don't need at all</t>
        </is>
      </c>
      <c r="AP2209" t="inlineStr">
        <is>
          <t>Once a year (25%)</t>
        </is>
      </c>
      <c r="AQ2209">
        <v>10</v>
      </c>
      <c r="AR2209" t="inlineStr">
        <is>
          <t>Jobstreet</t>
        </is>
      </c>
      <c r="AS2209" t="inlineStr">
        <is>
          <t>- Headcount: 10
- Hiring Job Details: 10 marketing, all base in PJ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10
- Hiring frequency: Once a year (25%)
- External job portal: Jobstreet</t>
        </is>
      </c>
      <c r="AT2209">
        <v>115</v>
      </c>
      <c r="AU2209" t="inlineStr">
        <is>
          <t>1.15</t>
        </is>
      </c>
      <c r="AV2209" t="inlineStr">
        <is>
          <t>20</t>
        </is>
      </c>
      <c r="AW2209" t="inlineStr">
        <is>
          <t>0</t>
        </is>
      </c>
      <c r="AX2209" t="inlineStr">
        <is>
          <t>Not Qualified</t>
        </is>
      </c>
      <c r="AY2209" s="4"/>
      <c r="AZ2209"/>
      <c r="BA2209"/>
      <c r="BB2209"/>
      <c r="BC2209"/>
      <c r="BD2209" s="4"/>
      <c r="BE2209"/>
      <c r="BF2209"/>
      <c r="BG2209" t="inlineStr">
        <is>
          <t>Reschedule</t>
        </is>
      </c>
      <c r="BH2209" t="inlineStr">
        <is>
          <t>Edward Hoo</t>
        </is>
      </c>
      <c r="BI2209"/>
      <c r="BJ2209" s="4">
        <v>46144.75571759259</v>
      </c>
      <c r="BK2209" s="4">
        <v>46115.65175925926</v>
      </c>
      <c r="BL2209" t="inlineStr">
        <is>
          <t>0.0</t>
        </is>
      </c>
      <c r="BM2209" t="inlineStr">
        <is>
          <t>3600.0</t>
        </is>
      </c>
      <c r="BN2209"/>
      <c r="BO2209" s="4"/>
      <c r="BP2209">
        <v>165234</v>
      </c>
      <c r="BQ2209"/>
      <c r="BR2209"/>
      <c r="BS2209"/>
      <c r="BT2209"/>
      <c r="BU2209"/>
      <c r="BV2209"/>
      <c r="BW2209"/>
      <c r="BX2209"/>
      <c r="BY2209"/>
      <c r="BZ2209" s="4"/>
      <c r="CA2209"/>
      <c r="CB2209"/>
      <c r="CC2209" s="4"/>
      <c r="CD2209" t="inlineStr">
        <is>
          <t>30</t>
        </is>
      </c>
      <c r="CE2209" t="inlineStr">
        <is>
          <t>0</t>
        </is>
      </c>
      <c r="CF2209" t="inlineStr">
        <is>
          <t>Q2-W01</t>
        </is>
      </c>
      <c r="CG2209"/>
      <c r="CH2209"/>
      <c r="CI2209"/>
      <c r="CJ2209" t="inlineStr">
        <is>
          <t>No Paid</t>
        </is>
      </c>
      <c r="CK2209" t="inlineStr">
        <is>
          <t>Eligible</t>
        </is>
      </c>
      <c r="CL2209"/>
      <c r="CM2209"/>
    </row>
    <row r="2210" ht="25.5" customHeight="1">
      <c r="A2210" t="inlineStr">
        <is>
          <t>134989</t>
        </is>
      </c>
      <c r="B2210" s="2"/>
      <c r="C2210"/>
      <c r="D2210" s="3">
        <v>46115.688622685186</v>
      </c>
      <c r="E2210" t="inlineStr">
        <is>
          <t>Q2-W01</t>
        </is>
      </c>
      <c r="F2210" t="inlineStr">
        <is>
          <t>Lucas</t>
        </is>
      </c>
      <c r="G2210" t="inlineStr">
        <is>
          <t>Customer</t>
        </is>
      </c>
      <c r="H2210" s="2" t="str">
        <f>=HYPERLINK("https://upbox.ajobthing.my/customer/134989", "https://upbox.ajobthing.my/customer/134989")</f>
        <v>https://upbox.ajobthing.my/customer/134989</v>
      </c>
      <c r="I2210" t="inlineStr">
        <is>
          <t xml:space="preserve">Synergic Circle Sdn Bhd </t>
        </is>
      </c>
      <c r="J2210" t="inlineStr">
        <is>
          <t>Dolphin</t>
        </is>
      </c>
      <c r="K2210" t="inlineStr">
        <is>
          <t>Lucas</t>
        </is>
      </c>
      <c r="L2210" s="4"/>
      <c r="M2210" s="4">
        <v>46115.684594907405</v>
      </c>
      <c r="N2210"/>
      <c r="O2210">
        <v>3672</v>
      </c>
      <c r="P2210" s="4"/>
      <c r="Q2210" s="4">
        <v>46115.71104166667</v>
      </c>
      <c r="R2210"/>
      <c r="S2210">
        <v>0</v>
      </c>
      <c r="T2210" s="4">
        <v>45607</v>
      </c>
      <c r="U2210" s="4"/>
      <c r="V2210"/>
      <c r="W2210">
        <v>756</v>
      </c>
      <c r="X2210"/>
      <c r="Y2210" t="inlineStr">
        <is>
          <t>Pending Appointment</t>
        </is>
      </c>
      <c r="Z2210" t="inlineStr">
        <is>
          <t>Hiring Now</t>
        </is>
      </c>
      <c r="AA2210">
        <v>1</v>
      </c>
      <c r="AB2210" t="inlineStr">
        <is>
          <t>No Appointment Made</t>
        </is>
      </c>
      <c r="AC2210"/>
      <c r="AD2210" t="inlineStr">
        <is>
          <t>1 admin</t>
        </is>
      </c>
      <c r="AE2210"/>
      <c r="AF2210">
        <v>0</v>
      </c>
      <c r="AG2210" s="4"/>
      <c r="AH2210" s="4"/>
      <c r="AI2210">
        <v>0</v>
      </c>
      <c r="AJ2210">
        <v>0</v>
      </c>
      <c r="AK2210" t="inlineStr">
        <is>
          <t>No, I don't need at all</t>
        </is>
      </c>
      <c r="AL2210">
        <v>0</v>
      </c>
      <c r="AM2210" t="inlineStr">
        <is>
          <t>No, I don't need at all</t>
        </is>
      </c>
      <c r="AN2210"/>
      <c r="AO2210" t="inlineStr">
        <is>
          <t>No, I don't need at all</t>
        </is>
      </c>
      <c r="AP2210" t="inlineStr">
        <is>
          <t>Once a year (25%)</t>
        </is>
      </c>
      <c r="AQ2210">
        <v>1</v>
      </c>
      <c r="AR2210" t="inlineStr">
        <is>
          <t>Did not use any job portal</t>
        </is>
      </c>
      <c r="AS2210"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210">
        <v>115</v>
      </c>
      <c r="AU2210" t="inlineStr">
        <is>
          <t>1.15</t>
        </is>
      </c>
      <c r="AV2210" t="inlineStr">
        <is>
          <t>15</t>
        </is>
      </c>
      <c r="AW2210" t="inlineStr">
        <is>
          <t>0</t>
        </is>
      </c>
      <c r="AX2210" t="inlineStr">
        <is>
          <t>Not Qualified</t>
        </is>
      </c>
      <c r="AY2210" s="4"/>
      <c r="AZ2210"/>
      <c r="BA2210"/>
      <c r="BB2210"/>
      <c r="BC2210" t="inlineStr">
        <is>
          <t>the person who want to resign already no resign</t>
        </is>
      </c>
      <c r="BD2210" s="4">
        <v>46129.60039351852</v>
      </c>
      <c r="BE2210" t="inlineStr">
        <is>
          <t>paid</t>
        </is>
      </c>
      <c r="BF2210"/>
      <c r="BG2210" t="inlineStr">
        <is>
          <t>Reschedule</t>
        </is>
      </c>
      <c r="BH2210" t="inlineStr">
        <is>
          <t>Yee Hang</t>
        </is>
      </c>
      <c r="BI2210" t="inlineStr">
        <is>
          <t>Consumer Products / FMCG</t>
        </is>
      </c>
      <c r="BJ2210" s="4">
        <v>46144.75053240741</v>
      </c>
      <c r="BK2210" s="4">
        <v>44257.668287037035</v>
      </c>
      <c r="BL2210" t="inlineStr">
        <is>
          <t>0.0</t>
        </is>
      </c>
      <c r="BM2210" t="inlineStr">
        <is>
          <t>0.0</t>
        </is>
      </c>
      <c r="BN2210" t="inlineStr">
        <is>
          <t>View Jobmanager Page</t>
        </is>
      </c>
      <c r="BO2210" s="4">
        <v>46077.438726851855</v>
      </c>
      <c r="BP2210">
        <v>165237</v>
      </c>
      <c r="BQ2210">
        <v>119932</v>
      </c>
      <c r="BR2210" t="inlineStr">
        <is>
          <t>Proforma</t>
        </is>
      </c>
      <c r="BS2210" t="inlineStr">
        <is>
          <t>Free High Pay Job</t>
        </is>
      </c>
      <c r="BT2210">
        <v>74545</v>
      </c>
      <c r="BU2210"/>
      <c r="BV2210">
        <v>2712131</v>
      </c>
      <c r="BW2210" t="inlineStr">
        <is>
          <t>Follow Up : Lost - Free Portal</t>
        </is>
      </c>
      <c r="BX2210"/>
      <c r="BY2210"/>
      <c r="BZ2210" s="4"/>
      <c r="CA2210"/>
      <c r="CB2210"/>
      <c r="CC2210" s="4"/>
      <c r="CD2210" t="inlineStr">
        <is>
          <t>20</t>
        </is>
      </c>
      <c r="CE2210" t="inlineStr">
        <is>
          <t>0</t>
        </is>
      </c>
      <c r="CF2210" t="inlineStr">
        <is>
          <t>Q2-W01</t>
        </is>
      </c>
      <c r="CG2210" t="inlineStr">
        <is>
          <t>Q2-W01</t>
        </is>
      </c>
      <c r="CH2210"/>
      <c r="CI2210"/>
      <c r="CJ2210" t="inlineStr">
        <is>
          <t>Paid</t>
        </is>
      </c>
      <c r="CK2210" t="inlineStr">
        <is>
          <t>Not Eligible</t>
        </is>
      </c>
      <c r="CL2210"/>
      <c r="CM2210"/>
    </row>
    <row r="2211" ht="25.5" customHeight="1">
      <c r="A2211" t="inlineStr">
        <is>
          <t>193817</t>
        </is>
      </c>
      <c r="B2211" s="2"/>
      <c r="C2211"/>
      <c r="D2211" s="3">
        <v>46115.69430555555</v>
      </c>
      <c r="E2211" t="inlineStr">
        <is>
          <t>Q2-W01</t>
        </is>
      </c>
      <c r="F2211" t="inlineStr">
        <is>
          <t>Clover</t>
        </is>
      </c>
      <c r="G2211" t="inlineStr">
        <is>
          <t>Customer</t>
        </is>
      </c>
      <c r="H2211" s="2" t="str">
        <f>=HYPERLINK("https://upbox.ajobthing.my/customer/193817", "https://upbox.ajobthing.my/customer/193817")</f>
        <v>https://upbox.ajobthing.my/customer/193817</v>
      </c>
      <c r="I2211" t="inlineStr">
        <is>
          <t>T&amp;a Multi Sourcing Sdn Bhd</t>
        </is>
      </c>
      <c r="J2211" t="inlineStr">
        <is>
          <t>Dolphin</t>
        </is>
      </c>
      <c r="K2211" t="inlineStr">
        <is>
          <t>Clover</t>
        </is>
      </c>
      <c r="L2211" s="4"/>
      <c r="M2211" s="4">
        <v>46115.690787037034</v>
      </c>
      <c r="N2211"/>
      <c r="O2211">
        <v>3888</v>
      </c>
      <c r="P2211" s="4"/>
      <c r="Q2211" s="4"/>
      <c r="R2211"/>
      <c r="S2211"/>
      <c r="T2211" s="4"/>
      <c r="U2211" s="4"/>
      <c r="V2211"/>
      <c r="W2211"/>
      <c r="X2211"/>
      <c r="Y2211" t="inlineStr">
        <is>
          <t>Pending Appointment</t>
        </is>
      </c>
      <c r="Z2211" t="inlineStr">
        <is>
          <t>Hiring Later</t>
        </is>
      </c>
      <c r="AA2211">
        <v>0</v>
      </c>
      <c r="AB2211" t="inlineStr">
        <is>
          <t>No Appointment Made</t>
        </is>
      </c>
      <c r="AC2211"/>
      <c r="AD2211" t="inlineStr">
        <is>
          <t>Fashion wholesale, no hiring yet, maybe future hiring clothing promoter 1-2, kajang</t>
        </is>
      </c>
      <c r="AE2211"/>
      <c r="AF2211">
        <v>3000</v>
      </c>
      <c r="AG2211" s="4"/>
      <c r="AH2211" s="4"/>
      <c r="AI2211">
        <v>3000</v>
      </c>
      <c r="AJ2211">
        <v>1</v>
      </c>
      <c r="AK2211" t="inlineStr">
        <is>
          <t>No, but I want in future</t>
        </is>
      </c>
      <c r="AL2211">
        <v>1</v>
      </c>
      <c r="AM2211" t="inlineStr">
        <is>
          <t>No, but I want in future</t>
        </is>
      </c>
      <c r="AN2211"/>
      <c r="AO2211" t="inlineStr">
        <is>
          <t>No, but I want in future</t>
        </is>
      </c>
      <c r="AP2211" t="inlineStr">
        <is>
          <t>Twice a year (50%)</t>
        </is>
      </c>
      <c r="AQ2211">
        <v>2</v>
      </c>
      <c r="AR2211" t="inlineStr">
        <is>
          <t>Did not use any job portal</t>
        </is>
      </c>
      <c r="AS2211" t="inlineStr">
        <is>
          <t>- Headcount: 0
- Hiring Job Details: Fashion wholesale, no hiring yet, maybe future hiring clothing promoter 1-2, kajang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2211">
        <v>85</v>
      </c>
      <c r="AU2211" t="inlineStr">
        <is>
          <t>0.85</t>
        </is>
      </c>
      <c r="AV2211" t="inlineStr">
        <is>
          <t>15</t>
        </is>
      </c>
      <c r="AW2211" t="inlineStr">
        <is>
          <t>0</t>
        </is>
      </c>
      <c r="AX2211" t="inlineStr">
        <is>
          <t>Not Qualified</t>
        </is>
      </c>
      <c r="AY2211" s="4"/>
      <c r="AZ2211"/>
      <c r="BA2211"/>
      <c r="BB2211"/>
      <c r="BC2211" t="inlineStr">
        <is>
          <t>PIC npu, call office 03-8733 9348 , on hold, if want will contact</t>
        </is>
      </c>
      <c r="BD2211" s="4">
        <v>46135.63810185185</v>
      </c>
      <c r="BE2211"/>
      <c r="BF2211"/>
      <c r="BG2211" t="inlineStr">
        <is>
          <t>Reschedule</t>
        </is>
      </c>
      <c r="BH2211" t="inlineStr">
        <is>
          <t>Reagen</t>
        </is>
      </c>
      <c r="BI2211"/>
      <c r="BJ2211" s="4">
        <v>46144.75263888889</v>
      </c>
      <c r="BK2211" s="4">
        <v>45854.03199074074</v>
      </c>
      <c r="BL2211" t="inlineStr">
        <is>
          <t>0.0</t>
        </is>
      </c>
      <c r="BM2211" t="inlineStr">
        <is>
          <t>0.0</t>
        </is>
      </c>
      <c r="BN2211" t="inlineStr">
        <is>
          <t>View Create Job Page</t>
        </is>
      </c>
      <c r="BO2211" s="4">
        <v>45854.03795138889</v>
      </c>
      <c r="BP2211">
        <v>165238</v>
      </c>
      <c r="BQ2211"/>
      <c r="BR2211"/>
      <c r="BS2211"/>
      <c r="BT2211"/>
      <c r="BU2211"/>
      <c r="BV2211">
        <v>2723881</v>
      </c>
      <c r="BW2211" t="inlineStr">
        <is>
          <t>Follow Up : Lost - Free Portal</t>
        </is>
      </c>
      <c r="BX2211"/>
      <c r="BY2211"/>
      <c r="BZ2211" s="4"/>
      <c r="CA2211"/>
      <c r="CB2211"/>
      <c r="CC2211" s="4"/>
      <c r="CD2211" t="inlineStr">
        <is>
          <t>20</t>
        </is>
      </c>
      <c r="CE2211" t="inlineStr">
        <is>
          <t>0</t>
        </is>
      </c>
      <c r="CF2211" t="inlineStr">
        <is>
          <t>Q2-W01</t>
        </is>
      </c>
      <c r="CG2211"/>
      <c r="CH2211"/>
      <c r="CI2211"/>
      <c r="CJ2211" t="inlineStr">
        <is>
          <t>No Paid</t>
        </is>
      </c>
      <c r="CK2211" t="inlineStr">
        <is>
          <t>Not Eligible</t>
        </is>
      </c>
      <c r="CL2211"/>
      <c r="CM2211"/>
    </row>
    <row r="2212" ht="25.5" customHeight="1">
      <c r="A2212" t="inlineStr">
        <is>
          <t>136855</t>
        </is>
      </c>
      <c r="B2212" s="2"/>
      <c r="C2212"/>
      <c r="D2212" s="3">
        <v>46115.908854166664</v>
      </c>
      <c r="E2212" t="inlineStr">
        <is>
          <t>Q2-W01</t>
        </is>
      </c>
      <c r="F2212" t="inlineStr">
        <is>
          <t>Yuli</t>
        </is>
      </c>
      <c r="G2212" t="inlineStr">
        <is>
          <t>Customer</t>
        </is>
      </c>
      <c r="H2212" s="2" t="str">
        <f>=HYPERLINK("https://upbox.ajobthing.my/customer/136855", "https://upbox.ajobthing.my/customer/136855")</f>
        <v>https://upbox.ajobthing.my/customer/136855</v>
      </c>
      <c r="I2212" t="inlineStr">
        <is>
          <t>CAB Cakaran Sdn Bhd</t>
        </is>
      </c>
      <c r="J2212" t="inlineStr">
        <is>
          <t>Dolphin</t>
        </is>
      </c>
      <c r="K2212" t="inlineStr">
        <is>
          <t>YuLi</t>
        </is>
      </c>
      <c r="L2212" s="4"/>
      <c r="M2212" s="4">
        <v>46129.62386574074</v>
      </c>
      <c r="N2212"/>
      <c r="O2212">
        <v>3888</v>
      </c>
      <c r="P2212" s="4"/>
      <c r="Q2212" s="4">
        <v>46142.649039351854</v>
      </c>
      <c r="R2212"/>
      <c r="S2212">
        <v>1296</v>
      </c>
      <c r="T2212" s="4">
        <v>46142.649039351854</v>
      </c>
      <c r="U2212" s="4"/>
      <c r="V2212"/>
      <c r="W2212">
        <v>1296</v>
      </c>
      <c r="X2212"/>
      <c r="Y2212" t="inlineStr">
        <is>
          <t>Pending Appointment</t>
        </is>
      </c>
      <c r="Z2212" t="inlineStr">
        <is>
          <t>Hiring Now</t>
        </is>
      </c>
      <c r="AA2212">
        <v>1</v>
      </c>
      <c r="AB2212" t="inlineStr">
        <is>
          <t>No Appointment Made</t>
        </is>
      </c>
      <c r="AC2212"/>
      <c r="AD2212" t="inlineStr">
        <is>
          <t xml:space="preserve">1 Senior HR </t>
        </is>
      </c>
      <c r="AE2212"/>
      <c r="AF2212"/>
      <c r="AG2212" s="4"/>
      <c r="AH2212" s="4"/>
      <c r="AI2212"/>
      <c r="AJ2212">
        <v>15</v>
      </c>
      <c r="AK2212" t="inlineStr">
        <is>
          <t>Yes, I have</t>
        </is>
      </c>
      <c r="AL2212">
        <v>1</v>
      </c>
      <c r="AM2212"/>
      <c r="AN2212"/>
      <c r="AO2212"/>
      <c r="AP2212" t="inlineStr">
        <is>
          <t>Once per quarter (75%)</t>
        </is>
      </c>
      <c r="AQ2212"/>
      <c r="AR2212" t="inlineStr">
        <is>
          <t>Jobstreet</t>
        </is>
      </c>
      <c r="AS2212" t="inlineStr">
        <is>
          <t>- Headcount: 1
- Hiring Job Details: 1 Senior HR
- Hiring Urgency: Hiring Now
- Number of outlets: 15
- Have recruiter team: Yes
- Number of recruiter in company: 1
- Have ATS system: Not specified
- Have career website: Not specified
- Current hiring budget: Not specified
- Whole year budget: Not specified
- Whole year number of vacancies: Not specified
- Hiring frequency: Once per quarter (75%)
- External job portal: Jobstreet</t>
        </is>
      </c>
      <c r="AT2212">
        <v>95</v>
      </c>
      <c r="AU2212" t="inlineStr">
        <is>
          <t>0.95</t>
        </is>
      </c>
      <c r="AV2212" t="inlineStr">
        <is>
          <t>5</t>
        </is>
      </c>
      <c r="AW2212" t="inlineStr">
        <is>
          <t>0</t>
        </is>
      </c>
      <c r="AX2212" t="inlineStr">
        <is>
          <t>Not Qualified</t>
        </is>
      </c>
      <c r="AY2212" s="4"/>
      <c r="AZ2212"/>
      <c r="BA2212"/>
      <c r="BB2212"/>
      <c r="BC2212" t="inlineStr">
        <is>
          <t>customer make payment</t>
        </is>
      </c>
      <c r="BD2212" s="4">
        <v>46142.64877314815</v>
      </c>
      <c r="BE2212" t="inlineStr">
        <is>
          <t>paid</t>
        </is>
      </c>
      <c r="BF2212" t="inlineStr">
        <is>
          <t>Q2-W04</t>
        </is>
      </c>
      <c r="BG2212" t="inlineStr">
        <is>
          <t>Reschedule</t>
        </is>
      </c>
      <c r="BH2212" t="inlineStr">
        <is>
          <t>Fauziah Maharan</t>
        </is>
      </c>
      <c r="BI2212" t="inlineStr">
        <is>
          <t>Agriculture / Poultry / Fisheries</t>
        </is>
      </c>
      <c r="BJ2212" s="4">
        <v>46144.75059027778</v>
      </c>
      <c r="BK2212" s="4">
        <v>44295.47447916667</v>
      </c>
      <c r="BL2212" t="inlineStr">
        <is>
          <t>1296.0</t>
        </is>
      </c>
      <c r="BM2212" t="inlineStr">
        <is>
          <t>2400.0</t>
        </is>
      </c>
      <c r="BN2212" t="inlineStr">
        <is>
          <t>View Company Page</t>
        </is>
      </c>
      <c r="BO2212" s="4">
        <v>46140.37467592592</v>
      </c>
      <c r="BP2212">
        <v>167635</v>
      </c>
      <c r="BQ2212">
        <v>95210</v>
      </c>
      <c r="BR2212" t="inlineStr">
        <is>
          <t>Online</t>
        </is>
      </c>
      <c r="BS2212"/>
      <c r="BT2212">
        <v>95210</v>
      </c>
      <c r="BU2212"/>
      <c r="BV2212">
        <v>2737988</v>
      </c>
      <c r="BW2212" t="inlineStr">
        <is>
          <t>Follow Up : Win - Customer Paid</t>
        </is>
      </c>
      <c r="BX2212">
        <v>1</v>
      </c>
      <c r="BY2212">
        <v>1</v>
      </c>
      <c r="BZ2212" s="4"/>
      <c r="CA2212"/>
      <c r="CB2212"/>
      <c r="CC2212" s="4"/>
      <c r="CD2212" t="inlineStr">
        <is>
          <t>5</t>
        </is>
      </c>
      <c r="CE2212" t="inlineStr">
        <is>
          <t>0</t>
        </is>
      </c>
      <c r="CF2212" t="inlineStr">
        <is>
          <t>Q2-W03</t>
        </is>
      </c>
      <c r="CG2212" t="inlineStr">
        <is>
          <t>Q2-W04</t>
        </is>
      </c>
      <c r="CH2212" t="inlineStr">
        <is>
          <t>Q2-W04</t>
        </is>
      </c>
      <c r="CI2212"/>
      <c r="CJ2212" t="inlineStr">
        <is>
          <t>Paid</t>
        </is>
      </c>
      <c r="CK2212" t="inlineStr">
        <is>
          <t>Not Eligible</t>
        </is>
      </c>
      <c r="CL2212"/>
      <c r="CM2212"/>
    </row>
    <row r="2213" ht="25.5" customHeight="1">
      <c r="A2213" t="inlineStr">
        <is>
          <t>158745</t>
        </is>
      </c>
      <c r="B2213" s="2"/>
      <c r="C2213"/>
      <c r="D2213" s="3">
        <v>46118.375393518516</v>
      </c>
      <c r="E2213" t="inlineStr">
        <is>
          <t>Q2-W01</t>
        </is>
      </c>
      <c r="F2213" t="inlineStr">
        <is>
          <t>Angel  Low</t>
        </is>
      </c>
      <c r="G2213" t="inlineStr">
        <is>
          <t>Customer</t>
        </is>
      </c>
      <c r="H2213" s="2" t="str">
        <f>=HYPERLINK("https://upbox.ajobthing.my/customer/158745", "https://upbox.ajobthing.my/customer/158745")</f>
        <v>https://upbox.ajobthing.my/customer/158745</v>
      </c>
      <c r="I2213" t="inlineStr">
        <is>
          <t>Asiastar Furniture</t>
        </is>
      </c>
      <c r="J2213" t="inlineStr">
        <is>
          <t>Dolphin</t>
        </is>
      </c>
      <c r="K2213" t="inlineStr">
        <is>
          <t>Angel Low</t>
        </is>
      </c>
      <c r="L2213" s="4"/>
      <c r="M2213" s="4">
        <v>46118.37826388889</v>
      </c>
      <c r="N2213"/>
      <c r="O2213">
        <v>5508</v>
      </c>
      <c r="P2213" s="4"/>
      <c r="Q2213" s="4">
        <v>46125.651875</v>
      </c>
      <c r="R2213"/>
      <c r="S2213">
        <v>3672</v>
      </c>
      <c r="T2213" s="4">
        <v>46125.651875</v>
      </c>
      <c r="U2213" s="4"/>
      <c r="V2213"/>
      <c r="W2213">
        <v>3672</v>
      </c>
      <c r="X2213"/>
      <c r="Y2213" t="inlineStr">
        <is>
          <t>Pending Appointment</t>
        </is>
      </c>
      <c r="Z2213" t="inlineStr">
        <is>
          <t>Hiring Now</t>
        </is>
      </c>
      <c r="AA2213">
        <v>2</v>
      </c>
      <c r="AB2213" t="inlineStr">
        <is>
          <t>No Appointment Made</t>
        </is>
      </c>
      <c r="AC2213"/>
      <c r="AD2213" t="inlineStr">
        <is>
          <t xml:space="preserve">1 sales 1 admin </t>
        </is>
      </c>
      <c r="AE2213"/>
      <c r="AF2213">
        <v>3000</v>
      </c>
      <c r="AG2213" s="4"/>
      <c r="AH2213" s="4"/>
      <c r="AI2213"/>
      <c r="AJ2213"/>
      <c r="AK2213" t="inlineStr">
        <is>
          <t>No, I don't need at all</t>
        </is>
      </c>
      <c r="AL2213">
        <v>1</v>
      </c>
      <c r="AM2213" t="inlineStr">
        <is>
          <t>No, I don't need at all</t>
        </is>
      </c>
      <c r="AN2213"/>
      <c r="AO2213" t="inlineStr">
        <is>
          <t>No, I don't need at all</t>
        </is>
      </c>
      <c r="AP2213" t="inlineStr">
        <is>
          <t>Twice a year (50%)</t>
        </is>
      </c>
      <c r="AQ2213"/>
      <c r="AR2213"/>
      <c r="AS2213" t="inlineStr">
        <is>
          <t>- Headcount: 2
- Hiring Job Details: 1 sales 1 admin
- Hiring Urgency: Hiring Now
- Number of outlets: N/A
- Have recruiter team: No, I don't need at all
- Number of recruiter in company: 1
- Have ATS system: No, I don't need at all
- Have career website: No, I don't need at all
- Current hiring budget: RM3,000.00
- Whole year budget: N/A
- Whole year number of vacancies: N/A
- Hiring frequency: Twice a year (50%)
- External job portal: N/A</t>
        </is>
      </c>
      <c r="AT2213">
        <v>95</v>
      </c>
      <c r="AU2213" t="inlineStr">
        <is>
          <t>0.95</t>
        </is>
      </c>
      <c r="AV2213" t="inlineStr">
        <is>
          <t>15</t>
        </is>
      </c>
      <c r="AW2213" t="inlineStr">
        <is>
          <t>0</t>
        </is>
      </c>
      <c r="AX2213" t="inlineStr">
        <is>
          <t>Not Qualified</t>
        </is>
      </c>
      <c r="AY2213" s="4"/>
      <c r="AZ2213"/>
      <c r="BA2213"/>
      <c r="BB2213"/>
      <c r="BC2213" t="inlineStr">
        <is>
          <t>complain slow</t>
        </is>
      </c>
      <c r="BD2213" s="4">
        <v>46129.71844907408</v>
      </c>
      <c r="BE2213" t="inlineStr">
        <is>
          <t>paid</t>
        </is>
      </c>
      <c r="BF2213" t="inlineStr">
        <is>
          <t>Q2-W02</t>
        </is>
      </c>
      <c r="BG2213" t="inlineStr">
        <is>
          <t>Reschedule</t>
        </is>
      </c>
      <c r="BH2213" t="inlineStr">
        <is>
          <t>Fauziah Maharan</t>
        </is>
      </c>
      <c r="BI2213" t="inlineStr">
        <is>
          <t>Retail / Merchandise</t>
        </is>
      </c>
      <c r="BJ2213" s="4">
        <v>46144.75104166667</v>
      </c>
      <c r="BK2213" s="4">
        <v>44792.3946875</v>
      </c>
      <c r="BL2213" t="inlineStr">
        <is>
          <t>0.0</t>
        </is>
      </c>
      <c r="BM2213" t="inlineStr">
        <is>
          <t>0.0</t>
        </is>
      </c>
      <c r="BN2213" t="inlineStr">
        <is>
          <t>PA Visit - Job Card</t>
        </is>
      </c>
      <c r="BO2213" s="4">
        <v>46141.61583333334</v>
      </c>
      <c r="BP2213">
        <v>165271</v>
      </c>
      <c r="BQ2213">
        <v>93176</v>
      </c>
      <c r="BR2213" t="inlineStr">
        <is>
          <t>Online</t>
        </is>
      </c>
      <c r="BS2213"/>
      <c r="BT2213">
        <v>93176</v>
      </c>
      <c r="BU2213"/>
      <c r="BV2213">
        <v>2713544</v>
      </c>
      <c r="BW2213" t="inlineStr">
        <is>
          <t>Service / Technical : Job Outcome Enquiry</t>
        </is>
      </c>
      <c r="BX2213">
        <v>6</v>
      </c>
      <c r="BY2213">
        <v>5</v>
      </c>
      <c r="BZ2213" s="4">
        <v>46127.56554398148</v>
      </c>
      <c r="CA2213">
        <v>60</v>
      </c>
      <c r="CB2213">
        <v>60</v>
      </c>
      <c r="CC2213" s="4"/>
      <c r="CD2213" t="inlineStr">
        <is>
          <t>20</t>
        </is>
      </c>
      <c r="CE2213" t="inlineStr">
        <is>
          <t>0</t>
        </is>
      </c>
      <c r="CF2213" t="inlineStr">
        <is>
          <t>Q2-W01</t>
        </is>
      </c>
      <c r="CG2213" t="inlineStr">
        <is>
          <t>Q2-W02</t>
        </is>
      </c>
      <c r="CH2213" t="inlineStr">
        <is>
          <t>Q2-W02</t>
        </is>
      </c>
      <c r="CI2213"/>
      <c r="CJ2213" t="inlineStr">
        <is>
          <t>Paid</t>
        </is>
      </c>
      <c r="CK2213" t="inlineStr">
        <is>
          <t>Not Eligible</t>
        </is>
      </c>
      <c r="CL2213"/>
      <c r="CM2213"/>
    </row>
    <row r="2214" ht="25.5" customHeight="1">
      <c r="A2214" t="inlineStr">
        <is>
          <t>188344</t>
        </is>
      </c>
      <c r="B2214" s="2"/>
      <c r="C2214"/>
      <c r="D2214" s="3">
        <v>46118.4034375</v>
      </c>
      <c r="E2214" t="inlineStr">
        <is>
          <t>Q2-W01</t>
        </is>
      </c>
      <c r="F2214" t="inlineStr">
        <is>
          <t>Alex Chan</t>
        </is>
      </c>
      <c r="G2214" t="inlineStr">
        <is>
          <t>Customer</t>
        </is>
      </c>
      <c r="H2214" s="2" t="str">
        <f>=HYPERLINK("https://upbox.ajobthing.my/customer/188344", "https://upbox.ajobthing.my/customer/188344")</f>
        <v>https://upbox.ajobthing.my/customer/188344</v>
      </c>
      <c r="I2214" t="inlineStr">
        <is>
          <t>Nexpro Malaysia Sdn Bhd</t>
        </is>
      </c>
      <c r="J2214" t="inlineStr">
        <is>
          <t>Dolphin</t>
        </is>
      </c>
      <c r="K2214" t="inlineStr">
        <is>
          <t>Alex Chan</t>
        </is>
      </c>
      <c r="L2214" s="4"/>
      <c r="M2214" s="4">
        <v>46111.61340277778</v>
      </c>
      <c r="N2214"/>
      <c r="O2214">
        <v>1296</v>
      </c>
      <c r="P2214" s="4"/>
      <c r="Q2214" s="4">
        <v>46118.71387731482</v>
      </c>
      <c r="R2214"/>
      <c r="S2214">
        <v>1296</v>
      </c>
      <c r="T2214" s="4">
        <v>46118.71387731482</v>
      </c>
      <c r="U2214" s="4"/>
      <c r="V2214"/>
      <c r="W2214">
        <v>1296</v>
      </c>
      <c r="X2214"/>
      <c r="Y2214" t="inlineStr">
        <is>
          <t>Pending Appointment</t>
        </is>
      </c>
      <c r="Z2214" t="inlineStr">
        <is>
          <t>Hiring Now</t>
        </is>
      </c>
      <c r="AA2214">
        <v>1</v>
      </c>
      <c r="AB2214" t="inlineStr">
        <is>
          <t>No Appointment Made</t>
        </is>
      </c>
      <c r="AC2214"/>
      <c r="AD2214" t="inlineStr">
        <is>
          <t>1x Sales</t>
        </is>
      </c>
      <c r="AE2214"/>
      <c r="AF2214">
        <v>1200</v>
      </c>
      <c r="AG2214" s="4"/>
      <c r="AH2214" s="4"/>
      <c r="AI2214">
        <v>1200</v>
      </c>
      <c r="AJ2214">
        <v>1</v>
      </c>
      <c r="AK2214" t="inlineStr">
        <is>
          <t>No, I don't need at all</t>
        </is>
      </c>
      <c r="AL2214">
        <v>1</v>
      </c>
      <c r="AM2214" t="inlineStr">
        <is>
          <t>No, I don't need at all</t>
        </is>
      </c>
      <c r="AN2214"/>
      <c r="AO2214" t="inlineStr">
        <is>
          <t>No, I don't need at all</t>
        </is>
      </c>
      <c r="AP2214" t="inlineStr">
        <is>
          <t>Once a year (25%)</t>
        </is>
      </c>
      <c r="AQ2214">
        <v>1</v>
      </c>
      <c r="AR2214" t="inlineStr">
        <is>
          <t>Free Job Portal</t>
        </is>
      </c>
      <c r="AS2214" t="inlineStr">
        <is>
          <t>- Headcount: 1
- Hiring Job Details: 1x Sales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2214">
        <v>115</v>
      </c>
      <c r="AU2214" t="inlineStr">
        <is>
          <t>1.15</t>
        </is>
      </c>
      <c r="AV2214" t="inlineStr">
        <is>
          <t>15</t>
        </is>
      </c>
      <c r="AW2214" t="inlineStr">
        <is>
          <t>0</t>
        </is>
      </c>
      <c r="AX2214" t="inlineStr">
        <is>
          <t>Not Qualified</t>
        </is>
      </c>
      <c r="AY2214" s="4"/>
      <c r="AZ2214"/>
      <c r="BA2214"/>
      <c r="BB2214"/>
      <c r="BC2214" t="inlineStr">
        <is>
          <t>call back later</t>
        </is>
      </c>
      <c r="BD2214" s="4">
        <v>46139.58331018518</v>
      </c>
      <c r="BE2214" t="inlineStr">
        <is>
          <t>paid</t>
        </is>
      </c>
      <c r="BF2214" t="inlineStr">
        <is>
          <t>Q2-W01</t>
        </is>
      </c>
      <c r="BG2214" t="inlineStr">
        <is>
          <t>Reschedule</t>
        </is>
      </c>
      <c r="BH2214" t="inlineStr">
        <is>
          <t>Reagen</t>
        </is>
      </c>
      <c r="BI2214" t="inlineStr">
        <is>
          <t>IT / Hardware</t>
        </is>
      </c>
      <c r="BJ2214" s="4">
        <v>46144.75224537037</v>
      </c>
      <c r="BK2214" s="4">
        <v>45719.443564814814</v>
      </c>
      <c r="BL2214" t="inlineStr">
        <is>
          <t>1296.0</t>
        </is>
      </c>
      <c r="BM2214" t="inlineStr">
        <is>
          <t>0.0</t>
        </is>
      </c>
      <c r="BN2214" t="inlineStr">
        <is>
          <t>View Create Job Page V4</t>
        </is>
      </c>
      <c r="BO2214" s="4">
        <v>46125.597083333334</v>
      </c>
      <c r="BP2214">
        <v>164258</v>
      </c>
      <c r="BQ2214">
        <v>91414</v>
      </c>
      <c r="BR2214" t="inlineStr">
        <is>
          <t>Online</t>
        </is>
      </c>
      <c r="BS2214"/>
      <c r="BT2214">
        <v>91414</v>
      </c>
      <c r="BU2214"/>
      <c r="BV2214">
        <v>2729581</v>
      </c>
      <c r="BW2214" t="inlineStr">
        <is>
          <t>No Answer : Voicemail - WA sent to customer</t>
        </is>
      </c>
      <c r="BX2214">
        <v>1</v>
      </c>
      <c r="BY2214">
        <v>0</v>
      </c>
      <c r="BZ2214" s="4">
        <v>46119.40525462963</v>
      </c>
      <c r="CA2214">
        <v>23</v>
      </c>
      <c r="CB2214">
        <v>23</v>
      </c>
      <c r="CC2214" s="4"/>
      <c r="CD2214" t="inlineStr">
        <is>
          <t>20</t>
        </is>
      </c>
      <c r="CE2214" t="inlineStr">
        <is>
          <t>0</t>
        </is>
      </c>
      <c r="CF2214" t="inlineStr">
        <is>
          <t>Q1-W13</t>
        </is>
      </c>
      <c r="CG2214" t="inlineStr">
        <is>
          <t>Q2-W01</t>
        </is>
      </c>
      <c r="CH2214" t="inlineStr">
        <is>
          <t>Q2-W01</t>
        </is>
      </c>
      <c r="CI2214"/>
      <c r="CJ2214" t="inlineStr">
        <is>
          <t>Paid</t>
        </is>
      </c>
      <c r="CK2214" t="inlineStr">
        <is>
          <t>Not Eligible</t>
        </is>
      </c>
      <c r="CL2214"/>
      <c r="CM2214"/>
    </row>
    <row r="2215" ht="25.5" customHeight="1">
      <c r="A2215" t="inlineStr">
        <is>
          <t>178217</t>
        </is>
      </c>
      <c r="B2215" s="2"/>
      <c r="C2215"/>
      <c r="D2215" s="3">
        <v>46118.403495370374</v>
      </c>
      <c r="E2215" t="inlineStr">
        <is>
          <t>Q2-W01</t>
        </is>
      </c>
      <c r="F2215" t="inlineStr">
        <is>
          <t>Xin Quan</t>
        </is>
      </c>
      <c r="G2215" t="inlineStr">
        <is>
          <t>Customer</t>
        </is>
      </c>
      <c r="H2215" s="2" t="str">
        <f>=HYPERLINK("https://upbox.ajobthing.my/customer/178217", "https://upbox.ajobthing.my/customer/178217")</f>
        <v>https://upbox.ajobthing.my/customer/178217</v>
      </c>
      <c r="I2215" t="inlineStr">
        <is>
          <t>Xcurrency Hubs Sdn. Bhd.</t>
        </is>
      </c>
      <c r="J2215" t="inlineStr">
        <is>
          <t>Dolphin</t>
        </is>
      </c>
      <c r="K2215" t="inlineStr">
        <is>
          <t>Xin Quan</t>
        </is>
      </c>
      <c r="L2215" s="4"/>
      <c r="M2215" s="4">
        <v>46118.40358796297</v>
      </c>
      <c r="N2215"/>
      <c r="O2215">
        <v>864</v>
      </c>
      <c r="P2215" s="4"/>
      <c r="Q2215" s="4">
        <v>45476.49151620371</v>
      </c>
      <c r="R2215"/>
      <c r="S2215">
        <v>972</v>
      </c>
      <c r="T2215" s="4">
        <v>45476.49151620371</v>
      </c>
      <c r="U2215" s="4"/>
      <c r="V2215"/>
      <c r="W2215">
        <v>972</v>
      </c>
      <c r="X2215"/>
      <c r="Y2215" t="inlineStr">
        <is>
          <t>Pending Appointment</t>
        </is>
      </c>
      <c r="Z2215" t="inlineStr">
        <is>
          <t>Hiring Now</t>
        </is>
      </c>
      <c r="AA2215">
        <v>1</v>
      </c>
      <c r="AB2215" t="inlineStr">
        <is>
          <t>No Appointment Made</t>
        </is>
      </c>
      <c r="AC2215"/>
      <c r="AD2215" t="inlineStr">
        <is>
          <t>1 Sales , Base in KL</t>
        </is>
      </c>
      <c r="AE2215"/>
      <c r="AF2215">
        <v>2000</v>
      </c>
      <c r="AG2215" s="4"/>
      <c r="AH2215" s="4"/>
      <c r="AI2215">
        <v>24000</v>
      </c>
      <c r="AJ2215">
        <v>1</v>
      </c>
      <c r="AK2215"/>
      <c r="AL2215"/>
      <c r="AM2215"/>
      <c r="AN2215"/>
      <c r="AO2215"/>
      <c r="AP2215"/>
      <c r="AQ2215">
        <v>1</v>
      </c>
      <c r="AR2215"/>
      <c r="AS2215" t="inlineStr">
        <is>
          <t>- Headcount: 1
- Hiring Job Details: 1 Sales,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2215">
        <v>100</v>
      </c>
      <c r="AU2215" t="inlineStr">
        <is>
          <t>1.00</t>
        </is>
      </c>
      <c r="AV2215" t="inlineStr">
        <is>
          <t>15</t>
        </is>
      </c>
      <c r="AW2215" t="inlineStr">
        <is>
          <t>0</t>
        </is>
      </c>
      <c r="AX2215" t="inlineStr">
        <is>
          <t>Not Qualified</t>
        </is>
      </c>
      <c r="AY2215" s="4"/>
      <c r="AZ2215"/>
      <c r="BA2215"/>
      <c r="BB2215"/>
      <c r="BC2215" t="inlineStr">
        <is>
          <t>- Headcount: 1
- Hiring Job Details: 1 Sales,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BD2215" s="4">
        <v>46118.41678240741</v>
      </c>
      <c r="BE2215" t="inlineStr">
        <is>
          <t>paid</t>
        </is>
      </c>
      <c r="BF2215"/>
      <c r="BG2215" t="inlineStr">
        <is>
          <t>Reschedule</t>
        </is>
      </c>
      <c r="BH2215" t="inlineStr">
        <is>
          <t>Edward Hoo</t>
        </is>
      </c>
      <c r="BI2215" t="inlineStr">
        <is>
          <t>Banking / Finance</t>
        </is>
      </c>
      <c r="BJ2215" s="4">
        <v>46144.75173611111</v>
      </c>
      <c r="BK2215" s="4">
        <v>45421.72439814815</v>
      </c>
      <c r="BL2215" t="inlineStr">
        <is>
          <t>0.0</t>
        </is>
      </c>
      <c r="BM2215" t="inlineStr">
        <is>
          <t>1800.0</t>
        </is>
      </c>
      <c r="BN2215" t="inlineStr">
        <is>
          <t>View Company Page</t>
        </is>
      </c>
      <c r="BO2215" s="4">
        <v>45792.90126157407</v>
      </c>
      <c r="BP2215">
        <v>165275</v>
      </c>
      <c r="BQ2215">
        <v>70667</v>
      </c>
      <c r="BR2215" t="inlineStr">
        <is>
          <t>Online</t>
        </is>
      </c>
      <c r="BS2215"/>
      <c r="BT2215">
        <v>70667</v>
      </c>
      <c r="BU2215"/>
      <c r="BV2215">
        <v>2685109</v>
      </c>
      <c r="BW2215" t="inlineStr">
        <is>
          <t>Customer Inquiry</t>
        </is>
      </c>
      <c r="BX2215"/>
      <c r="BY2215"/>
      <c r="BZ2215" s="4"/>
      <c r="CA2215"/>
      <c r="CB2215"/>
      <c r="CC2215" s="4"/>
      <c r="CD2215" t="inlineStr">
        <is>
          <t>20</t>
        </is>
      </c>
      <c r="CE2215" t="inlineStr">
        <is>
          <t>0</t>
        </is>
      </c>
      <c r="CF2215" t="inlineStr">
        <is>
          <t>Q2-W01</t>
        </is>
      </c>
      <c r="CG2215"/>
      <c r="CH2215"/>
      <c r="CI2215"/>
      <c r="CJ2215" t="inlineStr">
        <is>
          <t>Paid</t>
        </is>
      </c>
      <c r="CK2215" t="inlineStr">
        <is>
          <t>Not Eligible</t>
        </is>
      </c>
      <c r="CL2215"/>
      <c r="CM2215"/>
    </row>
    <row r="2216" ht="25.5" customHeight="1">
      <c r="A2216" t="inlineStr">
        <is>
          <t>178441</t>
        </is>
      </c>
      <c r="B2216" s="2"/>
      <c r="C2216"/>
      <c r="D2216" s="3">
        <v>46118.40657407408</v>
      </c>
      <c r="E2216" t="inlineStr">
        <is>
          <t>Q2-W01</t>
        </is>
      </c>
      <c r="F2216" t="inlineStr">
        <is>
          <t>Chia Yee</t>
        </is>
      </c>
      <c r="G2216" t="inlineStr">
        <is>
          <t>Customer</t>
        </is>
      </c>
      <c r="H2216" s="2" t="str">
        <f>=HYPERLINK("https://upbox.ajobthing.my/customer/178441", "https://upbox.ajobthing.my/customer/178441")</f>
        <v>https://upbox.ajobthing.my/customer/178441</v>
      </c>
      <c r="I2216" t="inlineStr">
        <is>
          <t>QM Optical Technology Sdn Bhd</t>
        </is>
      </c>
      <c r="J2216" t="inlineStr">
        <is>
          <t>Dolphin</t>
        </is>
      </c>
      <c r="K2216" t="inlineStr">
        <is>
          <t>Chia Yee</t>
        </is>
      </c>
      <c r="L2216" s="4"/>
      <c r="M2216" s="4">
        <v>46118.40508101852</v>
      </c>
      <c r="N2216"/>
      <c r="O2216">
        <v>2592</v>
      </c>
      <c r="P2216" s="4"/>
      <c r="Q2216" s="4">
        <v>46142.54413194444</v>
      </c>
      <c r="R2216"/>
      <c r="S2216">
        <v>0</v>
      </c>
      <c r="T2216" s="4">
        <v>46120.64368055556</v>
      </c>
      <c r="U2216" s="4"/>
      <c r="V2216"/>
      <c r="W2216">
        <v>864</v>
      </c>
      <c r="X2216"/>
      <c r="Y2216" t="inlineStr">
        <is>
          <t>Pending Appointment</t>
        </is>
      </c>
      <c r="Z2216" t="inlineStr">
        <is>
          <t>Hiring Now</t>
        </is>
      </c>
      <c r="AA2216">
        <v>2</v>
      </c>
      <c r="AB2216" t="inlineStr">
        <is>
          <t>No Appointment Made</t>
        </is>
      </c>
      <c r="AC2216"/>
      <c r="AD2216" t="inlineStr">
        <is>
          <t>1 Marketing KOL , 1 CONTENY CREATORS SOCIAL MEDIA</t>
        </is>
      </c>
      <c r="AE2216"/>
      <c r="AF2216">
        <v>0</v>
      </c>
      <c r="AG2216" s="4"/>
      <c r="AH2216" s="4"/>
      <c r="AI2216">
        <v>0</v>
      </c>
      <c r="AJ2216">
        <v>0</v>
      </c>
      <c r="AK2216" t="inlineStr">
        <is>
          <t>No, I don't need at all</t>
        </is>
      </c>
      <c r="AL2216">
        <v>1</v>
      </c>
      <c r="AM2216" t="inlineStr">
        <is>
          <t>No, I don't need at all</t>
        </is>
      </c>
      <c r="AN2216"/>
      <c r="AO2216" t="inlineStr">
        <is>
          <t>No, I don't need at all</t>
        </is>
      </c>
      <c r="AP2216" t="inlineStr">
        <is>
          <t>Once a year (25%)</t>
        </is>
      </c>
      <c r="AQ2216">
        <v>2</v>
      </c>
      <c r="AR2216" t="inlineStr">
        <is>
          <t>Did not use any job portal</t>
        </is>
      </c>
      <c r="AS2216" t="inlineStr">
        <is>
          <t>- Headcount: 2 (1 Marketing KOL, 1 CONTENT CREATORS SOCIAL MEDIA).
- Hiring Job Details: 1 Marketing KOL, 1 CONTENT CREATORS SOCIAL MEDIA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is>
      </c>
      <c r="AT2216">
        <v>115</v>
      </c>
      <c r="AU2216" t="inlineStr">
        <is>
          <t>1.15</t>
        </is>
      </c>
      <c r="AV2216" t="inlineStr">
        <is>
          <t>15</t>
        </is>
      </c>
      <c r="AW2216" t="inlineStr">
        <is>
          <t>0</t>
        </is>
      </c>
      <c r="AX2216" t="inlineStr">
        <is>
          <t>Not Qualified</t>
        </is>
      </c>
      <c r="AY2216" s="4"/>
      <c r="AZ2216"/>
      <c r="BA2216"/>
      <c r="BB2216"/>
      <c r="BC2216" t="inlineStr">
        <is>
          <t>Replied: not success. Raise complaint</t>
        </is>
      </c>
      <c r="BD2216" s="4">
        <v>46141.39115740741</v>
      </c>
      <c r="BE2216" t="inlineStr">
        <is>
          <t>paid</t>
        </is>
      </c>
      <c r="BF2216" t="inlineStr">
        <is>
          <t>Q2-W01</t>
        </is>
      </c>
      <c r="BG2216" t="inlineStr">
        <is>
          <t>Reschedule</t>
        </is>
      </c>
      <c r="BH2216" t="inlineStr">
        <is>
          <t>Reagen</t>
        </is>
      </c>
      <c r="BI2216" t="inlineStr">
        <is>
          <t>Retail / Merchandise</t>
        </is>
      </c>
      <c r="BJ2216" s="4">
        <v>46144.75173611111</v>
      </c>
      <c r="BK2216" s="4">
        <v>45427.68239583333</v>
      </c>
      <c r="BL2216" t="inlineStr">
        <is>
          <t>2160.0</t>
        </is>
      </c>
      <c r="BM2216" t="inlineStr">
        <is>
          <t>0.0</t>
        </is>
      </c>
      <c r="BN2216" t="inlineStr">
        <is>
          <t>View Company Page</t>
        </is>
      </c>
      <c r="BO2216" s="4">
        <v>46142.519537037035</v>
      </c>
      <c r="BP2216">
        <v>165276</v>
      </c>
      <c r="BQ2216">
        <v>124184</v>
      </c>
      <c r="BR2216" t="inlineStr">
        <is>
          <t>Proforma</t>
        </is>
      </c>
      <c r="BS2216" t="inlineStr">
        <is>
          <t>Free Part-Time Job</t>
        </is>
      </c>
      <c r="BT2216">
        <v>92175</v>
      </c>
      <c r="BU2216"/>
      <c r="BV2216">
        <v>2734094</v>
      </c>
      <c r="BW2216" t="inlineStr">
        <is>
          <t>Service / Technical : Job Outcome Enquiry</t>
        </is>
      </c>
      <c r="BX2216">
        <v>3</v>
      </c>
      <c r="BY2216">
        <v>2</v>
      </c>
      <c r="BZ2216" s="4">
        <v>46120.6453587963</v>
      </c>
      <c r="CA2216">
        <v>10</v>
      </c>
      <c r="CB2216">
        <v>5</v>
      </c>
      <c r="CC2216" s="4">
        <v>46141.41127314815</v>
      </c>
      <c r="CD2216" t="inlineStr">
        <is>
          <t>20</t>
        </is>
      </c>
      <c r="CE2216" t="inlineStr">
        <is>
          <t>0</t>
        </is>
      </c>
      <c r="CF2216" t="inlineStr">
        <is>
          <t>Q2-W01</t>
        </is>
      </c>
      <c r="CG2216" t="inlineStr">
        <is>
          <t>Q2-W04</t>
        </is>
      </c>
      <c r="CH2216" t="inlineStr">
        <is>
          <t>Q2-W01</t>
        </is>
      </c>
      <c r="CI2216"/>
      <c r="CJ2216" t="inlineStr">
        <is>
          <t>Paid</t>
        </is>
      </c>
      <c r="CK2216" t="inlineStr">
        <is>
          <t>Not Eligible</t>
        </is>
      </c>
      <c r="CL2216"/>
      <c r="CM2216"/>
    </row>
    <row r="2217" ht="25.5" customHeight="1">
      <c r="A2217" t="inlineStr">
        <is>
          <t>162254</t>
        </is>
      </c>
      <c r="B2217" s="2"/>
      <c r="C2217"/>
      <c r="D2217" s="3">
        <v>46118.41097222222</v>
      </c>
      <c r="E2217" t="inlineStr">
        <is>
          <t>Q2-W01</t>
        </is>
      </c>
      <c r="F2217" t="inlineStr">
        <is>
          <t>Ratha</t>
        </is>
      </c>
      <c r="G2217" t="inlineStr">
        <is>
          <t>Customer</t>
        </is>
      </c>
      <c r="H2217" s="2" t="str">
        <f>=HYPERLINK("https://upbox.ajobthing.my/customer/162254", "https://upbox.ajobthing.my/customer/162254")</f>
        <v>https://upbox.ajobthing.my/customer/162254</v>
      </c>
      <c r="I2217" t="inlineStr">
        <is>
          <t>Surfactor Asia Pacific Sdn Bhd</t>
        </is>
      </c>
      <c r="J2217" t="inlineStr">
        <is>
          <t>Dolphin</t>
        </is>
      </c>
      <c r="K2217" t="inlineStr">
        <is>
          <t>Ratha</t>
        </is>
      </c>
      <c r="L2217" s="4"/>
      <c r="M2217" s="4">
        <v>46118.41166666667</v>
      </c>
      <c r="N2217"/>
      <c r="O2217">
        <v>5832</v>
      </c>
      <c r="P2217" s="4"/>
      <c r="Q2217" s="4">
        <v>44890.00001157408</v>
      </c>
      <c r="R2217"/>
      <c r="S2217">
        <v>3392</v>
      </c>
      <c r="T2217" s="4">
        <v>44890.00001157408</v>
      </c>
      <c r="U2217" s="4"/>
      <c r="V2217"/>
      <c r="W2217">
        <v>3392</v>
      </c>
      <c r="X2217"/>
      <c r="Y2217" t="inlineStr">
        <is>
          <t>Pending Appointment</t>
        </is>
      </c>
      <c r="Z2217" t="inlineStr">
        <is>
          <t>Continuous Hiring</t>
        </is>
      </c>
      <c r="AA2217">
        <v>1</v>
      </c>
      <c r="AB2217" t="inlineStr">
        <is>
          <t>No Appointment Made</t>
        </is>
      </c>
      <c r="AC2217"/>
      <c r="AD2217" t="inlineStr">
        <is>
          <t>Technician
Operation - Frequent hiring - 
Location : JB</t>
        </is>
      </c>
      <c r="AE2217"/>
      <c r="AF2217"/>
      <c r="AG2217" s="4"/>
      <c r="AH2217" s="4"/>
      <c r="AI2217">
        <v>0</v>
      </c>
      <c r="AJ2217">
        <v>1</v>
      </c>
      <c r="AK2217" t="inlineStr">
        <is>
          <t>Yes, I have</t>
        </is>
      </c>
      <c r="AL2217">
        <v>2</v>
      </c>
      <c r="AM2217" t="inlineStr">
        <is>
          <t>No, I don't need at all</t>
        </is>
      </c>
      <c r="AN2217"/>
      <c r="AO2217" t="inlineStr">
        <is>
          <t>Yes, I have</t>
        </is>
      </c>
      <c r="AP2217" t="inlineStr">
        <is>
          <t>Every month (100%)</t>
        </is>
      </c>
      <c r="AQ2217">
        <v>0</v>
      </c>
      <c r="AR2217" t="inlineStr">
        <is>
          <t>Jobstreet, Free Job Portal</t>
        </is>
      </c>
      <c r="AS2217" t="inlineStr">
        <is>
          <t>- Headcount: Not provided
- Hiring Job Details: Technician (Operation - Frequent hiring - Location: JB)
- Hiring Urgency: Continuous Hiring
- Number of outlets: 1
- Have recruiter team: Yes
- Number of recruiter in company: 2
- Have ATS system: No, I don't need at all
- Have career website: Yes
- Current hiring budget: Not provided
- Whole year budget: RM0.00
- Whole year number of vacancies: 0
- Hiring frequency: Every month (100%)
- External job portal: Jobstreet, Free Job Portal</t>
        </is>
      </c>
      <c r="AT2217">
        <v>75</v>
      </c>
      <c r="AU2217" t="inlineStr">
        <is>
          <t>0.75</t>
        </is>
      </c>
      <c r="AV2217" t="inlineStr">
        <is>
          <t>5</t>
        </is>
      </c>
      <c r="AW2217" t="inlineStr">
        <is>
          <t>0</t>
        </is>
      </c>
      <c r="AX2217" t="inlineStr">
        <is>
          <t>Not Qualified</t>
        </is>
      </c>
      <c r="AY2217" s="4"/>
      <c r="AZ2217"/>
      <c r="BA2217"/>
      <c r="BB2217"/>
      <c r="BC2217" t="inlineStr">
        <is>
          <t>no answer</t>
        </is>
      </c>
      <c r="BD2217" s="4">
        <v>46126.6508912037</v>
      </c>
      <c r="BE2217" t="inlineStr">
        <is>
          <t>paid</t>
        </is>
      </c>
      <c r="BF2217"/>
      <c r="BG2217" t="inlineStr">
        <is>
          <t>Reschedule</t>
        </is>
      </c>
      <c r="BH2217" t="inlineStr">
        <is>
          <t>Fauziah Maharan</t>
        </is>
      </c>
      <c r="BI2217" t="inlineStr">
        <is>
          <t>Architecture / Interior Design</t>
        </is>
      </c>
      <c r="BJ2217" s="4">
        <v>46144.75115740741</v>
      </c>
      <c r="BK2217" s="4">
        <v>44886.713217592594</v>
      </c>
      <c r="BL2217" t="inlineStr">
        <is>
          <t>0.0</t>
        </is>
      </c>
      <c r="BM2217" t="inlineStr">
        <is>
          <t>600.0</t>
        </is>
      </c>
      <c r="BN2217" t="inlineStr">
        <is>
          <t>View Jobmanager Page</t>
        </is>
      </c>
      <c r="BO2217" s="4">
        <v>45756.48094907407</v>
      </c>
      <c r="BP2217">
        <v>165281</v>
      </c>
      <c r="BQ2217">
        <v>52859</v>
      </c>
      <c r="BR2217" t="inlineStr">
        <is>
          <t>Online</t>
        </is>
      </c>
      <c r="BS2217"/>
      <c r="BT2217">
        <v>52859</v>
      </c>
      <c r="BU2217"/>
      <c r="BV2217">
        <v>2703963</v>
      </c>
      <c r="BW2217" t="inlineStr">
        <is>
          <t>No Answer : Voicemail - WA sent to customer</t>
        </is>
      </c>
      <c r="BX2217"/>
      <c r="BY2217"/>
      <c r="BZ2217" s="4"/>
      <c r="CA2217"/>
      <c r="CB2217"/>
      <c r="CC2217" s="4"/>
      <c r="CD2217" t="inlineStr">
        <is>
          <t>5</t>
        </is>
      </c>
      <c r="CE2217" t="inlineStr">
        <is>
          <t>0</t>
        </is>
      </c>
      <c r="CF2217" t="inlineStr">
        <is>
          <t>Q2-W01</t>
        </is>
      </c>
      <c r="CG2217"/>
      <c r="CH2217"/>
      <c r="CI2217"/>
      <c r="CJ2217" t="inlineStr">
        <is>
          <t>Paid</t>
        </is>
      </c>
      <c r="CK2217" t="inlineStr">
        <is>
          <t>Not Eligible</t>
        </is>
      </c>
      <c r="CL2217"/>
      <c r="CM2217"/>
    </row>
    <row r="2218" ht="25.5" customHeight="1">
      <c r="A2218" t="inlineStr">
        <is>
          <t>4239630</t>
        </is>
      </c>
      <c r="B2218" s="2"/>
      <c r="C2218"/>
      <c r="D2218" s="3">
        <v>46118.41725694444</v>
      </c>
      <c r="E2218" t="inlineStr">
        <is>
          <t>Q2-W01</t>
        </is>
      </c>
      <c r="F2218" t="inlineStr">
        <is>
          <t>Eugene</t>
        </is>
      </c>
      <c r="G2218" t="inlineStr">
        <is>
          <t>Lead</t>
        </is>
      </c>
      <c r="H2218" s="2" t="str">
        <f>=HYPERLINK("https://upbox.ajobthing.my/leads/4239630", "https://upbox.ajobthing.my/leads/4239630")</f>
        <v>https://upbox.ajobthing.my/leads/4239630</v>
      </c>
      <c r="I2218" t="inlineStr">
        <is>
          <t>Tokdin Mamam Enterprise</t>
        </is>
      </c>
      <c r="J2218" t="inlineStr">
        <is>
          <t>Dolphin</t>
        </is>
      </c>
      <c r="K2218" t="inlineStr">
        <is>
          <t>Eugene</t>
        </is>
      </c>
      <c r="L2218" s="4"/>
      <c r="M2218" s="4">
        <v>46118.417395833334</v>
      </c>
      <c r="N2218"/>
      <c r="O2218">
        <v>3888</v>
      </c>
      <c r="P2218" s="4"/>
      <c r="Q2218" s="4"/>
      <c r="R2218"/>
      <c r="S2218"/>
      <c r="T2218" s="4"/>
      <c r="U2218" s="4"/>
      <c r="V2218"/>
      <c r="W2218"/>
      <c r="X2218"/>
      <c r="Y2218" t="inlineStr">
        <is>
          <t>Pending Appointment</t>
        </is>
      </c>
      <c r="Z2218" t="inlineStr">
        <is>
          <t>Hiring Now</t>
        </is>
      </c>
      <c r="AA2218">
        <v>3</v>
      </c>
      <c r="AB2218" t="inlineStr">
        <is>
          <t>No Appointment Made</t>
        </is>
      </c>
      <c r="AC2218"/>
      <c r="AD2218" t="inlineStr">
        <is>
          <t>3 service crew, based in KL</t>
        </is>
      </c>
      <c r="AE2218"/>
      <c r="AF2218">
        <v>1200</v>
      </c>
      <c r="AG2218" s="4"/>
      <c r="AH2218" s="4"/>
      <c r="AI2218">
        <v>3000</v>
      </c>
      <c r="AJ2218">
        <v>2</v>
      </c>
      <c r="AK2218" t="inlineStr">
        <is>
          <t>No, I don't need at all</t>
        </is>
      </c>
      <c r="AL2218">
        <v>0</v>
      </c>
      <c r="AM2218" t="inlineStr">
        <is>
          <t>No, I don't need at all</t>
        </is>
      </c>
      <c r="AN2218"/>
      <c r="AO2218" t="inlineStr">
        <is>
          <t>No, I don't need at all</t>
        </is>
      </c>
      <c r="AP2218" t="inlineStr">
        <is>
          <t>Once a year (25%)</t>
        </is>
      </c>
      <c r="AQ2218">
        <v>4</v>
      </c>
      <c r="AR2218" t="inlineStr">
        <is>
          <t>Did not use any job portal</t>
        </is>
      </c>
      <c r="AS2218" t="inlineStr">
        <is>
          <t>- Headcount: 3
- Hiring Job Details: 3 service crew, based in KL
- Hiring Urgency: Hiring Now
- Number of outlets: 2
- Have recruiter team: No, I don't need at all
- Number of recruiter in company: 0
- Have ATS system: No, I don't need at all
- Have career website: No, I don't need at all
- Current hiring budget: RM1,200
- Whole year budget: RM3,000.00
- Whole year number of vacancies: 4
- Hiring frequency: Once a year (25%)
- External job portal: Did not use any job portal</t>
        </is>
      </c>
      <c r="AT2218">
        <v>115</v>
      </c>
      <c r="AU2218" t="inlineStr">
        <is>
          <t>1.15</t>
        </is>
      </c>
      <c r="AV2218" t="inlineStr">
        <is>
          <t>15</t>
        </is>
      </c>
      <c r="AW2218" t="inlineStr">
        <is>
          <t>0</t>
        </is>
      </c>
      <c r="AX2218" t="inlineStr">
        <is>
          <t>Not Qualified</t>
        </is>
      </c>
      <c r="AY2218" s="4"/>
      <c r="AZ2218"/>
      <c r="BA2218"/>
      <c r="BB2218"/>
      <c r="BC2218"/>
      <c r="BD2218" s="4"/>
      <c r="BE2218"/>
      <c r="BF2218"/>
      <c r="BG2218" t="inlineStr">
        <is>
          <t>Reschedule</t>
        </is>
      </c>
      <c r="BH2218" t="inlineStr">
        <is>
          <t>Edward Hoo</t>
        </is>
      </c>
      <c r="BI2218"/>
      <c r="BJ2218" s="4">
        <v>46144.75571759259</v>
      </c>
      <c r="BK2218" s="4">
        <v>46115.68430555556</v>
      </c>
      <c r="BL2218" t="inlineStr">
        <is>
          <t>0.0</t>
        </is>
      </c>
      <c r="BM2218" t="inlineStr">
        <is>
          <t>0.0</t>
        </is>
      </c>
      <c r="BN2218"/>
      <c r="BO2218" s="4"/>
      <c r="BP2218">
        <v>165286</v>
      </c>
      <c r="BQ2218"/>
      <c r="BR2218"/>
      <c r="BS2218"/>
      <c r="BT2218"/>
      <c r="BU2218"/>
      <c r="BV2218"/>
      <c r="BW2218"/>
      <c r="BX2218"/>
      <c r="BY2218"/>
      <c r="BZ2218" s="4"/>
      <c r="CA2218"/>
      <c r="CB2218"/>
      <c r="CC2218" s="4"/>
      <c r="CD2218" t="inlineStr">
        <is>
          <t>20</t>
        </is>
      </c>
      <c r="CE2218" t="inlineStr">
        <is>
          <t>0</t>
        </is>
      </c>
      <c r="CF2218" t="inlineStr">
        <is>
          <t>Q2-W01</t>
        </is>
      </c>
      <c r="CG2218"/>
      <c r="CH2218"/>
      <c r="CI2218"/>
      <c r="CJ2218" t="inlineStr">
        <is>
          <t>No Paid</t>
        </is>
      </c>
      <c r="CK2218" t="inlineStr">
        <is>
          <t>Not Eligible</t>
        </is>
      </c>
      <c r="CL2218"/>
      <c r="CM2218"/>
    </row>
    <row r="2219" ht="25.5" customHeight="1">
      <c r="A2219" t="inlineStr">
        <is>
          <t>4153224</t>
        </is>
      </c>
      <c r="B2219" s="2"/>
      <c r="C2219"/>
      <c r="D2219" s="3">
        <v>46118.417662037034</v>
      </c>
      <c r="E2219" t="inlineStr">
        <is>
          <t>Q2-W01</t>
        </is>
      </c>
      <c r="F2219" t="inlineStr">
        <is>
          <t>Ken Yi</t>
        </is>
      </c>
      <c r="G2219" t="inlineStr">
        <is>
          <t>Lead</t>
        </is>
      </c>
      <c r="H2219" s="2" t="str">
        <f>=HYPERLINK("https://upbox.ajobthing.my/leads/4153224", "https://upbox.ajobthing.my/leads/4153224")</f>
        <v>https://upbox.ajobthing.my/leads/4153224</v>
      </c>
      <c r="I2219" t="inlineStr">
        <is>
          <t>FENGSHI METAL TECHNOLOGY MALAYSIA SDN BHD</t>
        </is>
      </c>
      <c r="J2219" t="inlineStr">
        <is>
          <t>Dolphin</t>
        </is>
      </c>
      <c r="K2219" t="inlineStr">
        <is>
          <t>Kenyi</t>
        </is>
      </c>
      <c r="L2219" s="4"/>
      <c r="M2219" s="4">
        <v>46118.431666666664</v>
      </c>
      <c r="N2219"/>
      <c r="O2219">
        <v>6048</v>
      </c>
      <c r="P2219" s="4"/>
      <c r="Q2219" s="4"/>
      <c r="R2219"/>
      <c r="S2219"/>
      <c r="T2219" s="4"/>
      <c r="U2219" s="4"/>
      <c r="V2219"/>
      <c r="W2219"/>
      <c r="X2219"/>
      <c r="Y2219" t="inlineStr">
        <is>
          <t>Pending Appointment</t>
        </is>
      </c>
      <c r="Z2219" t="inlineStr">
        <is>
          <t>Hiring Now</t>
        </is>
      </c>
      <c r="AA2219">
        <v>5</v>
      </c>
      <c r="AB2219" t="inlineStr">
        <is>
          <t>No Appointment Made</t>
        </is>
      </c>
      <c r="AC2219"/>
      <c r="AD2219" t="inlineStr">
        <is>
          <t>5 operation needed</t>
        </is>
      </c>
      <c r="AE2219"/>
      <c r="AF2219">
        <v>0</v>
      </c>
      <c r="AG2219" s="4"/>
      <c r="AH2219" s="4"/>
      <c r="AI2219">
        <v>5000</v>
      </c>
      <c r="AJ2219">
        <v>1</v>
      </c>
      <c r="AK2219" t="inlineStr">
        <is>
          <t>Yes, I have</t>
        </is>
      </c>
      <c r="AL2219">
        <v>2</v>
      </c>
      <c r="AM2219" t="inlineStr">
        <is>
          <t>No, I don't need at all</t>
        </is>
      </c>
      <c r="AN2219"/>
      <c r="AO2219" t="inlineStr">
        <is>
          <t>No, but I want in future</t>
        </is>
      </c>
      <c r="AP2219" t="inlineStr">
        <is>
          <t>Every month (100%)</t>
        </is>
      </c>
      <c r="AQ2219">
        <v>5</v>
      </c>
      <c r="AR2219" t="inlineStr">
        <is>
          <t>Did not use any job portal</t>
        </is>
      </c>
      <c r="AS2219" t="inlineStr">
        <is>
          <t>- Headcount: 5
- Hiring Job Details: 5 operation needed
- Hiring Urgency: Hiring Now
- Number of outlets: 1
- Have recruiter team: Yes
- Number of recruiter in company: 2
- Have ATS system: No, I don't need at all
- Have career website: No, but I want in future
- Current hiring budget: RM0.00
- Whole year budget: RM5,000.00
- Whole year number of vacancies: 5
- Hiring frequency: Every month (100%)
- External job portal: Did not use any job portal</t>
        </is>
      </c>
      <c r="AT2219">
        <v>115</v>
      </c>
      <c r="AU2219" t="inlineStr">
        <is>
          <t>1.15</t>
        </is>
      </c>
      <c r="AV2219" t="inlineStr">
        <is>
          <t>20</t>
        </is>
      </c>
      <c r="AW2219" t="inlineStr">
        <is>
          <t>0</t>
        </is>
      </c>
      <c r="AX2219" t="inlineStr">
        <is>
          <t>Not Qualified</t>
        </is>
      </c>
      <c r="AY2219" s="4"/>
      <c r="AZ2219"/>
      <c r="BA2219"/>
      <c r="BB2219"/>
      <c r="BC2219"/>
      <c r="BD2219" s="4"/>
      <c r="BE2219"/>
      <c r="BF2219"/>
      <c r="BG2219" t="inlineStr">
        <is>
          <t>Reschedule</t>
        </is>
      </c>
      <c r="BH2219" t="inlineStr">
        <is>
          <t>Fauziah Maharan</t>
        </is>
      </c>
      <c r="BI2219"/>
      <c r="BJ2219" s="4">
        <v>46144.75554398148</v>
      </c>
      <c r="BK2219" s="4">
        <v>46093.662835648145</v>
      </c>
      <c r="BL2219" t="inlineStr">
        <is>
          <t>0.0</t>
        </is>
      </c>
      <c r="BM2219" t="inlineStr">
        <is>
          <t>2400.0</t>
        </is>
      </c>
      <c r="BN2219"/>
      <c r="BO2219" s="4"/>
      <c r="BP2219">
        <v>165297</v>
      </c>
      <c r="BQ2219"/>
      <c r="BR2219"/>
      <c r="BS2219"/>
      <c r="BT2219"/>
      <c r="BU2219"/>
      <c r="BV2219"/>
      <c r="BW2219"/>
      <c r="BX2219"/>
      <c r="BY2219"/>
      <c r="BZ2219" s="4"/>
      <c r="CA2219"/>
      <c r="CB2219"/>
      <c r="CC2219" s="4"/>
      <c r="CD2219" t="inlineStr">
        <is>
          <t>30</t>
        </is>
      </c>
      <c r="CE2219" t="inlineStr">
        <is>
          <t>0</t>
        </is>
      </c>
      <c r="CF2219" t="inlineStr">
        <is>
          <t>Q2-W01</t>
        </is>
      </c>
      <c r="CG2219"/>
      <c r="CH2219"/>
      <c r="CI2219"/>
      <c r="CJ2219" t="inlineStr">
        <is>
          <t>No Paid</t>
        </is>
      </c>
      <c r="CK2219" t="inlineStr">
        <is>
          <t>Not Eligible</t>
        </is>
      </c>
      <c r="CL2219"/>
      <c r="CM2219"/>
    </row>
    <row r="2220" ht="25.5" customHeight="1">
      <c r="A2220" t="inlineStr">
        <is>
          <t>174531</t>
        </is>
      </c>
      <c r="B2220" s="2"/>
      <c r="C2220"/>
      <c r="D2220" s="3">
        <v>46118.421875</v>
      </c>
      <c r="E2220" t="inlineStr">
        <is>
          <t>Q2-W01</t>
        </is>
      </c>
      <c r="F2220" t="inlineStr">
        <is>
          <t>Eugene</t>
        </is>
      </c>
      <c r="G2220" t="inlineStr">
        <is>
          <t>Customer</t>
        </is>
      </c>
      <c r="H2220" s="2" t="str">
        <f>=HYPERLINK("https://upbox.ajobthing.my/customer/174531", "https://upbox.ajobthing.my/customer/174531")</f>
        <v>https://upbox.ajobthing.my/customer/174531</v>
      </c>
      <c r="I2220" t="inlineStr">
        <is>
          <t>Lumber Mart Sdn Bhd</t>
        </is>
      </c>
      <c r="J2220" t="inlineStr">
        <is>
          <t>Dolphin</t>
        </is>
      </c>
      <c r="K2220" t="inlineStr">
        <is>
          <t>Eugene</t>
        </is>
      </c>
      <c r="L2220" s="4"/>
      <c r="M2220" s="4">
        <v>46118.42201388889</v>
      </c>
      <c r="N2220"/>
      <c r="O2220">
        <v>3888</v>
      </c>
      <c r="P2220" s="4"/>
      <c r="Q2220" s="4">
        <v>45986.46346064815</v>
      </c>
      <c r="R2220"/>
      <c r="S2220">
        <v>864</v>
      </c>
      <c r="T2220" s="4">
        <v>45986.46346064815</v>
      </c>
      <c r="U2220" s="4"/>
      <c r="V2220"/>
      <c r="W2220">
        <v>864</v>
      </c>
      <c r="X2220"/>
      <c r="Y2220" t="inlineStr">
        <is>
          <t>Pending Appointment</t>
        </is>
      </c>
      <c r="Z2220" t="inlineStr">
        <is>
          <t>Hiring Later</t>
        </is>
      </c>
      <c r="AA2220">
        <v>3</v>
      </c>
      <c r="AB2220" t="inlineStr">
        <is>
          <t>No Appointment Made</t>
        </is>
      </c>
      <c r="AC2220"/>
      <c r="AD2220" t="inlineStr">
        <is>
          <t>2 sales and marketing, 1 production exec, based in KL</t>
        </is>
      </c>
      <c r="AE2220"/>
      <c r="AF2220">
        <v>3000</v>
      </c>
      <c r="AG2220" s="4"/>
      <c r="AH2220" s="4"/>
      <c r="AI2220">
        <v>3000</v>
      </c>
      <c r="AJ2220">
        <v>1</v>
      </c>
      <c r="AK2220" t="inlineStr">
        <is>
          <t>No, I don't need at all</t>
        </is>
      </c>
      <c r="AL2220">
        <v>0</v>
      </c>
      <c r="AM2220" t="inlineStr">
        <is>
          <t>No, I don't need at all</t>
        </is>
      </c>
      <c r="AN2220"/>
      <c r="AO2220" t="inlineStr">
        <is>
          <t>No, I don't need at all</t>
        </is>
      </c>
      <c r="AP2220" t="inlineStr">
        <is>
          <t>Twice a year (50%)</t>
        </is>
      </c>
      <c r="AQ2220">
        <v>3</v>
      </c>
      <c r="AR2220" t="inlineStr">
        <is>
          <t>Jobstreet</t>
        </is>
      </c>
      <c r="AS2220" t="inlineStr">
        <is>
          <t>- Headcount: 3
- Hiring Job Details: 2 sales and marketing, 1 production exec, based in KL
- Hiring Urgency: Hiring Later
- Number of outlets: 1
- Have recruiter team: No, I don't need at all
- Number of recruiter in company: 0
- Have ATS system: No, I don't need at all
- Have career website: No, I don't need at all
- Current hiring budget: RM3,000
- Whole year budget: RM3,000.00
- Whole year number of vacancies: 3
- Hiring frequency: Twice a year (50%)
- External job portal: Jobstreet</t>
        </is>
      </c>
      <c r="AT2220">
        <v>115</v>
      </c>
      <c r="AU2220" t="inlineStr">
        <is>
          <t>1.15</t>
        </is>
      </c>
      <c r="AV2220" t="inlineStr">
        <is>
          <t>15</t>
        </is>
      </c>
      <c r="AW2220" t="inlineStr">
        <is>
          <t>0</t>
        </is>
      </c>
      <c r="AX2220" t="inlineStr">
        <is>
          <t>Not Qualified</t>
        </is>
      </c>
      <c r="AY2220" s="4"/>
      <c r="AZ2220"/>
      <c r="BA2220"/>
      <c r="BB2220"/>
      <c r="BC2220" t="inlineStr">
        <is>
          <t>na,ws</t>
        </is>
      </c>
      <c r="BD2220" s="4">
        <v>46136.60832175926</v>
      </c>
      <c r="BE2220" t="inlineStr">
        <is>
          <t>paid</t>
        </is>
      </c>
      <c r="BF2220"/>
      <c r="BG2220" t="inlineStr">
        <is>
          <t>Reschedule</t>
        </is>
      </c>
      <c r="BH2220" t="inlineStr">
        <is>
          <t>Edward Hoo</t>
        </is>
      </c>
      <c r="BI2220" t="inlineStr">
        <is>
          <t>Wood / Fibre / Paper</t>
        </is>
      </c>
      <c r="BJ2220" s="4">
        <v>46144.751550925925</v>
      </c>
      <c r="BK2220" s="4">
        <v>45303.391909722224</v>
      </c>
      <c r="BL2220" t="inlineStr">
        <is>
          <t>864.0</t>
        </is>
      </c>
      <c r="BM2220" t="inlineStr">
        <is>
          <t>2400.0</t>
        </is>
      </c>
      <c r="BN2220" t="inlineStr">
        <is>
          <t>View Jobmanager Page</t>
        </is>
      </c>
      <c r="BO2220" s="4">
        <v>46001.71491898148</v>
      </c>
      <c r="BP2220">
        <v>165287</v>
      </c>
      <c r="BQ2220">
        <v>84458</v>
      </c>
      <c r="BR2220" t="inlineStr">
        <is>
          <t>Online</t>
        </is>
      </c>
      <c r="BS2220"/>
      <c r="BT2220">
        <v>84458</v>
      </c>
      <c r="BU2220"/>
      <c r="BV2220">
        <v>2726490</v>
      </c>
      <c r="BW2220" t="inlineStr">
        <is>
          <t>No Answer : Voicemail - WA sent to customer</t>
        </is>
      </c>
      <c r="BX2220"/>
      <c r="BY2220"/>
      <c r="BZ2220" s="4"/>
      <c r="CA2220"/>
      <c r="CB2220"/>
      <c r="CC2220" s="4"/>
      <c r="CD2220" t="inlineStr">
        <is>
          <t>20</t>
        </is>
      </c>
      <c r="CE2220" t="inlineStr">
        <is>
          <t>0</t>
        </is>
      </c>
      <c r="CF2220" t="inlineStr">
        <is>
          <t>Q2-W01</t>
        </is>
      </c>
      <c r="CG2220"/>
      <c r="CH2220"/>
      <c r="CI2220"/>
      <c r="CJ2220" t="inlineStr">
        <is>
          <t>Paid</t>
        </is>
      </c>
      <c r="CK2220" t="inlineStr">
        <is>
          <t>Not Eligible</t>
        </is>
      </c>
      <c r="CL2220"/>
      <c r="CM2220"/>
    </row>
    <row r="2221" ht="25.5" customHeight="1">
      <c r="A2221" t="inlineStr">
        <is>
          <t>4251350</t>
        </is>
      </c>
      <c r="B2221" s="2"/>
      <c r="C2221"/>
      <c r="D2221" s="3">
        <v>46118.426932870374</v>
      </c>
      <c r="E2221" t="inlineStr">
        <is>
          <t>Q2-W01</t>
        </is>
      </c>
      <c r="F2221" t="inlineStr">
        <is>
          <t>Jess</t>
        </is>
      </c>
      <c r="G2221" t="inlineStr">
        <is>
          <t>Lead</t>
        </is>
      </c>
      <c r="H2221" s="2" t="str">
        <f>=HYPERLINK("https://upbox.ajobthing.my/leads/4251350", "https://upbox.ajobthing.my/leads/4251350")</f>
        <v>https://upbox.ajobthing.my/leads/4251350</v>
      </c>
      <c r="I2221" t="inlineStr">
        <is>
          <t>HUA SAN COPPER INDUSTRY SDN BHD</t>
        </is>
      </c>
      <c r="J2221" t="inlineStr">
        <is>
          <t>Dolphin</t>
        </is>
      </c>
      <c r="K2221" t="inlineStr">
        <is>
          <t>Jess Lim</t>
        </is>
      </c>
      <c r="L2221" s="4"/>
      <c r="M2221" s="4">
        <v>46118.427199074074</v>
      </c>
      <c r="N2221"/>
      <c r="O2221">
        <v>3888</v>
      </c>
      <c r="P2221" s="4"/>
      <c r="Q2221" s="4"/>
      <c r="R2221"/>
      <c r="S2221"/>
      <c r="T2221" s="4"/>
      <c r="U2221" s="4"/>
      <c r="V2221"/>
      <c r="W2221"/>
      <c r="X2221"/>
      <c r="Y2221" t="inlineStr">
        <is>
          <t>Pending Appointment</t>
        </is>
      </c>
      <c r="Z2221" t="inlineStr">
        <is>
          <t>Hiring Now</t>
        </is>
      </c>
      <c r="AA2221">
        <v>1</v>
      </c>
      <c r="AB2221" t="inlineStr">
        <is>
          <t>No Appointment Made</t>
        </is>
      </c>
      <c r="AC2221"/>
      <c r="AD2221" t="inlineStr">
        <is>
          <t>account</t>
        </is>
      </c>
      <c r="AE2221"/>
      <c r="AF2221">
        <v>0</v>
      </c>
      <c r="AG2221" s="4"/>
      <c r="AH2221" s="4"/>
      <c r="AI2221"/>
      <c r="AJ2221">
        <v>1</v>
      </c>
      <c r="AK2221" t="inlineStr">
        <is>
          <t>Yes, I have</t>
        </is>
      </c>
      <c r="AL2221">
        <v>1</v>
      </c>
      <c r="AM2221" t="inlineStr">
        <is>
          <t>No, I don't need at all</t>
        </is>
      </c>
      <c r="AN2221"/>
      <c r="AO2221" t="inlineStr">
        <is>
          <t>No, I don't need at all</t>
        </is>
      </c>
      <c r="AP2221" t="inlineStr">
        <is>
          <t>Once a year (25%)</t>
        </is>
      </c>
      <c r="AQ2221"/>
      <c r="AR2221" t="inlineStr">
        <is>
          <t>Free Job Portal</t>
        </is>
      </c>
      <c r="AS2221" t="inlineStr">
        <is>
          <t>- Headcount: 1
- Hiring Job Details: account
- Hiring Urgency: Hiring Now
- Number of outlets: 1
- Have recruiter team: Yes, I have
- Number of recruiter in company: 1
- Have ATS system: No, I don't need at all
- Have career website: No, I don't need at all
- Current hiring budget: RM0.00
- Whole year budget: 
- Whole year number of vacancies: 
- Hiring frequency: Once a year (25%)
- External job portal: Free Job Portal</t>
        </is>
      </c>
      <c r="AT2221">
        <v>95</v>
      </c>
      <c r="AU2221" t="inlineStr">
        <is>
          <t>0.95</t>
        </is>
      </c>
      <c r="AV2221" t="inlineStr">
        <is>
          <t>15</t>
        </is>
      </c>
      <c r="AW2221" t="inlineStr">
        <is>
          <t>0</t>
        </is>
      </c>
      <c r="AX2221" t="inlineStr">
        <is>
          <t>Not Qualified</t>
        </is>
      </c>
      <c r="AY2221" s="4"/>
      <c r="AZ2221"/>
      <c r="BA2221"/>
      <c r="BB2221"/>
      <c r="BC2221"/>
      <c r="BD2221" s="4"/>
      <c r="BE2221"/>
      <c r="BF2221"/>
      <c r="BG2221" t="inlineStr">
        <is>
          <t>Reschedule</t>
        </is>
      </c>
      <c r="BH2221" t="inlineStr">
        <is>
          <t>Fauziah Maharan</t>
        </is>
      </c>
      <c r="BI2221"/>
      <c r="BJ2221" s="4">
        <v>46144.75571759259</v>
      </c>
      <c r="BK2221" s="4">
        <v>46118.41837962963</v>
      </c>
      <c r="BL2221" t="inlineStr">
        <is>
          <t>0.0</t>
        </is>
      </c>
      <c r="BM2221" t="inlineStr">
        <is>
          <t>0.0</t>
        </is>
      </c>
      <c r="BN2221"/>
      <c r="BO2221" s="4"/>
      <c r="BP2221">
        <v>165289</v>
      </c>
      <c r="BQ2221"/>
      <c r="BR2221"/>
      <c r="BS2221"/>
      <c r="BT2221"/>
      <c r="BU2221"/>
      <c r="BV2221"/>
      <c r="BW2221"/>
      <c r="BX2221"/>
      <c r="BY2221"/>
      <c r="BZ2221" s="4"/>
      <c r="CA2221"/>
      <c r="CB2221"/>
      <c r="CC2221" s="4"/>
      <c r="CD2221" t="inlineStr">
        <is>
          <t>20</t>
        </is>
      </c>
      <c r="CE2221" t="inlineStr">
        <is>
          <t>0</t>
        </is>
      </c>
      <c r="CF2221" t="inlineStr">
        <is>
          <t>Q2-W01</t>
        </is>
      </c>
      <c r="CG2221"/>
      <c r="CH2221"/>
      <c r="CI2221"/>
      <c r="CJ2221" t="inlineStr">
        <is>
          <t>No Paid</t>
        </is>
      </c>
      <c r="CK2221" t="inlineStr">
        <is>
          <t>Not Eligible</t>
        </is>
      </c>
      <c r="CL2221"/>
      <c r="CM2221"/>
    </row>
    <row r="2222" ht="25.5" customHeight="1">
      <c r="A2222" t="inlineStr">
        <is>
          <t>184136</t>
        </is>
      </c>
      <c r="B2222" s="2"/>
      <c r="C2222"/>
      <c r="D2222" s="3">
        <v>46118.432650462964</v>
      </c>
      <c r="E2222" t="inlineStr">
        <is>
          <t>Q2-W01</t>
        </is>
      </c>
      <c r="F2222" t="inlineStr">
        <is>
          <t>Jia Hui</t>
        </is>
      </c>
      <c r="G2222" t="inlineStr">
        <is>
          <t>Customer</t>
        </is>
      </c>
      <c r="H2222" s="2" t="str">
        <f>=HYPERLINK("https://upbox.ajobthing.my/customer/184136", "https://upbox.ajobthing.my/customer/184136")</f>
        <v>https://upbox.ajobthing.my/customer/184136</v>
      </c>
      <c r="I2222" t="inlineStr">
        <is>
          <t>Orient Containers Sdn Bhd</t>
        </is>
      </c>
      <c r="J2222" t="inlineStr">
        <is>
          <t>Dolphin</t>
        </is>
      </c>
      <c r="K2222" t="inlineStr">
        <is>
          <t>Jia Hui</t>
        </is>
      </c>
      <c r="L2222" s="4"/>
      <c r="M2222" s="4">
        <v>46118.43303240741</v>
      </c>
      <c r="N2222"/>
      <c r="O2222">
        <v>3672</v>
      </c>
      <c r="P2222" s="4"/>
      <c r="Q2222" s="4">
        <v>46015.4474537037</v>
      </c>
      <c r="R2222"/>
      <c r="S2222">
        <v>864</v>
      </c>
      <c r="T2222" s="4">
        <v>46015.4474537037</v>
      </c>
      <c r="U2222" s="4"/>
      <c r="V2222"/>
      <c r="W2222">
        <v>864</v>
      </c>
      <c r="X2222"/>
      <c r="Y2222" t="inlineStr">
        <is>
          <t>Pending Appointment</t>
        </is>
      </c>
      <c r="Z2222" t="inlineStr">
        <is>
          <t>Hiring Now</t>
        </is>
      </c>
      <c r="AA2222">
        <v>1</v>
      </c>
      <c r="AB2222" t="inlineStr">
        <is>
          <t>No Appointment Made</t>
        </is>
      </c>
      <c r="AC2222"/>
      <c r="AD2222" t="inlineStr">
        <is>
          <t>1 sales executive</t>
        </is>
      </c>
      <c r="AE2222"/>
      <c r="AF2222">
        <v>1000</v>
      </c>
      <c r="AG2222" s="4"/>
      <c r="AH2222" s="4"/>
      <c r="AI2222"/>
      <c r="AJ2222"/>
      <c r="AK2222" t="inlineStr">
        <is>
          <t>No, but I want in future</t>
        </is>
      </c>
      <c r="AL2222"/>
      <c r="AM2222"/>
      <c r="AN2222"/>
      <c r="AO2222"/>
      <c r="AP2222" t="inlineStr">
        <is>
          <t>Once a year (25%)</t>
        </is>
      </c>
      <c r="AQ2222"/>
      <c r="AR2222"/>
      <c r="AS2222" t="inlineStr">
        <is>
          <t>- Headcount: 1
- Hiring Job Details: 1 sales executive
- Hiring Urgency: Hiring Now
- Number of outlets: Not available
- Have recruiter team: No, but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222">
        <v>75</v>
      </c>
      <c r="AU2222" t="inlineStr">
        <is>
          <t>0.75</t>
        </is>
      </c>
      <c r="AV2222" t="inlineStr">
        <is>
          <t>15</t>
        </is>
      </c>
      <c r="AW2222" t="inlineStr">
        <is>
          <t>0</t>
        </is>
      </c>
      <c r="AX2222" t="inlineStr">
        <is>
          <t>Not Qualified</t>
        </is>
      </c>
      <c r="AY2222" s="4"/>
      <c r="AZ2222"/>
      <c r="BA2222"/>
      <c r="BB2222"/>
      <c r="BC2222" t="inlineStr">
        <is>
          <t>superior mentioned want to look for headhunter service, asking how much is the company budget</t>
        </is>
      </c>
      <c r="BD2222" s="4">
        <v>46128.47561342592</v>
      </c>
      <c r="BE2222" t="inlineStr">
        <is>
          <t>paid</t>
        </is>
      </c>
      <c r="BF2222"/>
      <c r="BG2222" t="inlineStr">
        <is>
          <t>Reschedule</t>
        </is>
      </c>
      <c r="BH2222" t="inlineStr">
        <is>
          <t>Reagen</t>
        </is>
      </c>
      <c r="BI2222" t="inlineStr">
        <is>
          <t>Transportation / Logistics</t>
        </is>
      </c>
      <c r="BJ2222" s="4">
        <v>46144.75199074074</v>
      </c>
      <c r="BK2222" s="4">
        <v>45589.43908564815</v>
      </c>
      <c r="BL2222" t="inlineStr">
        <is>
          <t>1728.0</t>
        </is>
      </c>
      <c r="BM2222" t="inlineStr">
        <is>
          <t>0.0</t>
        </is>
      </c>
      <c r="BN2222" t="inlineStr">
        <is>
          <t>View Jobmanager Page</t>
        </is>
      </c>
      <c r="BO2222" s="4">
        <v>46099.616273148145</v>
      </c>
      <c r="BP2222">
        <v>165299</v>
      </c>
      <c r="BQ2222">
        <v>85171</v>
      </c>
      <c r="BR2222" t="inlineStr">
        <is>
          <t>Online</t>
        </is>
      </c>
      <c r="BS2222"/>
      <c r="BT2222">
        <v>85171</v>
      </c>
      <c r="BU2222"/>
      <c r="BV2222">
        <v>2708455</v>
      </c>
      <c r="BW2222" t="inlineStr">
        <is>
          <t>Follow Up : Lost - Paid Portal</t>
        </is>
      </c>
      <c r="BX2222"/>
      <c r="BY2222"/>
      <c r="BZ2222" s="4"/>
      <c r="CA2222"/>
      <c r="CB2222"/>
      <c r="CC2222" s="4"/>
      <c r="CD2222" t="inlineStr">
        <is>
          <t>20</t>
        </is>
      </c>
      <c r="CE2222" t="inlineStr">
        <is>
          <t>0</t>
        </is>
      </c>
      <c r="CF2222" t="inlineStr">
        <is>
          <t>Q2-W01</t>
        </is>
      </c>
      <c r="CG2222"/>
      <c r="CH2222"/>
      <c r="CI2222"/>
      <c r="CJ2222" t="inlineStr">
        <is>
          <t>Paid</t>
        </is>
      </c>
      <c r="CK2222" t="inlineStr">
        <is>
          <t>Not Eligible</t>
        </is>
      </c>
      <c r="CL2222"/>
      <c r="CM2222"/>
    </row>
    <row r="2223" ht="25.5" customHeight="1">
      <c r="A2223" t="inlineStr">
        <is>
          <t>200566</t>
        </is>
      </c>
      <c r="B2223" s="2"/>
      <c r="C2223"/>
      <c r="D2223" s="3">
        <v>46118.44127314815</v>
      </c>
      <c r="E2223" t="inlineStr">
        <is>
          <t>Q2-W01</t>
        </is>
      </c>
      <c r="F2223" t="inlineStr">
        <is>
          <t>Luqman</t>
        </is>
      </c>
      <c r="G2223" t="inlineStr">
        <is>
          <t>Customer</t>
        </is>
      </c>
      <c r="H2223" s="2" t="str">
        <f>=HYPERLINK("https://upbox.ajobthing.my/customer/200566", "https://upbox.ajobthing.my/customer/200566")</f>
        <v>https://upbox.ajobthing.my/customer/200566</v>
      </c>
      <c r="I2223" t="inlineStr">
        <is>
          <t>SAA Associates Sdn Bhd</t>
        </is>
      </c>
      <c r="J2223" t="inlineStr">
        <is>
          <t>Dolphin</t>
        </is>
      </c>
      <c r="K2223" t="inlineStr">
        <is>
          <t>Luqman</t>
        </is>
      </c>
      <c r="L2223" s="4"/>
      <c r="M2223" s="4">
        <v>46118.441770833335</v>
      </c>
      <c r="N2223"/>
      <c r="O2223">
        <v>6048</v>
      </c>
      <c r="P2223" s="4"/>
      <c r="Q2223" s="4"/>
      <c r="R2223"/>
      <c r="S2223"/>
      <c r="T2223" s="4"/>
      <c r="U2223" s="4"/>
      <c r="V2223"/>
      <c r="W2223"/>
      <c r="X2223"/>
      <c r="Y2223" t="inlineStr">
        <is>
          <t>Pending Appointment</t>
        </is>
      </c>
      <c r="Z2223" t="inlineStr">
        <is>
          <t>Continuous Hiring</t>
        </is>
      </c>
      <c r="AA2223">
        <v>1</v>
      </c>
      <c r="AB2223" t="inlineStr">
        <is>
          <t>No Appointment Made</t>
        </is>
      </c>
      <c r="AC2223"/>
      <c r="AD2223" t="inlineStr">
        <is>
          <t>1. Telemarketing</t>
        </is>
      </c>
      <c r="AE2223"/>
      <c r="AF2223">
        <v>5000</v>
      </c>
      <c r="AG2223" s="4"/>
      <c r="AH2223" s="4"/>
      <c r="AI2223">
        <v>5000</v>
      </c>
      <c r="AJ2223"/>
      <c r="AK2223" t="inlineStr">
        <is>
          <t>Yes, I have</t>
        </is>
      </c>
      <c r="AL2223">
        <v>4</v>
      </c>
      <c r="AM2223" t="inlineStr">
        <is>
          <t>No, I don't need at all</t>
        </is>
      </c>
      <c r="AN2223"/>
      <c r="AO2223" t="inlineStr">
        <is>
          <t>Yes, I have</t>
        </is>
      </c>
      <c r="AP2223" t="inlineStr">
        <is>
          <t>Twice a year (50%)</t>
        </is>
      </c>
      <c r="AQ2223">
        <v>12</v>
      </c>
      <c r="AR2223" t="inlineStr">
        <is>
          <t>Jobstreet</t>
        </is>
      </c>
      <c r="AS2223" t="inlineStr">
        <is>
          <t>- Headcount: 1
- Hiring Job Details: 1 Telemarketing
- Hiring Urgency: Continuous Hiring
- Number of outlets: Not provided
- Have recruiter team: Yes
- Number of recruiter in company: 4
- Have ATS system: No, I don't need at all
- Have career website: Yes
- Current hiring budget: RM5,000
- Whole year budget: RM5,000.00
- Whole year number of vacancies: 12
- Hiring frequency: Twice a year (50%)
- External job portal: Jobstreet</t>
        </is>
      </c>
      <c r="AT2223">
        <v>115</v>
      </c>
      <c r="AU2223" t="inlineStr">
        <is>
          <t>1.15</t>
        </is>
      </c>
      <c r="AV2223" t="inlineStr">
        <is>
          <t>15</t>
        </is>
      </c>
      <c r="AW2223" t="inlineStr">
        <is>
          <t>0</t>
        </is>
      </c>
      <c r="AX2223" t="inlineStr">
        <is>
          <t>Not Qualified</t>
        </is>
      </c>
      <c r="AY2223" s="4"/>
      <c r="AZ2223"/>
      <c r="BA2223"/>
      <c r="BB2223"/>
      <c r="BC2223" t="inlineStr">
        <is>
          <t>Business yet to have project coming in, On hold</t>
        </is>
      </c>
      <c r="BD2223" s="4">
        <v>46127.61935185185</v>
      </c>
      <c r="BE2223"/>
      <c r="BF2223"/>
      <c r="BG2223" t="inlineStr">
        <is>
          <t>Reschedule</t>
        </is>
      </c>
      <c r="BH2223" t="inlineStr">
        <is>
          <t>Edward Hoo</t>
        </is>
      </c>
      <c r="BI2223" t="inlineStr">
        <is>
          <t>Banking / Finance</t>
        </is>
      </c>
      <c r="BJ2223" s="4">
        <v>46144.753599537034</v>
      </c>
      <c r="BK2223" s="4">
        <v>46044.5447337963</v>
      </c>
      <c r="BL2223" t="inlineStr">
        <is>
          <t>0.0</t>
        </is>
      </c>
      <c r="BM2223" t="inlineStr">
        <is>
          <t>0.0</t>
        </is>
      </c>
      <c r="BN2223" t="inlineStr">
        <is>
          <t>View Jobmanager Page</t>
        </is>
      </c>
      <c r="BO2223" s="4">
        <v>46065.66185185185</v>
      </c>
      <c r="BP2223">
        <v>165304</v>
      </c>
      <c r="BQ2223"/>
      <c r="BR2223"/>
      <c r="BS2223"/>
      <c r="BT2223"/>
      <c r="BU2223"/>
      <c r="BV2223">
        <v>2706084</v>
      </c>
      <c r="BW2223" t="inlineStr">
        <is>
          <t>Follow Up : Budget Concern</t>
        </is>
      </c>
      <c r="BX2223"/>
      <c r="BY2223"/>
      <c r="BZ2223" s="4"/>
      <c r="CA2223"/>
      <c r="CB2223"/>
      <c r="CC2223" s="4"/>
      <c r="CD2223" t="inlineStr">
        <is>
          <t>20</t>
        </is>
      </c>
      <c r="CE2223" t="inlineStr">
        <is>
          <t>0</t>
        </is>
      </c>
      <c r="CF2223" t="inlineStr">
        <is>
          <t>Q2-W01</t>
        </is>
      </c>
      <c r="CG2223"/>
      <c r="CH2223"/>
      <c r="CI2223"/>
      <c r="CJ2223" t="inlineStr">
        <is>
          <t>No Paid</t>
        </is>
      </c>
      <c r="CK2223" t="inlineStr">
        <is>
          <t>Not Eligible</t>
        </is>
      </c>
      <c r="CL2223"/>
      <c r="CM2223"/>
    </row>
    <row r="2224" ht="25.5" customHeight="1">
      <c r="A2224" t="inlineStr">
        <is>
          <t>175560</t>
        </is>
      </c>
      <c r="B2224" s="2"/>
      <c r="C2224"/>
      <c r="D2224" s="3">
        <v>46118.44881944444</v>
      </c>
      <c r="E2224" t="inlineStr">
        <is>
          <t>Q2-W01</t>
        </is>
      </c>
      <c r="F2224" t="inlineStr">
        <is>
          <t>Lucas</t>
        </is>
      </c>
      <c r="G2224" t="inlineStr">
        <is>
          <t>Customer</t>
        </is>
      </c>
      <c r="H2224" s="2" t="str">
        <f>=HYPERLINK("https://upbox.ajobthing.my/customer/175560", "https://upbox.ajobthing.my/customer/175560")</f>
        <v>https://upbox.ajobthing.my/customer/175560</v>
      </c>
      <c r="I2224" t="inlineStr">
        <is>
          <t>Kapco Marketing Sdn Bhd</t>
        </is>
      </c>
      <c r="J2224" t="inlineStr">
        <is>
          <t>Dolphin</t>
        </is>
      </c>
      <c r="K2224" t="inlineStr">
        <is>
          <t>Lucas</t>
        </is>
      </c>
      <c r="L2224" s="4"/>
      <c r="M2224" s="4">
        <v>46118.40550925926</v>
      </c>
      <c r="N2224"/>
      <c r="O2224">
        <v>3888</v>
      </c>
      <c r="P2224" s="4"/>
      <c r="Q2224" s="4">
        <v>46116.29222222222</v>
      </c>
      <c r="R2224"/>
      <c r="S2224">
        <v>0</v>
      </c>
      <c r="T2224" s="4"/>
      <c r="U2224" s="4"/>
      <c r="V2224"/>
      <c r="W2224"/>
      <c r="X2224"/>
      <c r="Y2224" t="inlineStr">
        <is>
          <t>Pending Appointment</t>
        </is>
      </c>
      <c r="Z2224" t="inlineStr">
        <is>
          <t>Hiring Later</t>
        </is>
      </c>
      <c r="AA2224">
        <v>1</v>
      </c>
      <c r="AB2224" t="inlineStr">
        <is>
          <t>No Appointment Made</t>
        </is>
      </c>
      <c r="AC2224"/>
      <c r="AD2224" t="inlineStr">
        <is>
          <t>1 admin</t>
        </is>
      </c>
      <c r="AE2224"/>
      <c r="AF2224">
        <v>0</v>
      </c>
      <c r="AG2224" s="4"/>
      <c r="AH2224" s="4"/>
      <c r="AI2224">
        <v>0</v>
      </c>
      <c r="AJ2224">
        <v>0</v>
      </c>
      <c r="AK2224" t="inlineStr">
        <is>
          <t>No, I don't need at all</t>
        </is>
      </c>
      <c r="AL2224">
        <v>0</v>
      </c>
      <c r="AM2224" t="inlineStr">
        <is>
          <t>No, I don't need at all</t>
        </is>
      </c>
      <c r="AN2224"/>
      <c r="AO2224" t="inlineStr">
        <is>
          <t>No, I don't need at all</t>
        </is>
      </c>
      <c r="AP2224" t="inlineStr">
        <is>
          <t>Once a year (25%)</t>
        </is>
      </c>
      <c r="AQ2224">
        <v>1</v>
      </c>
      <c r="AR2224" t="inlineStr">
        <is>
          <t>Did not use any job portal</t>
        </is>
      </c>
      <c r="AS2224" t="inlineStr">
        <is>
          <t>- Headcount: 1
- Hiring Job Details: 1 admin
- Hiring Urgency: Hiring Later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2224">
        <v>105</v>
      </c>
      <c r="AU2224" t="inlineStr">
        <is>
          <t>1.05</t>
        </is>
      </c>
      <c r="AV2224" t="inlineStr">
        <is>
          <t>15</t>
        </is>
      </c>
      <c r="AW2224" t="inlineStr">
        <is>
          <t>0</t>
        </is>
      </c>
      <c r="AX2224" t="inlineStr">
        <is>
          <t>Not Qualified</t>
        </is>
      </c>
      <c r="AY2224" s="4"/>
      <c r="AZ2224"/>
      <c r="BA2224"/>
      <c r="BB2224"/>
      <c r="BC2224" t="inlineStr">
        <is>
          <t>nr</t>
        </is>
      </c>
      <c r="BD2224" s="4">
        <v>46128.49385416666</v>
      </c>
      <c r="BE2224" t="inlineStr">
        <is>
          <t>paid</t>
        </is>
      </c>
      <c r="BF2224"/>
      <c r="BG2224" t="inlineStr">
        <is>
          <t>Reschedule</t>
        </is>
      </c>
      <c r="BH2224" t="inlineStr">
        <is>
          <t>Yee Hang</t>
        </is>
      </c>
      <c r="BI2224"/>
      <c r="BJ2224" s="4">
        <v>46144.751608796294</v>
      </c>
      <c r="BK2224" s="4">
        <v>45342.68800925926</v>
      </c>
      <c r="BL2224" t="inlineStr">
        <is>
          <t>0.0</t>
        </is>
      </c>
      <c r="BM2224" t="inlineStr">
        <is>
          <t>1200.0</t>
        </is>
      </c>
      <c r="BN2224" t="inlineStr">
        <is>
          <t>View Candidate Search Page</t>
        </is>
      </c>
      <c r="BO2224" s="4">
        <v>45453.762719907405</v>
      </c>
      <c r="BP2224">
        <v>165277</v>
      </c>
      <c r="BQ2224">
        <v>120009</v>
      </c>
      <c r="BR2224" t="inlineStr">
        <is>
          <t>Proforma</t>
        </is>
      </c>
      <c r="BS2224" t="inlineStr">
        <is>
          <t>Free Internship Job</t>
        </is>
      </c>
      <c r="BT2224"/>
      <c r="BU2224"/>
      <c r="BV2224">
        <v>2708603</v>
      </c>
      <c r="BW2224" t="inlineStr">
        <is>
          <t>No Answer : 3 Days No Response</t>
        </is>
      </c>
      <c r="BX2224"/>
      <c r="BY2224"/>
      <c r="BZ2224" s="4"/>
      <c r="CA2224"/>
      <c r="CB2224"/>
      <c r="CC2224" s="4"/>
      <c r="CD2224" t="inlineStr">
        <is>
          <t>20</t>
        </is>
      </c>
      <c r="CE2224" t="inlineStr">
        <is>
          <t>0</t>
        </is>
      </c>
      <c r="CF2224" t="inlineStr">
        <is>
          <t>Q2-W01</t>
        </is>
      </c>
      <c r="CG2224" t="inlineStr">
        <is>
          <t>Q2-W01</t>
        </is>
      </c>
      <c r="CH2224"/>
      <c r="CI2224"/>
      <c r="CJ2224" t="inlineStr">
        <is>
          <t>No Paid</t>
        </is>
      </c>
      <c r="CK2224" t="inlineStr">
        <is>
          <t>Not Eligible</t>
        </is>
      </c>
      <c r="CL2224"/>
      <c r="CM2224"/>
    </row>
    <row r="2225" ht="25.5" customHeight="1">
      <c r="A2225" t="inlineStr">
        <is>
          <t>202215</t>
        </is>
      </c>
      <c r="B2225" s="2"/>
      <c r="C2225"/>
      <c r="D2225" s="3">
        <v>46118.450532407405</v>
      </c>
      <c r="E2225" t="inlineStr">
        <is>
          <t>Q2-W01</t>
        </is>
      </c>
      <c r="F2225" t="inlineStr">
        <is>
          <t>Carmen</t>
        </is>
      </c>
      <c r="G2225" t="inlineStr">
        <is>
          <t>Customer</t>
        </is>
      </c>
      <c r="H2225" s="2" t="str">
        <f>=HYPERLINK("https://upbox.ajobthing.my/customer/202215", "https://upbox.ajobthing.my/customer/202215")</f>
        <v>https://upbox.ajobthing.my/customer/202215</v>
      </c>
      <c r="I2225" t="inlineStr">
        <is>
          <t>Hubei Dijian Engineering (m) Sdn Bhd</t>
        </is>
      </c>
      <c r="J2225" t="inlineStr">
        <is>
          <t>Dolphin</t>
        </is>
      </c>
      <c r="K2225" t="inlineStr">
        <is>
          <t>Carmen</t>
        </is>
      </c>
      <c r="L2225" s="4"/>
      <c r="M2225" s="4">
        <v>46118.45060185185</v>
      </c>
      <c r="N2225"/>
      <c r="O2225">
        <v>864</v>
      </c>
      <c r="P2225" s="4"/>
      <c r="Q2225" s="4"/>
      <c r="R2225"/>
      <c r="S2225"/>
      <c r="T2225" s="4"/>
      <c r="U2225" s="4"/>
      <c r="V2225"/>
      <c r="W2225"/>
      <c r="X2225"/>
      <c r="Y2225" t="inlineStr">
        <is>
          <t>Pending Appointment</t>
        </is>
      </c>
      <c r="Z2225" t="inlineStr">
        <is>
          <t>Hiring Now</t>
        </is>
      </c>
      <c r="AA2225">
        <v>1</v>
      </c>
      <c r="AB2225" t="inlineStr">
        <is>
          <t>No Appointment Made</t>
        </is>
      </c>
      <c r="AC2225"/>
      <c r="AD2225" t="inlineStr">
        <is>
          <t>1 qS</t>
        </is>
      </c>
      <c r="AE2225"/>
      <c r="AF2225">
        <v>0</v>
      </c>
      <c r="AG2225" s="4"/>
      <c r="AH2225" s="4"/>
      <c r="AI2225">
        <v>0</v>
      </c>
      <c r="AJ2225">
        <v>0</v>
      </c>
      <c r="AK2225" t="inlineStr">
        <is>
          <t>No, I don't need at all</t>
        </is>
      </c>
      <c r="AL2225">
        <v>0</v>
      </c>
      <c r="AM2225" t="inlineStr">
        <is>
          <t>No, I don't need at all</t>
        </is>
      </c>
      <c r="AN2225"/>
      <c r="AO2225" t="inlineStr">
        <is>
          <t>No, I don't need at all</t>
        </is>
      </c>
      <c r="AP2225" t="inlineStr">
        <is>
          <t>Once a year (25%)</t>
        </is>
      </c>
      <c r="AQ2225">
        <v>1</v>
      </c>
      <c r="AR2225" t="inlineStr">
        <is>
          <t>Jobstreet</t>
        </is>
      </c>
      <c r="AS2225" t="inlineStr">
        <is>
          <t>- Headcount: 1
- Hiring Job Details: 1 qS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225">
        <v>70</v>
      </c>
      <c r="AU2225" t="inlineStr">
        <is>
          <t>0.70</t>
        </is>
      </c>
      <c r="AV2225" t="inlineStr">
        <is>
          <t>15</t>
        </is>
      </c>
      <c r="AW2225" t="inlineStr">
        <is>
          <t>0</t>
        </is>
      </c>
      <c r="AX2225" t="inlineStr">
        <is>
          <t>Not Qualified</t>
        </is>
      </c>
      <c r="AY2225" s="4"/>
      <c r="AZ2225"/>
      <c r="BA2225"/>
      <c r="BB2225"/>
      <c r="BC2225" t="inlineStr">
        <is>
          <t>boss no update dy, dont want first</t>
        </is>
      </c>
      <c r="BD2225" s="4">
        <v>46120.59886574074</v>
      </c>
      <c r="BE2225"/>
      <c r="BF2225"/>
      <c r="BG2225" t="inlineStr">
        <is>
          <t>Reschedule</t>
        </is>
      </c>
      <c r="BH2225" t="inlineStr">
        <is>
          <t>Reagen</t>
        </is>
      </c>
      <c r="BI2225"/>
      <c r="BJ2225" s="4">
        <v>46144.75398148148</v>
      </c>
      <c r="BK2225" s="4">
        <v>46099.41962962963</v>
      </c>
      <c r="BL2225" t="inlineStr">
        <is>
          <t>0.0</t>
        </is>
      </c>
      <c r="BM2225" t="inlineStr">
        <is>
          <t>600.0</t>
        </is>
      </c>
      <c r="BN2225" t="inlineStr">
        <is>
          <t>View Create Job Page V4</t>
        </is>
      </c>
      <c r="BO2225" s="4">
        <v>46099.44571759259</v>
      </c>
      <c r="BP2225">
        <v>165311</v>
      </c>
      <c r="BQ2225"/>
      <c r="BR2225"/>
      <c r="BS2225"/>
      <c r="BT2225"/>
      <c r="BU2225"/>
      <c r="BV2225">
        <v>2692505</v>
      </c>
      <c r="BW2225" t="inlineStr">
        <is>
          <t>Follow Up : Budget Concern</t>
        </is>
      </c>
      <c r="BX2225"/>
      <c r="BY2225"/>
      <c r="BZ2225" s="4"/>
      <c r="CA2225"/>
      <c r="CB2225"/>
      <c r="CC2225" s="4"/>
      <c r="CD2225" t="inlineStr">
        <is>
          <t>20</t>
        </is>
      </c>
      <c r="CE2225" t="inlineStr">
        <is>
          <t>0</t>
        </is>
      </c>
      <c r="CF2225" t="inlineStr">
        <is>
          <t>Q2-W01</t>
        </is>
      </c>
      <c r="CG2225"/>
      <c r="CH2225"/>
      <c r="CI2225"/>
      <c r="CJ2225" t="inlineStr">
        <is>
          <t>No Paid</t>
        </is>
      </c>
      <c r="CK2225" t="inlineStr">
        <is>
          <t>Not Eligible</t>
        </is>
      </c>
      <c r="CL2225"/>
      <c r="CM2225"/>
    </row>
    <row r="2226" ht="25.5" customHeight="1">
      <c r="A2226" t="inlineStr">
        <is>
          <t>141056</t>
        </is>
      </c>
      <c r="B2226" s="2"/>
      <c r="C2226"/>
      <c r="D2226" s="3">
        <v>46118.45165509259</v>
      </c>
      <c r="E2226" t="inlineStr">
        <is>
          <t>Q2-W01</t>
        </is>
      </c>
      <c r="F2226" t="inlineStr">
        <is>
          <t>Angel  Low</t>
        </is>
      </c>
      <c r="G2226" t="inlineStr">
        <is>
          <t>Customer</t>
        </is>
      </c>
      <c r="H2226" s="2" t="str">
        <f>=HYPERLINK("https://upbox.ajobthing.my/customer/141056", "https://upbox.ajobthing.my/customer/141056")</f>
        <v>https://upbox.ajobthing.my/customer/141056</v>
      </c>
      <c r="I2226" t="inlineStr">
        <is>
          <t>Agos Asia Sdn Bhd</t>
        </is>
      </c>
      <c r="J2226" t="inlineStr">
        <is>
          <t>Dolphin</t>
        </is>
      </c>
      <c r="K2226" t="inlineStr">
        <is>
          <t>Angel Low</t>
        </is>
      </c>
      <c r="L2226" s="4"/>
      <c r="M2226" s="4">
        <v>46118.45210648148</v>
      </c>
      <c r="N2226"/>
      <c r="O2226">
        <v>3672</v>
      </c>
      <c r="P2226" s="4"/>
      <c r="Q2226" s="4"/>
      <c r="R2226"/>
      <c r="S2226"/>
      <c r="T2226" s="4"/>
      <c r="U2226" s="4"/>
      <c r="V2226"/>
      <c r="W2226"/>
      <c r="X2226"/>
      <c r="Y2226" t="inlineStr">
        <is>
          <t>Pending Appointment</t>
        </is>
      </c>
      <c r="Z2226" t="inlineStr">
        <is>
          <t>Hiring Now</t>
        </is>
      </c>
      <c r="AA2226">
        <v>1</v>
      </c>
      <c r="AB2226" t="inlineStr">
        <is>
          <t>No Appointment Made</t>
        </is>
      </c>
      <c r="AC2226"/>
      <c r="AD2226" t="inlineStr">
        <is>
          <t xml:space="preserve">1 account mandarin speaker </t>
        </is>
      </c>
      <c r="AE2226"/>
      <c r="AF2226"/>
      <c r="AG2226" s="4"/>
      <c r="AH2226" s="4"/>
      <c r="AI2226"/>
      <c r="AJ2226"/>
      <c r="AK2226" t="inlineStr">
        <is>
          <t>No, I don't need at all</t>
        </is>
      </c>
      <c r="AL2226"/>
      <c r="AM2226"/>
      <c r="AN2226"/>
      <c r="AO2226"/>
      <c r="AP2226" t="inlineStr">
        <is>
          <t>Twice a year (50%)</t>
        </is>
      </c>
      <c r="AQ2226"/>
      <c r="AR2226"/>
      <c r="AS2226" t="inlineStr">
        <is>
          <t>- Headcount: 1
- Hiring Job Details: 1 account mandarin speaker
- Hiring Urgency: Hiring Now
- Number of outlets: Not provided
- Have recruiter team: No, I don't need at all
- Number of recruiter in company: Not provided
- Have ATS system: Not provided
- Have career website: Not provided
- Current hiring budget: Not provided
- Whole year budget: Not provided
- Whole year number of vacancies: Not provided
- Hiring frequency: Twice a year (50%)
- External job portal: Not provided</t>
        </is>
      </c>
      <c r="AT2226">
        <v>75</v>
      </c>
      <c r="AU2226" t="inlineStr">
        <is>
          <t>0.75</t>
        </is>
      </c>
      <c r="AV2226" t="inlineStr">
        <is>
          <t>5</t>
        </is>
      </c>
      <c r="AW2226" t="inlineStr">
        <is>
          <t>0</t>
        </is>
      </c>
      <c r="AX2226" t="inlineStr">
        <is>
          <t>Not Qualified</t>
        </is>
      </c>
      <c r="AY2226" s="4"/>
      <c r="AZ2226"/>
      <c r="BA2226"/>
      <c r="BB2226"/>
      <c r="BC2226" t="inlineStr">
        <is>
          <t>hold</t>
        </is>
      </c>
      <c r="BD2226" s="4">
        <v>46134.71916666667</v>
      </c>
      <c r="BE2226"/>
      <c r="BF2226"/>
      <c r="BG2226" t="inlineStr">
        <is>
          <t>Reschedule</t>
        </is>
      </c>
      <c r="BH2226" t="inlineStr">
        <is>
          <t>Fauziah Maharan</t>
        </is>
      </c>
      <c r="BI2226" t="inlineStr">
        <is>
          <t>Accounting / Tax Services</t>
        </is>
      </c>
      <c r="BJ2226" s="4">
        <v>46144.75067129629</v>
      </c>
      <c r="BK2226" s="4">
        <v>44460.6609837963</v>
      </c>
      <c r="BL2226" t="inlineStr">
        <is>
          <t>0.0</t>
        </is>
      </c>
      <c r="BM2226" t="inlineStr">
        <is>
          <t>4950.0</t>
        </is>
      </c>
      <c r="BN2226" t="inlineStr">
        <is>
          <t>User Login</t>
        </is>
      </c>
      <c r="BO2226" s="4">
        <v>44462.49398148148</v>
      </c>
      <c r="BP2226">
        <v>165313</v>
      </c>
      <c r="BQ2226"/>
      <c r="BR2226"/>
      <c r="BS2226"/>
      <c r="BT2226"/>
      <c r="BU2226"/>
      <c r="BV2226">
        <v>2721743</v>
      </c>
      <c r="BW2226" t="inlineStr">
        <is>
          <t>Follow Up : Lost - Free Portal</t>
        </is>
      </c>
      <c r="BX2226"/>
      <c r="BY2226"/>
      <c r="BZ2226" s="4"/>
      <c r="CA2226"/>
      <c r="CB2226"/>
      <c r="CC2226" s="4"/>
      <c r="CD2226" t="inlineStr">
        <is>
          <t>5</t>
        </is>
      </c>
      <c r="CE2226" t="inlineStr">
        <is>
          <t>0</t>
        </is>
      </c>
      <c r="CF2226" t="inlineStr">
        <is>
          <t>Q2-W01</t>
        </is>
      </c>
      <c r="CG2226"/>
      <c r="CH2226"/>
      <c r="CI2226"/>
      <c r="CJ2226" t="inlineStr">
        <is>
          <t>No Paid</t>
        </is>
      </c>
      <c r="CK2226" t="inlineStr">
        <is>
          <t>Not Eligible</t>
        </is>
      </c>
      <c r="CL2226"/>
      <c r="CM2226"/>
    </row>
    <row r="2227" ht="25.5" customHeight="1">
      <c r="A2227" t="inlineStr">
        <is>
          <t>202579</t>
        </is>
      </c>
      <c r="B2227" s="2"/>
      <c r="C2227"/>
      <c r="D2227" s="3">
        <v>46118.45309027778</v>
      </c>
      <c r="E2227" t="inlineStr">
        <is>
          <t>Q2-W01</t>
        </is>
      </c>
      <c r="F2227" t="inlineStr">
        <is>
          <t>Derek Lim</t>
        </is>
      </c>
      <c r="G2227" t="inlineStr">
        <is>
          <t>Customer</t>
        </is>
      </c>
      <c r="H2227" s="2" t="str">
        <f>=HYPERLINK("https://upbox.ajobthing.my/customer/202579", "https://upbox.ajobthing.my/customer/202579")</f>
        <v>https://upbox.ajobthing.my/customer/202579</v>
      </c>
      <c r="I2227" t="inlineStr">
        <is>
          <t>Great Wealth</t>
        </is>
      </c>
      <c r="J2227" t="inlineStr">
        <is>
          <t>Dolphin</t>
        </is>
      </c>
      <c r="K2227" t="inlineStr">
        <is>
          <t>Derek Lim</t>
        </is>
      </c>
      <c r="L2227" s="4"/>
      <c r="M2227" s="4">
        <v>46118.45334490741</v>
      </c>
      <c r="N2227"/>
      <c r="O2227">
        <v>6048</v>
      </c>
      <c r="P2227" s="4"/>
      <c r="Q2227" s="4"/>
      <c r="R2227"/>
      <c r="S2227"/>
      <c r="T2227" s="4"/>
      <c r="U2227" s="4"/>
      <c r="V2227"/>
      <c r="W2227"/>
      <c r="X2227"/>
      <c r="Y2227" t="inlineStr">
        <is>
          <t>Pending Appointment</t>
        </is>
      </c>
      <c r="Z2227" t="inlineStr">
        <is>
          <t>Hiring Now</t>
        </is>
      </c>
      <c r="AA2227">
        <v>2</v>
      </c>
      <c r="AB2227" t="inlineStr">
        <is>
          <t>No Appointment Made</t>
        </is>
      </c>
      <c r="AC2227"/>
      <c r="AD2227" t="inlineStr">
        <is>
          <t>marketing - 2</t>
        </is>
      </c>
      <c r="AE2227"/>
      <c r="AF2227">
        <v>0</v>
      </c>
      <c r="AG2227" s="4"/>
      <c r="AH2227" s="4"/>
      <c r="AI2227">
        <v>1000</v>
      </c>
      <c r="AJ2227">
        <v>1</v>
      </c>
      <c r="AK2227" t="inlineStr">
        <is>
          <t>No, I don't need at all</t>
        </is>
      </c>
      <c r="AL2227">
        <v>0</v>
      </c>
      <c r="AM2227" t="inlineStr">
        <is>
          <t>No, I don't need at all</t>
        </is>
      </c>
      <c r="AN2227"/>
      <c r="AO2227" t="inlineStr">
        <is>
          <t>No, I don't need at all</t>
        </is>
      </c>
      <c r="AP2227" t="inlineStr">
        <is>
          <t>Once a year (25%)</t>
        </is>
      </c>
      <c r="AQ2227">
        <v>2</v>
      </c>
      <c r="AR2227" t="inlineStr">
        <is>
          <t>Did not use any job portal</t>
        </is>
      </c>
      <c r="AS2227" t="inlineStr">
        <is>
          <t>- Headcount: 2
- Hiring Job Details: marketing - 2
- Hiring Urgency: Hiring Now
- Number of outlets: 1
- Have recruiter team: No, I don't need at all
- Number of recruiter in company: 0
- Have ATS system: No, I don't need at all
- Have career website: No, I don't need at all
- Current hiring budget: RM0.00
- Whole year budget: RM1,000.00
- Whole year number of vacancies: 2
- Hiring frequency: Once a year (25%)
- External job portal: Did not use any job portal</t>
        </is>
      </c>
      <c r="AT2227">
        <v>110</v>
      </c>
      <c r="AU2227" t="inlineStr">
        <is>
          <t>1.10</t>
        </is>
      </c>
      <c r="AV2227" t="inlineStr">
        <is>
          <t>15</t>
        </is>
      </c>
      <c r="AW2227" t="inlineStr">
        <is>
          <t>0</t>
        </is>
      </c>
      <c r="AX2227" t="inlineStr">
        <is>
          <t>Not Qualified</t>
        </is>
      </c>
      <c r="AY2227" s="4"/>
      <c r="AZ2227"/>
      <c r="BA2227"/>
      <c r="BB2227"/>
      <c r="BC2227" t="inlineStr">
        <is>
          <t>NO ANSWER, WHATSAPP</t>
        </is>
      </c>
      <c r="BD2227" s="4">
        <v>46141.645266203705</v>
      </c>
      <c r="BE2227"/>
      <c r="BF2227"/>
      <c r="BG2227" t="inlineStr">
        <is>
          <t>Reschedule</t>
        </is>
      </c>
      <c r="BH2227" t="inlineStr">
        <is>
          <t>Edward Hoo</t>
        </is>
      </c>
      <c r="BI2227"/>
      <c r="BJ2227" s="4">
        <v>46144.75407407407</v>
      </c>
      <c r="BK2227" s="4">
        <v>46111.74375</v>
      </c>
      <c r="BL2227" t="inlineStr">
        <is>
          <t>0.0</t>
        </is>
      </c>
      <c r="BM2227" t="inlineStr">
        <is>
          <t>0.0</t>
        </is>
      </c>
      <c r="BN2227" t="inlineStr">
        <is>
          <t>User Visit(Logged In)</t>
        </is>
      </c>
      <c r="BO2227" s="4">
        <v>46112.69664351852</v>
      </c>
      <c r="BP2227">
        <v>165316</v>
      </c>
      <c r="BQ2227"/>
      <c r="BR2227"/>
      <c r="BS2227"/>
      <c r="BT2227"/>
      <c r="BU2227"/>
      <c r="BV2227">
        <v>2735634</v>
      </c>
      <c r="BW2227" t="inlineStr">
        <is>
          <t>No Answer : Voicemail - WA sent to customer</t>
        </is>
      </c>
      <c r="BX2227"/>
      <c r="BY2227"/>
      <c r="BZ2227" s="4"/>
      <c r="CA2227"/>
      <c r="CB2227"/>
      <c r="CC2227" s="4"/>
      <c r="CD2227" t="inlineStr">
        <is>
          <t>20</t>
        </is>
      </c>
      <c r="CE2227" t="inlineStr">
        <is>
          <t>0</t>
        </is>
      </c>
      <c r="CF2227" t="inlineStr">
        <is>
          <t>Q2-W01</t>
        </is>
      </c>
      <c r="CG2227"/>
      <c r="CH2227"/>
      <c r="CI2227"/>
      <c r="CJ2227" t="inlineStr">
        <is>
          <t>No Paid</t>
        </is>
      </c>
      <c r="CK2227" t="inlineStr">
        <is>
          <t>Not Eligible</t>
        </is>
      </c>
      <c r="CL2227"/>
      <c r="CM2227"/>
    </row>
    <row r="2228" ht="25.5" customHeight="1">
      <c r="A2228" t="inlineStr">
        <is>
          <t>151807</t>
        </is>
      </c>
      <c r="B2228" s="2"/>
      <c r="C2228"/>
      <c r="D2228" s="3">
        <v>46118.45365740741</v>
      </c>
      <c r="E2228" t="inlineStr">
        <is>
          <t>Q2-W01</t>
        </is>
      </c>
      <c r="F2228" t="inlineStr">
        <is>
          <t>Eugene</t>
        </is>
      </c>
      <c r="G2228" t="inlineStr">
        <is>
          <t>Customer</t>
        </is>
      </c>
      <c r="H2228" s="2" t="str">
        <f>=HYPERLINK("https://upbox.ajobthing.my/customer/151807", "https://upbox.ajobthing.my/customer/151807")</f>
        <v>https://upbox.ajobthing.my/customer/151807</v>
      </c>
      <c r="I2228" t="inlineStr">
        <is>
          <t>Lincoln Energy Sdn Bhd</t>
        </is>
      </c>
      <c r="J2228" t="inlineStr">
        <is>
          <t>Dolphin</t>
        </is>
      </c>
      <c r="K2228" t="inlineStr">
        <is>
          <t>Eugene</t>
        </is>
      </c>
      <c r="L2228" s="4"/>
      <c r="M2228" s="4">
        <v>46118.45376157408</v>
      </c>
      <c r="N2228"/>
      <c r="O2228">
        <v>6048</v>
      </c>
      <c r="P2228" s="4"/>
      <c r="Q2228" s="4">
        <v>44658.21428240741</v>
      </c>
      <c r="R2228"/>
      <c r="S2228">
        <v>1749</v>
      </c>
      <c r="T2228" s="4">
        <v>44657.00001157408</v>
      </c>
      <c r="U2228" s="4"/>
      <c r="V2228"/>
      <c r="W2228">
        <v>1749</v>
      </c>
      <c r="X2228"/>
      <c r="Y2228" t="inlineStr">
        <is>
          <t>Pending Appointment</t>
        </is>
      </c>
      <c r="Z2228" t="inlineStr">
        <is>
          <t>Hiring Now</t>
        </is>
      </c>
      <c r="AA2228">
        <v>3</v>
      </c>
      <c r="AB2228" t="inlineStr">
        <is>
          <t>No Appointment Made</t>
        </is>
      </c>
      <c r="AC2228"/>
      <c r="AD2228" t="inlineStr">
        <is>
          <t>1 customer service, 1 customer service manager, 1 telemarkrting, based in Puchong</t>
        </is>
      </c>
      <c r="AE2228"/>
      <c r="AF2228">
        <v>3000</v>
      </c>
      <c r="AG2228" s="4"/>
      <c r="AH2228" s="4"/>
      <c r="AI2228">
        <v>3000</v>
      </c>
      <c r="AJ2228">
        <v>1</v>
      </c>
      <c r="AK2228" t="inlineStr">
        <is>
          <t>No, I don't need at all</t>
        </is>
      </c>
      <c r="AL2228">
        <v>1</v>
      </c>
      <c r="AM2228" t="inlineStr">
        <is>
          <t>No, I don't need at all</t>
        </is>
      </c>
      <c r="AN2228"/>
      <c r="AO2228" t="inlineStr">
        <is>
          <t>No, I don't need at all</t>
        </is>
      </c>
      <c r="AP2228" t="inlineStr">
        <is>
          <t>Once per quarter (75%)</t>
        </is>
      </c>
      <c r="AQ2228">
        <v>4</v>
      </c>
      <c r="AR2228" t="inlineStr">
        <is>
          <t>Indeed (Paid)</t>
        </is>
      </c>
      <c r="AS2228" t="inlineStr">
        <is>
          <t>- Headcount: 3
- Hiring Job Details: 1 customer service, 1 customer service manager, 1 telemarketing (based in Puchong)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Once per quarter (75%)
- External job portal: Indeed (Paid)</t>
        </is>
      </c>
      <c r="AT2228">
        <v>110</v>
      </c>
      <c r="AU2228" t="inlineStr">
        <is>
          <t>1.10</t>
        </is>
      </c>
      <c r="AV2228" t="inlineStr">
        <is>
          <t>15</t>
        </is>
      </c>
      <c r="AW2228" t="inlineStr">
        <is>
          <t>0</t>
        </is>
      </c>
      <c r="AX2228" t="inlineStr">
        <is>
          <t>Not Qualified</t>
        </is>
      </c>
      <c r="AY2228" s="4"/>
      <c r="AZ2228"/>
      <c r="BA2228"/>
      <c r="BB2228"/>
      <c r="BC2228" t="inlineStr">
        <is>
          <t>boss mention pricey...discuss again // posting in free platform first</t>
        </is>
      </c>
      <c r="BD2228" s="4">
        <v>46119.46760416667</v>
      </c>
      <c r="BE2228" t="inlineStr">
        <is>
          <t>pending</t>
        </is>
      </c>
      <c r="BF2228"/>
      <c r="BG2228" t="inlineStr">
        <is>
          <t>Reschedule</t>
        </is>
      </c>
      <c r="BH2228" t="inlineStr">
        <is>
          <t>Edward Hoo</t>
        </is>
      </c>
      <c r="BI2228" t="inlineStr">
        <is>
          <t>Other industries</t>
        </is>
      </c>
      <c r="BJ2228" s="4">
        <v>46144.75087962963</v>
      </c>
      <c r="BK2228" s="4">
        <v>44658.54493055555</v>
      </c>
      <c r="BL2228" t="inlineStr">
        <is>
          <t>0.0</t>
        </is>
      </c>
      <c r="BM2228" t="inlineStr">
        <is>
          <t>0.0</t>
        </is>
      </c>
      <c r="BN2228" t="inlineStr">
        <is>
          <t>View Applicant Page</t>
        </is>
      </c>
      <c r="BO2228" s="4">
        <v>44837.38512731482</v>
      </c>
      <c r="BP2228">
        <v>165318</v>
      </c>
      <c r="BQ2228">
        <v>57490</v>
      </c>
      <c r="BR2228" t="inlineStr">
        <is>
          <t>Proforma</t>
        </is>
      </c>
      <c r="BS2228" t="inlineStr">
        <is>
          <t>GLFB Platinum Package</t>
        </is>
      </c>
      <c r="BT2228">
        <v>43223</v>
      </c>
      <c r="BU2228"/>
      <c r="BV2228">
        <v>2688437</v>
      </c>
      <c r="BW2228" t="inlineStr">
        <is>
          <t>Follow Up : Decision Pending</t>
        </is>
      </c>
      <c r="BX2228"/>
      <c r="BY2228"/>
      <c r="BZ2228" s="4"/>
      <c r="CA2228"/>
      <c r="CB2228"/>
      <c r="CC2228" s="4"/>
      <c r="CD2228" t="inlineStr">
        <is>
          <t>20</t>
        </is>
      </c>
      <c r="CE2228" t="inlineStr">
        <is>
          <t>0</t>
        </is>
      </c>
      <c r="CF2228" t="inlineStr">
        <is>
          <t>Q2-W01</t>
        </is>
      </c>
      <c r="CG2228"/>
      <c r="CH2228"/>
      <c r="CI2228"/>
      <c r="CJ2228" t="inlineStr">
        <is>
          <t>Paid</t>
        </is>
      </c>
      <c r="CK2228" t="inlineStr">
        <is>
          <t>Not Eligible</t>
        </is>
      </c>
      <c r="CL2228"/>
      <c r="CM2228"/>
    </row>
    <row r="2229" ht="25.5" customHeight="1">
      <c r="A2229" t="inlineStr">
        <is>
          <t>4251520</t>
        </is>
      </c>
      <c r="B2229" s="2"/>
      <c r="C2229"/>
      <c r="D2229" s="3">
        <v>46118.455405092594</v>
      </c>
      <c r="E2229" t="inlineStr">
        <is>
          <t>Q2-W01</t>
        </is>
      </c>
      <c r="F2229" t="inlineStr">
        <is>
          <t>Evan</t>
        </is>
      </c>
      <c r="G2229" t="inlineStr">
        <is>
          <t>Lead</t>
        </is>
      </c>
      <c r="H2229" s="2" t="str">
        <f>=HYPERLINK("https://upbox.ajobthing.my/leads/4251520", "https://upbox.ajobthing.my/leads/4251520")</f>
        <v>https://upbox.ajobthing.my/leads/4251520</v>
      </c>
      <c r="I2229" t="inlineStr">
        <is>
          <t>pembinaan nsa sdn bhd</t>
        </is>
      </c>
      <c r="J2229" t="inlineStr">
        <is>
          <t>Dolphin</t>
        </is>
      </c>
      <c r="K2229" t="inlineStr">
        <is>
          <t>Evan</t>
        </is>
      </c>
      <c r="L2229" s="4"/>
      <c r="M2229" s="4">
        <v>46118.45476851852</v>
      </c>
      <c r="N2229"/>
      <c r="O2229">
        <v>3888</v>
      </c>
      <c r="P2229" s="4"/>
      <c r="Q2229" s="4"/>
      <c r="R2229"/>
      <c r="S2229"/>
      <c r="T2229" s="4"/>
      <c r="U2229" s="4"/>
      <c r="V2229"/>
      <c r="W2229"/>
      <c r="X2229"/>
      <c r="Y2229" t="inlineStr">
        <is>
          <t>Pending Appointment</t>
        </is>
      </c>
      <c r="Z2229" t="inlineStr">
        <is>
          <t>Hiring Now</t>
        </is>
      </c>
      <c r="AA2229">
        <v>1</v>
      </c>
      <c r="AB2229" t="inlineStr">
        <is>
          <t>No Appointment Made</t>
        </is>
      </c>
      <c r="AC2229"/>
      <c r="AD2229" t="inlineStr">
        <is>
          <t>1 sit supervisor, all base in Cyberjaya</t>
        </is>
      </c>
      <c r="AE2229"/>
      <c r="AF2229">
        <v>1</v>
      </c>
      <c r="AG2229" s="4"/>
      <c r="AH2229" s="4"/>
      <c r="AI2229">
        <v>1</v>
      </c>
      <c r="AJ2229">
        <v>1</v>
      </c>
      <c r="AK2229" t="inlineStr">
        <is>
          <t>No, I don't need at all</t>
        </is>
      </c>
      <c r="AL2229">
        <v>0</v>
      </c>
      <c r="AM2229" t="inlineStr">
        <is>
          <t>No, I don't need at all</t>
        </is>
      </c>
      <c r="AN2229"/>
      <c r="AO2229" t="inlineStr">
        <is>
          <t>No, I don't need at all</t>
        </is>
      </c>
      <c r="AP2229" t="inlineStr">
        <is>
          <t>Once a year (25%)</t>
        </is>
      </c>
      <c r="AQ2229">
        <v>1</v>
      </c>
      <c r="AR2229" t="inlineStr">
        <is>
          <t>Did not use any job portal</t>
        </is>
      </c>
      <c r="AS2229" t="inlineStr">
        <is>
          <t>- Headcount: 1
- Hiring Job Details: 1 sit supervisor, all base in Cyberjaya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2229">
        <v>115</v>
      </c>
      <c r="AU2229" t="inlineStr">
        <is>
          <t>1.15</t>
        </is>
      </c>
      <c r="AV2229" t="inlineStr">
        <is>
          <t>15</t>
        </is>
      </c>
      <c r="AW2229" t="inlineStr">
        <is>
          <t>0</t>
        </is>
      </c>
      <c r="AX2229" t="inlineStr">
        <is>
          <t>Not Qualified</t>
        </is>
      </c>
      <c r="AY2229" s="4"/>
      <c r="AZ2229"/>
      <c r="BA2229"/>
      <c r="BB2229"/>
      <c r="BC2229"/>
      <c r="BD2229" s="4"/>
      <c r="BE2229"/>
      <c r="BF2229"/>
      <c r="BG2229" t="inlineStr">
        <is>
          <t>Reschedule</t>
        </is>
      </c>
      <c r="BH2229" t="inlineStr">
        <is>
          <t>Edward Hoo</t>
        </is>
      </c>
      <c r="BI2229"/>
      <c r="BJ2229" s="4">
        <v>46144.75571759259</v>
      </c>
      <c r="BK2229" s="4">
        <v>46118.44185185185</v>
      </c>
      <c r="BL2229" t="inlineStr">
        <is>
          <t>0.0</t>
        </is>
      </c>
      <c r="BM2229" t="inlineStr">
        <is>
          <t>0.0</t>
        </is>
      </c>
      <c r="BN2229"/>
      <c r="BO2229" s="4"/>
      <c r="BP2229">
        <v>165319</v>
      </c>
      <c r="BQ2229"/>
      <c r="BR2229"/>
      <c r="BS2229"/>
      <c r="BT2229"/>
      <c r="BU2229"/>
      <c r="BV2229"/>
      <c r="BW2229"/>
      <c r="BX2229"/>
      <c r="BY2229"/>
      <c r="BZ2229" s="4"/>
      <c r="CA2229"/>
      <c r="CB2229"/>
      <c r="CC2229" s="4"/>
      <c r="CD2229" t="inlineStr">
        <is>
          <t>20</t>
        </is>
      </c>
      <c r="CE2229" t="inlineStr">
        <is>
          <t>0</t>
        </is>
      </c>
      <c r="CF2229" t="inlineStr">
        <is>
          <t>Q2-W01</t>
        </is>
      </c>
      <c r="CG2229"/>
      <c r="CH2229"/>
      <c r="CI2229"/>
      <c r="CJ2229" t="inlineStr">
        <is>
          <t>No Paid</t>
        </is>
      </c>
      <c r="CK2229" t="inlineStr">
        <is>
          <t>Not Eligible</t>
        </is>
      </c>
      <c r="CL2229"/>
      <c r="CM2229"/>
    </row>
    <row r="2230" ht="25.5" customHeight="1">
      <c r="A2230" t="inlineStr">
        <is>
          <t>202814</t>
        </is>
      </c>
      <c r="B2230" s="2"/>
      <c r="C2230"/>
      <c r="D2230" s="3">
        <v>46118.46165509259</v>
      </c>
      <c r="E2230" t="inlineStr">
        <is>
          <t>Q2-W01</t>
        </is>
      </c>
      <c r="F2230" t="inlineStr">
        <is>
          <t>Chia Yee</t>
        </is>
      </c>
      <c r="G2230" t="inlineStr">
        <is>
          <t>Customer</t>
        </is>
      </c>
      <c r="H2230" s="2" t="str">
        <f>=HYPERLINK("https://upbox.ajobthing.my/customer/202814", "https://upbox.ajobthing.my/customer/202814")</f>
        <v>https://upbox.ajobthing.my/customer/202814</v>
      </c>
      <c r="I2230" t="inlineStr">
        <is>
          <t>Bigplex Technologies Sdn Bhd</t>
        </is>
      </c>
      <c r="J2230" t="inlineStr">
        <is>
          <t>Dolphin</t>
        </is>
      </c>
      <c r="K2230" t="inlineStr">
        <is>
          <t>Chia Yee</t>
        </is>
      </c>
      <c r="L2230" s="4"/>
      <c r="M2230" s="4">
        <v>46118.46341435185</v>
      </c>
      <c r="N2230"/>
      <c r="O2230">
        <v>8208</v>
      </c>
      <c r="P2230" s="4"/>
      <c r="Q2230" s="4"/>
      <c r="R2230"/>
      <c r="S2230"/>
      <c r="T2230" s="4"/>
      <c r="U2230" s="4"/>
      <c r="V2230"/>
      <c r="W2230"/>
      <c r="X2230"/>
      <c r="Y2230" t="inlineStr">
        <is>
          <t>Pending Appointment</t>
        </is>
      </c>
      <c r="Z2230" t="inlineStr">
        <is>
          <t>Continuous Hiring</t>
        </is>
      </c>
      <c r="AA2230">
        <v>24</v>
      </c>
      <c r="AB2230" t="inlineStr">
        <is>
          <t>No Appointment Made</t>
        </is>
      </c>
      <c r="AC2230"/>
      <c r="AD2230" t="inlineStr">
        <is>
          <t>2 Technician or more , 20 Operator (Long term), 2 QA</t>
        </is>
      </c>
      <c r="AE2230"/>
      <c r="AF2230">
        <v>0</v>
      </c>
      <c r="AG2230" s="4"/>
      <c r="AH2230" s="4"/>
      <c r="AI2230">
        <v>0</v>
      </c>
      <c r="AJ2230">
        <v>1</v>
      </c>
      <c r="AK2230" t="inlineStr">
        <is>
          <t>No, I don't need at all</t>
        </is>
      </c>
      <c r="AL2230">
        <v>1</v>
      </c>
      <c r="AM2230" t="inlineStr">
        <is>
          <t>No, I don't need at all</t>
        </is>
      </c>
      <c r="AN2230"/>
      <c r="AO2230" t="inlineStr">
        <is>
          <t>No, I don't need at all</t>
        </is>
      </c>
      <c r="AP2230" t="inlineStr">
        <is>
          <t>Twice a year (50%)</t>
        </is>
      </c>
      <c r="AQ2230">
        <v>25</v>
      </c>
      <c r="AR2230" t="inlineStr">
        <is>
          <t>Did not use any job portal</t>
        </is>
      </c>
      <c r="AS2230" t="inlineStr">
        <is>
          <t>- Headcount: 24
- Hiring Job Details: 2 Technician or more, 20 Operator (Long term), 2 QA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25
- Hiring frequency: Twice a year (50%)
- External job portal: Did not use any job portal</t>
        </is>
      </c>
      <c r="AT2230">
        <v>90</v>
      </c>
      <c r="AU2230" t="inlineStr">
        <is>
          <t>0.90</t>
        </is>
      </c>
      <c r="AV2230" t="inlineStr">
        <is>
          <t>25</t>
        </is>
      </c>
      <c r="AW2230" t="inlineStr">
        <is>
          <t>0</t>
        </is>
      </c>
      <c r="AX2230" t="inlineStr">
        <is>
          <t>Not Qualified</t>
        </is>
      </c>
      <c r="AY2230" s="4"/>
      <c r="AZ2230"/>
      <c r="BA2230"/>
      <c r="BB2230"/>
      <c r="BC2230" t="inlineStr">
        <is>
          <t>Replied: Temporary not consider</t>
        </is>
      </c>
      <c r="BD2230" s="4">
        <v>46139.549375</v>
      </c>
      <c r="BE2230"/>
      <c r="BF2230"/>
      <c r="BG2230" t="inlineStr">
        <is>
          <t>Reschedule</t>
        </is>
      </c>
      <c r="BH2230" t="inlineStr">
        <is>
          <t>Reagen</t>
        </is>
      </c>
      <c r="BI2230"/>
      <c r="BJ2230" s="4">
        <v>46144.75412037037</v>
      </c>
      <c r="BK2230" s="4">
        <v>46116.00304398148</v>
      </c>
      <c r="BL2230" t="inlineStr">
        <is>
          <t>0.0</t>
        </is>
      </c>
      <c r="BM2230" t="inlineStr">
        <is>
          <t>600.0</t>
        </is>
      </c>
      <c r="BN2230" t="inlineStr">
        <is>
          <t>View Company Page</t>
        </is>
      </c>
      <c r="BO2230" s="4">
        <v>46116.01710648148</v>
      </c>
      <c r="BP2230">
        <v>165329</v>
      </c>
      <c r="BQ2230"/>
      <c r="BR2230"/>
      <c r="BS2230"/>
      <c r="BT2230"/>
      <c r="BU2230"/>
      <c r="BV2230">
        <v>2729143</v>
      </c>
      <c r="BW2230" t="inlineStr">
        <is>
          <t>Follow Up : Budget Concern</t>
        </is>
      </c>
      <c r="BX2230"/>
      <c r="BY2230"/>
      <c r="BZ2230" s="4"/>
      <c r="CA2230"/>
      <c r="CB2230"/>
      <c r="CC2230" s="4"/>
      <c r="CD2230" t="inlineStr">
        <is>
          <t>35</t>
        </is>
      </c>
      <c r="CE2230" t="inlineStr">
        <is>
          <t>0</t>
        </is>
      </c>
      <c r="CF2230" t="inlineStr">
        <is>
          <t>Q2-W01</t>
        </is>
      </c>
      <c r="CG2230"/>
      <c r="CH2230"/>
      <c r="CI2230"/>
      <c r="CJ2230" t="inlineStr">
        <is>
          <t>No Paid</t>
        </is>
      </c>
      <c r="CK2230" t="inlineStr">
        <is>
          <t>Eligible</t>
        </is>
      </c>
      <c r="CL2230"/>
      <c r="CM2230"/>
    </row>
    <row r="2231" ht="25.5" customHeight="1">
      <c r="A2231" t="inlineStr">
        <is>
          <t>58461</t>
        </is>
      </c>
      <c r="B2231" s="2"/>
      <c r="C2231"/>
      <c r="D2231" s="3">
        <v>46118.472291666665</v>
      </c>
      <c r="E2231" t="inlineStr">
        <is>
          <t>Q2-W01</t>
        </is>
      </c>
      <c r="F2231" t="inlineStr">
        <is>
          <t>Chia Yee</t>
        </is>
      </c>
      <c r="G2231" t="inlineStr">
        <is>
          <t>Customer</t>
        </is>
      </c>
      <c r="H2231" s="2" t="str">
        <f>=HYPERLINK("https://upbox.ajobthing.my/customer/58461", "https://upbox.ajobthing.my/customer/58461")</f>
        <v>https://upbox.ajobthing.my/customer/58461</v>
      </c>
      <c r="I2231" t="inlineStr">
        <is>
          <t>Green Vacuum Equipment Sdn Bhd</t>
        </is>
      </c>
      <c r="J2231" t="inlineStr">
        <is>
          <t>Dolphin</t>
        </is>
      </c>
      <c r="K2231" t="inlineStr">
        <is>
          <t>Chia Yee</t>
        </is>
      </c>
      <c r="L2231" s="4"/>
      <c r="M2231" s="4">
        <v>46118.47241898148</v>
      </c>
      <c r="N2231"/>
      <c r="O2231">
        <v>3888</v>
      </c>
      <c r="P2231" s="4"/>
      <c r="Q2231" s="4">
        <v>45315.71303240741</v>
      </c>
      <c r="R2231"/>
      <c r="S2231">
        <v>1908</v>
      </c>
      <c r="T2231" s="4">
        <v>45315.71303240741</v>
      </c>
      <c r="U2231" s="4"/>
      <c r="V2231"/>
      <c r="W2231">
        <v>1908</v>
      </c>
      <c r="X2231"/>
      <c r="Y2231" t="inlineStr">
        <is>
          <t>Pending Appointment</t>
        </is>
      </c>
      <c r="Z2231" t="inlineStr">
        <is>
          <t>Hiring Now</t>
        </is>
      </c>
      <c r="AA2231">
        <v>1</v>
      </c>
      <c r="AB2231" t="inlineStr">
        <is>
          <t>No Appointment Made</t>
        </is>
      </c>
      <c r="AC2231"/>
      <c r="AD2231" t="inlineStr">
        <is>
          <t>1 Technician</t>
        </is>
      </c>
      <c r="AE2231"/>
      <c r="AF2231">
        <v>0</v>
      </c>
      <c r="AG2231" s="4"/>
      <c r="AH2231" s="4"/>
      <c r="AI2231">
        <v>0</v>
      </c>
      <c r="AJ2231">
        <v>0</v>
      </c>
      <c r="AK2231" t="inlineStr">
        <is>
          <t>No, I don't need at all</t>
        </is>
      </c>
      <c r="AL2231">
        <v>1</v>
      </c>
      <c r="AM2231" t="inlineStr">
        <is>
          <t>No, I don't need at all</t>
        </is>
      </c>
      <c r="AN2231"/>
      <c r="AO2231" t="inlineStr">
        <is>
          <t>No, I don't need at all</t>
        </is>
      </c>
      <c r="AP2231" t="inlineStr">
        <is>
          <t>Once a year (25%)</t>
        </is>
      </c>
      <c r="AQ2231">
        <v>1</v>
      </c>
      <c r="AR2231" t="inlineStr">
        <is>
          <t>Did not use any job portal</t>
        </is>
      </c>
      <c r="AS2231" t="inlineStr">
        <is>
          <t>- Headcount: 1
- Hiring Job Details: 1 Technician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231">
        <v>105</v>
      </c>
      <c r="AU2231" t="inlineStr">
        <is>
          <t>1.05</t>
        </is>
      </c>
      <c r="AV2231" t="inlineStr">
        <is>
          <t>15</t>
        </is>
      </c>
      <c r="AW2231" t="inlineStr">
        <is>
          <t>0</t>
        </is>
      </c>
      <c r="AX2231" t="inlineStr">
        <is>
          <t>Not Qualified</t>
        </is>
      </c>
      <c r="AY2231" s="4"/>
      <c r="AZ2231"/>
      <c r="BA2231"/>
      <c r="BB2231"/>
      <c r="BC2231" t="inlineStr">
        <is>
          <t>Called Tracy, boss said not atm</t>
        </is>
      </c>
      <c r="BD2231" s="4">
        <v>46120.51113425926</v>
      </c>
      <c r="BE2231" t="inlineStr">
        <is>
          <t>paid</t>
        </is>
      </c>
      <c r="BF2231"/>
      <c r="BG2231" t="inlineStr">
        <is>
          <t>Reschedule</t>
        </is>
      </c>
      <c r="BH2231" t="inlineStr">
        <is>
          <t>Reagen</t>
        </is>
      </c>
      <c r="BI2231" t="inlineStr">
        <is>
          <t>Heavy Industrial / Machinery</t>
        </is>
      </c>
      <c r="BJ2231" s="4">
        <v>46144.75609953704</v>
      </c>
      <c r="BK2231" s="4">
        <v>43376.63993055555</v>
      </c>
      <c r="BL2231" t="inlineStr">
        <is>
          <t>0.0</t>
        </is>
      </c>
      <c r="BM2231" t="inlineStr">
        <is>
          <t>0.0</t>
        </is>
      </c>
      <c r="BN2231" t="inlineStr">
        <is>
          <t>View Create Job Page V4</t>
        </is>
      </c>
      <c r="BO2231" s="4">
        <v>46115.9675</v>
      </c>
      <c r="BP2231">
        <v>165335</v>
      </c>
      <c r="BQ2231">
        <v>65554</v>
      </c>
      <c r="BR2231" t="inlineStr">
        <is>
          <t>Online</t>
        </is>
      </c>
      <c r="BS2231"/>
      <c r="BT2231">
        <v>65554</v>
      </c>
      <c r="BU2231"/>
      <c r="BV2231">
        <v>2692142</v>
      </c>
      <c r="BW2231" t="inlineStr">
        <is>
          <t>Follow Up : Budget Concern</t>
        </is>
      </c>
      <c r="BX2231"/>
      <c r="BY2231"/>
      <c r="BZ2231" s="4"/>
      <c r="CA2231"/>
      <c r="CB2231"/>
      <c r="CC2231" s="4"/>
      <c r="CD2231" t="inlineStr">
        <is>
          <t>20</t>
        </is>
      </c>
      <c r="CE2231" t="inlineStr">
        <is>
          <t>0</t>
        </is>
      </c>
      <c r="CF2231" t="inlineStr">
        <is>
          <t>Q2-W01</t>
        </is>
      </c>
      <c r="CG2231"/>
      <c r="CH2231"/>
      <c r="CI2231"/>
      <c r="CJ2231" t="inlineStr">
        <is>
          <t>Paid</t>
        </is>
      </c>
      <c r="CK2231" t="inlineStr">
        <is>
          <t>Not Eligible</t>
        </is>
      </c>
      <c r="CL2231"/>
      <c r="CM2231"/>
    </row>
    <row r="2232" ht="25.5" customHeight="1">
      <c r="A2232" t="inlineStr">
        <is>
          <t>4251558</t>
        </is>
      </c>
      <c r="B2232" s="2"/>
      <c r="C2232"/>
      <c r="D2232" s="3">
        <v>46118.4759837963</v>
      </c>
      <c r="E2232" t="inlineStr">
        <is>
          <t>Q2-W01</t>
        </is>
      </c>
      <c r="F2232" t="inlineStr">
        <is>
          <t>Carmen</t>
        </is>
      </c>
      <c r="G2232" t="inlineStr">
        <is>
          <t>Lead</t>
        </is>
      </c>
      <c r="H2232" s="2" t="str">
        <f>=HYPERLINK("https://upbox.ajobthing.my/leads/4251558", "https://upbox.ajobthing.my/leads/4251558")</f>
        <v>https://upbox.ajobthing.my/leads/4251558</v>
      </c>
      <c r="I2232" t="inlineStr">
        <is>
          <t>Nilai Canopy &amp; Event Services</t>
        </is>
      </c>
      <c r="J2232" t="inlineStr">
        <is>
          <t>Dolphin</t>
        </is>
      </c>
      <c r="K2232" t="inlineStr">
        <is>
          <t>Carmen</t>
        </is>
      </c>
      <c r="L2232" s="4"/>
      <c r="M2232" s="4">
        <v>46118.47614583333</v>
      </c>
      <c r="N2232"/>
      <c r="O2232">
        <v>6048</v>
      </c>
      <c r="P2232" s="4"/>
      <c r="Q2232" s="4"/>
      <c r="R2232"/>
      <c r="S2232"/>
      <c r="T2232" s="4"/>
      <c r="U2232" s="4"/>
      <c r="V2232"/>
      <c r="W2232"/>
      <c r="X2232"/>
      <c r="Y2232" t="inlineStr">
        <is>
          <t>Pending Appointment</t>
        </is>
      </c>
      <c r="Z2232" t="inlineStr">
        <is>
          <t>Hiring Now</t>
        </is>
      </c>
      <c r="AA2232">
        <v>15</v>
      </c>
      <c r="AB2232" t="inlineStr">
        <is>
          <t>No Appointment Made</t>
        </is>
      </c>
      <c r="AC2232"/>
      <c r="AD2232" t="inlineStr">
        <is>
          <t>5 drivers, 10 crews</t>
        </is>
      </c>
      <c r="AE2232"/>
      <c r="AF2232">
        <v>0</v>
      </c>
      <c r="AG2232" s="4"/>
      <c r="AH2232" s="4"/>
      <c r="AI2232"/>
      <c r="AJ2232"/>
      <c r="AK2232"/>
      <c r="AL2232"/>
      <c r="AM2232"/>
      <c r="AN2232"/>
      <c r="AO2232"/>
      <c r="AP2232" t="inlineStr">
        <is>
          <t>Once per quarter (75%)</t>
        </is>
      </c>
      <c r="AQ2232"/>
      <c r="AR2232"/>
      <c r="AS2232" t="inlineStr">
        <is>
          <t>- Headcount: 15
- Hiring Job Details: 5 drivers, 10 crews
- Hiring Urgency: Hiring Now
- Number of outlets: N/A
- Have recruiter team: N/A
- Number of recruiter in company: N/A
- Have ATS system: N/A
- Have career website: N/A
- Current hiring budget: RM0.00
- Whole year budget: N/A
- Whole year number of vacancies: N/A
- Hiring frequency: Once per quarter (75%)
- External job portal: N/A</t>
        </is>
      </c>
      <c r="AT2232">
        <v>75</v>
      </c>
      <c r="AU2232" t="inlineStr">
        <is>
          <t>0.75</t>
        </is>
      </c>
      <c r="AV2232" t="inlineStr">
        <is>
          <t>25</t>
        </is>
      </c>
      <c r="AW2232" t="inlineStr">
        <is>
          <t>0</t>
        </is>
      </c>
      <c r="AX2232" t="inlineStr">
        <is>
          <t>Not Qualified</t>
        </is>
      </c>
      <c r="AY2232" s="4"/>
      <c r="AZ2232"/>
      <c r="BA2232"/>
      <c r="BB2232"/>
      <c r="BC2232"/>
      <c r="BD2232" s="4"/>
      <c r="BE2232"/>
      <c r="BF2232"/>
      <c r="BG2232" t="inlineStr">
        <is>
          <t>Reschedule</t>
        </is>
      </c>
      <c r="BH2232" t="inlineStr">
        <is>
          <t>Reagen</t>
        </is>
      </c>
      <c r="BI2232"/>
      <c r="BJ2232" s="4">
        <v>46144.75571759259</v>
      </c>
      <c r="BK2232" s="4">
        <v>46118.447650462964</v>
      </c>
      <c r="BL2232" t="inlineStr">
        <is>
          <t>0.0</t>
        </is>
      </c>
      <c r="BM2232" t="inlineStr">
        <is>
          <t>0.0</t>
        </is>
      </c>
      <c r="BN2232"/>
      <c r="BO2232" s="4"/>
      <c r="BP2232">
        <v>165338</v>
      </c>
      <c r="BQ2232"/>
      <c r="BR2232"/>
      <c r="BS2232"/>
      <c r="BT2232"/>
      <c r="BU2232"/>
      <c r="BV2232"/>
      <c r="BW2232"/>
      <c r="BX2232"/>
      <c r="BY2232"/>
      <c r="BZ2232" s="4"/>
      <c r="CA2232"/>
      <c r="CB2232"/>
      <c r="CC2232" s="4"/>
      <c r="CD2232" t="inlineStr">
        <is>
          <t>35</t>
        </is>
      </c>
      <c r="CE2232" t="inlineStr">
        <is>
          <t>0</t>
        </is>
      </c>
      <c r="CF2232" t="inlineStr">
        <is>
          <t>Q2-W01</t>
        </is>
      </c>
      <c r="CG2232"/>
      <c r="CH2232"/>
      <c r="CI2232"/>
      <c r="CJ2232" t="inlineStr">
        <is>
          <t>No Paid</t>
        </is>
      </c>
      <c r="CK2232" t="inlineStr">
        <is>
          <t>Eligible</t>
        </is>
      </c>
      <c r="CL2232"/>
      <c r="CM2232"/>
    </row>
    <row r="2233" ht="25.5" customHeight="1">
      <c r="A2233" t="inlineStr">
        <is>
          <t>146512</t>
        </is>
      </c>
      <c r="B2233" s="2"/>
      <c r="C2233"/>
      <c r="D2233" s="3">
        <v>46118.47935185185</v>
      </c>
      <c r="E2233" t="inlineStr">
        <is>
          <t>Q2-W01</t>
        </is>
      </c>
      <c r="F2233" t="inlineStr">
        <is>
          <t>Dickson</t>
        </is>
      </c>
      <c r="G2233" t="inlineStr">
        <is>
          <t>Customer</t>
        </is>
      </c>
      <c r="H2233" s="2" t="str">
        <f>=HYPERLINK("https://upbox.ajobthing.my/customer/146512", "https://upbox.ajobthing.my/customer/146512")</f>
        <v>https://upbox.ajobthing.my/customer/146512</v>
      </c>
      <c r="I2233" t="inlineStr">
        <is>
          <t>Dinamika Training Consultant Sdn Bhd</t>
        </is>
      </c>
      <c r="J2233" t="inlineStr">
        <is>
          <t>Dolphin</t>
        </is>
      </c>
      <c r="K2233" t="inlineStr">
        <is>
          <t>Dickson</t>
        </is>
      </c>
      <c r="L2233" s="4"/>
      <c r="M2233" s="4">
        <v>46118.47945601852</v>
      </c>
      <c r="N2233"/>
      <c r="O2233">
        <v>1296</v>
      </c>
      <c r="P2233" s="4"/>
      <c r="Q2233" s="4">
        <v>44565.40016203704</v>
      </c>
      <c r="R2233"/>
      <c r="S2233">
        <v>742</v>
      </c>
      <c r="T2233" s="4">
        <v>44565.40016203704</v>
      </c>
      <c r="U2233" s="4"/>
      <c r="V2233"/>
      <c r="W2233">
        <v>742</v>
      </c>
      <c r="X2233"/>
      <c r="Y2233" t="inlineStr">
        <is>
          <t>Pending Appointment</t>
        </is>
      </c>
      <c r="Z2233" t="inlineStr">
        <is>
          <t>Hiring Now</t>
        </is>
      </c>
      <c r="AA2233">
        <v>11</v>
      </c>
      <c r="AB2233" t="inlineStr">
        <is>
          <t>No Appointment Made</t>
        </is>
      </c>
      <c r="AC2233"/>
      <c r="AD2233" t="inlineStr">
        <is>
          <t>hiring more than 10 kindergarden teachers</t>
        </is>
      </c>
      <c r="AE2233"/>
      <c r="AF2233"/>
      <c r="AG2233" s="4"/>
      <c r="AH2233" s="4"/>
      <c r="AI2233"/>
      <c r="AJ2233"/>
      <c r="AK2233" t="inlineStr">
        <is>
          <t>No, I don't need at all</t>
        </is>
      </c>
      <c r="AL2233"/>
      <c r="AM2233" t="inlineStr">
        <is>
          <t>No, I don't need at all</t>
        </is>
      </c>
      <c r="AN2233"/>
      <c r="AO2233" t="inlineStr">
        <is>
          <t>No, I don't need at all</t>
        </is>
      </c>
      <c r="AP2233" t="inlineStr">
        <is>
          <t>Once per quarter (75%)</t>
        </is>
      </c>
      <c r="AQ2233"/>
      <c r="AR2233"/>
      <c r="AS2233" t="inlineStr">
        <is>
          <t>- Headcount: 11
- Hiring Job Details: hiring more than 10 kindergarten teachers
- Hiring Urgency: Hiring Now
- Number of outlets: Not available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is>
      </c>
      <c r="AT2233">
        <v>75</v>
      </c>
      <c r="AU2233" t="inlineStr">
        <is>
          <t>0.75</t>
        </is>
      </c>
      <c r="AV2233" t="inlineStr">
        <is>
          <t>15</t>
        </is>
      </c>
      <c r="AW2233" t="inlineStr">
        <is>
          <t>0</t>
        </is>
      </c>
      <c r="AX2233" t="inlineStr">
        <is>
          <t>Not Qualified</t>
        </is>
      </c>
      <c r="AY2233" s="4"/>
      <c r="AZ2233"/>
      <c r="BA2233"/>
      <c r="BB2233"/>
      <c r="BC2233" t="inlineStr">
        <is>
          <t>do not wish to proceed</t>
        </is>
      </c>
      <c r="BD2233" s="4">
        <v>46125.477638888886</v>
      </c>
      <c r="BE2233" t="inlineStr">
        <is>
          <t>paid</t>
        </is>
      </c>
      <c r="BF2233"/>
      <c r="BG2233" t="inlineStr">
        <is>
          <t>Reschedule</t>
        </is>
      </c>
      <c r="BH2233" t="inlineStr">
        <is>
          <t>Edward Hoo</t>
        </is>
      </c>
      <c r="BI2233" t="inlineStr">
        <is>
          <t>Education / Training</t>
        </is>
      </c>
      <c r="BJ2233" s="4">
        <v>46144.75077546296</v>
      </c>
      <c r="BK2233" s="4">
        <v>44565.37469907408</v>
      </c>
      <c r="BL2233" t="inlineStr">
        <is>
          <t>0.0</t>
        </is>
      </c>
      <c r="BM2233" t="inlineStr">
        <is>
          <t>0.0</t>
        </is>
      </c>
      <c r="BN2233" t="inlineStr">
        <is>
          <t>View Company Page</t>
        </is>
      </c>
      <c r="BO2233" s="4">
        <v>45518.961875</v>
      </c>
      <c r="BP2233">
        <v>165339</v>
      </c>
      <c r="BQ2233">
        <v>39316</v>
      </c>
      <c r="BR2233" t="inlineStr">
        <is>
          <t>Online</t>
        </is>
      </c>
      <c r="BS2233"/>
      <c r="BT2233">
        <v>39316</v>
      </c>
      <c r="BU2233"/>
      <c r="BV2233">
        <v>2700397</v>
      </c>
      <c r="BW2233" t="inlineStr">
        <is>
          <t>Follow Up : Lost - Free Portal</t>
        </is>
      </c>
      <c r="BX2233"/>
      <c r="BY2233"/>
      <c r="BZ2233" s="4"/>
      <c r="CA2233"/>
      <c r="CB2233"/>
      <c r="CC2233" s="4"/>
      <c r="CD2233" t="inlineStr">
        <is>
          <t>20</t>
        </is>
      </c>
      <c r="CE2233" t="inlineStr">
        <is>
          <t>0</t>
        </is>
      </c>
      <c r="CF2233" t="inlineStr">
        <is>
          <t>Q2-W01</t>
        </is>
      </c>
      <c r="CG2233"/>
      <c r="CH2233"/>
      <c r="CI2233"/>
      <c r="CJ2233" t="inlineStr">
        <is>
          <t>Paid</t>
        </is>
      </c>
      <c r="CK2233" t="inlineStr">
        <is>
          <t>Eligible</t>
        </is>
      </c>
      <c r="CL2233"/>
      <c r="CM2233"/>
    </row>
    <row r="2234" ht="25.5" customHeight="1">
      <c r="A2234" t="inlineStr">
        <is>
          <t>181505</t>
        </is>
      </c>
      <c r="B2234" s="2"/>
      <c r="C2234"/>
      <c r="D2234" s="3">
        <v>46118.48579861111</v>
      </c>
      <c r="E2234" t="inlineStr">
        <is>
          <t>Q2-W01</t>
        </is>
      </c>
      <c r="F2234" t="inlineStr">
        <is>
          <t>Xin Quan</t>
        </is>
      </c>
      <c r="G2234" t="inlineStr">
        <is>
          <t>Customer</t>
        </is>
      </c>
      <c r="H2234" s="2" t="str">
        <f>=HYPERLINK("https://upbox.ajobthing.my/customer/181505", "https://upbox.ajobthing.my/customer/181505")</f>
        <v>https://upbox.ajobthing.my/customer/181505</v>
      </c>
      <c r="I2234" t="inlineStr">
        <is>
          <t>Infinite Plus Management Sdn. Bhd.</t>
        </is>
      </c>
      <c r="J2234" t="inlineStr">
        <is>
          <t>Dolphin</t>
        </is>
      </c>
      <c r="K2234" t="inlineStr">
        <is>
          <t>Xin Quan</t>
        </is>
      </c>
      <c r="L2234" s="4"/>
      <c r="M2234" s="4">
        <v>46118.48608796296</v>
      </c>
      <c r="N2234"/>
      <c r="O2234">
        <v>3888</v>
      </c>
      <c r="P2234" s="4"/>
      <c r="Q2234" s="4">
        <v>45516.670324074075</v>
      </c>
      <c r="R2234"/>
      <c r="S2234">
        <v>1944</v>
      </c>
      <c r="T2234" s="4">
        <v>45516.670324074075</v>
      </c>
      <c r="U2234" s="4"/>
      <c r="V2234"/>
      <c r="W2234">
        <v>1944</v>
      </c>
      <c r="X2234"/>
      <c r="Y2234" t="inlineStr">
        <is>
          <t>Pending Appointment</t>
        </is>
      </c>
      <c r="Z2234" t="inlineStr">
        <is>
          <t>Hiring Now</t>
        </is>
      </c>
      <c r="AA2234">
        <v>2</v>
      </c>
      <c r="AB2234" t="inlineStr">
        <is>
          <t>No Appointment Made</t>
        </is>
      </c>
      <c r="AC2234"/>
      <c r="AD2234" t="inlineStr">
        <is>
          <t>1 Admin assistance 1 Sales , Base in PJ</t>
        </is>
      </c>
      <c r="AE2234"/>
      <c r="AF2234">
        <v>4000</v>
      </c>
      <c r="AG2234" s="4"/>
      <c r="AH2234" s="4"/>
      <c r="AI2234">
        <v>48000</v>
      </c>
      <c r="AJ2234">
        <v>1</v>
      </c>
      <c r="AK2234"/>
      <c r="AL2234"/>
      <c r="AM2234"/>
      <c r="AN2234"/>
      <c r="AO2234"/>
      <c r="AP2234"/>
      <c r="AQ2234">
        <v>2</v>
      </c>
      <c r="AR2234"/>
      <c r="AS2234" t="inlineStr">
        <is>
          <t>- Headcount: 2
- Hiring Job Details: 1 Admin assistance, 1 Sales, Base in PJ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2234">
        <v>65</v>
      </c>
      <c r="AU2234" t="inlineStr">
        <is>
          <t>0.65</t>
        </is>
      </c>
      <c r="AV2234" t="inlineStr">
        <is>
          <t>15</t>
        </is>
      </c>
      <c r="AW2234" t="inlineStr">
        <is>
          <t>0</t>
        </is>
      </c>
      <c r="AX2234" t="inlineStr">
        <is>
          <t>Not Qualified</t>
        </is>
      </c>
      <c r="AY2234" s="4"/>
      <c r="AZ2234"/>
      <c r="BA2234"/>
      <c r="BB2234"/>
      <c r="BC2234" t="inlineStr">
        <is>
          <t>NA</t>
        </is>
      </c>
      <c r="BD2234" s="4">
        <v>46132.60821759259</v>
      </c>
      <c r="BE2234" t="inlineStr">
        <is>
          <t>paid</t>
        </is>
      </c>
      <c r="BF2234"/>
      <c r="BG2234" t="inlineStr">
        <is>
          <t>Reschedule</t>
        </is>
      </c>
      <c r="BH2234" t="inlineStr">
        <is>
          <t>Edward Hoo</t>
        </is>
      </c>
      <c r="BI2234" t="inlineStr">
        <is>
          <t>Architecture / Interior Design</t>
        </is>
      </c>
      <c r="BJ2234" s="4">
        <v>46144.751863425925</v>
      </c>
      <c r="BK2234" s="4">
        <v>45516.52040509259</v>
      </c>
      <c r="BL2234" t="inlineStr">
        <is>
          <t>0.0</t>
        </is>
      </c>
      <c r="BM2234" t="inlineStr">
        <is>
          <t>600.0</t>
        </is>
      </c>
      <c r="BN2234" t="inlineStr">
        <is>
          <t>View Company Page</t>
        </is>
      </c>
      <c r="BO2234" s="4">
        <v>45572.615752314814</v>
      </c>
      <c r="BP2234">
        <v>165347</v>
      </c>
      <c r="BQ2234">
        <v>71977</v>
      </c>
      <c r="BR2234" t="inlineStr">
        <is>
          <t>Online</t>
        </is>
      </c>
      <c r="BS2234"/>
      <c r="BT2234">
        <v>71977</v>
      </c>
      <c r="BU2234"/>
      <c r="BV2234">
        <v>2715789</v>
      </c>
      <c r="BW2234" t="inlineStr">
        <is>
          <t>No Answer : 3 Days No Response</t>
        </is>
      </c>
      <c r="BX2234"/>
      <c r="BY2234"/>
      <c r="BZ2234" s="4"/>
      <c r="CA2234"/>
      <c r="CB2234"/>
      <c r="CC2234" s="4"/>
      <c r="CD2234" t="inlineStr">
        <is>
          <t>20</t>
        </is>
      </c>
      <c r="CE2234" t="inlineStr">
        <is>
          <t>0</t>
        </is>
      </c>
      <c r="CF2234" t="inlineStr">
        <is>
          <t>Q2-W01</t>
        </is>
      </c>
      <c r="CG2234"/>
      <c r="CH2234"/>
      <c r="CI2234"/>
      <c r="CJ2234" t="inlineStr">
        <is>
          <t>Paid</t>
        </is>
      </c>
      <c r="CK2234" t="inlineStr">
        <is>
          <t>Not Eligible</t>
        </is>
      </c>
      <c r="CL2234"/>
      <c r="CM2234"/>
    </row>
    <row r="2235" ht="25.5" customHeight="1">
      <c r="A2235" t="inlineStr">
        <is>
          <t>201274</t>
        </is>
      </c>
      <c r="B2235" s="2"/>
      <c r="C2235"/>
      <c r="D2235" s="3">
        <v>46118.49177083333</v>
      </c>
      <c r="E2235" t="inlineStr">
        <is>
          <t>Q2-W01</t>
        </is>
      </c>
      <c r="F2235" t="inlineStr">
        <is>
          <t>Lucas</t>
        </is>
      </c>
      <c r="G2235" t="inlineStr">
        <is>
          <t>Customer</t>
        </is>
      </c>
      <c r="H2235" s="2" t="str">
        <f>=HYPERLINK("https://upbox.ajobthing.my/customer/201274", "https://upbox.ajobthing.my/customer/201274")</f>
        <v>https://upbox.ajobthing.my/customer/201274</v>
      </c>
      <c r="I2235" t="inlineStr">
        <is>
          <t>Starthink Sdn Bhd</t>
        </is>
      </c>
      <c r="J2235" t="inlineStr">
        <is>
          <t>Dolphin</t>
        </is>
      </c>
      <c r="K2235" t="inlineStr">
        <is>
          <t>Lucas</t>
        </is>
      </c>
      <c r="L2235" s="4"/>
      <c r="M2235" s="4">
        <v>46118.487337962964</v>
      </c>
      <c r="N2235"/>
      <c r="O2235">
        <v>3672</v>
      </c>
      <c r="P2235" s="4"/>
      <c r="Q2235" s="4">
        <v>46072.87736111111</v>
      </c>
      <c r="R2235"/>
      <c r="S2235">
        <v>1296</v>
      </c>
      <c r="T2235" s="4">
        <v>46072.87736111111</v>
      </c>
      <c r="U2235" s="4"/>
      <c r="V2235"/>
      <c r="W2235">
        <v>1296</v>
      </c>
      <c r="X2235"/>
      <c r="Y2235" t="inlineStr">
        <is>
          <t>Pending Appointment</t>
        </is>
      </c>
      <c r="Z2235" t="inlineStr">
        <is>
          <t>Hiring Now</t>
        </is>
      </c>
      <c r="AA2235">
        <v>1</v>
      </c>
      <c r="AB2235" t="inlineStr">
        <is>
          <t>No Appointment Made</t>
        </is>
      </c>
      <c r="AC2235"/>
      <c r="AD2235" t="inlineStr">
        <is>
          <t>1 Designer &amp; Web Developer</t>
        </is>
      </c>
      <c r="AE2235"/>
      <c r="AF2235">
        <v>0</v>
      </c>
      <c r="AG2235" s="4"/>
      <c r="AH2235" s="4"/>
      <c r="AI2235">
        <v>0</v>
      </c>
      <c r="AJ2235"/>
      <c r="AK2235" t="inlineStr">
        <is>
          <t>No, I don't need at all</t>
        </is>
      </c>
      <c r="AL2235">
        <v>0</v>
      </c>
      <c r="AM2235" t="inlineStr">
        <is>
          <t>No, I don't need at all</t>
        </is>
      </c>
      <c r="AN2235"/>
      <c r="AO2235" t="inlineStr">
        <is>
          <t>No, I don't need at all</t>
        </is>
      </c>
      <c r="AP2235" t="inlineStr">
        <is>
          <t>Once a year (25%)</t>
        </is>
      </c>
      <c r="AQ2235">
        <v>1</v>
      </c>
      <c r="AR2235" t="inlineStr">
        <is>
          <t>Did not use any job portal</t>
        </is>
      </c>
      <c r="AS2235" t="inlineStr">
        <is>
          <t>- Headcount: 1
- Hiring Job Details: 1 Designer &amp; Web Developer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235">
        <v>120</v>
      </c>
      <c r="AU2235" t="inlineStr">
        <is>
          <t>1.20</t>
        </is>
      </c>
      <c r="AV2235" t="inlineStr">
        <is>
          <t>15</t>
        </is>
      </c>
      <c r="AW2235" t="inlineStr">
        <is>
          <t>0</t>
        </is>
      </c>
      <c r="AX2235" t="inlineStr">
        <is>
          <t>Not Qualified</t>
        </is>
      </c>
      <c r="AY2235" s="4"/>
      <c r="AZ2235"/>
      <c r="BA2235"/>
      <c r="BB2235"/>
      <c r="BC2235" t="inlineStr">
        <is>
          <t>FU2</t>
        </is>
      </c>
      <c r="BD2235" s="4">
        <v>46133.59564814815</v>
      </c>
      <c r="BE2235" t="inlineStr">
        <is>
          <t>paid</t>
        </is>
      </c>
      <c r="BF2235" t="inlineStr">
        <is>
          <t>Q1-W07</t>
        </is>
      </c>
      <c r="BG2235" t="inlineStr">
        <is>
          <t>Reschedule</t>
        </is>
      </c>
      <c r="BH2235" t="inlineStr">
        <is>
          <t>Yee Hang</t>
        </is>
      </c>
      <c r="BI2235"/>
      <c r="BJ2235" s="4">
        <v>46144.75377314815</v>
      </c>
      <c r="BK2235" s="4">
        <v>46069.611597222225</v>
      </c>
      <c r="BL2235" t="inlineStr">
        <is>
          <t>1296.0</t>
        </is>
      </c>
      <c r="BM2235" t="inlineStr">
        <is>
          <t>0.0</t>
        </is>
      </c>
      <c r="BN2235" t="inlineStr">
        <is>
          <t>View Jobmanager Page</t>
        </is>
      </c>
      <c r="BO2235" s="4">
        <v>46118.483125</v>
      </c>
      <c r="BP2235">
        <v>165349</v>
      </c>
      <c r="BQ2235">
        <v>87052</v>
      </c>
      <c r="BR2235" t="inlineStr">
        <is>
          <t>Online</t>
        </is>
      </c>
      <c r="BS2235"/>
      <c r="BT2235">
        <v>87052</v>
      </c>
      <c r="BU2235"/>
      <c r="BV2235">
        <v>2718228</v>
      </c>
      <c r="BW2235" t="inlineStr">
        <is>
          <t>No Answer : Voicemail - WA sent to customer</t>
        </is>
      </c>
      <c r="BX2235"/>
      <c r="BY2235"/>
      <c r="BZ2235" s="4"/>
      <c r="CA2235"/>
      <c r="CB2235"/>
      <c r="CC2235" s="4"/>
      <c r="CD2235" t="inlineStr">
        <is>
          <t>20</t>
        </is>
      </c>
      <c r="CE2235" t="inlineStr">
        <is>
          <t>0</t>
        </is>
      </c>
      <c r="CF2235" t="inlineStr">
        <is>
          <t>Q2-W01</t>
        </is>
      </c>
      <c r="CG2235" t="inlineStr">
        <is>
          <t>Q1-W07</t>
        </is>
      </c>
      <c r="CH2235" t="inlineStr">
        <is>
          <t>Q1-W07</t>
        </is>
      </c>
      <c r="CI2235"/>
      <c r="CJ2235" t="inlineStr">
        <is>
          <t>Paid</t>
        </is>
      </c>
      <c r="CK2235" t="inlineStr">
        <is>
          <t>Not Eligible</t>
        </is>
      </c>
      <c r="CL2235"/>
      <c r="CM2235"/>
    </row>
    <row r="2236" ht="25.5" customHeight="1">
      <c r="A2236" t="inlineStr">
        <is>
          <t>140359</t>
        </is>
      </c>
      <c r="B2236" s="2"/>
      <c r="C2236"/>
      <c r="D2236" s="3">
        <v>46118.51550925926</v>
      </c>
      <c r="E2236" t="inlineStr">
        <is>
          <t>Q2-W01</t>
        </is>
      </c>
      <c r="F2236" t="inlineStr">
        <is>
          <t>Chia Yee</t>
        </is>
      </c>
      <c r="G2236" t="inlineStr">
        <is>
          <t>Customer</t>
        </is>
      </c>
      <c r="H2236" s="2" t="str">
        <f>=HYPERLINK("https://upbox.ajobthing.my/customer/140359", "https://upbox.ajobthing.my/customer/140359")</f>
        <v>https://upbox.ajobthing.my/customer/140359</v>
      </c>
      <c r="I2236" t="inlineStr">
        <is>
          <t>Ufit Global Sdn Bhd</t>
        </is>
      </c>
      <c r="J2236" t="inlineStr">
        <is>
          <t>Dolphin</t>
        </is>
      </c>
      <c r="K2236" t="inlineStr">
        <is>
          <t>Chia Yee</t>
        </is>
      </c>
      <c r="L2236" s="4"/>
      <c r="M2236" s="4">
        <v>46118.51565972222</v>
      </c>
      <c r="N2236"/>
      <c r="O2236">
        <v>1296</v>
      </c>
      <c r="P2236" s="4"/>
      <c r="Q2236" s="4">
        <v>45617.68877314815</v>
      </c>
      <c r="R2236"/>
      <c r="S2236">
        <v>2700</v>
      </c>
      <c r="T2236" s="4">
        <v>45617.68877314815</v>
      </c>
      <c r="U2236" s="4"/>
      <c r="V2236"/>
      <c r="W2236">
        <v>2700</v>
      </c>
      <c r="X2236"/>
      <c r="Y2236" t="inlineStr">
        <is>
          <t>Pending Appointment</t>
        </is>
      </c>
      <c r="Z2236" t="inlineStr">
        <is>
          <t>Hiring Now</t>
        </is>
      </c>
      <c r="AA2236">
        <v>1</v>
      </c>
      <c r="AB2236" t="inlineStr">
        <is>
          <t>No Appointment Made</t>
        </is>
      </c>
      <c r="AC2236"/>
      <c r="AD2236" t="inlineStr">
        <is>
          <t>1 Admin Cum customer service</t>
        </is>
      </c>
      <c r="AE2236"/>
      <c r="AF2236">
        <v>0</v>
      </c>
      <c r="AG2236" s="4"/>
      <c r="AH2236" s="4"/>
      <c r="AI2236">
        <v>0</v>
      </c>
      <c r="AJ2236">
        <v>0</v>
      </c>
      <c r="AK2236" t="inlineStr">
        <is>
          <t>No, I don't need at all</t>
        </is>
      </c>
      <c r="AL2236">
        <v>1</v>
      </c>
      <c r="AM2236" t="inlineStr">
        <is>
          <t>No, I don't need at all</t>
        </is>
      </c>
      <c r="AN2236"/>
      <c r="AO2236" t="inlineStr">
        <is>
          <t>No, I don't need at all</t>
        </is>
      </c>
      <c r="AP2236" t="inlineStr">
        <is>
          <t>Once a year (25%)</t>
        </is>
      </c>
      <c r="AQ2236">
        <v>1</v>
      </c>
      <c r="AR2236" t="inlineStr">
        <is>
          <t>Did not use any job portal</t>
        </is>
      </c>
      <c r="AS2236" t="inlineStr">
        <is>
          <t>- Headcount: 1
- Hiring Job Details: 1 Admin Cum customer service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236">
        <v>110</v>
      </c>
      <c r="AU2236" t="inlineStr">
        <is>
          <t>1.10</t>
        </is>
      </c>
      <c r="AV2236" t="inlineStr">
        <is>
          <t>15</t>
        </is>
      </c>
      <c r="AW2236" t="inlineStr">
        <is>
          <t>0</t>
        </is>
      </c>
      <c r="AX2236" t="inlineStr">
        <is>
          <t>Not Qualified</t>
        </is>
      </c>
      <c r="AY2236" s="4"/>
      <c r="AZ2236"/>
      <c r="BA2236"/>
      <c r="BB2236"/>
      <c r="BC2236" t="inlineStr">
        <is>
          <t>Called, no ans. WA</t>
        </is>
      </c>
      <c r="BD2236" s="4">
        <v>46133.65489583334</v>
      </c>
      <c r="BE2236" t="inlineStr">
        <is>
          <t>paid</t>
        </is>
      </c>
      <c r="BF2236"/>
      <c r="BG2236" t="inlineStr">
        <is>
          <t>Reschedule</t>
        </is>
      </c>
      <c r="BH2236" t="inlineStr">
        <is>
          <t>Reagen</t>
        </is>
      </c>
      <c r="BI2236" t="inlineStr">
        <is>
          <t>Business / Mgmt Consulting</t>
        </is>
      </c>
      <c r="BJ2236" s="4">
        <v>46144.75063657408</v>
      </c>
      <c r="BK2236" s="4">
        <v>44441.86771990741</v>
      </c>
      <c r="BL2236" t="inlineStr">
        <is>
          <t>0.0</t>
        </is>
      </c>
      <c r="BM2236" t="inlineStr">
        <is>
          <t>0.0</t>
        </is>
      </c>
      <c r="BN2236" t="inlineStr">
        <is>
          <t>View Candidate Search Page</t>
        </is>
      </c>
      <c r="BO2236" s="4">
        <v>46013.56752314815</v>
      </c>
      <c r="BP2236">
        <v>165368</v>
      </c>
      <c r="BQ2236">
        <v>74825</v>
      </c>
      <c r="BR2236" t="inlineStr">
        <is>
          <t>Online</t>
        </is>
      </c>
      <c r="BS2236"/>
      <c r="BT2236">
        <v>74825</v>
      </c>
      <c r="BU2236"/>
      <c r="BV2236">
        <v>2718608</v>
      </c>
      <c r="BW2236" t="inlineStr">
        <is>
          <t>No Answer : Voicemail - WA sent to customer</t>
        </is>
      </c>
      <c r="BX2236"/>
      <c r="BY2236"/>
      <c r="BZ2236" s="4"/>
      <c r="CA2236"/>
      <c r="CB2236"/>
      <c r="CC2236" s="4"/>
      <c r="CD2236" t="inlineStr">
        <is>
          <t>20</t>
        </is>
      </c>
      <c r="CE2236" t="inlineStr">
        <is>
          <t>0</t>
        </is>
      </c>
      <c r="CF2236" t="inlineStr">
        <is>
          <t>Q2-W01</t>
        </is>
      </c>
      <c r="CG2236"/>
      <c r="CH2236"/>
      <c r="CI2236"/>
      <c r="CJ2236" t="inlineStr">
        <is>
          <t>Paid</t>
        </is>
      </c>
      <c r="CK2236" t="inlineStr">
        <is>
          <t>Not Eligible</t>
        </is>
      </c>
      <c r="CL2236"/>
      <c r="CM2236"/>
    </row>
    <row r="2237" ht="25.5" customHeight="1">
      <c r="A2237" t="inlineStr">
        <is>
          <t>4251647</t>
        </is>
      </c>
      <c r="B2237" s="2"/>
      <c r="C2237"/>
      <c r="D2237" s="3">
        <v>46118.56585648148</v>
      </c>
      <c r="E2237" t="inlineStr">
        <is>
          <t>Q2-W01</t>
        </is>
      </c>
      <c r="F2237" t="inlineStr">
        <is>
          <t>Derek Lim</t>
        </is>
      </c>
      <c r="G2237" t="inlineStr">
        <is>
          <t>Lead</t>
        </is>
      </c>
      <c r="H2237" s="2" t="str">
        <f>=HYPERLINK("https://upbox.ajobthing.my/leads/4251647", "https://upbox.ajobthing.my/leads/4251647")</f>
        <v>https://upbox.ajobthing.my/leads/4251647</v>
      </c>
      <c r="I2237" t="inlineStr">
        <is>
          <t>Globez Sdn Bhd</t>
        </is>
      </c>
      <c r="J2237" t="inlineStr">
        <is>
          <t>Dolphin</t>
        </is>
      </c>
      <c r="K2237" t="inlineStr">
        <is>
          <t>Derek Lim</t>
        </is>
      </c>
      <c r="L2237" s="4"/>
      <c r="M2237" s="4">
        <v>46118.56627314815</v>
      </c>
      <c r="N2237"/>
      <c r="O2237">
        <v>6048</v>
      </c>
      <c r="P2237" s="4"/>
      <c r="Q2237" s="4"/>
      <c r="R2237"/>
      <c r="S2237"/>
      <c r="T2237" s="4"/>
      <c r="U2237" s="4"/>
      <c r="V2237"/>
      <c r="W2237"/>
      <c r="X2237"/>
      <c r="Y2237" t="inlineStr">
        <is>
          <t>Pending Appointment</t>
        </is>
      </c>
      <c r="Z2237" t="inlineStr">
        <is>
          <t>Hiring Now</t>
        </is>
      </c>
      <c r="AA2237">
        <v>1</v>
      </c>
      <c r="AB2237" t="inlineStr">
        <is>
          <t>No Appointment Made</t>
        </is>
      </c>
      <c r="AC2237"/>
      <c r="AD2237" t="inlineStr">
        <is>
          <t>operator - 1</t>
        </is>
      </c>
      <c r="AE2237"/>
      <c r="AF2237">
        <v>500</v>
      </c>
      <c r="AG2237" s="4"/>
      <c r="AH2237" s="4"/>
      <c r="AI2237">
        <v>800</v>
      </c>
      <c r="AJ2237">
        <v>1</v>
      </c>
      <c r="AK2237" t="inlineStr">
        <is>
          <t>No, I don't need at all</t>
        </is>
      </c>
      <c r="AL2237">
        <v>0</v>
      </c>
      <c r="AM2237" t="inlineStr">
        <is>
          <t>No, I don't need at all</t>
        </is>
      </c>
      <c r="AN2237"/>
      <c r="AO2237" t="inlineStr">
        <is>
          <t>No, I don't need at all</t>
        </is>
      </c>
      <c r="AP2237" t="inlineStr">
        <is>
          <t>Once a year (25%)</t>
        </is>
      </c>
      <c r="AQ2237">
        <v>2</v>
      </c>
      <c r="AR2237" t="inlineStr">
        <is>
          <t>Jobstreet</t>
        </is>
      </c>
      <c r="AS2237" t="inlineStr">
        <is>
          <t>- Headcount: 1
- Hiring Job Details: 1 operator
- Hiring Urgency: Hiring Now
- Number of outlets: 1
- Have recruiter team: No, I don't need at all
- Number of recruiter in company: 0
- Have ATS system: No, I don't need at all
- Have career website: No, I don't need at all
- Current hiring budget: RM500
- Whole year budget: RM800.00
- Whole year number of vacancies: 2
- Hiring frequency: Once a year (25%)
- External job portal: Jobstreet</t>
        </is>
      </c>
      <c r="AT2237">
        <v>100</v>
      </c>
      <c r="AU2237" t="inlineStr">
        <is>
          <t>1.00</t>
        </is>
      </c>
      <c r="AV2237" t="inlineStr">
        <is>
          <t>15</t>
        </is>
      </c>
      <c r="AW2237" t="inlineStr">
        <is>
          <t>0</t>
        </is>
      </c>
      <c r="AX2237" t="inlineStr">
        <is>
          <t>Not Qualified</t>
        </is>
      </c>
      <c r="AY2237" s="4"/>
      <c r="AZ2237"/>
      <c r="BA2237"/>
      <c r="BB2237"/>
      <c r="BC2237"/>
      <c r="BD2237" s="4"/>
      <c r="BE2237"/>
      <c r="BF2237"/>
      <c r="BG2237" t="inlineStr">
        <is>
          <t>Reschedule</t>
        </is>
      </c>
      <c r="BH2237" t="inlineStr">
        <is>
          <t>Edward Hoo</t>
        </is>
      </c>
      <c r="BI2237"/>
      <c r="BJ2237" s="4">
        <v>46144.75571759259</v>
      </c>
      <c r="BK2237" s="4">
        <v>46118.46505787037</v>
      </c>
      <c r="BL2237" t="inlineStr">
        <is>
          <t>0.0</t>
        </is>
      </c>
      <c r="BM2237" t="inlineStr">
        <is>
          <t>1800.0</t>
        </is>
      </c>
      <c r="BN2237"/>
      <c r="BO2237" s="4"/>
      <c r="BP2237">
        <v>165381</v>
      </c>
      <c r="BQ2237"/>
      <c r="BR2237"/>
      <c r="BS2237"/>
      <c r="BT2237"/>
      <c r="BU2237"/>
      <c r="BV2237"/>
      <c r="BW2237"/>
      <c r="BX2237"/>
      <c r="BY2237"/>
      <c r="BZ2237" s="4"/>
      <c r="CA2237"/>
      <c r="CB2237"/>
      <c r="CC2237" s="4"/>
      <c r="CD2237" t="inlineStr">
        <is>
          <t>20</t>
        </is>
      </c>
      <c r="CE2237" t="inlineStr">
        <is>
          <t>0</t>
        </is>
      </c>
      <c r="CF2237" t="inlineStr">
        <is>
          <t>Q2-W01</t>
        </is>
      </c>
      <c r="CG2237"/>
      <c r="CH2237"/>
      <c r="CI2237"/>
      <c r="CJ2237" t="inlineStr">
        <is>
          <t>No Paid</t>
        </is>
      </c>
      <c r="CK2237" t="inlineStr">
        <is>
          <t>Not Eligible</t>
        </is>
      </c>
      <c r="CL2237"/>
      <c r="CM2237"/>
    </row>
    <row r="2238" ht="25.5" customHeight="1">
      <c r="A2238" t="inlineStr">
        <is>
          <t>202847</t>
        </is>
      </c>
      <c r="B2238" s="2"/>
      <c r="C2238"/>
      <c r="D2238" s="3">
        <v>46118.56783564815</v>
      </c>
      <c r="E2238" t="inlineStr">
        <is>
          <t>Q2-W01</t>
        </is>
      </c>
      <c r="F2238" t="inlineStr">
        <is>
          <t>Lucas</t>
        </is>
      </c>
      <c r="G2238" t="inlineStr">
        <is>
          <t>Customer</t>
        </is>
      </c>
      <c r="H2238" s="2" t="str">
        <f>=HYPERLINK("https://upbox.ajobthing.my/customer/202847", "https://upbox.ajobthing.my/customer/202847")</f>
        <v>https://upbox.ajobthing.my/customer/202847</v>
      </c>
      <c r="I2238" t="inlineStr">
        <is>
          <t>Eco Multi Coating</t>
        </is>
      </c>
      <c r="J2238" t="inlineStr">
        <is>
          <t>Dolphin</t>
        </is>
      </c>
      <c r="K2238" t="inlineStr">
        <is>
          <t>Lucas</t>
        </is>
      </c>
      <c r="L2238" s="4"/>
      <c r="M2238" s="4">
        <v>46118.56730324074</v>
      </c>
      <c r="N2238"/>
      <c r="O2238">
        <v>3888</v>
      </c>
      <c r="P2238" s="4"/>
      <c r="Q2238" s="4">
        <v>46120.71005787037</v>
      </c>
      <c r="R2238"/>
      <c r="S2238">
        <v>0</v>
      </c>
      <c r="T2238" s="4">
        <v>46120.49493055556</v>
      </c>
      <c r="U2238" s="4"/>
      <c r="V2238"/>
      <c r="W2238">
        <v>1296</v>
      </c>
      <c r="X2238"/>
      <c r="Y2238" t="inlineStr">
        <is>
          <t>Pending Appointment</t>
        </is>
      </c>
      <c r="Z2238" t="inlineStr">
        <is>
          <t>Hiring Now</t>
        </is>
      </c>
      <c r="AA2238">
        <v>1</v>
      </c>
      <c r="AB2238" t="inlineStr">
        <is>
          <t>No Appointment Made</t>
        </is>
      </c>
      <c r="AC2238"/>
      <c r="AD2238" t="inlineStr">
        <is>
          <t xml:space="preserve">1 sale marketing </t>
        </is>
      </c>
      <c r="AE2238"/>
      <c r="AF2238">
        <v>0</v>
      </c>
      <c r="AG2238" s="4"/>
      <c r="AH2238" s="4"/>
      <c r="AI2238">
        <v>0</v>
      </c>
      <c r="AJ2238">
        <v>0</v>
      </c>
      <c r="AK2238" t="inlineStr">
        <is>
          <t>No, I don't need at all</t>
        </is>
      </c>
      <c r="AL2238">
        <v>0</v>
      </c>
      <c r="AM2238" t="inlineStr">
        <is>
          <t>No, I don't need at all</t>
        </is>
      </c>
      <c r="AN2238"/>
      <c r="AO2238" t="inlineStr">
        <is>
          <t>No, I don't need at all</t>
        </is>
      </c>
      <c r="AP2238" t="inlineStr">
        <is>
          <t>Once a year (25%)</t>
        </is>
      </c>
      <c r="AQ2238">
        <v>1</v>
      </c>
      <c r="AR2238" t="inlineStr">
        <is>
          <t>Did not use any job portal</t>
        </is>
      </c>
      <c r="AS2238" t="inlineStr">
        <is>
          <t>- Headcount: 1
- Hiring Job Details: 1 sale marketing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238">
        <v>110</v>
      </c>
      <c r="AU2238" t="inlineStr">
        <is>
          <t>1.10</t>
        </is>
      </c>
      <c r="AV2238" t="inlineStr">
        <is>
          <t>15</t>
        </is>
      </c>
      <c r="AW2238" t="inlineStr">
        <is>
          <t>0</t>
        </is>
      </c>
      <c r="AX2238" t="inlineStr">
        <is>
          <t>Not Qualified</t>
        </is>
      </c>
      <c r="AY2238" s="4"/>
      <c r="AZ2238"/>
      <c r="BA2238"/>
      <c r="BB2238"/>
      <c r="BC2238" t="inlineStr">
        <is>
          <t>inform account ready , can start posting</t>
        </is>
      </c>
      <c r="BD2238" s="4">
        <v>46120.557488425926</v>
      </c>
      <c r="BE2238" t="inlineStr">
        <is>
          <t>paid</t>
        </is>
      </c>
      <c r="BF2238" t="inlineStr">
        <is>
          <t>Q2-W01</t>
        </is>
      </c>
      <c r="BG2238" t="inlineStr">
        <is>
          <t>Reschedule</t>
        </is>
      </c>
      <c r="BH2238" t="inlineStr">
        <is>
          <t>Yee Hang</t>
        </is>
      </c>
      <c r="BI2238" t="inlineStr">
        <is>
          <t>Repair / Maintenance</t>
        </is>
      </c>
      <c r="BJ2238" s="4">
        <v>46144.75414351852</v>
      </c>
      <c r="BK2238" s="4">
        <v>46118.51212962963</v>
      </c>
      <c r="BL2238" t="inlineStr">
        <is>
          <t>1296.0</t>
        </is>
      </c>
      <c r="BM2238" t="inlineStr">
        <is>
          <t>0.0</t>
        </is>
      </c>
      <c r="BN2238" t="inlineStr">
        <is>
          <t>View Notifications</t>
        </is>
      </c>
      <c r="BO2238" s="4">
        <v>46135.60297453704</v>
      </c>
      <c r="BP2238">
        <v>165384</v>
      </c>
      <c r="BQ2238">
        <v>121078</v>
      </c>
      <c r="BR2238" t="inlineStr">
        <is>
          <t>Proforma</t>
        </is>
      </c>
      <c r="BS2238" t="inlineStr">
        <is>
          <t>Free Part-Time Job</t>
        </is>
      </c>
      <c r="BT2238">
        <v>92025</v>
      </c>
      <c r="BU2238"/>
      <c r="BV2238">
        <v>2692273</v>
      </c>
      <c r="BW2238" t="inlineStr">
        <is>
          <t>Service / Technical : Job Outcome Enquiry</t>
        </is>
      </c>
      <c r="BX2238">
        <v>1</v>
      </c>
      <c r="BY2238">
        <v>0</v>
      </c>
      <c r="BZ2238" s="4">
        <v>46120.62667824074</v>
      </c>
      <c r="CA2238">
        <v>23</v>
      </c>
      <c r="CB2238">
        <v>23</v>
      </c>
      <c r="CC2238" s="4"/>
      <c r="CD2238" t="inlineStr">
        <is>
          <t>20</t>
        </is>
      </c>
      <c r="CE2238" t="inlineStr">
        <is>
          <t>0</t>
        </is>
      </c>
      <c r="CF2238" t="inlineStr">
        <is>
          <t>Q2-W01</t>
        </is>
      </c>
      <c r="CG2238" t="inlineStr">
        <is>
          <t>Q2-W01</t>
        </is>
      </c>
      <c r="CH2238" t="inlineStr">
        <is>
          <t>Q2-W01</t>
        </is>
      </c>
      <c r="CI2238"/>
      <c r="CJ2238" t="inlineStr">
        <is>
          <t>Paid</t>
        </is>
      </c>
      <c r="CK2238" t="inlineStr">
        <is>
          <t>Not Eligible</t>
        </is>
      </c>
      <c r="CL2238"/>
      <c r="CM2238"/>
    </row>
    <row r="2239" ht="25.5" customHeight="1">
      <c r="A2239" t="inlineStr">
        <is>
          <t>196301</t>
        </is>
      </c>
      <c r="B2239" s="2"/>
      <c r="C2239"/>
      <c r="D2239" s="3">
        <v>46118.56921296296</v>
      </c>
      <c r="E2239" t="inlineStr">
        <is>
          <t>Q2-W01</t>
        </is>
      </c>
      <c r="F2239" t="inlineStr">
        <is>
          <t>Clover</t>
        </is>
      </c>
      <c r="G2239" t="inlineStr">
        <is>
          <t>Customer</t>
        </is>
      </c>
      <c r="H2239" s="2" t="str">
        <f>=HYPERLINK("https://upbox.ajobthing.my/customer/196301", "https://upbox.ajobthing.my/customer/196301")</f>
        <v>https://upbox.ajobthing.my/customer/196301</v>
      </c>
      <c r="I2239" t="inlineStr">
        <is>
          <t>VForce Media Sdn Bhd</t>
        </is>
      </c>
      <c r="J2239" t="inlineStr">
        <is>
          <t>Dolphin</t>
        </is>
      </c>
      <c r="K2239" t="inlineStr">
        <is>
          <t>Clover</t>
        </is>
      </c>
      <c r="L2239" s="4"/>
      <c r="M2239" s="4">
        <v>46118.56715277778</v>
      </c>
      <c r="N2239"/>
      <c r="O2239">
        <v>3888</v>
      </c>
      <c r="P2239" s="4"/>
      <c r="Q2239" s="4">
        <v>46121.683483796296</v>
      </c>
      <c r="R2239"/>
      <c r="S2239">
        <v>864</v>
      </c>
      <c r="T2239" s="4">
        <v>46121.683483796296</v>
      </c>
      <c r="U2239" s="4"/>
      <c r="V2239"/>
      <c r="W2239">
        <v>864</v>
      </c>
      <c r="X2239"/>
      <c r="Y2239" t="inlineStr">
        <is>
          <t>Pending Appointment</t>
        </is>
      </c>
      <c r="Z2239" t="inlineStr">
        <is>
          <t>Hiring Later</t>
        </is>
      </c>
      <c r="AA2239">
        <v>1</v>
      </c>
      <c r="AB2239" t="inlineStr">
        <is>
          <t>No Appointment Made</t>
        </is>
      </c>
      <c r="AC2239"/>
      <c r="AD2239" t="inlineStr">
        <is>
          <t>Want to hire sales exec x1 chi, future have more hirings, suggest stand</t>
        </is>
      </c>
      <c r="AE2239"/>
      <c r="AF2239">
        <v>3000</v>
      </c>
      <c r="AG2239" s="4"/>
      <c r="AH2239" s="4"/>
      <c r="AI2239">
        <v>3000</v>
      </c>
      <c r="AJ2239">
        <v>1</v>
      </c>
      <c r="AK2239" t="inlineStr">
        <is>
          <t>No, but I want in future</t>
        </is>
      </c>
      <c r="AL2239">
        <v>1</v>
      </c>
      <c r="AM2239" t="inlineStr">
        <is>
          <t>No, but I want in future</t>
        </is>
      </c>
      <c r="AN2239"/>
      <c r="AO2239" t="inlineStr">
        <is>
          <t>No, but I want in future</t>
        </is>
      </c>
      <c r="AP2239" t="inlineStr">
        <is>
          <t>Twice a year (50%)</t>
        </is>
      </c>
      <c r="AQ2239">
        <v>2</v>
      </c>
      <c r="AR2239" t="inlineStr">
        <is>
          <t>Did not use any job portal</t>
        </is>
      </c>
      <c r="AS2239" t="inlineStr">
        <is>
          <t>- Headcount: 1
- Hiring Job Details: 1 Chinese-speaking sales exec, future more hirings,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239">
        <v>115</v>
      </c>
      <c r="AU2239" t="inlineStr">
        <is>
          <t>1.15</t>
        </is>
      </c>
      <c r="AV2239" t="inlineStr">
        <is>
          <t>15</t>
        </is>
      </c>
      <c r="AW2239" t="inlineStr">
        <is>
          <t>0</t>
        </is>
      </c>
      <c r="AX2239" t="inlineStr">
        <is>
          <t>Not Qualified</t>
        </is>
      </c>
      <c r="AY2239" s="4"/>
      <c r="AZ2239"/>
      <c r="BA2239"/>
      <c r="BB2239"/>
      <c r="BC2239" t="inlineStr">
        <is>
          <t>hire internship marketing response</t>
        </is>
      </c>
      <c r="BD2239" s="4">
        <v>46139.57129629629</v>
      </c>
      <c r="BE2239" t="inlineStr">
        <is>
          <t>paid</t>
        </is>
      </c>
      <c r="BF2239" t="inlineStr">
        <is>
          <t>Q2-W01</t>
        </is>
      </c>
      <c r="BG2239" t="inlineStr">
        <is>
          <t>Reschedule</t>
        </is>
      </c>
      <c r="BH2239" t="inlineStr">
        <is>
          <t>Reagen</t>
        </is>
      </c>
      <c r="BI2239" t="inlineStr">
        <is>
          <t>Advertising / Marketing</t>
        </is>
      </c>
      <c r="BJ2239" s="4">
        <v>46144.7528125</v>
      </c>
      <c r="BK2239" s="4">
        <v>45919.70212962963</v>
      </c>
      <c r="BL2239" t="inlineStr">
        <is>
          <t>1728.0</t>
        </is>
      </c>
      <c r="BM2239" t="inlineStr">
        <is>
          <t>0.0</t>
        </is>
      </c>
      <c r="BN2239" t="inlineStr">
        <is>
          <t>View Company Page</t>
        </is>
      </c>
      <c r="BO2239" s="4">
        <v>46142.39582175926</v>
      </c>
      <c r="BP2239">
        <v>165383</v>
      </c>
      <c r="BQ2239">
        <v>92546</v>
      </c>
      <c r="BR2239" t="inlineStr">
        <is>
          <t>Online</t>
        </is>
      </c>
      <c r="BS2239"/>
      <c r="BT2239">
        <v>92546</v>
      </c>
      <c r="BU2239"/>
      <c r="BV2239">
        <v>2729394</v>
      </c>
      <c r="BW2239" t="inlineStr">
        <is>
          <t>Follow Up : Decision Pending</t>
        </is>
      </c>
      <c r="BX2239">
        <v>1</v>
      </c>
      <c r="BY2239">
        <v>0</v>
      </c>
      <c r="BZ2239" s="4">
        <v>46121.68349537037</v>
      </c>
      <c r="CA2239">
        <v>10</v>
      </c>
      <c r="CB2239">
        <v>9</v>
      </c>
      <c r="CC2239" s="4">
        <v>46139.63744212963</v>
      </c>
      <c r="CD2239" t="inlineStr">
        <is>
          <t>20</t>
        </is>
      </c>
      <c r="CE2239" t="inlineStr">
        <is>
          <t>0</t>
        </is>
      </c>
      <c r="CF2239" t="inlineStr">
        <is>
          <t>Q2-W01</t>
        </is>
      </c>
      <c r="CG2239" t="inlineStr">
        <is>
          <t>Q2-W01</t>
        </is>
      </c>
      <c r="CH2239" t="inlineStr">
        <is>
          <t>Q2-W01</t>
        </is>
      </c>
      <c r="CI2239"/>
      <c r="CJ2239" t="inlineStr">
        <is>
          <t>Paid</t>
        </is>
      </c>
      <c r="CK2239" t="inlineStr">
        <is>
          <t>Not Eligible</t>
        </is>
      </c>
      <c r="CL2239"/>
      <c r="CM2239"/>
    </row>
    <row r="2240" ht="25.5" customHeight="1">
      <c r="A2240" t="inlineStr">
        <is>
          <t>141756</t>
        </is>
      </c>
      <c r="B2240" s="2"/>
      <c r="C2240"/>
      <c r="D2240" s="3">
        <v>46118.57434027778</v>
      </c>
      <c r="E2240" t="inlineStr">
        <is>
          <t>Q2-W01</t>
        </is>
      </c>
      <c r="F2240" t="inlineStr">
        <is>
          <t>Alex Chan</t>
        </is>
      </c>
      <c r="G2240" t="inlineStr">
        <is>
          <t>Customer</t>
        </is>
      </c>
      <c r="H2240" s="2" t="str">
        <f>=HYPERLINK("https://upbox.ajobthing.my/customer/141756", "https://upbox.ajobthing.my/customer/141756")</f>
        <v>https://upbox.ajobthing.my/customer/141756</v>
      </c>
      <c r="I2240" t="inlineStr">
        <is>
          <t>Western Elevators Sdn Bhd</t>
        </is>
      </c>
      <c r="J2240" t="inlineStr">
        <is>
          <t>Dolphin</t>
        </is>
      </c>
      <c r="K2240" t="inlineStr">
        <is>
          <t>Alex Chan</t>
        </is>
      </c>
      <c r="L2240" s="4"/>
      <c r="M2240" s="4">
        <v>46097.47107638889</v>
      </c>
      <c r="N2240"/>
      <c r="O2240">
        <v>3888</v>
      </c>
      <c r="P2240" s="4"/>
      <c r="Q2240" s="4">
        <v>46129.6405787037</v>
      </c>
      <c r="R2240"/>
      <c r="S2240">
        <v>3888</v>
      </c>
      <c r="T2240" s="4">
        <v>46129.6405787037</v>
      </c>
      <c r="U2240" s="4"/>
      <c r="V2240"/>
      <c r="W2240">
        <v>3888</v>
      </c>
      <c r="X2240"/>
      <c r="Y2240" t="inlineStr">
        <is>
          <t>Pending Appointment</t>
        </is>
      </c>
      <c r="Z2240" t="inlineStr">
        <is>
          <t>Continuous Hiring</t>
        </is>
      </c>
      <c r="AA2240">
        <v>1</v>
      </c>
      <c r="AB2240" t="inlineStr">
        <is>
          <t>No Appointment Made</t>
        </is>
      </c>
      <c r="AC2240"/>
      <c r="AD2240" t="inlineStr">
        <is>
          <t>1x Technician</t>
        </is>
      </c>
      <c r="AE2240"/>
      <c r="AF2240">
        <v>3600</v>
      </c>
      <c r="AG2240" s="4"/>
      <c r="AH2240" s="4"/>
      <c r="AI2240">
        <v>3600</v>
      </c>
      <c r="AJ2240">
        <v>1</v>
      </c>
      <c r="AK2240" t="inlineStr">
        <is>
          <t>No, I don't need at all</t>
        </is>
      </c>
      <c r="AL2240">
        <v>1</v>
      </c>
      <c r="AM2240" t="inlineStr">
        <is>
          <t>No, I don't need at all</t>
        </is>
      </c>
      <c r="AN2240"/>
      <c r="AO2240" t="inlineStr">
        <is>
          <t>No, I don't need at all</t>
        </is>
      </c>
      <c r="AP2240" t="inlineStr">
        <is>
          <t>Once a year (25%)</t>
        </is>
      </c>
      <c r="AQ2240">
        <v>1</v>
      </c>
      <c r="AR2240" t="inlineStr">
        <is>
          <t>Free Job Portal</t>
        </is>
      </c>
      <c r="AS2240" t="inlineStr">
        <is>
          <t>- Headcount: 1
- Hiring Job Details: 1x Technician
- Hiring Urgency: Continuous Hiring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AT2240">
        <v>115</v>
      </c>
      <c r="AU2240" t="inlineStr">
        <is>
          <t>1.15</t>
        </is>
      </c>
      <c r="AV2240" t="inlineStr">
        <is>
          <t>15</t>
        </is>
      </c>
      <c r="AW2240" t="inlineStr">
        <is>
          <t>0</t>
        </is>
      </c>
      <c r="AX2240" t="inlineStr">
        <is>
          <t>Not Qualified</t>
        </is>
      </c>
      <c r="AY2240" s="4"/>
      <c r="AZ2240"/>
      <c r="BA2240"/>
      <c r="BB2240"/>
      <c r="BC2240" t="inlineStr">
        <is>
          <t>no answer</t>
        </is>
      </c>
      <c r="BD2240" s="4">
        <v>46139.58483796296</v>
      </c>
      <c r="BE2240" t="inlineStr">
        <is>
          <t>paid</t>
        </is>
      </c>
      <c r="BF2240" t="inlineStr">
        <is>
          <t>Q2-W03</t>
        </is>
      </c>
      <c r="BG2240" t="inlineStr">
        <is>
          <t>Reschedule</t>
        </is>
      </c>
      <c r="BH2240" t="inlineStr">
        <is>
          <t>Reagen</t>
        </is>
      </c>
      <c r="BI2240" t="inlineStr">
        <is>
          <t>Engineering / Technical Consulting</t>
        </is>
      </c>
      <c r="BJ2240" s="4">
        <v>46144.75067129629</v>
      </c>
      <c r="BK2240" s="4">
        <v>44475.50771990741</v>
      </c>
      <c r="BL2240" t="inlineStr">
        <is>
          <t>3888.0</t>
        </is>
      </c>
      <c r="BM2240" t="inlineStr">
        <is>
          <t>0.0</t>
        </is>
      </c>
      <c r="BN2240" t="inlineStr">
        <is>
          <t>View Company Page</t>
        </is>
      </c>
      <c r="BO2240" s="4">
        <v>46140.46524305556</v>
      </c>
      <c r="BP2240">
        <v>162399</v>
      </c>
      <c r="BQ2240">
        <v>94095</v>
      </c>
      <c r="BR2240" t="inlineStr">
        <is>
          <t>Online</t>
        </is>
      </c>
      <c r="BS2240"/>
      <c r="BT2240">
        <v>94095</v>
      </c>
      <c r="BU2240"/>
      <c r="BV2240">
        <v>2729605</v>
      </c>
      <c r="BW2240" t="inlineStr">
        <is>
          <t>No Answer : Voicemail - WA sent to customer</t>
        </is>
      </c>
      <c r="BX2240">
        <v>6</v>
      </c>
      <c r="BY2240">
        <v>3</v>
      </c>
      <c r="BZ2240" s="4">
        <v>46140.40405092593</v>
      </c>
      <c r="CA2240">
        <v>73</v>
      </c>
      <c r="CB2240">
        <v>72</v>
      </c>
      <c r="CC2240" s="4">
        <v>46136.37633101852</v>
      </c>
      <c r="CD2240" t="inlineStr">
        <is>
          <t>20</t>
        </is>
      </c>
      <c r="CE2240" t="inlineStr">
        <is>
          <t>0</t>
        </is>
      </c>
      <c r="CF2240" t="inlineStr">
        <is>
          <t>Q1-W11</t>
        </is>
      </c>
      <c r="CG2240" t="inlineStr">
        <is>
          <t>Q2-W03</t>
        </is>
      </c>
      <c r="CH2240" t="inlineStr">
        <is>
          <t>Q2-W03</t>
        </is>
      </c>
      <c r="CI2240"/>
      <c r="CJ2240" t="inlineStr">
        <is>
          <t>Paid</t>
        </is>
      </c>
      <c r="CK2240" t="inlineStr">
        <is>
          <t>Not Eligible</t>
        </is>
      </c>
      <c r="CL2240"/>
      <c r="CM2240"/>
    </row>
    <row r="2241" ht="25.5" customHeight="1">
      <c r="A2241" t="inlineStr">
        <is>
          <t>200776</t>
        </is>
      </c>
      <c r="B2241" s="2"/>
      <c r="C2241"/>
      <c r="D2241" s="3">
        <v>46118.58708333333</v>
      </c>
      <c r="E2241" t="inlineStr">
        <is>
          <t>Q2-W01</t>
        </is>
      </c>
      <c r="F2241" t="inlineStr">
        <is>
          <t>Luqman</t>
        </is>
      </c>
      <c r="G2241" t="inlineStr">
        <is>
          <t>Customer</t>
        </is>
      </c>
      <c r="H2241" s="2" t="str">
        <f>=HYPERLINK("https://upbox.ajobthing.my/customer/200776", "https://upbox.ajobthing.my/customer/200776")</f>
        <v>https://upbox.ajobthing.my/customer/200776</v>
      </c>
      <c r="I2241" t="inlineStr">
        <is>
          <t>Trustor Capital</t>
        </is>
      </c>
      <c r="J2241" t="inlineStr">
        <is>
          <t>Dolphin</t>
        </is>
      </c>
      <c r="K2241" t="inlineStr">
        <is>
          <t>Luqman</t>
        </is>
      </c>
      <c r="L2241" s="4"/>
      <c r="M2241" s="4">
        <v>46118.5871875</v>
      </c>
      <c r="N2241"/>
      <c r="O2241">
        <v>1512</v>
      </c>
      <c r="P2241" s="4"/>
      <c r="Q2241" s="4">
        <v>46050.72105324074</v>
      </c>
      <c r="R2241"/>
      <c r="S2241">
        <v>0</v>
      </c>
      <c r="T2241" s="4"/>
      <c r="U2241" s="4"/>
      <c r="V2241"/>
      <c r="W2241"/>
      <c r="X2241"/>
      <c r="Y2241" t="inlineStr">
        <is>
          <t>Pending Appointment</t>
        </is>
      </c>
      <c r="Z2241" t="inlineStr">
        <is>
          <t>Hiring Later</t>
        </is>
      </c>
      <c r="AA2241">
        <v>1</v>
      </c>
      <c r="AB2241" t="inlineStr">
        <is>
          <t>No Appointment Made</t>
        </is>
      </c>
      <c r="AC2241"/>
      <c r="AD2241" t="inlineStr">
        <is>
          <t>1. Operation Executive</t>
        </is>
      </c>
      <c r="AE2241"/>
      <c r="AF2241">
        <v>1200</v>
      </c>
      <c r="AG2241" s="4"/>
      <c r="AH2241" s="4"/>
      <c r="AI2241">
        <v>1500</v>
      </c>
      <c r="AJ2241"/>
      <c r="AK2241" t="inlineStr">
        <is>
          <t>No, I don't need at all</t>
        </is>
      </c>
      <c r="AL2241">
        <v>1</v>
      </c>
      <c r="AM2241" t="inlineStr">
        <is>
          <t>No, I don't need at all</t>
        </is>
      </c>
      <c r="AN2241"/>
      <c r="AO2241" t="inlineStr">
        <is>
          <t>No, I don't need at all</t>
        </is>
      </c>
      <c r="AP2241" t="inlineStr">
        <is>
          <t>Once a year (25%)</t>
        </is>
      </c>
      <c r="AQ2241">
        <v>1</v>
      </c>
      <c r="AR2241" t="inlineStr">
        <is>
          <t>Free Job Portal</t>
        </is>
      </c>
      <c r="AS2241" t="inlineStr">
        <is>
          <t>- Headcount: 1
- Hiring Job Details: 1 Operation Executive
- Hiring Urgency: Hiring Later
- Number of outlets: 
- Have recruiter team: No, I don't need at all
- Number of recruiter in company: 1
- Have ATS system: No, I don't need at all
- Have career website: No, I don't need at all
- Current hiring budget: RM1,200
- Whole year budget: RM1,500.00
- Whole year number of vacancies: 1
- Hiring frequency: Once a year (25%)
- External job portal: Free Job Portal</t>
        </is>
      </c>
      <c r="AT2241">
        <v>110</v>
      </c>
      <c r="AU2241" t="inlineStr">
        <is>
          <t>1.10</t>
        </is>
      </c>
      <c r="AV2241" t="inlineStr">
        <is>
          <t>15</t>
        </is>
      </c>
      <c r="AW2241" t="inlineStr">
        <is>
          <t>0</t>
        </is>
      </c>
      <c r="AX2241" t="inlineStr">
        <is>
          <t>Not Qualified</t>
        </is>
      </c>
      <c r="AY2241" s="4"/>
      <c r="AZ2241"/>
      <c r="BA2241"/>
      <c r="BB2241"/>
      <c r="BC2241" t="inlineStr">
        <is>
          <t>Business have no plan spending budget on paid portal.</t>
        </is>
      </c>
      <c r="BD2241" s="4">
        <v>46125.421423611115</v>
      </c>
      <c r="BE2241" t="inlineStr">
        <is>
          <t>paid</t>
        </is>
      </c>
      <c r="BF2241"/>
      <c r="BG2241" t="inlineStr">
        <is>
          <t>Reschedule</t>
        </is>
      </c>
      <c r="BH2241" t="inlineStr">
        <is>
          <t>Edward Hoo</t>
        </is>
      </c>
      <c r="BI2241"/>
      <c r="BJ2241" s="4">
        <v>46144.753657407404</v>
      </c>
      <c r="BK2241" s="4">
        <v>46050.72023148148</v>
      </c>
      <c r="BL2241" t="inlineStr">
        <is>
          <t>0.0</t>
        </is>
      </c>
      <c r="BM2241" t="inlineStr">
        <is>
          <t>0.0</t>
        </is>
      </c>
      <c r="BN2241" t="inlineStr">
        <is>
          <t>View Create Job Page V4</t>
        </is>
      </c>
      <c r="BO2241" s="4">
        <v>46050.725439814814</v>
      </c>
      <c r="BP2241">
        <v>165386</v>
      </c>
      <c r="BQ2241">
        <v>114607</v>
      </c>
      <c r="BR2241" t="inlineStr">
        <is>
          <t>Proforma</t>
        </is>
      </c>
      <c r="BS2241" t="inlineStr">
        <is>
          <t>Free Part-Time Job</t>
        </is>
      </c>
      <c r="BT2241"/>
      <c r="BU2241"/>
      <c r="BV2241">
        <v>2699963</v>
      </c>
      <c r="BW2241" t="inlineStr">
        <is>
          <t>Follow Up : Lost - Free Portal</t>
        </is>
      </c>
      <c r="BX2241"/>
      <c r="BY2241"/>
      <c r="BZ2241" s="4"/>
      <c r="CA2241"/>
      <c r="CB2241"/>
      <c r="CC2241" s="4"/>
      <c r="CD2241" t="inlineStr">
        <is>
          <t>20</t>
        </is>
      </c>
      <c r="CE2241" t="inlineStr">
        <is>
          <t>0</t>
        </is>
      </c>
      <c r="CF2241" t="inlineStr">
        <is>
          <t>Q2-W01</t>
        </is>
      </c>
      <c r="CG2241" t="inlineStr">
        <is>
          <t>Q1-W04</t>
        </is>
      </c>
      <c r="CH2241"/>
      <c r="CI2241"/>
      <c r="CJ2241" t="inlineStr">
        <is>
          <t>No Paid</t>
        </is>
      </c>
      <c r="CK2241" t="inlineStr">
        <is>
          <t>Not Eligible</t>
        </is>
      </c>
      <c r="CL2241"/>
      <c r="CM2241"/>
    </row>
    <row r="2242" ht="25.5" customHeight="1">
      <c r="A2242" t="inlineStr">
        <is>
          <t>160689</t>
        </is>
      </c>
      <c r="B2242" s="2"/>
      <c r="C2242"/>
      <c r="D2242" s="3">
        <v>46118.58975694444</v>
      </c>
      <c r="E2242" t="inlineStr">
        <is>
          <t>Q2-W01</t>
        </is>
      </c>
      <c r="F2242" t="inlineStr">
        <is>
          <t>Jia Hui</t>
        </is>
      </c>
      <c r="G2242" t="inlineStr">
        <is>
          <t>Customer</t>
        </is>
      </c>
      <c r="H2242" s="2" t="str">
        <f>=HYPERLINK("https://upbox.ajobthing.my/customer/160689", "https://upbox.ajobthing.my/customer/160689")</f>
        <v>https://upbox.ajobthing.my/customer/160689</v>
      </c>
      <c r="I2242" t="inlineStr">
        <is>
          <t>Allcom Sdn. Bhd.</t>
        </is>
      </c>
      <c r="J2242" t="inlineStr">
        <is>
          <t>Dolphin</t>
        </is>
      </c>
      <c r="K2242" t="inlineStr">
        <is>
          <t>Jia Hui</t>
        </is>
      </c>
      <c r="L2242" s="4"/>
      <c r="M2242" s="4">
        <v>46118.583333333336</v>
      </c>
      <c r="N2242"/>
      <c r="O2242">
        <v>5508</v>
      </c>
      <c r="P2242" s="4"/>
      <c r="Q2242" s="4">
        <v>45974.607777777775</v>
      </c>
      <c r="R2242"/>
      <c r="S2242">
        <v>3672</v>
      </c>
      <c r="T2242" s="4">
        <v>45974.607777777775</v>
      </c>
      <c r="U2242" s="4"/>
      <c r="V2242"/>
      <c r="W2242">
        <v>3672</v>
      </c>
      <c r="X2242"/>
      <c r="Y2242" t="inlineStr">
        <is>
          <t>Pending Appointment</t>
        </is>
      </c>
      <c r="Z2242" t="inlineStr">
        <is>
          <t>Hiring Now</t>
        </is>
      </c>
      <c r="AA2242">
        <v>2</v>
      </c>
      <c r="AB2242" t="inlineStr">
        <is>
          <t>No Appointment Made</t>
        </is>
      </c>
      <c r="AC2242"/>
      <c r="AD2242" t="inlineStr">
        <is>
          <t>1 f&amp;b manager, 1 service crew</t>
        </is>
      </c>
      <c r="AE2242"/>
      <c r="AF2242">
        <v>1000</v>
      </c>
      <c r="AG2242" s="4"/>
      <c r="AH2242" s="4"/>
      <c r="AI2242"/>
      <c r="AJ2242"/>
      <c r="AK2242" t="inlineStr">
        <is>
          <t>Yes, I have</t>
        </is>
      </c>
      <c r="AL2242"/>
      <c r="AM2242"/>
      <c r="AN2242"/>
      <c r="AO2242"/>
      <c r="AP2242" t="inlineStr">
        <is>
          <t>Once a year (25%)</t>
        </is>
      </c>
      <c r="AQ2242"/>
      <c r="AR2242"/>
      <c r="AS2242" t="inlineStr">
        <is>
          <t>- Headcount: 2
- Hiring Job Details: 1 f&amp;b manager, 1 service crew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242">
        <v>95</v>
      </c>
      <c r="AU2242" t="inlineStr">
        <is>
          <t>0.95</t>
        </is>
      </c>
      <c r="AV2242" t="inlineStr">
        <is>
          <t>15</t>
        </is>
      </c>
      <c r="AW2242" t="inlineStr">
        <is>
          <t>0</t>
        </is>
      </c>
      <c r="AX2242" t="inlineStr">
        <is>
          <t>Not Qualified</t>
        </is>
      </c>
      <c r="AY2242" s="4"/>
      <c r="AZ2242"/>
      <c r="BA2242"/>
      <c r="BB2242"/>
      <c r="BC2242" t="inlineStr">
        <is>
          <t>currently still no hiring, mentioned about current job ads still running and if still unable to get candidate then only consider to renew the package</t>
        </is>
      </c>
      <c r="BD2242" s="4">
        <v>46142.62515046296</v>
      </c>
      <c r="BE2242" t="inlineStr">
        <is>
          <t>paid</t>
        </is>
      </c>
      <c r="BF2242"/>
      <c r="BG2242" t="inlineStr">
        <is>
          <t>Reschedule</t>
        </is>
      </c>
      <c r="BH2242" t="inlineStr">
        <is>
          <t>Reagen</t>
        </is>
      </c>
      <c r="BI2242" t="inlineStr">
        <is>
          <t>Food / Beverage</t>
        </is>
      </c>
      <c r="BJ2242" s="4">
        <v>46144.75109953704</v>
      </c>
      <c r="BK2242" s="4">
        <v>44840.58975694444</v>
      </c>
      <c r="BL2242" t="inlineStr">
        <is>
          <t>3672.0</t>
        </is>
      </c>
      <c r="BM2242" t="inlineStr">
        <is>
          <t>1200.0</t>
        </is>
      </c>
      <c r="BN2242" t="inlineStr">
        <is>
          <t>User Visit(Logged In)</t>
        </is>
      </c>
      <c r="BO2242" s="4">
        <v>46132.73107638889</v>
      </c>
      <c r="BP2242">
        <v>165385</v>
      </c>
      <c r="BQ2242">
        <v>84142</v>
      </c>
      <c r="BR2242" t="inlineStr">
        <is>
          <t>Online</t>
        </is>
      </c>
      <c r="BS2242"/>
      <c r="BT2242">
        <v>84142</v>
      </c>
      <c r="BU2242"/>
      <c r="BV2242">
        <v>2737859</v>
      </c>
      <c r="BW2242" t="inlineStr">
        <is>
          <t>Inquire for Hiring Needs : No Hiring</t>
        </is>
      </c>
      <c r="BX2242">
        <v>6</v>
      </c>
      <c r="BY2242">
        <v>0</v>
      </c>
      <c r="BZ2242" s="4">
        <v>46118.54494212963</v>
      </c>
      <c r="CA2242">
        <v>60</v>
      </c>
      <c r="CB2242">
        <v>60</v>
      </c>
      <c r="CC2242" s="4"/>
      <c r="CD2242" t="inlineStr">
        <is>
          <t>20</t>
        </is>
      </c>
      <c r="CE2242" t="inlineStr">
        <is>
          <t>0</t>
        </is>
      </c>
      <c r="CF2242" t="inlineStr">
        <is>
          <t>Q2-W01</t>
        </is>
      </c>
      <c r="CG2242"/>
      <c r="CH2242"/>
      <c r="CI2242"/>
      <c r="CJ2242" t="inlineStr">
        <is>
          <t>Paid</t>
        </is>
      </c>
      <c r="CK2242" t="inlineStr">
        <is>
          <t>Not Eligible</t>
        </is>
      </c>
      <c r="CL2242"/>
      <c r="CM2242"/>
    </row>
    <row r="2243" ht="25.5" customHeight="1">
      <c r="A2243" t="inlineStr">
        <is>
          <t>202842</t>
        </is>
      </c>
      <c r="B2243" s="2"/>
      <c r="C2243"/>
      <c r="D2243" s="3">
        <v>46118.60474537037</v>
      </c>
      <c r="E2243" t="inlineStr">
        <is>
          <t>Q2-W01</t>
        </is>
      </c>
      <c r="F2243" t="inlineStr">
        <is>
          <t>Evan</t>
        </is>
      </c>
      <c r="G2243" t="inlineStr">
        <is>
          <t>Customer</t>
        </is>
      </c>
      <c r="H2243" s="2" t="str">
        <f>=HYPERLINK("https://upbox.ajobthing.my/customer/202842", "https://upbox.ajobthing.my/customer/202842")</f>
        <v>https://upbox.ajobthing.my/customer/202842</v>
      </c>
      <c r="I2243" t="inlineStr">
        <is>
          <t>Semarak Majujaya Sdn Bhd</t>
        </is>
      </c>
      <c r="J2243" t="inlineStr">
        <is>
          <t>Dolphin</t>
        </is>
      </c>
      <c r="K2243" t="inlineStr">
        <is>
          <t>Evan</t>
        </is>
      </c>
      <c r="L2243" s="4"/>
      <c r="M2243" s="4">
        <v>46118.60429398148</v>
      </c>
      <c r="N2243"/>
      <c r="O2243">
        <v>3888</v>
      </c>
      <c r="P2243" s="4"/>
      <c r="Q2243" s="4"/>
      <c r="R2243"/>
      <c r="S2243"/>
      <c r="T2243" s="4"/>
      <c r="U2243" s="4"/>
      <c r="V2243"/>
      <c r="W2243"/>
      <c r="X2243"/>
      <c r="Y2243" t="inlineStr">
        <is>
          <t>Pending Appointment</t>
        </is>
      </c>
      <c r="Z2243" t="inlineStr">
        <is>
          <t>Hiring Now</t>
        </is>
      </c>
      <c r="AA2243">
        <v>6</v>
      </c>
      <c r="AB2243" t="inlineStr">
        <is>
          <t>No Appointment Made</t>
        </is>
      </c>
      <c r="AC2243"/>
      <c r="AD2243" t="inlineStr">
        <is>
          <t>6 lorry driver, all base in KL</t>
        </is>
      </c>
      <c r="AE2243"/>
      <c r="AF2243">
        <v>1</v>
      </c>
      <c r="AG2243" s="4"/>
      <c r="AH2243" s="4"/>
      <c r="AI2243">
        <v>1</v>
      </c>
      <c r="AJ2243">
        <v>1</v>
      </c>
      <c r="AK2243" t="inlineStr">
        <is>
          <t>No, I don't need at all</t>
        </is>
      </c>
      <c r="AL2243">
        <v>0</v>
      </c>
      <c r="AM2243" t="inlineStr">
        <is>
          <t>No, I don't need at all</t>
        </is>
      </c>
      <c r="AN2243"/>
      <c r="AO2243" t="inlineStr">
        <is>
          <t>No, I don't need at all</t>
        </is>
      </c>
      <c r="AP2243" t="inlineStr">
        <is>
          <t>Once a year (25%)</t>
        </is>
      </c>
      <c r="AQ2243">
        <v>6</v>
      </c>
      <c r="AR2243" t="inlineStr">
        <is>
          <t>Did not use any job portal</t>
        </is>
      </c>
      <c r="AS2243" t="inlineStr">
        <is>
          <t>- Headcount: 6
- Hiring Job Details: 6 lorry drivers, all based in KL
- Hiring Urgency: Hiring Now
- Number of outlets: 1
- Have recruiter team: No, don't need at all
- Number of recruiter in company: 0
- Have ATS system: No, don't need at all
- Have career website: No, don't need at all
- Current hiring budget: RM1
- Whole year budget: RM1.00
- Whole year number of vacancies: 6
- Hiring frequency: Once a year (25%)
- External job portal: Did not use any</t>
        </is>
      </c>
      <c r="AT2243">
        <v>110</v>
      </c>
      <c r="AU2243" t="inlineStr">
        <is>
          <t>1.10</t>
        </is>
      </c>
      <c r="AV2243" t="inlineStr">
        <is>
          <t>20</t>
        </is>
      </c>
      <c r="AW2243" t="inlineStr">
        <is>
          <t>0</t>
        </is>
      </c>
      <c r="AX2243" t="inlineStr">
        <is>
          <t>Not Qualified</t>
        </is>
      </c>
      <c r="AY2243" s="4"/>
      <c r="AZ2243"/>
      <c r="BA2243"/>
      <c r="BB2243"/>
      <c r="BC2243" t="inlineStr">
        <is>
          <t>pending</t>
        </is>
      </c>
      <c r="BD2243" s="4">
        <v>46133.72100694444</v>
      </c>
      <c r="BE2243"/>
      <c r="BF2243"/>
      <c r="BG2243" t="inlineStr">
        <is>
          <t>Reschedule</t>
        </is>
      </c>
      <c r="BH2243" t="inlineStr">
        <is>
          <t>Edward Hoo</t>
        </is>
      </c>
      <c r="BI2243" t="inlineStr">
        <is>
          <t>Manufacturing / Production</t>
        </is>
      </c>
      <c r="BJ2243" s="4">
        <v>46144.75414351852</v>
      </c>
      <c r="BK2243" s="4">
        <v>46118.47010416666</v>
      </c>
      <c r="BL2243" t="inlineStr">
        <is>
          <t>0.0</t>
        </is>
      </c>
      <c r="BM2243" t="inlineStr">
        <is>
          <t>1200.0</t>
        </is>
      </c>
      <c r="BN2243" t="inlineStr">
        <is>
          <t>View Create Job Page V4</t>
        </is>
      </c>
      <c r="BO2243" s="4">
        <v>46118.54087962963</v>
      </c>
      <c r="BP2243">
        <v>165398</v>
      </c>
      <c r="BQ2243"/>
      <c r="BR2243"/>
      <c r="BS2243"/>
      <c r="BT2243"/>
      <c r="BU2243"/>
      <c r="BV2243">
        <v>2719044</v>
      </c>
      <c r="BW2243" t="inlineStr">
        <is>
          <t>Follow Up : Decision Pending</t>
        </is>
      </c>
      <c r="BX2243"/>
      <c r="BY2243"/>
      <c r="BZ2243" s="4"/>
      <c r="CA2243"/>
      <c r="CB2243"/>
      <c r="CC2243" s="4"/>
      <c r="CD2243" t="inlineStr">
        <is>
          <t>30</t>
        </is>
      </c>
      <c r="CE2243" t="inlineStr">
        <is>
          <t>0</t>
        </is>
      </c>
      <c r="CF2243" t="inlineStr">
        <is>
          <t>Q2-W01</t>
        </is>
      </c>
      <c r="CG2243"/>
      <c r="CH2243"/>
      <c r="CI2243"/>
      <c r="CJ2243" t="inlineStr">
        <is>
          <t>No Paid</t>
        </is>
      </c>
      <c r="CK2243" t="inlineStr">
        <is>
          <t>Not Eligible</t>
        </is>
      </c>
      <c r="CL2243"/>
      <c r="CM2243"/>
    </row>
    <row r="2244" ht="25.5" customHeight="1">
      <c r="A2244" t="inlineStr">
        <is>
          <t>178114</t>
        </is>
      </c>
      <c r="B2244" s="2"/>
      <c r="C2244"/>
      <c r="D2244" s="3">
        <v>46118.608194444445</v>
      </c>
      <c r="E2244" t="inlineStr">
        <is>
          <t>Q2-W01</t>
        </is>
      </c>
      <c r="F2244" t="inlineStr">
        <is>
          <t>Xin Quan</t>
        </is>
      </c>
      <c r="G2244" t="inlineStr">
        <is>
          <t>Customer</t>
        </is>
      </c>
      <c r="H2244" s="2" t="str">
        <f>=HYPERLINK("https://upbox.ajobthing.my/customer/178114", "https://upbox.ajobthing.my/customer/178114")</f>
        <v>https://upbox.ajobthing.my/customer/178114</v>
      </c>
      <c r="I2244" t="inlineStr">
        <is>
          <t xml:space="preserve">Studio IWC (M) Sdn Bhd </t>
        </is>
      </c>
      <c r="J2244" t="inlineStr">
        <is>
          <t>Dolphin</t>
        </is>
      </c>
      <c r="K2244" t="inlineStr">
        <is>
          <t>Xin Quan</t>
        </is>
      </c>
      <c r="L2244" s="4"/>
      <c r="M2244" s="4">
        <v>46118.608877314815</v>
      </c>
      <c r="N2244"/>
      <c r="O2244">
        <v>1296</v>
      </c>
      <c r="P2244" s="4"/>
      <c r="Q2244" s="4">
        <v>45449</v>
      </c>
      <c r="R2244"/>
      <c r="S2244">
        <v>2592</v>
      </c>
      <c r="T2244" s="4">
        <v>45449</v>
      </c>
      <c r="U2244" s="4"/>
      <c r="V2244"/>
      <c r="W2244">
        <v>2592</v>
      </c>
      <c r="X2244"/>
      <c r="Y2244" t="inlineStr">
        <is>
          <t>Pending Appointment</t>
        </is>
      </c>
      <c r="Z2244" t="inlineStr">
        <is>
          <t>Hiring Now</t>
        </is>
      </c>
      <c r="AA2244">
        <v>1</v>
      </c>
      <c r="AB2244" t="inlineStr">
        <is>
          <t>No Appointment Made</t>
        </is>
      </c>
      <c r="AC2244"/>
      <c r="AD2244" t="inlineStr">
        <is>
          <t>1 ID Design , Base in PJ</t>
        </is>
      </c>
      <c r="AE2244"/>
      <c r="AF2244">
        <v>2000</v>
      </c>
      <c r="AG2244" s="4"/>
      <c r="AH2244" s="4"/>
      <c r="AI2244">
        <v>24000</v>
      </c>
      <c r="AJ2244">
        <v>1</v>
      </c>
      <c r="AK2244" t="inlineStr">
        <is>
          <t>No, I don't need at all</t>
        </is>
      </c>
      <c r="AL2244"/>
      <c r="AM2244" t="inlineStr">
        <is>
          <t>No, I don't need at all</t>
        </is>
      </c>
      <c r="AN2244"/>
      <c r="AO2244" t="inlineStr">
        <is>
          <t>No, I don't need at all</t>
        </is>
      </c>
      <c r="AP2244" t="inlineStr">
        <is>
          <t>Once a year (25%)</t>
        </is>
      </c>
      <c r="AQ2244">
        <v>1</v>
      </c>
      <c r="AR2244"/>
      <c r="AS2244" t="inlineStr">
        <is>
          <t>- Headcount: 1
- Hiring Job Details: 1 ID Design, Base in PJ
- Hiring Urgency: Hiring Now
- Number of outlets: 1
- Have recruiter team: No, I don't need at all
- Number of recruiter in company: N/A
- Have ATS system: No, I don't need at all
- Have career website: No, I don't need at all
- Current hiring budget: RM2,000
- Whole year budget: RM24,000.00
- Whole year number of vacancies: 1
- Hiring frequency: Once a year (25%)
- External job portal: N/A</t>
        </is>
      </c>
      <c r="AT2244">
        <v>100</v>
      </c>
      <c r="AU2244" t="inlineStr">
        <is>
          <t>1.00</t>
        </is>
      </c>
      <c r="AV2244" t="inlineStr">
        <is>
          <t>15</t>
        </is>
      </c>
      <c r="AW2244" t="inlineStr">
        <is>
          <t>0</t>
        </is>
      </c>
      <c r="AX2244" t="inlineStr">
        <is>
          <t>Not Qualified</t>
        </is>
      </c>
      <c r="AY2244" s="4"/>
      <c r="AZ2244"/>
      <c r="BA2244"/>
      <c r="BB2244"/>
      <c r="BC2244" t="inlineStr">
        <is>
          <t>NH</t>
        </is>
      </c>
      <c r="BD2244" s="4">
        <v>46140.608622685184</v>
      </c>
      <c r="BE2244" t="inlineStr">
        <is>
          <t>paid</t>
        </is>
      </c>
      <c r="BF2244"/>
      <c r="BG2244" t="inlineStr">
        <is>
          <t>Reschedule</t>
        </is>
      </c>
      <c r="BH2244" t="inlineStr">
        <is>
          <t>Edward Hoo</t>
        </is>
      </c>
      <c r="BI2244" t="inlineStr">
        <is>
          <t>Architecture / Interior Design</t>
        </is>
      </c>
      <c r="BJ2244" s="4">
        <v>46144.75171296296</v>
      </c>
      <c r="BK2244" s="4">
        <v>45419.88795138889</v>
      </c>
      <c r="BL2244" t="inlineStr">
        <is>
          <t>0.0</t>
        </is>
      </c>
      <c r="BM2244" t="inlineStr">
        <is>
          <t>0.0</t>
        </is>
      </c>
      <c r="BN2244" t="inlineStr">
        <is>
          <t>People Search Page : Unlock Candidate</t>
        </is>
      </c>
      <c r="BO2244" s="4">
        <v>45735.432800925926</v>
      </c>
      <c r="BP2244">
        <v>165402</v>
      </c>
      <c r="BQ2244">
        <v>69868</v>
      </c>
      <c r="BR2244" t="inlineStr">
        <is>
          <t>Online</t>
        </is>
      </c>
      <c r="BS2244"/>
      <c r="BT2244">
        <v>69868</v>
      </c>
      <c r="BU2244"/>
      <c r="BV2244">
        <v>2732811</v>
      </c>
      <c r="BW2244" t="inlineStr">
        <is>
          <t>Inquire for Hiring Needs : No Hiring</t>
        </is>
      </c>
      <c r="BX2244"/>
      <c r="BY2244"/>
      <c r="BZ2244" s="4"/>
      <c r="CA2244"/>
      <c r="CB2244"/>
      <c r="CC2244" s="4"/>
      <c r="CD2244" t="inlineStr">
        <is>
          <t>20</t>
        </is>
      </c>
      <c r="CE2244" t="inlineStr">
        <is>
          <t>0</t>
        </is>
      </c>
      <c r="CF2244" t="inlineStr">
        <is>
          <t>Q2-W01</t>
        </is>
      </c>
      <c r="CG2244"/>
      <c r="CH2244"/>
      <c r="CI2244"/>
      <c r="CJ2244" t="inlineStr">
        <is>
          <t>Paid</t>
        </is>
      </c>
      <c r="CK2244" t="inlineStr">
        <is>
          <t>Not Eligible</t>
        </is>
      </c>
      <c r="CL2244"/>
      <c r="CM2244"/>
    </row>
    <row r="2245" ht="25.5" customHeight="1">
      <c r="A2245" t="inlineStr">
        <is>
          <t>202855</t>
        </is>
      </c>
      <c r="B2245" s="2"/>
      <c r="C2245"/>
      <c r="D2245" s="3">
        <v>46118.61225694444</v>
      </c>
      <c r="E2245" t="inlineStr">
        <is>
          <t>Q2-W01</t>
        </is>
      </c>
      <c r="F2245" t="inlineStr">
        <is>
          <t>Janice Yap</t>
        </is>
      </c>
      <c r="G2245" t="inlineStr">
        <is>
          <t>Customer</t>
        </is>
      </c>
      <c r="H2245" s="2" t="str">
        <f>=HYPERLINK("https://upbox.ajobthing.my/customer/202855", "https://upbox.ajobthing.my/customer/202855")</f>
        <v>https://upbox.ajobthing.my/customer/202855</v>
      </c>
      <c r="I2245" t="inlineStr">
        <is>
          <t>E&amp;r Semiconductor (malaysia) Sdn. Bhd.</t>
        </is>
      </c>
      <c r="J2245" t="inlineStr">
        <is>
          <t>Dolphin</t>
        </is>
      </c>
      <c r="K2245" t="inlineStr">
        <is>
          <t>Janice</t>
        </is>
      </c>
      <c r="L2245" s="4"/>
      <c r="M2245" s="4">
        <v>46118.607835648145</v>
      </c>
      <c r="N2245"/>
      <c r="O2245">
        <v>3672</v>
      </c>
      <c r="P2245" s="4"/>
      <c r="Q2245" s="4">
        <v>46120.45309027778</v>
      </c>
      <c r="R2245"/>
      <c r="S2245">
        <v>0</v>
      </c>
      <c r="T2245" s="4">
        <v>46119.66212962963</v>
      </c>
      <c r="U2245" s="4"/>
      <c r="V2245"/>
      <c r="W2245">
        <v>3672</v>
      </c>
      <c r="X2245"/>
      <c r="Y2245" t="inlineStr">
        <is>
          <t>Pending Appointment</t>
        </is>
      </c>
      <c r="Z2245" t="inlineStr">
        <is>
          <t>Hiring Now</t>
        </is>
      </c>
      <c r="AA2245">
        <v>1</v>
      </c>
      <c r="AB2245" t="inlineStr">
        <is>
          <t>No Appointment Made</t>
        </is>
      </c>
      <c r="AC2245"/>
      <c r="AD2245" t="inlineStr">
        <is>
          <t>1 HR assistant</t>
        </is>
      </c>
      <c r="AE2245"/>
      <c r="AF2245">
        <v>0</v>
      </c>
      <c r="AG2245" s="4"/>
      <c r="AH2245" s="4"/>
      <c r="AI2245">
        <v>0</v>
      </c>
      <c r="AJ2245"/>
      <c r="AK2245"/>
      <c r="AL2245">
        <v>0</v>
      </c>
      <c r="AM2245" t="inlineStr">
        <is>
          <t>No, I don't need at all</t>
        </is>
      </c>
      <c r="AN2245"/>
      <c r="AO2245" t="inlineStr">
        <is>
          <t>No, I don't need at all</t>
        </is>
      </c>
      <c r="AP2245" t="inlineStr">
        <is>
          <t>Once a year (25%)</t>
        </is>
      </c>
      <c r="AQ2245">
        <v>1</v>
      </c>
      <c r="AR2245" t="inlineStr">
        <is>
          <t>Did not use any job portal</t>
        </is>
      </c>
      <c r="AS2245" t="inlineStr">
        <is>
          <t>- Headcount: 1
- Hiring Job Details: 1 HR assistant
- Hiring Urgency: Hiring Now
- Number of outlets: Not provided
- Have recruiter team: Not provided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245">
        <v>105</v>
      </c>
      <c r="AU2245" t="inlineStr">
        <is>
          <t>1.05</t>
        </is>
      </c>
      <c r="AV2245" t="inlineStr">
        <is>
          <t>15</t>
        </is>
      </c>
      <c r="AW2245" t="inlineStr">
        <is>
          <t>0</t>
        </is>
      </c>
      <c r="AX2245" t="inlineStr">
        <is>
          <t>Not Qualified</t>
        </is>
      </c>
      <c r="AY2245" s="4"/>
      <c r="AZ2245"/>
      <c r="BA2245"/>
      <c r="BB2245"/>
      <c r="BC2245" t="inlineStr">
        <is>
          <t>Request google review from PIC</t>
        </is>
      </c>
      <c r="BD2245" s="4">
        <v>46134.40025462963</v>
      </c>
      <c r="BE2245" t="inlineStr">
        <is>
          <t>paid</t>
        </is>
      </c>
      <c r="BF2245" t="inlineStr">
        <is>
          <t>Q2-W01</t>
        </is>
      </c>
      <c r="BG2245" t="inlineStr">
        <is>
          <t>Reschedule</t>
        </is>
      </c>
      <c r="BH2245" t="inlineStr">
        <is>
          <t>Yee Hang</t>
        </is>
      </c>
      <c r="BI2245"/>
      <c r="BJ2245" s="4">
        <v>46144.75414351852</v>
      </c>
      <c r="BK2245" s="4">
        <v>46118.57662037037</v>
      </c>
      <c r="BL2245" t="inlineStr">
        <is>
          <t>3672.0</t>
        </is>
      </c>
      <c r="BM2245" t="inlineStr">
        <is>
          <t>0.0</t>
        </is>
      </c>
      <c r="BN2245" t="inlineStr">
        <is>
          <t>PA Visit - Job Card</t>
        </is>
      </c>
      <c r="BO2245" s="4">
        <v>46139.691099537034</v>
      </c>
      <c r="BP2245">
        <v>165401</v>
      </c>
      <c r="BQ2245">
        <v>120791</v>
      </c>
      <c r="BR2245" t="inlineStr">
        <is>
          <t>Proforma</t>
        </is>
      </c>
      <c r="BS2245" t="inlineStr">
        <is>
          <t>Free Part-Time Job</t>
        </is>
      </c>
      <c r="BT2245">
        <v>91688</v>
      </c>
      <c r="BU2245"/>
      <c r="BV2245">
        <v>2719414</v>
      </c>
      <c r="BW2245" t="inlineStr">
        <is>
          <t>Service / Technical : Job Outcome Enquiry</t>
        </is>
      </c>
      <c r="BX2245">
        <v>6</v>
      </c>
      <c r="BY2245">
        <v>4</v>
      </c>
      <c r="BZ2245" s="4">
        <v>46120.64697916667</v>
      </c>
      <c r="CA2245">
        <v>73</v>
      </c>
      <c r="CB2245">
        <v>68</v>
      </c>
      <c r="CC2245" s="4">
        <v>46139.68707175926</v>
      </c>
      <c r="CD2245" t="inlineStr">
        <is>
          <t>20</t>
        </is>
      </c>
      <c r="CE2245" t="inlineStr">
        <is>
          <t>0</t>
        </is>
      </c>
      <c r="CF2245" t="inlineStr">
        <is>
          <t>Q2-W01</t>
        </is>
      </c>
      <c r="CG2245" t="inlineStr">
        <is>
          <t>Q2-W01</t>
        </is>
      </c>
      <c r="CH2245" t="inlineStr">
        <is>
          <t>Q2-W01</t>
        </is>
      </c>
      <c r="CI2245"/>
      <c r="CJ2245" t="inlineStr">
        <is>
          <t>Paid</t>
        </is>
      </c>
      <c r="CK2245" t="inlineStr">
        <is>
          <t>Not Eligible</t>
        </is>
      </c>
      <c r="CL2245"/>
      <c r="CM2245"/>
    </row>
    <row r="2246" ht="25.5" customHeight="1">
      <c r="A2246" t="inlineStr">
        <is>
          <t>202857</t>
        </is>
      </c>
      <c r="B2246" s="2"/>
      <c r="C2246"/>
      <c r="D2246" s="3">
        <v>46118.620717592596</v>
      </c>
      <c r="E2246" t="inlineStr">
        <is>
          <t>Q2-W01</t>
        </is>
      </c>
      <c r="F2246" t="inlineStr">
        <is>
          <t>Ken Yi</t>
        </is>
      </c>
      <c r="G2246" t="inlineStr">
        <is>
          <t>Customer</t>
        </is>
      </c>
      <c r="H2246" s="2" t="str">
        <f>=HYPERLINK("https://upbox.ajobthing.my/customer/202857", "https://upbox.ajobthing.my/customer/202857")</f>
        <v>https://upbox.ajobthing.my/customer/202857</v>
      </c>
      <c r="I2246" t="inlineStr">
        <is>
          <t>Alis Barber Corner</t>
        </is>
      </c>
      <c r="J2246" t="inlineStr">
        <is>
          <t>Dolphin</t>
        </is>
      </c>
      <c r="K2246" t="inlineStr">
        <is>
          <t>Kenyi</t>
        </is>
      </c>
      <c r="L2246" s="4"/>
      <c r="M2246" s="4">
        <v>46118.62378472222</v>
      </c>
      <c r="N2246"/>
      <c r="O2246">
        <v>1296</v>
      </c>
      <c r="P2246" s="4"/>
      <c r="Q2246" s="4">
        <v>46135.91101851852</v>
      </c>
      <c r="R2246"/>
      <c r="S2246">
        <v>1296</v>
      </c>
      <c r="T2246" s="4">
        <v>46135.91101851852</v>
      </c>
      <c r="U2246" s="4"/>
      <c r="V2246"/>
      <c r="W2246">
        <v>1296</v>
      </c>
      <c r="X2246"/>
      <c r="Y2246" t="inlineStr">
        <is>
          <t>Pending Appointment</t>
        </is>
      </c>
      <c r="Z2246" t="inlineStr">
        <is>
          <t>Hiring Now</t>
        </is>
      </c>
      <c r="AA2246">
        <v>2</v>
      </c>
      <c r="AB2246" t="inlineStr">
        <is>
          <t>No Appointment Made</t>
        </is>
      </c>
      <c r="AC2246"/>
      <c r="AD2246" t="inlineStr">
        <is>
          <t>Barber 2</t>
        </is>
      </c>
      <c r="AE2246"/>
      <c r="AF2246">
        <v>0</v>
      </c>
      <c r="AG2246" s="4"/>
      <c r="AH2246" s="4"/>
      <c r="AI2246">
        <v>0</v>
      </c>
      <c r="AJ2246">
        <v>1</v>
      </c>
      <c r="AK2246" t="inlineStr">
        <is>
          <t>Yes, I have</t>
        </is>
      </c>
      <c r="AL2246">
        <v>1</v>
      </c>
      <c r="AM2246" t="inlineStr">
        <is>
          <t>No, I don't need at all</t>
        </is>
      </c>
      <c r="AN2246"/>
      <c r="AO2246" t="inlineStr">
        <is>
          <t>No, I don't need at all</t>
        </is>
      </c>
      <c r="AP2246" t="inlineStr">
        <is>
          <t>Every month (100%)</t>
        </is>
      </c>
      <c r="AQ2246">
        <v>2</v>
      </c>
      <c r="AR2246" t="inlineStr">
        <is>
          <t>Jobstreet</t>
        </is>
      </c>
      <c r="AS2246" t="inlineStr">
        <is>
          <t>- Headcount: 2
- Hiring Job Details: Barber 2
- Hiring Urgency: Hiring Now
- Number of outlets: 1
- Have recruiter team: Yes
- Number of recruiter in company: 1
- Have ATS system: No, I don't need at all
- Have career website: No, I don't need at all
- Current hiring budget: RM0
- Whole year budget: RM0.00
- Whole year number of vacancies: 2
- Hiring frequency: Every month (100%)
- External job portal: Jobstreet</t>
        </is>
      </c>
      <c r="AT2246">
        <v>130</v>
      </c>
      <c r="AU2246" t="inlineStr">
        <is>
          <t>1.30</t>
        </is>
      </c>
      <c r="AV2246" t="inlineStr">
        <is>
          <t>15</t>
        </is>
      </c>
      <c r="AW2246" t="inlineStr">
        <is>
          <t>0</t>
        </is>
      </c>
      <c r="AX2246" t="inlineStr">
        <is>
          <t>Not Qualified</t>
        </is>
      </c>
      <c r="AY2246" s="4"/>
      <c r="AZ2246"/>
      <c r="BA2246"/>
      <c r="BB2246"/>
      <c r="BC2246" t="inlineStr">
        <is>
          <t>Follow up and see if everything would be in order, assited client to post job</t>
        </is>
      </c>
      <c r="BD2246" s="4">
        <v>46139.419537037036</v>
      </c>
      <c r="BE2246" t="inlineStr">
        <is>
          <t>paid</t>
        </is>
      </c>
      <c r="BF2246" t="inlineStr">
        <is>
          <t>Q2-W03</t>
        </is>
      </c>
      <c r="BG2246" t="inlineStr">
        <is>
          <t>Reschedule</t>
        </is>
      </c>
      <c r="BH2246" t="inlineStr">
        <is>
          <t>Fauziah Maharan</t>
        </is>
      </c>
      <c r="BI2246" t="inlineStr">
        <is>
          <t>Beauty / Fitness</t>
        </is>
      </c>
      <c r="BJ2246" s="4">
        <v>46144.75414351852</v>
      </c>
      <c r="BK2246" s="4">
        <v>46118.5846875</v>
      </c>
      <c r="BL2246" t="inlineStr">
        <is>
          <t>1296.0</t>
        </is>
      </c>
      <c r="BM2246" t="inlineStr">
        <is>
          <t>0.0</t>
        </is>
      </c>
      <c r="BN2246" t="inlineStr">
        <is>
          <t>User Visit(Logged In)</t>
        </is>
      </c>
      <c r="BO2246" s="4">
        <v>46144.59081018518</v>
      </c>
      <c r="BP2246">
        <v>165417</v>
      </c>
      <c r="BQ2246">
        <v>94699</v>
      </c>
      <c r="BR2246" t="inlineStr">
        <is>
          <t>Online</t>
        </is>
      </c>
      <c r="BS2246"/>
      <c r="BT2246">
        <v>94699</v>
      </c>
      <c r="BU2246"/>
      <c r="BV2246">
        <v>2728265</v>
      </c>
      <c r="BW2246" t="inlineStr">
        <is>
          <t>Service / Technical : Job Outcome Enquiry</t>
        </is>
      </c>
      <c r="BX2246">
        <v>1</v>
      </c>
      <c r="BY2246">
        <v>0</v>
      </c>
      <c r="BZ2246" s="4">
        <v>46138.62875</v>
      </c>
      <c r="CA2246">
        <v>10</v>
      </c>
      <c r="CB2246">
        <v>10</v>
      </c>
      <c r="CC2246" s="4"/>
      <c r="CD2246" t="inlineStr">
        <is>
          <t>20</t>
        </is>
      </c>
      <c r="CE2246" t="inlineStr">
        <is>
          <t>0</t>
        </is>
      </c>
      <c r="CF2246" t="inlineStr">
        <is>
          <t>Q2-W01</t>
        </is>
      </c>
      <c r="CG2246" t="inlineStr">
        <is>
          <t>Q2-W03</t>
        </is>
      </c>
      <c r="CH2246" t="inlineStr">
        <is>
          <t>Q2-W03</t>
        </is>
      </c>
      <c r="CI2246"/>
      <c r="CJ2246" t="inlineStr">
        <is>
          <t>Paid</t>
        </is>
      </c>
      <c r="CK2246" t="inlineStr">
        <is>
          <t>Not Eligible</t>
        </is>
      </c>
      <c r="CL2246"/>
      <c r="CM2246"/>
    </row>
    <row r="2247" ht="25.5" customHeight="1">
      <c r="A2247" t="inlineStr">
        <is>
          <t>174213</t>
        </is>
      </c>
      <c r="B2247" s="2"/>
      <c r="C2247"/>
      <c r="D2247" s="3">
        <v>46118.62417824074</v>
      </c>
      <c r="E2247" t="inlineStr">
        <is>
          <t>Q2-W01</t>
        </is>
      </c>
      <c r="F2247" t="inlineStr">
        <is>
          <t>Eugene</t>
        </is>
      </c>
      <c r="G2247" t="inlineStr">
        <is>
          <t>Customer</t>
        </is>
      </c>
      <c r="H2247" s="2" t="str">
        <f>=HYPERLINK("https://upbox.ajobthing.my/customer/174213", "https://upbox.ajobthing.my/customer/174213")</f>
        <v>https://upbox.ajobthing.my/customer/174213</v>
      </c>
      <c r="I2247" t="inlineStr">
        <is>
          <t>Aquaswift Water Technologies Sdn Bhd</t>
        </is>
      </c>
      <c r="J2247" t="inlineStr">
        <is>
          <t>Dolphin</t>
        </is>
      </c>
      <c r="K2247" t="inlineStr">
        <is>
          <t>Eugene</t>
        </is>
      </c>
      <c r="L2247" s="4"/>
      <c r="M2247" s="4">
        <v>46119.43293981482</v>
      </c>
      <c r="N2247"/>
      <c r="O2247">
        <v>4968</v>
      </c>
      <c r="P2247" s="4"/>
      <c r="Q2247" s="4">
        <v>45294.744375</v>
      </c>
      <c r="R2247"/>
      <c r="S2247">
        <v>2968</v>
      </c>
      <c r="T2247" s="4">
        <v>45294.744375</v>
      </c>
      <c r="U2247" s="4"/>
      <c r="V2247"/>
      <c r="W2247">
        <v>2968</v>
      </c>
      <c r="X2247"/>
      <c r="Y2247" t="inlineStr">
        <is>
          <t>Pending Appointment</t>
        </is>
      </c>
      <c r="Z2247" t="inlineStr">
        <is>
          <t>Hiring Now</t>
        </is>
      </c>
      <c r="AA2247">
        <v>1</v>
      </c>
      <c r="AB2247" t="inlineStr">
        <is>
          <t>No Appointment Made</t>
        </is>
      </c>
      <c r="AC2247"/>
      <c r="AD2247" t="inlineStr">
        <is>
          <t>1 position, based in KL</t>
        </is>
      </c>
      <c r="AE2247"/>
      <c r="AF2247">
        <v>3000</v>
      </c>
      <c r="AG2247" s="4"/>
      <c r="AH2247" s="4"/>
      <c r="AI2247">
        <v>3000</v>
      </c>
      <c r="AJ2247">
        <v>1</v>
      </c>
      <c r="AK2247" t="inlineStr">
        <is>
          <t>No, I don't need at all</t>
        </is>
      </c>
      <c r="AL2247">
        <v>1</v>
      </c>
      <c r="AM2247" t="inlineStr">
        <is>
          <t>No, I don't need at all</t>
        </is>
      </c>
      <c r="AN2247"/>
      <c r="AO2247" t="inlineStr">
        <is>
          <t>No, I don't need at all</t>
        </is>
      </c>
      <c r="AP2247" t="inlineStr">
        <is>
          <t>Once a year (25%)</t>
        </is>
      </c>
      <c r="AQ2247">
        <v>1</v>
      </c>
      <c r="AR2247" t="inlineStr">
        <is>
          <t>Free Job Portal</t>
        </is>
      </c>
      <c r="AS2247"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Free Job Portal</t>
        </is>
      </c>
      <c r="AT2247">
        <v>110</v>
      </c>
      <c r="AU2247" t="inlineStr">
        <is>
          <t>1.10</t>
        </is>
      </c>
      <c r="AV2247" t="inlineStr">
        <is>
          <t>15</t>
        </is>
      </c>
      <c r="AW2247" t="inlineStr">
        <is>
          <t>0</t>
        </is>
      </c>
      <c r="AX2247" t="inlineStr">
        <is>
          <t>Not Qualified</t>
        </is>
      </c>
      <c r="AY2247" s="4"/>
      <c r="AZ2247"/>
      <c r="BA2247"/>
      <c r="BB2247"/>
      <c r="BC2247" t="inlineStr">
        <is>
          <t>- Headcount: 12
- Hiring Job Details: 12 positions, based in KL
- Hiring Urgency: Hiring Now
- Number of outlets: 1
- Have recruiter team: No, I don't need at all
- Number of recruiter in company: 1
- Have ATS system: No, I don't need at all
- Have career website: No, I don't need at all
- Current hiring budget: RM4,600
- Whole year budget: RM4,600.00
- Whole year number of vacancies: 12
- Hiring frequency: Once per quarter (75%)
- External job portal: Did not use any job portal</t>
        </is>
      </c>
      <c r="BD2247" s="4">
        <v>46119.4584837963</v>
      </c>
      <c r="BE2247" t="inlineStr">
        <is>
          <t>paid</t>
        </is>
      </c>
      <c r="BF2247"/>
      <c r="BG2247" t="inlineStr">
        <is>
          <t>Reschedule</t>
        </is>
      </c>
      <c r="BH2247" t="inlineStr">
        <is>
          <t>Edward Hoo</t>
        </is>
      </c>
      <c r="BI2247" t="inlineStr">
        <is>
          <t>Repair / Maintenance</t>
        </is>
      </c>
      <c r="BJ2247" s="4">
        <v>46144.751550925925</v>
      </c>
      <c r="BK2247" s="4">
        <v>45293.67741898148</v>
      </c>
      <c r="BL2247" t="inlineStr">
        <is>
          <t>0.0</t>
        </is>
      </c>
      <c r="BM2247" t="inlineStr">
        <is>
          <t>0.0</t>
        </is>
      </c>
      <c r="BN2247" t="inlineStr">
        <is>
          <t>Publish Job</t>
        </is>
      </c>
      <c r="BO2247" s="4">
        <v>46120.64425925926</v>
      </c>
      <c r="BP2247">
        <v>165559</v>
      </c>
      <c r="BQ2247">
        <v>64970</v>
      </c>
      <c r="BR2247" t="inlineStr">
        <is>
          <t>Online</t>
        </is>
      </c>
      <c r="BS2247"/>
      <c r="BT2247">
        <v>64970</v>
      </c>
      <c r="BU2247"/>
      <c r="BV2247">
        <v>2688352</v>
      </c>
      <c r="BW2247" t="inlineStr">
        <is>
          <t>Customer Inquiry</t>
        </is>
      </c>
      <c r="BX2247"/>
      <c r="BY2247"/>
      <c r="BZ2247" s="4"/>
      <c r="CA2247"/>
      <c r="CB2247"/>
      <c r="CC2247" s="4"/>
      <c r="CD2247" t="inlineStr">
        <is>
          <t>20</t>
        </is>
      </c>
      <c r="CE2247" t="inlineStr">
        <is>
          <t>0</t>
        </is>
      </c>
      <c r="CF2247" t="inlineStr">
        <is>
          <t>Q2-W01</t>
        </is>
      </c>
      <c r="CG2247"/>
      <c r="CH2247"/>
      <c r="CI2247"/>
      <c r="CJ2247" t="inlineStr">
        <is>
          <t>Paid</t>
        </is>
      </c>
      <c r="CK2247" t="inlineStr">
        <is>
          <t>Not Eligible</t>
        </is>
      </c>
      <c r="CL2247"/>
      <c r="CM2247"/>
    </row>
    <row r="2248" ht="25.5" customHeight="1">
      <c r="A2248" t="inlineStr">
        <is>
          <t>132362</t>
        </is>
      </c>
      <c r="B2248" s="2"/>
      <c r="C2248"/>
      <c r="D2248" s="3">
        <v>46118.62420138889</v>
      </c>
      <c r="E2248" t="inlineStr">
        <is>
          <t>Q2-W01</t>
        </is>
      </c>
      <c r="F2248" t="inlineStr">
        <is>
          <t>Dickson</t>
        </is>
      </c>
      <c r="G2248" t="inlineStr">
        <is>
          <t>Customer</t>
        </is>
      </c>
      <c r="H2248" s="2" t="str">
        <f>=HYPERLINK("https://upbox.ajobthing.my/customer/132362", "https://upbox.ajobthing.my/customer/132362")</f>
        <v>https://upbox.ajobthing.my/customer/132362</v>
      </c>
      <c r="I2248" t="inlineStr">
        <is>
          <t>Chuang Ying Fruits &amp; Vegetables Sdn Bhd</t>
        </is>
      </c>
      <c r="J2248" t="inlineStr">
        <is>
          <t>Dolphin</t>
        </is>
      </c>
      <c r="K2248" t="inlineStr">
        <is>
          <t>Dickson</t>
        </is>
      </c>
      <c r="L2248" s="4"/>
      <c r="M2248" s="4">
        <v>46118.624398148146</v>
      </c>
      <c r="N2248"/>
      <c r="O2248">
        <v>6048</v>
      </c>
      <c r="P2248" s="4"/>
      <c r="Q2248" s="4">
        <v>44175.70746527778</v>
      </c>
      <c r="R2248"/>
      <c r="S2248">
        <v>2650</v>
      </c>
      <c r="T2248" s="4">
        <v>44175.70746527778</v>
      </c>
      <c r="U2248" s="4"/>
      <c r="V2248"/>
      <c r="W2248">
        <v>2650</v>
      </c>
      <c r="X2248"/>
      <c r="Y2248" t="inlineStr">
        <is>
          <t>Pending Appointment</t>
        </is>
      </c>
      <c r="Z2248" t="inlineStr">
        <is>
          <t>Hiring Now</t>
        </is>
      </c>
      <c r="AA2248">
        <v>5</v>
      </c>
      <c r="AB2248" t="inlineStr">
        <is>
          <t>No Appointment Made</t>
        </is>
      </c>
      <c r="AC2248"/>
      <c r="AD2248" t="inlineStr">
        <is>
          <t>2 sales admin, 1 assistant warehouse manager, 1 invoicing manager, account executive</t>
        </is>
      </c>
      <c r="AE2248"/>
      <c r="AF2248"/>
      <c r="AG2248" s="4"/>
      <c r="AH2248" s="4"/>
      <c r="AI2248"/>
      <c r="AJ2248">
        <v>1</v>
      </c>
      <c r="AK2248" t="inlineStr">
        <is>
          <t>No, I don't need at all</t>
        </is>
      </c>
      <c r="AL2248"/>
      <c r="AM2248" t="inlineStr">
        <is>
          <t>No, I don't need at all</t>
        </is>
      </c>
      <c r="AN2248"/>
      <c r="AO2248" t="inlineStr">
        <is>
          <t>No, I don't need at all</t>
        </is>
      </c>
      <c r="AP2248" t="inlineStr">
        <is>
          <t>Once per quarter (75%)</t>
        </is>
      </c>
      <c r="AQ2248"/>
      <c r="AR2248" t="inlineStr">
        <is>
          <t>Free Job Portal</t>
        </is>
      </c>
      <c r="AS2248" t="inlineStr">
        <is>
          <t>- Headcount: 5
- Hiring Job Details: 2 sales admin, 1 assistant warehouse manager, 1 invoicing manager, 1 account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Free Job Portal</t>
        </is>
      </c>
      <c r="AT2248">
        <v>55</v>
      </c>
      <c r="AU2248" t="inlineStr">
        <is>
          <t>0.55</t>
        </is>
      </c>
      <c r="AV2248" t="inlineStr">
        <is>
          <t>10</t>
        </is>
      </c>
      <c r="AW2248" t="inlineStr">
        <is>
          <t>0</t>
        </is>
      </c>
      <c r="AX2248" t="inlineStr">
        <is>
          <t>Not Qualified</t>
        </is>
      </c>
      <c r="AY2248" s="4"/>
      <c r="AZ2248"/>
      <c r="BA2248"/>
      <c r="BB2248"/>
      <c r="BC2248" t="inlineStr">
        <is>
          <t>want to finish JS credit first</t>
        </is>
      </c>
      <c r="BD2248" s="4">
        <v>46128.63344907408</v>
      </c>
      <c r="BE2248" t="inlineStr">
        <is>
          <t>paid</t>
        </is>
      </c>
      <c r="BF2248"/>
      <c r="BG2248" t="inlineStr">
        <is>
          <t>Reschedule</t>
        </is>
      </c>
      <c r="BH2248" t="inlineStr">
        <is>
          <t>Edward Hoo</t>
        </is>
      </c>
      <c r="BI2248" t="inlineStr">
        <is>
          <t>General / Wholesale Trading</t>
        </is>
      </c>
      <c r="BJ2248" s="4">
        <v>46144.75050925926</v>
      </c>
      <c r="BK2248" s="4">
        <v>44174.50021990741</v>
      </c>
      <c r="BL2248" t="inlineStr">
        <is>
          <t>0.0</t>
        </is>
      </c>
      <c r="BM2248" t="inlineStr">
        <is>
          <t>3600.0</t>
        </is>
      </c>
      <c r="BN2248" t="inlineStr">
        <is>
          <t>View Create Job Page</t>
        </is>
      </c>
      <c r="BO2248" s="4">
        <v>45881.45612268519</v>
      </c>
      <c r="BP2248">
        <v>165419</v>
      </c>
      <c r="BQ2248">
        <v>28811</v>
      </c>
      <c r="BR2248" t="inlineStr">
        <is>
          <t>Online</t>
        </is>
      </c>
      <c r="BS2248"/>
      <c r="BT2248">
        <v>28811</v>
      </c>
      <c r="BU2248"/>
      <c r="BV2248">
        <v>2709700</v>
      </c>
      <c r="BW2248" t="inlineStr">
        <is>
          <t>Follow Up : Lost - Paid Portal</t>
        </is>
      </c>
      <c r="BX2248"/>
      <c r="BY2248"/>
      <c r="BZ2248" s="4"/>
      <c r="CA2248"/>
      <c r="CB2248"/>
      <c r="CC2248" s="4"/>
      <c r="CD2248" t="inlineStr">
        <is>
          <t>15</t>
        </is>
      </c>
      <c r="CE2248" t="inlineStr">
        <is>
          <t>0</t>
        </is>
      </c>
      <c r="CF2248" t="inlineStr">
        <is>
          <t>Q2-W01</t>
        </is>
      </c>
      <c r="CG2248"/>
      <c r="CH2248"/>
      <c r="CI2248"/>
      <c r="CJ2248" t="inlineStr">
        <is>
          <t>Paid</t>
        </is>
      </c>
      <c r="CK2248" t="inlineStr">
        <is>
          <t>Not Eligible</t>
        </is>
      </c>
      <c r="CL2248"/>
      <c r="CM2248"/>
    </row>
    <row r="2249" ht="25.5" customHeight="1">
      <c r="A2249" t="inlineStr">
        <is>
          <t>202863</t>
        </is>
      </c>
      <c r="B2249" s="2"/>
      <c r="C2249"/>
      <c r="D2249" s="3">
        <v>46118.6265162037</v>
      </c>
      <c r="E2249" t="inlineStr">
        <is>
          <t>Q2-W01</t>
        </is>
      </c>
      <c r="F2249" t="inlineStr">
        <is>
          <t>Clover</t>
        </is>
      </c>
      <c r="G2249" t="inlineStr">
        <is>
          <t>Customer</t>
        </is>
      </c>
      <c r="H2249" s="2" t="str">
        <f>=HYPERLINK("https://upbox.ajobthing.my/customer/202863", "https://upbox.ajobthing.my/customer/202863")</f>
        <v>https://upbox.ajobthing.my/customer/202863</v>
      </c>
      <c r="I2249" t="inlineStr">
        <is>
          <t>ASPIRASI HNH SDN BHD</t>
        </is>
      </c>
      <c r="J2249" t="inlineStr">
        <is>
          <t>Dolphin</t>
        </is>
      </c>
      <c r="K2249" t="inlineStr">
        <is>
          <t>Clover</t>
        </is>
      </c>
      <c r="L2249" s="4"/>
      <c r="M2249" s="4">
        <v>46126.67056712963</v>
      </c>
      <c r="N2249"/>
      <c r="O2249">
        <v>3888</v>
      </c>
      <c r="P2249" s="4"/>
      <c r="Q2249" s="4"/>
      <c r="R2249"/>
      <c r="S2249"/>
      <c r="T2249" s="4"/>
      <c r="U2249" s="4"/>
      <c r="V2249"/>
      <c r="W2249"/>
      <c r="X2249"/>
      <c r="Y2249" t="inlineStr">
        <is>
          <t>Pending Appointment</t>
        </is>
      </c>
      <c r="Z2249" t="inlineStr">
        <is>
          <t>Hiring Now</t>
        </is>
      </c>
      <c r="AA2249">
        <v>2</v>
      </c>
      <c r="AB2249" t="inlineStr">
        <is>
          <t>No Appointment Made</t>
        </is>
      </c>
      <c r="AC2249"/>
      <c r="AD2249" t="inlineStr">
        <is>
          <t>Have hiring, survey only, hire site supervisor x1,  QSx1, construction, johor</t>
        </is>
      </c>
      <c r="AE2249"/>
      <c r="AF2249">
        <v>3000</v>
      </c>
      <c r="AG2249" s="4"/>
      <c r="AH2249" s="4"/>
      <c r="AI2249">
        <v>3000</v>
      </c>
      <c r="AJ2249">
        <v>1</v>
      </c>
      <c r="AK2249" t="inlineStr">
        <is>
          <t>No, but I want in future</t>
        </is>
      </c>
      <c r="AL2249">
        <v>1</v>
      </c>
      <c r="AM2249" t="inlineStr">
        <is>
          <t>No, but I want in future</t>
        </is>
      </c>
      <c r="AN2249"/>
      <c r="AO2249" t="inlineStr">
        <is>
          <t>No, but I want in future</t>
        </is>
      </c>
      <c r="AP2249" t="inlineStr">
        <is>
          <t>Twice a year (50%)</t>
        </is>
      </c>
      <c r="AQ2249">
        <v>2</v>
      </c>
      <c r="AR2249" t="inlineStr">
        <is>
          <t>Free Job Portal</t>
        </is>
      </c>
      <c r="AS2249" t="inlineStr">
        <is>
          <t>- Headcount: 2
- Hiring Job Details: Have hiring, survey only, hire site supervisor x1, QSx1, construction, johor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Free Job Portal</t>
        </is>
      </c>
      <c r="AT2249">
        <v>110</v>
      </c>
      <c r="AU2249" t="inlineStr">
        <is>
          <t>1.10</t>
        </is>
      </c>
      <c r="AV2249" t="inlineStr">
        <is>
          <t>15</t>
        </is>
      </c>
      <c r="AW2249" t="inlineStr">
        <is>
          <t>0</t>
        </is>
      </c>
      <c r="AX2249" t="inlineStr">
        <is>
          <t>Not Qualified</t>
        </is>
      </c>
      <c r="AY2249" s="4"/>
      <c r="AZ2249"/>
      <c r="BA2249"/>
      <c r="BB2249"/>
      <c r="BC2249" t="inlineStr">
        <is>
          <t>WA inform not interested, lost</t>
        </is>
      </c>
      <c r="BD2249" s="4">
        <v>46135.68246527778</v>
      </c>
      <c r="BE2249"/>
      <c r="BF2249"/>
      <c r="BG2249" t="inlineStr">
        <is>
          <t>Reschedule</t>
        </is>
      </c>
      <c r="BH2249" t="inlineStr">
        <is>
          <t>Reagen</t>
        </is>
      </c>
      <c r="BI2249"/>
      <c r="BJ2249" s="4">
        <v>46144.75414351852</v>
      </c>
      <c r="BK2249" s="4">
        <v>46118.62322916667</v>
      </c>
      <c r="BL2249" t="inlineStr">
        <is>
          <t>0.0</t>
        </is>
      </c>
      <c r="BM2249" t="inlineStr">
        <is>
          <t>0.0</t>
        </is>
      </c>
      <c r="BN2249"/>
      <c r="BO2249" s="4"/>
      <c r="BP2249">
        <v>167011</v>
      </c>
      <c r="BQ2249"/>
      <c r="BR2249"/>
      <c r="BS2249"/>
      <c r="BT2249"/>
      <c r="BU2249"/>
      <c r="BV2249">
        <v>2724772</v>
      </c>
      <c r="BW2249" t="inlineStr">
        <is>
          <t>Follow Up : Lost - Free Portal</t>
        </is>
      </c>
      <c r="BX2249"/>
      <c r="BY2249"/>
      <c r="BZ2249" s="4"/>
      <c r="CA2249"/>
      <c r="CB2249"/>
      <c r="CC2249" s="4"/>
      <c r="CD2249" t="inlineStr">
        <is>
          <t>20</t>
        </is>
      </c>
      <c r="CE2249" t="inlineStr">
        <is>
          <t>0</t>
        </is>
      </c>
      <c r="CF2249" t="inlineStr">
        <is>
          <t>Q2-W02</t>
        </is>
      </c>
      <c r="CG2249"/>
      <c r="CH2249"/>
      <c r="CI2249"/>
      <c r="CJ2249" t="inlineStr">
        <is>
          <t>No Paid</t>
        </is>
      </c>
      <c r="CK2249" t="inlineStr">
        <is>
          <t>Not Eligible</t>
        </is>
      </c>
      <c r="CL2249"/>
      <c r="CM2249"/>
    </row>
    <row r="2250" ht="25.5" customHeight="1">
      <c r="A2250" t="inlineStr">
        <is>
          <t>177259</t>
        </is>
      </c>
      <c r="B2250" s="2"/>
      <c r="C2250"/>
      <c r="D2250" s="3">
        <v>46118.627118055556</v>
      </c>
      <c r="E2250" t="inlineStr">
        <is>
          <t>Q2-W01</t>
        </is>
      </c>
      <c r="F2250" t="inlineStr">
        <is>
          <t>Xin Quan</t>
        </is>
      </c>
      <c r="G2250" t="inlineStr">
        <is>
          <t>Customer</t>
        </is>
      </c>
      <c r="H2250" s="2" t="str">
        <f>=HYPERLINK("https://upbox.ajobthing.my/customer/177259", "https://upbox.ajobthing.my/customer/177259")</f>
        <v>https://upbox.ajobthing.my/customer/177259</v>
      </c>
      <c r="I2250" t="inlineStr">
        <is>
          <t>Fairtrade Commodities Sdn Bhd</t>
        </is>
      </c>
      <c r="J2250" t="inlineStr">
        <is>
          <t>Dolphin</t>
        </is>
      </c>
      <c r="K2250" t="inlineStr">
        <is>
          <t>Xin Quan</t>
        </is>
      </c>
      <c r="L2250" s="4"/>
      <c r="M2250" s="4">
        <v>46118.627384259256</v>
      </c>
      <c r="N2250"/>
      <c r="O2250">
        <v>3888</v>
      </c>
      <c r="P2250" s="4"/>
      <c r="Q2250" s="4">
        <v>45464.424849537034</v>
      </c>
      <c r="R2250"/>
      <c r="S2250">
        <v>2916</v>
      </c>
      <c r="T2250" s="4">
        <v>45463</v>
      </c>
      <c r="U2250" s="4"/>
      <c r="V2250"/>
      <c r="W2250">
        <v>2916</v>
      </c>
      <c r="X2250"/>
      <c r="Y2250" t="inlineStr">
        <is>
          <t>Pending Appointment</t>
        </is>
      </c>
      <c r="Z2250" t="inlineStr">
        <is>
          <t>Hiring Now</t>
        </is>
      </c>
      <c r="AA2250">
        <v>2</v>
      </c>
      <c r="AB2250" t="inlineStr">
        <is>
          <t>No Appointment Made</t>
        </is>
      </c>
      <c r="AC2250"/>
      <c r="AD2250" t="inlineStr">
        <is>
          <t>1 Admin 1 CS , Base in KL</t>
        </is>
      </c>
      <c r="AE2250"/>
      <c r="AF2250">
        <v>4000</v>
      </c>
      <c r="AG2250" s="4"/>
      <c r="AH2250" s="4"/>
      <c r="AI2250">
        <v>48000</v>
      </c>
      <c r="AJ2250">
        <v>1</v>
      </c>
      <c r="AK2250"/>
      <c r="AL2250"/>
      <c r="AM2250"/>
      <c r="AN2250"/>
      <c r="AO2250"/>
      <c r="AP2250" t="inlineStr">
        <is>
          <t>Once a year (25%)</t>
        </is>
      </c>
      <c r="AQ2250">
        <v>2</v>
      </c>
      <c r="AR2250"/>
      <c r="AS2250" t="inlineStr">
        <is>
          <t>- Headcount: 2
- Hiring Job Details: 1 Admin 1 CS,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Once a year (25%)
- External job portal: Not specified</t>
        </is>
      </c>
      <c r="AT2250">
        <v>85</v>
      </c>
      <c r="AU2250" t="inlineStr">
        <is>
          <t>0.85</t>
        </is>
      </c>
      <c r="AV2250" t="inlineStr">
        <is>
          <t>15</t>
        </is>
      </c>
      <c r="AW2250" t="inlineStr">
        <is>
          <t>0</t>
        </is>
      </c>
      <c r="AX2250" t="inlineStr">
        <is>
          <t>Not Qualified</t>
        </is>
      </c>
      <c r="AY2250" s="4"/>
      <c r="AZ2250"/>
      <c r="BA2250"/>
      <c r="BB2250"/>
      <c r="BC2250" t="inlineStr">
        <is>
          <t>NH , Now hire at Vietnam</t>
        </is>
      </c>
      <c r="BD2250" s="4">
        <v>46125.46016203704</v>
      </c>
      <c r="BE2250" t="inlineStr">
        <is>
          <t>paid</t>
        </is>
      </c>
      <c r="BF2250"/>
      <c r="BG2250" t="inlineStr">
        <is>
          <t>Reschedule</t>
        </is>
      </c>
      <c r="BH2250" t="inlineStr">
        <is>
          <t>Edward Hoo</t>
        </is>
      </c>
      <c r="BI2250" t="inlineStr">
        <is>
          <t>General / Wholesale Trading</t>
        </is>
      </c>
      <c r="BJ2250" s="4">
        <v>46144.75167824074</v>
      </c>
      <c r="BK2250" s="4">
        <v>45394.62579861111</v>
      </c>
      <c r="BL2250" t="inlineStr">
        <is>
          <t>0.0</t>
        </is>
      </c>
      <c r="BM2250" t="inlineStr">
        <is>
          <t>1200.0</t>
        </is>
      </c>
      <c r="BN2250" t="inlineStr">
        <is>
          <t>View Jobmanager Page</t>
        </is>
      </c>
      <c r="BO2250" s="4">
        <v>45849.4816087963</v>
      </c>
      <c r="BP2250">
        <v>165423</v>
      </c>
      <c r="BQ2250">
        <v>91667</v>
      </c>
      <c r="BR2250" t="inlineStr">
        <is>
          <t>Proforma</t>
        </is>
      </c>
      <c r="BS2250" t="inlineStr">
        <is>
          <t>Yearly Standard Plan</t>
        </is>
      </c>
      <c r="BT2250">
        <v>70295</v>
      </c>
      <c r="BU2250"/>
      <c r="BV2250">
        <v>2700288</v>
      </c>
      <c r="BW2250" t="inlineStr">
        <is>
          <t>Inquire for Hiring Needs : No Hiring</t>
        </is>
      </c>
      <c r="BX2250"/>
      <c r="BY2250"/>
      <c r="BZ2250" s="4"/>
      <c r="CA2250"/>
      <c r="CB2250"/>
      <c r="CC2250" s="4"/>
      <c r="CD2250" t="inlineStr">
        <is>
          <t>20</t>
        </is>
      </c>
      <c r="CE2250" t="inlineStr">
        <is>
          <t>0</t>
        </is>
      </c>
      <c r="CF2250" t="inlineStr">
        <is>
          <t>Q2-W01</t>
        </is>
      </c>
      <c r="CG2250"/>
      <c r="CH2250"/>
      <c r="CI2250"/>
      <c r="CJ2250" t="inlineStr">
        <is>
          <t>Paid</t>
        </is>
      </c>
      <c r="CK2250" t="inlineStr">
        <is>
          <t>Not Eligible</t>
        </is>
      </c>
      <c r="CL2250"/>
      <c r="CM2250"/>
    </row>
    <row r="2251" ht="25.5" customHeight="1">
      <c r="A2251" t="inlineStr">
        <is>
          <t>144713</t>
        </is>
      </c>
      <c r="B2251" s="2"/>
      <c r="C2251"/>
      <c r="D2251" s="3">
        <v>46118.6355787037</v>
      </c>
      <c r="E2251" t="inlineStr">
        <is>
          <t>Q2-W01</t>
        </is>
      </c>
      <c r="F2251" t="inlineStr">
        <is>
          <t>Jia Hui</t>
        </is>
      </c>
      <c r="G2251" t="inlineStr">
        <is>
          <t>Customer</t>
        </is>
      </c>
      <c r="H2251" s="2" t="str">
        <f>=HYPERLINK("https://upbox.ajobthing.my/customer/144713", "https://upbox.ajobthing.my/customer/144713")</f>
        <v>https://upbox.ajobthing.my/customer/144713</v>
      </c>
      <c r="I2251" t="inlineStr">
        <is>
          <t>Pro-Fine Plastics Sdn Bhd</t>
        </is>
      </c>
      <c r="J2251" t="inlineStr">
        <is>
          <t>Dolphin</t>
        </is>
      </c>
      <c r="K2251" t="inlineStr">
        <is>
          <t>Jia Hui</t>
        </is>
      </c>
      <c r="L2251" s="4"/>
      <c r="M2251" s="4">
        <v>46118.6365625</v>
      </c>
      <c r="N2251"/>
      <c r="O2251">
        <v>3672</v>
      </c>
      <c r="P2251" s="4"/>
      <c r="Q2251" s="4">
        <v>44559.63805555556</v>
      </c>
      <c r="R2251"/>
      <c r="S2251">
        <v>636</v>
      </c>
      <c r="T2251" s="4">
        <v>44559.63805555556</v>
      </c>
      <c r="U2251" s="4"/>
      <c r="V2251"/>
      <c r="W2251">
        <v>636</v>
      </c>
      <c r="X2251"/>
      <c r="Y2251" t="inlineStr">
        <is>
          <t>Pending Appointment</t>
        </is>
      </c>
      <c r="Z2251" t="inlineStr">
        <is>
          <t>Hiring Now</t>
        </is>
      </c>
      <c r="AA2251">
        <v>2.5</v>
      </c>
      <c r="AB2251" t="inlineStr">
        <is>
          <t>No Appointment Made</t>
        </is>
      </c>
      <c r="AC2251"/>
      <c r="AD2251" t="inlineStr">
        <is>
          <t>2-3 customer service exec</t>
        </is>
      </c>
      <c r="AE2251"/>
      <c r="AF2251">
        <v>1000</v>
      </c>
      <c r="AG2251" s="4"/>
      <c r="AH2251" s="4"/>
      <c r="AI2251"/>
      <c r="AJ2251"/>
      <c r="AK2251" t="inlineStr">
        <is>
          <t>Yes, I have</t>
        </is>
      </c>
      <c r="AL2251"/>
      <c r="AM2251"/>
      <c r="AN2251"/>
      <c r="AO2251"/>
      <c r="AP2251" t="inlineStr">
        <is>
          <t>Once a year (25%)</t>
        </is>
      </c>
      <c r="AQ2251"/>
      <c r="AR2251"/>
      <c r="AS2251" t="inlineStr">
        <is>
          <t>- Headcount: 2
- Hiring Job Details: 2-3 customer service exec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251">
        <v>95</v>
      </c>
      <c r="AU2251" t="inlineStr">
        <is>
          <t>0.95</t>
        </is>
      </c>
      <c r="AV2251" t="inlineStr">
        <is>
          <t>15</t>
        </is>
      </c>
      <c r="AW2251" t="inlineStr">
        <is>
          <t>0</t>
        </is>
      </c>
      <c r="AX2251" t="inlineStr">
        <is>
          <t>Not Qualified</t>
        </is>
      </c>
      <c r="AY2251" s="4"/>
      <c r="AZ2251"/>
      <c r="BA2251"/>
      <c r="BB2251"/>
      <c r="BC2251" t="inlineStr">
        <is>
          <t>customer already purchased AI single job ads under HL IT Event Solution</t>
        </is>
      </c>
      <c r="BD2251" s="4">
        <v>46132.69993055556</v>
      </c>
      <c r="BE2251" t="inlineStr">
        <is>
          <t>paid</t>
        </is>
      </c>
      <c r="BF2251"/>
      <c r="BG2251" t="inlineStr">
        <is>
          <t>Reschedule</t>
        </is>
      </c>
      <c r="BH2251" t="inlineStr">
        <is>
          <t>Reagen</t>
        </is>
      </c>
      <c r="BI2251" t="inlineStr">
        <is>
          <t>Manufacturing / Production</t>
        </is>
      </c>
      <c r="BJ2251" s="4">
        <v>46144.75074074074</v>
      </c>
      <c r="BK2251" s="4">
        <v>44530.4756712963</v>
      </c>
      <c r="BL2251" t="inlineStr">
        <is>
          <t>0.0</t>
        </is>
      </c>
      <c r="BM2251" t="inlineStr">
        <is>
          <t>0.0</t>
        </is>
      </c>
      <c r="BN2251" t="inlineStr">
        <is>
          <t>View Create Job Page</t>
        </is>
      </c>
      <c r="BO2251" s="4">
        <v>44725.7015625</v>
      </c>
      <c r="BP2251">
        <v>165431</v>
      </c>
      <c r="BQ2251">
        <v>39174</v>
      </c>
      <c r="BR2251" t="inlineStr">
        <is>
          <t>Online</t>
        </is>
      </c>
      <c r="BS2251"/>
      <c r="BT2251">
        <v>39174</v>
      </c>
      <c r="BU2251"/>
      <c r="BV2251">
        <v>2716418</v>
      </c>
      <c r="BW2251" t="inlineStr">
        <is>
          <t>Customer Inquiry</t>
        </is>
      </c>
      <c r="BX2251"/>
      <c r="BY2251"/>
      <c r="BZ2251" s="4"/>
      <c r="CA2251"/>
      <c r="CB2251"/>
      <c r="CC2251" s="4"/>
      <c r="CD2251" t="inlineStr">
        <is>
          <t>20</t>
        </is>
      </c>
      <c r="CE2251" t="inlineStr">
        <is>
          <t>0</t>
        </is>
      </c>
      <c r="CF2251" t="inlineStr">
        <is>
          <t>Q2-W01</t>
        </is>
      </c>
      <c r="CG2251"/>
      <c r="CH2251"/>
      <c r="CI2251"/>
      <c r="CJ2251" t="inlineStr">
        <is>
          <t>Paid</t>
        </is>
      </c>
      <c r="CK2251" t="inlineStr">
        <is>
          <t>Not Eligible</t>
        </is>
      </c>
      <c r="CL2251"/>
      <c r="CM2251"/>
    </row>
    <row r="2252" ht="25.5" customHeight="1">
      <c r="A2252" t="inlineStr">
        <is>
          <t>188651</t>
        </is>
      </c>
      <c r="B2252" s="2"/>
      <c r="C2252"/>
      <c r="D2252" s="3">
        <v>46118.63730324074</v>
      </c>
      <c r="E2252" t="inlineStr">
        <is>
          <t>Q2-W01</t>
        </is>
      </c>
      <c r="F2252" t="inlineStr">
        <is>
          <t>Derek Lim</t>
        </is>
      </c>
      <c r="G2252" t="inlineStr">
        <is>
          <t>Customer</t>
        </is>
      </c>
      <c r="H2252" s="2" t="str">
        <f>=HYPERLINK("https://upbox.ajobthing.my/customer/188651", "https://upbox.ajobthing.my/customer/188651")</f>
        <v>https://upbox.ajobthing.my/customer/188651</v>
      </c>
      <c r="I2252" t="inlineStr">
        <is>
          <t>Portland Assets (Malaysia) Sdn Bhd</t>
        </is>
      </c>
      <c r="J2252" t="inlineStr">
        <is>
          <t>Dolphin</t>
        </is>
      </c>
      <c r="K2252" t="inlineStr">
        <is>
          <t>Derek Lim</t>
        </is>
      </c>
      <c r="L2252" s="4"/>
      <c r="M2252" s="4">
        <v>46118.63748842593</v>
      </c>
      <c r="N2252"/>
      <c r="O2252">
        <v>3888</v>
      </c>
      <c r="P2252" s="4"/>
      <c r="Q2252" s="4">
        <v>45730.46306712963</v>
      </c>
      <c r="R2252"/>
      <c r="S2252">
        <v>2916</v>
      </c>
      <c r="T2252" s="4">
        <v>45730.46306712963</v>
      </c>
      <c r="U2252" s="4"/>
      <c r="V2252"/>
      <c r="W2252">
        <v>2916</v>
      </c>
      <c r="X2252"/>
      <c r="Y2252" t="inlineStr">
        <is>
          <t>Pending Appointment</t>
        </is>
      </c>
      <c r="Z2252" t="inlineStr">
        <is>
          <t>Hiring Now</t>
        </is>
      </c>
      <c r="AA2252">
        <v>1</v>
      </c>
      <c r="AB2252" t="inlineStr">
        <is>
          <t>No Appointment Made</t>
        </is>
      </c>
      <c r="AC2252"/>
      <c r="AD2252" t="inlineStr">
        <is>
          <t>Driver - 1</t>
        </is>
      </c>
      <c r="AE2252"/>
      <c r="AF2252">
        <v>0</v>
      </c>
      <c r="AG2252" s="4"/>
      <c r="AH2252" s="4"/>
      <c r="AI2252">
        <v>0</v>
      </c>
      <c r="AJ2252">
        <v>1</v>
      </c>
      <c r="AK2252" t="inlineStr">
        <is>
          <t>No, I don't need at all</t>
        </is>
      </c>
      <c r="AL2252">
        <v>0</v>
      </c>
      <c r="AM2252" t="inlineStr">
        <is>
          <t>No, I don't need at all</t>
        </is>
      </c>
      <c r="AN2252"/>
      <c r="AO2252" t="inlineStr">
        <is>
          <t>No, I don't need at all</t>
        </is>
      </c>
      <c r="AP2252" t="inlineStr">
        <is>
          <t>Once a year (25%)</t>
        </is>
      </c>
      <c r="AQ2252">
        <v>2</v>
      </c>
      <c r="AR2252" t="inlineStr">
        <is>
          <t>Indeed (Paid)</t>
        </is>
      </c>
      <c r="AS2252" t="inlineStr">
        <is>
          <t>- Headcount: 1
- Hiring Job Details: 1 driver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Indeed (Paid)</t>
        </is>
      </c>
      <c r="AT2252">
        <v>110</v>
      </c>
      <c r="AU2252" t="inlineStr">
        <is>
          <t>1.10</t>
        </is>
      </c>
      <c r="AV2252" t="inlineStr">
        <is>
          <t>15</t>
        </is>
      </c>
      <c r="AW2252" t="inlineStr">
        <is>
          <t>0</t>
        </is>
      </c>
      <c r="AX2252" t="inlineStr">
        <is>
          <t>Not Qualified</t>
        </is>
      </c>
      <c r="AY2252" s="4"/>
      <c r="AZ2252"/>
      <c r="BA2252"/>
      <c r="BB2252"/>
      <c r="BC2252" t="inlineStr">
        <is>
          <t>SHE SAY ALREADY HIRE THE DRIVER</t>
        </is>
      </c>
      <c r="BD2252" s="4">
        <v>46128.49138888889</v>
      </c>
      <c r="BE2252" t="inlineStr">
        <is>
          <t>paid</t>
        </is>
      </c>
      <c r="BF2252"/>
      <c r="BG2252" t="inlineStr">
        <is>
          <t>Reschedule</t>
        </is>
      </c>
      <c r="BH2252" t="inlineStr">
        <is>
          <t>Edward Hoo</t>
        </is>
      </c>
      <c r="BI2252" t="inlineStr">
        <is>
          <t>Business / Mgmt Consulting</t>
        </is>
      </c>
      <c r="BJ2252" s="4">
        <v>46144.75224537037</v>
      </c>
      <c r="BK2252" s="4">
        <v>45726.57803240741</v>
      </c>
      <c r="BL2252" t="inlineStr">
        <is>
          <t>0.0</t>
        </is>
      </c>
      <c r="BM2252" t="inlineStr">
        <is>
          <t>0.0</t>
        </is>
      </c>
      <c r="BN2252" t="inlineStr">
        <is>
          <t>View Create Job Page</t>
        </is>
      </c>
      <c r="BO2252" s="4">
        <v>45895.68295138889</v>
      </c>
      <c r="BP2252">
        <v>165432</v>
      </c>
      <c r="BQ2252">
        <v>77635</v>
      </c>
      <c r="BR2252" t="inlineStr">
        <is>
          <t>Online</t>
        </is>
      </c>
      <c r="BS2252"/>
      <c r="BT2252">
        <v>77635</v>
      </c>
      <c r="BU2252"/>
      <c r="BV2252">
        <v>2708576</v>
      </c>
      <c r="BW2252" t="inlineStr">
        <is>
          <t>Follow Up : Lost - Free Portal</t>
        </is>
      </c>
      <c r="BX2252"/>
      <c r="BY2252"/>
      <c r="BZ2252" s="4"/>
      <c r="CA2252"/>
      <c r="CB2252"/>
      <c r="CC2252" s="4"/>
      <c r="CD2252" t="inlineStr">
        <is>
          <t>20</t>
        </is>
      </c>
      <c r="CE2252" t="inlineStr">
        <is>
          <t>0</t>
        </is>
      </c>
      <c r="CF2252" t="inlineStr">
        <is>
          <t>Q2-W01</t>
        </is>
      </c>
      <c r="CG2252"/>
      <c r="CH2252"/>
      <c r="CI2252"/>
      <c r="CJ2252" t="inlineStr">
        <is>
          <t>Paid</t>
        </is>
      </c>
      <c r="CK2252" t="inlineStr">
        <is>
          <t>Not Eligible</t>
        </is>
      </c>
      <c r="CL2252"/>
      <c r="CM2252"/>
    </row>
    <row r="2253" ht="25.5" customHeight="1">
      <c r="A2253" t="inlineStr">
        <is>
          <t>202868</t>
        </is>
      </c>
      <c r="B2253" s="2"/>
      <c r="C2253"/>
      <c r="D2253" s="3">
        <v>46118.63935185185</v>
      </c>
      <c r="E2253" t="inlineStr">
        <is>
          <t>Q2-W01</t>
        </is>
      </c>
      <c r="F2253" t="inlineStr">
        <is>
          <t>Clover</t>
        </is>
      </c>
      <c r="G2253" t="inlineStr">
        <is>
          <t>Customer</t>
        </is>
      </c>
      <c r="H2253" s="2" t="str">
        <f>=HYPERLINK("https://upbox.ajobthing.my/customer/202868", "https://upbox.ajobthing.my/customer/202868")</f>
        <v>https://upbox.ajobthing.my/customer/202868</v>
      </c>
      <c r="I2253" t="inlineStr">
        <is>
          <t>Kytee Hebals</t>
        </is>
      </c>
      <c r="J2253" t="inlineStr">
        <is>
          <t>Dolphin</t>
        </is>
      </c>
      <c r="K2253" t="inlineStr">
        <is>
          <t>Clover</t>
        </is>
      </c>
      <c r="L2253" s="4"/>
      <c r="M2253" s="4">
        <v>46118.63895833334</v>
      </c>
      <c r="N2253"/>
      <c r="O2253">
        <v>3888</v>
      </c>
      <c r="P2253" s="4"/>
      <c r="Q2253" s="4"/>
      <c r="R2253"/>
      <c r="S2253"/>
      <c r="T2253" s="4"/>
      <c r="U2253" s="4"/>
      <c r="V2253"/>
      <c r="W2253"/>
      <c r="X2253"/>
      <c r="Y2253" t="inlineStr">
        <is>
          <t>Pending Appointment</t>
        </is>
      </c>
      <c r="Z2253" t="inlineStr">
        <is>
          <t>Hiring Later</t>
        </is>
      </c>
      <c r="AA2253">
        <v>2</v>
      </c>
      <c r="AB2253" t="inlineStr">
        <is>
          <t>No Appointment Made</t>
        </is>
      </c>
      <c r="AC2253"/>
      <c r="AD2253" t="inlineStr">
        <is>
          <t xml:space="preserve">Want to hire sales execx1, CSx1, all races, beauty products, penang, sugges stand  </t>
        </is>
      </c>
      <c r="AE2253"/>
      <c r="AF2253">
        <v>3000</v>
      </c>
      <c r="AG2253" s="4"/>
      <c r="AH2253" s="4"/>
      <c r="AI2253">
        <v>3000</v>
      </c>
      <c r="AJ2253">
        <v>1</v>
      </c>
      <c r="AK2253" t="inlineStr">
        <is>
          <t>No, but I want in future</t>
        </is>
      </c>
      <c r="AL2253">
        <v>1</v>
      </c>
      <c r="AM2253" t="inlineStr">
        <is>
          <t>No, but I want in future</t>
        </is>
      </c>
      <c r="AN2253"/>
      <c r="AO2253" t="inlineStr">
        <is>
          <t>No, but I want in future</t>
        </is>
      </c>
      <c r="AP2253" t="inlineStr">
        <is>
          <t>Twice a year (50%)</t>
        </is>
      </c>
      <c r="AQ2253">
        <v>2</v>
      </c>
      <c r="AR2253" t="inlineStr">
        <is>
          <t>Did not use any job portal</t>
        </is>
      </c>
      <c r="AS2253" t="inlineStr">
        <is>
          <t>- Headcount: 2
- Hiring Job Details: 1 sales exec, 1 CS, all races, beauty products, Penang,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253">
        <v>115</v>
      </c>
      <c r="AU2253" t="inlineStr">
        <is>
          <t>1.15</t>
        </is>
      </c>
      <c r="AV2253" t="inlineStr">
        <is>
          <t>15</t>
        </is>
      </c>
      <c r="AW2253" t="inlineStr">
        <is>
          <t>0</t>
        </is>
      </c>
      <c r="AX2253" t="inlineStr">
        <is>
          <t>Not Qualified</t>
        </is>
      </c>
      <c r="AY2253" s="4"/>
      <c r="AZ2253"/>
      <c r="BA2253"/>
      <c r="BB2253"/>
      <c r="BC2253" t="inlineStr">
        <is>
          <t>So far no hiring, if want will contact</t>
        </is>
      </c>
      <c r="BD2253" s="4">
        <v>46126.6787962963</v>
      </c>
      <c r="BE2253"/>
      <c r="BF2253"/>
      <c r="BG2253" t="inlineStr">
        <is>
          <t>Reschedule</t>
        </is>
      </c>
      <c r="BH2253" t="inlineStr">
        <is>
          <t>Reagen</t>
        </is>
      </c>
      <c r="BI2253"/>
      <c r="BJ2253" s="4">
        <v>46144.75414351852</v>
      </c>
      <c r="BK2253" s="4">
        <v>46118.63653935185</v>
      </c>
      <c r="BL2253" t="inlineStr">
        <is>
          <t>0.0</t>
        </is>
      </c>
      <c r="BM2253" t="inlineStr">
        <is>
          <t>0.0</t>
        </is>
      </c>
      <c r="BN2253"/>
      <c r="BO2253" s="4"/>
      <c r="BP2253">
        <v>165438</v>
      </c>
      <c r="BQ2253"/>
      <c r="BR2253"/>
      <c r="BS2253"/>
      <c r="BT2253"/>
      <c r="BU2253"/>
      <c r="BV2253">
        <v>2704193</v>
      </c>
      <c r="BW2253" t="inlineStr">
        <is>
          <t>Inquire for Hiring Needs : No Hiring</t>
        </is>
      </c>
      <c r="BX2253"/>
      <c r="BY2253"/>
      <c r="BZ2253" s="4"/>
      <c r="CA2253"/>
      <c r="CB2253"/>
      <c r="CC2253" s="4"/>
      <c r="CD2253" t="inlineStr">
        <is>
          <t>20</t>
        </is>
      </c>
      <c r="CE2253" t="inlineStr">
        <is>
          <t>0</t>
        </is>
      </c>
      <c r="CF2253" t="inlineStr">
        <is>
          <t>Q2-W01</t>
        </is>
      </c>
      <c r="CG2253"/>
      <c r="CH2253"/>
      <c r="CI2253"/>
      <c r="CJ2253" t="inlineStr">
        <is>
          <t>No Paid</t>
        </is>
      </c>
      <c r="CK2253" t="inlineStr">
        <is>
          <t>Not Eligible</t>
        </is>
      </c>
      <c r="CL2253"/>
      <c r="CM2253"/>
    </row>
    <row r="2254" ht="25.5" customHeight="1">
      <c r="A2254" t="inlineStr">
        <is>
          <t>202871</t>
        </is>
      </c>
      <c r="B2254" s="2"/>
      <c r="C2254"/>
      <c r="D2254" s="3">
        <v>46118.646782407406</v>
      </c>
      <c r="E2254" t="inlineStr">
        <is>
          <t>Q2-W01</t>
        </is>
      </c>
      <c r="F2254" t="inlineStr">
        <is>
          <t>Lucas</t>
        </is>
      </c>
      <c r="G2254" t="inlineStr">
        <is>
          <t>Customer</t>
        </is>
      </c>
      <c r="H2254" s="2" t="str">
        <f>=HYPERLINK("https://upbox.ajobthing.my/customer/202871", "https://upbox.ajobthing.my/customer/202871")</f>
        <v>https://upbox.ajobthing.my/customer/202871</v>
      </c>
      <c r="I2254" t="inlineStr">
        <is>
          <t>Alfa Maju Resources</t>
        </is>
      </c>
      <c r="J2254" t="inlineStr">
        <is>
          <t>Dolphin</t>
        </is>
      </c>
      <c r="K2254" t="inlineStr">
        <is>
          <t>Lucas</t>
        </is>
      </c>
      <c r="L2254" s="4"/>
      <c r="M2254" s="4">
        <v>46118.645787037036</v>
      </c>
      <c r="N2254"/>
      <c r="O2254">
        <v>3888</v>
      </c>
      <c r="P2254" s="4"/>
      <c r="Q2254" s="4">
        <v>46129.81925925926</v>
      </c>
      <c r="R2254"/>
      <c r="S2254">
        <v>3888</v>
      </c>
      <c r="T2254" s="4">
        <v>46129.81925925926</v>
      </c>
      <c r="U2254" s="4"/>
      <c r="V2254"/>
      <c r="W2254">
        <v>3888</v>
      </c>
      <c r="X2254"/>
      <c r="Y2254" t="inlineStr">
        <is>
          <t>Pending Appointment</t>
        </is>
      </c>
      <c r="Z2254" t="inlineStr">
        <is>
          <t>Hiring Now</t>
        </is>
      </c>
      <c r="AA2254">
        <v>1</v>
      </c>
      <c r="AB2254" t="inlineStr">
        <is>
          <t>No Appointment Made</t>
        </is>
      </c>
      <c r="AC2254"/>
      <c r="AD2254" t="inlineStr">
        <is>
          <t xml:space="preserve">1 business development executive, malay </t>
        </is>
      </c>
      <c r="AE2254"/>
      <c r="AF2254">
        <v>0</v>
      </c>
      <c r="AG2254" s="4"/>
      <c r="AH2254" s="4"/>
      <c r="AI2254">
        <v>0</v>
      </c>
      <c r="AJ2254">
        <v>0</v>
      </c>
      <c r="AK2254" t="inlineStr">
        <is>
          <t>No, I don't need at all</t>
        </is>
      </c>
      <c r="AL2254">
        <v>0</v>
      </c>
      <c r="AM2254" t="inlineStr">
        <is>
          <t>No, I don't need at all</t>
        </is>
      </c>
      <c r="AN2254"/>
      <c r="AO2254" t="inlineStr">
        <is>
          <t>No, I don't need at all</t>
        </is>
      </c>
      <c r="AP2254" t="inlineStr">
        <is>
          <t>Once a year (25%)</t>
        </is>
      </c>
      <c r="AQ2254">
        <v>1</v>
      </c>
      <c r="AR2254" t="inlineStr">
        <is>
          <t>Did not use any job portal</t>
        </is>
      </c>
      <c r="AS2254" t="inlineStr">
        <is>
          <t>- Headcount: 1
- Hiring Job Details: 1 business development executive, malay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254">
        <v>75</v>
      </c>
      <c r="AU2254" t="inlineStr">
        <is>
          <t>0.75</t>
        </is>
      </c>
      <c r="AV2254" t="inlineStr">
        <is>
          <t>15</t>
        </is>
      </c>
      <c r="AW2254" t="inlineStr">
        <is>
          <t>0</t>
        </is>
      </c>
      <c r="AX2254" t="inlineStr">
        <is>
          <t>Not Qualified</t>
        </is>
      </c>
      <c r="AY2254" s="4"/>
      <c r="AZ2254"/>
      <c r="BA2254"/>
      <c r="BB2254"/>
      <c r="BC2254" t="inlineStr">
        <is>
          <t>guide customer how to use</t>
        </is>
      </c>
      <c r="BD2254" s="4">
        <v>46133.58327546297</v>
      </c>
      <c r="BE2254" t="inlineStr">
        <is>
          <t>paid</t>
        </is>
      </c>
      <c r="BF2254" t="inlineStr">
        <is>
          <t>Q2-W03</t>
        </is>
      </c>
      <c r="BG2254" t="inlineStr">
        <is>
          <t>Reschedule</t>
        </is>
      </c>
      <c r="BH2254" t="inlineStr">
        <is>
          <t>Yee Hang</t>
        </is>
      </c>
      <c r="BI2254"/>
      <c r="BJ2254" s="4">
        <v>46144.75414351852</v>
      </c>
      <c r="BK2254" s="4">
        <v>46118.643796296295</v>
      </c>
      <c r="BL2254" t="inlineStr">
        <is>
          <t>3888.0</t>
        </is>
      </c>
      <c r="BM2254" t="inlineStr">
        <is>
          <t>0.0</t>
        </is>
      </c>
      <c r="BN2254" t="inlineStr">
        <is>
          <t>View Company Page</t>
        </is>
      </c>
      <c r="BO2254" s="4">
        <v>46140.44604166667</v>
      </c>
      <c r="BP2254">
        <v>165443</v>
      </c>
      <c r="BQ2254">
        <v>94153</v>
      </c>
      <c r="BR2254" t="inlineStr">
        <is>
          <t>Online</t>
        </is>
      </c>
      <c r="BS2254"/>
      <c r="BT2254">
        <v>94153</v>
      </c>
      <c r="BU2254"/>
      <c r="BV2254">
        <v>2718148</v>
      </c>
      <c r="BW2254" t="inlineStr">
        <is>
          <t>Service / Technical : Job Outcome Enquiry</t>
        </is>
      </c>
      <c r="BX2254">
        <v>6</v>
      </c>
      <c r="BY2254">
        <v>5</v>
      </c>
      <c r="BZ2254" s="4">
        <v>46133.54278935185</v>
      </c>
      <c r="CA2254">
        <v>73</v>
      </c>
      <c r="CB2254">
        <v>73</v>
      </c>
      <c r="CC2254" s="4"/>
      <c r="CD2254" t="inlineStr">
        <is>
          <t>20</t>
        </is>
      </c>
      <c r="CE2254" t="inlineStr">
        <is>
          <t>0</t>
        </is>
      </c>
      <c r="CF2254" t="inlineStr">
        <is>
          <t>Q2-W01</t>
        </is>
      </c>
      <c r="CG2254" t="inlineStr">
        <is>
          <t>Q2-W03</t>
        </is>
      </c>
      <c r="CH2254" t="inlineStr">
        <is>
          <t>Q2-W03</t>
        </is>
      </c>
      <c r="CI2254"/>
      <c r="CJ2254" t="inlineStr">
        <is>
          <t>Paid</t>
        </is>
      </c>
      <c r="CK2254" t="inlineStr">
        <is>
          <t>Not Eligible</t>
        </is>
      </c>
      <c r="CL2254"/>
      <c r="CM2254"/>
    </row>
    <row r="2255" ht="25.5" customHeight="1">
      <c r="A2255" t="inlineStr">
        <is>
          <t>127239</t>
        </is>
      </c>
      <c r="B2255" s="2"/>
      <c r="C2255"/>
      <c r="D2255" s="3">
        <v>46118.650358796294</v>
      </c>
      <c r="E2255" t="inlineStr">
        <is>
          <t>Q2-W01</t>
        </is>
      </c>
      <c r="F2255" t="inlineStr">
        <is>
          <t>Derek Lim</t>
        </is>
      </c>
      <c r="G2255" t="inlineStr">
        <is>
          <t>Customer</t>
        </is>
      </c>
      <c r="H2255" s="2" t="str">
        <f>=HYPERLINK("https://upbox.ajobthing.my/customer/127239", "https://upbox.ajobthing.my/customer/127239")</f>
        <v>https://upbox.ajobthing.my/customer/127239</v>
      </c>
      <c r="I2255" t="inlineStr">
        <is>
          <t>Anies Iman Empire Sdn. Bhd.</t>
        </is>
      </c>
      <c r="J2255" t="inlineStr">
        <is>
          <t>Dolphin</t>
        </is>
      </c>
      <c r="K2255" t="inlineStr">
        <is>
          <t>Derek Lim</t>
        </is>
      </c>
      <c r="L2255" s="4"/>
      <c r="M2255" s="4">
        <v>46142.58893518519</v>
      </c>
      <c r="N2255"/>
      <c r="O2255">
        <v>2592</v>
      </c>
      <c r="P2255" s="4"/>
      <c r="Q2255" s="4">
        <v>46142.7208912037</v>
      </c>
      <c r="R2255"/>
      <c r="S2255">
        <v>1296</v>
      </c>
      <c r="T2255" s="4">
        <v>46125.95359953704</v>
      </c>
      <c r="U2255" s="4"/>
      <c r="V2255"/>
      <c r="W2255">
        <v>1296</v>
      </c>
      <c r="X2255"/>
      <c r="Y2255" t="inlineStr">
        <is>
          <t>Pending Appointment</t>
        </is>
      </c>
      <c r="Z2255" t="inlineStr">
        <is>
          <t>Hiring Now</t>
        </is>
      </c>
      <c r="AA2255">
        <v>1</v>
      </c>
      <c r="AB2255" t="inlineStr">
        <is>
          <t>No Appointment Made</t>
        </is>
      </c>
      <c r="AC2255"/>
      <c r="AD2255" t="inlineStr">
        <is>
          <t>Assistant fashion designer - 1</t>
        </is>
      </c>
      <c r="AE2255"/>
      <c r="AF2255">
        <v>1000</v>
      </c>
      <c r="AG2255" s="4"/>
      <c r="AH2255" s="4"/>
      <c r="AI2255">
        <v>1000</v>
      </c>
      <c r="AJ2255">
        <v>1</v>
      </c>
      <c r="AK2255" t="inlineStr">
        <is>
          <t>No, I don't need at all</t>
        </is>
      </c>
      <c r="AL2255">
        <v>0</v>
      </c>
      <c r="AM2255" t="inlineStr">
        <is>
          <t>No, I don't need at all</t>
        </is>
      </c>
      <c r="AN2255"/>
      <c r="AO2255" t="inlineStr">
        <is>
          <t>No, I don't need at all</t>
        </is>
      </c>
      <c r="AP2255" t="inlineStr">
        <is>
          <t>Once a year (25%)</t>
        </is>
      </c>
      <c r="AQ2255">
        <v>1</v>
      </c>
      <c r="AR2255" t="inlineStr">
        <is>
          <t>Did not use any job portal</t>
        </is>
      </c>
      <c r="AS2255" t="inlineStr">
        <is>
          <t>- Headcount: 1
- Hiring Job Details: 1 assistant fashion designer
- Hiring Urgency: Hiring Now
- Number of outlets: 1
- Have recruiter team: No, I don't need at all
- Number of recruiter in company: 0
- Have ATS system: No, I don't need at all
- Have career website: No, I don't need at all
- Current hiring budget: RM1,000
- Whole year budget: RM1,000.00
- Whole year number of vacancies: 1
- Hiring frequency: Once a year (25%)
- External job portal: Did not use any job portal</t>
        </is>
      </c>
      <c r="AT2255">
        <v>110</v>
      </c>
      <c r="AU2255" t="inlineStr">
        <is>
          <t>1.10</t>
        </is>
      </c>
      <c r="AV2255" t="inlineStr">
        <is>
          <t>15</t>
        </is>
      </c>
      <c r="AW2255" t="inlineStr">
        <is>
          <t>0</t>
        </is>
      </c>
      <c r="AX2255" t="inlineStr">
        <is>
          <t>Not Qualified</t>
        </is>
      </c>
      <c r="AY2255" s="4"/>
      <c r="AZ2255"/>
      <c r="BA2255"/>
      <c r="BB2255"/>
      <c r="BC2255" t="inlineStr">
        <is>
          <t>SEND UPGRADE YEARLY PLAN QUOTATION TO CLIENT</t>
        </is>
      </c>
      <c r="BD2255" s="4">
        <v>46142.60391203704</v>
      </c>
      <c r="BE2255" t="inlineStr">
        <is>
          <t>pending</t>
        </is>
      </c>
      <c r="BF2255" t="inlineStr">
        <is>
          <t>Q2-W02</t>
        </is>
      </c>
      <c r="BG2255" t="inlineStr">
        <is>
          <t>Reschedule</t>
        </is>
      </c>
      <c r="BH2255" t="inlineStr">
        <is>
          <t>Edward Hoo</t>
        </is>
      </c>
      <c r="BI2255" t="inlineStr">
        <is>
          <t>Apparel</t>
        </is>
      </c>
      <c r="BJ2255" s="4">
        <v>46144.750393518516</v>
      </c>
      <c r="BK2255" s="4">
        <v>44012.721597222226</v>
      </c>
      <c r="BL2255" t="inlineStr">
        <is>
          <t>0.0</t>
        </is>
      </c>
      <c r="BM2255" t="inlineStr">
        <is>
          <t>0.0</t>
        </is>
      </c>
      <c r="BN2255" t="inlineStr">
        <is>
          <t>View Company Page</t>
        </is>
      </c>
      <c r="BO2255" s="4">
        <v>46141.85623842593</v>
      </c>
      <c r="BP2255">
        <v>169686</v>
      </c>
      <c r="BQ2255">
        <v>124217</v>
      </c>
      <c r="BR2255" t="inlineStr">
        <is>
          <t>Proforma</t>
        </is>
      </c>
      <c r="BS2255" t="inlineStr">
        <is>
          <t>AI Ala Carte (Jan 26) Plus</t>
        </is>
      </c>
      <c r="BT2255">
        <v>93242</v>
      </c>
      <c r="BU2255"/>
      <c r="BV2255">
        <v>2737701</v>
      </c>
      <c r="BW2255" t="inlineStr">
        <is>
          <t>Follow Up : Quotation Sent 50%</t>
        </is>
      </c>
      <c r="BX2255">
        <v>1</v>
      </c>
      <c r="BY2255">
        <v>0</v>
      </c>
      <c r="BZ2255" s="4">
        <v>46126.533680555556</v>
      </c>
      <c r="CA2255">
        <v>23</v>
      </c>
      <c r="CB2255">
        <v>23</v>
      </c>
      <c r="CC2255" s="4"/>
      <c r="CD2255" t="inlineStr">
        <is>
          <t>20</t>
        </is>
      </c>
      <c r="CE2255" t="inlineStr">
        <is>
          <t>0</t>
        </is>
      </c>
      <c r="CF2255" t="inlineStr">
        <is>
          <t>Q2-W04</t>
        </is>
      </c>
      <c r="CG2255" t="inlineStr">
        <is>
          <t>Q2-W04</t>
        </is>
      </c>
      <c r="CH2255" t="inlineStr">
        <is>
          <t>Q2-W02</t>
        </is>
      </c>
      <c r="CI2255"/>
      <c r="CJ2255" t="inlineStr">
        <is>
          <t>Paid</t>
        </is>
      </c>
      <c r="CK2255" t="inlineStr">
        <is>
          <t>Not Eligible</t>
        </is>
      </c>
      <c r="CL2255"/>
      <c r="CM2255"/>
    </row>
    <row r="2256" ht="25.5" customHeight="1">
      <c r="A2256" t="inlineStr">
        <is>
          <t>198202</t>
        </is>
      </c>
      <c r="B2256" s="2"/>
      <c r="C2256"/>
      <c r="D2256" s="3">
        <v>46118.65418981481</v>
      </c>
      <c r="E2256" t="inlineStr">
        <is>
          <t>Q2-W01</t>
        </is>
      </c>
      <c r="F2256" t="inlineStr">
        <is>
          <t>Keegan</t>
        </is>
      </c>
      <c r="G2256" t="inlineStr">
        <is>
          <t>Customer</t>
        </is>
      </c>
      <c r="H2256" s="2" t="str">
        <f>=HYPERLINK("https://upbox.ajobthing.my/customer/198202", "https://upbox.ajobthing.my/customer/198202")</f>
        <v>https://upbox.ajobthing.my/customer/198202</v>
      </c>
      <c r="I2256" t="inlineStr">
        <is>
          <t>K3 Solutions PLT</t>
        </is>
      </c>
      <c r="J2256" t="inlineStr">
        <is>
          <t>Dolphin</t>
        </is>
      </c>
      <c r="K2256" t="inlineStr">
        <is>
          <t>Keegan</t>
        </is>
      </c>
      <c r="L2256" s="4"/>
      <c r="M2256" s="4">
        <v>46118.654398148145</v>
      </c>
      <c r="N2256"/>
      <c r="O2256">
        <v>5508</v>
      </c>
      <c r="P2256" s="4"/>
      <c r="Q2256" s="4">
        <v>46121.6653125</v>
      </c>
      <c r="R2256"/>
      <c r="S2256">
        <v>0</v>
      </c>
      <c r="T2256" s="4">
        <v>46121.628796296296</v>
      </c>
      <c r="U2256" s="4"/>
      <c r="V2256"/>
      <c r="W2256">
        <v>864</v>
      </c>
      <c r="X2256"/>
      <c r="Y2256" t="inlineStr">
        <is>
          <t>Pending Appointment</t>
        </is>
      </c>
      <c r="Z2256" t="inlineStr">
        <is>
          <t>Hiring Now</t>
        </is>
      </c>
      <c r="AA2256">
        <v>1</v>
      </c>
      <c r="AB2256" t="inlineStr">
        <is>
          <t>No Appointment Made</t>
        </is>
      </c>
      <c r="AC2256"/>
      <c r="AD2256" t="inlineStr">
        <is>
          <t xml:space="preserve">1. Senior Account Executive </t>
        </is>
      </c>
      <c r="AE2256"/>
      <c r="AF2256"/>
      <c r="AG2256" s="4"/>
      <c r="AH2256" s="4"/>
      <c r="AI2256"/>
      <c r="AJ2256">
        <v>1</v>
      </c>
      <c r="AK2256" t="inlineStr">
        <is>
          <t>No, I don't need at all</t>
        </is>
      </c>
      <c r="AL2256">
        <v>0</v>
      </c>
      <c r="AM2256" t="inlineStr">
        <is>
          <t>No, I don't need at all</t>
        </is>
      </c>
      <c r="AN2256"/>
      <c r="AO2256" t="inlineStr">
        <is>
          <t>No, I don't need at all</t>
        </is>
      </c>
      <c r="AP2256" t="inlineStr">
        <is>
          <t>Once per quarter (75%)</t>
        </is>
      </c>
      <c r="AQ2256"/>
      <c r="AR2256" t="inlineStr">
        <is>
          <t>Did not use any job portal</t>
        </is>
      </c>
      <c r="AS2256" t="inlineStr">
        <is>
          <t>- Headcount: 1
- Hiring Job Details: 1 Senior Account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256">
        <v>105</v>
      </c>
      <c r="AU2256" t="inlineStr">
        <is>
          <t>1.05</t>
        </is>
      </c>
      <c r="AV2256" t="inlineStr">
        <is>
          <t>5</t>
        </is>
      </c>
      <c r="AW2256" t="inlineStr">
        <is>
          <t>0</t>
        </is>
      </c>
      <c r="AX2256" t="inlineStr">
        <is>
          <t>Not Qualified</t>
        </is>
      </c>
      <c r="AY2256" s="4"/>
      <c r="AZ2256"/>
      <c r="BA2256"/>
      <c r="BB2256"/>
      <c r="BC2256" t="inlineStr">
        <is>
          <t>Job posting f/up</t>
        </is>
      </c>
      <c r="BD2256" s="4">
        <v>46126.391064814816</v>
      </c>
      <c r="BE2256" t="inlineStr">
        <is>
          <t>paid</t>
        </is>
      </c>
      <c r="BF2256" t="inlineStr">
        <is>
          <t>Q2-W01</t>
        </is>
      </c>
      <c r="BG2256" t="inlineStr">
        <is>
          <t>Reschedule</t>
        </is>
      </c>
      <c r="BH2256" t="inlineStr">
        <is>
          <t>Edward Hoo</t>
        </is>
      </c>
      <c r="BI2256" t="inlineStr">
        <is>
          <t>Accounting / Tax Services</t>
        </is>
      </c>
      <c r="BJ2256" s="4">
        <v>46144.75299768519</v>
      </c>
      <c r="BK2256" s="4">
        <v>45974.40962962963</v>
      </c>
      <c r="BL2256" t="inlineStr">
        <is>
          <t>4536.0</t>
        </is>
      </c>
      <c r="BM2256" t="inlineStr">
        <is>
          <t>0.0</t>
        </is>
      </c>
      <c r="BN2256" t="inlineStr">
        <is>
          <t>View Company Page</t>
        </is>
      </c>
      <c r="BO2256" s="4">
        <v>46142.63783564815</v>
      </c>
      <c r="BP2256">
        <v>165452</v>
      </c>
      <c r="BQ2256">
        <v>121375</v>
      </c>
      <c r="BR2256" t="inlineStr">
        <is>
          <t>Proforma</t>
        </is>
      </c>
      <c r="BS2256" t="inlineStr">
        <is>
          <t>Free Part-Time Job</t>
        </is>
      </c>
      <c r="BT2256">
        <v>92530</v>
      </c>
      <c r="BU2256"/>
      <c r="BV2256">
        <v>2702372</v>
      </c>
      <c r="BW2256" t="inlineStr">
        <is>
          <t>Service / Technical : Job Outcome Enquiry</t>
        </is>
      </c>
      <c r="BX2256">
        <v>7</v>
      </c>
      <c r="BY2256">
        <v>0</v>
      </c>
      <c r="BZ2256" s="4">
        <v>46122.44920138889</v>
      </c>
      <c r="CA2256">
        <v>70</v>
      </c>
      <c r="CB2256">
        <v>0</v>
      </c>
      <c r="CC2256" s="4">
        <v>46122.73516203704</v>
      </c>
      <c r="CD2256" t="inlineStr">
        <is>
          <t>5</t>
        </is>
      </c>
      <c r="CE2256" t="inlineStr">
        <is>
          <t>0</t>
        </is>
      </c>
      <c r="CF2256" t="inlineStr">
        <is>
          <t>Q2-W01</t>
        </is>
      </c>
      <c r="CG2256" t="inlineStr">
        <is>
          <t>Q2-W01</t>
        </is>
      </c>
      <c r="CH2256" t="inlineStr">
        <is>
          <t>Q2-W01</t>
        </is>
      </c>
      <c r="CI2256"/>
      <c r="CJ2256" t="inlineStr">
        <is>
          <t>Paid</t>
        </is>
      </c>
      <c r="CK2256" t="inlineStr">
        <is>
          <t>Not Eligible</t>
        </is>
      </c>
      <c r="CL2256"/>
      <c r="CM2256"/>
    </row>
    <row r="2257" ht="25.5" customHeight="1">
      <c r="A2257" t="inlineStr">
        <is>
          <t>192126</t>
        </is>
      </c>
      <c r="B2257" s="2"/>
      <c r="C2257"/>
      <c r="D2257" s="3">
        <v>46118.661157407405</v>
      </c>
      <c r="E2257" t="inlineStr">
        <is>
          <t>Q2-W01</t>
        </is>
      </c>
      <c r="F2257" t="inlineStr">
        <is>
          <t>Keegan</t>
        </is>
      </c>
      <c r="G2257" t="inlineStr">
        <is>
          <t>Customer</t>
        </is>
      </c>
      <c r="H2257" s="2" t="str">
        <f>=HYPERLINK("https://upbox.ajobthing.my/customer/192126", "https://upbox.ajobthing.my/customer/192126")</f>
        <v>https://upbox.ajobthing.my/customer/192126</v>
      </c>
      <c r="I2257" t="inlineStr">
        <is>
          <t>Godeco Services Sdn Bhd</t>
        </is>
      </c>
      <c r="J2257" t="inlineStr">
        <is>
          <t>Dolphin</t>
        </is>
      </c>
      <c r="K2257" t="inlineStr">
        <is>
          <t>Keegan</t>
        </is>
      </c>
      <c r="L2257" s="4"/>
      <c r="M2257" s="4">
        <v>46118.66125</v>
      </c>
      <c r="N2257"/>
      <c r="O2257">
        <v>3672</v>
      </c>
      <c r="P2257" s="4"/>
      <c r="Q2257" s="4">
        <v>46126.61997685185</v>
      </c>
      <c r="R2257"/>
      <c r="S2257">
        <v>0</v>
      </c>
      <c r="T2257" s="4">
        <v>45813.43478009259</v>
      </c>
      <c r="U2257" s="4"/>
      <c r="V2257"/>
      <c r="W2257">
        <v>3132</v>
      </c>
      <c r="X2257"/>
      <c r="Y2257" t="inlineStr">
        <is>
          <t>Pending Appointment</t>
        </is>
      </c>
      <c r="Z2257" t="inlineStr">
        <is>
          <t>Hiring Now</t>
        </is>
      </c>
      <c r="AA2257">
        <v>2</v>
      </c>
      <c r="AB2257" t="inlineStr">
        <is>
          <t>No Appointment Made</t>
        </is>
      </c>
      <c r="AC2257"/>
      <c r="AD2257" t="inlineStr">
        <is>
          <t xml:space="preserve">1. Sales 
2. Marketing </t>
        </is>
      </c>
      <c r="AE2257"/>
      <c r="AF2257"/>
      <c r="AG2257" s="4"/>
      <c r="AH2257" s="4"/>
      <c r="AI2257"/>
      <c r="AJ2257">
        <v>1</v>
      </c>
      <c r="AK2257" t="inlineStr">
        <is>
          <t>No, I don't need at all</t>
        </is>
      </c>
      <c r="AL2257">
        <v>0</v>
      </c>
      <c r="AM2257" t="inlineStr">
        <is>
          <t>No, I don't need at all</t>
        </is>
      </c>
      <c r="AN2257"/>
      <c r="AO2257" t="inlineStr">
        <is>
          <t>No, I don't need at all</t>
        </is>
      </c>
      <c r="AP2257" t="inlineStr">
        <is>
          <t>Once per quarter (75%)</t>
        </is>
      </c>
      <c r="AQ2257"/>
      <c r="AR2257" t="inlineStr">
        <is>
          <t>Did not use any job portal</t>
        </is>
      </c>
      <c r="AS2257" t="inlineStr">
        <is>
          <t>- Headcount: 2
- Hiring Job Details: 1. Sales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257">
        <v>75</v>
      </c>
      <c r="AU2257" t="inlineStr">
        <is>
          <t>0.75</t>
        </is>
      </c>
      <c r="AV2257" t="inlineStr">
        <is>
          <t>5</t>
        </is>
      </c>
      <c r="AW2257" t="inlineStr">
        <is>
          <t>0</t>
        </is>
      </c>
      <c r="AX2257" t="inlineStr">
        <is>
          <t>Not Qualified</t>
        </is>
      </c>
      <c r="AY2257" s="4"/>
      <c r="AZ2257"/>
      <c r="BA2257"/>
      <c r="BB2257"/>
      <c r="BC2257" t="inlineStr">
        <is>
          <t>Got 2 but not rush so wait for PIC to let me know when they want to do posting</t>
        </is>
      </c>
      <c r="BD2257" s="4">
        <v>46142.454733796294</v>
      </c>
      <c r="BE2257" t="inlineStr">
        <is>
          <t>paid</t>
        </is>
      </c>
      <c r="BF2257"/>
      <c r="BG2257" t="inlineStr">
        <is>
          <t>Reschedule</t>
        </is>
      </c>
      <c r="BH2257" t="inlineStr">
        <is>
          <t>Edward Hoo</t>
        </is>
      </c>
      <c r="BI2257" t="inlineStr">
        <is>
          <t>Architecture / Interior Design</t>
        </is>
      </c>
      <c r="BJ2257" s="4">
        <v>46144.752546296295</v>
      </c>
      <c r="BK2257" s="4">
        <v>45811.68383101852</v>
      </c>
      <c r="BL2257" t="inlineStr">
        <is>
          <t>3132.0</t>
        </is>
      </c>
      <c r="BM2257" t="inlineStr">
        <is>
          <t>600.0</t>
        </is>
      </c>
      <c r="BN2257" t="inlineStr">
        <is>
          <t>View Company Page</t>
        </is>
      </c>
      <c r="BO2257" s="4">
        <v>46141.41097222222</v>
      </c>
      <c r="BP2257">
        <v>165457</v>
      </c>
      <c r="BQ2257">
        <v>122273</v>
      </c>
      <c r="BR2257" t="inlineStr">
        <is>
          <t>Proforma</t>
        </is>
      </c>
      <c r="BS2257" t="inlineStr">
        <is>
          <t>Free High Pay Job</t>
        </is>
      </c>
      <c r="BT2257">
        <v>79835</v>
      </c>
      <c r="BU2257"/>
      <c r="BV2257">
        <v>2736917</v>
      </c>
      <c r="BW2257" t="inlineStr">
        <is>
          <t>Inquire for Hiring Needs : No Hiring</t>
        </is>
      </c>
      <c r="BX2257">
        <v>6</v>
      </c>
      <c r="BY2257">
        <v>1</v>
      </c>
      <c r="BZ2257" s="4">
        <v>46009.408541666664</v>
      </c>
      <c r="CA2257">
        <v>130</v>
      </c>
      <c r="CB2257">
        <v>16</v>
      </c>
      <c r="CC2257" s="4">
        <v>46125.43199074074</v>
      </c>
      <c r="CD2257" t="inlineStr">
        <is>
          <t>5</t>
        </is>
      </c>
      <c r="CE2257" t="inlineStr">
        <is>
          <t>0</t>
        </is>
      </c>
      <c r="CF2257" t="inlineStr">
        <is>
          <t>Q2-W01</t>
        </is>
      </c>
      <c r="CG2257" t="inlineStr">
        <is>
          <t>Q2-W02</t>
        </is>
      </c>
      <c r="CH2257"/>
      <c r="CI2257"/>
      <c r="CJ2257" t="inlineStr">
        <is>
          <t>Paid</t>
        </is>
      </c>
      <c r="CK2257" t="inlineStr">
        <is>
          <t>Not Eligible</t>
        </is>
      </c>
      <c r="CL2257"/>
      <c r="CM2257"/>
    </row>
    <row r="2258" ht="25.5" customHeight="1">
      <c r="A2258" t="inlineStr">
        <is>
          <t>4252351</t>
        </is>
      </c>
      <c r="B2258" s="2"/>
      <c r="C2258"/>
      <c r="D2258" s="3">
        <v>46118.663935185185</v>
      </c>
      <c r="E2258" t="inlineStr">
        <is>
          <t>Q2-W01</t>
        </is>
      </c>
      <c r="F2258" t="inlineStr">
        <is>
          <t>Carmen</t>
        </is>
      </c>
      <c r="G2258" t="inlineStr">
        <is>
          <t>Lead</t>
        </is>
      </c>
      <c r="H2258" s="2" t="str">
        <f>=HYPERLINK("https://upbox.ajobthing.my/leads/4252351", "https://upbox.ajobthing.my/leads/4252351")</f>
        <v>https://upbox.ajobthing.my/leads/4252351</v>
      </c>
      <c r="I2258" t="inlineStr">
        <is>
          <t>SEPILOK TROPICAL WILDLIFE ADVENTURE SDN BHD</t>
        </is>
      </c>
      <c r="J2258" t="inlineStr">
        <is>
          <t>Dolphin</t>
        </is>
      </c>
      <c r="K2258" t="inlineStr">
        <is>
          <t>Carmen</t>
        </is>
      </c>
      <c r="L2258" s="4"/>
      <c r="M2258" s="4">
        <v>46118.66439814815</v>
      </c>
      <c r="N2258"/>
      <c r="O2258">
        <v>3888</v>
      </c>
      <c r="P2258" s="4"/>
      <c r="Q2258" s="4"/>
      <c r="R2258"/>
      <c r="S2258"/>
      <c r="T2258" s="4"/>
      <c r="U2258" s="4"/>
      <c r="V2258"/>
      <c r="W2258"/>
      <c r="X2258"/>
      <c r="Y2258" t="inlineStr">
        <is>
          <t>Pending Appointment</t>
        </is>
      </c>
      <c r="Z2258" t="inlineStr">
        <is>
          <t>Hiring Now</t>
        </is>
      </c>
      <c r="AA2258">
        <v>1</v>
      </c>
      <c r="AB2258" t="inlineStr">
        <is>
          <t>No Appointment Made</t>
        </is>
      </c>
      <c r="AC2258"/>
      <c r="AD2258" t="inlineStr">
        <is>
          <t>1 operation</t>
        </is>
      </c>
      <c r="AE2258"/>
      <c r="AF2258">
        <v>0</v>
      </c>
      <c r="AG2258" s="4"/>
      <c r="AH2258" s="4"/>
      <c r="AI2258"/>
      <c r="AJ2258"/>
      <c r="AK2258" t="inlineStr">
        <is>
          <t>No, I don't need at all</t>
        </is>
      </c>
      <c r="AL2258"/>
      <c r="AM2258"/>
      <c r="AN2258"/>
      <c r="AO2258"/>
      <c r="AP2258" t="inlineStr">
        <is>
          <t>Once a year (25%)</t>
        </is>
      </c>
      <c r="AQ2258"/>
      <c r="AR2258"/>
      <c r="AS2258" t="inlineStr">
        <is>
          <t>- Headcount: 1
- Hiring Job Details: 1 operation
- Number of outlets: Not available
- Have recruiter team: No, I don't need at all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
- Hiring Urgency: Hiring Now</t>
        </is>
      </c>
      <c r="AT2258">
        <v>75</v>
      </c>
      <c r="AU2258" t="inlineStr">
        <is>
          <t>0.75</t>
        </is>
      </c>
      <c r="AV2258" t="inlineStr">
        <is>
          <t>15</t>
        </is>
      </c>
      <c r="AW2258" t="inlineStr">
        <is>
          <t>0</t>
        </is>
      </c>
      <c r="AX2258" t="inlineStr">
        <is>
          <t>Not Qualified</t>
        </is>
      </c>
      <c r="AY2258" s="4"/>
      <c r="AZ2258"/>
      <c r="BA2258"/>
      <c r="BB2258"/>
      <c r="BC2258"/>
      <c r="BD2258" s="4"/>
      <c r="BE2258"/>
      <c r="BF2258"/>
      <c r="BG2258" t="inlineStr">
        <is>
          <t>Reschedule</t>
        </is>
      </c>
      <c r="BH2258" t="inlineStr">
        <is>
          <t>Reagen</t>
        </is>
      </c>
      <c r="BI2258"/>
      <c r="BJ2258" s="4">
        <v>46144.755740740744</v>
      </c>
      <c r="BK2258" s="4">
        <v>46118.57976851852</v>
      </c>
      <c r="BL2258" t="inlineStr">
        <is>
          <t>0.0</t>
        </is>
      </c>
      <c r="BM2258" t="inlineStr">
        <is>
          <t>0.0</t>
        </is>
      </c>
      <c r="BN2258"/>
      <c r="BO2258" s="4"/>
      <c r="BP2258">
        <v>165460</v>
      </c>
      <c r="BQ2258"/>
      <c r="BR2258"/>
      <c r="BS2258"/>
      <c r="BT2258"/>
      <c r="BU2258"/>
      <c r="BV2258"/>
      <c r="BW2258"/>
      <c r="BX2258"/>
      <c r="BY2258"/>
      <c r="BZ2258" s="4"/>
      <c r="CA2258"/>
      <c r="CB2258"/>
      <c r="CC2258" s="4"/>
      <c r="CD2258" t="inlineStr">
        <is>
          <t>20</t>
        </is>
      </c>
      <c r="CE2258" t="inlineStr">
        <is>
          <t>0</t>
        </is>
      </c>
      <c r="CF2258" t="inlineStr">
        <is>
          <t>Q2-W01</t>
        </is>
      </c>
      <c r="CG2258"/>
      <c r="CH2258"/>
      <c r="CI2258"/>
      <c r="CJ2258" t="inlineStr">
        <is>
          <t>No Paid</t>
        </is>
      </c>
      <c r="CK2258" t="inlineStr">
        <is>
          <t>Not Eligible</t>
        </is>
      </c>
      <c r="CL2258"/>
      <c r="CM2258"/>
    </row>
    <row r="2259" ht="25.5" customHeight="1">
      <c r="A2259" t="inlineStr">
        <is>
          <t>202865</t>
        </is>
      </c>
      <c r="B2259" s="2"/>
      <c r="C2259"/>
      <c r="D2259" s="3">
        <v>46118.682025462964</v>
      </c>
      <c r="E2259" t="inlineStr">
        <is>
          <t>Q2-W01</t>
        </is>
      </c>
      <c r="F2259" t="inlineStr">
        <is>
          <t>Ken Yi</t>
        </is>
      </c>
      <c r="G2259" t="inlineStr">
        <is>
          <t>Customer</t>
        </is>
      </c>
      <c r="H2259" s="2" t="str">
        <f>=HYPERLINK("https://upbox.ajobthing.my/customer/202865", "https://upbox.ajobthing.my/customer/202865")</f>
        <v>https://upbox.ajobthing.my/customer/202865</v>
      </c>
      <c r="I2259" t="inlineStr">
        <is>
          <t>General Labels &amp; Labelling (jb) Sdn Bhd</t>
        </is>
      </c>
      <c r="J2259" t="inlineStr">
        <is>
          <t>Dolphin</t>
        </is>
      </c>
      <c r="K2259" t="inlineStr">
        <is>
          <t>Kenyi</t>
        </is>
      </c>
      <c r="L2259" s="4"/>
      <c r="M2259" s="4">
        <v>46118.68817129629</v>
      </c>
      <c r="N2259"/>
      <c r="O2259">
        <v>11448</v>
      </c>
      <c r="P2259" s="4"/>
      <c r="Q2259" s="4"/>
      <c r="R2259"/>
      <c r="S2259"/>
      <c r="T2259" s="4"/>
      <c r="U2259" s="4"/>
      <c r="V2259"/>
      <c r="W2259"/>
      <c r="X2259"/>
      <c r="Y2259" t="inlineStr">
        <is>
          <t>Pending Appointment</t>
        </is>
      </c>
      <c r="Z2259" t="inlineStr">
        <is>
          <t>Hiring Now</t>
        </is>
      </c>
      <c r="AA2259">
        <v>5</v>
      </c>
      <c r="AB2259" t="inlineStr">
        <is>
          <t>No Appointment Made</t>
        </is>
      </c>
      <c r="AC2259"/>
      <c r="AD2259" t="inlineStr">
        <is>
          <t>5</t>
        </is>
      </c>
      <c r="AE2259"/>
      <c r="AF2259">
        <v>0</v>
      </c>
      <c r="AG2259" s="4"/>
      <c r="AH2259" s="4"/>
      <c r="AI2259">
        <v>0</v>
      </c>
      <c r="AJ2259">
        <v>1</v>
      </c>
      <c r="AK2259" t="inlineStr">
        <is>
          <t>Yes, I have</t>
        </is>
      </c>
      <c r="AL2259">
        <v>1</v>
      </c>
      <c r="AM2259" t="inlineStr">
        <is>
          <t>No, I don't need at all</t>
        </is>
      </c>
      <c r="AN2259"/>
      <c r="AO2259" t="inlineStr">
        <is>
          <t>No, I don't need at all</t>
        </is>
      </c>
      <c r="AP2259" t="inlineStr">
        <is>
          <t>Every month (100%)</t>
        </is>
      </c>
      <c r="AQ2259">
        <v>1</v>
      </c>
      <c r="AR2259" t="inlineStr">
        <is>
          <t>Did not use any job portal</t>
        </is>
      </c>
      <c r="AS2259" t="inlineStr">
        <is>
          <t>- Headcount: 5
- Hiring Job Details: 5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is>
      </c>
      <c r="AT2259">
        <v>65</v>
      </c>
      <c r="AU2259" t="inlineStr">
        <is>
          <t>0.65</t>
        </is>
      </c>
      <c r="AV2259" t="inlineStr">
        <is>
          <t>20</t>
        </is>
      </c>
      <c r="AW2259" t="inlineStr">
        <is>
          <t>0</t>
        </is>
      </c>
      <c r="AX2259" t="inlineStr">
        <is>
          <t>Not Qualified</t>
        </is>
      </c>
      <c r="AY2259" s="4"/>
      <c r="AZ2259"/>
      <c r="BA2259"/>
      <c r="BB2259"/>
      <c r="BC2259" t="inlineStr">
        <is>
          <t>Still deciding and not so soon</t>
        </is>
      </c>
      <c r="BD2259" s="4">
        <v>46135.48956018518</v>
      </c>
      <c r="BE2259"/>
      <c r="BF2259"/>
      <c r="BG2259" t="inlineStr">
        <is>
          <t>Reschedule</t>
        </is>
      </c>
      <c r="BH2259" t="inlineStr">
        <is>
          <t>Fauziah Maharan</t>
        </is>
      </c>
      <c r="BI2259" t="inlineStr">
        <is>
          <t>Manufacturing / Production</t>
        </is>
      </c>
      <c r="BJ2259" s="4">
        <v>46144.75414351852</v>
      </c>
      <c r="BK2259" s="4">
        <v>46118.62746527778</v>
      </c>
      <c r="BL2259" t="inlineStr">
        <is>
          <t>0.0</t>
        </is>
      </c>
      <c r="BM2259" t="inlineStr">
        <is>
          <t>0.0</t>
        </is>
      </c>
      <c r="BN2259" t="inlineStr">
        <is>
          <t>View Jobmanager Page</t>
        </is>
      </c>
      <c r="BO2259" s="4">
        <v>46120.43256944444</v>
      </c>
      <c r="BP2259">
        <v>165478</v>
      </c>
      <c r="BQ2259"/>
      <c r="BR2259"/>
      <c r="BS2259"/>
      <c r="BT2259"/>
      <c r="BU2259"/>
      <c r="BV2259">
        <v>2722934</v>
      </c>
      <c r="BW2259" t="inlineStr">
        <is>
          <t>Follow Up : Decision Pending</t>
        </is>
      </c>
      <c r="BX2259"/>
      <c r="BY2259"/>
      <c r="BZ2259" s="4"/>
      <c r="CA2259"/>
      <c r="CB2259"/>
      <c r="CC2259" s="4"/>
      <c r="CD2259" t="inlineStr">
        <is>
          <t>30</t>
        </is>
      </c>
      <c r="CE2259" t="inlineStr">
        <is>
          <t>0</t>
        </is>
      </c>
      <c r="CF2259" t="inlineStr">
        <is>
          <t>Q2-W01</t>
        </is>
      </c>
      <c r="CG2259"/>
      <c r="CH2259"/>
      <c r="CI2259"/>
      <c r="CJ2259" t="inlineStr">
        <is>
          <t>No Paid</t>
        </is>
      </c>
      <c r="CK2259" t="inlineStr">
        <is>
          <t>Not Eligible</t>
        </is>
      </c>
      <c r="CL2259"/>
      <c r="CM2259"/>
    </row>
    <row r="2260" ht="25.5" customHeight="1">
      <c r="A2260" t="inlineStr">
        <is>
          <t>40667</t>
        </is>
      </c>
      <c r="B2260" s="2"/>
      <c r="C2260"/>
      <c r="D2260" s="3">
        <v>46118.68515046296</v>
      </c>
      <c r="E2260" t="inlineStr">
        <is>
          <t>Q2-W01</t>
        </is>
      </c>
      <c r="F2260" t="inlineStr">
        <is>
          <t>Evan</t>
        </is>
      </c>
      <c r="G2260" t="inlineStr">
        <is>
          <t>Customer</t>
        </is>
      </c>
      <c r="H2260" s="2" t="str">
        <f>=HYPERLINK("https://upbox.ajobthing.my/customer/40667", "https://upbox.ajobthing.my/customer/40667")</f>
        <v>https://upbox.ajobthing.my/customer/40667</v>
      </c>
      <c r="I2260" t="inlineStr">
        <is>
          <t>Mygift Universal Sdn Bhd</t>
        </is>
      </c>
      <c r="J2260" t="inlineStr">
        <is>
          <t>Dolphin</t>
        </is>
      </c>
      <c r="K2260" t="inlineStr">
        <is>
          <t>Evan</t>
        </is>
      </c>
      <c r="L2260" s="4"/>
      <c r="M2260" s="4">
        <v>46118.682291666664</v>
      </c>
      <c r="N2260"/>
      <c r="O2260">
        <v>3888</v>
      </c>
      <c r="P2260" s="4"/>
      <c r="Q2260" s="4"/>
      <c r="R2260"/>
      <c r="S2260"/>
      <c r="T2260" s="4"/>
      <c r="U2260" s="4"/>
      <c r="V2260"/>
      <c r="W2260"/>
      <c r="X2260"/>
      <c r="Y2260" t="inlineStr">
        <is>
          <t>Pending Appointment</t>
        </is>
      </c>
      <c r="Z2260" t="inlineStr">
        <is>
          <t>Hiring Now</t>
        </is>
      </c>
      <c r="AA2260">
        <v>1</v>
      </c>
      <c r="AB2260" t="inlineStr">
        <is>
          <t>No Appointment Made</t>
        </is>
      </c>
      <c r="AC2260"/>
      <c r="AD2260" t="inlineStr">
        <is>
          <t>1 admin, all base in KL</t>
        </is>
      </c>
      <c r="AE2260"/>
      <c r="AF2260">
        <v>1</v>
      </c>
      <c r="AG2260" s="4"/>
      <c r="AH2260" s="4"/>
      <c r="AI2260">
        <v>1</v>
      </c>
      <c r="AJ2260">
        <v>5</v>
      </c>
      <c r="AK2260" t="inlineStr">
        <is>
          <t>No, I don't need at all</t>
        </is>
      </c>
      <c r="AL2260">
        <v>1</v>
      </c>
      <c r="AM2260" t="inlineStr">
        <is>
          <t>No, I don't need at all</t>
        </is>
      </c>
      <c r="AN2260"/>
      <c r="AO2260" t="inlineStr">
        <is>
          <t>No, I don't need at all</t>
        </is>
      </c>
      <c r="AP2260" t="inlineStr">
        <is>
          <t>Once a year (25%)</t>
        </is>
      </c>
      <c r="AQ2260">
        <v>1</v>
      </c>
      <c r="AR2260" t="inlineStr">
        <is>
          <t>Jobstreet</t>
        </is>
      </c>
      <c r="AS2260" t="inlineStr">
        <is>
          <t>- Headcount: 1
- Hiring Job Details: 1 admin, all base in KL
- Hiring Urgency: Hiring Now
- Number of outlets: 5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Jobstreet</t>
        </is>
      </c>
      <c r="AT2260">
        <v>115</v>
      </c>
      <c r="AU2260" t="inlineStr">
        <is>
          <t>1.15</t>
        </is>
      </c>
      <c r="AV2260" t="inlineStr">
        <is>
          <t>15</t>
        </is>
      </c>
      <c r="AW2260" t="inlineStr">
        <is>
          <t>0</t>
        </is>
      </c>
      <c r="AX2260" t="inlineStr">
        <is>
          <t>Not Qualified</t>
        </is>
      </c>
      <c r="AY2260" s="4"/>
      <c r="AZ2260"/>
      <c r="BA2260"/>
      <c r="BB2260"/>
      <c r="BC2260" t="inlineStr">
        <is>
          <t>at hr</t>
        </is>
      </c>
      <c r="BD2260" s="4">
        <v>46126.49980324074</v>
      </c>
      <c r="BE2260"/>
      <c r="BF2260"/>
      <c r="BG2260" t="inlineStr">
        <is>
          <t>Reschedule</t>
        </is>
      </c>
      <c r="BH2260" t="inlineStr">
        <is>
          <t>Edward Hoo</t>
        </is>
      </c>
      <c r="BI2260" t="inlineStr">
        <is>
          <t>Apparel</t>
        </is>
      </c>
      <c r="BJ2260" s="4">
        <v>46144.75530092593</v>
      </c>
      <c r="BK2260" s="4">
        <v>42959.70648148148</v>
      </c>
      <c r="BL2260" t="inlineStr">
        <is>
          <t>0.0</t>
        </is>
      </c>
      <c r="BM2260" t="inlineStr">
        <is>
          <t>3600.0</t>
        </is>
      </c>
      <c r="BN2260" t="inlineStr">
        <is>
          <t>View Company Page</t>
        </is>
      </c>
      <c r="BO2260" s="4">
        <v>46116.5087037037</v>
      </c>
      <c r="BP2260">
        <v>165474</v>
      </c>
      <c r="BQ2260"/>
      <c r="BR2260"/>
      <c r="BS2260"/>
      <c r="BT2260"/>
      <c r="BU2260"/>
      <c r="BV2260">
        <v>2703204</v>
      </c>
      <c r="BW2260" t="inlineStr">
        <is>
          <t>Follow Up : Decision Pending</t>
        </is>
      </c>
      <c r="BX2260"/>
      <c r="BY2260"/>
      <c r="BZ2260" s="4"/>
      <c r="CA2260"/>
      <c r="CB2260"/>
      <c r="CC2260" s="4"/>
      <c r="CD2260" t="inlineStr">
        <is>
          <t>20</t>
        </is>
      </c>
      <c r="CE2260" t="inlineStr">
        <is>
          <t>0</t>
        </is>
      </c>
      <c r="CF2260" t="inlineStr">
        <is>
          <t>Q2-W01</t>
        </is>
      </c>
      <c r="CG2260"/>
      <c r="CH2260"/>
      <c r="CI2260"/>
      <c r="CJ2260" t="inlineStr">
        <is>
          <t>No Paid</t>
        </is>
      </c>
      <c r="CK2260" t="inlineStr">
        <is>
          <t>Not Eligible</t>
        </is>
      </c>
      <c r="CL2260"/>
      <c r="CM2260"/>
    </row>
    <row r="2261" ht="25.5" customHeight="1">
      <c r="A2261" t="inlineStr">
        <is>
          <t>4167266</t>
        </is>
      </c>
      <c r="B2261" s="2"/>
      <c r="C2261"/>
      <c r="D2261" s="3">
        <v>46118.685520833336</v>
      </c>
      <c r="E2261" t="inlineStr">
        <is>
          <t>Q2-W01</t>
        </is>
      </c>
      <c r="F2261" t="inlineStr">
        <is>
          <t>Yuli</t>
        </is>
      </c>
      <c r="G2261" t="inlineStr">
        <is>
          <t>Lead</t>
        </is>
      </c>
      <c r="H2261" s="2" t="str">
        <f>=HYPERLINK("https://upbox.ajobthing.my/leads/4167266", "https://upbox.ajobthing.my/leads/4167266")</f>
        <v>https://upbox.ajobthing.my/leads/4167266</v>
      </c>
      <c r="I2261" t="inlineStr">
        <is>
          <t>ST ROSYAM MART SDN BHD</t>
        </is>
      </c>
      <c r="J2261" t="inlineStr">
        <is>
          <t>Dolphin</t>
        </is>
      </c>
      <c r="K2261" t="inlineStr">
        <is>
          <t>YuLi</t>
        </is>
      </c>
      <c r="L2261" s="4"/>
      <c r="M2261" s="4">
        <v>46118.67</v>
      </c>
      <c r="N2261"/>
      <c r="O2261">
        <v>10800</v>
      </c>
      <c r="P2261" s="4"/>
      <c r="Q2261" s="4"/>
      <c r="R2261"/>
      <c r="S2261"/>
      <c r="T2261" s="4"/>
      <c r="U2261" s="4"/>
      <c r="V2261"/>
      <c r="W2261"/>
      <c r="X2261"/>
      <c r="Y2261" t="inlineStr">
        <is>
          <t>Pending Appointment</t>
        </is>
      </c>
      <c r="Z2261" t="inlineStr">
        <is>
          <t>Hiring Now</t>
        </is>
      </c>
      <c r="AA2261">
        <v>4</v>
      </c>
      <c r="AB2261" t="inlineStr">
        <is>
          <t>No Appointment Made</t>
        </is>
      </c>
      <c r="AC2261"/>
      <c r="AD2261" t="inlineStr">
        <is>
          <t>Store supervisor. cashier, retail sales, shipping assistant, nationwide</t>
        </is>
      </c>
      <c r="AE2261"/>
      <c r="AF2261">
        <v>10000</v>
      </c>
      <c r="AG2261" s="4"/>
      <c r="AH2261" s="4"/>
      <c r="AI2261"/>
      <c r="AJ2261"/>
      <c r="AK2261"/>
      <c r="AL2261"/>
      <c r="AM2261"/>
      <c r="AN2261"/>
      <c r="AO2261"/>
      <c r="AP2261" t="inlineStr">
        <is>
          <t>Every month (100%)</t>
        </is>
      </c>
      <c r="AQ2261"/>
      <c r="AR2261" t="inlineStr">
        <is>
          <t>Jobstreet, Indeed (Paid)</t>
        </is>
      </c>
      <c r="AS2261" t="inlineStr">
        <is>
          <t>- Headcount: 4
- Hiring Job Details: Store supervisor, cashier, retail sales, shipping assistant, nationwide
- Hiring Urgency: Hiring Now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Every month (100%)
- External job portal: Jobstreet, Indeed (Paid)</t>
        </is>
      </c>
      <c r="AT2261">
        <v>45</v>
      </c>
      <c r="AU2261" t="inlineStr">
        <is>
          <t>0.45</t>
        </is>
      </c>
      <c r="AV2261" t="inlineStr">
        <is>
          <t>15</t>
        </is>
      </c>
      <c r="AW2261" t="inlineStr">
        <is>
          <t>0</t>
        </is>
      </c>
      <c r="AX2261" t="inlineStr">
        <is>
          <t>Not Qualified</t>
        </is>
      </c>
      <c r="AY2261" s="4"/>
      <c r="AZ2261"/>
      <c r="BA2261"/>
      <c r="BB2261"/>
      <c r="BC2261"/>
      <c r="BD2261" s="4"/>
      <c r="BE2261"/>
      <c r="BF2261"/>
      <c r="BG2261" t="inlineStr">
        <is>
          <t>Reschedule</t>
        </is>
      </c>
      <c r="BH2261" t="inlineStr">
        <is>
          <t>Fauziah Maharan</t>
        </is>
      </c>
      <c r="BI2261"/>
      <c r="BJ2261" s="4">
        <v>46144.75555555556</v>
      </c>
      <c r="BK2261" s="4">
        <v>46097.43398148148</v>
      </c>
      <c r="BL2261" t="inlineStr">
        <is>
          <t>2916.0</t>
        </is>
      </c>
      <c r="BM2261" t="inlineStr">
        <is>
          <t>0.0</t>
        </is>
      </c>
      <c r="BN2261"/>
      <c r="BO2261" s="4"/>
      <c r="BP2261">
        <v>165462</v>
      </c>
      <c r="BQ2261"/>
      <c r="BR2261"/>
      <c r="BS2261"/>
      <c r="BT2261"/>
      <c r="BU2261"/>
      <c r="BV2261"/>
      <c r="BW2261"/>
      <c r="BX2261"/>
      <c r="BY2261"/>
      <c r="BZ2261" s="4"/>
      <c r="CA2261"/>
      <c r="CB2261"/>
      <c r="CC2261" s="4"/>
      <c r="CD2261" t="inlineStr">
        <is>
          <t>20</t>
        </is>
      </c>
      <c r="CE2261" t="inlineStr">
        <is>
          <t>0</t>
        </is>
      </c>
      <c r="CF2261" t="inlineStr">
        <is>
          <t>Q2-W01</t>
        </is>
      </c>
      <c r="CG2261"/>
      <c r="CH2261"/>
      <c r="CI2261"/>
      <c r="CJ2261" t="inlineStr">
        <is>
          <t>No Paid</t>
        </is>
      </c>
      <c r="CK2261" t="inlineStr">
        <is>
          <t>Not Eligible</t>
        </is>
      </c>
      <c r="CL2261"/>
      <c r="CM2261"/>
    </row>
    <row r="2262" ht="25.5" customHeight="1">
      <c r="A2262" t="inlineStr">
        <is>
          <t>11171</t>
        </is>
      </c>
      <c r="B2262" s="2"/>
      <c r="C2262"/>
      <c r="D2262" s="3">
        <v>46118.69354166667</v>
      </c>
      <c r="E2262" t="inlineStr">
        <is>
          <t>Q2-W01</t>
        </is>
      </c>
      <c r="F2262" t="inlineStr">
        <is>
          <t>Janice Yap</t>
        </is>
      </c>
      <c r="G2262" t="inlineStr">
        <is>
          <t>Customer</t>
        </is>
      </c>
      <c r="H2262" s="2" t="str">
        <f>=HYPERLINK("https://upbox.ajobthing.my/customer/11171", "https://upbox.ajobthing.my/customer/11171")</f>
        <v>https://upbox.ajobthing.my/customer/11171</v>
      </c>
      <c r="I2262" t="inlineStr">
        <is>
          <t>Parksern Marketing Sdn Bhd</t>
        </is>
      </c>
      <c r="J2262" t="inlineStr">
        <is>
          <t>Dolphin</t>
        </is>
      </c>
      <c r="K2262" t="inlineStr">
        <is>
          <t>Janice</t>
        </is>
      </c>
      <c r="L2262" s="4"/>
      <c r="M2262" s="4">
        <v>46118.6821412037</v>
      </c>
      <c r="N2262"/>
      <c r="O2262">
        <v>3672</v>
      </c>
      <c r="P2262" s="4"/>
      <c r="Q2262" s="4">
        <v>46118.58467592593</v>
      </c>
      <c r="R2262"/>
      <c r="S2262">
        <v>0</v>
      </c>
      <c r="T2262" s="4"/>
      <c r="U2262" s="4"/>
      <c r="V2262"/>
      <c r="W2262"/>
      <c r="X2262"/>
      <c r="Y2262" t="inlineStr">
        <is>
          <t>Pending Appointment</t>
        </is>
      </c>
      <c r="Z2262" t="inlineStr">
        <is>
          <t>Hiring Now</t>
        </is>
      </c>
      <c r="AA2262">
        <v>1</v>
      </c>
      <c r="AB2262" t="inlineStr">
        <is>
          <t>No Appointment Made</t>
        </is>
      </c>
      <c r="AC2262"/>
      <c r="AD2262" t="inlineStr">
        <is>
          <t>1 admin</t>
        </is>
      </c>
      <c r="AE2262"/>
      <c r="AF2262">
        <v>0</v>
      </c>
      <c r="AG2262" s="4"/>
      <c r="AH2262" s="4"/>
      <c r="AI2262">
        <v>0</v>
      </c>
      <c r="AJ2262"/>
      <c r="AK2262" t="inlineStr">
        <is>
          <t>No, I don't need at all</t>
        </is>
      </c>
      <c r="AL2262">
        <v>0</v>
      </c>
      <c r="AM2262" t="inlineStr">
        <is>
          <t>No, I don't need at all</t>
        </is>
      </c>
      <c r="AN2262"/>
      <c r="AO2262" t="inlineStr">
        <is>
          <t>No, I don't need at all</t>
        </is>
      </c>
      <c r="AP2262" t="inlineStr">
        <is>
          <t>Once a year (25%)</t>
        </is>
      </c>
      <c r="AQ2262">
        <v>1</v>
      </c>
      <c r="AR2262" t="inlineStr">
        <is>
          <t>Did not use any job portal</t>
        </is>
      </c>
      <c r="AS2262"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2262">
        <v>100</v>
      </c>
      <c r="AU2262" t="inlineStr">
        <is>
          <t>1.00</t>
        </is>
      </c>
      <c r="AV2262" t="inlineStr">
        <is>
          <t>15</t>
        </is>
      </c>
      <c r="AW2262" t="inlineStr">
        <is>
          <t>0</t>
        </is>
      </c>
      <c r="AX2262" t="inlineStr">
        <is>
          <t>Not Qualified</t>
        </is>
      </c>
      <c r="AY2262" s="4"/>
      <c r="AZ2262"/>
      <c r="BA2262"/>
      <c r="BB2262"/>
      <c r="BC2262" t="inlineStr">
        <is>
          <t>Mentioned don't want post job atm // no need no need</t>
        </is>
      </c>
      <c r="BD2262" s="4">
        <v>46134.40975694444</v>
      </c>
      <c r="BE2262" t="inlineStr">
        <is>
          <t>paid</t>
        </is>
      </c>
      <c r="BF2262"/>
      <c r="BG2262" t="inlineStr">
        <is>
          <t>Reschedule</t>
        </is>
      </c>
      <c r="BH2262" t="inlineStr">
        <is>
          <t>Yee Hang</t>
        </is>
      </c>
      <c r="BI2262" t="inlineStr">
        <is>
          <t>Printing / Publishing</t>
        </is>
      </c>
      <c r="BJ2262" s="4">
        <v>46144.750127314815</v>
      </c>
      <c r="BK2262" s="4">
        <v>42478.856516203705</v>
      </c>
      <c r="BL2262" t="inlineStr">
        <is>
          <t>0.0</t>
        </is>
      </c>
      <c r="BM2262" t="inlineStr">
        <is>
          <t>1200.0</t>
        </is>
      </c>
      <c r="BN2262"/>
      <c r="BO2262" s="4"/>
      <c r="BP2262">
        <v>165473</v>
      </c>
      <c r="BQ2262">
        <v>120166</v>
      </c>
      <c r="BR2262" t="inlineStr">
        <is>
          <t>Proforma</t>
        </is>
      </c>
      <c r="BS2262" t="inlineStr">
        <is>
          <t>Free Part-Time Job</t>
        </is>
      </c>
      <c r="BT2262"/>
      <c r="BU2262"/>
      <c r="BV2262">
        <v>2719480</v>
      </c>
      <c r="BW2262" t="inlineStr">
        <is>
          <t>Follow Up : Lost - Free Portal</t>
        </is>
      </c>
      <c r="BX2262"/>
      <c r="BY2262"/>
      <c r="BZ2262" s="4"/>
      <c r="CA2262"/>
      <c r="CB2262"/>
      <c r="CC2262" s="4"/>
      <c r="CD2262" t="inlineStr">
        <is>
          <t>20</t>
        </is>
      </c>
      <c r="CE2262" t="inlineStr">
        <is>
          <t>0</t>
        </is>
      </c>
      <c r="CF2262" t="inlineStr">
        <is>
          <t>Q2-W01</t>
        </is>
      </c>
      <c r="CG2262" t="inlineStr">
        <is>
          <t>Q2-W01</t>
        </is>
      </c>
      <c r="CH2262"/>
      <c r="CI2262"/>
      <c r="CJ2262" t="inlineStr">
        <is>
          <t>No Paid</t>
        </is>
      </c>
      <c r="CK2262" t="inlineStr">
        <is>
          <t>Not Eligible</t>
        </is>
      </c>
      <c r="CL2262"/>
      <c r="CM2262"/>
    </row>
    <row r="2263" ht="25.5" customHeight="1">
      <c r="A2263" t="inlineStr">
        <is>
          <t>163768</t>
        </is>
      </c>
      <c r="B2263" s="2"/>
      <c r="C2263"/>
      <c r="D2263" s="3">
        <v>46118.69417824074</v>
      </c>
      <c r="E2263" t="inlineStr">
        <is>
          <t>Q2-W01</t>
        </is>
      </c>
      <c r="F2263" t="inlineStr">
        <is>
          <t>Jia Hui</t>
        </is>
      </c>
      <c r="G2263" t="inlineStr">
        <is>
          <t>Customer</t>
        </is>
      </c>
      <c r="H2263" s="2" t="str">
        <f>=HYPERLINK("https://upbox.ajobthing.my/customer/163768", "https://upbox.ajobthing.my/customer/163768")</f>
        <v>https://upbox.ajobthing.my/customer/163768</v>
      </c>
      <c r="I2263" t="inlineStr">
        <is>
          <t>Radin Afendy Akmal</t>
        </is>
      </c>
      <c r="J2263" t="inlineStr">
        <is>
          <t>Dolphin</t>
        </is>
      </c>
      <c r="K2263" t="inlineStr">
        <is>
          <t>Jia Hui</t>
        </is>
      </c>
      <c r="L2263" s="4"/>
      <c r="M2263" s="4">
        <v>46133.639398148145</v>
      </c>
      <c r="N2263"/>
      <c r="O2263">
        <v>3888</v>
      </c>
      <c r="P2263" s="4"/>
      <c r="Q2263" s="4">
        <v>45215.71475694444</v>
      </c>
      <c r="R2263"/>
      <c r="S2263">
        <v>2374.4</v>
      </c>
      <c r="T2263" s="4">
        <v>45215.71475694444</v>
      </c>
      <c r="U2263" s="4"/>
      <c r="V2263"/>
      <c r="W2263">
        <v>2374.4</v>
      </c>
      <c r="X2263"/>
      <c r="Y2263" t="inlineStr">
        <is>
          <t>Pending Appointment</t>
        </is>
      </c>
      <c r="Z2263" t="inlineStr">
        <is>
          <t>Hiring Now</t>
        </is>
      </c>
      <c r="AA2263">
        <v>20</v>
      </c>
      <c r="AB2263" t="inlineStr">
        <is>
          <t>No Appointment Made</t>
        </is>
      </c>
      <c r="AC2263"/>
      <c r="AD2263" t="inlineStr">
        <is>
          <t>20 insurance agents</t>
        </is>
      </c>
      <c r="AE2263"/>
      <c r="AF2263">
        <v>1000</v>
      </c>
      <c r="AG2263" s="4"/>
      <c r="AH2263" s="4"/>
      <c r="AI2263"/>
      <c r="AJ2263"/>
      <c r="AK2263" t="inlineStr">
        <is>
          <t>No, but I want in future</t>
        </is>
      </c>
      <c r="AL2263"/>
      <c r="AM2263"/>
      <c r="AN2263"/>
      <c r="AO2263"/>
      <c r="AP2263" t="inlineStr">
        <is>
          <t>Once per quarter (75%)</t>
        </is>
      </c>
      <c r="AQ2263"/>
      <c r="AR2263"/>
      <c r="AS2263" t="inlineStr">
        <is>
          <t>- Headcount: Not provided
- Hiring Job Details: 20 insurance agents
- Hiring Urgency: Hiring Now
- Number of outlets: Not provided
- Have recruiter team: No, but I want in future
- Number of recruiter in company: Not provided
- Have ATS system: Not provided
- Have career website: Not provided
- Current hiring budget: RM1,000.00
- Whole year budget: Not provided
- Whole year number of vacancies: Not provided
- Hiring frequency: Once per quarter (75%)
- External job portal: Not provided</t>
        </is>
      </c>
      <c r="AT2263">
        <v>75</v>
      </c>
      <c r="AU2263" t="inlineStr">
        <is>
          <t>0.75</t>
        </is>
      </c>
      <c r="AV2263" t="inlineStr">
        <is>
          <t>25</t>
        </is>
      </c>
      <c r="AW2263" t="inlineStr">
        <is>
          <t>0</t>
        </is>
      </c>
      <c r="AX2263" t="inlineStr">
        <is>
          <t>Not Qualified</t>
        </is>
      </c>
      <c r="AY2263" s="4"/>
      <c r="AZ2263"/>
      <c r="BA2263"/>
      <c r="BB2263"/>
      <c r="BC2263" t="inlineStr">
        <is>
          <t>no ans, no respond</t>
        </is>
      </c>
      <c r="BD2263" s="4">
        <v>46136.49181712963</v>
      </c>
      <c r="BE2263" t="inlineStr">
        <is>
          <t>paid</t>
        </is>
      </c>
      <c r="BF2263"/>
      <c r="BG2263" t="inlineStr">
        <is>
          <t>Reschedule</t>
        </is>
      </c>
      <c r="BH2263" t="inlineStr">
        <is>
          <t>Reagen</t>
        </is>
      </c>
      <c r="BI2263" t="inlineStr">
        <is>
          <t>Insurance</t>
        </is>
      </c>
      <c r="BJ2263" s="4">
        <v>46144.7512037037</v>
      </c>
      <c r="BK2263" s="4">
        <v>44943.645891203705</v>
      </c>
      <c r="BL2263" t="inlineStr">
        <is>
          <t>0.0</t>
        </is>
      </c>
      <c r="BM2263" t="inlineStr">
        <is>
          <t>0.0</t>
        </is>
      </c>
      <c r="BN2263" t="inlineStr">
        <is>
          <t>View Company Page</t>
        </is>
      </c>
      <c r="BO2263" s="4">
        <v>46035.52854166667</v>
      </c>
      <c r="BP2263">
        <v>168073</v>
      </c>
      <c r="BQ2263">
        <v>62999</v>
      </c>
      <c r="BR2263" t="inlineStr">
        <is>
          <t>Online</t>
        </is>
      </c>
      <c r="BS2263"/>
      <c r="BT2263">
        <v>62999</v>
      </c>
      <c r="BU2263"/>
      <c r="BV2263">
        <v>2725970</v>
      </c>
      <c r="BW2263" t="inlineStr">
        <is>
          <t>No Answer : Voicemail - WA sent to customer</t>
        </is>
      </c>
      <c r="BX2263"/>
      <c r="BY2263"/>
      <c r="BZ2263" s="4"/>
      <c r="CA2263"/>
      <c r="CB2263"/>
      <c r="CC2263" s="4"/>
      <c r="CD2263" t="inlineStr">
        <is>
          <t>35</t>
        </is>
      </c>
      <c r="CE2263" t="inlineStr">
        <is>
          <t>0</t>
        </is>
      </c>
      <c r="CF2263" t="inlineStr">
        <is>
          <t>Q2-W03</t>
        </is>
      </c>
      <c r="CG2263"/>
      <c r="CH2263"/>
      <c r="CI2263"/>
      <c r="CJ2263" t="inlineStr">
        <is>
          <t>Paid</t>
        </is>
      </c>
      <c r="CK2263" t="inlineStr">
        <is>
          <t>Eligible</t>
        </is>
      </c>
      <c r="CL2263"/>
      <c r="CM2263"/>
    </row>
    <row r="2264" ht="25.5" customHeight="1">
      <c r="A2264" t="inlineStr">
        <is>
          <t>47727</t>
        </is>
      </c>
      <c r="B2264" s="2"/>
      <c r="C2264"/>
      <c r="D2264" s="3">
        <v>46118.69432870371</v>
      </c>
      <c r="E2264" t="inlineStr">
        <is>
          <t>Q2-W01</t>
        </is>
      </c>
      <c r="F2264" t="inlineStr">
        <is>
          <t>Chia Yee</t>
        </is>
      </c>
      <c r="G2264" t="inlineStr">
        <is>
          <t>Customer</t>
        </is>
      </c>
      <c r="H2264" s="2" t="str">
        <f>=HYPERLINK("https://upbox.ajobthing.my/customer/47727", "https://upbox.ajobthing.my/customer/47727")</f>
        <v>https://upbox.ajobthing.my/customer/47727</v>
      </c>
      <c r="I2264" t="inlineStr">
        <is>
          <t>Perunding PAC Sdn Bhd</t>
        </is>
      </c>
      <c r="J2264" t="inlineStr">
        <is>
          <t>Dolphin</t>
        </is>
      </c>
      <c r="K2264" t="inlineStr">
        <is>
          <t>Chia Yee</t>
        </is>
      </c>
      <c r="L2264" s="4"/>
      <c r="M2264" s="4">
        <v>46118.6944212963</v>
      </c>
      <c r="N2264"/>
      <c r="O2264">
        <v>3888</v>
      </c>
      <c r="P2264" s="4"/>
      <c r="Q2264" s="4">
        <v>46120.42261574074</v>
      </c>
      <c r="R2264"/>
      <c r="S2264">
        <v>0</v>
      </c>
      <c r="T2264" s="4">
        <v>46119.751435185186</v>
      </c>
      <c r="U2264" s="4"/>
      <c r="V2264"/>
      <c r="W2264">
        <v>1296</v>
      </c>
      <c r="X2264"/>
      <c r="Y2264" t="inlineStr">
        <is>
          <t>Pending Appointment</t>
        </is>
      </c>
      <c r="Z2264" t="inlineStr">
        <is>
          <t>Hiring Now</t>
        </is>
      </c>
      <c r="AA2264">
        <v>1</v>
      </c>
      <c r="AB2264" t="inlineStr">
        <is>
          <t>No Appointment Made</t>
        </is>
      </c>
      <c r="AC2264"/>
      <c r="AD2264" t="inlineStr">
        <is>
          <t xml:space="preserve">2 Bin Moduler </t>
        </is>
      </c>
      <c r="AE2264"/>
      <c r="AF2264">
        <v>0</v>
      </c>
      <c r="AG2264" s="4"/>
      <c r="AH2264" s="4"/>
      <c r="AI2264">
        <v>0</v>
      </c>
      <c r="AJ2264">
        <v>0</v>
      </c>
      <c r="AK2264" t="inlineStr">
        <is>
          <t>No, I don't need at all</t>
        </is>
      </c>
      <c r="AL2264">
        <v>1</v>
      </c>
      <c r="AM2264" t="inlineStr">
        <is>
          <t>No, I don't need at all</t>
        </is>
      </c>
      <c r="AN2264"/>
      <c r="AO2264" t="inlineStr">
        <is>
          <t>No, I don't need at all</t>
        </is>
      </c>
      <c r="AP2264" t="inlineStr">
        <is>
          <t>Once a year (25%)</t>
        </is>
      </c>
      <c r="AQ2264">
        <v>2</v>
      </c>
      <c r="AR2264" t="inlineStr">
        <is>
          <t>Did not use any job portal</t>
        </is>
      </c>
      <c r="AS2264" t="inlineStr">
        <is>
          <t>- Headcount: 1
- Hiring Job Details: 2 Bin Moduler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2264">
        <v>85</v>
      </c>
      <c r="AU2264" t="inlineStr">
        <is>
          <t>0.85</t>
        </is>
      </c>
      <c r="AV2264" t="inlineStr">
        <is>
          <t>15</t>
        </is>
      </c>
      <c r="AW2264" t="inlineStr">
        <is>
          <t>0</t>
        </is>
      </c>
      <c r="AX2264" t="inlineStr">
        <is>
          <t>Not Qualified</t>
        </is>
      </c>
      <c r="AY2264" s="4"/>
      <c r="AZ2264"/>
      <c r="BA2264"/>
      <c r="BB2264"/>
      <c r="BC2264" t="inlineStr">
        <is>
          <t>Called, no ans. bump up and raise complaint</t>
        </is>
      </c>
      <c r="BD2264" s="4">
        <v>46135.45138888889</v>
      </c>
      <c r="BE2264" t="inlineStr">
        <is>
          <t>paid</t>
        </is>
      </c>
      <c r="BF2264" t="inlineStr">
        <is>
          <t>Q2-W01</t>
        </is>
      </c>
      <c r="BG2264" t="inlineStr">
        <is>
          <t>Reschedule</t>
        </is>
      </c>
      <c r="BH2264" t="inlineStr">
        <is>
          <t>Reagen</t>
        </is>
      </c>
      <c r="BI2264" t="inlineStr">
        <is>
          <t>Engineering / Technical Consulting</t>
        </is>
      </c>
      <c r="BJ2264" s="4">
        <v>46144.756006944444</v>
      </c>
      <c r="BK2264" s="4">
        <v>43199.61950231482</v>
      </c>
      <c r="BL2264" t="inlineStr">
        <is>
          <t>2160.0</t>
        </is>
      </c>
      <c r="BM2264" t="inlineStr">
        <is>
          <t>0.0</t>
        </is>
      </c>
      <c r="BN2264" t="inlineStr">
        <is>
          <t>User Login</t>
        </is>
      </c>
      <c r="BO2264" s="4">
        <v>46139.41599537037</v>
      </c>
      <c r="BP2264">
        <v>165483</v>
      </c>
      <c r="BQ2264">
        <v>120743</v>
      </c>
      <c r="BR2264" t="inlineStr">
        <is>
          <t>Proforma</t>
        </is>
      </c>
      <c r="BS2264" t="inlineStr">
        <is>
          <t>Free Part-Time Job</t>
        </is>
      </c>
      <c r="BT2264">
        <v>91781</v>
      </c>
      <c r="BU2264"/>
      <c r="BV2264">
        <v>2722602</v>
      </c>
      <c r="BW2264" t="inlineStr">
        <is>
          <t>No Answer : Voicemail - WA sent to customer</t>
        </is>
      </c>
      <c r="BX2264">
        <v>1</v>
      </c>
      <c r="BY2264">
        <v>0</v>
      </c>
      <c r="BZ2264" s="4">
        <v>46120.44840277778</v>
      </c>
      <c r="CA2264">
        <v>23</v>
      </c>
      <c r="CB2264">
        <v>17</v>
      </c>
      <c r="CC2264" s="4">
        <v>46126.36814814815</v>
      </c>
      <c r="CD2264" t="inlineStr">
        <is>
          <t>20</t>
        </is>
      </c>
      <c r="CE2264" t="inlineStr">
        <is>
          <t>0</t>
        </is>
      </c>
      <c r="CF2264" t="inlineStr">
        <is>
          <t>Q2-W01</t>
        </is>
      </c>
      <c r="CG2264" t="inlineStr">
        <is>
          <t>Q2-W01</t>
        </is>
      </c>
      <c r="CH2264" t="inlineStr">
        <is>
          <t>Q2-W01</t>
        </is>
      </c>
      <c r="CI2264"/>
      <c r="CJ2264" t="inlineStr">
        <is>
          <t>Paid</t>
        </is>
      </c>
      <c r="CK2264" t="inlineStr">
        <is>
          <t>Not Eligible</t>
        </is>
      </c>
      <c r="CL2264"/>
      <c r="CM2264"/>
    </row>
    <row r="2265" ht="25.5" customHeight="1">
      <c r="A2265" t="inlineStr">
        <is>
          <t>191475</t>
        </is>
      </c>
      <c r="B2265" s="2"/>
      <c r="C2265"/>
      <c r="D2265" s="3">
        <v>46118.69457175926</v>
      </c>
      <c r="E2265" t="inlineStr">
        <is>
          <t>Q2-W01</t>
        </is>
      </c>
      <c r="F2265" t="inlineStr">
        <is>
          <t>Angel  Low</t>
        </is>
      </c>
      <c r="G2265" t="inlineStr">
        <is>
          <t>Customer</t>
        </is>
      </c>
      <c r="H2265" s="2" t="str">
        <f>=HYPERLINK("https://upbox.ajobthing.my/customer/191475", "https://upbox.ajobthing.my/customer/191475")</f>
        <v>https://upbox.ajobthing.my/customer/191475</v>
      </c>
      <c r="I2265" t="inlineStr">
        <is>
          <t>ZLG Sdn Bhd</t>
        </is>
      </c>
      <c r="J2265" t="inlineStr">
        <is>
          <t>Dolphin</t>
        </is>
      </c>
      <c r="K2265" t="inlineStr">
        <is>
          <t>Angel Low</t>
        </is>
      </c>
      <c r="L2265" s="4"/>
      <c r="M2265" s="4">
        <v>46118.69484953704</v>
      </c>
      <c r="N2265"/>
      <c r="O2265">
        <v>3672</v>
      </c>
      <c r="P2265" s="4"/>
      <c r="Q2265" s="4">
        <v>46112.503842592596</v>
      </c>
      <c r="R2265"/>
      <c r="S2265">
        <v>0</v>
      </c>
      <c r="T2265" s="4">
        <v>45797.72657407408</v>
      </c>
      <c r="U2265" s="4"/>
      <c r="V2265"/>
      <c r="W2265">
        <v>2916</v>
      </c>
      <c r="X2265"/>
      <c r="Y2265" t="inlineStr">
        <is>
          <t>Pending Appointment</t>
        </is>
      </c>
      <c r="Z2265" t="inlineStr">
        <is>
          <t>Hiring Now</t>
        </is>
      </c>
      <c r="AA2265">
        <v>1</v>
      </c>
      <c r="AB2265" t="inlineStr">
        <is>
          <t>No Appointment Made</t>
        </is>
      </c>
      <c r="AC2265"/>
      <c r="AD2265" t="inlineStr">
        <is>
          <t xml:space="preserve">1 PA </t>
        </is>
      </c>
      <c r="AE2265"/>
      <c r="AF2265"/>
      <c r="AG2265" s="4"/>
      <c r="AH2265" s="4"/>
      <c r="AI2265"/>
      <c r="AJ2265"/>
      <c r="AK2265" t="inlineStr">
        <is>
          <t>No, I don't need at all</t>
        </is>
      </c>
      <c r="AL2265"/>
      <c r="AM2265"/>
      <c r="AN2265"/>
      <c r="AO2265"/>
      <c r="AP2265" t="inlineStr">
        <is>
          <t>Twice a year (50%)</t>
        </is>
      </c>
      <c r="AQ2265"/>
      <c r="AR2265"/>
      <c r="AS2265" t="inlineStr">
        <is>
          <t>- Headcount: 1
- Hiring Job Details: 1 PA
- Hiring Urgency: Hiring Now
- Number of outlets: N/A
- Have recruiter team: No, I don't need at all
- Number of recruiter in company: N/A
- Have ATS system: N/A
- Have career website: N/A
- Current hiring budget: N/A
- Whole year budget: N/A
- Whole year number of vacancies: N/A
- Hiring frequency: Twice a year (50%)
- External job portal: N/A</t>
        </is>
      </c>
      <c r="AT2265">
        <v>75</v>
      </c>
      <c r="AU2265" t="inlineStr">
        <is>
          <t>0.75</t>
        </is>
      </c>
      <c r="AV2265" t="inlineStr">
        <is>
          <t>5</t>
        </is>
      </c>
      <c r="AW2265" t="inlineStr">
        <is>
          <t>0</t>
        </is>
      </c>
      <c r="AX2265" t="inlineStr">
        <is>
          <t>Not Qualified</t>
        </is>
      </c>
      <c r="AY2265" s="4"/>
      <c r="AZ2265"/>
      <c r="BA2265"/>
      <c r="BB2265"/>
      <c r="BC2265" t="inlineStr">
        <is>
          <t>pending</t>
        </is>
      </c>
      <c r="BD2265" s="4">
        <v>46125.40865740741</v>
      </c>
      <c r="BE2265" t="inlineStr">
        <is>
          <t>paid</t>
        </is>
      </c>
      <c r="BF2265"/>
      <c r="BG2265" t="inlineStr">
        <is>
          <t>Reschedule</t>
        </is>
      </c>
      <c r="BH2265" t="inlineStr">
        <is>
          <t>Fauziah Maharan</t>
        </is>
      </c>
      <c r="BI2265" t="inlineStr">
        <is>
          <t>Architecture / Interior Design</t>
        </is>
      </c>
      <c r="BJ2265" s="4">
        <v>46144.752430555556</v>
      </c>
      <c r="BK2265" s="4">
        <v>45796.70149305555</v>
      </c>
      <c r="BL2265" t="inlineStr">
        <is>
          <t>2916.0</t>
        </is>
      </c>
      <c r="BM2265" t="inlineStr">
        <is>
          <t>0.0</t>
        </is>
      </c>
      <c r="BN2265" t="inlineStr">
        <is>
          <t>PA Email CTA Click</t>
        </is>
      </c>
      <c r="BO2265" s="4">
        <v>46142.503541666665</v>
      </c>
      <c r="BP2265">
        <v>165484</v>
      </c>
      <c r="BQ2265">
        <v>118901</v>
      </c>
      <c r="BR2265" t="inlineStr">
        <is>
          <t>Proforma</t>
        </is>
      </c>
      <c r="BS2265" t="inlineStr">
        <is>
          <t>Free High Pay Job</t>
        </is>
      </c>
      <c r="BT2265">
        <v>79427</v>
      </c>
      <c r="BU2265"/>
      <c r="BV2265">
        <v>2699894</v>
      </c>
      <c r="BW2265" t="inlineStr">
        <is>
          <t>Follow Up : Decision Pending</t>
        </is>
      </c>
      <c r="BX2265">
        <v>6</v>
      </c>
      <c r="BY2265">
        <v>0</v>
      </c>
      <c r="BZ2265" s="4">
        <v>46105.7615625</v>
      </c>
      <c r="CA2265">
        <v>120</v>
      </c>
      <c r="CB2265">
        <v>93</v>
      </c>
      <c r="CC2265" s="4">
        <v>46139.53644675926</v>
      </c>
      <c r="CD2265" t="inlineStr">
        <is>
          <t>5</t>
        </is>
      </c>
      <c r="CE2265" t="inlineStr">
        <is>
          <t>0</t>
        </is>
      </c>
      <c r="CF2265" t="inlineStr">
        <is>
          <t>Q2-W01</t>
        </is>
      </c>
      <c r="CG2265" t="inlineStr">
        <is>
          <t>Q1-W13</t>
        </is>
      </c>
      <c r="CH2265"/>
      <c r="CI2265"/>
      <c r="CJ2265" t="inlineStr">
        <is>
          <t>Paid</t>
        </is>
      </c>
      <c r="CK2265" t="inlineStr">
        <is>
          <t>Not Eligible</t>
        </is>
      </c>
      <c r="CL2265"/>
      <c r="CM2265"/>
    </row>
    <row r="2266" ht="25.5" customHeight="1">
      <c r="A2266" t="inlineStr">
        <is>
          <t>202862</t>
        </is>
      </c>
      <c r="B2266" s="2"/>
      <c r="C2266"/>
      <c r="D2266" s="3">
        <v>46118.704560185186</v>
      </c>
      <c r="E2266" t="inlineStr">
        <is>
          <t>Q2-W01</t>
        </is>
      </c>
      <c r="F2266" t="inlineStr">
        <is>
          <t>Clover</t>
        </is>
      </c>
      <c r="G2266" t="inlineStr">
        <is>
          <t>Customer</t>
        </is>
      </c>
      <c r="H2266" s="2" t="str">
        <f>=HYPERLINK("https://upbox.ajobthing.my/customer/202862", "https://upbox.ajobthing.my/customer/202862")</f>
        <v>https://upbox.ajobthing.my/customer/202862</v>
      </c>
      <c r="I2266" t="inlineStr">
        <is>
          <t>Boneright Chiropractic</t>
        </is>
      </c>
      <c r="J2266" t="inlineStr">
        <is>
          <t>Dolphin</t>
        </is>
      </c>
      <c r="K2266" t="inlineStr">
        <is>
          <t>Clover</t>
        </is>
      </c>
      <c r="L2266" s="4"/>
      <c r="M2266" s="4">
        <v>46118.70491898148</v>
      </c>
      <c r="N2266"/>
      <c r="O2266">
        <v>3888</v>
      </c>
      <c r="P2266" s="4"/>
      <c r="Q2266" s="4"/>
      <c r="R2266"/>
      <c r="S2266"/>
      <c r="T2266" s="4"/>
      <c r="U2266" s="4"/>
      <c r="V2266"/>
      <c r="W2266"/>
      <c r="X2266"/>
      <c r="Y2266" t="inlineStr">
        <is>
          <t>Pending Appointment</t>
        </is>
      </c>
      <c r="Z2266" t="inlineStr">
        <is>
          <t>Hiring Now</t>
        </is>
      </c>
      <c r="AA2266">
        <v>1</v>
      </c>
      <c r="AB2266" t="inlineStr">
        <is>
          <t>No Appointment Made</t>
        </is>
      </c>
      <c r="AC2266"/>
      <c r="AD2266" t="inlineStr">
        <is>
          <t>Want to hire front desk x1, all races, future no hiring, Chiropractic, perak, suggest stand</t>
        </is>
      </c>
      <c r="AE2266"/>
      <c r="AF2266">
        <v>3000</v>
      </c>
      <c r="AG2266" s="4"/>
      <c r="AH2266" s="4"/>
      <c r="AI2266">
        <v>3000</v>
      </c>
      <c r="AJ2266">
        <v>1</v>
      </c>
      <c r="AK2266" t="inlineStr">
        <is>
          <t>No, but I want in future</t>
        </is>
      </c>
      <c r="AL2266">
        <v>1</v>
      </c>
      <c r="AM2266" t="inlineStr">
        <is>
          <t>No, but I want in future</t>
        </is>
      </c>
      <c r="AN2266"/>
      <c r="AO2266" t="inlineStr">
        <is>
          <t>No, but I want in future</t>
        </is>
      </c>
      <c r="AP2266" t="inlineStr">
        <is>
          <t>Twice a year (50%)</t>
        </is>
      </c>
      <c r="AQ2266">
        <v>1</v>
      </c>
      <c r="AR2266" t="inlineStr">
        <is>
          <t>Did not use any job portal</t>
        </is>
      </c>
      <c r="AS2266" t="inlineStr">
        <is>
          <t>- Headcount: 1
- Hiring Job Details: 1 front desk (all races, no future hiring, Chiropractic, Perak,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2266">
        <v>115</v>
      </c>
      <c r="AU2266" t="inlineStr">
        <is>
          <t>1.15</t>
        </is>
      </c>
      <c r="AV2266" t="inlineStr">
        <is>
          <t>15</t>
        </is>
      </c>
      <c r="AW2266" t="inlineStr">
        <is>
          <t>0</t>
        </is>
      </c>
      <c r="AX2266" t="inlineStr">
        <is>
          <t>Not Qualified</t>
        </is>
      </c>
      <c r="AY2266" s="4"/>
      <c r="AZ2266"/>
      <c r="BA2266"/>
      <c r="BB2266"/>
      <c r="BC2266" t="inlineStr">
        <is>
          <t>Job filled now, future if have hiring will inform</t>
        </is>
      </c>
      <c r="BD2266" s="4">
        <v>46135.68533564815</v>
      </c>
      <c r="BE2266"/>
      <c r="BF2266"/>
      <c r="BG2266" t="inlineStr">
        <is>
          <t>Reschedule</t>
        </is>
      </c>
      <c r="BH2266" t="inlineStr">
        <is>
          <t>Reagen</t>
        </is>
      </c>
      <c r="BI2266"/>
      <c r="BJ2266" s="4">
        <v>46144.75414351852</v>
      </c>
      <c r="BK2266" s="4">
        <v>46118.619722222225</v>
      </c>
      <c r="BL2266" t="inlineStr">
        <is>
          <t>0.0</t>
        </is>
      </c>
      <c r="BM2266" t="inlineStr">
        <is>
          <t>0.0</t>
        </is>
      </c>
      <c r="BN2266"/>
      <c r="BO2266" s="4"/>
      <c r="BP2266">
        <v>165491</v>
      </c>
      <c r="BQ2266"/>
      <c r="BR2266"/>
      <c r="BS2266"/>
      <c r="BT2266"/>
      <c r="BU2266"/>
      <c r="BV2266">
        <v>2724785</v>
      </c>
      <c r="BW2266" t="inlineStr">
        <is>
          <t>Follow Up : Lost - Free Portal</t>
        </is>
      </c>
      <c r="BX2266"/>
      <c r="BY2266"/>
      <c r="BZ2266" s="4"/>
      <c r="CA2266"/>
      <c r="CB2266"/>
      <c r="CC2266" s="4"/>
      <c r="CD2266" t="inlineStr">
        <is>
          <t>20</t>
        </is>
      </c>
      <c r="CE2266" t="inlineStr">
        <is>
          <t>0</t>
        </is>
      </c>
      <c r="CF2266" t="inlineStr">
        <is>
          <t>Q2-W01</t>
        </is>
      </c>
      <c r="CG2266"/>
      <c r="CH2266"/>
      <c r="CI2266"/>
      <c r="CJ2266" t="inlineStr">
        <is>
          <t>No Paid</t>
        </is>
      </c>
      <c r="CK2266" t="inlineStr">
        <is>
          <t>Not Eligible</t>
        </is>
      </c>
      <c r="CL2266"/>
      <c r="CM2266"/>
    </row>
    <row r="2267" ht="25.5" customHeight="1">
      <c r="A2267" t="inlineStr">
        <is>
          <t>202281</t>
        </is>
      </c>
      <c r="B2267" s="2"/>
      <c r="C2267"/>
      <c r="D2267" s="3">
        <v>46118.705416666664</v>
      </c>
      <c r="E2267" t="inlineStr">
        <is>
          <t>Q2-W01</t>
        </is>
      </c>
      <c r="F2267" t="inlineStr">
        <is>
          <t>Janice Yap</t>
        </is>
      </c>
      <c r="G2267" t="inlineStr">
        <is>
          <t>Customer</t>
        </is>
      </c>
      <c r="H2267" s="2" t="str">
        <f>=HYPERLINK("https://upbox.ajobthing.my/customer/202281", "https://upbox.ajobthing.my/customer/202281")</f>
        <v>https://upbox.ajobthing.my/customer/202281</v>
      </c>
      <c r="I2267" t="inlineStr">
        <is>
          <t xml:space="preserve">Urban Pinnacle Ventures Sdn. Bhd. </t>
        </is>
      </c>
      <c r="J2267" t="inlineStr">
        <is>
          <t>Dolphin</t>
        </is>
      </c>
      <c r="K2267" t="inlineStr">
        <is>
          <t>Janice</t>
        </is>
      </c>
      <c r="L2267" s="4"/>
      <c r="M2267" s="4">
        <v>46118.702314814815</v>
      </c>
      <c r="N2267"/>
      <c r="O2267">
        <v>3672</v>
      </c>
      <c r="P2267" s="4"/>
      <c r="Q2267" s="4"/>
      <c r="R2267"/>
      <c r="S2267"/>
      <c r="T2267" s="4"/>
      <c r="U2267" s="4"/>
      <c r="V2267"/>
      <c r="W2267"/>
      <c r="X2267"/>
      <c r="Y2267" t="inlineStr">
        <is>
          <t>Pending Appointment</t>
        </is>
      </c>
      <c r="Z2267" t="inlineStr">
        <is>
          <t>Hiring Now</t>
        </is>
      </c>
      <c r="AA2267">
        <v>1</v>
      </c>
      <c r="AB2267" t="inlineStr">
        <is>
          <t>No Appointment Made</t>
        </is>
      </c>
      <c r="AC2267"/>
      <c r="AD2267" t="inlineStr">
        <is>
          <t>executive</t>
        </is>
      </c>
      <c r="AE2267"/>
      <c r="AF2267">
        <v>0</v>
      </c>
      <c r="AG2267" s="4"/>
      <c r="AH2267" s="4"/>
      <c r="AI2267">
        <v>0</v>
      </c>
      <c r="AJ2267"/>
      <c r="AK2267" t="inlineStr">
        <is>
          <t>No, I don't need at all</t>
        </is>
      </c>
      <c r="AL2267">
        <v>0</v>
      </c>
      <c r="AM2267" t="inlineStr">
        <is>
          <t>No, I don't need at all</t>
        </is>
      </c>
      <c r="AN2267"/>
      <c r="AO2267" t="inlineStr">
        <is>
          <t>No, I don't need at all</t>
        </is>
      </c>
      <c r="AP2267" t="inlineStr">
        <is>
          <t>Once a year (25%)</t>
        </is>
      </c>
      <c r="AQ2267">
        <v>1</v>
      </c>
      <c r="AR2267" t="inlineStr">
        <is>
          <t>Jobstreet</t>
        </is>
      </c>
      <c r="AS2267" t="inlineStr">
        <is>
          <t>- Headcount: 1
- Hiring Job Details: executive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267">
        <v>110</v>
      </c>
      <c r="AU2267" t="inlineStr">
        <is>
          <t>1.10</t>
        </is>
      </c>
      <c r="AV2267" t="inlineStr">
        <is>
          <t>15</t>
        </is>
      </c>
      <c r="AW2267" t="inlineStr">
        <is>
          <t>0</t>
        </is>
      </c>
      <c r="AX2267" t="inlineStr">
        <is>
          <t>Not Qualified</t>
        </is>
      </c>
      <c r="AY2267" s="4"/>
      <c r="AZ2267"/>
      <c r="BA2267"/>
      <c r="BB2267"/>
      <c r="BC2267" t="inlineStr">
        <is>
          <t>PIC mentioned got another colleuge called her ytd // no need post job now // if need will  contact me</t>
        </is>
      </c>
      <c r="BD2267" s="4">
        <v>46135.586643518516</v>
      </c>
      <c r="BE2267"/>
      <c r="BF2267"/>
      <c r="BG2267" t="inlineStr">
        <is>
          <t>Reschedule</t>
        </is>
      </c>
      <c r="BH2267" t="inlineStr">
        <is>
          <t>Yee Hang</t>
        </is>
      </c>
      <c r="BI2267"/>
      <c r="BJ2267" s="4">
        <v>46144.75400462963</v>
      </c>
      <c r="BK2267" s="4">
        <v>46100.514340277776</v>
      </c>
      <c r="BL2267" t="inlineStr">
        <is>
          <t>0.0</t>
        </is>
      </c>
      <c r="BM2267" t="inlineStr">
        <is>
          <t>0.0</t>
        </is>
      </c>
      <c r="BN2267" t="inlineStr">
        <is>
          <t>View Create Job Page V4</t>
        </is>
      </c>
      <c r="BO2267" s="4">
        <v>46106.66402777778</v>
      </c>
      <c r="BP2267">
        <v>165489</v>
      </c>
      <c r="BQ2267"/>
      <c r="BR2267"/>
      <c r="BS2267"/>
      <c r="BT2267"/>
      <c r="BU2267"/>
      <c r="BV2267">
        <v>2723345</v>
      </c>
      <c r="BW2267" t="inlineStr">
        <is>
          <t>Follow Up : Lost - Free Portal</t>
        </is>
      </c>
      <c r="BX2267"/>
      <c r="BY2267"/>
      <c r="BZ2267" s="4"/>
      <c r="CA2267"/>
      <c r="CB2267"/>
      <c r="CC2267" s="4"/>
      <c r="CD2267" t="inlineStr">
        <is>
          <t>20</t>
        </is>
      </c>
      <c r="CE2267" t="inlineStr">
        <is>
          <t>0</t>
        </is>
      </c>
      <c r="CF2267" t="inlineStr">
        <is>
          <t>Q2-W01</t>
        </is>
      </c>
      <c r="CG2267"/>
      <c r="CH2267"/>
      <c r="CI2267"/>
      <c r="CJ2267" t="inlineStr">
        <is>
          <t>No Paid</t>
        </is>
      </c>
      <c r="CK2267" t="inlineStr">
        <is>
          <t>Not Eligible</t>
        </is>
      </c>
      <c r="CL2267"/>
      <c r="CM2267"/>
    </row>
    <row r="2268" ht="25.5" customHeight="1">
      <c r="A2268" t="inlineStr">
        <is>
          <t>4240696</t>
        </is>
      </c>
      <c r="B2268" s="2"/>
      <c r="C2268"/>
      <c r="D2268" s="3">
        <v>46118.705613425926</v>
      </c>
      <c r="E2268" t="inlineStr">
        <is>
          <t>Q2-W01</t>
        </is>
      </c>
      <c r="F2268" t="inlineStr">
        <is>
          <t>Evan</t>
        </is>
      </c>
      <c r="G2268" t="inlineStr">
        <is>
          <t>Lead</t>
        </is>
      </c>
      <c r="H2268" s="2" t="str">
        <f>=HYPERLINK("https://upbox.ajobthing.my/leads/4240696", "https://upbox.ajobthing.my/leads/4240696")</f>
        <v>https://upbox.ajobthing.my/leads/4240696</v>
      </c>
      <c r="I2268" t="inlineStr">
        <is>
          <t>PY Academy</t>
        </is>
      </c>
      <c r="J2268" t="inlineStr">
        <is>
          <t>Dolphin</t>
        </is>
      </c>
      <c r="K2268" t="inlineStr">
        <is>
          <t>Evan</t>
        </is>
      </c>
      <c r="L2268" s="4"/>
      <c r="M2268" s="4">
        <v>46118.7025462963</v>
      </c>
      <c r="N2268"/>
      <c r="O2268">
        <v>3888</v>
      </c>
      <c r="P2268" s="4"/>
      <c r="Q2268" s="4"/>
      <c r="R2268"/>
      <c r="S2268"/>
      <c r="T2268" s="4"/>
      <c r="U2268" s="4"/>
      <c r="V2268"/>
      <c r="W2268"/>
      <c r="X2268"/>
      <c r="Y2268" t="inlineStr">
        <is>
          <t>Pending Appointment</t>
        </is>
      </c>
      <c r="Z2268" t="inlineStr">
        <is>
          <t>Hiring Now</t>
        </is>
      </c>
      <c r="AA2268">
        <v>4</v>
      </c>
      <c r="AB2268" t="inlineStr">
        <is>
          <t>No Appointment Made</t>
        </is>
      </c>
      <c r="AC2268"/>
      <c r="AD2268" t="inlineStr">
        <is>
          <t>4 part timer teacher, all base in johor</t>
        </is>
      </c>
      <c r="AE2268"/>
      <c r="AF2268">
        <v>1</v>
      </c>
      <c r="AG2268" s="4"/>
      <c r="AH2268" s="4"/>
      <c r="AI2268">
        <v>1</v>
      </c>
      <c r="AJ2268">
        <v>2</v>
      </c>
      <c r="AK2268" t="inlineStr">
        <is>
          <t>No, I don't need at all</t>
        </is>
      </c>
      <c r="AL2268">
        <v>0</v>
      </c>
      <c r="AM2268" t="inlineStr">
        <is>
          <t>No, I don't need at all</t>
        </is>
      </c>
      <c r="AN2268"/>
      <c r="AO2268" t="inlineStr">
        <is>
          <t>No, I don't need at all</t>
        </is>
      </c>
      <c r="AP2268" t="inlineStr">
        <is>
          <t>Once a year (25%)</t>
        </is>
      </c>
      <c r="AQ2268">
        <v>5</v>
      </c>
      <c r="AR2268" t="inlineStr">
        <is>
          <t>Jobstreet</t>
        </is>
      </c>
      <c r="AS2268" t="inlineStr">
        <is>
          <t>- Headcount: 4
- Hiring Job Details: 4 part timer teacher, all base in johor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5
- Hiring frequency: Once a year (25%)
- External job portal: Jobstreet</t>
        </is>
      </c>
      <c r="AT2268">
        <v>115</v>
      </c>
      <c r="AU2268" t="inlineStr">
        <is>
          <t>1.15</t>
        </is>
      </c>
      <c r="AV2268" t="inlineStr">
        <is>
          <t>15</t>
        </is>
      </c>
      <c r="AW2268" t="inlineStr">
        <is>
          <t>0</t>
        </is>
      </c>
      <c r="AX2268" t="inlineStr">
        <is>
          <t>Not Qualified</t>
        </is>
      </c>
      <c r="AY2268" s="4"/>
      <c r="AZ2268"/>
      <c r="BA2268"/>
      <c r="BB2268"/>
      <c r="BC2268"/>
      <c r="BD2268" s="4"/>
      <c r="BE2268"/>
      <c r="BF2268"/>
      <c r="BG2268" t="inlineStr">
        <is>
          <t>Reschedule</t>
        </is>
      </c>
      <c r="BH2268" t="inlineStr">
        <is>
          <t>Edward Hoo</t>
        </is>
      </c>
      <c r="BI2268"/>
      <c r="BJ2268" s="4">
        <v>46144.75571759259</v>
      </c>
      <c r="BK2268" s="4">
        <v>46115.776550925926</v>
      </c>
      <c r="BL2268" t="inlineStr">
        <is>
          <t>0.0</t>
        </is>
      </c>
      <c r="BM2268" t="inlineStr">
        <is>
          <t>3000.0</t>
        </is>
      </c>
      <c r="BN2268"/>
      <c r="BO2268" s="4"/>
      <c r="BP2268">
        <v>165490</v>
      </c>
      <c r="BQ2268"/>
      <c r="BR2268"/>
      <c r="BS2268"/>
      <c r="BT2268"/>
      <c r="BU2268"/>
      <c r="BV2268"/>
      <c r="BW2268"/>
      <c r="BX2268"/>
      <c r="BY2268"/>
      <c r="BZ2268" s="4"/>
      <c r="CA2268"/>
      <c r="CB2268"/>
      <c r="CC2268" s="4"/>
      <c r="CD2268" t="inlineStr">
        <is>
          <t>20</t>
        </is>
      </c>
      <c r="CE2268" t="inlineStr">
        <is>
          <t>0</t>
        </is>
      </c>
      <c r="CF2268" t="inlineStr">
        <is>
          <t>Q2-W01</t>
        </is>
      </c>
      <c r="CG2268"/>
      <c r="CH2268"/>
      <c r="CI2268"/>
      <c r="CJ2268" t="inlineStr">
        <is>
          <t>No Paid</t>
        </is>
      </c>
      <c r="CK2268" t="inlineStr">
        <is>
          <t>Not Eligible</t>
        </is>
      </c>
      <c r="CL2268"/>
      <c r="CM2268"/>
    </row>
    <row r="2269" ht="25.5" customHeight="1">
      <c r="A2269" t="inlineStr">
        <is>
          <t>183435</t>
        </is>
      </c>
      <c r="B2269" s="2"/>
      <c r="C2269"/>
      <c r="D2269" s="3">
        <v>46118.70648148148</v>
      </c>
      <c r="E2269" t="inlineStr">
        <is>
          <t>Q2-W01</t>
        </is>
      </c>
      <c r="F2269" t="inlineStr">
        <is>
          <t>Chia Yee</t>
        </is>
      </c>
      <c r="G2269" t="inlineStr">
        <is>
          <t>Customer</t>
        </is>
      </c>
      <c r="H2269" s="2" t="str">
        <f>=HYPERLINK("https://upbox.ajobthing.my/customer/183435", "https://upbox.ajobthing.my/customer/183435")</f>
        <v>https://upbox.ajobthing.my/customer/183435</v>
      </c>
      <c r="I2269" t="inlineStr">
        <is>
          <t>Microlive Vision Technology Sdn Bhd</t>
        </is>
      </c>
      <c r="J2269" t="inlineStr">
        <is>
          <t>Dolphin</t>
        </is>
      </c>
      <c r="K2269" t="inlineStr">
        <is>
          <t>Chia Yee</t>
        </is>
      </c>
      <c r="L2269" s="4"/>
      <c r="M2269" s="4">
        <v>46118.70658564815</v>
      </c>
      <c r="N2269"/>
      <c r="O2269">
        <v>6048</v>
      </c>
      <c r="P2269" s="4"/>
      <c r="Q2269" s="4">
        <v>46118.56699074074</v>
      </c>
      <c r="R2269"/>
      <c r="S2269">
        <v>3888</v>
      </c>
      <c r="T2269" s="4">
        <v>45604</v>
      </c>
      <c r="U2269" s="4"/>
      <c r="V2269"/>
      <c r="W2269">
        <v>2808</v>
      </c>
      <c r="X2269"/>
      <c r="Y2269" t="inlineStr">
        <is>
          <t>Pending Appointment</t>
        </is>
      </c>
      <c r="Z2269" t="inlineStr">
        <is>
          <t>Hiring Now</t>
        </is>
      </c>
      <c r="AA2269">
        <v>5</v>
      </c>
      <c r="AB2269" t="inlineStr">
        <is>
          <t>No Appointment Made</t>
        </is>
      </c>
      <c r="AC2269"/>
      <c r="AD2269" t="inlineStr">
        <is>
          <t xml:space="preserve"> 4 telesales, 1 Senior hr</t>
        </is>
      </c>
      <c r="AE2269"/>
      <c r="AF2269">
        <v>0</v>
      </c>
      <c r="AG2269" s="4"/>
      <c r="AH2269" s="4"/>
      <c r="AI2269">
        <v>0</v>
      </c>
      <c r="AJ2269">
        <v>0</v>
      </c>
      <c r="AK2269" t="inlineStr">
        <is>
          <t>No, I don't need at all</t>
        </is>
      </c>
      <c r="AL2269">
        <v>1</v>
      </c>
      <c r="AM2269" t="inlineStr">
        <is>
          <t>No, I don't need at all</t>
        </is>
      </c>
      <c r="AN2269"/>
      <c r="AO2269" t="inlineStr">
        <is>
          <t>No, I don't need at all</t>
        </is>
      </c>
      <c r="AP2269" t="inlineStr">
        <is>
          <t>Once a year (25%)</t>
        </is>
      </c>
      <c r="AQ2269">
        <v>5</v>
      </c>
      <c r="AR2269" t="inlineStr">
        <is>
          <t>Did not use any job portal</t>
        </is>
      </c>
      <c r="AS2269" t="inlineStr">
        <is>
          <t>- Headcount: 5
- Hiring Job Details: 4 telesales, 1 Senior hr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is>
      </c>
      <c r="AT2269">
        <v>75</v>
      </c>
      <c r="AU2269" t="inlineStr">
        <is>
          <t>0.75</t>
        </is>
      </c>
      <c r="AV2269" t="inlineStr">
        <is>
          <t>20</t>
        </is>
      </c>
      <c r="AW2269" t="inlineStr">
        <is>
          <t>0</t>
        </is>
      </c>
      <c r="AX2269" t="inlineStr">
        <is>
          <t>Not Qualified</t>
        </is>
      </c>
      <c r="AY2269" s="4"/>
      <c r="AZ2269"/>
      <c r="BA2269"/>
      <c r="BB2269"/>
      <c r="BC2269" t="inlineStr">
        <is>
          <t>Replied: on hold</t>
        </is>
      </c>
      <c r="BD2269" s="4">
        <v>46119.66166666667</v>
      </c>
      <c r="BE2269" t="inlineStr">
        <is>
          <t>pending</t>
        </is>
      </c>
      <c r="BF2269"/>
      <c r="BG2269" t="inlineStr">
        <is>
          <t>Reschedule</t>
        </is>
      </c>
      <c r="BH2269" t="inlineStr">
        <is>
          <t>Reagen</t>
        </is>
      </c>
      <c r="BI2269" t="inlineStr">
        <is>
          <t>Business / Mgmt Consulting</t>
        </is>
      </c>
      <c r="BJ2269" s="4">
        <v>46144.751967592594</v>
      </c>
      <c r="BK2269" s="4">
        <v>45569.664189814815</v>
      </c>
      <c r="BL2269" t="inlineStr">
        <is>
          <t>0.0</t>
        </is>
      </c>
      <c r="BM2269" t="inlineStr">
        <is>
          <t>0.0</t>
        </is>
      </c>
      <c r="BN2269" t="inlineStr">
        <is>
          <t>View Company Page</t>
        </is>
      </c>
      <c r="BO2269" s="4">
        <v>46118.753275462965</v>
      </c>
      <c r="BP2269">
        <v>165494</v>
      </c>
      <c r="BQ2269">
        <v>120147</v>
      </c>
      <c r="BR2269" t="inlineStr">
        <is>
          <t>Proforma</t>
        </is>
      </c>
      <c r="BS2269" t="inlineStr">
        <is>
          <t>AI Yearly Standard Plan (Jan 26)</t>
        </is>
      </c>
      <c r="BT2269">
        <v>74492</v>
      </c>
      <c r="BU2269"/>
      <c r="BV2269">
        <v>2689947</v>
      </c>
      <c r="BW2269" t="inlineStr">
        <is>
          <t>Follow Up : Budget Concern</t>
        </is>
      </c>
      <c r="BX2269"/>
      <c r="BY2269"/>
      <c r="BZ2269" s="4"/>
      <c r="CA2269"/>
      <c r="CB2269"/>
      <c r="CC2269" s="4"/>
      <c r="CD2269" t="inlineStr">
        <is>
          <t>30</t>
        </is>
      </c>
      <c r="CE2269" t="inlineStr">
        <is>
          <t>0</t>
        </is>
      </c>
      <c r="CF2269" t="inlineStr">
        <is>
          <t>Q2-W01</t>
        </is>
      </c>
      <c r="CG2269" t="inlineStr">
        <is>
          <t>Q2-W01</t>
        </is>
      </c>
      <c r="CH2269"/>
      <c r="CI2269"/>
      <c r="CJ2269" t="inlineStr">
        <is>
          <t>Paid</t>
        </is>
      </c>
      <c r="CK2269" t="inlineStr">
        <is>
          <t>Not Eligible</t>
        </is>
      </c>
      <c r="CL2269"/>
      <c r="CM2269"/>
    </row>
    <row r="2270" ht="25.5" customHeight="1">
      <c r="A2270" t="inlineStr">
        <is>
          <t>162270</t>
        </is>
      </c>
      <c r="B2270" s="2"/>
      <c r="C2270"/>
      <c r="D2270" s="3">
        <v>46118.70978009259</v>
      </c>
      <c r="E2270" t="inlineStr">
        <is>
          <t>Q2-W01</t>
        </is>
      </c>
      <c r="F2270" t="inlineStr">
        <is>
          <t>Jia Hui</t>
        </is>
      </c>
      <c r="G2270" t="inlineStr">
        <is>
          <t>Customer</t>
        </is>
      </c>
      <c r="H2270" s="2" t="str">
        <f>=HYPERLINK("https://upbox.ajobthing.my/customer/162270", "https://upbox.ajobthing.my/customer/162270")</f>
        <v>https://upbox.ajobthing.my/customer/162270</v>
      </c>
      <c r="I2270" t="inlineStr">
        <is>
          <t>P&amp;M Electrical &amp; Mechanical Sdn Bhd</t>
        </is>
      </c>
      <c r="J2270" t="inlineStr">
        <is>
          <t>Dolphin</t>
        </is>
      </c>
      <c r="K2270" t="inlineStr">
        <is>
          <t>Jia Hui</t>
        </is>
      </c>
      <c r="L2270" s="4"/>
      <c r="M2270" s="4">
        <v>46118.70991898148</v>
      </c>
      <c r="N2270"/>
      <c r="O2270">
        <v>5508</v>
      </c>
      <c r="P2270" s="4"/>
      <c r="Q2270" s="4">
        <v>45791.64111111111</v>
      </c>
      <c r="R2270"/>
      <c r="S2270">
        <v>106.92</v>
      </c>
      <c r="T2270" s="4">
        <v>45791.64111111111</v>
      </c>
      <c r="U2270" s="4"/>
      <c r="V2270"/>
      <c r="W2270">
        <v>106.92</v>
      </c>
      <c r="X2270"/>
      <c r="Y2270" t="inlineStr">
        <is>
          <t>Pending Appointment</t>
        </is>
      </c>
      <c r="Z2270" t="inlineStr">
        <is>
          <t>Hiring Now</t>
        </is>
      </c>
      <c r="AA2270">
        <v>2</v>
      </c>
      <c r="AB2270" t="inlineStr">
        <is>
          <t>No Appointment Made</t>
        </is>
      </c>
      <c r="AC2270"/>
      <c r="AD2270" t="inlineStr">
        <is>
          <t xml:space="preserve">1 admin, 1 customer service </t>
        </is>
      </c>
      <c r="AE2270"/>
      <c r="AF2270">
        <v>1000</v>
      </c>
      <c r="AG2270" s="4"/>
      <c r="AH2270" s="4"/>
      <c r="AI2270"/>
      <c r="AJ2270"/>
      <c r="AK2270" t="inlineStr">
        <is>
          <t>Yes, I have</t>
        </is>
      </c>
      <c r="AL2270"/>
      <c r="AM2270"/>
      <c r="AN2270"/>
      <c r="AO2270"/>
      <c r="AP2270" t="inlineStr">
        <is>
          <t>Once a year (25%)</t>
        </is>
      </c>
      <c r="AQ2270"/>
      <c r="AR2270"/>
      <c r="AS2270" t="inlineStr">
        <is>
          <t>- Headcount: 2
- Hiring Job Details: 1 admin, 1 customer service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
- Hiring Urgency: Hiring Now</t>
        </is>
      </c>
      <c r="AT2270">
        <v>95</v>
      </c>
      <c r="AU2270" t="inlineStr">
        <is>
          <t>0.95</t>
        </is>
      </c>
      <c r="AV2270" t="inlineStr">
        <is>
          <t>15</t>
        </is>
      </c>
      <c r="AW2270" t="inlineStr">
        <is>
          <t>0</t>
        </is>
      </c>
      <c r="AX2270" t="inlineStr">
        <is>
          <t>Not Qualified</t>
        </is>
      </c>
      <c r="AY2270" s="4"/>
      <c r="AZ2270"/>
      <c r="BA2270"/>
      <c r="BB2270"/>
      <c r="BC2270" t="inlineStr">
        <is>
          <t>budget concern, on hold at the moment, already filled the position</t>
        </is>
      </c>
      <c r="BD2270" s="4">
        <v>46129.45050925926</v>
      </c>
      <c r="BE2270" t="inlineStr">
        <is>
          <t>paid</t>
        </is>
      </c>
      <c r="BF2270"/>
      <c r="BG2270" t="inlineStr">
        <is>
          <t>Reschedule</t>
        </is>
      </c>
      <c r="BH2270" t="inlineStr">
        <is>
          <t>Reagen</t>
        </is>
      </c>
      <c r="BI2270" t="inlineStr">
        <is>
          <t>Electrical / Electronics</t>
        </is>
      </c>
      <c r="BJ2270" s="4">
        <v>46144.75115740741</v>
      </c>
      <c r="BK2270" s="4">
        <v>44886.96637731481</v>
      </c>
      <c r="BL2270" t="inlineStr">
        <is>
          <t>106.92</t>
        </is>
      </c>
      <c r="BM2270" t="inlineStr">
        <is>
          <t>0.0</t>
        </is>
      </c>
      <c r="BN2270" t="inlineStr">
        <is>
          <t>View Candidate Search Page</t>
        </is>
      </c>
      <c r="BO2270" s="4">
        <v>45849.501550925925</v>
      </c>
      <c r="BP2270">
        <v>165495</v>
      </c>
      <c r="BQ2270">
        <v>79261</v>
      </c>
      <c r="BR2270" t="inlineStr">
        <is>
          <t>Online</t>
        </is>
      </c>
      <c r="BS2270"/>
      <c r="BT2270">
        <v>79261</v>
      </c>
      <c r="BU2270"/>
      <c r="BV2270">
        <v>2711287</v>
      </c>
      <c r="BW2270" t="inlineStr">
        <is>
          <t>Follow Up : Budget Concern</t>
        </is>
      </c>
      <c r="BX2270"/>
      <c r="BY2270"/>
      <c r="BZ2270" s="4"/>
      <c r="CA2270"/>
      <c r="CB2270"/>
      <c r="CC2270" s="4"/>
      <c r="CD2270" t="inlineStr">
        <is>
          <t>20</t>
        </is>
      </c>
      <c r="CE2270" t="inlineStr">
        <is>
          <t>0</t>
        </is>
      </c>
      <c r="CF2270" t="inlineStr">
        <is>
          <t>Q2-W01</t>
        </is>
      </c>
      <c r="CG2270"/>
      <c r="CH2270"/>
      <c r="CI2270"/>
      <c r="CJ2270" t="inlineStr">
        <is>
          <t>Paid</t>
        </is>
      </c>
      <c r="CK2270" t="inlineStr">
        <is>
          <t>Not Eligible</t>
        </is>
      </c>
      <c r="CL2270"/>
      <c r="CM2270"/>
    </row>
    <row r="2271" ht="25.5" customHeight="1">
      <c r="A2271" t="inlineStr">
        <is>
          <t>187310</t>
        </is>
      </c>
      <c r="B2271" s="2"/>
      <c r="C2271"/>
      <c r="D2271" s="3">
        <v>46118.71329861111</v>
      </c>
      <c r="E2271" t="inlineStr">
        <is>
          <t>Q2-W01</t>
        </is>
      </c>
      <c r="F2271" t="inlineStr">
        <is>
          <t>Angel  Low</t>
        </is>
      </c>
      <c r="G2271" t="inlineStr">
        <is>
          <t>Customer</t>
        </is>
      </c>
      <c r="H2271" s="2" t="str">
        <f>=HYPERLINK("https://upbox.ajobthing.my/customer/187310", "https://upbox.ajobthing.my/customer/187310")</f>
        <v>https://upbox.ajobthing.my/customer/187310</v>
      </c>
      <c r="I2271" t="inlineStr">
        <is>
          <t>Uniqbox Sdn. Bhd.</t>
        </is>
      </c>
      <c r="J2271" t="inlineStr">
        <is>
          <t>Dolphin</t>
        </is>
      </c>
      <c r="K2271" t="inlineStr">
        <is>
          <t>Angel Low</t>
        </is>
      </c>
      <c r="L2271" s="4"/>
      <c r="M2271" s="4">
        <v>46118.71119212963</v>
      </c>
      <c r="N2271"/>
      <c r="O2271">
        <v>5508</v>
      </c>
      <c r="P2271" s="4"/>
      <c r="Q2271" s="4">
        <v>45702.498715277776</v>
      </c>
      <c r="R2271"/>
      <c r="S2271">
        <v>4762.8</v>
      </c>
      <c r="T2271" s="4">
        <v>45702.498715277776</v>
      </c>
      <c r="U2271" s="4"/>
      <c r="V2271"/>
      <c r="W2271">
        <v>4762.8</v>
      </c>
      <c r="X2271"/>
      <c r="Y2271" t="inlineStr">
        <is>
          <t>Pending Appointment</t>
        </is>
      </c>
      <c r="Z2271"/>
      <c r="AA2271">
        <v>1</v>
      </c>
      <c r="AB2271" t="inlineStr">
        <is>
          <t>No Appointment Made</t>
        </is>
      </c>
      <c r="AC2271"/>
      <c r="AD2271" t="inlineStr">
        <is>
          <t xml:space="preserve">1 designer mandarin speaker </t>
        </is>
      </c>
      <c r="AE2271"/>
      <c r="AF2271"/>
      <c r="AG2271" s="4"/>
      <c r="AH2271" s="4"/>
      <c r="AI2271"/>
      <c r="AJ2271"/>
      <c r="AK2271"/>
      <c r="AL2271"/>
      <c r="AM2271"/>
      <c r="AN2271"/>
      <c r="AO2271"/>
      <c r="AP2271"/>
      <c r="AQ2271"/>
      <c r="AR2271"/>
      <c r="AS2271" t="inlineStr">
        <is>
          <t>- Headcount: 1
- Hiring Job Details: 1 designer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271">
        <v>25</v>
      </c>
      <c r="AU2271" t="inlineStr">
        <is>
          <t>0.25</t>
        </is>
      </c>
      <c r="AV2271" t="inlineStr">
        <is>
          <t>5</t>
        </is>
      </c>
      <c r="AW2271" t="inlineStr">
        <is>
          <t>0</t>
        </is>
      </c>
      <c r="AX2271" t="inlineStr">
        <is>
          <t>Not Qualified</t>
        </is>
      </c>
      <c r="AY2271" s="4"/>
      <c r="AZ2271"/>
      <c r="BA2271"/>
      <c r="BB2271"/>
      <c r="BC2271" t="inlineStr">
        <is>
          <t>customer mentioend no longer using this company. this company unactive already. subscribe using new acc</t>
        </is>
      </c>
      <c r="BD2271" s="4">
        <v>46119.617106481484</v>
      </c>
      <c r="BE2271" t="inlineStr">
        <is>
          <t>paid</t>
        </is>
      </c>
      <c r="BF2271"/>
      <c r="BG2271" t="inlineStr">
        <is>
          <t>Reschedule</t>
        </is>
      </c>
      <c r="BH2271" t="inlineStr">
        <is>
          <t>Fauziah Maharan</t>
        </is>
      </c>
      <c r="BI2271" t="inlineStr">
        <is>
          <t>Advertising / Marketing</t>
        </is>
      </c>
      <c r="BJ2271" s="4">
        <v>46144.752175925925</v>
      </c>
      <c r="BK2271" s="4">
        <v>45693.507627314815</v>
      </c>
      <c r="BL2271" t="inlineStr">
        <is>
          <t>0.0</t>
        </is>
      </c>
      <c r="BM2271" t="inlineStr">
        <is>
          <t>0.0</t>
        </is>
      </c>
      <c r="BN2271" t="inlineStr">
        <is>
          <t>View Company Page</t>
        </is>
      </c>
      <c r="BO2271" s="4">
        <v>46119.683287037034</v>
      </c>
      <c r="BP2271">
        <v>165498</v>
      </c>
      <c r="BQ2271">
        <v>76763</v>
      </c>
      <c r="BR2271" t="inlineStr">
        <is>
          <t>Online</t>
        </is>
      </c>
      <c r="BS2271"/>
      <c r="BT2271">
        <v>76763</v>
      </c>
      <c r="BU2271"/>
      <c r="BV2271">
        <v>2689618</v>
      </c>
      <c r="BW2271" t="inlineStr">
        <is>
          <t>Inquire for Hiring Needs : No Hiring</t>
        </is>
      </c>
      <c r="BX2271"/>
      <c r="BY2271"/>
      <c r="BZ2271" s="4"/>
      <c r="CA2271"/>
      <c r="CB2271"/>
      <c r="CC2271" s="4"/>
      <c r="CD2271" t="inlineStr">
        <is>
          <t>5</t>
        </is>
      </c>
      <c r="CE2271" t="inlineStr">
        <is>
          <t>0</t>
        </is>
      </c>
      <c r="CF2271" t="inlineStr">
        <is>
          <t>Q2-W01</t>
        </is>
      </c>
      <c r="CG2271"/>
      <c r="CH2271"/>
      <c r="CI2271"/>
      <c r="CJ2271" t="inlineStr">
        <is>
          <t>Paid</t>
        </is>
      </c>
      <c r="CK2271" t="inlineStr">
        <is>
          <t>Not Eligible</t>
        </is>
      </c>
      <c r="CL2271"/>
      <c r="CM2271"/>
    </row>
    <row r="2272" ht="25.5" customHeight="1">
      <c r="A2272" t="inlineStr">
        <is>
          <t>4253069</t>
        </is>
      </c>
      <c r="B2272" s="2"/>
      <c r="C2272"/>
      <c r="D2272" s="3">
        <v>46118.7156712963</v>
      </c>
      <c r="E2272" t="inlineStr">
        <is>
          <t>Q2-W01</t>
        </is>
      </c>
      <c r="F2272" t="inlineStr">
        <is>
          <t>Derek Lim</t>
        </is>
      </c>
      <c r="G2272" t="inlineStr">
        <is>
          <t>Lead</t>
        </is>
      </c>
      <c r="H2272" s="2" t="str">
        <f>=HYPERLINK("https://upbox.ajobthing.my/leads/4253069", "https://upbox.ajobthing.my/leads/4253069")</f>
        <v>https://upbox.ajobthing.my/leads/4253069</v>
      </c>
      <c r="I2272" t="inlineStr">
        <is>
          <t>GLOBAL ALLIANCE FREIGHT SDN BHD</t>
        </is>
      </c>
      <c r="J2272" t="inlineStr">
        <is>
          <t>Dolphin</t>
        </is>
      </c>
      <c r="K2272" t="inlineStr">
        <is>
          <t>Derek Lim</t>
        </is>
      </c>
      <c r="L2272" s="4"/>
      <c r="M2272" s="4">
        <v>46118.71592592593</v>
      </c>
      <c r="N2272"/>
      <c r="O2272">
        <v>3888</v>
      </c>
      <c r="P2272" s="4"/>
      <c r="Q2272" s="4"/>
      <c r="R2272"/>
      <c r="S2272"/>
      <c r="T2272" s="4"/>
      <c r="U2272" s="4"/>
      <c r="V2272"/>
      <c r="W2272"/>
      <c r="X2272"/>
      <c r="Y2272" t="inlineStr">
        <is>
          <t>Pending Appointment</t>
        </is>
      </c>
      <c r="Z2272" t="inlineStr">
        <is>
          <t>Hiring Now</t>
        </is>
      </c>
      <c r="AA2272">
        <v>5</v>
      </c>
      <c r="AB2272" t="inlineStr">
        <is>
          <t>No Appointment Made</t>
        </is>
      </c>
      <c r="AC2272"/>
      <c r="AD2272" t="inlineStr">
        <is>
          <t>Customer service - 4, account executive</t>
        </is>
      </c>
      <c r="AE2272"/>
      <c r="AF2272">
        <v>0</v>
      </c>
      <c r="AG2272" s="4"/>
      <c r="AH2272" s="4"/>
      <c r="AI2272">
        <v>0</v>
      </c>
      <c r="AJ2272">
        <v>1</v>
      </c>
      <c r="AK2272" t="inlineStr">
        <is>
          <t>No, I don't need at all</t>
        </is>
      </c>
      <c r="AL2272">
        <v>0</v>
      </c>
      <c r="AM2272" t="inlineStr">
        <is>
          <t>No, I don't need at all</t>
        </is>
      </c>
      <c r="AN2272"/>
      <c r="AO2272" t="inlineStr">
        <is>
          <t>No, I don't need at all</t>
        </is>
      </c>
      <c r="AP2272" t="inlineStr">
        <is>
          <t>Once a year (25%)</t>
        </is>
      </c>
      <c r="AQ2272">
        <v>5</v>
      </c>
      <c r="AR2272" t="inlineStr">
        <is>
          <t>Free Job Portal</t>
        </is>
      </c>
      <c r="AS2272" t="inlineStr">
        <is>
          <t>- Headcount: 5
- Hiring Job Details: Customer service - 4, account executive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5
- Hiring frequency: Once a year (25%)
- External job portal: Free Job Portal</t>
        </is>
      </c>
      <c r="AT2272">
        <v>75</v>
      </c>
      <c r="AU2272" t="inlineStr">
        <is>
          <t>0.75</t>
        </is>
      </c>
      <c r="AV2272" t="inlineStr">
        <is>
          <t>20</t>
        </is>
      </c>
      <c r="AW2272" t="inlineStr">
        <is>
          <t>0</t>
        </is>
      </c>
      <c r="AX2272" t="inlineStr">
        <is>
          <t>Not Qualified</t>
        </is>
      </c>
      <c r="AY2272" s="4"/>
      <c r="AZ2272"/>
      <c r="BA2272"/>
      <c r="BB2272"/>
      <c r="BC2272"/>
      <c r="BD2272" s="4"/>
      <c r="BE2272"/>
      <c r="BF2272"/>
      <c r="BG2272" t="inlineStr">
        <is>
          <t>Reschedule</t>
        </is>
      </c>
      <c r="BH2272" t="inlineStr">
        <is>
          <t>Edward Hoo</t>
        </is>
      </c>
      <c r="BI2272"/>
      <c r="BJ2272" s="4">
        <v>46144.755740740744</v>
      </c>
      <c r="BK2272" s="4">
        <v>46118.69924768519</v>
      </c>
      <c r="BL2272" t="inlineStr">
        <is>
          <t>0.0</t>
        </is>
      </c>
      <c r="BM2272" t="inlineStr">
        <is>
          <t>0.0</t>
        </is>
      </c>
      <c r="BN2272"/>
      <c r="BO2272" s="4"/>
      <c r="BP2272">
        <v>165501</v>
      </c>
      <c r="BQ2272"/>
      <c r="BR2272"/>
      <c r="BS2272"/>
      <c r="BT2272"/>
      <c r="BU2272"/>
      <c r="BV2272"/>
      <c r="BW2272"/>
      <c r="BX2272"/>
      <c r="BY2272"/>
      <c r="BZ2272" s="4"/>
      <c r="CA2272"/>
      <c r="CB2272"/>
      <c r="CC2272" s="4"/>
      <c r="CD2272" t="inlineStr">
        <is>
          <t>30</t>
        </is>
      </c>
      <c r="CE2272" t="inlineStr">
        <is>
          <t>0</t>
        </is>
      </c>
      <c r="CF2272" t="inlineStr">
        <is>
          <t>Q2-W01</t>
        </is>
      </c>
      <c r="CG2272"/>
      <c r="CH2272"/>
      <c r="CI2272"/>
      <c r="CJ2272" t="inlineStr">
        <is>
          <t>No Paid</t>
        </is>
      </c>
      <c r="CK2272" t="inlineStr">
        <is>
          <t>Not Eligible</t>
        </is>
      </c>
      <c r="CL2272"/>
      <c r="CM2272"/>
    </row>
    <row r="2273" ht="25.5" customHeight="1">
      <c r="A2273" t="inlineStr">
        <is>
          <t>202891</t>
        </is>
      </c>
      <c r="B2273" s="2"/>
      <c r="C2273"/>
      <c r="D2273" s="3">
        <v>46118.720509259256</v>
      </c>
      <c r="E2273" t="inlineStr">
        <is>
          <t>Q2-W01</t>
        </is>
      </c>
      <c r="F2273" t="inlineStr">
        <is>
          <t>Carmen</t>
        </is>
      </c>
      <c r="G2273" t="inlineStr">
        <is>
          <t>Customer</t>
        </is>
      </c>
      <c r="H2273" s="2" t="str">
        <f>=HYPERLINK("https://upbox.ajobthing.my/customer/202891", "https://upbox.ajobthing.my/customer/202891")</f>
        <v>https://upbox.ajobthing.my/customer/202891</v>
      </c>
      <c r="I2273" t="inlineStr">
        <is>
          <t>FIT IN CDC</t>
        </is>
      </c>
      <c r="J2273" t="inlineStr">
        <is>
          <t>Dolphin</t>
        </is>
      </c>
      <c r="K2273" t="inlineStr">
        <is>
          <t>Carmen</t>
        </is>
      </c>
      <c r="L2273" s="4"/>
      <c r="M2273" s="4">
        <v>46127.47851851852</v>
      </c>
      <c r="N2273"/>
      <c r="O2273">
        <v>1728</v>
      </c>
      <c r="P2273" s="4"/>
      <c r="Q2273" s="4"/>
      <c r="R2273"/>
      <c r="S2273"/>
      <c r="T2273" s="4"/>
      <c r="U2273" s="4"/>
      <c r="V2273"/>
      <c r="W2273"/>
      <c r="X2273"/>
      <c r="Y2273" t="inlineStr">
        <is>
          <t>Pending Appointment</t>
        </is>
      </c>
      <c r="Z2273" t="inlineStr">
        <is>
          <t>Hiring Now</t>
        </is>
      </c>
      <c r="AA2273">
        <v>2</v>
      </c>
      <c r="AB2273" t="inlineStr">
        <is>
          <t>No Appointment Made</t>
        </is>
      </c>
      <c r="AC2273"/>
      <c r="AD2273" t="inlineStr">
        <is>
          <t xml:space="preserve">2 junior Junior ABA Therapist </t>
        </is>
      </c>
      <c r="AE2273"/>
      <c r="AF2273">
        <v>0</v>
      </c>
      <c r="AG2273" s="4"/>
      <c r="AH2273" s="4"/>
      <c r="AI2273"/>
      <c r="AJ2273"/>
      <c r="AK2273"/>
      <c r="AL2273"/>
      <c r="AM2273"/>
      <c r="AN2273"/>
      <c r="AO2273"/>
      <c r="AP2273" t="inlineStr">
        <is>
          <t>Once a year (25%)</t>
        </is>
      </c>
      <c r="AQ2273"/>
      <c r="AR2273"/>
      <c r="AS2273" t="inlineStr">
        <is>
          <t>- Headcount: 2
- Hiring Job Details: 2 junior Junior ABA Therapist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273">
        <v>75</v>
      </c>
      <c r="AU2273" t="inlineStr">
        <is>
          <t>0.75</t>
        </is>
      </c>
      <c r="AV2273" t="inlineStr">
        <is>
          <t>15</t>
        </is>
      </c>
      <c r="AW2273" t="inlineStr">
        <is>
          <t>0</t>
        </is>
      </c>
      <c r="AX2273" t="inlineStr">
        <is>
          <t>Not Qualified</t>
        </is>
      </c>
      <c r="AY2273" s="4"/>
      <c r="AZ2273"/>
      <c r="BA2273"/>
      <c r="BB2273"/>
      <c r="BC2273" t="inlineStr">
        <is>
          <t>follow up</t>
        </is>
      </c>
      <c r="BD2273" s="4">
        <v>46134.72806712963</v>
      </c>
      <c r="BE2273"/>
      <c r="BF2273"/>
      <c r="BG2273" t="inlineStr">
        <is>
          <t>Reschedule</t>
        </is>
      </c>
      <c r="BH2273" t="inlineStr">
        <is>
          <t>Reagen</t>
        </is>
      </c>
      <c r="BI2273"/>
      <c r="BJ2273" s="4">
        <v>46144.75414351852</v>
      </c>
      <c r="BK2273" s="4">
        <v>46118.71884259259</v>
      </c>
      <c r="BL2273" t="inlineStr">
        <is>
          <t>0.0</t>
        </is>
      </c>
      <c r="BM2273" t="inlineStr">
        <is>
          <t>0.0</t>
        </is>
      </c>
      <c r="BN2273"/>
      <c r="BO2273" s="4"/>
      <c r="BP2273">
        <v>167155</v>
      </c>
      <c r="BQ2273"/>
      <c r="BR2273"/>
      <c r="BS2273"/>
      <c r="BT2273"/>
      <c r="BU2273"/>
      <c r="BV2273">
        <v>2721798</v>
      </c>
      <c r="BW2273" t="inlineStr">
        <is>
          <t>Follow Up : Callback Request</t>
        </is>
      </c>
      <c r="BX2273"/>
      <c r="BY2273"/>
      <c r="BZ2273" s="4"/>
      <c r="CA2273"/>
      <c r="CB2273"/>
      <c r="CC2273" s="4"/>
      <c r="CD2273" t="inlineStr">
        <is>
          <t>20</t>
        </is>
      </c>
      <c r="CE2273" t="inlineStr">
        <is>
          <t>0</t>
        </is>
      </c>
      <c r="CF2273" t="inlineStr">
        <is>
          <t>Q2-W02</t>
        </is>
      </c>
      <c r="CG2273"/>
      <c r="CH2273"/>
      <c r="CI2273"/>
      <c r="CJ2273" t="inlineStr">
        <is>
          <t>No Paid</t>
        </is>
      </c>
      <c r="CK2273" t="inlineStr">
        <is>
          <t>Not Eligible</t>
        </is>
      </c>
      <c r="CL2273"/>
      <c r="CM2273"/>
    </row>
    <row r="2274" ht="25.5" customHeight="1">
      <c r="A2274" t="inlineStr">
        <is>
          <t>202711</t>
        </is>
      </c>
      <c r="B2274" s="2"/>
      <c r="C2274"/>
      <c r="D2274" s="3">
        <v>46118.72625</v>
      </c>
      <c r="E2274" t="inlineStr">
        <is>
          <t>Q2-W01</t>
        </is>
      </c>
      <c r="F2274" t="inlineStr">
        <is>
          <t>Ken Yi</t>
        </is>
      </c>
      <c r="G2274" t="inlineStr">
        <is>
          <t>Customer</t>
        </is>
      </c>
      <c r="H2274" s="2" t="str">
        <f>=HYPERLINK("https://upbox.ajobthing.my/customer/202711", "https://upbox.ajobthing.my/customer/202711")</f>
        <v>https://upbox.ajobthing.my/customer/202711</v>
      </c>
      <c r="I2274" t="inlineStr">
        <is>
          <t>Agensi Serantau</t>
        </is>
      </c>
      <c r="J2274" t="inlineStr">
        <is>
          <t>Dolphin</t>
        </is>
      </c>
      <c r="K2274" t="inlineStr">
        <is>
          <t>Kenyi</t>
        </is>
      </c>
      <c r="L2274" s="4"/>
      <c r="M2274" s="4">
        <v>46118.72709490741</v>
      </c>
      <c r="N2274"/>
      <c r="O2274">
        <v>3888</v>
      </c>
      <c r="P2274" s="4"/>
      <c r="Q2274" s="4">
        <v>46114.01311342593</v>
      </c>
      <c r="R2274"/>
      <c r="S2274">
        <v>0</v>
      </c>
      <c r="T2274" s="4"/>
      <c r="U2274" s="4"/>
      <c r="V2274"/>
      <c r="W2274"/>
      <c r="X2274"/>
      <c r="Y2274" t="inlineStr">
        <is>
          <t>Pending Appointment</t>
        </is>
      </c>
      <c r="Z2274" t="inlineStr">
        <is>
          <t>Hiring Now</t>
        </is>
      </c>
      <c r="AA2274">
        <v>1</v>
      </c>
      <c r="AB2274" t="inlineStr">
        <is>
          <t>No Appointment Made</t>
        </is>
      </c>
      <c r="AC2274"/>
      <c r="AD2274" t="inlineStr">
        <is>
          <t>Admin</t>
        </is>
      </c>
      <c r="AE2274"/>
      <c r="AF2274">
        <v>0</v>
      </c>
      <c r="AG2274" s="4"/>
      <c r="AH2274" s="4"/>
      <c r="AI2274">
        <v>0</v>
      </c>
      <c r="AJ2274">
        <v>1</v>
      </c>
      <c r="AK2274" t="inlineStr">
        <is>
          <t>Yes, I have</t>
        </is>
      </c>
      <c r="AL2274">
        <v>1</v>
      </c>
      <c r="AM2274" t="inlineStr">
        <is>
          <t>No, I don't need at all</t>
        </is>
      </c>
      <c r="AN2274"/>
      <c r="AO2274" t="inlineStr">
        <is>
          <t>No, I don't need at all</t>
        </is>
      </c>
      <c r="AP2274" t="inlineStr">
        <is>
          <t>Every month (100%)</t>
        </is>
      </c>
      <c r="AQ2274">
        <v>1</v>
      </c>
      <c r="AR2274" t="inlineStr">
        <is>
          <t>Did not use any job portal</t>
        </is>
      </c>
      <c r="AS2274" t="inlineStr">
        <is>
          <t>- Headcount: 1
- Hiring Job Details: Admin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is>
      </c>
      <c r="AT2274">
        <v>115</v>
      </c>
      <c r="AU2274" t="inlineStr">
        <is>
          <t>1.15</t>
        </is>
      </c>
      <c r="AV2274" t="inlineStr">
        <is>
          <t>15</t>
        </is>
      </c>
      <c r="AW2274" t="inlineStr">
        <is>
          <t>0</t>
        </is>
      </c>
      <c r="AX2274" t="inlineStr">
        <is>
          <t>Not Qualified</t>
        </is>
      </c>
      <c r="AY2274" s="4"/>
      <c r="AZ2274"/>
      <c r="BA2274"/>
      <c r="BB2274"/>
      <c r="BC2274" t="inlineStr">
        <is>
          <t>- Headcount: 1
- Hiring Job Details: Admin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is>
      </c>
      <c r="BD2274" s="4">
        <v>46118.7500462963</v>
      </c>
      <c r="BE2274" t="inlineStr">
        <is>
          <t>paid</t>
        </is>
      </c>
      <c r="BF2274"/>
      <c r="BG2274" t="inlineStr">
        <is>
          <t>Reschedule</t>
        </is>
      </c>
      <c r="BH2274" t="inlineStr">
        <is>
          <t>Fauziah Maharan</t>
        </is>
      </c>
      <c r="BI2274"/>
      <c r="BJ2274" s="4">
        <v>46144.75409722222</v>
      </c>
      <c r="BK2274" s="4">
        <v>46114.00152777778</v>
      </c>
      <c r="BL2274" t="inlineStr">
        <is>
          <t>0.0</t>
        </is>
      </c>
      <c r="BM2274" t="inlineStr">
        <is>
          <t>0.0</t>
        </is>
      </c>
      <c r="BN2274" t="inlineStr">
        <is>
          <t>User Login</t>
        </is>
      </c>
      <c r="BO2274" s="4">
        <v>46114.01224537037</v>
      </c>
      <c r="BP2274">
        <v>165510</v>
      </c>
      <c r="BQ2274">
        <v>119417</v>
      </c>
      <c r="BR2274" t="inlineStr">
        <is>
          <t>Proforma</t>
        </is>
      </c>
      <c r="BS2274" t="inlineStr">
        <is>
          <t>Free Part-Time Job</t>
        </is>
      </c>
      <c r="BT2274"/>
      <c r="BU2274"/>
      <c r="BV2274">
        <v>2687564</v>
      </c>
      <c r="BW2274" t="inlineStr">
        <is>
          <t>Customer Inquiry</t>
        </is>
      </c>
      <c r="BX2274"/>
      <c r="BY2274"/>
      <c r="BZ2274" s="4"/>
      <c r="CA2274"/>
      <c r="CB2274"/>
      <c r="CC2274" s="4"/>
      <c r="CD2274" t="inlineStr">
        <is>
          <t>20</t>
        </is>
      </c>
      <c r="CE2274" t="inlineStr">
        <is>
          <t>0</t>
        </is>
      </c>
      <c r="CF2274" t="inlineStr">
        <is>
          <t>Q2-W01</t>
        </is>
      </c>
      <c r="CG2274" t="inlineStr">
        <is>
          <t>Q1-W13</t>
        </is>
      </c>
      <c r="CH2274"/>
      <c r="CI2274"/>
      <c r="CJ2274" t="inlineStr">
        <is>
          <t>No Paid</t>
        </is>
      </c>
      <c r="CK2274" t="inlineStr">
        <is>
          <t>Not Eligible</t>
        </is>
      </c>
      <c r="CL2274"/>
      <c r="CM2274"/>
    </row>
    <row r="2275" ht="25.5" customHeight="1">
      <c r="A2275" t="inlineStr">
        <is>
          <t>38075</t>
        </is>
      </c>
      <c r="B2275" s="2"/>
      <c r="C2275"/>
      <c r="D2275" s="3">
        <v>46118.7283912037</v>
      </c>
      <c r="E2275" t="inlineStr">
        <is>
          <t>Q2-W01</t>
        </is>
      </c>
      <c r="F2275" t="inlineStr">
        <is>
          <t>Ratha</t>
        </is>
      </c>
      <c r="G2275" t="inlineStr">
        <is>
          <t>Customer</t>
        </is>
      </c>
      <c r="H2275" s="2" t="str">
        <f>=HYPERLINK("https://upbox.ajobthing.my/customer/38075", "https://upbox.ajobthing.my/customer/38075")</f>
        <v>https://upbox.ajobthing.my/customer/38075</v>
      </c>
      <c r="I2275" t="inlineStr">
        <is>
          <t>Klinik Haiwan Healing Pets Sdn Bhd</t>
        </is>
      </c>
      <c r="J2275" t="inlineStr">
        <is>
          <t>Dolphin</t>
        </is>
      </c>
      <c r="K2275" t="inlineStr">
        <is>
          <t>Ratha</t>
        </is>
      </c>
      <c r="L2275" s="4"/>
      <c r="M2275" s="4">
        <v>46118.72891203704</v>
      </c>
      <c r="N2275"/>
      <c r="O2275">
        <v>5832</v>
      </c>
      <c r="P2275" s="4"/>
      <c r="Q2275" s="4">
        <v>44591.97547453704</v>
      </c>
      <c r="R2275"/>
      <c r="S2275">
        <v>583</v>
      </c>
      <c r="T2275" s="4">
        <v>44591.97547453704</v>
      </c>
      <c r="U2275" s="4"/>
      <c r="V2275"/>
      <c r="W2275">
        <v>583</v>
      </c>
      <c r="X2275"/>
      <c r="Y2275" t="inlineStr">
        <is>
          <t>Pending Appointment</t>
        </is>
      </c>
      <c r="Z2275" t="inlineStr">
        <is>
          <t>Hiring Now</t>
        </is>
      </c>
      <c r="AA2275">
        <v>2</v>
      </c>
      <c r="AB2275" t="inlineStr">
        <is>
          <t>No Appointment Made</t>
        </is>
      </c>
      <c r="AC2275"/>
      <c r="AD2275" t="inlineStr">
        <is>
          <t>Vet, admin
Location : Selangor</t>
        </is>
      </c>
      <c r="AE2275"/>
      <c r="AF2275"/>
      <c r="AG2275" s="4"/>
      <c r="AH2275" s="4"/>
      <c r="AI2275">
        <v>0</v>
      </c>
      <c r="AJ2275">
        <v>3</v>
      </c>
      <c r="AK2275" t="inlineStr">
        <is>
          <t>Yes, I have</t>
        </is>
      </c>
      <c r="AL2275">
        <v>2</v>
      </c>
      <c r="AM2275" t="inlineStr">
        <is>
          <t>No, I don't need at all</t>
        </is>
      </c>
      <c r="AN2275"/>
      <c r="AO2275" t="inlineStr">
        <is>
          <t>Yes, I have</t>
        </is>
      </c>
      <c r="AP2275" t="inlineStr">
        <is>
          <t>Once per quarter (75%)</t>
        </is>
      </c>
      <c r="AQ2275">
        <v>0</v>
      </c>
      <c r="AR2275" t="inlineStr">
        <is>
          <t>Jobstreet, Free Job Portal</t>
        </is>
      </c>
      <c r="AS2275" t="inlineStr">
        <is>
          <t>- Headcount: 2
- Hiring Job Details: Vet, admin
- Hiring Urgency: Hiring Now
- Number of outlets: 3
- Have recruiter team: Yes, I have
- Number of recruiter in company: 2
- Have ATS system: No, I don't need at all
- Have career website: Yes, I have
- Current hiring budget: Not specified
- Whole year budget: RM0.00
- Whole year number of vacancies: 0
- Hiring frequency: Once per quarter (75%)
- External job portal: Jobstreet, Free Job Portal</t>
        </is>
      </c>
      <c r="AT2275">
        <v>75</v>
      </c>
      <c r="AU2275" t="inlineStr">
        <is>
          <t>0.75</t>
        </is>
      </c>
      <c r="AV2275" t="inlineStr">
        <is>
          <t>5</t>
        </is>
      </c>
      <c r="AW2275" t="inlineStr">
        <is>
          <t>0</t>
        </is>
      </c>
      <c r="AX2275" t="inlineStr">
        <is>
          <t>Not Qualified</t>
        </is>
      </c>
      <c r="AY2275" s="4"/>
      <c r="AZ2275"/>
      <c r="BA2275"/>
      <c r="BB2275"/>
      <c r="BC2275" t="inlineStr">
        <is>
          <t>not consider</t>
        </is>
      </c>
      <c r="BD2275" s="4">
        <v>46125.42519675926</v>
      </c>
      <c r="BE2275" t="inlineStr">
        <is>
          <t>paid</t>
        </is>
      </c>
      <c r="BF2275"/>
      <c r="BG2275" t="inlineStr">
        <is>
          <t>Reschedule</t>
        </is>
      </c>
      <c r="BH2275" t="inlineStr">
        <is>
          <t>Fauziah Maharan</t>
        </is>
      </c>
      <c r="BI2275" t="inlineStr">
        <is>
          <t>Healthcare / Medical</t>
        </is>
      </c>
      <c r="BJ2275" s="4">
        <v>46144.75491898148</v>
      </c>
      <c r="BK2275" s="4">
        <v>42888.02556712963</v>
      </c>
      <c r="BL2275" t="inlineStr">
        <is>
          <t>0.0</t>
        </is>
      </c>
      <c r="BM2275" t="inlineStr">
        <is>
          <t>4200.0</t>
        </is>
      </c>
      <c r="BN2275" t="inlineStr">
        <is>
          <t>User Visit(Logged In)</t>
        </is>
      </c>
      <c r="BO2275" s="4">
        <v>46094.23991898148</v>
      </c>
      <c r="BP2275">
        <v>165513</v>
      </c>
      <c r="BQ2275">
        <v>40217</v>
      </c>
      <c r="BR2275" t="inlineStr">
        <is>
          <t>Online</t>
        </is>
      </c>
      <c r="BS2275"/>
      <c r="BT2275">
        <v>40217</v>
      </c>
      <c r="BU2275"/>
      <c r="BV2275">
        <v>2700016</v>
      </c>
      <c r="BW2275" t="inlineStr">
        <is>
          <t>Follow Up : Budget Concern</t>
        </is>
      </c>
      <c r="BX2275"/>
      <c r="BY2275"/>
      <c r="BZ2275" s="4"/>
      <c r="CA2275"/>
      <c r="CB2275"/>
      <c r="CC2275" s="4"/>
      <c r="CD2275" t="inlineStr">
        <is>
          <t>5</t>
        </is>
      </c>
      <c r="CE2275" t="inlineStr">
        <is>
          <t>0</t>
        </is>
      </c>
      <c r="CF2275" t="inlineStr">
        <is>
          <t>Q2-W01</t>
        </is>
      </c>
      <c r="CG2275"/>
      <c r="CH2275"/>
      <c r="CI2275"/>
      <c r="CJ2275" t="inlineStr">
        <is>
          <t>Paid</t>
        </is>
      </c>
      <c r="CK2275" t="inlineStr">
        <is>
          <t>Not Eligible</t>
        </is>
      </c>
      <c r="CL2275"/>
      <c r="CM2275"/>
    </row>
    <row r="2276" ht="25.5" customHeight="1">
      <c r="A2276" t="inlineStr">
        <is>
          <t>145847</t>
        </is>
      </c>
      <c r="B2276" s="2"/>
      <c r="C2276"/>
      <c r="D2276" s="3">
        <v>46118.7283912037</v>
      </c>
      <c r="E2276" t="inlineStr">
        <is>
          <t>Q2-W01</t>
        </is>
      </c>
      <c r="F2276" t="inlineStr">
        <is>
          <t>Yuli</t>
        </is>
      </c>
      <c r="G2276" t="inlineStr">
        <is>
          <t>Customer</t>
        </is>
      </c>
      <c r="H2276" s="2" t="str">
        <f>=HYPERLINK("https://upbox.ajobthing.my/customer/145847", "https://upbox.ajobthing.my/customer/145847")</f>
        <v>https://upbox.ajobthing.my/customer/145847</v>
      </c>
      <c r="I2276" t="inlineStr">
        <is>
          <t>Heng Hup Metal Sdn Bhd</t>
        </is>
      </c>
      <c r="J2276" t="inlineStr">
        <is>
          <t>Dolphin</t>
        </is>
      </c>
      <c r="K2276" t="inlineStr">
        <is>
          <t>YuLi</t>
        </is>
      </c>
      <c r="L2276" s="4"/>
      <c r="M2276" s="4">
        <v>46119.36895833333</v>
      </c>
      <c r="N2276"/>
      <c r="O2276">
        <v>6048</v>
      </c>
      <c r="P2276" s="4"/>
      <c r="Q2276" s="4">
        <v>45995.958391203705</v>
      </c>
      <c r="R2276"/>
      <c r="S2276">
        <v>864</v>
      </c>
      <c r="T2276" s="4">
        <v>45995.958391203705</v>
      </c>
      <c r="U2276" s="4"/>
      <c r="V2276"/>
      <c r="W2276">
        <v>864</v>
      </c>
      <c r="X2276"/>
      <c r="Y2276" t="inlineStr">
        <is>
          <t>Pending Appointment</t>
        </is>
      </c>
      <c r="Z2276" t="inlineStr">
        <is>
          <t>Hiring Now</t>
        </is>
      </c>
      <c r="AA2276">
        <v>3</v>
      </c>
      <c r="AB2276" t="inlineStr">
        <is>
          <t>No Appointment Made</t>
        </is>
      </c>
      <c r="AC2276"/>
      <c r="AD2276" t="inlineStr">
        <is>
          <t>Accounts Payable, Team Lead, Marketing with Recycle knowledge or experience</t>
        </is>
      </c>
      <c r="AE2276"/>
      <c r="AF2276"/>
      <c r="AG2276" s="4"/>
      <c r="AH2276" s="4"/>
      <c r="AI2276"/>
      <c r="AJ2276"/>
      <c r="AK2276"/>
      <c r="AL2276"/>
      <c r="AM2276"/>
      <c r="AN2276"/>
      <c r="AO2276"/>
      <c r="AP2276" t="inlineStr">
        <is>
          <t>Once per quarter (75%)</t>
        </is>
      </c>
      <c r="AQ2276"/>
      <c r="AR2276" t="inlineStr">
        <is>
          <t>Jobstreet</t>
        </is>
      </c>
      <c r="AS2276" t="inlineStr">
        <is>
          <t>- Headcount: 3
- Hiring Job Details: Accounts Payable, Team Lead, Marketing with Recycle knowledge or experience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Once per quarter (75%)
- External job portal: Jobstreet</t>
        </is>
      </c>
      <c r="AT2276">
        <v>75</v>
      </c>
      <c r="AU2276" t="inlineStr">
        <is>
          <t>0.75</t>
        </is>
      </c>
      <c r="AV2276" t="inlineStr">
        <is>
          <t>5</t>
        </is>
      </c>
      <c r="AW2276" t="inlineStr">
        <is>
          <t>0</t>
        </is>
      </c>
      <c r="AX2276" t="inlineStr">
        <is>
          <t>Not Qualified</t>
        </is>
      </c>
      <c r="AY2276" s="4"/>
      <c r="AZ2276"/>
      <c r="BA2276"/>
      <c r="BB2276"/>
      <c r="BC2276" t="inlineStr">
        <is>
          <t>called and spoke to Mr. Chong, they using Jobstore by using RM 3500 for 7 posting, they got service for filter from job store for the position they hire due to they looking the nitch position. which they need some one have recycle item experience.</t>
        </is>
      </c>
      <c r="BD2276" s="4">
        <v>46141.66423611111</v>
      </c>
      <c r="BE2276" t="inlineStr">
        <is>
          <t>paid</t>
        </is>
      </c>
      <c r="BF2276"/>
      <c r="BG2276" t="inlineStr">
        <is>
          <t>Reschedule</t>
        </is>
      </c>
      <c r="BH2276" t="inlineStr">
        <is>
          <t>Fauziah Maharan</t>
        </is>
      </c>
      <c r="BI2276" t="inlineStr">
        <is>
          <t>General / Wholesale Trading</t>
        </is>
      </c>
      <c r="BJ2276" s="4">
        <v>46144.75074074074</v>
      </c>
      <c r="BK2276" s="4">
        <v>44551.697743055556</v>
      </c>
      <c r="BL2276" t="inlineStr">
        <is>
          <t>864.0</t>
        </is>
      </c>
      <c r="BM2276" t="inlineStr">
        <is>
          <t>3600.0</t>
        </is>
      </c>
      <c r="BN2276" t="inlineStr">
        <is>
          <t>View Jobmanager Page</t>
        </is>
      </c>
      <c r="BO2276" s="4">
        <v>46057.72898148148</v>
      </c>
      <c r="BP2276">
        <v>165534</v>
      </c>
      <c r="BQ2276">
        <v>84737</v>
      </c>
      <c r="BR2276" t="inlineStr">
        <is>
          <t>Online</t>
        </is>
      </c>
      <c r="BS2276"/>
      <c r="BT2276">
        <v>84737</v>
      </c>
      <c r="BU2276"/>
      <c r="BV2276">
        <v>2735759</v>
      </c>
      <c r="BW2276" t="inlineStr">
        <is>
          <t>Follow Up : Lost - Paid Portal</t>
        </is>
      </c>
      <c r="BX2276"/>
      <c r="BY2276"/>
      <c r="BZ2276" s="4"/>
      <c r="CA2276"/>
      <c r="CB2276"/>
      <c r="CC2276" s="4"/>
      <c r="CD2276" t="inlineStr">
        <is>
          <t>5</t>
        </is>
      </c>
      <c r="CE2276" t="inlineStr">
        <is>
          <t>0</t>
        </is>
      </c>
      <c r="CF2276" t="inlineStr">
        <is>
          <t>Q2-W01</t>
        </is>
      </c>
      <c r="CG2276"/>
      <c r="CH2276"/>
      <c r="CI2276"/>
      <c r="CJ2276" t="inlineStr">
        <is>
          <t>Paid</t>
        </is>
      </c>
      <c r="CK2276" t="inlineStr">
        <is>
          <t>Not Eligible</t>
        </is>
      </c>
      <c r="CL2276"/>
      <c r="CM2276"/>
    </row>
    <row r="2277" ht="25.5" customHeight="1">
      <c r="A2277" t="inlineStr">
        <is>
          <t>181116</t>
        </is>
      </c>
      <c r="B2277" s="2"/>
      <c r="C2277"/>
      <c r="D2277" s="3">
        <v>46118.742800925924</v>
      </c>
      <c r="E2277" t="inlineStr">
        <is>
          <t>Q2-W01</t>
        </is>
      </c>
      <c r="F2277" t="inlineStr">
        <is>
          <t>Yuli</t>
        </is>
      </c>
      <c r="G2277" t="inlineStr">
        <is>
          <t>Customer</t>
        </is>
      </c>
      <c r="H2277" s="2" t="str">
        <f>=HYPERLINK("https://upbox.ajobthing.my/customer/181116", "https://upbox.ajobthing.my/customer/181116")</f>
        <v>https://upbox.ajobthing.my/customer/181116</v>
      </c>
      <c r="I2277" t="inlineStr">
        <is>
          <t>Bukhari Rusli Marketing</t>
        </is>
      </c>
      <c r="J2277" t="inlineStr">
        <is>
          <t>Dolphin</t>
        </is>
      </c>
      <c r="K2277" t="inlineStr">
        <is>
          <t>YuLi</t>
        </is>
      </c>
      <c r="L2277" s="4"/>
      <c r="M2277" s="4">
        <v>46118.74180555555</v>
      </c>
      <c r="N2277"/>
      <c r="O2277">
        <v>3672</v>
      </c>
      <c r="P2277" s="4"/>
      <c r="Q2277" s="4">
        <v>45761.710960648146</v>
      </c>
      <c r="R2277"/>
      <c r="S2277">
        <v>648</v>
      </c>
      <c r="T2277" s="4">
        <v>45761.710960648146</v>
      </c>
      <c r="U2277" s="4"/>
      <c r="V2277"/>
      <c r="W2277">
        <v>648</v>
      </c>
      <c r="X2277"/>
      <c r="Y2277" t="inlineStr">
        <is>
          <t>Pending Appointment</t>
        </is>
      </c>
      <c r="Z2277" t="inlineStr">
        <is>
          <t>Hiring Now</t>
        </is>
      </c>
      <c r="AA2277">
        <v>2</v>
      </c>
      <c r="AB2277" t="inlineStr">
        <is>
          <t>No Appointment Made</t>
        </is>
      </c>
      <c r="AC2277"/>
      <c r="AD2277" t="inlineStr">
        <is>
          <t>2 Customer Service Executive</t>
        </is>
      </c>
      <c r="AE2277"/>
      <c r="AF2277"/>
      <c r="AG2277" s="4"/>
      <c r="AH2277" s="4"/>
      <c r="AI2277"/>
      <c r="AJ2277"/>
      <c r="AK2277"/>
      <c r="AL2277"/>
      <c r="AM2277"/>
      <c r="AN2277"/>
      <c r="AO2277"/>
      <c r="AP2277"/>
      <c r="AQ2277"/>
      <c r="AR2277" t="inlineStr">
        <is>
          <t>Jobstreet</t>
        </is>
      </c>
      <c r="AS2277" t="inlineStr">
        <is>
          <t>- Headcount: 2
- Hiring Job Details: 2 Customer Service Executive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Jobstreet</t>
        </is>
      </c>
      <c r="AT2277">
        <v>85</v>
      </c>
      <c r="AU2277" t="inlineStr">
        <is>
          <t>0.85</t>
        </is>
      </c>
      <c r="AV2277" t="inlineStr">
        <is>
          <t>5</t>
        </is>
      </c>
      <c r="AW2277" t="inlineStr">
        <is>
          <t>0</t>
        </is>
      </c>
      <c r="AX2277" t="inlineStr">
        <is>
          <t>Not Qualified</t>
        </is>
      </c>
      <c r="AY2277" s="4"/>
      <c r="AZ2277"/>
      <c r="BA2277"/>
      <c r="BB2277"/>
      <c r="BC2277" t="inlineStr">
        <is>
          <t>as per Bukhairi, all position had been fufillled.</t>
        </is>
      </c>
      <c r="BD2277" s="4">
        <v>46125.59837962963</v>
      </c>
      <c r="BE2277" t="inlineStr">
        <is>
          <t>paid</t>
        </is>
      </c>
      <c r="BF2277"/>
      <c r="BG2277" t="inlineStr">
        <is>
          <t>Reschedule</t>
        </is>
      </c>
      <c r="BH2277" t="inlineStr">
        <is>
          <t>Fauziah Maharan</t>
        </is>
      </c>
      <c r="BI2277" t="inlineStr">
        <is>
          <t>Beauty / Fitness</t>
        </is>
      </c>
      <c r="BJ2277" s="4">
        <v>46144.751863425925</v>
      </c>
      <c r="BK2277" s="4">
        <v>45504.909050925926</v>
      </c>
      <c r="BL2277" t="inlineStr">
        <is>
          <t>648.0</t>
        </is>
      </c>
      <c r="BM2277" t="inlineStr">
        <is>
          <t>1200.0</t>
        </is>
      </c>
      <c r="BN2277" t="inlineStr">
        <is>
          <t>View Jobmanager Page</t>
        </is>
      </c>
      <c r="BO2277" s="4">
        <v>46112.41193287037</v>
      </c>
      <c r="BP2277">
        <v>165518</v>
      </c>
      <c r="BQ2277">
        <v>78456</v>
      </c>
      <c r="BR2277" t="inlineStr">
        <is>
          <t>Online</t>
        </is>
      </c>
      <c r="BS2277"/>
      <c r="BT2277">
        <v>78456</v>
      </c>
      <c r="BU2277"/>
      <c r="BV2277">
        <v>2700921</v>
      </c>
      <c r="BW2277" t="inlineStr">
        <is>
          <t>Follow Up : Lost - Free Portal</t>
        </is>
      </c>
      <c r="BX2277"/>
      <c r="BY2277"/>
      <c r="BZ2277" s="4"/>
      <c r="CA2277"/>
      <c r="CB2277"/>
      <c r="CC2277" s="4"/>
      <c r="CD2277" t="inlineStr">
        <is>
          <t>5</t>
        </is>
      </c>
      <c r="CE2277" t="inlineStr">
        <is>
          <t>0</t>
        </is>
      </c>
      <c r="CF2277" t="inlineStr">
        <is>
          <t>Q2-W01</t>
        </is>
      </c>
      <c r="CG2277"/>
      <c r="CH2277"/>
      <c r="CI2277"/>
      <c r="CJ2277" t="inlineStr">
        <is>
          <t>Paid</t>
        </is>
      </c>
      <c r="CK2277" t="inlineStr">
        <is>
          <t>Not Eligible</t>
        </is>
      </c>
      <c r="CL2277"/>
      <c r="CM2277"/>
    </row>
    <row r="2278" ht="25.5" customHeight="1">
      <c r="A2278" t="inlineStr">
        <is>
          <t>30175</t>
        </is>
      </c>
      <c r="B2278" s="2"/>
      <c r="C2278"/>
      <c r="D2278" s="3">
        <v>46118.757372685184</v>
      </c>
      <c r="E2278" t="inlineStr">
        <is>
          <t>Q2-W01</t>
        </is>
      </c>
      <c r="F2278" t="inlineStr">
        <is>
          <t>Jess</t>
        </is>
      </c>
      <c r="G2278" t="inlineStr">
        <is>
          <t>Customer</t>
        </is>
      </c>
      <c r="H2278" s="2" t="str">
        <f>=HYPERLINK("https://upbox.ajobthing.my/customer/30175", "https://upbox.ajobthing.my/customer/30175")</f>
        <v>https://upbox.ajobthing.my/customer/30175</v>
      </c>
      <c r="I2278" t="inlineStr">
        <is>
          <t>SCRC Jaya Sdn Bhd</t>
        </is>
      </c>
      <c r="J2278" t="inlineStr">
        <is>
          <t>Dolphin</t>
        </is>
      </c>
      <c r="K2278" t="inlineStr">
        <is>
          <t>Jess Lim</t>
        </is>
      </c>
      <c r="L2278" s="4"/>
      <c r="M2278" s="4">
        <v>46118.75142361111</v>
      </c>
      <c r="N2278"/>
      <c r="O2278">
        <v>3888</v>
      </c>
      <c r="P2278" s="4"/>
      <c r="Q2278" s="4">
        <v>45992.59284722222</v>
      </c>
      <c r="R2278"/>
      <c r="S2278">
        <v>648</v>
      </c>
      <c r="T2278" s="4">
        <v>45992.59284722222</v>
      </c>
      <c r="U2278" s="4"/>
      <c r="V2278"/>
      <c r="W2278">
        <v>648</v>
      </c>
      <c r="X2278"/>
      <c r="Y2278" t="inlineStr">
        <is>
          <t>Pending Appointment</t>
        </is>
      </c>
      <c r="Z2278" t="inlineStr">
        <is>
          <t>Hiring Now</t>
        </is>
      </c>
      <c r="AA2278">
        <v>4</v>
      </c>
      <c r="AB2278" t="inlineStr">
        <is>
          <t>No Appointment Made</t>
        </is>
      </c>
      <c r="AC2278"/>
      <c r="AD2278" t="inlineStr">
        <is>
          <t>customer service marketing sales admin</t>
        </is>
      </c>
      <c r="AE2278"/>
      <c r="AF2278">
        <v>3600</v>
      </c>
      <c r="AG2278" s="4"/>
      <c r="AH2278" s="4"/>
      <c r="AI2278"/>
      <c r="AJ2278"/>
      <c r="AK2278" t="inlineStr">
        <is>
          <t>No, I don't need at all</t>
        </is>
      </c>
      <c r="AL2278">
        <v>1</v>
      </c>
      <c r="AM2278" t="inlineStr">
        <is>
          <t>No, I don't need at all</t>
        </is>
      </c>
      <c r="AN2278"/>
      <c r="AO2278"/>
      <c r="AP2278" t="inlineStr">
        <is>
          <t>Every month (100%)</t>
        </is>
      </c>
      <c r="AQ2278"/>
      <c r="AR2278" t="inlineStr">
        <is>
          <t>Jobstreet</t>
        </is>
      </c>
      <c r="AS2278" t="inlineStr">
        <is>
          <t>- Headcount: Not provided
- Hiring Job Details: customer service, marketing, sales, admin
- Hiring Urgency: Hiring Now
- Number of outlets: Not provided
- Have recruiter team: No, I don't need at all
- Number of recruiter in company: 1
- Have ATS system: No, I don't need at all
- Have career website: Not provided
- Current hiring budget: RM3,600.00
- Whole year budget: Not provided
- Whole year number of vacancies: Not provided
- Hiring frequency: Every month (100%)
- External job portal: Jobstreet</t>
        </is>
      </c>
      <c r="AT2278">
        <v>60</v>
      </c>
      <c r="AU2278" t="inlineStr">
        <is>
          <t>0.60</t>
        </is>
      </c>
      <c r="AV2278" t="inlineStr">
        <is>
          <t>15</t>
        </is>
      </c>
      <c r="AW2278" t="inlineStr">
        <is>
          <t>0</t>
        </is>
      </c>
      <c r="AX2278" t="inlineStr">
        <is>
          <t>Not Qualified</t>
        </is>
      </c>
      <c r="AY2278" s="4"/>
      <c r="AZ2278"/>
      <c r="BA2278"/>
      <c r="BB2278"/>
      <c r="BC2278" t="inlineStr">
        <is>
          <t>got other account use 800 paid portal, result not good</t>
        </is>
      </c>
      <c r="BD2278" s="4">
        <v>46127.801400462966</v>
      </c>
      <c r="BE2278" t="inlineStr">
        <is>
          <t>paid</t>
        </is>
      </c>
      <c r="BF2278"/>
      <c r="BG2278" t="inlineStr">
        <is>
          <t>Reschedule</t>
        </is>
      </c>
      <c r="BH2278" t="inlineStr">
        <is>
          <t>Fauziah Maharan</t>
        </is>
      </c>
      <c r="BI2278" t="inlineStr">
        <is>
          <t>Construction / Building</t>
        </is>
      </c>
      <c r="BJ2278" s="4">
        <v>46144.75454861111</v>
      </c>
      <c r="BK2278" s="4">
        <v>42662.66641203704</v>
      </c>
      <c r="BL2278" t="inlineStr">
        <is>
          <t>1296.0</t>
        </is>
      </c>
      <c r="BM2278" t="inlineStr">
        <is>
          <t>600.0</t>
        </is>
      </c>
      <c r="BN2278" t="inlineStr">
        <is>
          <t>View AI Candidate Search</t>
        </is>
      </c>
      <c r="BO2278" s="4">
        <v>46115.1112037037</v>
      </c>
      <c r="BP2278">
        <v>165520</v>
      </c>
      <c r="BQ2278">
        <v>84594</v>
      </c>
      <c r="BR2278" t="inlineStr">
        <is>
          <t>Online</t>
        </is>
      </c>
      <c r="BS2278"/>
      <c r="BT2278">
        <v>84594</v>
      </c>
      <c r="BU2278"/>
      <c r="BV2278">
        <v>2707352</v>
      </c>
      <c r="BW2278" t="inlineStr">
        <is>
          <t>Follow Up : Lost - Paid Portal</t>
        </is>
      </c>
      <c r="BX2278"/>
      <c r="BY2278"/>
      <c r="BZ2278" s="4"/>
      <c r="CA2278"/>
      <c r="CB2278"/>
      <c r="CC2278" s="4"/>
      <c r="CD2278" t="inlineStr">
        <is>
          <t>20</t>
        </is>
      </c>
      <c r="CE2278" t="inlineStr">
        <is>
          <t>0</t>
        </is>
      </c>
      <c r="CF2278" t="inlineStr">
        <is>
          <t>Q2-W01</t>
        </is>
      </c>
      <c r="CG2278"/>
      <c r="CH2278"/>
      <c r="CI2278"/>
      <c r="CJ2278" t="inlineStr">
        <is>
          <t>Paid</t>
        </is>
      </c>
      <c r="CK2278" t="inlineStr">
        <is>
          <t>Not Eligible</t>
        </is>
      </c>
      <c r="CL2278"/>
      <c r="CM2278"/>
    </row>
    <row r="2279" ht="25.5" customHeight="1">
      <c r="A2279" t="inlineStr">
        <is>
          <t>202879</t>
        </is>
      </c>
      <c r="B2279" s="2"/>
      <c r="C2279"/>
      <c r="D2279" s="3">
        <v>46118.76311342593</v>
      </c>
      <c r="E2279" t="inlineStr">
        <is>
          <t>Q2-W01</t>
        </is>
      </c>
      <c r="F2279" t="inlineStr">
        <is>
          <t>Clover</t>
        </is>
      </c>
      <c r="G2279" t="inlineStr">
        <is>
          <t>Customer</t>
        </is>
      </c>
      <c r="H2279" s="2" t="str">
        <f>=HYPERLINK("https://upbox.ajobthing.my/customer/202879", "https://upbox.ajobthing.my/customer/202879")</f>
        <v>https://upbox.ajobthing.my/customer/202879</v>
      </c>
      <c r="I2279" t="inlineStr">
        <is>
          <t>OTN Machinery Sdn bhd</t>
        </is>
      </c>
      <c r="J2279" t="inlineStr">
        <is>
          <t>Dolphin</t>
        </is>
      </c>
      <c r="K2279" t="inlineStr">
        <is>
          <t>Clover</t>
        </is>
      </c>
      <c r="L2279" s="4"/>
      <c r="M2279" s="4">
        <v>46118.763287037036</v>
      </c>
      <c r="N2279"/>
      <c r="O2279">
        <v>3888</v>
      </c>
      <c r="P2279" s="4"/>
      <c r="Q2279" s="4"/>
      <c r="R2279"/>
      <c r="S2279"/>
      <c r="T2279" s="4"/>
      <c r="U2279" s="4"/>
      <c r="V2279"/>
      <c r="W2279"/>
      <c r="X2279"/>
      <c r="Y2279" t="inlineStr">
        <is>
          <t>Pending Appointment</t>
        </is>
      </c>
      <c r="Z2279" t="inlineStr">
        <is>
          <t>Hiring Now</t>
        </is>
      </c>
      <c r="AA2279">
        <v>2</v>
      </c>
      <c r="AB2279" t="inlineStr">
        <is>
          <t>No Appointment Made</t>
        </is>
      </c>
      <c r="AC2279"/>
      <c r="AD2279" t="inlineStr">
        <is>
          <t xml:space="preserve">Want to hire Video editing x1, social media executive x1, prefer chi, edit mandarin video, future have hirings, suggest stand </t>
        </is>
      </c>
      <c r="AE2279"/>
      <c r="AF2279">
        <v>3000</v>
      </c>
      <c r="AG2279" s="4"/>
      <c r="AH2279" s="4"/>
      <c r="AI2279">
        <v>3000</v>
      </c>
      <c r="AJ2279">
        <v>1</v>
      </c>
      <c r="AK2279" t="inlineStr">
        <is>
          <t>No, but I want in future</t>
        </is>
      </c>
      <c r="AL2279">
        <v>1</v>
      </c>
      <c r="AM2279" t="inlineStr">
        <is>
          <t>No, but I want in future</t>
        </is>
      </c>
      <c r="AN2279"/>
      <c r="AO2279" t="inlineStr">
        <is>
          <t>No, but I want in future</t>
        </is>
      </c>
      <c r="AP2279" t="inlineStr">
        <is>
          <t>Twice a year (50%)</t>
        </is>
      </c>
      <c r="AQ2279">
        <v>2</v>
      </c>
      <c r="AR2279" t="inlineStr">
        <is>
          <t>Did not use any job portal</t>
        </is>
      </c>
      <c r="AS2279" t="inlineStr">
        <is>
          <t>- Headcount: 2
- Hiring Job Details: 1 video editing, 1 social media executive; prefer Chinese, edit Mandarin videos; future hirings planned,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279">
        <v>115</v>
      </c>
      <c r="AU2279" t="inlineStr">
        <is>
          <t>1.15</t>
        </is>
      </c>
      <c r="AV2279" t="inlineStr">
        <is>
          <t>15</t>
        </is>
      </c>
      <c r="AW2279" t="inlineStr">
        <is>
          <t>0</t>
        </is>
      </c>
      <c r="AX2279" t="inlineStr">
        <is>
          <t>Not Qualified</t>
        </is>
      </c>
      <c r="AY2279" s="4"/>
      <c r="AZ2279"/>
      <c r="BA2279"/>
      <c r="BB2279"/>
      <c r="BC2279" t="inlineStr">
        <is>
          <t>Call npu</t>
        </is>
      </c>
      <c r="BD2279" s="4">
        <v>46135.68914351852</v>
      </c>
      <c r="BE2279"/>
      <c r="BF2279"/>
      <c r="BG2279" t="inlineStr">
        <is>
          <t>Reschedule</t>
        </is>
      </c>
      <c r="BH2279" t="inlineStr">
        <is>
          <t>Reagen</t>
        </is>
      </c>
      <c r="BI2279"/>
      <c r="BJ2279" s="4">
        <v>46144.75414351852</v>
      </c>
      <c r="BK2279" s="4">
        <v>46118.68284722222</v>
      </c>
      <c r="BL2279" t="inlineStr">
        <is>
          <t>0.0</t>
        </is>
      </c>
      <c r="BM2279" t="inlineStr">
        <is>
          <t>0.0</t>
        </is>
      </c>
      <c r="BN2279"/>
      <c r="BO2279" s="4"/>
      <c r="BP2279">
        <v>165523</v>
      </c>
      <c r="BQ2279"/>
      <c r="BR2279"/>
      <c r="BS2279"/>
      <c r="BT2279"/>
      <c r="BU2279"/>
      <c r="BV2279">
        <v>2724804</v>
      </c>
      <c r="BW2279" t="inlineStr">
        <is>
          <t>No Answer : Voicemail - WA sent to customer</t>
        </is>
      </c>
      <c r="BX2279"/>
      <c r="BY2279"/>
      <c r="BZ2279" s="4"/>
      <c r="CA2279"/>
      <c r="CB2279"/>
      <c r="CC2279" s="4"/>
      <c r="CD2279" t="inlineStr">
        <is>
          <t>20</t>
        </is>
      </c>
      <c r="CE2279" t="inlineStr">
        <is>
          <t>0</t>
        </is>
      </c>
      <c r="CF2279" t="inlineStr">
        <is>
          <t>Q2-W01</t>
        </is>
      </c>
      <c r="CG2279"/>
      <c r="CH2279"/>
      <c r="CI2279"/>
      <c r="CJ2279" t="inlineStr">
        <is>
          <t>No Paid</t>
        </is>
      </c>
      <c r="CK2279" t="inlineStr">
        <is>
          <t>Not Eligible</t>
        </is>
      </c>
      <c r="CL2279"/>
      <c r="CM2279"/>
    </row>
    <row r="2280" ht="25.5" customHeight="1">
      <c r="A2280" t="inlineStr">
        <is>
          <t>199672</t>
        </is>
      </c>
      <c r="B2280" s="2"/>
      <c r="C2280"/>
      <c r="D2280" s="3">
        <v>46118.76572916667</v>
      </c>
      <c r="E2280" t="inlineStr">
        <is>
          <t>Q2-W01</t>
        </is>
      </c>
      <c r="F2280" t="inlineStr">
        <is>
          <t>Dickson</t>
        </is>
      </c>
      <c r="G2280" t="inlineStr">
        <is>
          <t>Customer</t>
        </is>
      </c>
      <c r="H2280" s="2" t="str">
        <f>=HYPERLINK("https://upbox.ajobthing.my/customer/199672", "https://upbox.ajobthing.my/customer/199672")</f>
        <v>https://upbox.ajobthing.my/customer/199672</v>
      </c>
      <c r="I2280" t="inlineStr">
        <is>
          <t>Dianduo (m) Sdn Bhd</t>
        </is>
      </c>
      <c r="J2280" t="inlineStr">
        <is>
          <t>Dolphin</t>
        </is>
      </c>
      <c r="K2280" t="inlineStr">
        <is>
          <t>Dickson</t>
        </is>
      </c>
      <c r="L2280" s="4"/>
      <c r="M2280" s="4">
        <v>46118.76875</v>
      </c>
      <c r="N2280"/>
      <c r="O2280">
        <v>3672</v>
      </c>
      <c r="P2280" s="4"/>
      <c r="Q2280" s="4"/>
      <c r="R2280"/>
      <c r="S2280"/>
      <c r="T2280" s="4"/>
      <c r="U2280" s="4"/>
      <c r="V2280"/>
      <c r="W2280"/>
      <c r="X2280"/>
      <c r="Y2280" t="inlineStr">
        <is>
          <t>Pending Appointment</t>
        </is>
      </c>
      <c r="Z2280" t="inlineStr">
        <is>
          <t>Hiring Now</t>
        </is>
      </c>
      <c r="AA2280">
        <v>3</v>
      </c>
      <c r="AB2280" t="inlineStr">
        <is>
          <t>No Appointment Made</t>
        </is>
      </c>
      <c r="AC2280"/>
      <c r="AD2280" t="inlineStr">
        <is>
          <t>1 mechanic, 2 managerial positions</t>
        </is>
      </c>
      <c r="AE2280"/>
      <c r="AF2280"/>
      <c r="AG2280" s="4"/>
      <c r="AH2280" s="4"/>
      <c r="AI2280"/>
      <c r="AJ2280">
        <v>1</v>
      </c>
      <c r="AK2280" t="inlineStr">
        <is>
          <t>No, I don't need at all</t>
        </is>
      </c>
      <c r="AL2280"/>
      <c r="AM2280" t="inlineStr">
        <is>
          <t>No, I don't need at all</t>
        </is>
      </c>
      <c r="AN2280"/>
      <c r="AO2280" t="inlineStr">
        <is>
          <t>No, I don't need at all</t>
        </is>
      </c>
      <c r="AP2280" t="inlineStr">
        <is>
          <t>Once per quarter (75%)</t>
        </is>
      </c>
      <c r="AQ2280"/>
      <c r="AR2280" t="inlineStr">
        <is>
          <t>Free Job Portal</t>
        </is>
      </c>
      <c r="AS2280" t="inlineStr">
        <is>
          <t>- Headcount: 3
- Hiring Job Details: 1 mechanic, 2 managerial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is>
      </c>
      <c r="AT2280">
        <v>95</v>
      </c>
      <c r="AU2280" t="inlineStr">
        <is>
          <t>0.95</t>
        </is>
      </c>
      <c r="AV2280" t="inlineStr">
        <is>
          <t>5</t>
        </is>
      </c>
      <c r="AW2280" t="inlineStr">
        <is>
          <t>0</t>
        </is>
      </c>
      <c r="AX2280" t="inlineStr">
        <is>
          <t>Not Qualified</t>
        </is>
      </c>
      <c r="AY2280" s="4"/>
      <c r="AZ2280"/>
      <c r="BA2280"/>
      <c r="BB2280"/>
      <c r="BC2280" t="inlineStr">
        <is>
          <t>using JS</t>
        </is>
      </c>
      <c r="BD2280" s="4">
        <v>46134.477627314816</v>
      </c>
      <c r="BE2280"/>
      <c r="BF2280"/>
      <c r="BG2280" t="inlineStr">
        <is>
          <t>Reschedule</t>
        </is>
      </c>
      <c r="BH2280" t="inlineStr">
        <is>
          <t>Edward Hoo</t>
        </is>
      </c>
      <c r="BI2280"/>
      <c r="BJ2280" s="4">
        <v>46144.75336805556</v>
      </c>
      <c r="BK2280" s="4">
        <v>46014.447650462964</v>
      </c>
      <c r="BL2280" t="inlineStr">
        <is>
          <t>0.0</t>
        </is>
      </c>
      <c r="BM2280" t="inlineStr">
        <is>
          <t>1200.0</t>
        </is>
      </c>
      <c r="BN2280" t="inlineStr">
        <is>
          <t>View Company Page</t>
        </is>
      </c>
      <c r="BO2280" s="4">
        <v>46014.46167824074</v>
      </c>
      <c r="BP2280">
        <v>165526</v>
      </c>
      <c r="BQ2280"/>
      <c r="BR2280"/>
      <c r="BS2280"/>
      <c r="BT2280"/>
      <c r="BU2280"/>
      <c r="BV2280">
        <v>2720011</v>
      </c>
      <c r="BW2280" t="inlineStr">
        <is>
          <t>Follow Up : Lost - Paid Portal</t>
        </is>
      </c>
      <c r="BX2280"/>
      <c r="BY2280"/>
      <c r="BZ2280" s="4"/>
      <c r="CA2280"/>
      <c r="CB2280"/>
      <c r="CC2280" s="4"/>
      <c r="CD2280" t="inlineStr">
        <is>
          <t>5</t>
        </is>
      </c>
      <c r="CE2280" t="inlineStr">
        <is>
          <t>0</t>
        </is>
      </c>
      <c r="CF2280" t="inlineStr">
        <is>
          <t>Q2-W01</t>
        </is>
      </c>
      <c r="CG2280"/>
      <c r="CH2280"/>
      <c r="CI2280"/>
      <c r="CJ2280" t="inlineStr">
        <is>
          <t>No Paid</t>
        </is>
      </c>
      <c r="CK2280" t="inlineStr">
        <is>
          <t>Not Eligible</t>
        </is>
      </c>
      <c r="CL2280"/>
      <c r="CM2280"/>
    </row>
    <row r="2281" ht="25.5" customHeight="1">
      <c r="A2281" t="inlineStr">
        <is>
          <t>160113</t>
        </is>
      </c>
      <c r="B2281" s="2"/>
      <c r="C2281"/>
      <c r="D2281" s="3">
        <v>46119.388344907406</v>
      </c>
      <c r="E2281" t="inlineStr">
        <is>
          <t>Q2-W01</t>
        </is>
      </c>
      <c r="F2281" t="inlineStr">
        <is>
          <t>Chia Yee</t>
        </is>
      </c>
      <c r="G2281" t="inlineStr">
        <is>
          <t>Customer</t>
        </is>
      </c>
      <c r="H2281" s="2" t="str">
        <f>=HYPERLINK("https://upbox.ajobthing.my/customer/160113", "https://upbox.ajobthing.my/customer/160113")</f>
        <v>https://upbox.ajobthing.my/customer/160113</v>
      </c>
      <c r="I2281" t="inlineStr">
        <is>
          <t>Rayas &amp; Plaid Sdn Bhd</t>
        </is>
      </c>
      <c r="J2281" t="inlineStr">
        <is>
          <t>Dolphin</t>
        </is>
      </c>
      <c r="K2281" t="inlineStr">
        <is>
          <t>Chia Yee</t>
        </is>
      </c>
      <c r="L2281" s="4"/>
      <c r="M2281" s="4">
        <v>46119.38853009259</v>
      </c>
      <c r="N2281"/>
      <c r="O2281">
        <v>8208</v>
      </c>
      <c r="P2281" s="4"/>
      <c r="Q2281" s="4">
        <v>45705.77717592593</v>
      </c>
      <c r="R2281"/>
      <c r="S2281">
        <v>1188</v>
      </c>
      <c r="T2281" s="4">
        <v>45450.75740740741</v>
      </c>
      <c r="U2281" s="4"/>
      <c r="V2281"/>
      <c r="W2281">
        <v>648</v>
      </c>
      <c r="X2281"/>
      <c r="Y2281" t="inlineStr">
        <is>
          <t>Pending Appointment</t>
        </is>
      </c>
      <c r="Z2281" t="inlineStr">
        <is>
          <t>Continuous Hiring</t>
        </is>
      </c>
      <c r="AA2281">
        <v>3.5</v>
      </c>
      <c r="AB2281" t="inlineStr">
        <is>
          <t>No Appointment Made</t>
        </is>
      </c>
      <c r="AC2281"/>
      <c r="AD2281" t="inlineStr">
        <is>
          <t>3-4 Live host</t>
        </is>
      </c>
      <c r="AE2281"/>
      <c r="AF2281">
        <v>0</v>
      </c>
      <c r="AG2281" s="4"/>
      <c r="AH2281" s="4"/>
      <c r="AI2281">
        <v>0</v>
      </c>
      <c r="AJ2281">
        <v>1</v>
      </c>
      <c r="AK2281" t="inlineStr">
        <is>
          <t>No, I don't need at all</t>
        </is>
      </c>
      <c r="AL2281">
        <v>1</v>
      </c>
      <c r="AM2281" t="inlineStr">
        <is>
          <t>No, I don't need at all</t>
        </is>
      </c>
      <c r="AN2281"/>
      <c r="AO2281" t="inlineStr">
        <is>
          <t>Yes, I have</t>
        </is>
      </c>
      <c r="AP2281" t="inlineStr">
        <is>
          <t>Twice a year (50%)</t>
        </is>
      </c>
      <c r="AQ2281">
        <v>4</v>
      </c>
      <c r="AR2281" t="inlineStr">
        <is>
          <t>Did not use any job portal</t>
        </is>
      </c>
      <c r="AS2281" t="inlineStr">
        <is>
          <t>- Headcount: 4
- Hiring Job Details: 3-4 Live host
- Hiring Urgency: Continuous Hiring
- Number of outlets: 1
- Have recruiter team: No, I don't need at all
- Number of recruiter in company: 1
- Have ATS system: No, I don't need at all
- Have career website: Yes, I have
- Current hiring budget: RM0
- Whole year budget: RM0.00
- Whole year number of vacancies: 4
- Hiring frequency: Twice a year (50%)
- External job portal: Did not use any job portal</t>
        </is>
      </c>
      <c r="AT2281">
        <v>95</v>
      </c>
      <c r="AU2281" t="inlineStr">
        <is>
          <t>0.95</t>
        </is>
      </c>
      <c r="AV2281" t="inlineStr">
        <is>
          <t>15</t>
        </is>
      </c>
      <c r="AW2281" t="inlineStr">
        <is>
          <t>0</t>
        </is>
      </c>
      <c r="AX2281" t="inlineStr">
        <is>
          <t>Not Qualified</t>
        </is>
      </c>
      <c r="AY2281" s="4"/>
      <c r="AZ2281"/>
      <c r="BA2281"/>
      <c r="BB2281"/>
      <c r="BC2281" t="inlineStr">
        <is>
          <t>Called, no ans. WA</t>
        </is>
      </c>
      <c r="BD2281" s="4">
        <v>46134.70600694444</v>
      </c>
      <c r="BE2281" t="inlineStr">
        <is>
          <t>pending</t>
        </is>
      </c>
      <c r="BF2281"/>
      <c r="BG2281" t="inlineStr">
        <is>
          <t>Reschedule</t>
        </is>
      </c>
      <c r="BH2281" t="inlineStr">
        <is>
          <t>Reagen</t>
        </is>
      </c>
      <c r="BI2281" t="inlineStr">
        <is>
          <t>Apparel</t>
        </is>
      </c>
      <c r="BJ2281" s="4">
        <v>46144.75109953704</v>
      </c>
      <c r="BK2281" s="4">
        <v>44826.42457175926</v>
      </c>
      <c r="BL2281" t="inlineStr">
        <is>
          <t>0.0</t>
        </is>
      </c>
      <c r="BM2281" t="inlineStr">
        <is>
          <t>0.0</t>
        </is>
      </c>
      <c r="BN2281" t="inlineStr">
        <is>
          <t>View Create Job Page</t>
        </is>
      </c>
      <c r="BO2281" s="4">
        <v>45776.706828703704</v>
      </c>
      <c r="BP2281">
        <v>165536</v>
      </c>
      <c r="BQ2281">
        <v>100992</v>
      </c>
      <c r="BR2281" t="inlineStr">
        <is>
          <t>Proforma</t>
        </is>
      </c>
      <c r="BS2281" t="inlineStr">
        <is>
          <t>Ala Carte Double</t>
        </is>
      </c>
      <c r="BT2281">
        <v>69904</v>
      </c>
      <c r="BU2281"/>
      <c r="BV2281">
        <v>2721631</v>
      </c>
      <c r="BW2281" t="inlineStr">
        <is>
          <t>No Answer : 3 Days No Response</t>
        </is>
      </c>
      <c r="BX2281"/>
      <c r="BY2281"/>
      <c r="BZ2281" s="4"/>
      <c r="CA2281"/>
      <c r="CB2281"/>
      <c r="CC2281" s="4"/>
      <c r="CD2281" t="inlineStr">
        <is>
          <t>20</t>
        </is>
      </c>
      <c r="CE2281" t="inlineStr">
        <is>
          <t>0</t>
        </is>
      </c>
      <c r="CF2281" t="inlineStr">
        <is>
          <t>Q2-W01</t>
        </is>
      </c>
      <c r="CG2281"/>
      <c r="CH2281"/>
      <c r="CI2281"/>
      <c r="CJ2281" t="inlineStr">
        <is>
          <t>Paid</t>
        </is>
      </c>
      <c r="CK2281" t="inlineStr">
        <is>
          <t>Not Eligible</t>
        </is>
      </c>
      <c r="CL2281"/>
      <c r="CM2281"/>
    </row>
    <row r="2282" ht="25.5" customHeight="1">
      <c r="A2282" t="inlineStr">
        <is>
          <t>202850</t>
        </is>
      </c>
      <c r="B2282" s="2"/>
      <c r="C2282"/>
      <c r="D2282" s="3">
        <v>46119.40741898148</v>
      </c>
      <c r="E2282" t="inlineStr">
        <is>
          <t>Q2-W01</t>
        </is>
      </c>
      <c r="F2282" t="inlineStr">
        <is>
          <t>Carmen</t>
        </is>
      </c>
      <c r="G2282" t="inlineStr">
        <is>
          <t>Customer</t>
        </is>
      </c>
      <c r="H2282" s="2" t="str">
        <f>=HYPERLINK("https://upbox.ajobthing.my/customer/202850", "https://upbox.ajobthing.my/customer/202850")</f>
        <v>https://upbox.ajobthing.my/customer/202850</v>
      </c>
      <c r="I2282" t="inlineStr">
        <is>
          <t>Jjapselectservice</t>
        </is>
      </c>
      <c r="J2282" t="inlineStr">
        <is>
          <t>Dolphin</t>
        </is>
      </c>
      <c r="K2282" t="inlineStr">
        <is>
          <t>Carmen</t>
        </is>
      </c>
      <c r="L2282" s="4"/>
      <c r="M2282" s="4">
        <v>46119.60574074074</v>
      </c>
      <c r="N2282"/>
      <c r="O2282">
        <v>21600</v>
      </c>
      <c r="P2282" s="4"/>
      <c r="Q2282" s="4"/>
      <c r="R2282"/>
      <c r="S2282"/>
      <c r="T2282" s="4"/>
      <c r="U2282" s="4"/>
      <c r="V2282"/>
      <c r="W2282"/>
      <c r="X2282" t="inlineStr">
        <is>
          <t>Dandy Liu</t>
        </is>
      </c>
      <c r="Y2282" t="inlineStr">
        <is>
          <t>Done Appointment</t>
        </is>
      </c>
      <c r="Z2282" t="inlineStr">
        <is>
          <t>Continuous Hiring</t>
        </is>
      </c>
      <c r="AA2282">
        <v>50</v>
      </c>
      <c r="AB2282" t="inlineStr">
        <is>
          <t>Appointment Made</t>
        </is>
      </c>
      <c r="AC2282" t="inlineStr">
        <is>
          <t>Large (101-300 employees)</t>
        </is>
      </c>
      <c r="AD2282" t="inlineStr">
        <is>
          <t>30 Hotel Operation manager, 10 Property agent, 5 project management 5 engineering support</t>
        </is>
      </c>
      <c r="AE2282" t="inlineStr">
        <is>
          <t>HR Director / Senior HR Lead</t>
        </is>
      </c>
      <c r="AF2282">
        <v>3000</v>
      </c>
      <c r="AG2282" s="4">
        <v>46119.458333333336</v>
      </c>
      <c r="AH2282" s="4">
        <v>46119.479166666664</v>
      </c>
      <c r="AI2282">
        <v>3000</v>
      </c>
      <c r="AJ2282">
        <v>30</v>
      </c>
      <c r="AK2282" t="inlineStr">
        <is>
          <t>No, I don't need at all</t>
        </is>
      </c>
      <c r="AL2282">
        <v>1</v>
      </c>
      <c r="AM2282" t="inlineStr">
        <is>
          <t>No, I don't need at all</t>
        </is>
      </c>
      <c r="AN2282"/>
      <c r="AO2282" t="inlineStr">
        <is>
          <t>No, I don't need at all</t>
        </is>
      </c>
      <c r="AP2282" t="inlineStr">
        <is>
          <t>Every month (100%)</t>
        </is>
      </c>
      <c r="AQ2282">
        <v>30</v>
      </c>
      <c r="AR2282" t="inlineStr">
        <is>
          <t>Jobstreet</t>
        </is>
      </c>
      <c r="AS2282" t="inlineStr">
        <is>
          <t>- Headcount: 50
- Hiring Job Details: 30 Hotel Operation manager, 10 Property agent, 5 project management, 5 engineering support
- Hiring Urgency: Continuous Hiring
- Number of outlets: 30
- Have recruiter team: No, I don't need at all
- Number of recruiter in company: 1
- Have ATS system: No, I don't need at all
- Have career website: No, I don't need at all
- Current hiring budget: RM3,000
- Whole year budget: RM3,000.00
- Whole year number of vacancies: 30
- Hiring frequency: Every month (100%)
- External job portal: Jobstreet</t>
        </is>
      </c>
      <c r="AT2282">
        <v>110</v>
      </c>
      <c r="AU2282" t="inlineStr">
        <is>
          <t>1.10</t>
        </is>
      </c>
      <c r="AV2282" t="inlineStr">
        <is>
          <t>65</t>
        </is>
      </c>
      <c r="AW2282" t="inlineStr">
        <is>
          <t>0.8</t>
        </is>
      </c>
      <c r="AX2282" t="inlineStr">
        <is>
          <t>Not Qualified</t>
        </is>
      </c>
      <c r="AY2282" s="4">
        <v>46119.515</v>
      </c>
      <c r="AZ2282" t="inlineStr">
        <is>
          <t>Base Assistant</t>
        </is>
      </c>
      <c r="BA2282"/>
      <c r="BB2282"/>
      <c r="BC2282" t="inlineStr">
        <is>
          <t>say we are more expensive</t>
        </is>
      </c>
      <c r="BD2282" s="4">
        <v>46133.67982638889</v>
      </c>
      <c r="BE2282"/>
      <c r="BF2282"/>
      <c r="BG2282" t="inlineStr">
        <is>
          <t>Reschedule</t>
        </is>
      </c>
      <c r="BH2282" t="inlineStr">
        <is>
          <t>Reagen</t>
        </is>
      </c>
      <c r="BI2282"/>
      <c r="BJ2282" s="4">
        <v>46144.75414351852</v>
      </c>
      <c r="BK2282" s="4">
        <v>46118.54866898148</v>
      </c>
      <c r="BL2282" t="inlineStr">
        <is>
          <t>0.0</t>
        </is>
      </c>
      <c r="BM2282" t="inlineStr">
        <is>
          <t>0.0</t>
        </is>
      </c>
      <c r="BN2282" t="inlineStr">
        <is>
          <t>View Company Page</t>
        </is>
      </c>
      <c r="BO2282" s="4">
        <v>46118.54951388889</v>
      </c>
      <c r="BP2282">
        <v>165676</v>
      </c>
      <c r="BQ2282"/>
      <c r="BR2282"/>
      <c r="BS2282"/>
      <c r="BT2282"/>
      <c r="BU2282"/>
      <c r="BV2282">
        <v>2718771</v>
      </c>
      <c r="BW2282" t="inlineStr">
        <is>
          <t>Follow Up : Decision Pending</t>
        </is>
      </c>
      <c r="BX2282"/>
      <c r="BY2282"/>
      <c r="BZ2282" s="4"/>
      <c r="CA2282"/>
      <c r="CB2282"/>
      <c r="CC2282" s="4"/>
      <c r="CD2282" t="inlineStr">
        <is>
          <t>90</t>
        </is>
      </c>
      <c r="CE2282" t="inlineStr">
        <is>
          <t>1.2</t>
        </is>
      </c>
      <c r="CF2282" t="inlineStr">
        <is>
          <t>Q2-W01</t>
        </is>
      </c>
      <c r="CG2282"/>
      <c r="CH2282"/>
      <c r="CI2282" t="inlineStr">
        <is>
          <t>Q2-W01</t>
        </is>
      </c>
      <c r="CJ2282" t="inlineStr">
        <is>
          <t>No Paid</t>
        </is>
      </c>
      <c r="CK2282" t="inlineStr">
        <is>
          <t>Eligible</t>
        </is>
      </c>
      <c r="CL2282"/>
      <c r="CM2282" t="inlineStr">
        <is>
          <t>Q2-W01</t>
        </is>
      </c>
    </row>
    <row r="2283" ht="25.5" customHeight="1">
      <c r="A2283" t="inlineStr">
        <is>
          <t>202909</t>
        </is>
      </c>
      <c r="B2283" s="2"/>
      <c r="C2283"/>
      <c r="D2283" s="3">
        <v>46119.419907407406</v>
      </c>
      <c r="E2283" t="inlineStr">
        <is>
          <t>Q2-W01</t>
        </is>
      </c>
      <c r="F2283" t="inlineStr">
        <is>
          <t>Clover</t>
        </is>
      </c>
      <c r="G2283" t="inlineStr">
        <is>
          <t>Customer</t>
        </is>
      </c>
      <c r="H2283" s="2" t="str">
        <f>=HYPERLINK("https://upbox.ajobthing.my/customer/202909", "https://upbox.ajobthing.my/customer/202909")</f>
        <v>https://upbox.ajobthing.my/customer/202909</v>
      </c>
      <c r="I2283" t="inlineStr">
        <is>
          <t>TSV ASSOCIATES</t>
        </is>
      </c>
      <c r="J2283" t="inlineStr">
        <is>
          <t>Dolphin</t>
        </is>
      </c>
      <c r="K2283" t="inlineStr">
        <is>
          <t>Clover</t>
        </is>
      </c>
      <c r="L2283" s="4"/>
      <c r="M2283" s="4">
        <v>46119.42060185185</v>
      </c>
      <c r="N2283"/>
      <c r="O2283">
        <v>3672</v>
      </c>
      <c r="P2283" s="4"/>
      <c r="Q2283" s="4">
        <v>46121.746712962966</v>
      </c>
      <c r="R2283"/>
      <c r="S2283">
        <v>1296</v>
      </c>
      <c r="T2283" s="4"/>
      <c r="U2283" s="4"/>
      <c r="V2283"/>
      <c r="W2283"/>
      <c r="X2283"/>
      <c r="Y2283" t="inlineStr">
        <is>
          <t>Pending Appointment</t>
        </is>
      </c>
      <c r="Z2283" t="inlineStr">
        <is>
          <t>Hiring Now</t>
        </is>
      </c>
      <c r="AA2283">
        <v>1</v>
      </c>
      <c r="AB2283" t="inlineStr">
        <is>
          <t>No Appointment Made</t>
        </is>
      </c>
      <c r="AC2283"/>
      <c r="AD2283" t="inlineStr">
        <is>
          <t>Want to admin assistant x1 malay, all races, fresh grads, replacement, insurance great eatern, Setia Tropika Johor, Ms Priya, budget 600,  expensive here, sugggest stand dis 200</t>
        </is>
      </c>
      <c r="AE2283"/>
      <c r="AF2283">
        <v>3000</v>
      </c>
      <c r="AG2283" s="4"/>
      <c r="AH2283" s="4"/>
      <c r="AI2283">
        <v>3000</v>
      </c>
      <c r="AJ2283">
        <v>1</v>
      </c>
      <c r="AK2283" t="inlineStr">
        <is>
          <t>No, but I want in future</t>
        </is>
      </c>
      <c r="AL2283">
        <v>1</v>
      </c>
      <c r="AM2283" t="inlineStr">
        <is>
          <t>No, but I want in future</t>
        </is>
      </c>
      <c r="AN2283"/>
      <c r="AO2283" t="inlineStr">
        <is>
          <t>No, but I want in future</t>
        </is>
      </c>
      <c r="AP2283" t="inlineStr">
        <is>
          <t>Twice a year (50%)</t>
        </is>
      </c>
      <c r="AQ2283">
        <v>1</v>
      </c>
      <c r="AR2283" t="inlineStr">
        <is>
          <t>Jobstreet</t>
        </is>
      </c>
      <c r="AS2283" t="inlineStr">
        <is>
          <t>- Headcount: 1
- Hiring Job Details: 1 admin assistant (Malay/all races, fresh grads, replacement, Great Eastern insurance, Setia Tropika Johor, Ms Priya, RM600 budget, suggest RM200 standard deduction)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Jobstreet</t>
        </is>
      </c>
      <c r="AT2283">
        <v>115</v>
      </c>
      <c r="AU2283" t="inlineStr">
        <is>
          <t>1.15</t>
        </is>
      </c>
      <c r="AV2283" t="inlineStr">
        <is>
          <t>15</t>
        </is>
      </c>
      <c r="AW2283" t="inlineStr">
        <is>
          <t>0</t>
        </is>
      </c>
      <c r="AX2283" t="inlineStr">
        <is>
          <t>Not Qualified</t>
        </is>
      </c>
      <c r="AY2283" s="4"/>
      <c r="AZ2283"/>
      <c r="BA2283"/>
      <c r="BB2283"/>
      <c r="BC2283" t="inlineStr">
        <is>
          <t>Post at JS, lost</t>
        </is>
      </c>
      <c r="BD2283" s="4">
        <v>46135.69116898148</v>
      </c>
      <c r="BE2283" t="inlineStr">
        <is>
          <t>pending</t>
        </is>
      </c>
      <c r="BF2283"/>
      <c r="BG2283" t="inlineStr">
        <is>
          <t>Reschedule</t>
        </is>
      </c>
      <c r="BH2283" t="inlineStr">
        <is>
          <t>Reagen</t>
        </is>
      </c>
      <c r="BI2283"/>
      <c r="BJ2283" s="4">
        <v>46144.754166666666</v>
      </c>
      <c r="BK2283" s="4">
        <v>46119.412141203706</v>
      </c>
      <c r="BL2283" t="inlineStr">
        <is>
          <t>0.0</t>
        </is>
      </c>
      <c r="BM2283" t="inlineStr">
        <is>
          <t>0.0</t>
        </is>
      </c>
      <c r="BN2283"/>
      <c r="BO2283" s="4"/>
      <c r="BP2283">
        <v>165548</v>
      </c>
      <c r="BQ2283">
        <v>121410</v>
      </c>
      <c r="BR2283" t="inlineStr">
        <is>
          <t>Proforma</t>
        </is>
      </c>
      <c r="BS2283" t="inlineStr">
        <is>
          <t>AI Ala Carte (Jan 26) Plus</t>
        </is>
      </c>
      <c r="BT2283"/>
      <c r="BU2283"/>
      <c r="BV2283">
        <v>2724813</v>
      </c>
      <c r="BW2283" t="inlineStr">
        <is>
          <t>Follow Up : Lost - Free Portal</t>
        </is>
      </c>
      <c r="BX2283"/>
      <c r="BY2283"/>
      <c r="BZ2283" s="4"/>
      <c r="CA2283"/>
      <c r="CB2283"/>
      <c r="CC2283" s="4"/>
      <c r="CD2283" t="inlineStr">
        <is>
          <t>20</t>
        </is>
      </c>
      <c r="CE2283" t="inlineStr">
        <is>
          <t>0</t>
        </is>
      </c>
      <c r="CF2283" t="inlineStr">
        <is>
          <t>Q2-W01</t>
        </is>
      </c>
      <c r="CG2283" t="inlineStr">
        <is>
          <t>Q2-W01</t>
        </is>
      </c>
      <c r="CH2283"/>
      <c r="CI2283"/>
      <c r="CJ2283" t="inlineStr">
        <is>
          <t>No Paid</t>
        </is>
      </c>
      <c r="CK2283" t="inlineStr">
        <is>
          <t>Not Eligible</t>
        </is>
      </c>
      <c r="CL2283"/>
      <c r="CM2283"/>
    </row>
    <row r="2284" ht="25.5" customHeight="1">
      <c r="A2284" t="inlineStr">
        <is>
          <t>202902</t>
        </is>
      </c>
      <c r="B2284" s="2"/>
      <c r="C2284"/>
      <c r="D2284" s="3">
        <v>46119.42449074074</v>
      </c>
      <c r="E2284" t="inlineStr">
        <is>
          <t>Q2-W01</t>
        </is>
      </c>
      <c r="F2284" t="inlineStr">
        <is>
          <t>Eugene</t>
        </is>
      </c>
      <c r="G2284" t="inlineStr">
        <is>
          <t>Customer</t>
        </is>
      </c>
      <c r="H2284" s="2" t="str">
        <f>=HYPERLINK("https://upbox.ajobthing.my/customer/202902", "https://upbox.ajobthing.my/customer/202902")</f>
        <v>https://upbox.ajobthing.my/customer/202902</v>
      </c>
      <c r="I2284" t="inlineStr">
        <is>
          <t>Taewoong Global Logistics Sdn Bhd</t>
        </is>
      </c>
      <c r="J2284" t="inlineStr">
        <is>
          <t>Dolphin</t>
        </is>
      </c>
      <c r="K2284" t="inlineStr">
        <is>
          <t>Eugene</t>
        </is>
      </c>
      <c r="L2284" s="4"/>
      <c r="M2284" s="4">
        <v>46119.42466435185</v>
      </c>
      <c r="N2284"/>
      <c r="O2284">
        <v>6048</v>
      </c>
      <c r="P2284" s="4"/>
      <c r="Q2284" s="4">
        <v>46129.55893518519</v>
      </c>
      <c r="R2284"/>
      <c r="S2284">
        <v>0</v>
      </c>
      <c r="T2284" s="4"/>
      <c r="U2284" s="4"/>
      <c r="V2284"/>
      <c r="W2284"/>
      <c r="X2284"/>
      <c r="Y2284" t="inlineStr">
        <is>
          <t>Pending Appointment</t>
        </is>
      </c>
      <c r="Z2284" t="inlineStr">
        <is>
          <t>Continuous Hiring</t>
        </is>
      </c>
      <c r="AA2284">
        <v>12</v>
      </c>
      <c r="AB2284" t="inlineStr">
        <is>
          <t>No Appointment Made</t>
        </is>
      </c>
      <c r="AC2284"/>
      <c r="AD2284" t="inlineStr">
        <is>
          <t>12 positions, based in Klang</t>
        </is>
      </c>
      <c r="AE2284"/>
      <c r="AF2284">
        <v>5000</v>
      </c>
      <c r="AG2284" s="4"/>
      <c r="AH2284" s="4"/>
      <c r="AI2284">
        <v>5000</v>
      </c>
      <c r="AJ2284">
        <v>3</v>
      </c>
      <c r="AK2284" t="inlineStr">
        <is>
          <t>No, I don't need at all</t>
        </is>
      </c>
      <c r="AL2284">
        <v>0</v>
      </c>
      <c r="AM2284" t="inlineStr">
        <is>
          <t>No, I don't need at all</t>
        </is>
      </c>
      <c r="AN2284"/>
      <c r="AO2284" t="inlineStr">
        <is>
          <t>No, I don't need at all</t>
        </is>
      </c>
      <c r="AP2284" t="inlineStr">
        <is>
          <t>Every month (100%)</t>
        </is>
      </c>
      <c r="AQ2284">
        <v>12</v>
      </c>
      <c r="AR2284" t="inlineStr">
        <is>
          <t>Jobstreet</t>
        </is>
      </c>
      <c r="AS2284" t="inlineStr">
        <is>
          <t>- Headcount: Not specified
- Hiring Job Details: 12 positions, based in Klang
- Hiring Urgency: Continuous Hiring
- Number of outlets: 3
- Have recruiter team: No, I don't need at all
- Number of recruiter in company: 0
- Have ATS system: No, I don't need at all
- Have career website: No, I don't need at all
- Current hiring budget: RM5,000
- Whole year budget: RM5,000.00
- Whole year number of vacancies: 12
- Hiring frequency: Every month (100%)
- External job portal: Jobstreet</t>
        </is>
      </c>
      <c r="AT2284">
        <v>95</v>
      </c>
      <c r="AU2284" t="inlineStr">
        <is>
          <t>0.95</t>
        </is>
      </c>
      <c r="AV2284" t="inlineStr">
        <is>
          <t>25</t>
        </is>
      </c>
      <c r="AW2284" t="inlineStr">
        <is>
          <t>0</t>
        </is>
      </c>
      <c r="AX2284" t="inlineStr">
        <is>
          <t>Not Qualified</t>
        </is>
      </c>
      <c r="AY2284" s="4"/>
      <c r="AZ2284"/>
      <c r="BA2284"/>
      <c r="BB2284"/>
      <c r="BC2284" t="inlineStr">
        <is>
          <t>JS offers better...600+</t>
        </is>
      </c>
      <c r="BD2284" s="4">
        <v>46133.66371527778</v>
      </c>
      <c r="BE2284" t="inlineStr">
        <is>
          <t>paid</t>
        </is>
      </c>
      <c r="BF2284"/>
      <c r="BG2284" t="inlineStr">
        <is>
          <t>Reschedule</t>
        </is>
      </c>
      <c r="BH2284" t="inlineStr">
        <is>
          <t>Edward Hoo</t>
        </is>
      </c>
      <c r="BI2284" t="inlineStr">
        <is>
          <t>Transportation / Logistics</t>
        </is>
      </c>
      <c r="BJ2284" s="4">
        <v>46144.75414351852</v>
      </c>
      <c r="BK2284" s="4">
        <v>46118.848587962966</v>
      </c>
      <c r="BL2284" t="inlineStr">
        <is>
          <t>0.0</t>
        </is>
      </c>
      <c r="BM2284" t="inlineStr">
        <is>
          <t>4800.0</t>
        </is>
      </c>
      <c r="BN2284" t="inlineStr">
        <is>
          <t>View Jobmanager Page</t>
        </is>
      </c>
      <c r="BO2284" s="4">
        <v>46129.58449074074</v>
      </c>
      <c r="BP2284">
        <v>165552</v>
      </c>
      <c r="BQ2284">
        <v>122967</v>
      </c>
      <c r="BR2284" t="inlineStr">
        <is>
          <t>Proforma</t>
        </is>
      </c>
      <c r="BS2284" t="inlineStr">
        <is>
          <t>Free High Pay Job</t>
        </is>
      </c>
      <c r="BT2284"/>
      <c r="BU2284"/>
      <c r="BV2284">
        <v>2718665</v>
      </c>
      <c r="BW2284" t="inlineStr">
        <is>
          <t>Follow Up : Lost - Paid Portal</t>
        </is>
      </c>
      <c r="BX2284"/>
      <c r="BY2284"/>
      <c r="BZ2284" s="4"/>
      <c r="CA2284"/>
      <c r="CB2284"/>
      <c r="CC2284" s="4"/>
      <c r="CD2284" t="inlineStr">
        <is>
          <t>35</t>
        </is>
      </c>
      <c r="CE2284" t="inlineStr">
        <is>
          <t>0</t>
        </is>
      </c>
      <c r="CF2284" t="inlineStr">
        <is>
          <t>Q2-W01</t>
        </is>
      </c>
      <c r="CG2284" t="inlineStr">
        <is>
          <t>Q2-W03</t>
        </is>
      </c>
      <c r="CH2284"/>
      <c r="CI2284"/>
      <c r="CJ2284" t="inlineStr">
        <is>
          <t>No Paid</t>
        </is>
      </c>
      <c r="CK2284" t="inlineStr">
        <is>
          <t>Eligible</t>
        </is>
      </c>
      <c r="CL2284"/>
      <c r="CM2284"/>
    </row>
    <row r="2285" ht="25.5" customHeight="1">
      <c r="A2285" t="inlineStr">
        <is>
          <t>4254992</t>
        </is>
      </c>
      <c r="B2285" s="2"/>
      <c r="C2285"/>
      <c r="D2285" s="3">
        <v>46119.428252314814</v>
      </c>
      <c r="E2285" t="inlineStr">
        <is>
          <t>Q2-W01</t>
        </is>
      </c>
      <c r="F2285" t="inlineStr">
        <is>
          <t>Lucas</t>
        </is>
      </c>
      <c r="G2285" t="inlineStr">
        <is>
          <t>Lead</t>
        </is>
      </c>
      <c r="H2285" s="2" t="str">
        <f>=HYPERLINK("https://upbox.ajobthing.my/leads/4254992", "https://upbox.ajobthing.my/leads/4254992")</f>
        <v>https://upbox.ajobthing.my/leads/4254992</v>
      </c>
      <c r="I2285" t="inlineStr">
        <is>
          <t>Dasein Academy of Art</t>
        </is>
      </c>
      <c r="J2285" t="inlineStr">
        <is>
          <t>Dolphin</t>
        </is>
      </c>
      <c r="K2285" t="inlineStr">
        <is>
          <t>Lucas</t>
        </is>
      </c>
      <c r="L2285" s="4"/>
      <c r="M2285" s="4">
        <v>46119.426724537036</v>
      </c>
      <c r="N2285"/>
      <c r="O2285">
        <v>3888</v>
      </c>
      <c r="P2285" s="4"/>
      <c r="Q2285" s="4"/>
      <c r="R2285"/>
      <c r="S2285"/>
      <c r="T2285" s="4"/>
      <c r="U2285" s="4"/>
      <c r="V2285"/>
      <c r="W2285"/>
      <c r="X2285"/>
      <c r="Y2285" t="inlineStr">
        <is>
          <t>Pending Appointment</t>
        </is>
      </c>
      <c r="Z2285" t="inlineStr">
        <is>
          <t>Hiring Now</t>
        </is>
      </c>
      <c r="AA2285">
        <v>0</v>
      </c>
      <c r="AB2285" t="inlineStr">
        <is>
          <t>No Appointment Made</t>
        </is>
      </c>
      <c r="AC2285"/>
      <c r="AD2285" t="inlineStr">
        <is>
          <t>1 hr assistance</t>
        </is>
      </c>
      <c r="AE2285"/>
      <c r="AF2285">
        <v>0</v>
      </c>
      <c r="AG2285" s="4"/>
      <c r="AH2285" s="4"/>
      <c r="AI2285">
        <v>0</v>
      </c>
      <c r="AJ2285">
        <v>0</v>
      </c>
      <c r="AK2285" t="inlineStr">
        <is>
          <t>No, I don't need at all</t>
        </is>
      </c>
      <c r="AL2285">
        <v>0</v>
      </c>
      <c r="AM2285" t="inlineStr">
        <is>
          <t>No, I don't need at all</t>
        </is>
      </c>
      <c r="AN2285"/>
      <c r="AO2285" t="inlineStr">
        <is>
          <t>No, I don't need at all</t>
        </is>
      </c>
      <c r="AP2285" t="inlineStr">
        <is>
          <t>Once a year (25%)</t>
        </is>
      </c>
      <c r="AQ2285">
        <v>1</v>
      </c>
      <c r="AR2285" t="inlineStr">
        <is>
          <t>Did not use any job portal</t>
        </is>
      </c>
      <c r="AS2285" t="inlineStr">
        <is>
          <t>- Headcount: 0
- Hiring Job Details: 1 hr assistance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285">
        <v>75</v>
      </c>
      <c r="AU2285" t="inlineStr">
        <is>
          <t>0.75</t>
        </is>
      </c>
      <c r="AV2285" t="inlineStr">
        <is>
          <t>15</t>
        </is>
      </c>
      <c r="AW2285" t="inlineStr">
        <is>
          <t>0</t>
        </is>
      </c>
      <c r="AX2285" t="inlineStr">
        <is>
          <t>Not Qualified</t>
        </is>
      </c>
      <c r="AY2285" s="4"/>
      <c r="AZ2285"/>
      <c r="BA2285"/>
      <c r="BB2285"/>
      <c r="BC2285"/>
      <c r="BD2285" s="4"/>
      <c r="BE2285"/>
      <c r="BF2285"/>
      <c r="BG2285" t="inlineStr">
        <is>
          <t>Reschedule</t>
        </is>
      </c>
      <c r="BH2285" t="inlineStr">
        <is>
          <t>Yee Hang</t>
        </is>
      </c>
      <c r="BI2285"/>
      <c r="BJ2285" s="4">
        <v>46144.755740740744</v>
      </c>
      <c r="BK2285" s="4">
        <v>46119.407905092594</v>
      </c>
      <c r="BL2285" t="inlineStr">
        <is>
          <t>0.0</t>
        </is>
      </c>
      <c r="BM2285" t="inlineStr">
        <is>
          <t>0.0</t>
        </is>
      </c>
      <c r="BN2285"/>
      <c r="BO2285" s="4"/>
      <c r="BP2285">
        <v>165556</v>
      </c>
      <c r="BQ2285"/>
      <c r="BR2285"/>
      <c r="BS2285"/>
      <c r="BT2285"/>
      <c r="BU2285"/>
      <c r="BV2285"/>
      <c r="BW2285"/>
      <c r="BX2285"/>
      <c r="BY2285"/>
      <c r="BZ2285" s="4"/>
      <c r="CA2285"/>
      <c r="CB2285"/>
      <c r="CC2285" s="4"/>
      <c r="CD2285" t="inlineStr">
        <is>
          <t>20</t>
        </is>
      </c>
      <c r="CE2285" t="inlineStr">
        <is>
          <t>0</t>
        </is>
      </c>
      <c r="CF2285" t="inlineStr">
        <is>
          <t>Q2-W01</t>
        </is>
      </c>
      <c r="CG2285"/>
      <c r="CH2285"/>
      <c r="CI2285"/>
      <c r="CJ2285" t="inlineStr">
        <is>
          <t>No Paid</t>
        </is>
      </c>
      <c r="CK2285" t="inlineStr">
        <is>
          <t>Not Eligible</t>
        </is>
      </c>
      <c r="CL2285"/>
      <c r="CM2285"/>
    </row>
    <row r="2286" ht="25.5" customHeight="1">
      <c r="A2286" t="inlineStr">
        <is>
          <t>42972</t>
        </is>
      </c>
      <c r="B2286" s="2"/>
      <c r="C2286"/>
      <c r="D2286" s="3">
        <v>46119.430243055554</v>
      </c>
      <c r="E2286" t="inlineStr">
        <is>
          <t>Q2-W01</t>
        </is>
      </c>
      <c r="F2286" t="inlineStr">
        <is>
          <t>Carmen</t>
        </is>
      </c>
      <c r="G2286" t="inlineStr">
        <is>
          <t>Customer</t>
        </is>
      </c>
      <c r="H2286" s="2" t="str">
        <f>=HYPERLINK("https://upbox.ajobthing.my/customer/42972", "https://upbox.ajobthing.my/customer/42972")</f>
        <v>https://upbox.ajobthing.my/customer/42972</v>
      </c>
      <c r="I2286" t="inlineStr">
        <is>
          <t>Superb Aluminium Industries Sdn Bhd</t>
        </is>
      </c>
      <c r="J2286" t="inlineStr">
        <is>
          <t>Dolphin</t>
        </is>
      </c>
      <c r="K2286" t="inlineStr">
        <is>
          <t>Carmen</t>
        </is>
      </c>
      <c r="L2286" s="4"/>
      <c r="M2286" s="4">
        <v>46119.43037037037</v>
      </c>
      <c r="N2286"/>
      <c r="O2286">
        <v>6048</v>
      </c>
      <c r="P2286" s="4"/>
      <c r="Q2286" s="4"/>
      <c r="R2286"/>
      <c r="S2286"/>
      <c r="T2286" s="4"/>
      <c r="U2286" s="4"/>
      <c r="V2286"/>
      <c r="W2286"/>
      <c r="X2286"/>
      <c r="Y2286" t="inlineStr">
        <is>
          <t>Pending Appointment</t>
        </is>
      </c>
      <c r="Z2286" t="inlineStr">
        <is>
          <t>Hiring Now</t>
        </is>
      </c>
      <c r="AA2286">
        <v>2</v>
      </c>
      <c r="AB2286" t="inlineStr">
        <is>
          <t>No Appointment Made</t>
        </is>
      </c>
      <c r="AC2286"/>
      <c r="AD2286" t="inlineStr">
        <is>
          <t>1 sales ; 1 coordinator</t>
        </is>
      </c>
      <c r="AE2286"/>
      <c r="AF2286">
        <v>3000</v>
      </c>
      <c r="AG2286" s="4"/>
      <c r="AH2286" s="4"/>
      <c r="AI2286"/>
      <c r="AJ2286">
        <v>2</v>
      </c>
      <c r="AK2286" t="inlineStr">
        <is>
          <t>Yes, I have</t>
        </is>
      </c>
      <c r="AL2286">
        <v>1</v>
      </c>
      <c r="AM2286" t="inlineStr">
        <is>
          <t>No, I don't need at all</t>
        </is>
      </c>
      <c r="AN2286"/>
      <c r="AO2286"/>
      <c r="AP2286" t="inlineStr">
        <is>
          <t>Twice a year (50%)</t>
        </is>
      </c>
      <c r="AQ2286"/>
      <c r="AR2286"/>
      <c r="AS2286" t="inlineStr">
        <is>
          <t>- Headcount: 2
- Hiring Job Details: 1 sales ; 1 coordinator
- Hiring Urgency: Hiring Now
- Number of outlets: 2
- Have recruiter team: Yes, I have
- Number of recruiter in company: 1
- Have ATS system: No, I don't need at all
- Have career website: Not specified
- Current hiring budget: RM3,000
- Whole year budget: Not specified
- Whole year number of vacancies: Not specified
- Hiring frequency: Twice a year (50%)
- External job portal: Not specified</t>
        </is>
      </c>
      <c r="AT2286">
        <v>95</v>
      </c>
      <c r="AU2286" t="inlineStr">
        <is>
          <t>0.95</t>
        </is>
      </c>
      <c r="AV2286" t="inlineStr">
        <is>
          <t>15</t>
        </is>
      </c>
      <c r="AW2286" t="inlineStr">
        <is>
          <t>0</t>
        </is>
      </c>
      <c r="AX2286" t="inlineStr">
        <is>
          <t>Not Qualified</t>
        </is>
      </c>
      <c r="AY2286" s="4"/>
      <c r="AZ2286"/>
      <c r="BA2286"/>
      <c r="BB2286"/>
      <c r="BC2286" t="inlineStr">
        <is>
          <t>npu</t>
        </is>
      </c>
      <c r="BD2286" s="4">
        <v>46129.74649305556</v>
      </c>
      <c r="BE2286"/>
      <c r="BF2286"/>
      <c r="BG2286" t="inlineStr">
        <is>
          <t>Reschedule</t>
        </is>
      </c>
      <c r="BH2286" t="inlineStr">
        <is>
          <t>Reagen</t>
        </is>
      </c>
      <c r="BI2286"/>
      <c r="BJ2286" s="4">
        <v>46144.75585648148</v>
      </c>
      <c r="BK2286" s="4">
        <v>43032.70887731481</v>
      </c>
      <c r="BL2286" t="inlineStr">
        <is>
          <t>0.0</t>
        </is>
      </c>
      <c r="BM2286" t="inlineStr">
        <is>
          <t>0.0</t>
        </is>
      </c>
      <c r="BN2286" t="inlineStr">
        <is>
          <t>View Create Job Page</t>
        </is>
      </c>
      <c r="BO2286" s="4">
        <v>45426.65707175926</v>
      </c>
      <c r="BP2286">
        <v>165558</v>
      </c>
      <c r="BQ2286"/>
      <c r="BR2286"/>
      <c r="BS2286"/>
      <c r="BT2286"/>
      <c r="BU2286"/>
      <c r="BV2286">
        <v>2713851</v>
      </c>
      <c r="BW2286" t="inlineStr">
        <is>
          <t>No Answer : Voicemail - WA sent to customer</t>
        </is>
      </c>
      <c r="BX2286"/>
      <c r="BY2286"/>
      <c r="BZ2286" s="4"/>
      <c r="CA2286"/>
      <c r="CB2286"/>
      <c r="CC2286" s="4"/>
      <c r="CD2286" t="inlineStr">
        <is>
          <t>20</t>
        </is>
      </c>
      <c r="CE2286" t="inlineStr">
        <is>
          <t>0</t>
        </is>
      </c>
      <c r="CF2286" t="inlineStr">
        <is>
          <t>Q2-W01</t>
        </is>
      </c>
      <c r="CG2286"/>
      <c r="CH2286"/>
      <c r="CI2286"/>
      <c r="CJ2286" t="inlineStr">
        <is>
          <t>No Paid</t>
        </is>
      </c>
      <c r="CK2286" t="inlineStr">
        <is>
          <t>Not Eligible</t>
        </is>
      </c>
      <c r="CL2286"/>
      <c r="CM2286"/>
    </row>
    <row r="2287" ht="25.5" customHeight="1">
      <c r="A2287" t="inlineStr">
        <is>
          <t>174213</t>
        </is>
      </c>
      <c r="B2287" s="2"/>
      <c r="C2287"/>
      <c r="D2287" s="3">
        <v>46119.43284722222</v>
      </c>
      <c r="E2287" t="inlineStr">
        <is>
          <t>Q2-W01</t>
        </is>
      </c>
      <c r="F2287" t="inlineStr">
        <is>
          <t>Eugene</t>
        </is>
      </c>
      <c r="G2287" t="inlineStr">
        <is>
          <t>Customer</t>
        </is>
      </c>
      <c r="H2287" s="2" t="str">
        <f>=HYPERLINK("https://upbox.ajobthing.my/customer/174213", "https://upbox.ajobthing.my/customer/174213")</f>
        <v>https://upbox.ajobthing.my/customer/174213</v>
      </c>
      <c r="I2287" t="inlineStr">
        <is>
          <t>Aquaswift Water Technologies Sdn Bhd</t>
        </is>
      </c>
      <c r="J2287" t="inlineStr">
        <is>
          <t>Dolphin</t>
        </is>
      </c>
      <c r="K2287" t="inlineStr">
        <is>
          <t>Eugene</t>
        </is>
      </c>
      <c r="L2287" s="4"/>
      <c r="M2287" s="4">
        <v>46119.43293981482</v>
      </c>
      <c r="N2287"/>
      <c r="O2287">
        <v>4968</v>
      </c>
      <c r="P2287" s="4"/>
      <c r="Q2287" s="4">
        <v>45294.744375</v>
      </c>
      <c r="R2287"/>
      <c r="S2287">
        <v>2968</v>
      </c>
      <c r="T2287" s="4">
        <v>45294.744375</v>
      </c>
      <c r="U2287" s="4"/>
      <c r="V2287"/>
      <c r="W2287">
        <v>2968</v>
      </c>
      <c r="X2287"/>
      <c r="Y2287" t="inlineStr">
        <is>
          <t>Pending Appointment</t>
        </is>
      </c>
      <c r="Z2287" t="inlineStr">
        <is>
          <t>Hiring Now</t>
        </is>
      </c>
      <c r="AA2287">
        <v>12</v>
      </c>
      <c r="AB2287" t="inlineStr">
        <is>
          <t>No Appointment Made</t>
        </is>
      </c>
      <c r="AC2287"/>
      <c r="AD2287" t="inlineStr">
        <is>
          <t>12 posttions, based in KL</t>
        </is>
      </c>
      <c r="AE2287"/>
      <c r="AF2287">
        <v>4600</v>
      </c>
      <c r="AG2287" s="4"/>
      <c r="AH2287" s="4"/>
      <c r="AI2287">
        <v>4600</v>
      </c>
      <c r="AJ2287">
        <v>1</v>
      </c>
      <c r="AK2287" t="inlineStr">
        <is>
          <t>No, I don't need at all</t>
        </is>
      </c>
      <c r="AL2287">
        <v>1</v>
      </c>
      <c r="AM2287" t="inlineStr">
        <is>
          <t>No, I don't need at all</t>
        </is>
      </c>
      <c r="AN2287"/>
      <c r="AO2287" t="inlineStr">
        <is>
          <t>No, I don't need at all</t>
        </is>
      </c>
      <c r="AP2287" t="inlineStr">
        <is>
          <t>Once per quarter (75%)</t>
        </is>
      </c>
      <c r="AQ2287">
        <v>12</v>
      </c>
      <c r="AR2287" t="inlineStr">
        <is>
          <t>Did not use any job portal</t>
        </is>
      </c>
      <c r="AS2287" t="inlineStr">
        <is>
          <t>- Headcount: 12
- Hiring Job Details: 12 positions, based in KL
- Hiring Urgency: Hiring Now
- Number of outlets: 1
- Have recruiter team: No, I don't need at all
- Number of recruiter in company: 1
- Have ATS system: No, I don't need at all
- Have career website: No, I don't need at all
- Current hiring budget: RM4,600
- Whole year budget: RM4,600.00
- Whole year number of vacancies: 12
- Hiring frequency: Once per quarter (75%)
- External job portal: Did not use any job portal</t>
        </is>
      </c>
      <c r="AT2287">
        <v>95</v>
      </c>
      <c r="AU2287" t="inlineStr">
        <is>
          <t>0.95</t>
        </is>
      </c>
      <c r="AV2287" t="inlineStr">
        <is>
          <t>25</t>
        </is>
      </c>
      <c r="AW2287" t="inlineStr">
        <is>
          <t>0</t>
        </is>
      </c>
      <c r="AX2287" t="inlineStr">
        <is>
          <t>Not Qualified</t>
        </is>
      </c>
      <c r="AY2287" s="4"/>
      <c r="AZ2287"/>
      <c r="BA2287"/>
      <c r="BB2287"/>
      <c r="BC2287" t="inlineStr">
        <is>
          <t>- Headcount: 12
- Hiring Job Details: 12 positions, based in KL
- Hiring Urgency: Hiring Now
- Number of outlets: 1
- Have recruiter team: No, I don't need at all
- Number of recruiter in company: 1
- Have ATS system: No, I don't need at all
- Have career website: No, I don't need at all
- Current hiring budget: RM4,600
- Whole year budget: RM4,600.00
- Whole year number of vacancies: 12
- Hiring frequency: Once per quarter (75%)
- External job portal: Did not use any job portal</t>
        </is>
      </c>
      <c r="BD2287" s="4">
        <v>46119.4584837963</v>
      </c>
      <c r="BE2287" t="inlineStr">
        <is>
          <t>paid</t>
        </is>
      </c>
      <c r="BF2287"/>
      <c r="BG2287" t="inlineStr">
        <is>
          <t>Reschedule</t>
        </is>
      </c>
      <c r="BH2287" t="inlineStr">
        <is>
          <t>Edward Hoo</t>
        </is>
      </c>
      <c r="BI2287" t="inlineStr">
        <is>
          <t>Repair / Maintenance</t>
        </is>
      </c>
      <c r="BJ2287" s="4">
        <v>46144.751550925925</v>
      </c>
      <c r="BK2287" s="4">
        <v>45293.67741898148</v>
      </c>
      <c r="BL2287" t="inlineStr">
        <is>
          <t>0.0</t>
        </is>
      </c>
      <c r="BM2287" t="inlineStr">
        <is>
          <t>0.0</t>
        </is>
      </c>
      <c r="BN2287" t="inlineStr">
        <is>
          <t>Publish Job</t>
        </is>
      </c>
      <c r="BO2287" s="4">
        <v>46120.64425925926</v>
      </c>
      <c r="BP2287">
        <v>165559</v>
      </c>
      <c r="BQ2287">
        <v>64970</v>
      </c>
      <c r="BR2287" t="inlineStr">
        <is>
          <t>Online</t>
        </is>
      </c>
      <c r="BS2287"/>
      <c r="BT2287">
        <v>64970</v>
      </c>
      <c r="BU2287"/>
      <c r="BV2287">
        <v>2688352</v>
      </c>
      <c r="BW2287" t="inlineStr">
        <is>
          <t>Customer Inquiry</t>
        </is>
      </c>
      <c r="BX2287"/>
      <c r="BY2287"/>
      <c r="BZ2287" s="4"/>
      <c r="CA2287"/>
      <c r="CB2287"/>
      <c r="CC2287" s="4"/>
      <c r="CD2287" t="inlineStr">
        <is>
          <t>35</t>
        </is>
      </c>
      <c r="CE2287" t="inlineStr">
        <is>
          <t>0</t>
        </is>
      </c>
      <c r="CF2287" t="inlineStr">
        <is>
          <t>Q2-W01</t>
        </is>
      </c>
      <c r="CG2287"/>
      <c r="CH2287"/>
      <c r="CI2287"/>
      <c r="CJ2287" t="inlineStr">
        <is>
          <t>Paid</t>
        </is>
      </c>
      <c r="CK2287" t="inlineStr">
        <is>
          <t>Eligible</t>
        </is>
      </c>
      <c r="CL2287"/>
      <c r="CM2287"/>
    </row>
    <row r="2288" ht="25.5" customHeight="1">
      <c r="A2288" t="inlineStr">
        <is>
          <t>173436</t>
        </is>
      </c>
      <c r="B2288" s="2"/>
      <c r="C2288"/>
      <c r="D2288" s="3">
        <v>46119.43350694444</v>
      </c>
      <c r="E2288" t="inlineStr">
        <is>
          <t>Q2-W01</t>
        </is>
      </c>
      <c r="F2288" t="inlineStr">
        <is>
          <t>Carmen</t>
        </is>
      </c>
      <c r="G2288" t="inlineStr">
        <is>
          <t>Customer</t>
        </is>
      </c>
      <c r="H2288" s="2" t="str">
        <f>=HYPERLINK("https://upbox.ajobthing.my/customer/173436", "https://upbox.ajobthing.my/customer/173436")</f>
        <v>https://upbox.ajobthing.my/customer/173436</v>
      </c>
      <c r="I2288" t="inlineStr">
        <is>
          <t>Cadoo Venture Sdn Bhd</t>
        </is>
      </c>
      <c r="J2288" t="inlineStr">
        <is>
          <t>Dolphin</t>
        </is>
      </c>
      <c r="K2288" t="inlineStr">
        <is>
          <t>Carmen</t>
        </is>
      </c>
      <c r="L2288" s="4"/>
      <c r="M2288" s="4">
        <v>46119.43361111111</v>
      </c>
      <c r="N2288"/>
      <c r="O2288">
        <v>3888</v>
      </c>
      <c r="P2288" s="4"/>
      <c r="Q2288" s="4">
        <v>45266.612280092595</v>
      </c>
      <c r="R2288"/>
      <c r="S2288">
        <v>1908</v>
      </c>
      <c r="T2288" s="4">
        <v>45266.612280092595</v>
      </c>
      <c r="U2288" s="4"/>
      <c r="V2288"/>
      <c r="W2288">
        <v>1908</v>
      </c>
      <c r="X2288"/>
      <c r="Y2288" t="inlineStr">
        <is>
          <t>Pending Appointment</t>
        </is>
      </c>
      <c r="Z2288" t="inlineStr">
        <is>
          <t>Hiring Now</t>
        </is>
      </c>
      <c r="AA2288">
        <v>1</v>
      </c>
      <c r="AB2288" t="inlineStr">
        <is>
          <t>No Appointment Made</t>
        </is>
      </c>
      <c r="AC2288"/>
      <c r="AD2288" t="inlineStr">
        <is>
          <t>1 warehouse assistant</t>
        </is>
      </c>
      <c r="AE2288"/>
      <c r="AF2288">
        <v>0</v>
      </c>
      <c r="AG2288" s="4"/>
      <c r="AH2288" s="4"/>
      <c r="AI2288"/>
      <c r="AJ2288"/>
      <c r="AK2288" t="inlineStr">
        <is>
          <t>No, I don't need at all</t>
        </is>
      </c>
      <c r="AL2288"/>
      <c r="AM2288"/>
      <c r="AN2288"/>
      <c r="AO2288"/>
      <c r="AP2288" t="inlineStr">
        <is>
          <t>Once a year (25%)</t>
        </is>
      </c>
      <c r="AQ2288"/>
      <c r="AR2288"/>
      <c r="AS2288" t="inlineStr">
        <is>
          <t>- Headcount: 1
- Hiring Job Details: 1 warehouse assistant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288">
        <v>75</v>
      </c>
      <c r="AU2288" t="inlineStr">
        <is>
          <t>0.75</t>
        </is>
      </c>
      <c r="AV2288" t="inlineStr">
        <is>
          <t>15</t>
        </is>
      </c>
      <c r="AW2288" t="inlineStr">
        <is>
          <t>0</t>
        </is>
      </c>
      <c r="AX2288" t="inlineStr">
        <is>
          <t>Not Qualified</t>
        </is>
      </c>
      <c r="AY2288" s="4"/>
      <c r="AZ2288"/>
      <c r="BA2288"/>
      <c r="BB2288"/>
      <c r="BC2288" t="inlineStr">
        <is>
          <t>npu</t>
        </is>
      </c>
      <c r="BD2288" s="4">
        <v>46129.74729166667</v>
      </c>
      <c r="BE2288" t="inlineStr">
        <is>
          <t>paid</t>
        </is>
      </c>
      <c r="BF2288"/>
      <c r="BG2288" t="inlineStr">
        <is>
          <t>Reschedule</t>
        </is>
      </c>
      <c r="BH2288" t="inlineStr">
        <is>
          <t>Reagen</t>
        </is>
      </c>
      <c r="BI2288" t="inlineStr">
        <is>
          <t>Retail / Merchandise</t>
        </is>
      </c>
      <c r="BJ2288" s="4">
        <v>46144.75150462963</v>
      </c>
      <c r="BK2288" s="4">
        <v>45261.719409722224</v>
      </c>
      <c r="BL2288" t="inlineStr">
        <is>
          <t>0.0</t>
        </is>
      </c>
      <c r="BM2288" t="inlineStr">
        <is>
          <t>150.0</t>
        </is>
      </c>
      <c r="BN2288" t="inlineStr">
        <is>
          <t>View Company Page</t>
        </is>
      </c>
      <c r="BO2288" s="4">
        <v>45567.78834490741</v>
      </c>
      <c r="BP2288">
        <v>165561</v>
      </c>
      <c r="BQ2288">
        <v>64369</v>
      </c>
      <c r="BR2288" t="inlineStr">
        <is>
          <t>Online</t>
        </is>
      </c>
      <c r="BS2288"/>
      <c r="BT2288">
        <v>64369</v>
      </c>
      <c r="BU2288"/>
      <c r="BV2288">
        <v>2713857</v>
      </c>
      <c r="BW2288" t="inlineStr">
        <is>
          <t>No Answer : Voicemail - WA sent to customer</t>
        </is>
      </c>
      <c r="BX2288"/>
      <c r="BY2288"/>
      <c r="BZ2288" s="4"/>
      <c r="CA2288"/>
      <c r="CB2288"/>
      <c r="CC2288" s="4"/>
      <c r="CD2288" t="inlineStr">
        <is>
          <t>20</t>
        </is>
      </c>
      <c r="CE2288" t="inlineStr">
        <is>
          <t>0</t>
        </is>
      </c>
      <c r="CF2288" t="inlineStr">
        <is>
          <t>Q2-W01</t>
        </is>
      </c>
      <c r="CG2288"/>
      <c r="CH2288"/>
      <c r="CI2288"/>
      <c r="CJ2288" t="inlineStr">
        <is>
          <t>Paid</t>
        </is>
      </c>
      <c r="CK2288" t="inlineStr">
        <is>
          <t>Not Eligible</t>
        </is>
      </c>
      <c r="CL2288"/>
      <c r="CM2288"/>
    </row>
    <row r="2289" ht="25.5" customHeight="1">
      <c r="A2289" t="inlineStr">
        <is>
          <t>4253445</t>
        </is>
      </c>
      <c r="B2289" s="2"/>
      <c r="C2289"/>
      <c r="D2289" s="3">
        <v>46119.439467592594</v>
      </c>
      <c r="E2289" t="inlineStr">
        <is>
          <t>Q2-W01</t>
        </is>
      </c>
      <c r="F2289" t="inlineStr">
        <is>
          <t>Angel  Low</t>
        </is>
      </c>
      <c r="G2289" t="inlineStr">
        <is>
          <t>Lead</t>
        </is>
      </c>
      <c r="H2289" s="2" t="str">
        <f>=HYPERLINK("https://upbox.ajobthing.my/leads/4253445", "https://upbox.ajobthing.my/leads/4253445")</f>
        <v>https://upbox.ajobthing.my/leads/4253445</v>
      </c>
      <c r="I2289" t="inlineStr">
        <is>
          <t>Exclusive Tax Services Sdn Bhd</t>
        </is>
      </c>
      <c r="J2289" t="inlineStr">
        <is>
          <t>Dolphin</t>
        </is>
      </c>
      <c r="K2289" t="inlineStr">
        <is>
          <t>Angel Low</t>
        </is>
      </c>
      <c r="L2289" s="4"/>
      <c r="M2289" s="4">
        <v>46119.44016203703</v>
      </c>
      <c r="N2289"/>
      <c r="O2289">
        <v>3672</v>
      </c>
      <c r="P2289" s="4"/>
      <c r="Q2289" s="4"/>
      <c r="R2289"/>
      <c r="S2289"/>
      <c r="T2289" s="4"/>
      <c r="U2289" s="4"/>
      <c r="V2289"/>
      <c r="W2289"/>
      <c r="X2289"/>
      <c r="Y2289" t="inlineStr">
        <is>
          <t>Pending Appointment</t>
        </is>
      </c>
      <c r="Z2289"/>
      <c r="AA2289">
        <v>2</v>
      </c>
      <c r="AB2289" t="inlineStr">
        <is>
          <t>No Appointment Made</t>
        </is>
      </c>
      <c r="AC2289"/>
      <c r="AD2289" t="inlineStr">
        <is>
          <t>1 tax assistant 1 tax assosiate ipoh</t>
        </is>
      </c>
      <c r="AE2289"/>
      <c r="AF2289"/>
      <c r="AG2289" s="4"/>
      <c r="AH2289" s="4"/>
      <c r="AI2289"/>
      <c r="AJ2289"/>
      <c r="AK2289"/>
      <c r="AL2289"/>
      <c r="AM2289"/>
      <c r="AN2289"/>
      <c r="AO2289"/>
      <c r="AP2289"/>
      <c r="AQ2289"/>
      <c r="AR2289"/>
      <c r="AS2289" t="inlineStr">
        <is>
          <t>- Headcount: 2
- Hiring Job Details: 1 tax assistant, 1 tax associate (Ipoh)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289">
        <v>65</v>
      </c>
      <c r="AU2289" t="inlineStr">
        <is>
          <t>0.65</t>
        </is>
      </c>
      <c r="AV2289" t="inlineStr">
        <is>
          <t>5</t>
        </is>
      </c>
      <c r="AW2289" t="inlineStr">
        <is>
          <t>0</t>
        </is>
      </c>
      <c r="AX2289" t="inlineStr">
        <is>
          <t>Not Qualified</t>
        </is>
      </c>
      <c r="AY2289" s="4"/>
      <c r="AZ2289"/>
      <c r="BA2289"/>
      <c r="BB2289"/>
      <c r="BC2289"/>
      <c r="BD2289" s="4"/>
      <c r="BE2289"/>
      <c r="BF2289"/>
      <c r="BG2289" t="inlineStr">
        <is>
          <t>Reschedule</t>
        </is>
      </c>
      <c r="BH2289" t="inlineStr">
        <is>
          <t>Fauziah Maharan</t>
        </is>
      </c>
      <c r="BI2289"/>
      <c r="BJ2289" s="4">
        <v>46144.755740740744</v>
      </c>
      <c r="BK2289" s="4">
        <v>46118.831354166665</v>
      </c>
      <c r="BL2289" t="inlineStr">
        <is>
          <t>0.0</t>
        </is>
      </c>
      <c r="BM2289" t="inlineStr">
        <is>
          <t>1200.0</t>
        </is>
      </c>
      <c r="BN2289"/>
      <c r="BO2289" s="4"/>
      <c r="BP2289">
        <v>165570</v>
      </c>
      <c r="BQ2289"/>
      <c r="BR2289"/>
      <c r="BS2289"/>
      <c r="BT2289"/>
      <c r="BU2289"/>
      <c r="BV2289"/>
      <c r="BW2289"/>
      <c r="BX2289"/>
      <c r="BY2289"/>
      <c r="BZ2289" s="4"/>
      <c r="CA2289"/>
      <c r="CB2289"/>
      <c r="CC2289" s="4"/>
      <c r="CD2289" t="inlineStr">
        <is>
          <t>5</t>
        </is>
      </c>
      <c r="CE2289" t="inlineStr">
        <is>
          <t>0</t>
        </is>
      </c>
      <c r="CF2289" t="inlineStr">
        <is>
          <t>Q2-W01</t>
        </is>
      </c>
      <c r="CG2289"/>
      <c r="CH2289"/>
      <c r="CI2289"/>
      <c r="CJ2289" t="inlineStr">
        <is>
          <t>No Paid</t>
        </is>
      </c>
      <c r="CK2289" t="inlineStr">
        <is>
          <t>Not Eligible</t>
        </is>
      </c>
      <c r="CL2289"/>
      <c r="CM2289"/>
    </row>
    <row r="2290" ht="25.5" customHeight="1">
      <c r="A2290" t="inlineStr">
        <is>
          <t>33841</t>
        </is>
      </c>
      <c r="B2290" s="2"/>
      <c r="C2290"/>
      <c r="D2290" s="3">
        <v>46119.43966435185</v>
      </c>
      <c r="E2290" t="inlineStr">
        <is>
          <t>Q2-W01</t>
        </is>
      </c>
      <c r="F2290" t="inlineStr">
        <is>
          <t>Luqman</t>
        </is>
      </c>
      <c r="G2290" t="inlineStr">
        <is>
          <t>Customer</t>
        </is>
      </c>
      <c r="H2290" s="2" t="str">
        <f>=HYPERLINK("https://upbox.ajobthing.my/customer/33841", "https://upbox.ajobthing.my/customer/33841")</f>
        <v>https://upbox.ajobthing.my/customer/33841</v>
      </c>
      <c r="I2290" t="inlineStr">
        <is>
          <t>ISME Sdn Bhd</t>
        </is>
      </c>
      <c r="J2290" t="inlineStr">
        <is>
          <t>Dolphin</t>
        </is>
      </c>
      <c r="K2290" t="inlineStr">
        <is>
          <t>Luqman</t>
        </is>
      </c>
      <c r="L2290" s="4"/>
      <c r="M2290" s="4">
        <v>46119.43990740741</v>
      </c>
      <c r="N2290"/>
      <c r="O2290">
        <v>3888</v>
      </c>
      <c r="P2290" s="4"/>
      <c r="Q2290" s="4">
        <v>45482.57037037037</v>
      </c>
      <c r="R2290"/>
      <c r="S2290">
        <v>2616.84</v>
      </c>
      <c r="T2290" s="4">
        <v>45482.57037037037</v>
      </c>
      <c r="U2290" s="4"/>
      <c r="V2290"/>
      <c r="W2290">
        <v>2616.84</v>
      </c>
      <c r="X2290"/>
      <c r="Y2290" t="inlineStr">
        <is>
          <t>Pending Appointment</t>
        </is>
      </c>
      <c r="Z2290" t="inlineStr">
        <is>
          <t>Hiring Later</t>
        </is>
      </c>
      <c r="AA2290">
        <v>1</v>
      </c>
      <c r="AB2290" t="inlineStr">
        <is>
          <t>No Appointment Made</t>
        </is>
      </c>
      <c r="AC2290"/>
      <c r="AD2290" t="inlineStr">
        <is>
          <t xml:space="preserve">1. Sales Executive </t>
        </is>
      </c>
      <c r="AE2290"/>
      <c r="AF2290">
        <v>1200</v>
      </c>
      <c r="AG2290" s="4"/>
      <c r="AH2290" s="4"/>
      <c r="AI2290">
        <v>1200</v>
      </c>
      <c r="AJ2290"/>
      <c r="AK2290" t="inlineStr">
        <is>
          <t>No, I don't need at all</t>
        </is>
      </c>
      <c r="AL2290">
        <v>1</v>
      </c>
      <c r="AM2290" t="inlineStr">
        <is>
          <t>No, I don't need at all</t>
        </is>
      </c>
      <c r="AN2290"/>
      <c r="AO2290" t="inlineStr">
        <is>
          <t>No, I don't need at all</t>
        </is>
      </c>
      <c r="AP2290" t="inlineStr">
        <is>
          <t>Once a year (25%)</t>
        </is>
      </c>
      <c r="AQ2290">
        <v>1</v>
      </c>
      <c r="AR2290" t="inlineStr">
        <is>
          <t>Jobstreet</t>
        </is>
      </c>
      <c r="AS2290" t="inlineStr">
        <is>
          <t>- Headcount: 1
- Hiring Job Details: 1 Sales Executive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is>
      </c>
      <c r="AT2290">
        <v>115</v>
      </c>
      <c r="AU2290" t="inlineStr">
        <is>
          <t>1.15</t>
        </is>
      </c>
      <c r="AV2290" t="inlineStr">
        <is>
          <t>15</t>
        </is>
      </c>
      <c r="AW2290" t="inlineStr">
        <is>
          <t>0</t>
        </is>
      </c>
      <c r="AX2290" t="inlineStr">
        <is>
          <t>Not Qualified</t>
        </is>
      </c>
      <c r="AY2290" s="4"/>
      <c r="AZ2290"/>
      <c r="BA2290"/>
      <c r="BB2290"/>
      <c r="BC2290" t="inlineStr">
        <is>
          <t>NA Dropped an email</t>
        </is>
      </c>
      <c r="BD2290" s="4">
        <v>46125.723958333336</v>
      </c>
      <c r="BE2290" t="inlineStr">
        <is>
          <t>paid</t>
        </is>
      </c>
      <c r="BF2290"/>
      <c r="BG2290" t="inlineStr">
        <is>
          <t>Reschedule</t>
        </is>
      </c>
      <c r="BH2290" t="inlineStr">
        <is>
          <t>Edward Hoo</t>
        </is>
      </c>
      <c r="BI2290" t="inlineStr">
        <is>
          <t>Engineering / Technical Consulting</t>
        </is>
      </c>
      <c r="BJ2290" s="4">
        <v>46144.75457175926</v>
      </c>
      <c r="BK2290" s="4">
        <v>42783.519282407404</v>
      </c>
      <c r="BL2290" t="inlineStr">
        <is>
          <t>0.0</t>
        </is>
      </c>
      <c r="BM2290" t="inlineStr">
        <is>
          <t>0.0</t>
        </is>
      </c>
      <c r="BN2290" t="inlineStr">
        <is>
          <t>View Jobmanager Page</t>
        </is>
      </c>
      <c r="BO2290" s="4">
        <v>45926.747662037036</v>
      </c>
      <c r="BP2290">
        <v>165569</v>
      </c>
      <c r="BQ2290">
        <v>70822</v>
      </c>
      <c r="BR2290" t="inlineStr">
        <is>
          <t>Online</t>
        </is>
      </c>
      <c r="BS2290"/>
      <c r="BT2290">
        <v>70822</v>
      </c>
      <c r="BU2290"/>
      <c r="BV2290">
        <v>2702050</v>
      </c>
      <c r="BW2290" t="inlineStr">
        <is>
          <t>No Answer : Voicemail - Email sent to customer</t>
        </is>
      </c>
      <c r="BX2290"/>
      <c r="BY2290"/>
      <c r="BZ2290" s="4"/>
      <c r="CA2290"/>
      <c r="CB2290"/>
      <c r="CC2290" s="4"/>
      <c r="CD2290" t="inlineStr">
        <is>
          <t>20</t>
        </is>
      </c>
      <c r="CE2290" t="inlineStr">
        <is>
          <t>0</t>
        </is>
      </c>
      <c r="CF2290" t="inlineStr">
        <is>
          <t>Q2-W01</t>
        </is>
      </c>
      <c r="CG2290"/>
      <c r="CH2290"/>
      <c r="CI2290"/>
      <c r="CJ2290" t="inlineStr">
        <is>
          <t>Paid</t>
        </is>
      </c>
      <c r="CK2290" t="inlineStr">
        <is>
          <t>Not Eligible</t>
        </is>
      </c>
      <c r="CL2290"/>
      <c r="CM2290"/>
    </row>
    <row r="2291" ht="25.5" customHeight="1">
      <c r="A2291" t="inlineStr">
        <is>
          <t>202906</t>
        </is>
      </c>
      <c r="B2291" s="2"/>
      <c r="C2291"/>
      <c r="D2291" s="3">
        <v>46119.44629629629</v>
      </c>
      <c r="E2291" t="inlineStr">
        <is>
          <t>Q2-W01</t>
        </is>
      </c>
      <c r="F2291" t="inlineStr">
        <is>
          <t>Evan</t>
        </is>
      </c>
      <c r="G2291" t="inlineStr">
        <is>
          <t>Customer</t>
        </is>
      </c>
      <c r="H2291" s="2" t="str">
        <f>=HYPERLINK("https://upbox.ajobthing.my/customer/202906", "https://upbox.ajobthing.my/customer/202906")</f>
        <v>https://upbox.ajobthing.my/customer/202906</v>
      </c>
      <c r="I2291" t="inlineStr">
        <is>
          <t>Remotrad</t>
        </is>
      </c>
      <c r="J2291" t="inlineStr">
        <is>
          <t>Dolphin</t>
        </is>
      </c>
      <c r="K2291" t="inlineStr">
        <is>
          <t>Evan</t>
        </is>
      </c>
      <c r="L2291" s="4"/>
      <c r="M2291" s="4">
        <v>46119.4452662037</v>
      </c>
      <c r="N2291"/>
      <c r="O2291">
        <v>3672</v>
      </c>
      <c r="P2291" s="4"/>
      <c r="Q2291" s="4"/>
      <c r="R2291"/>
      <c r="S2291"/>
      <c r="T2291" s="4"/>
      <c r="U2291" s="4"/>
      <c r="V2291"/>
      <c r="W2291"/>
      <c r="X2291"/>
      <c r="Y2291" t="inlineStr">
        <is>
          <t>Pending Appointment</t>
        </is>
      </c>
      <c r="Z2291" t="inlineStr">
        <is>
          <t>Hiring Now</t>
        </is>
      </c>
      <c r="AA2291">
        <v>2</v>
      </c>
      <c r="AB2291" t="inlineStr">
        <is>
          <t>No Appointment Made</t>
        </is>
      </c>
      <c r="AC2291"/>
      <c r="AD2291" t="inlineStr">
        <is>
          <t>1 admin, 1 digital marketing, all base in KL</t>
        </is>
      </c>
      <c r="AE2291"/>
      <c r="AF2291">
        <v>1</v>
      </c>
      <c r="AG2291" s="4"/>
      <c r="AH2291" s="4"/>
      <c r="AI2291">
        <v>1</v>
      </c>
      <c r="AJ2291">
        <v>1</v>
      </c>
      <c r="AK2291" t="inlineStr">
        <is>
          <t>No, I don't need at all</t>
        </is>
      </c>
      <c r="AL2291">
        <v>0</v>
      </c>
      <c r="AM2291" t="inlineStr">
        <is>
          <t>No, I don't need at all</t>
        </is>
      </c>
      <c r="AN2291"/>
      <c r="AO2291" t="inlineStr">
        <is>
          <t>No, I don't need at all</t>
        </is>
      </c>
      <c r="AP2291" t="inlineStr">
        <is>
          <t>Once a year (25%)</t>
        </is>
      </c>
      <c r="AQ2291">
        <v>2</v>
      </c>
      <c r="AR2291" t="inlineStr">
        <is>
          <t>Did not use any job portal</t>
        </is>
      </c>
      <c r="AS2291" t="inlineStr">
        <is>
          <t>- Headcount: 2
- Hiring Job Details: 1 admin, 1 digital marketing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is>
      </c>
      <c r="AT2291">
        <v>120</v>
      </c>
      <c r="AU2291" t="inlineStr">
        <is>
          <t>1.20</t>
        </is>
      </c>
      <c r="AV2291" t="inlineStr">
        <is>
          <t>15</t>
        </is>
      </c>
      <c r="AW2291" t="inlineStr">
        <is>
          <t>0</t>
        </is>
      </c>
      <c r="AX2291" t="inlineStr">
        <is>
          <t>Not Qualified</t>
        </is>
      </c>
      <c r="AY2291" s="4"/>
      <c r="AZ2291"/>
      <c r="BA2291"/>
      <c r="BB2291"/>
      <c r="BC2291" t="inlineStr">
        <is>
          <t>let me know soon</t>
        </is>
      </c>
      <c r="BD2291" s="4">
        <v>46135.648206018515</v>
      </c>
      <c r="BE2291"/>
      <c r="BF2291"/>
      <c r="BG2291" t="inlineStr">
        <is>
          <t>Reschedule</t>
        </is>
      </c>
      <c r="BH2291" t="inlineStr">
        <is>
          <t>Edward Hoo</t>
        </is>
      </c>
      <c r="BI2291"/>
      <c r="BJ2291" s="4">
        <v>46144.754166666666</v>
      </c>
      <c r="BK2291" s="4">
        <v>46119.36708333333</v>
      </c>
      <c r="BL2291" t="inlineStr">
        <is>
          <t>0.0</t>
        </is>
      </c>
      <c r="BM2291" t="inlineStr">
        <is>
          <t>0.0</t>
        </is>
      </c>
      <c r="BN2291" t="inlineStr">
        <is>
          <t>View Company Page</t>
        </is>
      </c>
      <c r="BO2291" s="4">
        <v>46119.37515046296</v>
      </c>
      <c r="BP2291">
        <v>165578</v>
      </c>
      <c r="BQ2291"/>
      <c r="BR2291"/>
      <c r="BS2291"/>
      <c r="BT2291"/>
      <c r="BU2291"/>
      <c r="BV2291">
        <v>2724438</v>
      </c>
      <c r="BW2291" t="inlineStr">
        <is>
          <t>Follow Up : Decision Pending</t>
        </is>
      </c>
      <c r="BX2291"/>
      <c r="BY2291"/>
      <c r="BZ2291" s="4"/>
      <c r="CA2291"/>
      <c r="CB2291"/>
      <c r="CC2291" s="4"/>
      <c r="CD2291" t="inlineStr">
        <is>
          <t>20</t>
        </is>
      </c>
      <c r="CE2291" t="inlineStr">
        <is>
          <t>0</t>
        </is>
      </c>
      <c r="CF2291" t="inlineStr">
        <is>
          <t>Q2-W01</t>
        </is>
      </c>
      <c r="CG2291"/>
      <c r="CH2291"/>
      <c r="CI2291"/>
      <c r="CJ2291" t="inlineStr">
        <is>
          <t>No Paid</t>
        </is>
      </c>
      <c r="CK2291" t="inlineStr">
        <is>
          <t>Not Eligible</t>
        </is>
      </c>
      <c r="CL2291"/>
      <c r="CM2291"/>
    </row>
    <row r="2292" ht="25.5" customHeight="1">
      <c r="A2292" t="inlineStr">
        <is>
          <t>148163</t>
        </is>
      </c>
      <c r="B2292" s="2"/>
      <c r="C2292"/>
      <c r="D2292" s="3">
        <v>46119.45085648148</v>
      </c>
      <c r="E2292" t="inlineStr">
        <is>
          <t>Q2-W01</t>
        </is>
      </c>
      <c r="F2292" t="inlineStr">
        <is>
          <t>Ratha</t>
        </is>
      </c>
      <c r="G2292" t="inlineStr">
        <is>
          <t>Customer</t>
        </is>
      </c>
      <c r="H2292" s="2" t="str">
        <f>=HYPERLINK("https://upbox.ajobthing.my/customer/148163", "https://upbox.ajobthing.my/customer/148163")</f>
        <v>https://upbox.ajobthing.my/customer/148163</v>
      </c>
      <c r="I2292" t="inlineStr">
        <is>
          <t>Leong Jin Corporaton Sdn Bhd</t>
        </is>
      </c>
      <c r="J2292" t="inlineStr">
        <is>
          <t>Dolphin</t>
        </is>
      </c>
      <c r="K2292" t="inlineStr">
        <is>
          <t>Ratha</t>
        </is>
      </c>
      <c r="L2292" s="4"/>
      <c r="M2292" s="4">
        <v>46119.45112268518</v>
      </c>
      <c r="N2292"/>
      <c r="O2292">
        <v>3888</v>
      </c>
      <c r="P2292" s="4"/>
      <c r="Q2292" s="4">
        <v>44874.25693287037</v>
      </c>
      <c r="R2292"/>
      <c r="S2292">
        <v>1060</v>
      </c>
      <c r="T2292" s="4">
        <v>44873.00001157408</v>
      </c>
      <c r="U2292" s="4"/>
      <c r="V2292"/>
      <c r="W2292">
        <v>1060</v>
      </c>
      <c r="X2292"/>
      <c r="Y2292" t="inlineStr">
        <is>
          <t>Pending Appointment</t>
        </is>
      </c>
      <c r="Z2292" t="inlineStr">
        <is>
          <t>Hiring Now</t>
        </is>
      </c>
      <c r="AA2292">
        <v>3</v>
      </c>
      <c r="AB2292" t="inlineStr">
        <is>
          <t>No Appointment Made</t>
        </is>
      </c>
      <c r="AC2292"/>
      <c r="AD2292" t="inlineStr">
        <is>
          <t>General Worker : 3
Location : Semenyih</t>
        </is>
      </c>
      <c r="AE2292"/>
      <c r="AF2292"/>
      <c r="AG2292" s="4"/>
      <c r="AH2292" s="4"/>
      <c r="AI2292">
        <v>0</v>
      </c>
      <c r="AJ2292">
        <v>1</v>
      </c>
      <c r="AK2292" t="inlineStr">
        <is>
          <t>Yes, I have</t>
        </is>
      </c>
      <c r="AL2292">
        <v>2</v>
      </c>
      <c r="AM2292" t="inlineStr">
        <is>
          <t>No, I don't need at all</t>
        </is>
      </c>
      <c r="AN2292"/>
      <c r="AO2292" t="inlineStr">
        <is>
          <t>No, I don't need at all</t>
        </is>
      </c>
      <c r="AP2292" t="inlineStr">
        <is>
          <t>Once per quarter (75%)</t>
        </is>
      </c>
      <c r="AQ2292">
        <v>0</v>
      </c>
      <c r="AR2292" t="inlineStr">
        <is>
          <t>Free Job Portal</t>
        </is>
      </c>
      <c r="AS2292" t="inlineStr">
        <is>
          <t>- Headcount: 3
- Hiring Job Details: 3 General Worker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2292">
        <v>115</v>
      </c>
      <c r="AU2292" t="inlineStr">
        <is>
          <t>1.15</t>
        </is>
      </c>
      <c r="AV2292" t="inlineStr">
        <is>
          <t>5</t>
        </is>
      </c>
      <c r="AW2292" t="inlineStr">
        <is>
          <t>0</t>
        </is>
      </c>
      <c r="AX2292" t="inlineStr">
        <is>
          <t>Not Qualified</t>
        </is>
      </c>
      <c r="AY2292" s="4"/>
      <c r="AZ2292"/>
      <c r="BA2292"/>
      <c r="BB2292"/>
      <c r="BC2292" t="inlineStr">
        <is>
          <t>not consider</t>
        </is>
      </c>
      <c r="BD2292" s="4">
        <v>46121.463217592594</v>
      </c>
      <c r="BE2292" t="inlineStr">
        <is>
          <t>pending</t>
        </is>
      </c>
      <c r="BF2292"/>
      <c r="BG2292" t="inlineStr">
        <is>
          <t>Reschedule</t>
        </is>
      </c>
      <c r="BH2292" t="inlineStr">
        <is>
          <t>Fauziah Maharan</t>
        </is>
      </c>
      <c r="BI2292" t="inlineStr">
        <is>
          <t>Engineering / Technical Consulting</t>
        </is>
      </c>
      <c r="BJ2292" s="4">
        <v>46144.75079861111</v>
      </c>
      <c r="BK2292" s="4">
        <v>44601.57925925926</v>
      </c>
      <c r="BL2292" t="inlineStr">
        <is>
          <t>0.0</t>
        </is>
      </c>
      <c r="BM2292" t="inlineStr">
        <is>
          <t>0.0</t>
        </is>
      </c>
      <c r="BN2292" t="inlineStr">
        <is>
          <t>View PeopleSearch Page</t>
        </is>
      </c>
      <c r="BO2292" s="4">
        <v>45043.56005787037</v>
      </c>
      <c r="BP2292">
        <v>165582</v>
      </c>
      <c r="BQ2292">
        <v>68621</v>
      </c>
      <c r="BR2292" t="inlineStr">
        <is>
          <t>Proforma</t>
        </is>
      </c>
      <c r="BS2292" t="inlineStr">
        <is>
          <t>Starter</t>
        </is>
      </c>
      <c r="BT2292">
        <v>52451</v>
      </c>
      <c r="BU2292"/>
      <c r="BV2292">
        <v>2694894</v>
      </c>
      <c r="BW2292" t="inlineStr">
        <is>
          <t>Follow Up : Lost - Free Portal</t>
        </is>
      </c>
      <c r="BX2292"/>
      <c r="BY2292"/>
      <c r="BZ2292" s="4"/>
      <c r="CA2292"/>
      <c r="CB2292"/>
      <c r="CC2292" s="4"/>
      <c r="CD2292" t="inlineStr">
        <is>
          <t>5</t>
        </is>
      </c>
      <c r="CE2292" t="inlineStr">
        <is>
          <t>0</t>
        </is>
      </c>
      <c r="CF2292" t="inlineStr">
        <is>
          <t>Q2-W01</t>
        </is>
      </c>
      <c r="CG2292"/>
      <c r="CH2292"/>
      <c r="CI2292"/>
      <c r="CJ2292" t="inlineStr">
        <is>
          <t>Paid</t>
        </is>
      </c>
      <c r="CK2292" t="inlineStr">
        <is>
          <t>Not Eligible</t>
        </is>
      </c>
      <c r="CL2292"/>
      <c r="CM2292"/>
    </row>
    <row r="2293" ht="25.5" customHeight="1">
      <c r="A2293" t="inlineStr">
        <is>
          <t>156725</t>
        </is>
      </c>
      <c r="B2293" s="2"/>
      <c r="C2293"/>
      <c r="D2293" s="3">
        <v>46119.460914351854</v>
      </c>
      <c r="E2293" t="inlineStr">
        <is>
          <t>Q2-W01</t>
        </is>
      </c>
      <c r="F2293" t="inlineStr">
        <is>
          <t>Jess</t>
        </is>
      </c>
      <c r="G2293" t="inlineStr">
        <is>
          <t>Customer</t>
        </is>
      </c>
      <c r="H2293" s="2" t="str">
        <f>=HYPERLINK("https://upbox.ajobthing.my/customer/156725", "https://upbox.ajobthing.my/customer/156725")</f>
        <v>https://upbox.ajobthing.my/customer/156725</v>
      </c>
      <c r="I2293" t="inlineStr">
        <is>
          <t>Malsystem Consult Sdn Bhd</t>
        </is>
      </c>
      <c r="J2293" t="inlineStr">
        <is>
          <t>Dolphin</t>
        </is>
      </c>
      <c r="K2293" t="inlineStr">
        <is>
          <t>Jess Lim</t>
        </is>
      </c>
      <c r="L2293" s="4"/>
      <c r="M2293" s="4">
        <v>46119.46157407408</v>
      </c>
      <c r="N2293"/>
      <c r="O2293">
        <v>3672</v>
      </c>
      <c r="P2293" s="4"/>
      <c r="Q2293" s="4">
        <v>46125.5646412037</v>
      </c>
      <c r="R2293"/>
      <c r="S2293">
        <v>0</v>
      </c>
      <c r="T2293" s="4">
        <v>46121.755636574075</v>
      </c>
      <c r="U2293" s="4"/>
      <c r="V2293"/>
      <c r="W2293">
        <v>1296</v>
      </c>
      <c r="X2293"/>
      <c r="Y2293" t="inlineStr">
        <is>
          <t>Pending Appointment</t>
        </is>
      </c>
      <c r="Z2293" t="inlineStr">
        <is>
          <t>Hiring Now</t>
        </is>
      </c>
      <c r="AA2293">
        <v>1</v>
      </c>
      <c r="AB2293" t="inlineStr">
        <is>
          <t>No Appointment Made</t>
        </is>
      </c>
      <c r="AC2293"/>
      <c r="AD2293" t="inlineStr">
        <is>
          <t>secretary</t>
        </is>
      </c>
      <c r="AE2293"/>
      <c r="AF2293">
        <v>1200</v>
      </c>
      <c r="AG2293" s="4"/>
      <c r="AH2293" s="4"/>
      <c r="AI2293"/>
      <c r="AJ2293">
        <v>1</v>
      </c>
      <c r="AK2293" t="inlineStr">
        <is>
          <t>No, I don't need at all</t>
        </is>
      </c>
      <c r="AL2293">
        <v>1</v>
      </c>
      <c r="AM2293" t="inlineStr">
        <is>
          <t>No, I don't need at all</t>
        </is>
      </c>
      <c r="AN2293"/>
      <c r="AO2293" t="inlineStr">
        <is>
          <t>No, I don't need at all</t>
        </is>
      </c>
      <c r="AP2293" t="inlineStr">
        <is>
          <t>Once a year (25%)</t>
        </is>
      </c>
      <c r="AQ2293"/>
      <c r="AR2293" t="inlineStr">
        <is>
          <t>Jobstreet</t>
        </is>
      </c>
      <c r="AS2293" t="inlineStr">
        <is>
          <t>- Headcount: 1
- Hiring Job Details: 1 secretary
- Hiring Urgency: Hiring Now
- Number of outlets: 1
- Have recruiter team: No, I don't need at all
- Number of recruiter in company: 1
- Have ATS system: No, I don't need at all
- Have career website: No, I don't need at all
- Current hiring budget: RM1,200.00
- Whole year budget: 
- Whole year number of vacancies: 
- Hiring frequency: Once a year (25%)
- External job portal: Jobstreet</t>
        </is>
      </c>
      <c r="AT2293">
        <v>105</v>
      </c>
      <c r="AU2293" t="inlineStr">
        <is>
          <t>1.05</t>
        </is>
      </c>
      <c r="AV2293" t="inlineStr">
        <is>
          <t>15</t>
        </is>
      </c>
      <c r="AW2293" t="inlineStr">
        <is>
          <t>0</t>
        </is>
      </c>
      <c r="AX2293" t="inlineStr">
        <is>
          <t>Not Qualified</t>
        </is>
      </c>
      <c r="AY2293" s="4"/>
      <c r="AZ2293"/>
      <c r="BA2293"/>
      <c r="BB2293"/>
      <c r="BC2293" t="inlineStr">
        <is>
          <t>need more candiadte</t>
        </is>
      </c>
      <c r="BD2293" s="4">
        <v>46140.65121527778</v>
      </c>
      <c r="BE2293" t="inlineStr">
        <is>
          <t>paid</t>
        </is>
      </c>
      <c r="BF2293" t="inlineStr">
        <is>
          <t>Q2-W01</t>
        </is>
      </c>
      <c r="BG2293" t="inlineStr">
        <is>
          <t>Reschedule</t>
        </is>
      </c>
      <c r="BH2293" t="inlineStr">
        <is>
          <t>Fauziah Maharan</t>
        </is>
      </c>
      <c r="BI2293" t="inlineStr">
        <is>
          <t>Accounting / Tax Services</t>
        </is>
      </c>
      <c r="BJ2293" s="4">
        <v>46144.75099537037</v>
      </c>
      <c r="BK2293" s="4">
        <v>44748.40586805555</v>
      </c>
      <c r="BL2293" t="inlineStr">
        <is>
          <t>2592.0</t>
        </is>
      </c>
      <c r="BM2293" t="inlineStr">
        <is>
          <t>0.0</t>
        </is>
      </c>
      <c r="BN2293" t="inlineStr">
        <is>
          <t>View Company Page</t>
        </is>
      </c>
      <c r="BO2293" s="4">
        <v>46140.652395833335</v>
      </c>
      <c r="BP2293">
        <v>165589</v>
      </c>
      <c r="BQ2293">
        <v>122003</v>
      </c>
      <c r="BR2293" t="inlineStr">
        <is>
          <t>Proforma</t>
        </is>
      </c>
      <c r="BS2293" t="inlineStr">
        <is>
          <t>A La Carte AI Job Ad Free</t>
        </is>
      </c>
      <c r="BT2293">
        <v>92574</v>
      </c>
      <c r="BU2293"/>
      <c r="BV2293">
        <v>2733144</v>
      </c>
      <c r="BW2293" t="inlineStr">
        <is>
          <t>Service / Technical : Job Outcome Enquiry</t>
        </is>
      </c>
      <c r="BX2293">
        <v>2</v>
      </c>
      <c r="BY2293">
        <v>0</v>
      </c>
      <c r="BZ2293" s="4">
        <v>46125.56627314815</v>
      </c>
      <c r="CA2293">
        <v>10</v>
      </c>
      <c r="CB2293">
        <v>3</v>
      </c>
      <c r="CC2293" s="4">
        <v>46139.4766087963</v>
      </c>
      <c r="CD2293" t="inlineStr">
        <is>
          <t>20</t>
        </is>
      </c>
      <c r="CE2293" t="inlineStr">
        <is>
          <t>0</t>
        </is>
      </c>
      <c r="CF2293" t="inlineStr">
        <is>
          <t>Q2-W01</t>
        </is>
      </c>
      <c r="CG2293" t="inlineStr">
        <is>
          <t>Q2-W02</t>
        </is>
      </c>
      <c r="CH2293" t="inlineStr">
        <is>
          <t>Q2-W01</t>
        </is>
      </c>
      <c r="CI2293"/>
      <c r="CJ2293" t="inlineStr">
        <is>
          <t>Paid</t>
        </is>
      </c>
      <c r="CK2293" t="inlineStr">
        <is>
          <t>Not Eligible</t>
        </is>
      </c>
      <c r="CL2293"/>
      <c r="CM2293"/>
    </row>
    <row r="2294" ht="25.5" customHeight="1">
      <c r="A2294" t="inlineStr">
        <is>
          <t>156622</t>
        </is>
      </c>
      <c r="B2294" s="2"/>
      <c r="C2294"/>
      <c r="D2294" s="3">
        <v>46119.469143518516</v>
      </c>
      <c r="E2294" t="inlineStr">
        <is>
          <t>Q2-W01</t>
        </is>
      </c>
      <c r="F2294" t="inlineStr">
        <is>
          <t>Derek Lim</t>
        </is>
      </c>
      <c r="G2294" t="inlineStr">
        <is>
          <t>Customer</t>
        </is>
      </c>
      <c r="H2294" s="2" t="str">
        <f>=HYPERLINK("https://upbox.ajobthing.my/customer/156622", "https://upbox.ajobthing.my/customer/156622")</f>
        <v>https://upbox.ajobthing.my/customer/156622</v>
      </c>
      <c r="I2294" t="inlineStr">
        <is>
          <t>Nutrilife Asia Sdn Bhd</t>
        </is>
      </c>
      <c r="J2294" t="inlineStr">
        <is>
          <t>Dolphin</t>
        </is>
      </c>
      <c r="K2294" t="inlineStr">
        <is>
          <t>Derek Lim</t>
        </is>
      </c>
      <c r="L2294" s="4"/>
      <c r="M2294" s="4">
        <v>46119.469560185185</v>
      </c>
      <c r="N2294"/>
      <c r="O2294">
        <v>6048</v>
      </c>
      <c r="P2294" s="4"/>
      <c r="Q2294" s="4">
        <v>46126.79956018519</v>
      </c>
      <c r="R2294"/>
      <c r="S2294">
        <v>0</v>
      </c>
      <c r="T2294" s="4">
        <v>46121.62181712963</v>
      </c>
      <c r="U2294" s="4"/>
      <c r="V2294"/>
      <c r="W2294">
        <v>3672</v>
      </c>
      <c r="X2294"/>
      <c r="Y2294" t="inlineStr">
        <is>
          <t>Pending Appointment</t>
        </is>
      </c>
      <c r="Z2294" t="inlineStr">
        <is>
          <t>Hiring Now</t>
        </is>
      </c>
      <c r="AA2294">
        <v>3</v>
      </c>
      <c r="AB2294" t="inlineStr">
        <is>
          <t>No Appointment Made</t>
        </is>
      </c>
      <c r="AC2294"/>
      <c r="AD2294" t="inlineStr">
        <is>
          <t>Sales - 2, marketing -1</t>
        </is>
      </c>
      <c r="AE2294"/>
      <c r="AF2294">
        <v>600</v>
      </c>
      <c r="AG2294" s="4"/>
      <c r="AH2294" s="4"/>
      <c r="AI2294">
        <v>800</v>
      </c>
      <c r="AJ2294">
        <v>1</v>
      </c>
      <c r="AK2294" t="inlineStr">
        <is>
          <t>No, I don't need at all</t>
        </is>
      </c>
      <c r="AL2294">
        <v>0</v>
      </c>
      <c r="AM2294" t="inlineStr">
        <is>
          <t>No, I don't need at all</t>
        </is>
      </c>
      <c r="AN2294"/>
      <c r="AO2294" t="inlineStr">
        <is>
          <t>No, but I want in future</t>
        </is>
      </c>
      <c r="AP2294" t="inlineStr">
        <is>
          <t>Once a year (25%)</t>
        </is>
      </c>
      <c r="AQ2294">
        <v>3</v>
      </c>
      <c r="AR2294" t="inlineStr">
        <is>
          <t>Did not use any job portal</t>
        </is>
      </c>
      <c r="AS2294" t="inlineStr">
        <is>
          <t>- Headcount: 3
- Hiring Job Details: Sales - 2, marketing - 1
- Hiring Urgency: Hiring Now
- Number of outlets: 1
- Have recruiter team: No, I don't need at all
- Number of recruiter in company: 0
- Have ATS system: No, I don't need at all
- Have career website: No, but I want in future
- Current hiring budget: RM600
- Whole year budget: RM800.00
- Whole year number of vacancies: 3
- Hiring frequency: Once a year (25%)
- External job portal: Did not use any job portal</t>
        </is>
      </c>
      <c r="AT2294">
        <v>110</v>
      </c>
      <c r="AU2294" t="inlineStr">
        <is>
          <t>1.10</t>
        </is>
      </c>
      <c r="AV2294" t="inlineStr">
        <is>
          <t>15</t>
        </is>
      </c>
      <c r="AW2294" t="inlineStr">
        <is>
          <t>0</t>
        </is>
      </c>
      <c r="AX2294" t="inlineStr">
        <is>
          <t>Not Qualified</t>
        </is>
      </c>
      <c r="AY2294" s="4"/>
      <c r="AZ2294"/>
      <c r="BA2294"/>
      <c r="BB2294"/>
      <c r="BC2294" t="inlineStr">
        <is>
          <t>CUSTOMER PAID</t>
        </is>
      </c>
      <c r="BD2294" s="4">
        <v>46121.61355324074</v>
      </c>
      <c r="BE2294" t="inlineStr">
        <is>
          <t>paid</t>
        </is>
      </c>
      <c r="BF2294" t="inlineStr">
        <is>
          <t>Q2-W01</t>
        </is>
      </c>
      <c r="BG2294" t="inlineStr">
        <is>
          <t>Reschedule</t>
        </is>
      </c>
      <c r="BH2294" t="inlineStr">
        <is>
          <t>Edward Hoo</t>
        </is>
      </c>
      <c r="BI2294" t="inlineStr">
        <is>
          <t>Sales / Biz Development</t>
        </is>
      </c>
      <c r="BJ2294" s="4">
        <v>46144.75099537037</v>
      </c>
      <c r="BK2294" s="4">
        <v>44746.622662037036</v>
      </c>
      <c r="BL2294" t="inlineStr">
        <is>
          <t>3672.0</t>
        </is>
      </c>
      <c r="BM2294" t="inlineStr">
        <is>
          <t>0.0</t>
        </is>
      </c>
      <c r="BN2294" t="inlineStr">
        <is>
          <t>View Company Page</t>
        </is>
      </c>
      <c r="BO2294" s="4">
        <v>46126.805659722224</v>
      </c>
      <c r="BP2294">
        <v>165597</v>
      </c>
      <c r="BQ2294">
        <v>122345</v>
      </c>
      <c r="BR2294" t="inlineStr">
        <is>
          <t>Proforma</t>
        </is>
      </c>
      <c r="BS2294" t="inlineStr">
        <is>
          <t>Free High Pay Job</t>
        </is>
      </c>
      <c r="BT2294">
        <v>92516</v>
      </c>
      <c r="BU2294"/>
      <c r="BV2294">
        <v>2696129</v>
      </c>
      <c r="BW2294" t="inlineStr">
        <is>
          <t>Follow Up : Win - Customer Paid</t>
        </is>
      </c>
      <c r="BX2294">
        <v>6</v>
      </c>
      <c r="BY2294">
        <v>6</v>
      </c>
      <c r="BZ2294" s="4"/>
      <c r="CA2294">
        <v>60</v>
      </c>
      <c r="CB2294">
        <v>60</v>
      </c>
      <c r="CC2294" s="4"/>
      <c r="CD2294" t="inlineStr">
        <is>
          <t>20</t>
        </is>
      </c>
      <c r="CE2294" t="inlineStr">
        <is>
          <t>0</t>
        </is>
      </c>
      <c r="CF2294" t="inlineStr">
        <is>
          <t>Q2-W01</t>
        </is>
      </c>
      <c r="CG2294" t="inlineStr">
        <is>
          <t>Q2-W02</t>
        </is>
      </c>
      <c r="CH2294" t="inlineStr">
        <is>
          <t>Q2-W01</t>
        </is>
      </c>
      <c r="CI2294"/>
      <c r="CJ2294" t="inlineStr">
        <is>
          <t>Paid</t>
        </is>
      </c>
      <c r="CK2294" t="inlineStr">
        <is>
          <t>Not Eligible</t>
        </is>
      </c>
      <c r="CL2294"/>
      <c r="CM2294"/>
    </row>
    <row r="2295" ht="25.5" customHeight="1">
      <c r="A2295" t="inlineStr">
        <is>
          <t>188166</t>
        </is>
      </c>
      <c r="B2295" s="2"/>
      <c r="C2295"/>
      <c r="D2295" s="3">
        <v>46119.47048611111</v>
      </c>
      <c r="E2295" t="inlineStr">
        <is>
          <t>Q2-W01</t>
        </is>
      </c>
      <c r="F2295" t="inlineStr">
        <is>
          <t>Clover</t>
        </is>
      </c>
      <c r="G2295" t="inlineStr">
        <is>
          <t>Customer</t>
        </is>
      </c>
      <c r="H2295" s="2" t="str">
        <f>=HYPERLINK("https://upbox.ajobthing.my/customer/188166", "https://upbox.ajobthing.my/customer/188166")</f>
        <v>https://upbox.ajobthing.my/customer/188166</v>
      </c>
      <c r="I2295" t="inlineStr">
        <is>
          <t>S.m.spa &amp; Wellness</t>
        </is>
      </c>
      <c r="J2295" t="inlineStr">
        <is>
          <t>Dolphin</t>
        </is>
      </c>
      <c r="K2295" t="inlineStr">
        <is>
          <t>Clover</t>
        </is>
      </c>
      <c r="L2295" s="4"/>
      <c r="M2295" s="4">
        <v>46119.46435185185</v>
      </c>
      <c r="N2295"/>
      <c r="O2295">
        <v>3888</v>
      </c>
      <c r="P2295" s="4"/>
      <c r="Q2295" s="4"/>
      <c r="R2295"/>
      <c r="S2295"/>
      <c r="T2295" s="4"/>
      <c r="U2295" s="4"/>
      <c r="V2295"/>
      <c r="W2295"/>
      <c r="X2295"/>
      <c r="Y2295" t="inlineStr">
        <is>
          <t>Pending Appointment</t>
        </is>
      </c>
      <c r="Z2295" t="inlineStr">
        <is>
          <t>Hiring Now</t>
        </is>
      </c>
      <c r="AA2295">
        <v>2</v>
      </c>
      <c r="AB2295" t="inlineStr">
        <is>
          <t>No Appointment Made</t>
        </is>
      </c>
      <c r="AC2295"/>
      <c r="AD2295" t="inlineStr">
        <is>
          <t>Ask to 1 job, hire local massage therapists x1-2, prefer chi, puchong, 5 outlets, suggest pro dis 400</t>
        </is>
      </c>
      <c r="AE2295"/>
      <c r="AF2295">
        <v>3000</v>
      </c>
      <c r="AG2295" s="4"/>
      <c r="AH2295" s="4"/>
      <c r="AI2295">
        <v>3000</v>
      </c>
      <c r="AJ2295">
        <v>5</v>
      </c>
      <c r="AK2295" t="inlineStr">
        <is>
          <t>No, but I want in future</t>
        </is>
      </c>
      <c r="AL2295">
        <v>1</v>
      </c>
      <c r="AM2295" t="inlineStr">
        <is>
          <t>No, but I want in future</t>
        </is>
      </c>
      <c r="AN2295"/>
      <c r="AO2295" t="inlineStr">
        <is>
          <t>No, but I want in future</t>
        </is>
      </c>
      <c r="AP2295" t="inlineStr">
        <is>
          <t>Once per quarter (75%)</t>
        </is>
      </c>
      <c r="AQ2295">
        <v>2</v>
      </c>
      <c r="AR2295" t="inlineStr">
        <is>
          <t>Did not use any job portal</t>
        </is>
      </c>
      <c r="AS2295" t="inlineStr">
        <is>
          <t>- Headcount: 2
- Hiring Job Details: 1 job, hire 1-2 local massage therapists, prefer Chi/Puchong, 5 outlets, suggest pro dis 400
- Hiring Urgency: Hiring Now
- Number of outlets: 5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t>
        </is>
      </c>
      <c r="AT2295">
        <v>100</v>
      </c>
      <c r="AU2295" t="inlineStr">
        <is>
          <t>1.00</t>
        </is>
      </c>
      <c r="AV2295" t="inlineStr">
        <is>
          <t>15</t>
        </is>
      </c>
      <c r="AW2295" t="inlineStr">
        <is>
          <t>0</t>
        </is>
      </c>
      <c r="AX2295" t="inlineStr">
        <is>
          <t>Not Qualified</t>
        </is>
      </c>
      <c r="AY2295" s="4"/>
      <c r="AZ2295"/>
      <c r="BA2295"/>
      <c r="BB2295"/>
      <c r="BC2295" t="inlineStr">
        <is>
          <t>Still considering</t>
        </is>
      </c>
      <c r="BD2295" s="4">
        <v>46135.69363425926</v>
      </c>
      <c r="BE2295"/>
      <c r="BF2295"/>
      <c r="BG2295" t="inlineStr">
        <is>
          <t>Reschedule</t>
        </is>
      </c>
      <c r="BH2295" t="inlineStr">
        <is>
          <t>Reagen</t>
        </is>
      </c>
      <c r="BI2295"/>
      <c r="BJ2295" s="4">
        <v>46144.752222222225</v>
      </c>
      <c r="BK2295" s="4">
        <v>45714.404178240744</v>
      </c>
      <c r="BL2295" t="inlineStr">
        <is>
          <t>0.0</t>
        </is>
      </c>
      <c r="BM2295" t="inlineStr">
        <is>
          <t>0.0</t>
        </is>
      </c>
      <c r="BN2295" t="inlineStr">
        <is>
          <t>View Create Job Page</t>
        </is>
      </c>
      <c r="BO2295" s="4">
        <v>45729.583553240744</v>
      </c>
      <c r="BP2295">
        <v>165594</v>
      </c>
      <c r="BQ2295"/>
      <c r="BR2295"/>
      <c r="BS2295"/>
      <c r="BT2295"/>
      <c r="BU2295"/>
      <c r="BV2295">
        <v>2724833</v>
      </c>
      <c r="BW2295" t="inlineStr">
        <is>
          <t>Follow Up : Decision Pending</t>
        </is>
      </c>
      <c r="BX2295"/>
      <c r="BY2295"/>
      <c r="BZ2295" s="4"/>
      <c r="CA2295"/>
      <c r="CB2295"/>
      <c r="CC2295" s="4"/>
      <c r="CD2295" t="inlineStr">
        <is>
          <t>20</t>
        </is>
      </c>
      <c r="CE2295" t="inlineStr">
        <is>
          <t>0</t>
        </is>
      </c>
      <c r="CF2295" t="inlineStr">
        <is>
          <t>Q2-W01</t>
        </is>
      </c>
      <c r="CG2295"/>
      <c r="CH2295"/>
      <c r="CI2295"/>
      <c r="CJ2295" t="inlineStr">
        <is>
          <t>No Paid</t>
        </is>
      </c>
      <c r="CK2295" t="inlineStr">
        <is>
          <t>Not Eligible</t>
        </is>
      </c>
      <c r="CL2295"/>
      <c r="CM2295"/>
    </row>
    <row r="2296" ht="25.5" customHeight="1">
      <c r="A2296" t="inlineStr">
        <is>
          <t>202920</t>
        </is>
      </c>
      <c r="B2296" s="2"/>
      <c r="C2296"/>
      <c r="D2296" s="3">
        <v>46119.47771990741</v>
      </c>
      <c r="E2296" t="inlineStr">
        <is>
          <t>Q2-W01</t>
        </is>
      </c>
      <c r="F2296" t="inlineStr">
        <is>
          <t>Derek Lim</t>
        </is>
      </c>
      <c r="G2296" t="inlineStr">
        <is>
          <t>Customer</t>
        </is>
      </c>
      <c r="H2296" s="2" t="str">
        <f>=HYPERLINK("https://upbox.ajobthing.my/customer/202920", "https://upbox.ajobthing.my/customer/202920")</f>
        <v>https://upbox.ajobthing.my/customer/202920</v>
      </c>
      <c r="I2296" t="inlineStr">
        <is>
          <t>Runsheng Wellness Spa Sdn.bhd</t>
        </is>
      </c>
      <c r="J2296" t="inlineStr">
        <is>
          <t>Dolphin</t>
        </is>
      </c>
      <c r="K2296" t="inlineStr">
        <is>
          <t>Derek Lim</t>
        </is>
      </c>
      <c r="L2296" s="4"/>
      <c r="M2296" s="4">
        <v>46119.47787037037</v>
      </c>
      <c r="N2296"/>
      <c r="O2296">
        <v>6048</v>
      </c>
      <c r="P2296" s="4"/>
      <c r="Q2296" s="4">
        <v>46126.4621412037</v>
      </c>
      <c r="R2296"/>
      <c r="S2296">
        <v>3888</v>
      </c>
      <c r="T2296" s="4">
        <v>46126.4621412037</v>
      </c>
      <c r="U2296" s="4"/>
      <c r="V2296"/>
      <c r="W2296">
        <v>3888</v>
      </c>
      <c r="X2296"/>
      <c r="Y2296" t="inlineStr">
        <is>
          <t>Pending Appointment</t>
        </is>
      </c>
      <c r="Z2296" t="inlineStr">
        <is>
          <t>Hiring Now</t>
        </is>
      </c>
      <c r="AA2296">
        <v>13</v>
      </c>
      <c r="AB2296" t="inlineStr">
        <is>
          <t>No Appointment Made</t>
        </is>
      </c>
      <c r="AC2296"/>
      <c r="AD2296" t="inlineStr">
        <is>
          <t>Customer service - 5, masseur - 5, account - 1, sales - 1, cleaner - 1</t>
        </is>
      </c>
      <c r="AE2296"/>
      <c r="AF2296">
        <v>0</v>
      </c>
      <c r="AG2296" s="4"/>
      <c r="AH2296" s="4"/>
      <c r="AI2296">
        <v>0</v>
      </c>
      <c r="AJ2296">
        <v>1</v>
      </c>
      <c r="AK2296" t="inlineStr">
        <is>
          <t>No, I don't need at all</t>
        </is>
      </c>
      <c r="AL2296">
        <v>0</v>
      </c>
      <c r="AM2296" t="inlineStr">
        <is>
          <t>No, I don't need at all</t>
        </is>
      </c>
      <c r="AN2296"/>
      <c r="AO2296" t="inlineStr">
        <is>
          <t>No, I don't need at all</t>
        </is>
      </c>
      <c r="AP2296" t="inlineStr">
        <is>
          <t>Once a year (25%)</t>
        </is>
      </c>
      <c r="AQ2296">
        <v>5</v>
      </c>
      <c r="AR2296" t="inlineStr">
        <is>
          <t>Did not use any job portal</t>
        </is>
      </c>
      <c r="AS2296" t="inlineStr">
        <is>
          <t>- Headcount: 13
- Hiring Job Details: Customer service - 5, masseur - 5, account - 1, sales - 1, cleaner - 1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t>
        </is>
      </c>
      <c r="AT2296">
        <v>105</v>
      </c>
      <c r="AU2296" t="inlineStr">
        <is>
          <t>1.05</t>
        </is>
      </c>
      <c r="AV2296" t="inlineStr">
        <is>
          <t>25</t>
        </is>
      </c>
      <c r="AW2296" t="inlineStr">
        <is>
          <t>0</t>
        </is>
      </c>
      <c r="AX2296" t="inlineStr">
        <is>
          <t>Not Qualified</t>
        </is>
      </c>
      <c r="AY2296" s="4"/>
      <c r="AZ2296"/>
      <c r="BA2296"/>
      <c r="BB2296"/>
      <c r="BC2296" t="inlineStr">
        <is>
          <t>TOLD CUSTOMER NEED TO VERIFY COMPANY FIRST ONLY CAN POST JOB</t>
        </is>
      </c>
      <c r="BD2296" s="4">
        <v>46133.69320601852</v>
      </c>
      <c r="BE2296" t="inlineStr">
        <is>
          <t>paid</t>
        </is>
      </c>
      <c r="BF2296" t="inlineStr">
        <is>
          <t>Q2-W02</t>
        </is>
      </c>
      <c r="BG2296" t="inlineStr">
        <is>
          <t>Reschedule</t>
        </is>
      </c>
      <c r="BH2296" t="inlineStr">
        <is>
          <t>Edward Hoo</t>
        </is>
      </c>
      <c r="BI2296" t="inlineStr">
        <is>
          <t>Healthcare / Medical</t>
        </is>
      </c>
      <c r="BJ2296" s="4">
        <v>46144.754166666666</v>
      </c>
      <c r="BK2296" s="4">
        <v>46119.45993055555</v>
      </c>
      <c r="BL2296" t="inlineStr">
        <is>
          <t>3888.0</t>
        </is>
      </c>
      <c r="BM2296" t="inlineStr">
        <is>
          <t>0.0</t>
        </is>
      </c>
      <c r="BN2296" t="inlineStr">
        <is>
          <t>View Company Page</t>
        </is>
      </c>
      <c r="BO2296" s="4">
        <v>46139.72356481481</v>
      </c>
      <c r="BP2296">
        <v>165605</v>
      </c>
      <c r="BQ2296">
        <v>93319</v>
      </c>
      <c r="BR2296" t="inlineStr">
        <is>
          <t>Online</t>
        </is>
      </c>
      <c r="BS2296"/>
      <c r="BT2296">
        <v>93319</v>
      </c>
      <c r="BU2296"/>
      <c r="BV2296">
        <v>2718865</v>
      </c>
      <c r="BW2296" t="inlineStr">
        <is>
          <t>Service / Technical : Help To Post Job</t>
        </is>
      </c>
      <c r="BX2296">
        <v>6</v>
      </c>
      <c r="BY2296">
        <v>6</v>
      </c>
      <c r="BZ2296" s="4"/>
      <c r="CA2296">
        <v>60</v>
      </c>
      <c r="CB2296">
        <v>60</v>
      </c>
      <c r="CC2296" s="4"/>
      <c r="CD2296" t="inlineStr">
        <is>
          <t>35</t>
        </is>
      </c>
      <c r="CE2296" t="inlineStr">
        <is>
          <t>0</t>
        </is>
      </c>
      <c r="CF2296" t="inlineStr">
        <is>
          <t>Q2-W01</t>
        </is>
      </c>
      <c r="CG2296" t="inlineStr">
        <is>
          <t>Q2-W02</t>
        </is>
      </c>
      <c r="CH2296" t="inlineStr">
        <is>
          <t>Q2-W02</t>
        </is>
      </c>
      <c r="CI2296"/>
      <c r="CJ2296" t="inlineStr">
        <is>
          <t>Paid</t>
        </is>
      </c>
      <c r="CK2296" t="inlineStr">
        <is>
          <t>Eligible</t>
        </is>
      </c>
      <c r="CL2296"/>
      <c r="CM2296"/>
    </row>
    <row r="2297" ht="25.5" customHeight="1">
      <c r="A2297" t="inlineStr">
        <is>
          <t>202919</t>
        </is>
      </c>
      <c r="B2297" s="2"/>
      <c r="C2297"/>
      <c r="D2297" s="3">
        <v>46119.48736111111</v>
      </c>
      <c r="E2297" t="inlineStr">
        <is>
          <t>Q2-W01</t>
        </is>
      </c>
      <c r="F2297" t="inlineStr">
        <is>
          <t>Jess</t>
        </is>
      </c>
      <c r="G2297" t="inlineStr">
        <is>
          <t>Customer</t>
        </is>
      </c>
      <c r="H2297" s="2" t="str">
        <f>=HYPERLINK("https://upbox.ajobthing.my/customer/202919", "https://upbox.ajobthing.my/customer/202919")</f>
        <v>https://upbox.ajobthing.my/customer/202919</v>
      </c>
      <c r="I2297" t="inlineStr">
        <is>
          <t>Global Auto Zone Sdn Bhd</t>
        </is>
      </c>
      <c r="J2297" t="inlineStr">
        <is>
          <t>Dolphin</t>
        </is>
      </c>
      <c r="K2297" t="inlineStr">
        <is>
          <t>Jess Lim</t>
        </is>
      </c>
      <c r="L2297" s="4"/>
      <c r="M2297" s="4">
        <v>46121.45825231481</v>
      </c>
      <c r="N2297"/>
      <c r="O2297">
        <v>3672</v>
      </c>
      <c r="P2297" s="4"/>
      <c r="Q2297" s="4"/>
      <c r="R2297"/>
      <c r="S2297"/>
      <c r="T2297" s="4"/>
      <c r="U2297" s="4"/>
      <c r="V2297"/>
      <c r="W2297"/>
      <c r="X2297"/>
      <c r="Y2297" t="inlineStr">
        <is>
          <t>Pending Appointment</t>
        </is>
      </c>
      <c r="Z2297" t="inlineStr">
        <is>
          <t>Hiring Now</t>
        </is>
      </c>
      <c r="AA2297">
        <v>2</v>
      </c>
      <c r="AB2297" t="inlineStr">
        <is>
          <t>No Appointment Made</t>
        </is>
      </c>
      <c r="AC2297"/>
      <c r="AD2297" t="inlineStr">
        <is>
          <t>account admin 2</t>
        </is>
      </c>
      <c r="AE2297"/>
      <c r="AF2297">
        <v>1200</v>
      </c>
      <c r="AG2297" s="4"/>
      <c r="AH2297" s="4"/>
      <c r="AI2297"/>
      <c r="AJ2297">
        <v>1</v>
      </c>
      <c r="AK2297" t="inlineStr">
        <is>
          <t>No, I don't need at all</t>
        </is>
      </c>
      <c r="AL2297">
        <v>1</v>
      </c>
      <c r="AM2297" t="inlineStr">
        <is>
          <t>No, I don't need at all</t>
        </is>
      </c>
      <c r="AN2297"/>
      <c r="AO2297"/>
      <c r="AP2297" t="inlineStr">
        <is>
          <t>Once a year (25%)</t>
        </is>
      </c>
      <c r="AQ2297"/>
      <c r="AR2297" t="inlineStr">
        <is>
          <t>Jobstreet</t>
        </is>
      </c>
      <c r="AS2297" t="inlineStr">
        <is>
          <t>- Headcount: 2
- Hiring Job Details: account admin 2
- Hiring Urgency: Hiring Now
- Number of outlets: 1
- Have recruiter team: No, I don't need at all
- Number of recruiter in company: 1
- Have ATS system: No, I don't need at all
- Have career website: Not provided
- Current hiring budget: RM1,200.00
- Whole year budget: Not provided
- Whole year number of vacancies: Not provided
- Hiring frequency: Once a year (25%)
- External job portal: Jobstreet</t>
        </is>
      </c>
      <c r="AT2297">
        <v>105</v>
      </c>
      <c r="AU2297" t="inlineStr">
        <is>
          <t>1.05</t>
        </is>
      </c>
      <c r="AV2297" t="inlineStr">
        <is>
          <t>15</t>
        </is>
      </c>
      <c r="AW2297" t="inlineStr">
        <is>
          <t>0</t>
        </is>
      </c>
      <c r="AX2297" t="inlineStr">
        <is>
          <t>Not Qualified</t>
        </is>
      </c>
      <c r="AY2297" s="4"/>
      <c r="AZ2297"/>
      <c r="BA2297"/>
      <c r="BB2297"/>
      <c r="BC2297" t="inlineStr">
        <is>
          <t>use xhs free portal</t>
        </is>
      </c>
      <c r="BD2297" s="4">
        <v>46142.504594907405</v>
      </c>
      <c r="BE2297"/>
      <c r="BF2297"/>
      <c r="BG2297" t="inlineStr">
        <is>
          <t>Reschedule</t>
        </is>
      </c>
      <c r="BH2297" t="inlineStr">
        <is>
          <t>Fauziah Maharan</t>
        </is>
      </c>
      <c r="BI2297"/>
      <c r="BJ2297" s="4">
        <v>46144.754166666666</v>
      </c>
      <c r="BK2297" s="4">
        <v>46119.44805555556</v>
      </c>
      <c r="BL2297" t="inlineStr">
        <is>
          <t>0.0</t>
        </is>
      </c>
      <c r="BM2297" t="inlineStr">
        <is>
          <t>0.0</t>
        </is>
      </c>
      <c r="BN2297" t="inlineStr">
        <is>
          <t>View Notifications</t>
        </is>
      </c>
      <c r="BO2297" s="4">
        <v>46119.510046296295</v>
      </c>
      <c r="BP2297">
        <v>166129</v>
      </c>
      <c r="BQ2297"/>
      <c r="BR2297"/>
      <c r="BS2297"/>
      <c r="BT2297"/>
      <c r="BU2297"/>
      <c r="BV2297">
        <v>2737336</v>
      </c>
      <c r="BW2297" t="inlineStr">
        <is>
          <t>Follow Up : Lost - Free Portal</t>
        </is>
      </c>
      <c r="BX2297"/>
      <c r="BY2297"/>
      <c r="BZ2297" s="4"/>
      <c r="CA2297"/>
      <c r="CB2297"/>
      <c r="CC2297" s="4"/>
      <c r="CD2297" t="inlineStr">
        <is>
          <t>20</t>
        </is>
      </c>
      <c r="CE2297" t="inlineStr">
        <is>
          <t>0</t>
        </is>
      </c>
      <c r="CF2297" t="inlineStr">
        <is>
          <t>Q2-W01</t>
        </is>
      </c>
      <c r="CG2297"/>
      <c r="CH2297"/>
      <c r="CI2297"/>
      <c r="CJ2297" t="inlineStr">
        <is>
          <t>No Paid</t>
        </is>
      </c>
      <c r="CK2297" t="inlineStr">
        <is>
          <t>Not Eligible</t>
        </is>
      </c>
      <c r="CL2297"/>
      <c r="CM2297"/>
    </row>
    <row r="2298" ht="25.5" customHeight="1">
      <c r="A2298" t="inlineStr">
        <is>
          <t>154521</t>
        </is>
      </c>
      <c r="B2298" s="2"/>
      <c r="C2298"/>
      <c r="D2298" s="3">
        <v>46119.490578703706</v>
      </c>
      <c r="E2298" t="inlineStr">
        <is>
          <t>Q2-W01</t>
        </is>
      </c>
      <c r="F2298" t="inlineStr">
        <is>
          <t>Ratha</t>
        </is>
      </c>
      <c r="G2298" t="inlineStr">
        <is>
          <t>Customer</t>
        </is>
      </c>
      <c r="H2298" s="2" t="str">
        <f>=HYPERLINK("https://upbox.ajobthing.my/customer/154521", "https://upbox.ajobthing.my/customer/154521")</f>
        <v>https://upbox.ajobthing.my/customer/154521</v>
      </c>
      <c r="I2298" t="inlineStr">
        <is>
          <t>MUQMEEN GROUP</t>
        </is>
      </c>
      <c r="J2298" t="inlineStr">
        <is>
          <t>Dolphin</t>
        </is>
      </c>
      <c r="K2298" t="inlineStr">
        <is>
          <t>Ratha</t>
        </is>
      </c>
      <c r="L2298" s="4"/>
      <c r="M2298" s="4">
        <v>46119.49107638889</v>
      </c>
      <c r="N2298"/>
      <c r="O2298">
        <v>4752</v>
      </c>
      <c r="P2298" s="4"/>
      <c r="Q2298" s="4"/>
      <c r="R2298"/>
      <c r="S2298"/>
      <c r="T2298" s="4"/>
      <c r="U2298" s="4"/>
      <c r="V2298"/>
      <c r="W2298"/>
      <c r="X2298"/>
      <c r="Y2298" t="inlineStr">
        <is>
          <t>Pending Appointment</t>
        </is>
      </c>
      <c r="Z2298" t="inlineStr">
        <is>
          <t>Continuous Hiring</t>
        </is>
      </c>
      <c r="AA2298">
        <v>1</v>
      </c>
      <c r="AB2298" t="inlineStr">
        <is>
          <t>No Appointment Made</t>
        </is>
      </c>
      <c r="AC2298"/>
      <c r="AD2298" t="inlineStr">
        <is>
          <t>Insurance agent
as much as can</t>
        </is>
      </c>
      <c r="AE2298"/>
      <c r="AF2298"/>
      <c r="AG2298" s="4"/>
      <c r="AH2298" s="4"/>
      <c r="AI2298">
        <v>5000</v>
      </c>
      <c r="AJ2298">
        <v>1</v>
      </c>
      <c r="AK2298" t="inlineStr">
        <is>
          <t>Yes, I have</t>
        </is>
      </c>
      <c r="AL2298">
        <v>2</v>
      </c>
      <c r="AM2298" t="inlineStr">
        <is>
          <t>No, I don't need at all</t>
        </is>
      </c>
      <c r="AN2298"/>
      <c r="AO2298" t="inlineStr">
        <is>
          <t>No, I don't need at all</t>
        </is>
      </c>
      <c r="AP2298" t="inlineStr">
        <is>
          <t>Every month (100%)</t>
        </is>
      </c>
      <c r="AQ2298"/>
      <c r="AR2298" t="inlineStr">
        <is>
          <t>Free Job Portal</t>
        </is>
      </c>
      <c r="AS2298" t="inlineStr">
        <is>
          <t>- Headcount: 1
- Hiring Job Details: Insurance agent (as much as can)
- Hiring Urgency: Continuous Hiring
- Number of outlets: 1
- Have recruiter team: Yes
- Number of recruiter in company: 2
- Have ATS system: No, I don't need at all
- Have career website: No, I don't need at all
- Current hiring budget: Not specified
- Whole year budget: RM5,000.00
- Whole year number of vacancies: Not specified
- Hiring frequency: Every month (100%)
- External job portal: Free Job Portal</t>
        </is>
      </c>
      <c r="AT2298">
        <v>85</v>
      </c>
      <c r="AU2298" t="inlineStr">
        <is>
          <t>0.85</t>
        </is>
      </c>
      <c r="AV2298" t="inlineStr">
        <is>
          <t>5</t>
        </is>
      </c>
      <c r="AW2298" t="inlineStr">
        <is>
          <t>0</t>
        </is>
      </c>
      <c r="AX2298" t="inlineStr">
        <is>
          <t>Not Qualified</t>
        </is>
      </c>
      <c r="AY2298" s="4"/>
      <c r="AZ2298"/>
      <c r="BA2298"/>
      <c r="BB2298"/>
      <c r="BC2298" t="inlineStr">
        <is>
          <t>no answer</t>
        </is>
      </c>
      <c r="BD2298" s="4">
        <v>46140.71675925926</v>
      </c>
      <c r="BE2298"/>
      <c r="BF2298"/>
      <c r="BG2298" t="inlineStr">
        <is>
          <t>Reschedule</t>
        </is>
      </c>
      <c r="BH2298" t="inlineStr">
        <is>
          <t>Fauziah Maharan</t>
        </is>
      </c>
      <c r="BI2298"/>
      <c r="BJ2298" s="4">
        <v>46144.7509375</v>
      </c>
      <c r="BK2298" s="4">
        <v>44705.30694444444</v>
      </c>
      <c r="BL2298" t="inlineStr">
        <is>
          <t>0.0</t>
        </is>
      </c>
      <c r="BM2298" t="inlineStr">
        <is>
          <t>0.0</t>
        </is>
      </c>
      <c r="BN2298" t="inlineStr">
        <is>
          <t>View Create Job Page</t>
        </is>
      </c>
      <c r="BO2298" s="4">
        <v>44705.3978125</v>
      </c>
      <c r="BP2298">
        <v>165620</v>
      </c>
      <c r="BQ2298"/>
      <c r="BR2298"/>
      <c r="BS2298"/>
      <c r="BT2298"/>
      <c r="BU2298"/>
      <c r="BV2298">
        <v>2733756</v>
      </c>
      <c r="BW2298" t="inlineStr">
        <is>
          <t>No Answer : Voicemail - WA sent to customer</t>
        </is>
      </c>
      <c r="BX2298"/>
      <c r="BY2298"/>
      <c r="BZ2298" s="4"/>
      <c r="CA2298"/>
      <c r="CB2298"/>
      <c r="CC2298" s="4"/>
      <c r="CD2298" t="inlineStr">
        <is>
          <t>5</t>
        </is>
      </c>
      <c r="CE2298" t="inlineStr">
        <is>
          <t>0</t>
        </is>
      </c>
      <c r="CF2298" t="inlineStr">
        <is>
          <t>Q2-W01</t>
        </is>
      </c>
      <c r="CG2298"/>
      <c r="CH2298"/>
      <c r="CI2298"/>
      <c r="CJ2298" t="inlineStr">
        <is>
          <t>No Paid</t>
        </is>
      </c>
      <c r="CK2298" t="inlineStr">
        <is>
          <t>Not Eligible</t>
        </is>
      </c>
      <c r="CL2298"/>
      <c r="CM2298"/>
    </row>
    <row r="2299" ht="25.5" customHeight="1">
      <c r="A2299" t="inlineStr">
        <is>
          <t>185934</t>
        </is>
      </c>
      <c r="B2299" s="2"/>
      <c r="C2299"/>
      <c r="D2299" s="3">
        <v>46119.49190972222</v>
      </c>
      <c r="E2299" t="inlineStr">
        <is>
          <t>Q2-W01</t>
        </is>
      </c>
      <c r="F2299" t="inlineStr">
        <is>
          <t>Lucas</t>
        </is>
      </c>
      <c r="G2299" t="inlineStr">
        <is>
          <t>Customer</t>
        </is>
      </c>
      <c r="H2299" s="2" t="str">
        <f>=HYPERLINK("https://upbox.ajobthing.my/customer/185934", "https://upbox.ajobthing.my/customer/185934")</f>
        <v>https://upbox.ajobthing.my/customer/185934</v>
      </c>
      <c r="I2299" t="inlineStr">
        <is>
          <t>Serval Integrated Pest Management Sdn Bhd</t>
        </is>
      </c>
      <c r="J2299" t="inlineStr">
        <is>
          <t>Dolphin</t>
        </is>
      </c>
      <c r="K2299" t="inlineStr">
        <is>
          <t>Lucas</t>
        </is>
      </c>
      <c r="L2299" s="4"/>
      <c r="M2299" s="4">
        <v>46119.489965277775</v>
      </c>
      <c r="N2299"/>
      <c r="O2299">
        <v>3888</v>
      </c>
      <c r="P2299" s="4"/>
      <c r="Q2299" s="4"/>
      <c r="R2299"/>
      <c r="S2299"/>
      <c r="T2299" s="4"/>
      <c r="U2299" s="4"/>
      <c r="V2299"/>
      <c r="W2299"/>
      <c r="X2299"/>
      <c r="Y2299" t="inlineStr">
        <is>
          <t>Pending Appointment</t>
        </is>
      </c>
      <c r="Z2299" t="inlineStr">
        <is>
          <t>Hiring Now</t>
        </is>
      </c>
      <c r="AA2299">
        <v>2</v>
      </c>
      <c r="AB2299" t="inlineStr">
        <is>
          <t>No Appointment Made</t>
        </is>
      </c>
      <c r="AC2299"/>
      <c r="AD2299" t="inlineStr">
        <is>
          <t>1 technician and 1  account asst</t>
        </is>
      </c>
      <c r="AE2299"/>
      <c r="AF2299">
        <v>0</v>
      </c>
      <c r="AG2299" s="4"/>
      <c r="AH2299" s="4"/>
      <c r="AI2299">
        <v>0</v>
      </c>
      <c r="AJ2299">
        <v>0</v>
      </c>
      <c r="AK2299" t="inlineStr">
        <is>
          <t>No, I don't need at all</t>
        </is>
      </c>
      <c r="AL2299">
        <v>0</v>
      </c>
      <c r="AM2299" t="inlineStr">
        <is>
          <t>No, I don't need at all</t>
        </is>
      </c>
      <c r="AN2299"/>
      <c r="AO2299" t="inlineStr">
        <is>
          <t>No, I don't need at all</t>
        </is>
      </c>
      <c r="AP2299" t="inlineStr">
        <is>
          <t>Once a year (25%)</t>
        </is>
      </c>
      <c r="AQ2299">
        <v>2</v>
      </c>
      <c r="AR2299" t="inlineStr">
        <is>
          <t>Did not use any job portal</t>
        </is>
      </c>
      <c r="AS2299" t="inlineStr">
        <is>
          <t>- Headcount: 2
- Hiring Job Details: 1 technician and 1 account asst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2299">
        <v>95</v>
      </c>
      <c r="AU2299" t="inlineStr">
        <is>
          <t>0.95</t>
        </is>
      </c>
      <c r="AV2299" t="inlineStr">
        <is>
          <t>15</t>
        </is>
      </c>
      <c r="AW2299" t="inlineStr">
        <is>
          <t>0</t>
        </is>
      </c>
      <c r="AX2299" t="inlineStr">
        <is>
          <t>Not Qualified</t>
        </is>
      </c>
      <c r="AY2299" s="4"/>
      <c r="AZ2299"/>
      <c r="BA2299"/>
      <c r="BB2299"/>
      <c r="BC2299" t="inlineStr">
        <is>
          <t>jobstreet</t>
        </is>
      </c>
      <c r="BD2299" s="4">
        <v>46127.67559027778</v>
      </c>
      <c r="BE2299"/>
      <c r="BF2299"/>
      <c r="BG2299" t="inlineStr">
        <is>
          <t>Reschedule</t>
        </is>
      </c>
      <c r="BH2299" t="inlineStr">
        <is>
          <t>Yee Hang</t>
        </is>
      </c>
      <c r="BI2299" t="inlineStr">
        <is>
          <t>Chemical / Fertilizers</t>
        </is>
      </c>
      <c r="BJ2299" s="4">
        <v>46144.752071759256</v>
      </c>
      <c r="BK2299" s="4">
        <v>45644.575520833336</v>
      </c>
      <c r="BL2299" t="inlineStr">
        <is>
          <t>0.0</t>
        </is>
      </c>
      <c r="BM2299" t="inlineStr">
        <is>
          <t>600.0</t>
        </is>
      </c>
      <c r="BN2299" t="inlineStr">
        <is>
          <t>View Create Job Page</t>
        </is>
      </c>
      <c r="BO2299" s="4">
        <v>45644.611134259256</v>
      </c>
      <c r="BP2299">
        <v>165616</v>
      </c>
      <c r="BQ2299"/>
      <c r="BR2299"/>
      <c r="BS2299"/>
      <c r="BT2299"/>
      <c r="BU2299"/>
      <c r="BV2299">
        <v>2706482</v>
      </c>
      <c r="BW2299" t="inlineStr">
        <is>
          <t>Follow Up : Lost - Paid Portal</t>
        </is>
      </c>
      <c r="BX2299"/>
      <c r="BY2299"/>
      <c r="BZ2299" s="4"/>
      <c r="CA2299"/>
      <c r="CB2299"/>
      <c r="CC2299" s="4"/>
      <c r="CD2299" t="inlineStr">
        <is>
          <t>20</t>
        </is>
      </c>
      <c r="CE2299" t="inlineStr">
        <is>
          <t>0</t>
        </is>
      </c>
      <c r="CF2299" t="inlineStr">
        <is>
          <t>Q2-W01</t>
        </is>
      </c>
      <c r="CG2299"/>
      <c r="CH2299"/>
      <c r="CI2299"/>
      <c r="CJ2299" t="inlineStr">
        <is>
          <t>No Paid</t>
        </is>
      </c>
      <c r="CK2299" t="inlineStr">
        <is>
          <t>Not Eligible</t>
        </is>
      </c>
      <c r="CL2299"/>
      <c r="CM2299"/>
    </row>
    <row r="2300" ht="25.5" customHeight="1">
      <c r="A2300" t="inlineStr">
        <is>
          <t>184681</t>
        </is>
      </c>
      <c r="B2300" s="2"/>
      <c r="C2300"/>
      <c r="D2300" s="3">
        <v>46119.49905092592</v>
      </c>
      <c r="E2300" t="inlineStr">
        <is>
          <t>Q2-W01</t>
        </is>
      </c>
      <c r="F2300" t="inlineStr">
        <is>
          <t>Josh</t>
        </is>
      </c>
      <c r="G2300" t="inlineStr">
        <is>
          <t>Customer</t>
        </is>
      </c>
      <c r="H2300" s="2" t="str">
        <f>=HYPERLINK("https://upbox.ajobthing.my/customer/184681", "https://upbox.ajobthing.my/customer/184681")</f>
        <v>https://upbox.ajobthing.my/customer/184681</v>
      </c>
      <c r="I2300" t="inlineStr">
        <is>
          <t>Vinegplus Sdn Bhd</t>
        </is>
      </c>
      <c r="J2300" t="inlineStr">
        <is>
          <t>Dolphin</t>
        </is>
      </c>
      <c r="K2300" t="inlineStr">
        <is>
          <t>Josh</t>
        </is>
      </c>
      <c r="L2300" s="4"/>
      <c r="M2300" s="4">
        <v>46119.52023148148</v>
      </c>
      <c r="N2300"/>
      <c r="O2300">
        <v>8208</v>
      </c>
      <c r="P2300" s="4"/>
      <c r="Q2300" s="4"/>
      <c r="R2300"/>
      <c r="S2300"/>
      <c r="T2300" s="4"/>
      <c r="U2300" s="4"/>
      <c r="V2300"/>
      <c r="W2300"/>
      <c r="X2300"/>
      <c r="Y2300" t="inlineStr">
        <is>
          <t>Pending Appointment</t>
        </is>
      </c>
      <c r="Z2300" t="inlineStr">
        <is>
          <t>Hiring Now</t>
        </is>
      </c>
      <c r="AA2300">
        <v>1</v>
      </c>
      <c r="AB2300" t="inlineStr">
        <is>
          <t>No Appointment Made</t>
        </is>
      </c>
      <c r="AC2300"/>
      <c r="AD2300" t="inlineStr">
        <is>
          <t xml:space="preserve">1 retail </t>
        </is>
      </c>
      <c r="AE2300"/>
      <c r="AF2300">
        <v>1000</v>
      </c>
      <c r="AG2300" s="4"/>
      <c r="AH2300" s="4"/>
      <c r="AI2300"/>
      <c r="AJ2300"/>
      <c r="AK2300" t="inlineStr">
        <is>
          <t>Yes, I have</t>
        </is>
      </c>
      <c r="AL2300"/>
      <c r="AM2300"/>
      <c r="AN2300"/>
      <c r="AO2300"/>
      <c r="AP2300" t="inlineStr">
        <is>
          <t>Once a year (25%)</t>
        </is>
      </c>
      <c r="AQ2300"/>
      <c r="AR2300"/>
      <c r="AS2300" t="inlineStr">
        <is>
          <t>- Headcount: 1
- Hiring Job Details: 1 retail
- Hiring Urgency: Hiring Now
- Number of outlets: Not provided
- Have recruiter team: Yes, I have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300">
        <v>75</v>
      </c>
      <c r="AU2300" t="inlineStr">
        <is>
          <t>0.75</t>
        </is>
      </c>
      <c r="AV2300" t="inlineStr">
        <is>
          <t>15</t>
        </is>
      </c>
      <c r="AW2300" t="inlineStr">
        <is>
          <t>0</t>
        </is>
      </c>
      <c r="AX2300" t="inlineStr">
        <is>
          <t>Not Qualified</t>
        </is>
      </c>
      <c r="AY2300" s="4"/>
      <c r="AZ2300"/>
      <c r="BA2300"/>
      <c r="BB2300"/>
      <c r="BC2300" t="inlineStr">
        <is>
          <t>will self find cdd first</t>
        </is>
      </c>
      <c r="BD2300" s="4">
        <v>46126.52574074074</v>
      </c>
      <c r="BE2300"/>
      <c r="BF2300"/>
      <c r="BG2300" t="inlineStr">
        <is>
          <t>Reschedule</t>
        </is>
      </c>
      <c r="BH2300" t="inlineStr">
        <is>
          <t>Fauziah Maharan</t>
        </is>
      </c>
      <c r="BI2300" t="inlineStr">
        <is>
          <t>Food / Beverage</t>
        </is>
      </c>
      <c r="BJ2300" s="4">
        <v>46144.75201388889</v>
      </c>
      <c r="BK2300" s="4">
        <v>45607.51079861111</v>
      </c>
      <c r="BL2300" t="inlineStr">
        <is>
          <t>0.0</t>
        </is>
      </c>
      <c r="BM2300" t="inlineStr">
        <is>
          <t>0.0</t>
        </is>
      </c>
      <c r="BN2300" t="inlineStr">
        <is>
          <t>View Yearly Plan Shop Page</t>
        </is>
      </c>
      <c r="BO2300" s="4">
        <v>45607.59216435185</v>
      </c>
      <c r="BP2300">
        <v>165639</v>
      </c>
      <c r="BQ2300"/>
      <c r="BR2300"/>
      <c r="BS2300"/>
      <c r="BT2300"/>
      <c r="BU2300"/>
      <c r="BV2300">
        <v>2703319</v>
      </c>
      <c r="BW2300" t="inlineStr">
        <is>
          <t>Inquire for Hiring Needs : No Hiring</t>
        </is>
      </c>
      <c r="BX2300"/>
      <c r="BY2300"/>
      <c r="BZ2300" s="4"/>
      <c r="CA2300"/>
      <c r="CB2300"/>
      <c r="CC2300" s="4"/>
      <c r="CD2300" t="inlineStr">
        <is>
          <t>20</t>
        </is>
      </c>
      <c r="CE2300" t="inlineStr">
        <is>
          <t>0</t>
        </is>
      </c>
      <c r="CF2300" t="inlineStr">
        <is>
          <t>Q2-W01</t>
        </is>
      </c>
      <c r="CG2300"/>
      <c r="CH2300"/>
      <c r="CI2300"/>
      <c r="CJ2300" t="inlineStr">
        <is>
          <t>No Paid</t>
        </is>
      </c>
      <c r="CK2300" t="inlineStr">
        <is>
          <t>Not Eligible</t>
        </is>
      </c>
      <c r="CL2300"/>
      <c r="CM2300"/>
    </row>
    <row r="2301" ht="25.5" customHeight="1">
      <c r="A2301" t="inlineStr">
        <is>
          <t>173846</t>
        </is>
      </c>
      <c r="B2301" s="2"/>
      <c r="C2301"/>
      <c r="D2301" s="3">
        <v>46119.49932870371</v>
      </c>
      <c r="E2301" t="inlineStr">
        <is>
          <t>Q2-W01</t>
        </is>
      </c>
      <c r="F2301" t="inlineStr">
        <is>
          <t>Angel  Low</t>
        </is>
      </c>
      <c r="G2301" t="inlineStr">
        <is>
          <t>Customer</t>
        </is>
      </c>
      <c r="H2301" s="2" t="str">
        <f>=HYPERLINK("https://upbox.ajobthing.my/customer/173846", "https://upbox.ajobthing.my/customer/173846")</f>
        <v>https://upbox.ajobthing.my/customer/173846</v>
      </c>
      <c r="I2301" t="inlineStr">
        <is>
          <t>Machmar Industries Sdn Bhd</t>
        </is>
      </c>
      <c r="J2301" t="inlineStr">
        <is>
          <t>Dolphin</t>
        </is>
      </c>
      <c r="K2301" t="inlineStr">
        <is>
          <t>Angel Low</t>
        </is>
      </c>
      <c r="L2301" s="4"/>
      <c r="M2301" s="4">
        <v>46119.499756944446</v>
      </c>
      <c r="N2301"/>
      <c r="O2301">
        <v>5508</v>
      </c>
      <c r="P2301" s="4"/>
      <c r="Q2301" s="4">
        <v>45967.429444444446</v>
      </c>
      <c r="R2301"/>
      <c r="S2301">
        <v>3672</v>
      </c>
      <c r="T2301" s="4">
        <v>45967.429444444446</v>
      </c>
      <c r="U2301" s="4"/>
      <c r="V2301"/>
      <c r="W2301">
        <v>3672</v>
      </c>
      <c r="X2301"/>
      <c r="Y2301" t="inlineStr">
        <is>
          <t>Pending Appointment</t>
        </is>
      </c>
      <c r="Z2301"/>
      <c r="AA2301">
        <v>1</v>
      </c>
      <c r="AB2301" t="inlineStr">
        <is>
          <t>No Appointment Made</t>
        </is>
      </c>
      <c r="AC2301"/>
      <c r="AD2301" t="inlineStr">
        <is>
          <t xml:space="preserve">1 admin </t>
        </is>
      </c>
      <c r="AE2301"/>
      <c r="AF2301"/>
      <c r="AG2301" s="4"/>
      <c r="AH2301" s="4"/>
      <c r="AI2301"/>
      <c r="AJ2301"/>
      <c r="AK2301"/>
      <c r="AL2301"/>
      <c r="AM2301"/>
      <c r="AN2301"/>
      <c r="AO2301"/>
      <c r="AP2301"/>
      <c r="AQ2301"/>
      <c r="AR2301"/>
      <c r="AS2301" t="inlineStr">
        <is>
          <t>- Headcount: 1
- Hiring Job Details: 1 admin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301">
        <v>60</v>
      </c>
      <c r="AU2301" t="inlineStr">
        <is>
          <t>0.60</t>
        </is>
      </c>
      <c r="AV2301" t="inlineStr">
        <is>
          <t>5</t>
        </is>
      </c>
      <c r="AW2301" t="inlineStr">
        <is>
          <t>0</t>
        </is>
      </c>
      <c r="AX2301" t="inlineStr">
        <is>
          <t>Not Qualified</t>
        </is>
      </c>
      <c r="AY2301" s="4"/>
      <c r="AZ2301"/>
      <c r="BA2301"/>
      <c r="BB2301"/>
      <c r="BC2301" t="inlineStr">
        <is>
          <t>edit job</t>
        </is>
      </c>
      <c r="BD2301" s="4">
        <v>46133.48224537037</v>
      </c>
      <c r="BE2301" t="inlineStr">
        <is>
          <t>paid</t>
        </is>
      </c>
      <c r="BF2301"/>
      <c r="BG2301" t="inlineStr">
        <is>
          <t>Reschedule</t>
        </is>
      </c>
      <c r="BH2301" t="inlineStr">
        <is>
          <t>Fauziah Maharan</t>
        </is>
      </c>
      <c r="BI2301" t="inlineStr">
        <is>
          <t>Manufacturing / Production</t>
        </is>
      </c>
      <c r="BJ2301" s="4">
        <v>46144.75152777778</v>
      </c>
      <c r="BK2301" s="4">
        <v>45278.40755787037</v>
      </c>
      <c r="BL2301" t="inlineStr">
        <is>
          <t>3672.0</t>
        </is>
      </c>
      <c r="BM2301" t="inlineStr">
        <is>
          <t>0.0</t>
        </is>
      </c>
      <c r="BN2301" t="inlineStr">
        <is>
          <t>View Company Page</t>
        </is>
      </c>
      <c r="BO2301" s="4">
        <v>46142.40125</v>
      </c>
      <c r="BP2301">
        <v>165629</v>
      </c>
      <c r="BQ2301">
        <v>83953</v>
      </c>
      <c r="BR2301" t="inlineStr">
        <is>
          <t>Online</t>
        </is>
      </c>
      <c r="BS2301"/>
      <c r="BT2301">
        <v>83953</v>
      </c>
      <c r="BU2301"/>
      <c r="BV2301">
        <v>2717456</v>
      </c>
      <c r="BW2301" t="inlineStr">
        <is>
          <t>Service / Technical : Job Outcome Enquiry</t>
        </is>
      </c>
      <c r="BX2301">
        <v>6</v>
      </c>
      <c r="BY2301">
        <v>0</v>
      </c>
      <c r="BZ2301" s="4">
        <v>46129.56538194444</v>
      </c>
      <c r="CA2301">
        <v>60</v>
      </c>
      <c r="CB2301">
        <v>59</v>
      </c>
      <c r="CC2301" s="4">
        <v>46142.40945601852</v>
      </c>
      <c r="CD2301" t="inlineStr">
        <is>
          <t>5</t>
        </is>
      </c>
      <c r="CE2301" t="inlineStr">
        <is>
          <t>0</t>
        </is>
      </c>
      <c r="CF2301" t="inlineStr">
        <is>
          <t>Q2-W01</t>
        </is>
      </c>
      <c r="CG2301"/>
      <c r="CH2301"/>
      <c r="CI2301"/>
      <c r="CJ2301" t="inlineStr">
        <is>
          <t>Paid</t>
        </is>
      </c>
      <c r="CK2301" t="inlineStr">
        <is>
          <t>Not Eligible</t>
        </is>
      </c>
      <c r="CL2301"/>
      <c r="CM2301"/>
    </row>
    <row r="2302" ht="25.5" customHeight="1">
      <c r="A2302" t="inlineStr">
        <is>
          <t>35669</t>
        </is>
      </c>
      <c r="B2302" s="2"/>
      <c r="C2302"/>
      <c r="D2302" s="3">
        <v>46119.564155092594</v>
      </c>
      <c r="E2302" t="inlineStr">
        <is>
          <t>Q2-W01</t>
        </is>
      </c>
      <c r="F2302" t="inlineStr">
        <is>
          <t>Luqman</t>
        </is>
      </c>
      <c r="G2302" t="inlineStr">
        <is>
          <t>Customer</t>
        </is>
      </c>
      <c r="H2302" s="2" t="str">
        <f>=HYPERLINK("https://upbox.ajobthing.my/customer/35669", "https://upbox.ajobthing.my/customer/35669")</f>
        <v>https://upbox.ajobthing.my/customer/35669</v>
      </c>
      <c r="I2302" t="inlineStr">
        <is>
          <t>Panmart Development Sdn Bhd</t>
        </is>
      </c>
      <c r="J2302" t="inlineStr">
        <is>
          <t>Dolphin</t>
        </is>
      </c>
      <c r="K2302" t="inlineStr">
        <is>
          <t>Luqman</t>
        </is>
      </c>
      <c r="L2302" s="4"/>
      <c r="M2302" s="4">
        <v>46119.564247685186</v>
      </c>
      <c r="N2302"/>
      <c r="O2302">
        <v>1296</v>
      </c>
      <c r="P2302" s="4"/>
      <c r="Q2302" s="4">
        <v>45436.69532407408</v>
      </c>
      <c r="R2302"/>
      <c r="S2302">
        <v>2700</v>
      </c>
      <c r="T2302" s="4">
        <v>45436.69532407408</v>
      </c>
      <c r="U2302" s="4"/>
      <c r="V2302"/>
      <c r="W2302">
        <v>2700</v>
      </c>
      <c r="X2302"/>
      <c r="Y2302" t="inlineStr">
        <is>
          <t>Pending Appointment</t>
        </is>
      </c>
      <c r="Z2302" t="inlineStr">
        <is>
          <t>Hiring Later</t>
        </is>
      </c>
      <c r="AA2302">
        <v>1</v>
      </c>
      <c r="AB2302" t="inlineStr">
        <is>
          <t>No Appointment Made</t>
        </is>
      </c>
      <c r="AC2302"/>
      <c r="AD2302" t="inlineStr">
        <is>
          <t>1. Account Clerk</t>
        </is>
      </c>
      <c r="AE2302"/>
      <c r="AF2302">
        <v>1200</v>
      </c>
      <c r="AG2302" s="4"/>
      <c r="AH2302" s="4"/>
      <c r="AI2302">
        <v>1200</v>
      </c>
      <c r="AJ2302"/>
      <c r="AK2302" t="inlineStr">
        <is>
          <t>No, I don't need at all</t>
        </is>
      </c>
      <c r="AL2302">
        <v>1</v>
      </c>
      <c r="AM2302" t="inlineStr">
        <is>
          <t>No, I don't need at all</t>
        </is>
      </c>
      <c r="AN2302"/>
      <c r="AO2302" t="inlineStr">
        <is>
          <t>No, I don't need at all</t>
        </is>
      </c>
      <c r="AP2302" t="inlineStr">
        <is>
          <t>Once a year (25%)</t>
        </is>
      </c>
      <c r="AQ2302">
        <v>1</v>
      </c>
      <c r="AR2302"/>
      <c r="AS2302" t="inlineStr">
        <is>
          <t>- Headcount: 1
- Hiring Job Details: 1 Account Clerk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Not provided</t>
        </is>
      </c>
      <c r="AT2302">
        <v>115</v>
      </c>
      <c r="AU2302" t="inlineStr">
        <is>
          <t>1.15</t>
        </is>
      </c>
      <c r="AV2302" t="inlineStr">
        <is>
          <t>15</t>
        </is>
      </c>
      <c r="AW2302" t="inlineStr">
        <is>
          <t>0</t>
        </is>
      </c>
      <c r="AX2302" t="inlineStr">
        <is>
          <t>Not Qualified</t>
        </is>
      </c>
      <c r="AY2302" s="4"/>
      <c r="AZ2302"/>
      <c r="BA2302"/>
      <c r="BB2302"/>
      <c r="BC2302" t="inlineStr">
        <is>
          <t>Business currently not hiring, not keen to pay</t>
        </is>
      </c>
      <c r="BD2302" s="4">
        <v>46140.70306712963</v>
      </c>
      <c r="BE2302" t="inlineStr">
        <is>
          <t>paid</t>
        </is>
      </c>
      <c r="BF2302"/>
      <c r="BG2302" t="inlineStr">
        <is>
          <t>Reschedule</t>
        </is>
      </c>
      <c r="BH2302" t="inlineStr">
        <is>
          <t>Edward Hoo</t>
        </is>
      </c>
      <c r="BI2302" t="inlineStr">
        <is>
          <t>Construction / Building</t>
        </is>
      </c>
      <c r="BJ2302" s="4">
        <v>46144.75461805556</v>
      </c>
      <c r="BK2302" s="4">
        <v>42829.51795138889</v>
      </c>
      <c r="BL2302" t="inlineStr">
        <is>
          <t>0.0</t>
        </is>
      </c>
      <c r="BM2302" t="inlineStr">
        <is>
          <t>300.0</t>
        </is>
      </c>
      <c r="BN2302" t="inlineStr">
        <is>
          <t>View Jobmanager Page</t>
        </is>
      </c>
      <c r="BO2302" s="4">
        <v>45930.731157407405</v>
      </c>
      <c r="BP2302">
        <v>165650</v>
      </c>
      <c r="BQ2302">
        <v>69464</v>
      </c>
      <c r="BR2302" t="inlineStr">
        <is>
          <t>Online</t>
        </is>
      </c>
      <c r="BS2302"/>
      <c r="BT2302">
        <v>69464</v>
      </c>
      <c r="BU2302"/>
      <c r="BV2302">
        <v>2733593</v>
      </c>
      <c r="BW2302" t="inlineStr">
        <is>
          <t>Inquire for Hiring Needs : No Hiring</t>
        </is>
      </c>
      <c r="BX2302"/>
      <c r="BY2302"/>
      <c r="BZ2302" s="4"/>
      <c r="CA2302"/>
      <c r="CB2302"/>
      <c r="CC2302" s="4"/>
      <c r="CD2302" t="inlineStr">
        <is>
          <t>20</t>
        </is>
      </c>
      <c r="CE2302" t="inlineStr">
        <is>
          <t>0</t>
        </is>
      </c>
      <c r="CF2302" t="inlineStr">
        <is>
          <t>Q2-W01</t>
        </is>
      </c>
      <c r="CG2302"/>
      <c r="CH2302"/>
      <c r="CI2302"/>
      <c r="CJ2302" t="inlineStr">
        <is>
          <t>Paid</t>
        </is>
      </c>
      <c r="CK2302" t="inlineStr">
        <is>
          <t>Not Eligible</t>
        </is>
      </c>
      <c r="CL2302"/>
      <c r="CM2302"/>
    </row>
    <row r="2303" ht="25.5" customHeight="1">
      <c r="A2303" t="inlineStr">
        <is>
          <t>4062048</t>
        </is>
      </c>
      <c r="B2303" s="2"/>
      <c r="C2303"/>
      <c r="D2303" s="3">
        <v>46119.57475694444</v>
      </c>
      <c r="E2303" t="inlineStr">
        <is>
          <t>Q2-W01</t>
        </is>
      </c>
      <c r="F2303" t="inlineStr">
        <is>
          <t>Chia Yee</t>
        </is>
      </c>
      <c r="G2303" t="inlineStr">
        <is>
          <t>Lead</t>
        </is>
      </c>
      <c r="H2303" s="2" t="str">
        <f>=HYPERLINK("https://upbox.ajobthing.my/leads/4062048", "https://upbox.ajobthing.my/leads/4062048")</f>
        <v>https://upbox.ajobthing.my/leads/4062048</v>
      </c>
      <c r="I2303" t="inlineStr">
        <is>
          <t>Unity Venture Elite</t>
        </is>
      </c>
      <c r="J2303" t="inlineStr">
        <is>
          <t>Dolphin</t>
        </is>
      </c>
      <c r="K2303" t="inlineStr">
        <is>
          <t>Chia Yee</t>
        </is>
      </c>
      <c r="L2303" s="4"/>
      <c r="M2303" s="4">
        <v>46119.575219907405</v>
      </c>
      <c r="N2303"/>
      <c r="O2303">
        <v>8208</v>
      </c>
      <c r="P2303" s="4"/>
      <c r="Q2303" s="4"/>
      <c r="R2303"/>
      <c r="S2303"/>
      <c r="T2303" s="4"/>
      <c r="U2303" s="4"/>
      <c r="V2303"/>
      <c r="W2303"/>
      <c r="X2303"/>
      <c r="Y2303" t="inlineStr">
        <is>
          <t>Pending Appointment</t>
        </is>
      </c>
      <c r="Z2303" t="inlineStr">
        <is>
          <t>Continuous Hiring</t>
        </is>
      </c>
      <c r="AA2303">
        <v>10</v>
      </c>
      <c r="AB2303" t="inlineStr">
        <is>
          <t>No Appointment Made</t>
        </is>
      </c>
      <c r="AC2303"/>
      <c r="AD2303" t="inlineStr">
        <is>
          <t>10 Insurance agent
</t>
        </is>
      </c>
      <c r="AE2303"/>
      <c r="AF2303">
        <v>0</v>
      </c>
      <c r="AG2303" s="4"/>
      <c r="AH2303" s="4"/>
      <c r="AI2303">
        <v>0</v>
      </c>
      <c r="AJ2303">
        <v>0</v>
      </c>
      <c r="AK2303" t="inlineStr">
        <is>
          <t>No, I don't need at all</t>
        </is>
      </c>
      <c r="AL2303">
        <v>1</v>
      </c>
      <c r="AM2303" t="inlineStr">
        <is>
          <t>No, I don't need at all</t>
        </is>
      </c>
      <c r="AN2303"/>
      <c r="AO2303" t="inlineStr">
        <is>
          <t>No, I don't need at all</t>
        </is>
      </c>
      <c r="AP2303" t="inlineStr">
        <is>
          <t>Once a year (25%)</t>
        </is>
      </c>
      <c r="AQ2303">
        <v>10</v>
      </c>
      <c r="AR2303" t="inlineStr">
        <is>
          <t>Did not use any job portal</t>
        </is>
      </c>
      <c r="AS2303" t="inlineStr">
        <is>
          <t>- Headcount: 10
- Hiring Job Details: 10 Insurance agent
- Hiring Urgency: Continuous Hiring
- Number of outlets: 0
- Have recruiter team: No, I don't need at all
- Number of recruiter in company: 1
- Have ATS system: No, I don't need at all
- Have career website: No, I don't need at all
- Current hiring budget: RM0.00
- Whole year budget: RM0.00
- Whole year number of vacancies: 10
- Hiring frequency: Once a year (25%)
- External job portal: Did not use any job portal</t>
        </is>
      </c>
      <c r="AT2303">
        <v>85</v>
      </c>
      <c r="AU2303" t="inlineStr">
        <is>
          <t>0.85</t>
        </is>
      </c>
      <c r="AV2303" t="inlineStr">
        <is>
          <t>20</t>
        </is>
      </c>
      <c r="AW2303" t="inlineStr">
        <is>
          <t>0</t>
        </is>
      </c>
      <c r="AX2303" t="inlineStr">
        <is>
          <t>Not Qualified</t>
        </is>
      </c>
      <c r="AY2303" s="4"/>
      <c r="AZ2303"/>
      <c r="BA2303"/>
      <c r="BB2303"/>
      <c r="BC2303"/>
      <c r="BD2303" s="4"/>
      <c r="BE2303"/>
      <c r="BF2303"/>
      <c r="BG2303" t="inlineStr">
        <is>
          <t>Reschedule</t>
        </is>
      </c>
      <c r="BH2303" t="inlineStr">
        <is>
          <t>Reagen</t>
        </is>
      </c>
      <c r="BI2303"/>
      <c r="BJ2303" s="4">
        <v>46144.75530092593</v>
      </c>
      <c r="BK2303" s="4">
        <v>46064.811435185184</v>
      </c>
      <c r="BL2303" t="inlineStr">
        <is>
          <t>0.0</t>
        </is>
      </c>
      <c r="BM2303" t="inlineStr">
        <is>
          <t>0.0</t>
        </is>
      </c>
      <c r="BN2303"/>
      <c r="BO2303" s="4"/>
      <c r="BP2303">
        <v>165655</v>
      </c>
      <c r="BQ2303"/>
      <c r="BR2303"/>
      <c r="BS2303"/>
      <c r="BT2303"/>
      <c r="BU2303"/>
      <c r="BV2303"/>
      <c r="BW2303"/>
      <c r="BX2303"/>
      <c r="BY2303"/>
      <c r="BZ2303" s="4"/>
      <c r="CA2303"/>
      <c r="CB2303"/>
      <c r="CC2303" s="4"/>
      <c r="CD2303" t="inlineStr">
        <is>
          <t>30</t>
        </is>
      </c>
      <c r="CE2303" t="inlineStr">
        <is>
          <t>0</t>
        </is>
      </c>
      <c r="CF2303" t="inlineStr">
        <is>
          <t>Q2-W01</t>
        </is>
      </c>
      <c r="CG2303"/>
      <c r="CH2303"/>
      <c r="CI2303"/>
      <c r="CJ2303" t="inlineStr">
        <is>
          <t>No Paid</t>
        </is>
      </c>
      <c r="CK2303" t="inlineStr">
        <is>
          <t>Eligible</t>
        </is>
      </c>
      <c r="CL2303"/>
      <c r="CM2303"/>
    </row>
    <row r="2304" ht="25.5" customHeight="1">
      <c r="A2304" t="inlineStr">
        <is>
          <t>172968</t>
        </is>
      </c>
      <c r="B2304" s="2"/>
      <c r="C2304"/>
      <c r="D2304" s="3">
        <v>46119.58335648148</v>
      </c>
      <c r="E2304" t="inlineStr">
        <is>
          <t>Q2-W01</t>
        </is>
      </c>
      <c r="F2304" t="inlineStr">
        <is>
          <t>Keegan</t>
        </is>
      </c>
      <c r="G2304" t="inlineStr">
        <is>
          <t>Customer</t>
        </is>
      </c>
      <c r="H2304" s="2" t="str">
        <f>=HYPERLINK("https://upbox.ajobthing.my/customer/172968", "https://upbox.ajobthing.my/customer/172968")</f>
        <v>https://upbox.ajobthing.my/customer/172968</v>
      </c>
      <c r="I2304" t="inlineStr">
        <is>
          <t>Smart Solutions Alliance Sdn Bhd</t>
        </is>
      </c>
      <c r="J2304" t="inlineStr">
        <is>
          <t>Dolphin</t>
        </is>
      </c>
      <c r="K2304" t="inlineStr">
        <is>
          <t>Keegan</t>
        </is>
      </c>
      <c r="L2304" s="4"/>
      <c r="M2304" s="4">
        <v>46119.58363425926</v>
      </c>
      <c r="N2304"/>
      <c r="O2304">
        <v>3672</v>
      </c>
      <c r="P2304" s="4"/>
      <c r="Q2304" s="4">
        <v>46127.71915509259</v>
      </c>
      <c r="R2304"/>
      <c r="S2304">
        <v>864</v>
      </c>
      <c r="T2304" s="4">
        <v>46127.71915509259</v>
      </c>
      <c r="U2304" s="4"/>
      <c r="V2304"/>
      <c r="W2304">
        <v>864</v>
      </c>
      <c r="X2304"/>
      <c r="Y2304" t="inlineStr">
        <is>
          <t>Pending Appointment</t>
        </is>
      </c>
      <c r="Z2304" t="inlineStr">
        <is>
          <t>Hiring Now</t>
        </is>
      </c>
      <c r="AA2304">
        <v>2</v>
      </c>
      <c r="AB2304" t="inlineStr">
        <is>
          <t>No Appointment Made</t>
        </is>
      </c>
      <c r="AC2304"/>
      <c r="AD2304" t="inlineStr">
        <is>
          <t xml:space="preserve">1. IT Support 
2. Sales </t>
        </is>
      </c>
      <c r="AE2304"/>
      <c r="AF2304"/>
      <c r="AG2304" s="4"/>
      <c r="AH2304" s="4"/>
      <c r="AI2304"/>
      <c r="AJ2304">
        <v>1</v>
      </c>
      <c r="AK2304" t="inlineStr">
        <is>
          <t>No, I don't need at all</t>
        </is>
      </c>
      <c r="AL2304">
        <v>0</v>
      </c>
      <c r="AM2304" t="inlineStr">
        <is>
          <t>No, I don't need at all</t>
        </is>
      </c>
      <c r="AN2304"/>
      <c r="AO2304" t="inlineStr">
        <is>
          <t>No, I don't need at all</t>
        </is>
      </c>
      <c r="AP2304" t="inlineStr">
        <is>
          <t>Once per quarter (75%)</t>
        </is>
      </c>
      <c r="AQ2304"/>
      <c r="AR2304" t="inlineStr">
        <is>
          <t>Did not use any job portal</t>
        </is>
      </c>
      <c r="AS2304" t="inlineStr">
        <is>
          <t>- Headcount: 2
- Hiring Job Details: 1. IT Support 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304">
        <v>65</v>
      </c>
      <c r="AU2304" t="inlineStr">
        <is>
          <t>0.65</t>
        </is>
      </c>
      <c r="AV2304" t="inlineStr">
        <is>
          <t>5</t>
        </is>
      </c>
      <c r="AW2304" t="inlineStr">
        <is>
          <t>0</t>
        </is>
      </c>
      <c r="AX2304" t="inlineStr">
        <is>
          <t>Not Qualified</t>
        </is>
      </c>
      <c r="AY2304" s="4"/>
      <c r="AZ2304"/>
      <c r="BA2304"/>
      <c r="BB2304"/>
      <c r="BC2304" t="inlineStr">
        <is>
          <t>Job posting f/up</t>
        </is>
      </c>
      <c r="BD2304" s="4">
        <v>46132.654131944444</v>
      </c>
      <c r="BE2304" t="inlineStr">
        <is>
          <t>paid</t>
        </is>
      </c>
      <c r="BF2304" t="inlineStr">
        <is>
          <t>Q2-W02</t>
        </is>
      </c>
      <c r="BG2304" t="inlineStr">
        <is>
          <t>Reschedule</t>
        </is>
      </c>
      <c r="BH2304" t="inlineStr">
        <is>
          <t>Edward Hoo</t>
        </is>
      </c>
      <c r="BI2304" t="inlineStr">
        <is>
          <t>IT / Software</t>
        </is>
      </c>
      <c r="BJ2304" s="4">
        <v>46144.75150462963</v>
      </c>
      <c r="BK2304" s="4">
        <v>45246.580034722225</v>
      </c>
      <c r="BL2304" t="inlineStr">
        <is>
          <t>1836.0</t>
        </is>
      </c>
      <c r="BM2304" t="inlineStr">
        <is>
          <t>0.0</t>
        </is>
      </c>
      <c r="BN2304" t="inlineStr">
        <is>
          <t>User Visit(Logged In)</t>
        </is>
      </c>
      <c r="BO2304" s="4">
        <v>46142.570393518516</v>
      </c>
      <c r="BP2304">
        <v>165660</v>
      </c>
      <c r="BQ2304">
        <v>93721</v>
      </c>
      <c r="BR2304" t="inlineStr">
        <is>
          <t>Online</t>
        </is>
      </c>
      <c r="BS2304"/>
      <c r="BT2304">
        <v>93721</v>
      </c>
      <c r="BU2304"/>
      <c r="BV2304">
        <v>2716092</v>
      </c>
      <c r="BW2304" t="inlineStr">
        <is>
          <t>Service / Technical : Job Outcome Enquiry</t>
        </is>
      </c>
      <c r="BX2304">
        <v>2</v>
      </c>
      <c r="BY2304">
        <v>0</v>
      </c>
      <c r="BZ2304" s="4">
        <v>46128.636099537034</v>
      </c>
      <c r="CA2304">
        <v>10</v>
      </c>
      <c r="CB2304">
        <v>10</v>
      </c>
      <c r="CC2304" s="4"/>
      <c r="CD2304" t="inlineStr">
        <is>
          <t>5</t>
        </is>
      </c>
      <c r="CE2304" t="inlineStr">
        <is>
          <t>0</t>
        </is>
      </c>
      <c r="CF2304" t="inlineStr">
        <is>
          <t>Q2-W01</t>
        </is>
      </c>
      <c r="CG2304" t="inlineStr">
        <is>
          <t>Q2-W02</t>
        </is>
      </c>
      <c r="CH2304" t="inlineStr">
        <is>
          <t>Q2-W02</t>
        </is>
      </c>
      <c r="CI2304"/>
      <c r="CJ2304" t="inlineStr">
        <is>
          <t>Paid</t>
        </is>
      </c>
      <c r="CK2304" t="inlineStr">
        <is>
          <t>Not Eligible</t>
        </is>
      </c>
      <c r="CL2304"/>
      <c r="CM2304"/>
    </row>
    <row r="2305" ht="25.5" customHeight="1">
      <c r="A2305" t="inlineStr">
        <is>
          <t>171734</t>
        </is>
      </c>
      <c r="B2305" s="2"/>
      <c r="C2305"/>
      <c r="D2305" s="3">
        <v>46119.59123842593</v>
      </c>
      <c r="E2305" t="inlineStr">
        <is>
          <t>Q2-W01</t>
        </is>
      </c>
      <c r="F2305" t="inlineStr">
        <is>
          <t>Josh</t>
        </is>
      </c>
      <c r="G2305" t="inlineStr">
        <is>
          <t>Customer</t>
        </is>
      </c>
      <c r="H2305" s="2" t="str">
        <f>=HYPERLINK("https://upbox.ajobthing.my/customer/171734", "https://upbox.ajobthing.my/customer/171734")</f>
        <v>https://upbox.ajobthing.my/customer/171734</v>
      </c>
      <c r="I2305" t="inlineStr">
        <is>
          <t>Kinsha Works Sdn Bhd</t>
        </is>
      </c>
      <c r="J2305" t="inlineStr">
        <is>
          <t>Dolphin</t>
        </is>
      </c>
      <c r="K2305" t="inlineStr">
        <is>
          <t>Josh</t>
        </is>
      </c>
      <c r="L2305" s="4"/>
      <c r="M2305" s="4">
        <v>46119.589791666665</v>
      </c>
      <c r="N2305"/>
      <c r="O2305">
        <v>3672</v>
      </c>
      <c r="P2305" s="4"/>
      <c r="Q2305" s="4">
        <v>46119.65059027778</v>
      </c>
      <c r="R2305"/>
      <c r="S2305">
        <v>864</v>
      </c>
      <c r="T2305" s="4">
        <v>46119.65059027778</v>
      </c>
      <c r="U2305" s="4"/>
      <c r="V2305"/>
      <c r="W2305">
        <v>864</v>
      </c>
      <c r="X2305"/>
      <c r="Y2305" t="inlineStr">
        <is>
          <t>Pending Appointment</t>
        </is>
      </c>
      <c r="Z2305" t="inlineStr">
        <is>
          <t>Hiring Now</t>
        </is>
      </c>
      <c r="AA2305">
        <v>1</v>
      </c>
      <c r="AB2305" t="inlineStr">
        <is>
          <t>No Appointment Made</t>
        </is>
      </c>
      <c r="AC2305"/>
      <c r="AD2305" t="inlineStr">
        <is>
          <t xml:space="preserve">1  graphic designer </t>
        </is>
      </c>
      <c r="AE2305"/>
      <c r="AF2305">
        <v>1000</v>
      </c>
      <c r="AG2305" s="4"/>
      <c r="AH2305" s="4"/>
      <c r="AI2305"/>
      <c r="AJ2305"/>
      <c r="AK2305" t="inlineStr">
        <is>
          <t>Yes, I have</t>
        </is>
      </c>
      <c r="AL2305"/>
      <c r="AM2305"/>
      <c r="AN2305"/>
      <c r="AO2305"/>
      <c r="AP2305" t="inlineStr">
        <is>
          <t>Once a year (25%)</t>
        </is>
      </c>
      <c r="AQ2305"/>
      <c r="AR2305"/>
      <c r="AS2305" t="inlineStr">
        <is>
          <t>- Headcount: 1
- Hiring Job Details: 1 graphic designer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305">
        <v>90</v>
      </c>
      <c r="AU2305" t="inlineStr">
        <is>
          <t>0.90</t>
        </is>
      </c>
      <c r="AV2305" t="inlineStr">
        <is>
          <t>15</t>
        </is>
      </c>
      <c r="AW2305" t="inlineStr">
        <is>
          <t>0</t>
        </is>
      </c>
      <c r="AX2305" t="inlineStr">
        <is>
          <t>Not Qualified</t>
        </is>
      </c>
      <c r="AY2305" s="4"/>
      <c r="AZ2305"/>
      <c r="BA2305"/>
      <c r="BB2305"/>
      <c r="BC2305" t="inlineStr">
        <is>
          <t>- Headcount: 1
- Hiring Job Details: 1 admin executive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is>
      </c>
      <c r="BD2305" s="4">
        <v>46119.62509259259</v>
      </c>
      <c r="BE2305" t="inlineStr">
        <is>
          <t>paid</t>
        </is>
      </c>
      <c r="BF2305" t="inlineStr">
        <is>
          <t>Q2-W01</t>
        </is>
      </c>
      <c r="BG2305" t="inlineStr">
        <is>
          <t>Reschedule</t>
        </is>
      </c>
      <c r="BH2305" t="inlineStr">
        <is>
          <t>Fauziah Maharan</t>
        </is>
      </c>
      <c r="BI2305" t="inlineStr">
        <is>
          <t>Manufacturing / Production</t>
        </is>
      </c>
      <c r="BJ2305" s="4">
        <v>46144.75144675926</v>
      </c>
      <c r="BK2305" s="4">
        <v>45205.69023148148</v>
      </c>
      <c r="BL2305" t="inlineStr">
        <is>
          <t>2592.0</t>
        </is>
      </c>
      <c r="BM2305" t="inlineStr">
        <is>
          <t>600.0</t>
        </is>
      </c>
      <c r="BN2305" t="inlineStr">
        <is>
          <t>User Visit(Logged In)</t>
        </is>
      </c>
      <c r="BO2305" s="4">
        <v>46140.50644675926</v>
      </c>
      <c r="BP2305">
        <v>165664</v>
      </c>
      <c r="BQ2305">
        <v>91677</v>
      </c>
      <c r="BR2305" t="inlineStr">
        <is>
          <t>Online</t>
        </is>
      </c>
      <c r="BS2305"/>
      <c r="BT2305">
        <v>91677</v>
      </c>
      <c r="BU2305"/>
      <c r="BV2305">
        <v>2689676</v>
      </c>
      <c r="BW2305" t="inlineStr">
        <is>
          <t>Customer Inquiry</t>
        </is>
      </c>
      <c r="BX2305">
        <v>1</v>
      </c>
      <c r="BY2305">
        <v>0</v>
      </c>
      <c r="BZ2305" s="4">
        <v>46119.74008101852</v>
      </c>
      <c r="CA2305">
        <v>10</v>
      </c>
      <c r="CB2305">
        <v>10</v>
      </c>
      <c r="CC2305" s="4"/>
      <c r="CD2305" t="inlineStr">
        <is>
          <t>20</t>
        </is>
      </c>
      <c r="CE2305" t="inlineStr">
        <is>
          <t>0</t>
        </is>
      </c>
      <c r="CF2305" t="inlineStr">
        <is>
          <t>Q2-W01</t>
        </is>
      </c>
      <c r="CG2305" t="inlineStr">
        <is>
          <t>Q2-W01</t>
        </is>
      </c>
      <c r="CH2305" t="inlineStr">
        <is>
          <t>Q2-W01</t>
        </is>
      </c>
      <c r="CI2305"/>
      <c r="CJ2305" t="inlineStr">
        <is>
          <t>Paid</t>
        </is>
      </c>
      <c r="CK2305" t="inlineStr">
        <is>
          <t>Not Eligible</t>
        </is>
      </c>
      <c r="CL2305"/>
      <c r="CM2305"/>
    </row>
    <row r="2306" ht="25.5" customHeight="1">
      <c r="A2306" t="inlineStr">
        <is>
          <t>174949</t>
        </is>
      </c>
      <c r="B2306" s="2"/>
      <c r="C2306"/>
      <c r="D2306" s="3">
        <v>46119.600625</v>
      </c>
      <c r="E2306" t="inlineStr">
        <is>
          <t>Q2-W01</t>
        </is>
      </c>
      <c r="F2306" t="inlineStr">
        <is>
          <t>Carmen</t>
        </is>
      </c>
      <c r="G2306" t="inlineStr">
        <is>
          <t>Customer</t>
        </is>
      </c>
      <c r="H2306" s="2" t="str">
        <f>=HYPERLINK("https://upbox.ajobthing.my/customer/174949", "https://upbox.ajobthing.my/customer/174949")</f>
        <v>https://upbox.ajobthing.my/customer/174949</v>
      </c>
      <c r="I2306" t="inlineStr">
        <is>
          <t>Permit Pro Services Sdn Bhd</t>
        </is>
      </c>
      <c r="J2306" t="inlineStr">
        <is>
          <t>Dolphin</t>
        </is>
      </c>
      <c r="K2306" t="inlineStr">
        <is>
          <t>Carmen</t>
        </is>
      </c>
      <c r="L2306" s="4"/>
      <c r="M2306" s="4">
        <v>46129.456238425926</v>
      </c>
      <c r="N2306"/>
      <c r="O2306">
        <v>3456</v>
      </c>
      <c r="P2306" s="4"/>
      <c r="Q2306" s="4">
        <v>46135.395</v>
      </c>
      <c r="R2306"/>
      <c r="S2306">
        <v>2592</v>
      </c>
      <c r="T2306" s="4">
        <v>46135.395</v>
      </c>
      <c r="U2306" s="4"/>
      <c r="V2306"/>
      <c r="W2306">
        <v>2592</v>
      </c>
      <c r="X2306"/>
      <c r="Y2306" t="inlineStr">
        <is>
          <t>Pending Appointment</t>
        </is>
      </c>
      <c r="Z2306" t="inlineStr">
        <is>
          <t>Hiring Now</t>
        </is>
      </c>
      <c r="AA2306">
        <v>1</v>
      </c>
      <c r="AB2306" t="inlineStr">
        <is>
          <t>No Appointment Made</t>
        </is>
      </c>
      <c r="AC2306"/>
      <c r="AD2306" t="inlineStr">
        <is>
          <t>1 customer service</t>
        </is>
      </c>
      <c r="AE2306"/>
      <c r="AF2306">
        <v>800</v>
      </c>
      <c r="AG2306" s="4"/>
      <c r="AH2306" s="4"/>
      <c r="AI2306"/>
      <c r="AJ2306"/>
      <c r="AK2306" t="inlineStr">
        <is>
          <t>No, I don't need at all</t>
        </is>
      </c>
      <c r="AL2306">
        <v>1</v>
      </c>
      <c r="AM2306"/>
      <c r="AN2306"/>
      <c r="AO2306"/>
      <c r="AP2306" t="inlineStr">
        <is>
          <t>Once a year (25%)</t>
        </is>
      </c>
      <c r="AQ2306"/>
      <c r="AR2306"/>
      <c r="AS2306" t="inlineStr">
        <is>
          <t>- Headcount: 1
- Hiring Job Details: 1 customer service
- Hiring Urgency: Hiring Now
- Number of outlets: Not provided
- Have recruiter team: No, I don't need at all
- Number of recruiter in company: 1
- Have ATS system: Not provided
- Have career website: Not provided
- Current hiring budget: RM800.00
- Whole year budget: Not provided
- Whole year number of vacancies: Not provided
- Hiring frequency: Once a year (25%)
- External job portal: Not provided</t>
        </is>
      </c>
      <c r="AT2306">
        <v>75</v>
      </c>
      <c r="AU2306" t="inlineStr">
        <is>
          <t>0.75</t>
        </is>
      </c>
      <c r="AV2306" t="inlineStr">
        <is>
          <t>15</t>
        </is>
      </c>
      <c r="AW2306" t="inlineStr">
        <is>
          <t>0</t>
        </is>
      </c>
      <c r="AX2306" t="inlineStr">
        <is>
          <t>Not Qualified</t>
        </is>
      </c>
      <c r="AY2306" s="4"/>
      <c r="AZ2306"/>
      <c r="BA2306"/>
      <c r="BB2306"/>
      <c r="BC2306" t="inlineStr">
        <is>
          <t>her boss ask why recommendation why not active der</t>
        </is>
      </c>
      <c r="BD2306" s="4">
        <v>46141.67228009259</v>
      </c>
      <c r="BE2306" t="inlineStr">
        <is>
          <t>paid</t>
        </is>
      </c>
      <c r="BF2306" t="inlineStr">
        <is>
          <t>Q2-W03</t>
        </is>
      </c>
      <c r="BG2306" t="inlineStr">
        <is>
          <t>Reschedule</t>
        </is>
      </c>
      <c r="BH2306" t="inlineStr">
        <is>
          <t>Reagen</t>
        </is>
      </c>
      <c r="BI2306" t="inlineStr">
        <is>
          <t>Security / Law Enforcement</t>
        </is>
      </c>
      <c r="BJ2306" s="4">
        <v>46144.75158564815</v>
      </c>
      <c r="BK2306" s="4">
        <v>45317.48961805556</v>
      </c>
      <c r="BL2306" t="inlineStr">
        <is>
          <t>2592.0</t>
        </is>
      </c>
      <c r="BM2306" t="inlineStr">
        <is>
          <t>0.0</t>
        </is>
      </c>
      <c r="BN2306" t="inlineStr">
        <is>
          <t>View Candidate Search Page</t>
        </is>
      </c>
      <c r="BO2306" s="4">
        <v>46142.65773148148</v>
      </c>
      <c r="BP2306">
        <v>167547</v>
      </c>
      <c r="BQ2306">
        <v>7658</v>
      </c>
      <c r="BR2306" t="inlineStr">
        <is>
          <t>Manual (Paid)</t>
        </is>
      </c>
      <c r="BS2306" t="inlineStr">
        <is>
          <t>AI Ala Carte
- A la carte for 1 AI Job Ad
- 1 AI Job Ad will be published on Maukerja, Ricebowl and our partner platforms
- 1 AI Job Ad will be published for 45 days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
AI Candidate Search 80
- AI Candidate Search Package for 80 Profiles
- Retrieve 80 profiles and contact with 80 candidates
- Package valid for 3 months
- Access to My Talent Pool
- Access to Chat
- AJobThing Care included</t>
        </is>
      </c>
      <c r="BT2306">
        <v>7658</v>
      </c>
      <c r="BU2306"/>
      <c r="BV2306">
        <v>2735830</v>
      </c>
      <c r="BW2306" t="inlineStr">
        <is>
          <t>Service / Technical : Job Outcome Enquiry</t>
        </is>
      </c>
      <c r="BX2306">
        <v>1</v>
      </c>
      <c r="BY2306">
        <v>0</v>
      </c>
      <c r="BZ2306" s="4">
        <v>46135.47145833333</v>
      </c>
      <c r="CA2306">
        <v>23</v>
      </c>
      <c r="CB2306">
        <v>13</v>
      </c>
      <c r="CC2306" s="4">
        <v>46139.470138888886</v>
      </c>
      <c r="CD2306" t="inlineStr">
        <is>
          <t>20</t>
        </is>
      </c>
      <c r="CE2306" t="inlineStr">
        <is>
          <t>0</t>
        </is>
      </c>
      <c r="CF2306" t="inlineStr">
        <is>
          <t>Q2-W03</t>
        </is>
      </c>
      <c r="CG2306" t="inlineStr">
        <is>
          <t>Q2-W03</t>
        </is>
      </c>
      <c r="CH2306" t="inlineStr">
        <is>
          <t>Q2-W03</t>
        </is>
      </c>
      <c r="CI2306"/>
      <c r="CJ2306" t="inlineStr">
        <is>
          <t>Paid</t>
        </is>
      </c>
      <c r="CK2306" t="inlineStr">
        <is>
          <t>Not Eligible</t>
        </is>
      </c>
      <c r="CL2306"/>
      <c r="CM2306"/>
    </row>
    <row r="2307" ht="25.5" customHeight="1">
      <c r="A2307" t="inlineStr">
        <is>
          <t>202934</t>
        </is>
      </c>
      <c r="B2307" s="2"/>
      <c r="C2307"/>
      <c r="D2307" s="3">
        <v>46119.615590277775</v>
      </c>
      <c r="E2307" t="inlineStr">
        <is>
          <t>Q2-W01</t>
        </is>
      </c>
      <c r="F2307" t="inlineStr">
        <is>
          <t>Lucas</t>
        </is>
      </c>
      <c r="G2307" t="inlineStr">
        <is>
          <t>Customer</t>
        </is>
      </c>
      <c r="H2307" s="2" t="str">
        <f>=HYPERLINK("https://upbox.ajobthing.my/customer/202934", "https://upbox.ajobthing.my/customer/202934")</f>
        <v>https://upbox.ajobthing.my/customer/202934</v>
      </c>
      <c r="I2307" t="inlineStr">
        <is>
          <t>Intellipro Group</t>
        </is>
      </c>
      <c r="J2307" t="inlineStr">
        <is>
          <t>Dolphin</t>
        </is>
      </c>
      <c r="K2307" t="inlineStr">
        <is>
          <t>Lucas</t>
        </is>
      </c>
      <c r="L2307" s="4"/>
      <c r="M2307" s="4">
        <v>46119.61349537037</v>
      </c>
      <c r="N2307"/>
      <c r="O2307">
        <v>3888</v>
      </c>
      <c r="P2307" s="4"/>
      <c r="Q2307" s="4"/>
      <c r="R2307"/>
      <c r="S2307"/>
      <c r="T2307" s="4"/>
      <c r="U2307" s="4"/>
      <c r="V2307"/>
      <c r="W2307"/>
      <c r="X2307"/>
      <c r="Y2307" t="inlineStr">
        <is>
          <t>Pending Appointment</t>
        </is>
      </c>
      <c r="Z2307" t="inlineStr">
        <is>
          <t>Hiring Now</t>
        </is>
      </c>
      <c r="AA2307">
        <v>5</v>
      </c>
      <c r="AB2307" t="inlineStr">
        <is>
          <t>No Appointment Made</t>
        </is>
      </c>
      <c r="AC2307"/>
      <c r="AD2307" t="inlineStr">
        <is>
          <t xml:space="preserve">5 customer service -mandarin speaker </t>
        </is>
      </c>
      <c r="AE2307"/>
      <c r="AF2307">
        <v>0</v>
      </c>
      <c r="AG2307" s="4"/>
      <c r="AH2307" s="4"/>
      <c r="AI2307">
        <v>0</v>
      </c>
      <c r="AJ2307">
        <v>0</v>
      </c>
      <c r="AK2307" t="inlineStr">
        <is>
          <t>No, I don't need at all</t>
        </is>
      </c>
      <c r="AL2307">
        <v>0</v>
      </c>
      <c r="AM2307" t="inlineStr">
        <is>
          <t>No, I don't need at all</t>
        </is>
      </c>
      <c r="AN2307"/>
      <c r="AO2307" t="inlineStr">
        <is>
          <t>No, I don't need at all</t>
        </is>
      </c>
      <c r="AP2307" t="inlineStr">
        <is>
          <t>Once a year (25%)</t>
        </is>
      </c>
      <c r="AQ2307">
        <v>5</v>
      </c>
      <c r="AR2307" t="inlineStr">
        <is>
          <t>Jobstreet</t>
        </is>
      </c>
      <c r="AS2307" t="inlineStr">
        <is>
          <t>- Headcount: 5
- Hiring Job Details: 5 customer service - mandarin speaker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Jobstreet</t>
        </is>
      </c>
      <c r="AT2307">
        <v>95</v>
      </c>
      <c r="AU2307" t="inlineStr">
        <is>
          <t>0.95</t>
        </is>
      </c>
      <c r="AV2307" t="inlineStr">
        <is>
          <t>20</t>
        </is>
      </c>
      <c r="AW2307" t="inlineStr">
        <is>
          <t>0</t>
        </is>
      </c>
      <c r="AX2307" t="inlineStr">
        <is>
          <t>Not Qualified</t>
        </is>
      </c>
      <c r="AY2307" s="4"/>
      <c r="AZ2307"/>
      <c r="BA2307"/>
      <c r="BB2307"/>
      <c r="BC2307" t="inlineStr">
        <is>
          <t>FU4 , nr</t>
        </is>
      </c>
      <c r="BD2307" s="4">
        <v>46134.62353009259</v>
      </c>
      <c r="BE2307"/>
      <c r="BF2307"/>
      <c r="BG2307" t="inlineStr">
        <is>
          <t>Reschedule</t>
        </is>
      </c>
      <c r="BH2307" t="inlineStr">
        <is>
          <t>Yee Hang</t>
        </is>
      </c>
      <c r="BI2307"/>
      <c r="BJ2307" s="4">
        <v>46144.754166666666</v>
      </c>
      <c r="BK2307" s="4">
        <v>46119.57822916667</v>
      </c>
      <c r="BL2307" t="inlineStr">
        <is>
          <t>0.0</t>
        </is>
      </c>
      <c r="BM2307" t="inlineStr">
        <is>
          <t>0.0</t>
        </is>
      </c>
      <c r="BN2307" t="inlineStr">
        <is>
          <t>View Create Job Page V4</t>
        </is>
      </c>
      <c r="BO2307" s="4">
        <v>46119.5831712963</v>
      </c>
      <c r="BP2307">
        <v>165679</v>
      </c>
      <c r="BQ2307"/>
      <c r="BR2307"/>
      <c r="BS2307"/>
      <c r="BT2307"/>
      <c r="BU2307"/>
      <c r="BV2307">
        <v>2720938</v>
      </c>
      <c r="BW2307" t="inlineStr">
        <is>
          <t>No Answer : Voicemail - WA sent to customer</t>
        </is>
      </c>
      <c r="BX2307"/>
      <c r="BY2307"/>
      <c r="BZ2307" s="4"/>
      <c r="CA2307"/>
      <c r="CB2307"/>
      <c r="CC2307" s="4"/>
      <c r="CD2307" t="inlineStr">
        <is>
          <t>30</t>
        </is>
      </c>
      <c r="CE2307" t="inlineStr">
        <is>
          <t>0</t>
        </is>
      </c>
      <c r="CF2307" t="inlineStr">
        <is>
          <t>Q2-W01</t>
        </is>
      </c>
      <c r="CG2307"/>
      <c r="CH2307"/>
      <c r="CI2307"/>
      <c r="CJ2307" t="inlineStr">
        <is>
          <t>No Paid</t>
        </is>
      </c>
      <c r="CK2307" t="inlineStr">
        <is>
          <t>Not Eligible</t>
        </is>
      </c>
      <c r="CL2307"/>
      <c r="CM2307"/>
    </row>
    <row r="2308" ht="25.5" customHeight="1">
      <c r="A2308" t="inlineStr">
        <is>
          <t>48312</t>
        </is>
      </c>
      <c r="B2308" s="2"/>
      <c r="C2308"/>
      <c r="D2308" s="3">
        <v>46119.620625</v>
      </c>
      <c r="E2308" t="inlineStr">
        <is>
          <t>Q2-W01</t>
        </is>
      </c>
      <c r="F2308" t="inlineStr">
        <is>
          <t>Luqman</t>
        </is>
      </c>
      <c r="G2308" t="inlineStr">
        <is>
          <t>Customer</t>
        </is>
      </c>
      <c r="H2308" s="2" t="str">
        <f>=HYPERLINK("https://upbox.ajobthing.my/customer/48312", "https://upbox.ajobthing.my/customer/48312")</f>
        <v>https://upbox.ajobthing.my/customer/48312</v>
      </c>
      <c r="I2308" t="inlineStr">
        <is>
          <t>Esprawell Sdn Bhd</t>
        </is>
      </c>
      <c r="J2308" t="inlineStr">
        <is>
          <t>Dolphin</t>
        </is>
      </c>
      <c r="K2308" t="inlineStr">
        <is>
          <t>Luqman</t>
        </is>
      </c>
      <c r="L2308" s="4"/>
      <c r="M2308" s="4">
        <v>46119.62113425926</v>
      </c>
      <c r="N2308"/>
      <c r="O2308">
        <v>3888</v>
      </c>
      <c r="P2308" s="4"/>
      <c r="Q2308" s="4">
        <v>45286.00001157408</v>
      </c>
      <c r="R2308"/>
      <c r="S2308">
        <v>1696</v>
      </c>
      <c r="T2308" s="4">
        <v>45286.00001157408</v>
      </c>
      <c r="U2308" s="4"/>
      <c r="V2308"/>
      <c r="W2308">
        <v>1696</v>
      </c>
      <c r="X2308"/>
      <c r="Y2308" t="inlineStr">
        <is>
          <t>Pending Appointment</t>
        </is>
      </c>
      <c r="Z2308" t="inlineStr">
        <is>
          <t>Hiring Later</t>
        </is>
      </c>
      <c r="AA2308">
        <v>3</v>
      </c>
      <c r="AB2308" t="inlineStr">
        <is>
          <t>No Appointment Made</t>
        </is>
      </c>
      <c r="AC2308"/>
      <c r="AD2308" t="inlineStr">
        <is>
          <t>1. Digital Marketing 2. Operation Executive 3. Admin</t>
        </is>
      </c>
      <c r="AE2308"/>
      <c r="AF2308">
        <v>3600</v>
      </c>
      <c r="AG2308" s="4"/>
      <c r="AH2308" s="4"/>
      <c r="AI2308">
        <v>3600</v>
      </c>
      <c r="AJ2308"/>
      <c r="AK2308" t="inlineStr">
        <is>
          <t>No, I don't need at all</t>
        </is>
      </c>
      <c r="AL2308">
        <v>1</v>
      </c>
      <c r="AM2308" t="inlineStr">
        <is>
          <t>No, I don't need at all</t>
        </is>
      </c>
      <c r="AN2308"/>
      <c r="AO2308" t="inlineStr">
        <is>
          <t>No, I don't need at all</t>
        </is>
      </c>
      <c r="AP2308" t="inlineStr">
        <is>
          <t>Once a year (25%)</t>
        </is>
      </c>
      <c r="AQ2308">
        <v>3</v>
      </c>
      <c r="AR2308" t="inlineStr">
        <is>
          <t>Free Job Portal</t>
        </is>
      </c>
      <c r="AS2308" t="inlineStr">
        <is>
          <t>- Headcount: 3
- Hiring Job Details: 1. Digital Marketing 2. Operation Executive 3. Admin
- Hiring Urgency: Hiring Later
- Number of outlets: Not provided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is>
      </c>
      <c r="AT2308">
        <v>75</v>
      </c>
      <c r="AU2308" t="inlineStr">
        <is>
          <t>0.75</t>
        </is>
      </c>
      <c r="AV2308" t="inlineStr">
        <is>
          <t>15</t>
        </is>
      </c>
      <c r="AW2308" t="inlineStr">
        <is>
          <t>0</t>
        </is>
      </c>
      <c r="AX2308" t="inlineStr">
        <is>
          <t>Not Qualified</t>
        </is>
      </c>
      <c r="AY2308" s="4"/>
      <c r="AZ2308"/>
      <c r="BA2308"/>
      <c r="BB2308"/>
      <c r="BC2308" t="inlineStr">
        <is>
          <t>Lost - Job posting in free portal</t>
        </is>
      </c>
      <c r="BD2308" s="4">
        <v>46132.697222222225</v>
      </c>
      <c r="BE2308" t="inlineStr">
        <is>
          <t>paid</t>
        </is>
      </c>
      <c r="BF2308"/>
      <c r="BG2308" t="inlineStr">
        <is>
          <t>Reschedule</t>
        </is>
      </c>
      <c r="BH2308" t="inlineStr">
        <is>
          <t>Edward Hoo</t>
        </is>
      </c>
      <c r="BI2308" t="inlineStr">
        <is>
          <t>Manufacturing / Production</t>
        </is>
      </c>
      <c r="BJ2308" s="4">
        <v>46144.75604166667</v>
      </c>
      <c r="BK2308" s="4">
        <v>43220.40025462963</v>
      </c>
      <c r="BL2308" t="inlineStr">
        <is>
          <t>0.0</t>
        </is>
      </c>
      <c r="BM2308" t="inlineStr">
        <is>
          <t>0.0</t>
        </is>
      </c>
      <c r="BN2308" t="inlineStr">
        <is>
          <t>View Candidate Search Page</t>
        </is>
      </c>
      <c r="BO2308" s="4">
        <v>45970.41798611111</v>
      </c>
      <c r="BP2308">
        <v>165686</v>
      </c>
      <c r="BQ2308">
        <v>64793</v>
      </c>
      <c r="BR2308" t="inlineStr">
        <is>
          <t>Online</t>
        </is>
      </c>
      <c r="BS2308"/>
      <c r="BT2308">
        <v>64793</v>
      </c>
      <c r="BU2308"/>
      <c r="BV2308">
        <v>2716392</v>
      </c>
      <c r="BW2308" t="inlineStr">
        <is>
          <t>Follow Up : Lost - Free Portal</t>
        </is>
      </c>
      <c r="BX2308"/>
      <c r="BY2308"/>
      <c r="BZ2308" s="4"/>
      <c r="CA2308"/>
      <c r="CB2308"/>
      <c r="CC2308" s="4"/>
      <c r="CD2308" t="inlineStr">
        <is>
          <t>20</t>
        </is>
      </c>
      <c r="CE2308" t="inlineStr">
        <is>
          <t>0</t>
        </is>
      </c>
      <c r="CF2308" t="inlineStr">
        <is>
          <t>Q2-W01</t>
        </is>
      </c>
      <c r="CG2308"/>
      <c r="CH2308"/>
      <c r="CI2308"/>
      <c r="CJ2308" t="inlineStr">
        <is>
          <t>Paid</t>
        </is>
      </c>
      <c r="CK2308" t="inlineStr">
        <is>
          <t>Not Eligible</t>
        </is>
      </c>
      <c r="CL2308"/>
      <c r="CM2308"/>
    </row>
    <row r="2309" ht="25.5" customHeight="1">
      <c r="A2309" t="inlineStr">
        <is>
          <t>133602</t>
        </is>
      </c>
      <c r="B2309" s="2"/>
      <c r="C2309"/>
      <c r="D2309" s="3">
        <v>46119.622615740744</v>
      </c>
      <c r="E2309" t="inlineStr">
        <is>
          <t>Q2-W01</t>
        </is>
      </c>
      <c r="F2309" t="inlineStr">
        <is>
          <t>Jia Hui</t>
        </is>
      </c>
      <c r="G2309" t="inlineStr">
        <is>
          <t>Customer</t>
        </is>
      </c>
      <c r="H2309" s="2" t="str">
        <f>=HYPERLINK("https://upbox.ajobthing.my/customer/133602", "https://upbox.ajobthing.my/customer/133602")</f>
        <v>https://upbox.ajobthing.my/customer/133602</v>
      </c>
      <c r="I2309" t="inlineStr">
        <is>
          <t>Brightmech Sdn Bhd</t>
        </is>
      </c>
      <c r="J2309" t="inlineStr">
        <is>
          <t>Dolphin</t>
        </is>
      </c>
      <c r="K2309" t="inlineStr">
        <is>
          <t>Jia Hui</t>
        </is>
      </c>
      <c r="L2309" s="4"/>
      <c r="M2309" s="4">
        <v>46119.62269675926</v>
      </c>
      <c r="N2309"/>
      <c r="O2309">
        <v>6048</v>
      </c>
      <c r="P2309" s="4"/>
      <c r="Q2309" s="4">
        <v>44343.666296296295</v>
      </c>
      <c r="R2309"/>
      <c r="S2309">
        <v>159</v>
      </c>
      <c r="T2309" s="4">
        <v>44343.666296296295</v>
      </c>
      <c r="U2309" s="4"/>
      <c r="V2309"/>
      <c r="W2309">
        <v>159</v>
      </c>
      <c r="X2309"/>
      <c r="Y2309" t="inlineStr">
        <is>
          <t>Pending Appointment</t>
        </is>
      </c>
      <c r="Z2309" t="inlineStr">
        <is>
          <t>Hiring Now</t>
        </is>
      </c>
      <c r="AA2309">
        <v>2</v>
      </c>
      <c r="AB2309" t="inlineStr">
        <is>
          <t>No Appointment Made</t>
        </is>
      </c>
      <c r="AC2309"/>
      <c r="AD2309" t="inlineStr">
        <is>
          <t>1 admin, 1 sales</t>
        </is>
      </c>
      <c r="AE2309"/>
      <c r="AF2309">
        <v>1000</v>
      </c>
      <c r="AG2309" s="4"/>
      <c r="AH2309" s="4"/>
      <c r="AI2309"/>
      <c r="AJ2309"/>
      <c r="AK2309" t="inlineStr">
        <is>
          <t>No, but I want in future</t>
        </is>
      </c>
      <c r="AL2309"/>
      <c r="AM2309"/>
      <c r="AN2309"/>
      <c r="AO2309"/>
      <c r="AP2309" t="inlineStr">
        <is>
          <t>Once a year (25%)</t>
        </is>
      </c>
      <c r="AQ2309"/>
      <c r="AR2309"/>
      <c r="AS2309" t="inlineStr">
        <is>
          <t>- Headcount: 2
- Hiring Job Details: 1 admin, 1 sales
- Hiring Urgency: Hiring Now
- Number of outlets: Not available
- Have recruiter team: No, but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309">
        <v>75</v>
      </c>
      <c r="AU2309" t="inlineStr">
        <is>
          <t>0.75</t>
        </is>
      </c>
      <c r="AV2309" t="inlineStr">
        <is>
          <t>15</t>
        </is>
      </c>
      <c r="AW2309" t="inlineStr">
        <is>
          <t>0</t>
        </is>
      </c>
      <c r="AX2309" t="inlineStr">
        <is>
          <t>Not Qualified</t>
        </is>
      </c>
      <c r="AY2309" s="4"/>
      <c r="AZ2309"/>
      <c r="BA2309"/>
      <c r="BB2309"/>
      <c r="BC2309" t="inlineStr">
        <is>
          <t>already fulfilled the position, will let me know again if any hiring</t>
        </is>
      </c>
      <c r="BD2309" s="4">
        <v>46127.734560185185</v>
      </c>
      <c r="BE2309" t="inlineStr">
        <is>
          <t>paid</t>
        </is>
      </c>
      <c r="BF2309"/>
      <c r="BG2309" t="inlineStr">
        <is>
          <t>Reschedule</t>
        </is>
      </c>
      <c r="BH2309" t="inlineStr">
        <is>
          <t>Reagen</t>
        </is>
      </c>
      <c r="BI2309" t="inlineStr">
        <is>
          <t>Manufacturing / Production</t>
        </is>
      </c>
      <c r="BJ2309" s="4">
        <v>46144.75050925926</v>
      </c>
      <c r="BK2309" s="4">
        <v>44215.57199074074</v>
      </c>
      <c r="BL2309" t="inlineStr">
        <is>
          <t>0.0</t>
        </is>
      </c>
      <c r="BM2309" t="inlineStr">
        <is>
          <t>0.0</t>
        </is>
      </c>
      <c r="BN2309" t="inlineStr">
        <is>
          <t>View Notifications</t>
        </is>
      </c>
      <c r="BO2309" s="4">
        <v>45698.44231481481</v>
      </c>
      <c r="BP2309">
        <v>165688</v>
      </c>
      <c r="BQ2309">
        <v>33549</v>
      </c>
      <c r="BR2309" t="inlineStr">
        <is>
          <t>Online</t>
        </is>
      </c>
      <c r="BS2309"/>
      <c r="BT2309">
        <v>33549</v>
      </c>
      <c r="BU2309"/>
      <c r="BV2309">
        <v>2707024</v>
      </c>
      <c r="BW2309" t="inlineStr">
        <is>
          <t>Follow Up : Lost - Free Portal</t>
        </is>
      </c>
      <c r="BX2309"/>
      <c r="BY2309"/>
      <c r="BZ2309" s="4"/>
      <c r="CA2309"/>
      <c r="CB2309"/>
      <c r="CC2309" s="4"/>
      <c r="CD2309" t="inlineStr">
        <is>
          <t>20</t>
        </is>
      </c>
      <c r="CE2309" t="inlineStr">
        <is>
          <t>0</t>
        </is>
      </c>
      <c r="CF2309" t="inlineStr">
        <is>
          <t>Q2-W01</t>
        </is>
      </c>
      <c r="CG2309"/>
      <c r="CH2309"/>
      <c r="CI2309"/>
      <c r="CJ2309" t="inlineStr">
        <is>
          <t>Paid</t>
        </is>
      </c>
      <c r="CK2309" t="inlineStr">
        <is>
          <t>Not Eligible</t>
        </is>
      </c>
      <c r="CL2309"/>
      <c r="CM2309"/>
    </row>
    <row r="2310" ht="25.5" customHeight="1">
      <c r="A2310" t="inlineStr">
        <is>
          <t>171734</t>
        </is>
      </c>
      <c r="B2310" s="2"/>
      <c r="C2310"/>
      <c r="D2310" s="3">
        <v>46119.623611111114</v>
      </c>
      <c r="E2310" t="inlineStr">
        <is>
          <t>Q2-W01</t>
        </is>
      </c>
      <c r="F2310" t="inlineStr">
        <is>
          <t>Josh</t>
        </is>
      </c>
      <c r="G2310" t="inlineStr">
        <is>
          <t>Customer</t>
        </is>
      </c>
      <c r="H2310" s="2" t="str">
        <f>=HYPERLINK("https://upbox.ajobthing.my/customer/171734", "https://upbox.ajobthing.my/customer/171734")</f>
        <v>https://upbox.ajobthing.my/customer/171734</v>
      </c>
      <c r="I2310" t="inlineStr">
        <is>
          <t>Kinsha Works Sdn Bhd</t>
        </is>
      </c>
      <c r="J2310" t="inlineStr">
        <is>
          <t>Dolphin</t>
        </is>
      </c>
      <c r="K2310" t="inlineStr">
        <is>
          <t>Josh</t>
        </is>
      </c>
      <c r="L2310" s="4"/>
      <c r="M2310" s="4">
        <v>46119.589791666665</v>
      </c>
      <c r="N2310"/>
      <c r="O2310">
        <v>3672</v>
      </c>
      <c r="P2310" s="4"/>
      <c r="Q2310" s="4">
        <v>46119.65059027778</v>
      </c>
      <c r="R2310"/>
      <c r="S2310">
        <v>864</v>
      </c>
      <c r="T2310" s="4">
        <v>46119.65059027778</v>
      </c>
      <c r="U2310" s="4"/>
      <c r="V2310"/>
      <c r="W2310">
        <v>864</v>
      </c>
      <c r="X2310"/>
      <c r="Y2310" t="inlineStr">
        <is>
          <t>Pending Appointment</t>
        </is>
      </c>
      <c r="Z2310" t="inlineStr">
        <is>
          <t>Hiring Now</t>
        </is>
      </c>
      <c r="AA2310">
        <v>1</v>
      </c>
      <c r="AB2310" t="inlineStr">
        <is>
          <t>No Appointment Made</t>
        </is>
      </c>
      <c r="AC2310"/>
      <c r="AD2310" t="inlineStr">
        <is>
          <t xml:space="preserve">1 admin executive </t>
        </is>
      </c>
      <c r="AE2310"/>
      <c r="AF2310">
        <v>1000</v>
      </c>
      <c r="AG2310" s="4"/>
      <c r="AH2310" s="4"/>
      <c r="AI2310"/>
      <c r="AJ2310"/>
      <c r="AK2310" t="inlineStr">
        <is>
          <t>Yes, I have</t>
        </is>
      </c>
      <c r="AL2310">
        <v>1</v>
      </c>
      <c r="AM2310"/>
      <c r="AN2310"/>
      <c r="AO2310"/>
      <c r="AP2310" t="inlineStr">
        <is>
          <t>Once a year (25%)</t>
        </is>
      </c>
      <c r="AQ2310"/>
      <c r="AR2310"/>
      <c r="AS2310" t="inlineStr">
        <is>
          <t>- Headcount: 1
- Hiring Job Details: 1 admin executive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is>
      </c>
      <c r="AT2310">
        <v>95</v>
      </c>
      <c r="AU2310" t="inlineStr">
        <is>
          <t>0.95</t>
        </is>
      </c>
      <c r="AV2310" t="inlineStr">
        <is>
          <t>15</t>
        </is>
      </c>
      <c r="AW2310" t="inlineStr">
        <is>
          <t>0</t>
        </is>
      </c>
      <c r="AX2310" t="inlineStr">
        <is>
          <t>Not Qualified</t>
        </is>
      </c>
      <c r="AY2310" s="4"/>
      <c r="AZ2310"/>
      <c r="BA2310"/>
      <c r="BB2310"/>
      <c r="BC2310" t="inlineStr">
        <is>
          <t>- Headcount: 1
- Hiring Job Details: 1 admin executive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is>
      </c>
      <c r="BD2310" s="4">
        <v>46119.62509259259</v>
      </c>
      <c r="BE2310" t="inlineStr">
        <is>
          <t>paid</t>
        </is>
      </c>
      <c r="BF2310" t="inlineStr">
        <is>
          <t>Q2-W01</t>
        </is>
      </c>
      <c r="BG2310" t="inlineStr">
        <is>
          <t>Reschedule</t>
        </is>
      </c>
      <c r="BH2310" t="inlineStr">
        <is>
          <t>Fauziah Maharan</t>
        </is>
      </c>
      <c r="BI2310" t="inlineStr">
        <is>
          <t>Manufacturing / Production</t>
        </is>
      </c>
      <c r="BJ2310" s="4">
        <v>46144.75144675926</v>
      </c>
      <c r="BK2310" s="4">
        <v>45205.69023148148</v>
      </c>
      <c r="BL2310" t="inlineStr">
        <is>
          <t>2592.0</t>
        </is>
      </c>
      <c r="BM2310" t="inlineStr">
        <is>
          <t>600.0</t>
        </is>
      </c>
      <c r="BN2310" t="inlineStr">
        <is>
          <t>User Visit(Logged In)</t>
        </is>
      </c>
      <c r="BO2310" s="4">
        <v>46140.50644675926</v>
      </c>
      <c r="BP2310">
        <v>165664</v>
      </c>
      <c r="BQ2310">
        <v>91677</v>
      </c>
      <c r="BR2310" t="inlineStr">
        <is>
          <t>Online</t>
        </is>
      </c>
      <c r="BS2310"/>
      <c r="BT2310">
        <v>91677</v>
      </c>
      <c r="BU2310"/>
      <c r="BV2310">
        <v>2689676</v>
      </c>
      <c r="BW2310" t="inlineStr">
        <is>
          <t>Customer Inquiry</t>
        </is>
      </c>
      <c r="BX2310">
        <v>1</v>
      </c>
      <c r="BY2310">
        <v>0</v>
      </c>
      <c r="BZ2310" s="4">
        <v>46119.74008101852</v>
      </c>
      <c r="CA2310">
        <v>10</v>
      </c>
      <c r="CB2310">
        <v>10</v>
      </c>
      <c r="CC2310" s="4"/>
      <c r="CD2310" t="inlineStr">
        <is>
          <t>20</t>
        </is>
      </c>
      <c r="CE2310" t="inlineStr">
        <is>
          <t>0</t>
        </is>
      </c>
      <c r="CF2310" t="inlineStr">
        <is>
          <t>Q2-W01</t>
        </is>
      </c>
      <c r="CG2310" t="inlineStr">
        <is>
          <t>Q2-W01</t>
        </is>
      </c>
      <c r="CH2310" t="inlineStr">
        <is>
          <t>Q2-W01</t>
        </is>
      </c>
      <c r="CI2310"/>
      <c r="CJ2310" t="inlineStr">
        <is>
          <t>Paid</t>
        </is>
      </c>
      <c r="CK2310" t="inlineStr">
        <is>
          <t>Not Eligible</t>
        </is>
      </c>
      <c r="CL2310"/>
      <c r="CM2310"/>
    </row>
    <row r="2311" ht="25.5" customHeight="1">
      <c r="A2311" t="inlineStr">
        <is>
          <t>4255570</t>
        </is>
      </c>
      <c r="B2311" s="2"/>
      <c r="C2311"/>
      <c r="D2311" s="3">
        <v>46119.62459490741</v>
      </c>
      <c r="E2311" t="inlineStr">
        <is>
          <t>Q2-W01</t>
        </is>
      </c>
      <c r="F2311" t="inlineStr">
        <is>
          <t>Lucas</t>
        </is>
      </c>
      <c r="G2311" t="inlineStr">
        <is>
          <t>Lead</t>
        </is>
      </c>
      <c r="H2311" s="2" t="str">
        <f>=HYPERLINK("https://upbox.ajobthing.my/leads/4255570", "https://upbox.ajobthing.my/leads/4255570")</f>
        <v>https://upbox.ajobthing.my/leads/4255570</v>
      </c>
      <c r="I2311" t="inlineStr">
        <is>
          <t>PERSATUAN DYSLEXIA MALAYSIA</t>
        </is>
      </c>
      <c r="J2311" t="inlineStr">
        <is>
          <t>Dolphin</t>
        </is>
      </c>
      <c r="K2311" t="inlineStr">
        <is>
          <t>Lucas</t>
        </is>
      </c>
      <c r="L2311" s="4"/>
      <c r="M2311" s="4">
        <v>46119.621782407405</v>
      </c>
      <c r="N2311"/>
      <c r="O2311">
        <v>3888</v>
      </c>
      <c r="P2311" s="4"/>
      <c r="Q2311" s="4"/>
      <c r="R2311"/>
      <c r="S2311"/>
      <c r="T2311" s="4"/>
      <c r="U2311" s="4"/>
      <c r="V2311"/>
      <c r="W2311"/>
      <c r="X2311"/>
      <c r="Y2311" t="inlineStr">
        <is>
          <t>Pending Appointment</t>
        </is>
      </c>
      <c r="Z2311" t="inlineStr">
        <is>
          <t>Hiring Now</t>
        </is>
      </c>
      <c r="AA2311">
        <v>3</v>
      </c>
      <c r="AB2311" t="inlineStr">
        <is>
          <t>No Appointment Made</t>
        </is>
      </c>
      <c r="AC2311"/>
      <c r="AD2311" t="inlineStr">
        <is>
          <t>3 special kid teacher (NGO)</t>
        </is>
      </c>
      <c r="AE2311"/>
      <c r="AF2311">
        <v>0</v>
      </c>
      <c r="AG2311" s="4"/>
      <c r="AH2311" s="4"/>
      <c r="AI2311">
        <v>0</v>
      </c>
      <c r="AJ2311">
        <v>0</v>
      </c>
      <c r="AK2311" t="inlineStr">
        <is>
          <t>No, I don't need at all</t>
        </is>
      </c>
      <c r="AL2311">
        <v>0</v>
      </c>
      <c r="AM2311" t="inlineStr">
        <is>
          <t>No, I don't need at all</t>
        </is>
      </c>
      <c r="AN2311"/>
      <c r="AO2311" t="inlineStr">
        <is>
          <t>No, I don't need at all</t>
        </is>
      </c>
      <c r="AP2311" t="inlineStr">
        <is>
          <t>Once a year (25%)</t>
        </is>
      </c>
      <c r="AQ2311">
        <v>3</v>
      </c>
      <c r="AR2311" t="inlineStr">
        <is>
          <t>Did not use any job portal</t>
        </is>
      </c>
      <c r="AS2311" t="inlineStr">
        <is>
          <t>- Headcount: 3
- Hiring Job Details: 3 special kid teacher (NGO)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is>
      </c>
      <c r="AT2311">
        <v>105</v>
      </c>
      <c r="AU2311" t="inlineStr">
        <is>
          <t>1.05</t>
        </is>
      </c>
      <c r="AV2311" t="inlineStr">
        <is>
          <t>15</t>
        </is>
      </c>
      <c r="AW2311" t="inlineStr">
        <is>
          <t>0</t>
        </is>
      </c>
      <c r="AX2311" t="inlineStr">
        <is>
          <t>Not Qualified</t>
        </is>
      </c>
      <c r="AY2311" s="4"/>
      <c r="AZ2311"/>
      <c r="BA2311"/>
      <c r="BB2311"/>
      <c r="BC2311"/>
      <c r="BD2311" s="4"/>
      <c r="BE2311"/>
      <c r="BF2311"/>
      <c r="BG2311" t="inlineStr">
        <is>
          <t>Reschedule</t>
        </is>
      </c>
      <c r="BH2311" t="inlineStr">
        <is>
          <t>Yee Hang</t>
        </is>
      </c>
      <c r="BI2311"/>
      <c r="BJ2311" s="4">
        <v>46144.755740740744</v>
      </c>
      <c r="BK2311" s="4">
        <v>46119.499085648145</v>
      </c>
      <c r="BL2311" t="inlineStr">
        <is>
          <t>0.0</t>
        </is>
      </c>
      <c r="BM2311" t="inlineStr">
        <is>
          <t>0.0</t>
        </is>
      </c>
      <c r="BN2311"/>
      <c r="BO2311" s="4"/>
      <c r="BP2311">
        <v>165687</v>
      </c>
      <c r="BQ2311"/>
      <c r="BR2311"/>
      <c r="BS2311"/>
      <c r="BT2311"/>
      <c r="BU2311"/>
      <c r="BV2311"/>
      <c r="BW2311"/>
      <c r="BX2311"/>
      <c r="BY2311"/>
      <c r="BZ2311" s="4"/>
      <c r="CA2311"/>
      <c r="CB2311"/>
      <c r="CC2311" s="4"/>
      <c r="CD2311" t="inlineStr">
        <is>
          <t>20</t>
        </is>
      </c>
      <c r="CE2311" t="inlineStr">
        <is>
          <t>0</t>
        </is>
      </c>
      <c r="CF2311" t="inlineStr">
        <is>
          <t>Q2-W01</t>
        </is>
      </c>
      <c r="CG2311"/>
      <c r="CH2311"/>
      <c r="CI2311"/>
      <c r="CJ2311" t="inlineStr">
        <is>
          <t>No Paid</t>
        </is>
      </c>
      <c r="CK2311" t="inlineStr">
        <is>
          <t>Not Eligible</t>
        </is>
      </c>
      <c r="CL2311"/>
      <c r="CM2311"/>
    </row>
    <row r="2312" ht="25.5" customHeight="1">
      <c r="A2312" t="inlineStr">
        <is>
          <t>190047</t>
        </is>
      </c>
      <c r="B2312" s="2"/>
      <c r="C2312"/>
      <c r="D2312" s="3">
        <v>46119.63322916667</v>
      </c>
      <c r="E2312" t="inlineStr">
        <is>
          <t>Q2-W01</t>
        </is>
      </c>
      <c r="F2312" t="inlineStr">
        <is>
          <t>Keegan</t>
        </is>
      </c>
      <c r="G2312" t="inlineStr">
        <is>
          <t>Customer</t>
        </is>
      </c>
      <c r="H2312" s="2" t="str">
        <f>=HYPERLINK("https://upbox.ajobthing.my/customer/190047", "https://upbox.ajobthing.my/customer/190047")</f>
        <v>https://upbox.ajobthing.my/customer/190047</v>
      </c>
      <c r="I2312" t="inlineStr">
        <is>
          <t>Reap Solution Sdn Bhd</t>
        </is>
      </c>
      <c r="J2312" t="inlineStr">
        <is>
          <t>Dolphin</t>
        </is>
      </c>
      <c r="K2312" t="inlineStr">
        <is>
          <t>Keegan</t>
        </is>
      </c>
      <c r="L2312" s="4"/>
      <c r="M2312" s="4">
        <v>46119.63375</v>
      </c>
      <c r="N2312"/>
      <c r="O2312">
        <v>10908</v>
      </c>
      <c r="P2312" s="4"/>
      <c r="Q2312" s="4">
        <v>45783.45659722222</v>
      </c>
      <c r="R2312"/>
      <c r="S2312">
        <v>3132</v>
      </c>
      <c r="T2312" s="4">
        <v>45783.45659722222</v>
      </c>
      <c r="U2312" s="4"/>
      <c r="V2312"/>
      <c r="W2312">
        <v>3132</v>
      </c>
      <c r="X2312" t="inlineStr">
        <is>
          <t>Edward Hoo</t>
        </is>
      </c>
      <c r="Y2312" t="inlineStr">
        <is>
          <t>Done Appointment</t>
        </is>
      </c>
      <c r="Z2312" t="inlineStr">
        <is>
          <t>Continuous Hiring</t>
        </is>
      </c>
      <c r="AA2312">
        <v>50</v>
      </c>
      <c r="AB2312" t="inlineStr">
        <is>
          <t>Appointment Made</t>
        </is>
      </c>
      <c r="AC2312" t="inlineStr">
        <is>
          <t>Large (101-300 employees)</t>
        </is>
      </c>
      <c r="AD2312" t="inlineStr">
        <is>
          <t xml:space="preserve">1. Sales </t>
        </is>
      </c>
      <c r="AE2312" t="inlineStr">
        <is>
          <t>C-Suite (CHR / COO / CEO)</t>
        </is>
      </c>
      <c r="AF2312">
        <v>10000</v>
      </c>
      <c r="AG2312" s="4">
        <v>46119.458333333336</v>
      </c>
      <c r="AH2312" s="4">
        <v>46119.5</v>
      </c>
      <c r="AI2312"/>
      <c r="AJ2312">
        <v>1</v>
      </c>
      <c r="AK2312" t="inlineStr">
        <is>
          <t>No, I don't need at all</t>
        </is>
      </c>
      <c r="AL2312">
        <v>0</v>
      </c>
      <c r="AM2312" t="inlineStr">
        <is>
          <t>No, I don't need at all</t>
        </is>
      </c>
      <c r="AN2312"/>
      <c r="AO2312" t="inlineStr">
        <is>
          <t>No, I don't need at all</t>
        </is>
      </c>
      <c r="AP2312" t="inlineStr">
        <is>
          <t>Every month (100%)</t>
        </is>
      </c>
      <c r="AQ2312"/>
      <c r="AR2312" t="inlineStr">
        <is>
          <t>Did not use any job portal</t>
        </is>
      </c>
      <c r="AS2312" t="inlineStr">
        <is>
          <t>- Headcount: 50
- Hiring Job Details: 1 Sales
- Hiring Urgency: Continuous Hiring
- Number of outlets: 1
- Have recruiter team: No, I don't need at all
- Number of recruiter in company: 0
- Have ATS system: No, I don't need at all
- Have career website: No, I don't need at all
- Current hiring budget: RM10,000.00
- Whole year budget: Not specified
- Whole year number of vacancies: Not specified
- Hiring frequency: Every month (100%)
- External job portal: Did not use any job portal</t>
        </is>
      </c>
      <c r="AT2312">
        <v>105</v>
      </c>
      <c r="AU2312" t="inlineStr">
        <is>
          <t>1.05</t>
        </is>
      </c>
      <c r="AV2312" t="inlineStr">
        <is>
          <t>75</t>
        </is>
      </c>
      <c r="AW2312" t="inlineStr">
        <is>
          <t>0.8</t>
        </is>
      </c>
      <c r="AX2312" t="inlineStr">
        <is>
          <t>Not Qualified</t>
        </is>
      </c>
      <c r="AY2312" s="4">
        <v>46119.6421412037</v>
      </c>
      <c r="AZ2312" t="inlineStr">
        <is>
          <t>Edward Hoo</t>
        </is>
      </c>
      <c r="BA2312"/>
      <c r="BB2312"/>
      <c r="BC2312" t="inlineStr">
        <is>
          <t>Job posting f/up</t>
        </is>
      </c>
      <c r="BD2312" s="4">
        <v>46133.59670138889</v>
      </c>
      <c r="BE2312" t="inlineStr">
        <is>
          <t>paid</t>
        </is>
      </c>
      <c r="BF2312"/>
      <c r="BG2312" t="inlineStr">
        <is>
          <t>Reschedule</t>
        </is>
      </c>
      <c r="BH2312" t="inlineStr">
        <is>
          <t>Edward Hoo</t>
        </is>
      </c>
      <c r="BI2312" t="inlineStr">
        <is>
          <t>Banking / Finance</t>
        </is>
      </c>
      <c r="BJ2312" s="4">
        <v>46144.75234953704</v>
      </c>
      <c r="BK2312" s="4">
        <v>45762.595347222225</v>
      </c>
      <c r="BL2312" t="inlineStr">
        <is>
          <t>3132.0</t>
        </is>
      </c>
      <c r="BM2312" t="inlineStr">
        <is>
          <t>0.0</t>
        </is>
      </c>
      <c r="BN2312" t="inlineStr">
        <is>
          <t>User Visit(Logged In)</t>
        </is>
      </c>
      <c r="BO2312" s="4">
        <v>46142.50074074074</v>
      </c>
      <c r="BP2312">
        <v>165697</v>
      </c>
      <c r="BQ2312">
        <v>79029</v>
      </c>
      <c r="BR2312" t="inlineStr">
        <is>
          <t>Online</t>
        </is>
      </c>
      <c r="BS2312"/>
      <c r="BT2312">
        <v>79029</v>
      </c>
      <c r="BU2312"/>
      <c r="BV2312">
        <v>2718235</v>
      </c>
      <c r="BW2312" t="inlineStr">
        <is>
          <t>Service / Technical : Job Outcome Enquiry</t>
        </is>
      </c>
      <c r="BX2312">
        <v>6</v>
      </c>
      <c r="BY2312">
        <v>1</v>
      </c>
      <c r="BZ2312" s="4">
        <v>46128.58545138889</v>
      </c>
      <c r="CA2312">
        <v>120</v>
      </c>
      <c r="CB2312">
        <v>120</v>
      </c>
      <c r="CC2312" s="4"/>
      <c r="CD2312" t="inlineStr">
        <is>
          <t>105</t>
        </is>
      </c>
      <c r="CE2312" t="inlineStr">
        <is>
          <t>1.2</t>
        </is>
      </c>
      <c r="CF2312" t="inlineStr">
        <is>
          <t>Q2-W01</t>
        </is>
      </c>
      <c r="CG2312"/>
      <c r="CH2312"/>
      <c r="CI2312" t="inlineStr">
        <is>
          <t>Q2-W01</t>
        </is>
      </c>
      <c r="CJ2312" t="inlineStr">
        <is>
          <t>Paid</t>
        </is>
      </c>
      <c r="CK2312" t="inlineStr">
        <is>
          <t>Eligible</t>
        </is>
      </c>
      <c r="CL2312"/>
      <c r="CM2312" t="inlineStr">
        <is>
          <t>Q2-W01</t>
        </is>
      </c>
    </row>
    <row r="2313" ht="25.5" customHeight="1">
      <c r="A2313" t="inlineStr">
        <is>
          <t>44748</t>
        </is>
      </c>
      <c r="B2313" s="2"/>
      <c r="C2313"/>
      <c r="D2313" s="3">
        <v>46119.6355787037</v>
      </c>
      <c r="E2313" t="inlineStr">
        <is>
          <t>Q2-W01</t>
        </is>
      </c>
      <c r="F2313" t="inlineStr">
        <is>
          <t>Luqman</t>
        </is>
      </c>
      <c r="G2313" t="inlineStr">
        <is>
          <t>Customer</t>
        </is>
      </c>
      <c r="H2313" s="2" t="str">
        <f>=HYPERLINK("https://upbox.ajobthing.my/customer/44748", "https://upbox.ajobthing.my/customer/44748")</f>
        <v>https://upbox.ajobthing.my/customer/44748</v>
      </c>
      <c r="I2313" t="inlineStr">
        <is>
          <t>AW Platinum Consultancy Sdn Bhd</t>
        </is>
      </c>
      <c r="J2313" t="inlineStr">
        <is>
          <t>Dolphin</t>
        </is>
      </c>
      <c r="K2313" t="inlineStr">
        <is>
          <t>Luqman</t>
        </is>
      </c>
      <c r="L2313" s="4"/>
      <c r="M2313" s="4">
        <v>46119.636412037034</v>
      </c>
      <c r="N2313"/>
      <c r="O2313">
        <v>3888</v>
      </c>
      <c r="P2313" s="4"/>
      <c r="Q2313" s="4">
        <v>45380.74732638889</v>
      </c>
      <c r="R2313"/>
      <c r="S2313">
        <v>2916</v>
      </c>
      <c r="T2313" s="4">
        <v>45380.00001157408</v>
      </c>
      <c r="U2313" s="4"/>
      <c r="V2313"/>
      <c r="W2313">
        <v>2916</v>
      </c>
      <c r="X2313"/>
      <c r="Y2313" t="inlineStr">
        <is>
          <t>Pending Appointment</t>
        </is>
      </c>
      <c r="Z2313" t="inlineStr">
        <is>
          <t>Hiring Later</t>
        </is>
      </c>
      <c r="AA2313">
        <v>3</v>
      </c>
      <c r="AB2313" t="inlineStr">
        <is>
          <t>No Appointment Made</t>
        </is>
      </c>
      <c r="AC2313"/>
      <c r="AD2313" t="inlineStr">
        <is>
          <t>1. Consultant 2. Business Development 3. IT Executive</t>
        </is>
      </c>
      <c r="AE2313"/>
      <c r="AF2313">
        <v>3600</v>
      </c>
      <c r="AG2313" s="4"/>
      <c r="AH2313" s="4"/>
      <c r="AI2313">
        <v>3600</v>
      </c>
      <c r="AJ2313"/>
      <c r="AK2313" t="inlineStr">
        <is>
          <t>No, but I want in future</t>
        </is>
      </c>
      <c r="AL2313">
        <v>2</v>
      </c>
      <c r="AM2313" t="inlineStr">
        <is>
          <t>No, I don't need at all</t>
        </is>
      </c>
      <c r="AN2313"/>
      <c r="AO2313" t="inlineStr">
        <is>
          <t>No, I don't need at all</t>
        </is>
      </c>
      <c r="AP2313" t="inlineStr">
        <is>
          <t>Once a year (25%)</t>
        </is>
      </c>
      <c r="AQ2313">
        <v>3</v>
      </c>
      <c r="AR2313" t="inlineStr">
        <is>
          <t>Jobstreet</t>
        </is>
      </c>
      <c r="AS2313" t="inlineStr">
        <is>
          <t>- Headcount: 3
- Hiring Job Details: 1. Consultant 2. Business Development 3. IT Executive
- Hiring Urgency: Hiring Later
- Number of outlets: None
- Have recruiter team: No, but want in future
- Number of recruiter in company: 2
- Have ATS system: No, don't need at all
- Have career website: No, don't need at all
- Current hiring budget: RM3,600
- Whole year budget: RM3,600.00
- Whole year number of vacancies: 3
- Hiring frequency: Once a year (25%)
- External job portal: Jobstreet</t>
        </is>
      </c>
      <c r="AT2313">
        <v>105</v>
      </c>
      <c r="AU2313" t="inlineStr">
        <is>
          <t>1.05</t>
        </is>
      </c>
      <c r="AV2313" t="inlineStr">
        <is>
          <t>15</t>
        </is>
      </c>
      <c r="AW2313" t="inlineStr">
        <is>
          <t>0</t>
        </is>
      </c>
      <c r="AX2313" t="inlineStr">
        <is>
          <t>Not Qualified</t>
        </is>
      </c>
      <c r="AY2313" s="4"/>
      <c r="AZ2313"/>
      <c r="BA2313"/>
      <c r="BB2313"/>
      <c r="BC2313" t="inlineStr">
        <is>
          <t>Business will utilize free portal</t>
        </is>
      </c>
      <c r="BD2313" s="4">
        <v>46120.62905092593</v>
      </c>
      <c r="BE2313" t="inlineStr">
        <is>
          <t>paid</t>
        </is>
      </c>
      <c r="BF2313"/>
      <c r="BG2313" t="inlineStr">
        <is>
          <t>Reschedule</t>
        </is>
      </c>
      <c r="BH2313" t="inlineStr">
        <is>
          <t>Edward Hoo</t>
        </is>
      </c>
      <c r="BI2313" t="inlineStr">
        <is>
          <t>Banking / Finance</t>
        </is>
      </c>
      <c r="BJ2313" s="4">
        <v>46144.7559837963</v>
      </c>
      <c r="BK2313" s="4">
        <v>43089.574583333335</v>
      </c>
      <c r="BL2313" t="inlineStr">
        <is>
          <t>0.0</t>
        </is>
      </c>
      <c r="BM2313" t="inlineStr">
        <is>
          <t>0.0</t>
        </is>
      </c>
      <c r="BN2313" t="inlineStr">
        <is>
          <t>User Visit(Logged In)</t>
        </is>
      </c>
      <c r="BO2313" s="4">
        <v>46119.630474537036</v>
      </c>
      <c r="BP2313">
        <v>165698</v>
      </c>
      <c r="BQ2313">
        <v>87732</v>
      </c>
      <c r="BR2313" t="inlineStr">
        <is>
          <t>Proforma</t>
        </is>
      </c>
      <c r="BS2313" t="inlineStr">
        <is>
          <t>Yearly Standard Plan</t>
        </is>
      </c>
      <c r="BT2313">
        <v>67338</v>
      </c>
      <c r="BU2313"/>
      <c r="BV2313">
        <v>2692848</v>
      </c>
      <c r="BW2313" t="inlineStr">
        <is>
          <t>Follow Up : Lost - Free Portal</t>
        </is>
      </c>
      <c r="BX2313"/>
      <c r="BY2313"/>
      <c r="BZ2313" s="4"/>
      <c r="CA2313"/>
      <c r="CB2313"/>
      <c r="CC2313" s="4"/>
      <c r="CD2313" t="inlineStr">
        <is>
          <t>20</t>
        </is>
      </c>
      <c r="CE2313" t="inlineStr">
        <is>
          <t>0</t>
        </is>
      </c>
      <c r="CF2313" t="inlineStr">
        <is>
          <t>Q2-W01</t>
        </is>
      </c>
      <c r="CG2313"/>
      <c r="CH2313"/>
      <c r="CI2313"/>
      <c r="CJ2313" t="inlineStr">
        <is>
          <t>Paid</t>
        </is>
      </c>
      <c r="CK2313" t="inlineStr">
        <is>
          <t>Not Eligible</t>
        </is>
      </c>
      <c r="CL2313"/>
      <c r="CM2313"/>
    </row>
    <row r="2314" ht="25.5" customHeight="1">
      <c r="A2314" t="inlineStr">
        <is>
          <t>131533</t>
        </is>
      </c>
      <c r="B2314" s="2"/>
      <c r="C2314"/>
      <c r="D2314" s="3">
        <v>46119.638715277775</v>
      </c>
      <c r="E2314" t="inlineStr">
        <is>
          <t>Q2-W01</t>
        </is>
      </c>
      <c r="F2314" t="inlineStr">
        <is>
          <t>Jia Hui</t>
        </is>
      </c>
      <c r="G2314" t="inlineStr">
        <is>
          <t>Customer</t>
        </is>
      </c>
      <c r="H2314" s="2" t="str">
        <f>=HYPERLINK("https://upbox.ajobthing.my/customer/131533", "https://upbox.ajobthing.my/customer/131533")</f>
        <v>https://upbox.ajobthing.my/customer/131533</v>
      </c>
      <c r="I2314" t="inlineStr">
        <is>
          <t>Ultra Cleaning Sdn Bhd</t>
        </is>
      </c>
      <c r="J2314" t="inlineStr">
        <is>
          <t>Dolphin</t>
        </is>
      </c>
      <c r="K2314" t="inlineStr">
        <is>
          <t>Jia Hui</t>
        </is>
      </c>
      <c r="L2314" s="4"/>
      <c r="M2314" s="4">
        <v>46119.638865740744</v>
      </c>
      <c r="N2314"/>
      <c r="O2314">
        <v>6048</v>
      </c>
      <c r="P2314" s="4"/>
      <c r="Q2314" s="4">
        <v>44712.95646990741</v>
      </c>
      <c r="R2314"/>
      <c r="S2314">
        <v>636</v>
      </c>
      <c r="T2314" s="4">
        <v>44712.95646990741</v>
      </c>
      <c r="U2314" s="4"/>
      <c r="V2314"/>
      <c r="W2314">
        <v>636</v>
      </c>
      <c r="X2314"/>
      <c r="Y2314" t="inlineStr">
        <is>
          <t>Pending Appointment</t>
        </is>
      </c>
      <c r="Z2314" t="inlineStr">
        <is>
          <t>Hiring Later</t>
        </is>
      </c>
      <c r="AA2314">
        <v>3</v>
      </c>
      <c r="AB2314" t="inlineStr">
        <is>
          <t>No Appointment Made</t>
        </is>
      </c>
      <c r="AC2314"/>
      <c r="AD2314" t="inlineStr">
        <is>
          <t>3 cleaner</t>
        </is>
      </c>
      <c r="AE2314"/>
      <c r="AF2314">
        <v>1000</v>
      </c>
      <c r="AG2314" s="4"/>
      <c r="AH2314" s="4"/>
      <c r="AI2314"/>
      <c r="AJ2314"/>
      <c r="AK2314" t="inlineStr">
        <is>
          <t>Yes, I have</t>
        </is>
      </c>
      <c r="AL2314"/>
      <c r="AM2314"/>
      <c r="AN2314"/>
      <c r="AO2314"/>
      <c r="AP2314" t="inlineStr">
        <is>
          <t>Once a year (25%)</t>
        </is>
      </c>
      <c r="AQ2314"/>
      <c r="AR2314"/>
      <c r="AS2314" t="inlineStr">
        <is>
          <t>- Headcount: 3
- Hiring Job Details: 3 cleaner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
- Hiring Urgency: Hiring Later</t>
        </is>
      </c>
      <c r="AT2314">
        <v>95</v>
      </c>
      <c r="AU2314" t="inlineStr">
        <is>
          <t>0.95</t>
        </is>
      </c>
      <c r="AV2314" t="inlineStr">
        <is>
          <t>15</t>
        </is>
      </c>
      <c r="AW2314" t="inlineStr">
        <is>
          <t>0</t>
        </is>
      </c>
      <c r="AX2314" t="inlineStr">
        <is>
          <t>Not Qualified</t>
        </is>
      </c>
      <c r="AY2314" s="4"/>
      <c r="AZ2314"/>
      <c r="BA2314"/>
      <c r="BB2314"/>
      <c r="BC2314" t="inlineStr">
        <is>
          <t>budget concern, on hold, will let me know if needed</t>
        </is>
      </c>
      <c r="BD2314" s="4">
        <v>46121.65974537037</v>
      </c>
      <c r="BE2314" t="inlineStr">
        <is>
          <t>paid</t>
        </is>
      </c>
      <c r="BF2314"/>
      <c r="BG2314" t="inlineStr">
        <is>
          <t>Reschedule</t>
        </is>
      </c>
      <c r="BH2314" t="inlineStr">
        <is>
          <t>Reagen</t>
        </is>
      </c>
      <c r="BI2314" t="inlineStr">
        <is>
          <t>Other industries</t>
        </is>
      </c>
      <c r="BJ2314" s="4">
        <v>46144.75047453704</v>
      </c>
      <c r="BK2314" s="4">
        <v>44138.7355787037</v>
      </c>
      <c r="BL2314" t="inlineStr">
        <is>
          <t>0.0</t>
        </is>
      </c>
      <c r="BM2314" t="inlineStr">
        <is>
          <t>1200.0</t>
        </is>
      </c>
      <c r="BN2314" t="inlineStr">
        <is>
          <t>View Jobmanager Page</t>
        </is>
      </c>
      <c r="BO2314" s="4">
        <v>45972.560636574075</v>
      </c>
      <c r="BP2314">
        <v>165703</v>
      </c>
      <c r="BQ2314">
        <v>45734</v>
      </c>
      <c r="BR2314" t="inlineStr">
        <is>
          <t>Online</t>
        </is>
      </c>
      <c r="BS2314"/>
      <c r="BT2314">
        <v>45734</v>
      </c>
      <c r="BU2314"/>
      <c r="BV2314">
        <v>2696471</v>
      </c>
      <c r="BW2314" t="inlineStr">
        <is>
          <t>Follow Up : Budget Concern</t>
        </is>
      </c>
      <c r="BX2314"/>
      <c r="BY2314"/>
      <c r="BZ2314" s="4"/>
      <c r="CA2314"/>
      <c r="CB2314"/>
      <c r="CC2314" s="4"/>
      <c r="CD2314" t="inlineStr">
        <is>
          <t>20</t>
        </is>
      </c>
      <c r="CE2314" t="inlineStr">
        <is>
          <t>0</t>
        </is>
      </c>
      <c r="CF2314" t="inlineStr">
        <is>
          <t>Q2-W01</t>
        </is>
      </c>
      <c r="CG2314"/>
      <c r="CH2314"/>
      <c r="CI2314"/>
      <c r="CJ2314" t="inlineStr">
        <is>
          <t>Paid</t>
        </is>
      </c>
      <c r="CK2314" t="inlineStr">
        <is>
          <t>Not Eligible</t>
        </is>
      </c>
      <c r="CL2314"/>
      <c r="CM2314"/>
    </row>
    <row r="2315" ht="25.5" customHeight="1">
      <c r="A2315" t="inlineStr">
        <is>
          <t>202942</t>
        </is>
      </c>
      <c r="B2315" s="2"/>
      <c r="C2315"/>
      <c r="D2315" s="3">
        <v>46119.64083333333</v>
      </c>
      <c r="E2315" t="inlineStr">
        <is>
          <t>Q2-W01</t>
        </is>
      </c>
      <c r="F2315" t="inlineStr">
        <is>
          <t>Clover</t>
        </is>
      </c>
      <c r="G2315" t="inlineStr">
        <is>
          <t>Customer</t>
        </is>
      </c>
      <c r="H2315" s="2" t="str">
        <f>=HYPERLINK("https://upbox.ajobthing.my/customer/202942", "https://upbox.ajobthing.my/customer/202942")</f>
        <v>https://upbox.ajobthing.my/customer/202942</v>
      </c>
      <c r="I2315" t="inlineStr">
        <is>
          <t>ASTER SDK TRADING</t>
        </is>
      </c>
      <c r="J2315" t="inlineStr">
        <is>
          <t>Dolphin</t>
        </is>
      </c>
      <c r="K2315" t="inlineStr">
        <is>
          <t>Clover</t>
        </is>
      </c>
      <c r="L2315" s="4"/>
      <c r="M2315" s="4">
        <v>46119.63758101852</v>
      </c>
      <c r="N2315"/>
      <c r="O2315">
        <v>3888</v>
      </c>
      <c r="P2315" s="4"/>
      <c r="Q2315" s="4"/>
      <c r="R2315"/>
      <c r="S2315"/>
      <c r="T2315" s="4"/>
      <c r="U2315" s="4"/>
      <c r="V2315"/>
      <c r="W2315"/>
      <c r="X2315"/>
      <c r="Y2315" t="inlineStr">
        <is>
          <t>Pending Appointment</t>
        </is>
      </c>
      <c r="Z2315" t="inlineStr">
        <is>
          <t>Hiring Now</t>
        </is>
      </c>
      <c r="AA2315">
        <v>3</v>
      </c>
      <c r="AB2315" t="inlineStr">
        <is>
          <t>No Appointment Made</t>
        </is>
      </c>
      <c r="AC2315"/>
      <c r="AD2315" t="inlineStr">
        <is>
          <t>hire lorry driver x3, all races, GDL license,  wholesale, KL, suggest stand</t>
        </is>
      </c>
      <c r="AE2315"/>
      <c r="AF2315">
        <v>3000</v>
      </c>
      <c r="AG2315" s="4"/>
      <c r="AH2315" s="4"/>
      <c r="AI2315">
        <v>3000</v>
      </c>
      <c r="AJ2315">
        <v>1</v>
      </c>
      <c r="AK2315" t="inlineStr">
        <is>
          <t>No, but I want in future</t>
        </is>
      </c>
      <c r="AL2315">
        <v>1</v>
      </c>
      <c r="AM2315" t="inlineStr">
        <is>
          <t>No, but I want in future</t>
        </is>
      </c>
      <c r="AN2315"/>
      <c r="AO2315" t="inlineStr">
        <is>
          <t>No, but I want in future</t>
        </is>
      </c>
      <c r="AP2315" t="inlineStr">
        <is>
          <t>Twice a year (50%)</t>
        </is>
      </c>
      <c r="AQ2315">
        <v>3</v>
      </c>
      <c r="AR2315" t="inlineStr">
        <is>
          <t>Did not use any job portal</t>
        </is>
      </c>
      <c r="AS2315" t="inlineStr">
        <is>
          <t>- Headcount: 3
- Hiring Job Details: hire lorry driver x3, all races, GDL license, wholesale, KL,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t>
        </is>
      </c>
      <c r="AT2315">
        <v>110</v>
      </c>
      <c r="AU2315" t="inlineStr">
        <is>
          <t>1.10</t>
        </is>
      </c>
      <c r="AV2315" t="inlineStr">
        <is>
          <t>15</t>
        </is>
      </c>
      <c r="AW2315" t="inlineStr">
        <is>
          <t>0</t>
        </is>
      </c>
      <c r="AX2315" t="inlineStr">
        <is>
          <t>Not Qualified</t>
        </is>
      </c>
      <c r="AY2315" s="4"/>
      <c r="AZ2315"/>
      <c r="BA2315"/>
      <c r="BB2315"/>
      <c r="BC2315" t="inlineStr">
        <is>
          <t>job filled</t>
        </is>
      </c>
      <c r="BD2315" s="4">
        <v>46126.73504629629</v>
      </c>
      <c r="BE2315"/>
      <c r="BF2315"/>
      <c r="BG2315" t="inlineStr">
        <is>
          <t>Reschedule</t>
        </is>
      </c>
      <c r="BH2315" t="inlineStr">
        <is>
          <t>Reagen</t>
        </is>
      </c>
      <c r="BI2315"/>
      <c r="BJ2315" s="4">
        <v>46144.754166666666</v>
      </c>
      <c r="BK2315" s="4">
        <v>46119.625810185185</v>
      </c>
      <c r="BL2315" t="inlineStr">
        <is>
          <t>0.0</t>
        </is>
      </c>
      <c r="BM2315" t="inlineStr">
        <is>
          <t>0.0</t>
        </is>
      </c>
      <c r="BN2315"/>
      <c r="BO2315" s="4"/>
      <c r="BP2315">
        <v>165702</v>
      </c>
      <c r="BQ2315"/>
      <c r="BR2315"/>
      <c r="BS2315"/>
      <c r="BT2315"/>
      <c r="BU2315"/>
      <c r="BV2315">
        <v>2704606</v>
      </c>
      <c r="BW2315" t="inlineStr">
        <is>
          <t>Follow Up : Lost - Free Portal</t>
        </is>
      </c>
      <c r="BX2315"/>
      <c r="BY2315"/>
      <c r="BZ2315" s="4"/>
      <c r="CA2315"/>
      <c r="CB2315"/>
      <c r="CC2315" s="4"/>
      <c r="CD2315" t="inlineStr">
        <is>
          <t>20</t>
        </is>
      </c>
      <c r="CE2315" t="inlineStr">
        <is>
          <t>0</t>
        </is>
      </c>
      <c r="CF2315" t="inlineStr">
        <is>
          <t>Q2-W01</t>
        </is>
      </c>
      <c r="CG2315"/>
      <c r="CH2315"/>
      <c r="CI2315"/>
      <c r="CJ2315" t="inlineStr">
        <is>
          <t>No Paid</t>
        </is>
      </c>
      <c r="CK2315" t="inlineStr">
        <is>
          <t>Not Eligible</t>
        </is>
      </c>
      <c r="CL2315"/>
      <c r="CM2315"/>
    </row>
    <row r="2316" ht="25.5" customHeight="1">
      <c r="A2316" t="inlineStr">
        <is>
          <t>170666</t>
        </is>
      </c>
      <c r="B2316" s="2"/>
      <c r="C2316"/>
      <c r="D2316" s="3">
        <v>46119.64488425926</v>
      </c>
      <c r="E2316" t="inlineStr">
        <is>
          <t>Q2-W01</t>
        </is>
      </c>
      <c r="F2316" t="inlineStr">
        <is>
          <t>Eugene</t>
        </is>
      </c>
      <c r="G2316" t="inlineStr">
        <is>
          <t>Customer</t>
        </is>
      </c>
      <c r="H2316" s="2" t="str">
        <f>=HYPERLINK("https://upbox.ajobthing.my/customer/170666", "https://upbox.ajobthing.my/customer/170666")</f>
        <v>https://upbox.ajobthing.my/customer/170666</v>
      </c>
      <c r="I2316" t="inlineStr">
        <is>
          <t>RS Corporate Services Sdn Bhd</t>
        </is>
      </c>
      <c r="J2316" t="inlineStr">
        <is>
          <t>Dolphin</t>
        </is>
      </c>
      <c r="K2316" t="inlineStr">
        <is>
          <t>Eugene</t>
        </is>
      </c>
      <c r="L2316" s="4"/>
      <c r="M2316" s="4">
        <v>46119.6453587963</v>
      </c>
      <c r="N2316"/>
      <c r="O2316">
        <v>2592</v>
      </c>
      <c r="P2316" s="4"/>
      <c r="Q2316" s="4">
        <v>46120.75664351852</v>
      </c>
      <c r="R2316"/>
      <c r="S2316">
        <v>2592</v>
      </c>
      <c r="T2316" s="4">
        <v>46120.75664351852</v>
      </c>
      <c r="U2316" s="4"/>
      <c r="V2316"/>
      <c r="W2316">
        <v>2592</v>
      </c>
      <c r="X2316"/>
      <c r="Y2316" t="inlineStr">
        <is>
          <t>Pending Appointment</t>
        </is>
      </c>
      <c r="Z2316" t="inlineStr">
        <is>
          <t>Hiring Now</t>
        </is>
      </c>
      <c r="AA2316">
        <v>2</v>
      </c>
      <c r="AB2316" t="inlineStr">
        <is>
          <t>No Appointment Made</t>
        </is>
      </c>
      <c r="AC2316"/>
      <c r="AD2316" t="inlineStr">
        <is>
          <t>2 positions, basde in kl</t>
        </is>
      </c>
      <c r="AE2316"/>
      <c r="AF2316">
        <v>3000</v>
      </c>
      <c r="AG2316" s="4"/>
      <c r="AH2316" s="4"/>
      <c r="AI2316">
        <v>3000</v>
      </c>
      <c r="AJ2316">
        <v>1</v>
      </c>
      <c r="AK2316" t="inlineStr">
        <is>
          <t>No, I don't need at all</t>
        </is>
      </c>
      <c r="AL2316">
        <v>1</v>
      </c>
      <c r="AM2316" t="inlineStr">
        <is>
          <t>No, I don't need at all</t>
        </is>
      </c>
      <c r="AN2316"/>
      <c r="AO2316" t="inlineStr">
        <is>
          <t>No, I don't need at all</t>
        </is>
      </c>
      <c r="AP2316" t="inlineStr">
        <is>
          <t>Twice a year (50%)</t>
        </is>
      </c>
      <c r="AQ2316">
        <v>4</v>
      </c>
      <c r="AR2316" t="inlineStr">
        <is>
          <t>Free Job Portal</t>
        </is>
      </c>
      <c r="AS2316" t="inlineStr">
        <is>
          <t>- Headcount: 2
- Hiring Job Details: 2 positions,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is>
      </c>
      <c r="AT2316">
        <v>85</v>
      </c>
      <c r="AU2316" t="inlineStr">
        <is>
          <t>0.85</t>
        </is>
      </c>
      <c r="AV2316" t="inlineStr">
        <is>
          <t>15</t>
        </is>
      </c>
      <c r="AW2316" t="inlineStr">
        <is>
          <t>0</t>
        </is>
      </c>
      <c r="AX2316" t="inlineStr">
        <is>
          <t>Not Qualified</t>
        </is>
      </c>
      <c r="AY2316" s="4"/>
      <c r="AZ2316"/>
      <c r="BA2316"/>
      <c r="BB2316"/>
      <c r="BC2316" t="inlineStr">
        <is>
          <t>complaint ticket</t>
        </is>
      </c>
      <c r="BD2316" s="4">
        <v>46140.401030092595</v>
      </c>
      <c r="BE2316" t="inlineStr">
        <is>
          <t>paid</t>
        </is>
      </c>
      <c r="BF2316" t="inlineStr">
        <is>
          <t>Q2-W01</t>
        </is>
      </c>
      <c r="BG2316" t="inlineStr">
        <is>
          <t>Reschedule</t>
        </is>
      </c>
      <c r="BH2316" t="inlineStr">
        <is>
          <t>Edward Hoo</t>
        </is>
      </c>
      <c r="BI2316" t="inlineStr">
        <is>
          <t>Accounting / Tax Services</t>
        </is>
      </c>
      <c r="BJ2316" s="4">
        <v>46144.75142361111</v>
      </c>
      <c r="BK2316" s="4">
        <v>45170.63606481482</v>
      </c>
      <c r="BL2316" t="inlineStr">
        <is>
          <t>2592.0</t>
        </is>
      </c>
      <c r="BM2316" t="inlineStr">
        <is>
          <t>0.0</t>
        </is>
      </c>
      <c r="BN2316" t="inlineStr">
        <is>
          <t>User Login</t>
        </is>
      </c>
      <c r="BO2316" s="4">
        <v>46136.60423611111</v>
      </c>
      <c r="BP2316">
        <v>165706</v>
      </c>
      <c r="BQ2316">
        <v>7596</v>
      </c>
      <c r="BR2316" t="inlineStr">
        <is>
          <t>Manual (Paid)</t>
        </is>
      </c>
      <c r="BS2316" t="inlineStr">
        <is>
          <t>AI Ala Carte
- A la carte for 2 AI Job Ad
- 2 AI Job Ad will be published on Maukerja, Ricebowl and our partner platforms
- 2 AI Job Ad will be published for 45 days
- 2 Booster Plus (10 times bump up)
- 2 Premium Job Ad
- 20 Free Candidates Profiles Unlock
- 6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is>
      </c>
      <c r="BT2316">
        <v>7596</v>
      </c>
      <c r="BU2316"/>
      <c r="BV2316">
        <v>2731704</v>
      </c>
      <c r="BW2316" t="inlineStr">
        <is>
          <t>Service / Technical : Job Complaint - Report To Marketing</t>
        </is>
      </c>
      <c r="BX2316">
        <v>2</v>
      </c>
      <c r="BY2316">
        <v>0</v>
      </c>
      <c r="BZ2316" s="4">
        <v>46122.6977662037</v>
      </c>
      <c r="CA2316">
        <v>33</v>
      </c>
      <c r="CB2316">
        <v>33</v>
      </c>
      <c r="CC2316" s="4"/>
      <c r="CD2316" t="inlineStr">
        <is>
          <t>20</t>
        </is>
      </c>
      <c r="CE2316" t="inlineStr">
        <is>
          <t>0</t>
        </is>
      </c>
      <c r="CF2316" t="inlineStr">
        <is>
          <t>Q2-W01</t>
        </is>
      </c>
      <c r="CG2316" t="inlineStr">
        <is>
          <t>Q2-W01</t>
        </is>
      </c>
      <c r="CH2316" t="inlineStr">
        <is>
          <t>Q2-W01</t>
        </is>
      </c>
      <c r="CI2316"/>
      <c r="CJ2316" t="inlineStr">
        <is>
          <t>Paid</t>
        </is>
      </c>
      <c r="CK2316" t="inlineStr">
        <is>
          <t>Not Eligible</t>
        </is>
      </c>
      <c r="CL2316"/>
      <c r="CM2316"/>
    </row>
    <row r="2317" ht="25.5" customHeight="1">
      <c r="A2317" t="inlineStr">
        <is>
          <t>183598</t>
        </is>
      </c>
      <c r="B2317" s="2"/>
      <c r="C2317"/>
      <c r="D2317" s="3">
        <v>46119.64569444444</v>
      </c>
      <c r="E2317" t="inlineStr">
        <is>
          <t>Q2-W01</t>
        </is>
      </c>
      <c r="F2317" t="inlineStr">
        <is>
          <t>Ken Yi</t>
        </is>
      </c>
      <c r="G2317" t="inlineStr">
        <is>
          <t>Customer</t>
        </is>
      </c>
      <c r="H2317" s="2" t="str">
        <f>=HYPERLINK("https://upbox.ajobthing.my/customer/183598", "https://upbox.ajobthing.my/customer/183598")</f>
        <v>https://upbox.ajobthing.my/customer/183598</v>
      </c>
      <c r="I2317" t="inlineStr">
        <is>
          <t>Texas Print Sdn Bhd</t>
        </is>
      </c>
      <c r="J2317" t="inlineStr">
        <is>
          <t>Dolphin</t>
        </is>
      </c>
      <c r="K2317" t="inlineStr">
        <is>
          <t>Kenyi</t>
        </is>
      </c>
      <c r="L2317" s="4"/>
      <c r="M2317" s="4">
        <v>46119.64728009259</v>
      </c>
      <c r="N2317"/>
      <c r="O2317">
        <v>10800</v>
      </c>
      <c r="P2317" s="4"/>
      <c r="Q2317" s="4">
        <v>45912.73563657407</v>
      </c>
      <c r="R2317"/>
      <c r="S2317">
        <v>2592</v>
      </c>
      <c r="T2317" s="4">
        <v>45912.73563657407</v>
      </c>
      <c r="U2317" s="4"/>
      <c r="V2317"/>
      <c r="W2317">
        <v>2592</v>
      </c>
      <c r="X2317"/>
      <c r="Y2317" t="inlineStr">
        <is>
          <t>Pending Appointment</t>
        </is>
      </c>
      <c r="Z2317" t="inlineStr">
        <is>
          <t>Hiring Now</t>
        </is>
      </c>
      <c r="AA2317">
        <v>2</v>
      </c>
      <c r="AB2317" t="inlineStr">
        <is>
          <t>No Appointment Made</t>
        </is>
      </c>
      <c r="AC2317"/>
      <c r="AD2317" t="inlineStr">
        <is>
          <t>Sales 2, renewal new package shared</t>
        </is>
      </c>
      <c r="AE2317"/>
      <c r="AF2317">
        <v>0</v>
      </c>
      <c r="AG2317" s="4"/>
      <c r="AH2317" s="4"/>
      <c r="AI2317">
        <v>0</v>
      </c>
      <c r="AJ2317">
        <v>1</v>
      </c>
      <c r="AK2317" t="inlineStr">
        <is>
          <t>Yes, I have</t>
        </is>
      </c>
      <c r="AL2317">
        <v>1</v>
      </c>
      <c r="AM2317" t="inlineStr">
        <is>
          <t>No, I don't need at all</t>
        </is>
      </c>
      <c r="AN2317"/>
      <c r="AO2317" t="inlineStr">
        <is>
          <t>No, I don't need at all</t>
        </is>
      </c>
      <c r="AP2317" t="inlineStr">
        <is>
          <t>Every month (100%)</t>
        </is>
      </c>
      <c r="AQ2317">
        <v>5</v>
      </c>
      <c r="AR2317" t="inlineStr">
        <is>
          <t>Jobstreet, Fast Job, Free Job Portal</t>
        </is>
      </c>
      <c r="AS2317" t="inlineStr">
        <is>
          <t>- Headcount: 2
- Hiring Job Details: Sales 2, renewal new package shared
- Hiring Urgency: Hiring Now
- Number of outlets: 1
- Have recruiter team: Yes
- Number of recruiter in company: 1
- Have ATS system: No, I don't need at all
- Have career website: No, I don't need at all
- Current hiring budget: RM0
- Whole year budget: RM0.00
- Whole year number of vacancies: 5
- Hiring frequency: Every month (100%)
- External job portal: Jobstreet,Fast Job,Free Job Portal</t>
        </is>
      </c>
      <c r="AT2317">
        <v>115</v>
      </c>
      <c r="AU2317" t="inlineStr">
        <is>
          <t>1.15</t>
        </is>
      </c>
      <c r="AV2317" t="inlineStr">
        <is>
          <t>15</t>
        </is>
      </c>
      <c r="AW2317" t="inlineStr">
        <is>
          <t>0</t>
        </is>
      </c>
      <c r="AX2317" t="inlineStr">
        <is>
          <t>Not Qualified</t>
        </is>
      </c>
      <c r="AY2317" s="4"/>
      <c r="AZ2317"/>
      <c r="BA2317"/>
      <c r="BB2317"/>
      <c r="BC2317" t="inlineStr">
        <is>
          <t>Not able to hire, help to amend the posting</t>
        </is>
      </c>
      <c r="BD2317" s="4">
        <v>46128.66454861111</v>
      </c>
      <c r="BE2317" t="inlineStr">
        <is>
          <t>paid</t>
        </is>
      </c>
      <c r="BF2317"/>
      <c r="BG2317" t="inlineStr">
        <is>
          <t>Reschedule</t>
        </is>
      </c>
      <c r="BH2317" t="inlineStr">
        <is>
          <t>Fauziah Maharan</t>
        </is>
      </c>
      <c r="BI2317" t="inlineStr">
        <is>
          <t>Printing / Publishing</t>
        </is>
      </c>
      <c r="BJ2317" s="4">
        <v>46144.751967592594</v>
      </c>
      <c r="BK2317" s="4">
        <v>45574.48585648148</v>
      </c>
      <c r="BL2317" t="inlineStr">
        <is>
          <t>2592.0</t>
        </is>
      </c>
      <c r="BM2317" t="inlineStr">
        <is>
          <t>600.0</t>
        </is>
      </c>
      <c r="BN2317" t="inlineStr">
        <is>
          <t>View Company Page</t>
        </is>
      </c>
      <c r="BO2317" s="4">
        <v>46138.88619212963</v>
      </c>
      <c r="BP2317">
        <v>165710</v>
      </c>
      <c r="BQ2317">
        <v>6417</v>
      </c>
      <c r="BR2317" t="inlineStr">
        <is>
          <t>Manual (Paid)</t>
        </is>
      </c>
      <c r="BS2317" t="inlineStr">
        <is>
          <t>Ala Carte Triple with Booster Plus
- Ala Carte Triple with Booster Plus
- 3 Job Ads will be published on Maukerja, Ricebowl, and our partner platforms
- 3 Booster Plus (8 times bump up)
- 3 Job Ads will be published for 45 days
- Package valid for 6 months</t>
        </is>
      </c>
      <c r="BT2317">
        <v>6417</v>
      </c>
      <c r="BU2317"/>
      <c r="BV2317">
        <v>2709986</v>
      </c>
      <c r="BW2317" t="inlineStr">
        <is>
          <t>Service / Technical : Job Outcome Enquiry</t>
        </is>
      </c>
      <c r="BX2317"/>
      <c r="BY2317"/>
      <c r="BZ2317" s="4"/>
      <c r="CA2317"/>
      <c r="CB2317"/>
      <c r="CC2317" s="4"/>
      <c r="CD2317" t="inlineStr">
        <is>
          <t>20</t>
        </is>
      </c>
      <c r="CE2317" t="inlineStr">
        <is>
          <t>0</t>
        </is>
      </c>
      <c r="CF2317" t="inlineStr">
        <is>
          <t>Q2-W01</t>
        </is>
      </c>
      <c r="CG2317"/>
      <c r="CH2317"/>
      <c r="CI2317"/>
      <c r="CJ2317" t="inlineStr">
        <is>
          <t>Paid</t>
        </is>
      </c>
      <c r="CK2317" t="inlineStr">
        <is>
          <t>Not Eligible</t>
        </is>
      </c>
      <c r="CL2317"/>
      <c r="CM2317"/>
    </row>
    <row r="2318" ht="25.5" customHeight="1">
      <c r="A2318" t="inlineStr">
        <is>
          <t>4252003</t>
        </is>
      </c>
      <c r="B2318" s="2"/>
      <c r="C2318"/>
      <c r="D2318" s="3">
        <v>46119.64900462963</v>
      </c>
      <c r="E2318" t="inlineStr">
        <is>
          <t>Q2-W01</t>
        </is>
      </c>
      <c r="F2318" t="inlineStr">
        <is>
          <t>Angel  Low</t>
        </is>
      </c>
      <c r="G2318" t="inlineStr">
        <is>
          <t>Lead</t>
        </is>
      </c>
      <c r="H2318" s="2" t="str">
        <f>=HYPERLINK("https://upbox.ajobthing.my/leads/4252003", "https://upbox.ajobthing.my/leads/4252003")</f>
        <v>https://upbox.ajobthing.my/leads/4252003</v>
      </c>
      <c r="I2318" t="inlineStr">
        <is>
          <t>huan sin cycle motor sdn bhd</t>
        </is>
      </c>
      <c r="J2318" t="inlineStr">
        <is>
          <t>Dolphin</t>
        </is>
      </c>
      <c r="K2318" t="inlineStr">
        <is>
          <t>Angel Low</t>
        </is>
      </c>
      <c r="L2318" s="4"/>
      <c r="M2318" s="4">
        <v>46119.649513888886</v>
      </c>
      <c r="N2318"/>
      <c r="O2318">
        <v>3672</v>
      </c>
      <c r="P2318" s="4"/>
      <c r="Q2318" s="4"/>
      <c r="R2318"/>
      <c r="S2318"/>
      <c r="T2318" s="4"/>
      <c r="U2318" s="4"/>
      <c r="V2318"/>
      <c r="W2318"/>
      <c r="X2318"/>
      <c r="Y2318" t="inlineStr">
        <is>
          <t>Pending Appointment</t>
        </is>
      </c>
      <c r="Z2318"/>
      <c r="AA2318">
        <v>3</v>
      </c>
      <c r="AB2318" t="inlineStr">
        <is>
          <t>No Appointment Made</t>
        </is>
      </c>
      <c r="AC2318"/>
      <c r="AD2318" t="inlineStr">
        <is>
          <t xml:space="preserve">3 machanic penang </t>
        </is>
      </c>
      <c r="AE2318"/>
      <c r="AF2318"/>
      <c r="AG2318" s="4"/>
      <c r="AH2318" s="4"/>
      <c r="AI2318"/>
      <c r="AJ2318"/>
      <c r="AK2318"/>
      <c r="AL2318"/>
      <c r="AM2318"/>
      <c r="AN2318"/>
      <c r="AO2318"/>
      <c r="AP2318"/>
      <c r="AQ2318"/>
      <c r="AR2318"/>
      <c r="AS2318" t="inlineStr">
        <is>
          <t>- Headcount: 3
- Hiring Job Details: 3 mechanic Penang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318">
        <v>65</v>
      </c>
      <c r="AU2318" t="inlineStr">
        <is>
          <t>0.65</t>
        </is>
      </c>
      <c r="AV2318" t="inlineStr">
        <is>
          <t>5</t>
        </is>
      </c>
      <c r="AW2318" t="inlineStr">
        <is>
          <t>0</t>
        </is>
      </c>
      <c r="AX2318" t="inlineStr">
        <is>
          <t>Not Qualified</t>
        </is>
      </c>
      <c r="AY2318" s="4"/>
      <c r="AZ2318"/>
      <c r="BA2318"/>
      <c r="BB2318"/>
      <c r="BC2318"/>
      <c r="BD2318" s="4"/>
      <c r="BE2318"/>
      <c r="BF2318"/>
      <c r="BG2318" t="inlineStr">
        <is>
          <t>Reschedule</t>
        </is>
      </c>
      <c r="BH2318" t="inlineStr">
        <is>
          <t>Fauziah Maharan</t>
        </is>
      </c>
      <c r="BI2318"/>
      <c r="BJ2318" s="4">
        <v>46144.75571759259</v>
      </c>
      <c r="BK2318" s="4">
        <v>46118.517384259256</v>
      </c>
      <c r="BL2318" t="inlineStr">
        <is>
          <t>0.0</t>
        </is>
      </c>
      <c r="BM2318" t="inlineStr">
        <is>
          <t>0.0</t>
        </is>
      </c>
      <c r="BN2318"/>
      <c r="BO2318" s="4"/>
      <c r="BP2318">
        <v>165714</v>
      </c>
      <c r="BQ2318"/>
      <c r="BR2318"/>
      <c r="BS2318"/>
      <c r="BT2318"/>
      <c r="BU2318"/>
      <c r="BV2318"/>
      <c r="BW2318"/>
      <c r="BX2318"/>
      <c r="BY2318"/>
      <c r="BZ2318" s="4"/>
      <c r="CA2318"/>
      <c r="CB2318"/>
      <c r="CC2318" s="4"/>
      <c r="CD2318" t="inlineStr">
        <is>
          <t>5</t>
        </is>
      </c>
      <c r="CE2318" t="inlineStr">
        <is>
          <t>0</t>
        </is>
      </c>
      <c r="CF2318" t="inlineStr">
        <is>
          <t>Q2-W01</t>
        </is>
      </c>
      <c r="CG2318"/>
      <c r="CH2318"/>
      <c r="CI2318"/>
      <c r="CJ2318" t="inlineStr">
        <is>
          <t>No Paid</t>
        </is>
      </c>
      <c r="CK2318" t="inlineStr">
        <is>
          <t>Not Eligible</t>
        </is>
      </c>
      <c r="CL2318"/>
      <c r="CM2318"/>
    </row>
    <row r="2319" ht="25.5" customHeight="1">
      <c r="A2319" t="inlineStr">
        <is>
          <t>114341</t>
        </is>
      </c>
      <c r="B2319" s="2"/>
      <c r="C2319"/>
      <c r="D2319" s="3">
        <v>46119.651875</v>
      </c>
      <c r="E2319" t="inlineStr">
        <is>
          <t>Q2-W01</t>
        </is>
      </c>
      <c r="F2319" t="inlineStr">
        <is>
          <t>Josh</t>
        </is>
      </c>
      <c r="G2319" t="inlineStr">
        <is>
          <t>Customer</t>
        </is>
      </c>
      <c r="H2319" s="2" t="str">
        <f>=HYPERLINK("https://upbox.ajobthing.my/customer/114341", "https://upbox.ajobthing.my/customer/114341")</f>
        <v>https://upbox.ajobthing.my/customer/114341</v>
      </c>
      <c r="I2319" t="inlineStr">
        <is>
          <t>Agensi Pekerjaan RX Sdn Bhd</t>
        </is>
      </c>
      <c r="J2319" t="inlineStr">
        <is>
          <t>Dolphin</t>
        </is>
      </c>
      <c r="K2319" t="inlineStr">
        <is>
          <t>Josh</t>
        </is>
      </c>
      <c r="L2319" s="4"/>
      <c r="M2319" s="4">
        <v>46119.65</v>
      </c>
      <c r="N2319"/>
      <c r="O2319">
        <v>5832</v>
      </c>
      <c r="P2319" s="4"/>
      <c r="Q2319" s="4">
        <v>46140.50498842593</v>
      </c>
      <c r="R2319"/>
      <c r="S2319">
        <v>0</v>
      </c>
      <c r="T2319" s="4">
        <v>46133.74012731481</v>
      </c>
      <c r="U2319" s="4"/>
      <c r="V2319"/>
      <c r="W2319">
        <v>4752</v>
      </c>
      <c r="X2319"/>
      <c r="Y2319" t="inlineStr">
        <is>
          <t>Pending Appointment</t>
        </is>
      </c>
      <c r="Z2319" t="inlineStr">
        <is>
          <t>Hiring Now</t>
        </is>
      </c>
      <c r="AA2319">
        <v>1</v>
      </c>
      <c r="AB2319" t="inlineStr">
        <is>
          <t>No Appointment Made</t>
        </is>
      </c>
      <c r="AC2319"/>
      <c r="AD2319" t="inlineStr">
        <is>
          <t>1 admin executive</t>
        </is>
      </c>
      <c r="AE2319"/>
      <c r="AF2319">
        <v>3000</v>
      </c>
      <c r="AG2319" s="4"/>
      <c r="AH2319" s="4"/>
      <c r="AI2319"/>
      <c r="AJ2319"/>
      <c r="AK2319" t="inlineStr">
        <is>
          <t>Yes, I have</t>
        </is>
      </c>
      <c r="AL2319"/>
      <c r="AM2319"/>
      <c r="AN2319"/>
      <c r="AO2319"/>
      <c r="AP2319" t="inlineStr">
        <is>
          <t>Once a year (25%)</t>
        </is>
      </c>
      <c r="AQ2319"/>
      <c r="AR2319"/>
      <c r="AS2319" t="inlineStr">
        <is>
          <t>- Headcount: 1
- Hiring Job Details: 1 admin executive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2319">
        <v>95</v>
      </c>
      <c r="AU2319" t="inlineStr">
        <is>
          <t>0.95</t>
        </is>
      </c>
      <c r="AV2319" t="inlineStr">
        <is>
          <t>15</t>
        </is>
      </c>
      <c r="AW2319" t="inlineStr">
        <is>
          <t>0</t>
        </is>
      </c>
      <c r="AX2319" t="inlineStr">
        <is>
          <t>Not Qualified</t>
        </is>
      </c>
      <c r="AY2319" s="4"/>
      <c r="AZ2319"/>
      <c r="BA2319"/>
      <c r="BB2319"/>
      <c r="BC2319" t="inlineStr">
        <is>
          <t>assist posting performance</t>
        </is>
      </c>
      <c r="BD2319" s="4">
        <v>46135.51971064815</v>
      </c>
      <c r="BE2319" t="inlineStr">
        <is>
          <t>paid</t>
        </is>
      </c>
      <c r="BF2319" t="inlineStr">
        <is>
          <t>Q2-W03</t>
        </is>
      </c>
      <c r="BG2319" t="inlineStr">
        <is>
          <t>Reschedule</t>
        </is>
      </c>
      <c r="BH2319" t="inlineStr">
        <is>
          <t>Fauziah Maharan</t>
        </is>
      </c>
      <c r="BI2319" t="inlineStr">
        <is>
          <t>Other industries</t>
        </is>
      </c>
      <c r="BJ2319" s="4">
        <v>46144.750127314815</v>
      </c>
      <c r="BK2319" s="4">
        <v>43452.716215277775</v>
      </c>
      <c r="BL2319" t="inlineStr">
        <is>
          <t>4752.0</t>
        </is>
      </c>
      <c r="BM2319" t="inlineStr">
        <is>
          <t>0.0</t>
        </is>
      </c>
      <c r="BN2319" t="inlineStr">
        <is>
          <t>View Company Page</t>
        </is>
      </c>
      <c r="BO2319" s="4">
        <v>46141.418599537035</v>
      </c>
      <c r="BP2319">
        <v>165715</v>
      </c>
      <c r="BQ2319">
        <v>123878</v>
      </c>
      <c r="BR2319" t="inlineStr">
        <is>
          <t>Proforma</t>
        </is>
      </c>
      <c r="BS2319" t="inlineStr">
        <is>
          <t>Free Freelance Job</t>
        </is>
      </c>
      <c r="BT2319">
        <v>94552</v>
      </c>
      <c r="BU2319"/>
      <c r="BV2319">
        <v>2723116</v>
      </c>
      <c r="BW2319" t="inlineStr">
        <is>
          <t>Service / Technical : Job Outcome Enquiry</t>
        </is>
      </c>
      <c r="BX2319">
        <v>3</v>
      </c>
      <c r="BY2319">
        <v>2</v>
      </c>
      <c r="BZ2319" s="4">
        <v>46134.418078703704</v>
      </c>
      <c r="CA2319">
        <v>145</v>
      </c>
      <c r="CB2319">
        <v>132</v>
      </c>
      <c r="CC2319" s="4">
        <v>46140.599756944444</v>
      </c>
      <c r="CD2319" t="inlineStr">
        <is>
          <t>20</t>
        </is>
      </c>
      <c r="CE2319" t="inlineStr">
        <is>
          <t>0</t>
        </is>
      </c>
      <c r="CF2319" t="inlineStr">
        <is>
          <t>Q2-W01</t>
        </is>
      </c>
      <c r="CG2319" t="inlineStr">
        <is>
          <t>Q2-W04</t>
        </is>
      </c>
      <c r="CH2319" t="inlineStr">
        <is>
          <t>Q2-W03</t>
        </is>
      </c>
      <c r="CI2319"/>
      <c r="CJ2319" t="inlineStr">
        <is>
          <t>Paid</t>
        </is>
      </c>
      <c r="CK2319" t="inlineStr">
        <is>
          <t>Not Eligible</t>
        </is>
      </c>
      <c r="CL2319"/>
      <c r="CM2319"/>
    </row>
    <row r="2320" ht="25.5" customHeight="1">
      <c r="A2320" t="inlineStr">
        <is>
          <t>129277</t>
        </is>
      </c>
      <c r="B2320" s="2"/>
      <c r="C2320"/>
      <c r="D2320" s="3">
        <v>46119.661574074074</v>
      </c>
      <c r="E2320" t="inlineStr">
        <is>
          <t>Q2-W01</t>
        </is>
      </c>
      <c r="F2320" t="inlineStr">
        <is>
          <t>Jia Hui</t>
        </is>
      </c>
      <c r="G2320" t="inlineStr">
        <is>
          <t>Customer</t>
        </is>
      </c>
      <c r="H2320" s="2" t="str">
        <f>=HYPERLINK("https://upbox.ajobthing.my/customer/129277", "https://upbox.ajobthing.my/customer/129277")</f>
        <v>https://upbox.ajobthing.my/customer/129277</v>
      </c>
      <c r="I2320" t="inlineStr">
        <is>
          <t>Global ETS (Malaysia) Sdn. Bhd.</t>
        </is>
      </c>
      <c r="J2320" t="inlineStr">
        <is>
          <t>Dolphin</t>
        </is>
      </c>
      <c r="K2320" t="inlineStr">
        <is>
          <t>Jia Hui</t>
        </is>
      </c>
      <c r="L2320" s="4"/>
      <c r="M2320" s="4">
        <v>46119.66166666667</v>
      </c>
      <c r="N2320"/>
      <c r="O2320">
        <v>6048</v>
      </c>
      <c r="P2320" s="4"/>
      <c r="Q2320" s="4">
        <v>45953.472708333335</v>
      </c>
      <c r="R2320"/>
      <c r="S2320">
        <v>3672</v>
      </c>
      <c r="T2320" s="4">
        <v>44081.89346064815</v>
      </c>
      <c r="U2320" s="4"/>
      <c r="V2320"/>
      <c r="W2320">
        <v>159</v>
      </c>
      <c r="X2320"/>
      <c r="Y2320" t="inlineStr">
        <is>
          <t>Pending Appointment</t>
        </is>
      </c>
      <c r="Z2320" t="inlineStr">
        <is>
          <t>Hiring Later</t>
        </is>
      </c>
      <c r="AA2320">
        <v>2</v>
      </c>
      <c r="AB2320" t="inlineStr">
        <is>
          <t>No Appointment Made</t>
        </is>
      </c>
      <c r="AC2320"/>
      <c r="AD2320" t="inlineStr">
        <is>
          <t xml:space="preserve">1 engineering, 1 account admin </t>
        </is>
      </c>
      <c r="AE2320"/>
      <c r="AF2320">
        <v>1000</v>
      </c>
      <c r="AG2320" s="4"/>
      <c r="AH2320" s="4"/>
      <c r="AI2320"/>
      <c r="AJ2320"/>
      <c r="AK2320" t="inlineStr">
        <is>
          <t>No, but I want in future</t>
        </is>
      </c>
      <c r="AL2320"/>
      <c r="AM2320"/>
      <c r="AN2320"/>
      <c r="AO2320"/>
      <c r="AP2320" t="inlineStr">
        <is>
          <t>Once a year (25%)</t>
        </is>
      </c>
      <c r="AQ2320"/>
      <c r="AR2320"/>
      <c r="AS2320" t="inlineStr">
        <is>
          <t>- Headcount: 2
- Hiring Job Details: 1 engineering, 1 account admin
- Hiring Urgency: Hiring Later
- Number of outlets: Not available
- Have recruiter team: No, but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320">
        <v>75</v>
      </c>
      <c r="AU2320" t="inlineStr">
        <is>
          <t>0.75</t>
        </is>
      </c>
      <c r="AV2320" t="inlineStr">
        <is>
          <t>15</t>
        </is>
      </c>
      <c r="AW2320" t="inlineStr">
        <is>
          <t>0</t>
        </is>
      </c>
      <c r="AX2320" t="inlineStr">
        <is>
          <t>Not Qualified</t>
        </is>
      </c>
      <c r="AY2320" s="4"/>
      <c r="AZ2320"/>
      <c r="BA2320"/>
      <c r="BB2320"/>
      <c r="BC2320" t="inlineStr">
        <is>
          <t>Manager still prefer on JS, will let me know if want to try out on our platform.</t>
        </is>
      </c>
      <c r="BD2320" s="4">
        <v>46121.65238425926</v>
      </c>
      <c r="BE2320" t="inlineStr">
        <is>
          <t>pending</t>
        </is>
      </c>
      <c r="BF2320"/>
      <c r="BG2320" t="inlineStr">
        <is>
          <t>Reschedule</t>
        </is>
      </c>
      <c r="BH2320" t="inlineStr">
        <is>
          <t>Reagen</t>
        </is>
      </c>
      <c r="BI2320" t="inlineStr">
        <is>
          <t>Electrical / Electronics</t>
        </is>
      </c>
      <c r="BJ2320" s="4">
        <v>46144.75042824074</v>
      </c>
      <c r="BK2320" s="4">
        <v>44076.66085648148</v>
      </c>
      <c r="BL2320" t="inlineStr">
        <is>
          <t>0.0</t>
        </is>
      </c>
      <c r="BM2320" t="inlineStr">
        <is>
          <t>1200.0</t>
        </is>
      </c>
      <c r="BN2320" t="inlineStr">
        <is>
          <t>User Visit(Logged In)</t>
        </is>
      </c>
      <c r="BO2320" s="4">
        <v>45959.37736111111</v>
      </c>
      <c r="BP2320">
        <v>165729</v>
      </c>
      <c r="BQ2320">
        <v>111028</v>
      </c>
      <c r="BR2320" t="inlineStr">
        <is>
          <t>Proforma</t>
        </is>
      </c>
      <c r="BS2320" t="inlineStr">
        <is>
          <t>AI Yearly Standard Plan</t>
        </is>
      </c>
      <c r="BT2320">
        <v>26587</v>
      </c>
      <c r="BU2320"/>
      <c r="BV2320">
        <v>2696418</v>
      </c>
      <c r="BW2320" t="inlineStr">
        <is>
          <t>Follow Up : Lost - Paid Portal</t>
        </is>
      </c>
      <c r="BX2320"/>
      <c r="BY2320"/>
      <c r="BZ2320" s="4"/>
      <c r="CA2320"/>
      <c r="CB2320"/>
      <c r="CC2320" s="4"/>
      <c r="CD2320" t="inlineStr">
        <is>
          <t>20</t>
        </is>
      </c>
      <c r="CE2320" t="inlineStr">
        <is>
          <t>0</t>
        </is>
      </c>
      <c r="CF2320" t="inlineStr">
        <is>
          <t>Q2-W01</t>
        </is>
      </c>
      <c r="CG2320"/>
      <c r="CH2320"/>
      <c r="CI2320"/>
      <c r="CJ2320" t="inlineStr">
        <is>
          <t>Paid</t>
        </is>
      </c>
      <c r="CK2320" t="inlineStr">
        <is>
          <t>Not Eligible</t>
        </is>
      </c>
      <c r="CL2320"/>
      <c r="CM2320"/>
    </row>
    <row r="2321" ht="25.5" customHeight="1">
      <c r="A2321" t="inlineStr">
        <is>
          <t>191010</t>
        </is>
      </c>
      <c r="B2321" s="2"/>
      <c r="C2321"/>
      <c r="D2321" s="3">
        <v>46119.66753472222</v>
      </c>
      <c r="E2321" t="inlineStr">
        <is>
          <t>Q2-W01</t>
        </is>
      </c>
      <c r="F2321" t="inlineStr">
        <is>
          <t>Clover</t>
        </is>
      </c>
      <c r="G2321" t="inlineStr">
        <is>
          <t>Customer</t>
        </is>
      </c>
      <c r="H2321" s="2" t="str">
        <f>=HYPERLINK("https://upbox.ajobthing.my/customer/191010", "https://upbox.ajobthing.my/customer/191010")</f>
        <v>https://upbox.ajobthing.my/customer/191010</v>
      </c>
      <c r="I2321" t="inlineStr">
        <is>
          <t>Afterbaker Sdn Bhd</t>
        </is>
      </c>
      <c r="J2321" t="inlineStr">
        <is>
          <t>Dolphin</t>
        </is>
      </c>
      <c r="K2321" t="inlineStr">
        <is>
          <t>Clover</t>
        </is>
      </c>
      <c r="L2321" s="4"/>
      <c r="M2321" s="4">
        <v>46119.665138888886</v>
      </c>
      <c r="N2321"/>
      <c r="O2321">
        <v>9504</v>
      </c>
      <c r="P2321" s="4"/>
      <c r="Q2321" s="4">
        <v>45790.43236111111</v>
      </c>
      <c r="R2321"/>
      <c r="S2321">
        <v>3672</v>
      </c>
      <c r="T2321" s="4">
        <v>45790.43236111111</v>
      </c>
      <c r="U2321" s="4"/>
      <c r="V2321"/>
      <c r="W2321">
        <v>3672</v>
      </c>
      <c r="X2321"/>
      <c r="Y2321" t="inlineStr">
        <is>
          <t>Pending Appointment</t>
        </is>
      </c>
      <c r="Z2321" t="inlineStr">
        <is>
          <t>Hiring Now</t>
        </is>
      </c>
      <c r="AA2321">
        <v>6</v>
      </c>
      <c r="AB2321" t="inlineStr">
        <is>
          <t>No Appointment Made</t>
        </is>
      </c>
      <c r="AC2321"/>
      <c r="AD2321" t="inlineStr">
        <is>
          <t xml:space="preserve">Hire kitchen crew x1-2, baker x1-2, barista x1-2, all races, cafe , cafe name - pastry bella, 2 branches - cyberjaya &amp; kl,  replacement, high turnover, Ms Mimi </t>
        </is>
      </c>
      <c r="AE2321"/>
      <c r="AF2321">
        <v>5000</v>
      </c>
      <c r="AG2321" s="4"/>
      <c r="AH2321" s="4"/>
      <c r="AI2321">
        <v>5000</v>
      </c>
      <c r="AJ2321">
        <v>1</v>
      </c>
      <c r="AK2321" t="inlineStr">
        <is>
          <t>No, but I want in future</t>
        </is>
      </c>
      <c r="AL2321">
        <v>1</v>
      </c>
      <c r="AM2321" t="inlineStr">
        <is>
          <t>No, but I want in future</t>
        </is>
      </c>
      <c r="AN2321"/>
      <c r="AO2321" t="inlineStr">
        <is>
          <t>No, but I want in future</t>
        </is>
      </c>
      <c r="AP2321" t="inlineStr">
        <is>
          <t>Once per quarter (75%)</t>
        </is>
      </c>
      <c r="AQ2321">
        <v>5</v>
      </c>
      <c r="AR2321" t="inlineStr">
        <is>
          <t>Did not use any job portal</t>
        </is>
      </c>
      <c r="AS2321" t="inlineStr">
        <is>
          <t>- Headcount: 6
- Hiring Job Details: Hire kitchen crew x1-2, baker x1-2, barista x1-2 (all races) for Pastry Bella cafe (replacement for high turnover, Ms Mimi; 2 branches: Cyberjaya &amp; KL)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Once per quarter (75%)
- External job portal: Did not use any</t>
        </is>
      </c>
      <c r="AT2321">
        <v>85</v>
      </c>
      <c r="AU2321" t="inlineStr">
        <is>
          <t>0.85</t>
        </is>
      </c>
      <c r="AV2321" t="inlineStr">
        <is>
          <t>20</t>
        </is>
      </c>
      <c r="AW2321" t="inlineStr">
        <is>
          <t>0</t>
        </is>
      </c>
      <c r="AX2321" t="inlineStr">
        <is>
          <t>Not Qualified</t>
        </is>
      </c>
      <c r="AY2321" s="4"/>
      <c r="AZ2321"/>
      <c r="BA2321"/>
      <c r="BB2321"/>
      <c r="BC2321" t="inlineStr">
        <is>
          <t>Reject no reason</t>
        </is>
      </c>
      <c r="BD2321" s="4">
        <v>46127.46827546296</v>
      </c>
      <c r="BE2321" t="inlineStr">
        <is>
          <t>paid</t>
        </is>
      </c>
      <c r="BF2321"/>
      <c r="BG2321" t="inlineStr">
        <is>
          <t>Reschedule</t>
        </is>
      </c>
      <c r="BH2321" t="inlineStr">
        <is>
          <t>Reagen</t>
        </is>
      </c>
      <c r="BI2321" t="inlineStr">
        <is>
          <t>Food / Beverage</t>
        </is>
      </c>
      <c r="BJ2321" s="4">
        <v>46144.75239583333</v>
      </c>
      <c r="BK2321" s="4">
        <v>45785.61502314815</v>
      </c>
      <c r="BL2321" t="inlineStr">
        <is>
          <t>3672.0</t>
        </is>
      </c>
      <c r="BM2321" t="inlineStr">
        <is>
          <t>0.0</t>
        </is>
      </c>
      <c r="BN2321" t="inlineStr">
        <is>
          <t>User Visit(Logged In)</t>
        </is>
      </c>
      <c r="BO2321" s="4">
        <v>45867.540601851855</v>
      </c>
      <c r="BP2321">
        <v>165730</v>
      </c>
      <c r="BQ2321">
        <v>79198</v>
      </c>
      <c r="BR2321" t="inlineStr">
        <is>
          <t>Online</t>
        </is>
      </c>
      <c r="BS2321"/>
      <c r="BT2321">
        <v>79198</v>
      </c>
      <c r="BU2321"/>
      <c r="BV2321">
        <v>2705390</v>
      </c>
      <c r="BW2321" t="inlineStr">
        <is>
          <t>Follow Up : Lost - Free Portal</t>
        </is>
      </c>
      <c r="BX2321">
        <v>1</v>
      </c>
      <c r="BY2321">
        <v>-1</v>
      </c>
      <c r="BZ2321" s="4">
        <v>45793.49741898148</v>
      </c>
      <c r="CA2321">
        <v>145</v>
      </c>
      <c r="CB2321">
        <v>145</v>
      </c>
      <c r="CC2321" s="4"/>
      <c r="CD2321" t="inlineStr">
        <is>
          <t>30</t>
        </is>
      </c>
      <c r="CE2321" t="inlineStr">
        <is>
          <t>0</t>
        </is>
      </c>
      <c r="CF2321" t="inlineStr">
        <is>
          <t>Q2-W01</t>
        </is>
      </c>
      <c r="CG2321"/>
      <c r="CH2321"/>
      <c r="CI2321"/>
      <c r="CJ2321" t="inlineStr">
        <is>
          <t>Paid</t>
        </is>
      </c>
      <c r="CK2321" t="inlineStr">
        <is>
          <t>Not Eligible</t>
        </is>
      </c>
      <c r="CL2321"/>
      <c r="CM2321"/>
    </row>
    <row r="2322" ht="25.5" customHeight="1">
      <c r="A2322" t="inlineStr">
        <is>
          <t>44532</t>
        </is>
      </c>
      <c r="B2322" s="2"/>
      <c r="C2322"/>
      <c r="D2322" s="3">
        <v>46119.67042824074</v>
      </c>
      <c r="E2322" t="inlineStr">
        <is>
          <t>Q2-W01</t>
        </is>
      </c>
      <c r="F2322" t="inlineStr">
        <is>
          <t>Derek Lim</t>
        </is>
      </c>
      <c r="G2322" t="inlineStr">
        <is>
          <t>Customer</t>
        </is>
      </c>
      <c r="H2322" s="2" t="str">
        <f>=HYPERLINK("https://upbox.ajobthing.my/customer/44532", "https://upbox.ajobthing.my/customer/44532")</f>
        <v>https://upbox.ajobthing.my/customer/44532</v>
      </c>
      <c r="I2322" t="inlineStr">
        <is>
          <t xml:space="preserve">Ipoh Kueh Teow &amp; Noodles Sdn Bhd </t>
        </is>
      </c>
      <c r="J2322" t="inlineStr">
        <is>
          <t>Dolphin</t>
        </is>
      </c>
      <c r="K2322" t="inlineStr">
        <is>
          <t>Derek Lim</t>
        </is>
      </c>
      <c r="L2322" s="4"/>
      <c r="M2322" s="4">
        <v>46119.668171296296</v>
      </c>
      <c r="N2322"/>
      <c r="O2322">
        <v>3888</v>
      </c>
      <c r="P2322" s="4"/>
      <c r="Q2322" s="4"/>
      <c r="R2322"/>
      <c r="S2322"/>
      <c r="T2322" s="4"/>
      <c r="U2322" s="4"/>
      <c r="V2322"/>
      <c r="W2322"/>
      <c r="X2322"/>
      <c r="Y2322" t="inlineStr">
        <is>
          <t>Pending Appointment</t>
        </is>
      </c>
      <c r="Z2322" t="inlineStr">
        <is>
          <t>Hiring Now</t>
        </is>
      </c>
      <c r="AA2322">
        <v>2</v>
      </c>
      <c r="AB2322" t="inlineStr">
        <is>
          <t>No Appointment Made</t>
        </is>
      </c>
      <c r="AC2322"/>
      <c r="AD2322" t="inlineStr">
        <is>
          <t>Boiler man - 1, water treatment - 1</t>
        </is>
      </c>
      <c r="AE2322"/>
      <c r="AF2322">
        <v>0</v>
      </c>
      <c r="AG2322" s="4"/>
      <c r="AH2322" s="4"/>
      <c r="AI2322">
        <v>0</v>
      </c>
      <c r="AJ2322">
        <v>1</v>
      </c>
      <c r="AK2322" t="inlineStr">
        <is>
          <t>No, I don't need at all</t>
        </is>
      </c>
      <c r="AL2322">
        <v>0</v>
      </c>
      <c r="AM2322" t="inlineStr">
        <is>
          <t>No, I don't need at all</t>
        </is>
      </c>
      <c r="AN2322"/>
      <c r="AO2322" t="inlineStr">
        <is>
          <t>No, I don't need at all</t>
        </is>
      </c>
      <c r="AP2322" t="inlineStr">
        <is>
          <t>Once a year (25%)</t>
        </is>
      </c>
      <c r="AQ2322">
        <v>2</v>
      </c>
      <c r="AR2322" t="inlineStr">
        <is>
          <t>Jobstreet, Jobstore</t>
        </is>
      </c>
      <c r="AS2322" t="inlineStr">
        <is>
          <t>- Headcount: 2
- Hiring Job Details: Boiler man - 1, water treatment - 1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Jobstreet,Jobstore</t>
        </is>
      </c>
      <c r="AT2322">
        <v>115</v>
      </c>
      <c r="AU2322" t="inlineStr">
        <is>
          <t>1.15</t>
        </is>
      </c>
      <c r="AV2322" t="inlineStr">
        <is>
          <t>15</t>
        </is>
      </c>
      <c r="AW2322" t="inlineStr">
        <is>
          <t>0</t>
        </is>
      </c>
      <c r="AX2322" t="inlineStr">
        <is>
          <t>Not Qualified</t>
        </is>
      </c>
      <c r="AY2322" s="4"/>
      <c r="AZ2322"/>
      <c r="BA2322"/>
      <c r="BB2322"/>
      <c r="BC2322" t="inlineStr">
        <is>
          <t>SHE SAY WILL CHECK WITH BOSS AGAIN AND LET ME KNOW</t>
        </is>
      </c>
      <c r="BD2322" s="4">
        <v>46136.44930555556</v>
      </c>
      <c r="BE2322"/>
      <c r="BF2322"/>
      <c r="BG2322" t="inlineStr">
        <is>
          <t>Reschedule</t>
        </is>
      </c>
      <c r="BH2322" t="inlineStr">
        <is>
          <t>Edward Hoo</t>
        </is>
      </c>
      <c r="BI2322" t="inlineStr">
        <is>
          <t>Manufacturing / Production</t>
        </is>
      </c>
      <c r="BJ2322" s="4">
        <v>46144.7559837963</v>
      </c>
      <c r="BK2322" s="4">
        <v>43082.348541666666</v>
      </c>
      <c r="BL2322" t="inlineStr">
        <is>
          <t>0.0</t>
        </is>
      </c>
      <c r="BM2322" t="inlineStr">
        <is>
          <t>1800.0</t>
        </is>
      </c>
      <c r="BN2322" t="inlineStr">
        <is>
          <t>View Shop</t>
        </is>
      </c>
      <c r="BO2322" s="4">
        <v>45145.63853009259</v>
      </c>
      <c r="BP2322">
        <v>165733</v>
      </c>
      <c r="BQ2322"/>
      <c r="BR2322"/>
      <c r="BS2322"/>
      <c r="BT2322"/>
      <c r="BU2322"/>
      <c r="BV2322">
        <v>2725691</v>
      </c>
      <c r="BW2322" t="inlineStr">
        <is>
          <t>Follow Up : Decision Pending</t>
        </is>
      </c>
      <c r="BX2322"/>
      <c r="BY2322"/>
      <c r="BZ2322" s="4"/>
      <c r="CA2322"/>
      <c r="CB2322"/>
      <c r="CC2322" s="4"/>
      <c r="CD2322" t="inlineStr">
        <is>
          <t>20</t>
        </is>
      </c>
      <c r="CE2322" t="inlineStr">
        <is>
          <t>0</t>
        </is>
      </c>
      <c r="CF2322" t="inlineStr">
        <is>
          <t>Q2-W01</t>
        </is>
      </c>
      <c r="CG2322"/>
      <c r="CH2322"/>
      <c r="CI2322"/>
      <c r="CJ2322" t="inlineStr">
        <is>
          <t>No Paid</t>
        </is>
      </c>
      <c r="CK2322" t="inlineStr">
        <is>
          <t>Not Eligible</t>
        </is>
      </c>
      <c r="CL2322"/>
      <c r="CM2322"/>
    </row>
    <row r="2323" ht="25.5" customHeight="1">
      <c r="A2323" t="inlineStr">
        <is>
          <t>169487</t>
        </is>
      </c>
      <c r="B2323" s="2"/>
      <c r="C2323"/>
      <c r="D2323" s="3">
        <v>46119.67070601852</v>
      </c>
      <c r="E2323" t="inlineStr">
        <is>
          <t>Q2-W01</t>
        </is>
      </c>
      <c r="F2323" t="inlineStr">
        <is>
          <t>Eugene</t>
        </is>
      </c>
      <c r="G2323" t="inlineStr">
        <is>
          <t>Customer</t>
        </is>
      </c>
      <c r="H2323" s="2" t="str">
        <f>=HYPERLINK("https://upbox.ajobthing.my/customer/169487", "https://upbox.ajobthing.my/customer/169487")</f>
        <v>https://upbox.ajobthing.my/customer/169487</v>
      </c>
      <c r="I2323" t="inlineStr">
        <is>
          <t>Lakoo Advertising &amp; Consultant Sdn Bhd</t>
        </is>
      </c>
      <c r="J2323" t="inlineStr">
        <is>
          <t>Dolphin</t>
        </is>
      </c>
      <c r="K2323" t="inlineStr">
        <is>
          <t>Eugene</t>
        </is>
      </c>
      <c r="L2323" s="4"/>
      <c r="M2323" s="4">
        <v>46097.66974537037</v>
      </c>
      <c r="N2323"/>
      <c r="O2323">
        <v>5832</v>
      </c>
      <c r="P2323" s="4"/>
      <c r="Q2323" s="4">
        <v>46120.74153935185</v>
      </c>
      <c r="R2323"/>
      <c r="S2323">
        <v>3888</v>
      </c>
      <c r="T2323" s="4">
        <v>46120.74153935185</v>
      </c>
      <c r="U2323" s="4"/>
      <c r="V2323"/>
      <c r="W2323">
        <v>3888</v>
      </c>
      <c r="X2323"/>
      <c r="Y2323" t="inlineStr">
        <is>
          <t>Pending Appointment</t>
        </is>
      </c>
      <c r="Z2323" t="inlineStr">
        <is>
          <t>Hiring Now</t>
        </is>
      </c>
      <c r="AA2323">
        <v>6</v>
      </c>
      <c r="AB2323" t="inlineStr">
        <is>
          <t>No Appointment Made</t>
        </is>
      </c>
      <c r="AC2323"/>
      <c r="AD2323" t="inlineStr">
        <is>
          <t>6 positions, based in KL</t>
        </is>
      </c>
      <c r="AE2323"/>
      <c r="AF2323">
        <v>3600</v>
      </c>
      <c r="AG2323" s="4"/>
      <c r="AH2323" s="4"/>
      <c r="AI2323">
        <v>3600</v>
      </c>
      <c r="AJ2323">
        <v>1</v>
      </c>
      <c r="AK2323" t="inlineStr">
        <is>
          <t>No, I don't need at all</t>
        </is>
      </c>
      <c r="AL2323">
        <v>1</v>
      </c>
      <c r="AM2323" t="inlineStr">
        <is>
          <t>No, I don't need at all</t>
        </is>
      </c>
      <c r="AN2323"/>
      <c r="AO2323" t="inlineStr">
        <is>
          <t>No, I don't need at all</t>
        </is>
      </c>
      <c r="AP2323" t="inlineStr">
        <is>
          <t>Once per quarter (75%)</t>
        </is>
      </c>
      <c r="AQ2323">
        <v>6</v>
      </c>
      <c r="AR2323" t="inlineStr">
        <is>
          <t>Free Job Portal</t>
        </is>
      </c>
      <c r="AS2323" t="inlineStr">
        <is>
          <t>- Headcount: 6
- Hiring Job Details: 6 positions,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6
- Hiring frequency: Once per quarter (75%)
- External job portal: Free Job Portal</t>
        </is>
      </c>
      <c r="AT2323">
        <v>95</v>
      </c>
      <c r="AU2323" t="inlineStr">
        <is>
          <t>0.95</t>
        </is>
      </c>
      <c r="AV2323" t="inlineStr">
        <is>
          <t>20</t>
        </is>
      </c>
      <c r="AW2323" t="inlineStr">
        <is>
          <t>0</t>
        </is>
      </c>
      <c r="AX2323" t="inlineStr">
        <is>
          <t>Not Qualified</t>
        </is>
      </c>
      <c r="AY2323" s="4"/>
      <c r="AZ2323"/>
      <c r="BA2323"/>
      <c r="BB2323"/>
      <c r="BC2323" t="inlineStr">
        <is>
          <t>won</t>
        </is>
      </c>
      <c r="BD2323" s="4">
        <v>46120.41365740741</v>
      </c>
      <c r="BE2323" t="inlineStr">
        <is>
          <t>paid</t>
        </is>
      </c>
      <c r="BF2323" t="inlineStr">
        <is>
          <t>Q2-W01</t>
        </is>
      </c>
      <c r="BG2323" t="inlineStr">
        <is>
          <t>Reschedule</t>
        </is>
      </c>
      <c r="BH2323" t="inlineStr">
        <is>
          <t>Edward Hoo</t>
        </is>
      </c>
      <c r="BI2323" t="inlineStr">
        <is>
          <t>Advertising / Marketing</t>
        </is>
      </c>
      <c r="BJ2323" s="4">
        <v>46144.75136574074</v>
      </c>
      <c r="BK2323" s="4">
        <v>45131.72335648148</v>
      </c>
      <c r="BL2323" t="inlineStr">
        <is>
          <t>3888.0</t>
        </is>
      </c>
      <c r="BM2323" t="inlineStr">
        <is>
          <t>0.0</t>
        </is>
      </c>
      <c r="BN2323" t="inlineStr">
        <is>
          <t>View Company Page</t>
        </is>
      </c>
      <c r="BO2323" s="4">
        <v>46085.623715277776</v>
      </c>
      <c r="BP2323">
        <v>162513</v>
      </c>
      <c r="BQ2323">
        <v>92247</v>
      </c>
      <c r="BR2323" t="inlineStr">
        <is>
          <t>Online</t>
        </is>
      </c>
      <c r="BS2323"/>
      <c r="BT2323">
        <v>92247</v>
      </c>
      <c r="BU2323"/>
      <c r="BV2323">
        <v>2691087</v>
      </c>
      <c r="BW2323" t="inlineStr">
        <is>
          <t>Follow Up : Win - Customer Paid</t>
        </is>
      </c>
      <c r="BX2323">
        <v>6</v>
      </c>
      <c r="BY2323">
        <v>6</v>
      </c>
      <c r="BZ2323" s="4"/>
      <c r="CA2323">
        <v>60</v>
      </c>
      <c r="CB2323">
        <v>60</v>
      </c>
      <c r="CC2323" s="4"/>
      <c r="CD2323" t="inlineStr">
        <is>
          <t>30</t>
        </is>
      </c>
      <c r="CE2323" t="inlineStr">
        <is>
          <t>0</t>
        </is>
      </c>
      <c r="CF2323" t="inlineStr">
        <is>
          <t>Q1-W11</t>
        </is>
      </c>
      <c r="CG2323" t="inlineStr">
        <is>
          <t>Q2-W01</t>
        </is>
      </c>
      <c r="CH2323" t="inlineStr">
        <is>
          <t>Q2-W01</t>
        </is>
      </c>
      <c r="CI2323"/>
      <c r="CJ2323" t="inlineStr">
        <is>
          <t>Paid</t>
        </is>
      </c>
      <c r="CK2323" t="inlineStr">
        <is>
          <t>Not Eligible</t>
        </is>
      </c>
      <c r="CL2323"/>
      <c r="CM2323"/>
    </row>
    <row r="2324" ht="25.5" customHeight="1">
      <c r="A2324" t="inlineStr">
        <is>
          <t>168410</t>
        </is>
      </c>
      <c r="B2324" s="2"/>
      <c r="C2324"/>
      <c r="D2324" s="3">
        <v>46119.67304398148</v>
      </c>
      <c r="E2324" t="inlineStr">
        <is>
          <t>Q2-W01</t>
        </is>
      </c>
      <c r="F2324" t="inlineStr">
        <is>
          <t>Chia Yee</t>
        </is>
      </c>
      <c r="G2324" t="inlineStr">
        <is>
          <t>Customer</t>
        </is>
      </c>
      <c r="H2324" s="2" t="str">
        <f>=HYPERLINK("https://upbox.ajobthing.my/customer/168410", "https://upbox.ajobthing.my/customer/168410")</f>
        <v>https://upbox.ajobthing.my/customer/168410</v>
      </c>
      <c r="I2324" t="inlineStr">
        <is>
          <t>Jaring Metal Industries Sdn Bhd</t>
        </is>
      </c>
      <c r="J2324" t="inlineStr">
        <is>
          <t>Dolphin</t>
        </is>
      </c>
      <c r="K2324" t="inlineStr">
        <is>
          <t>Chia Yee</t>
        </is>
      </c>
      <c r="L2324" s="4"/>
      <c r="M2324" s="4">
        <v>46134.64349537037</v>
      </c>
      <c r="N2324"/>
      <c r="O2324">
        <v>4968</v>
      </c>
      <c r="P2324" s="4"/>
      <c r="Q2324" s="4">
        <v>45891.5468287037</v>
      </c>
      <c r="R2324"/>
      <c r="S2324">
        <v>864</v>
      </c>
      <c r="T2324" s="4">
        <v>45891.5468287037</v>
      </c>
      <c r="U2324" s="4"/>
      <c r="V2324"/>
      <c r="W2324">
        <v>864</v>
      </c>
      <c r="X2324"/>
      <c r="Y2324" t="inlineStr">
        <is>
          <t>Pending Appointment</t>
        </is>
      </c>
      <c r="Z2324" t="inlineStr">
        <is>
          <t>Hiring Now</t>
        </is>
      </c>
      <c r="AA2324">
        <v>2</v>
      </c>
      <c r="AB2324" t="inlineStr">
        <is>
          <t>No Appointment Made</t>
        </is>
      </c>
      <c r="AC2324"/>
      <c r="AD2324" t="inlineStr">
        <is>
          <t>1  lab assistant , 1 lorry driver</t>
        </is>
      </c>
      <c r="AE2324"/>
      <c r="AF2324">
        <v>0</v>
      </c>
      <c r="AG2324" s="4"/>
      <c r="AH2324" s="4"/>
      <c r="AI2324">
        <v>0</v>
      </c>
      <c r="AJ2324">
        <v>1</v>
      </c>
      <c r="AK2324" t="inlineStr">
        <is>
          <t>Yes, I have</t>
        </is>
      </c>
      <c r="AL2324">
        <v>1</v>
      </c>
      <c r="AM2324" t="inlineStr">
        <is>
          <t>No, I don't need at all</t>
        </is>
      </c>
      <c r="AN2324"/>
      <c r="AO2324" t="inlineStr">
        <is>
          <t>No, I don't need at all</t>
        </is>
      </c>
      <c r="AP2324" t="inlineStr">
        <is>
          <t>Once a year (25%)</t>
        </is>
      </c>
      <c r="AQ2324">
        <v>2</v>
      </c>
      <c r="AR2324" t="inlineStr">
        <is>
          <t>Did not use any job portal</t>
        </is>
      </c>
      <c r="AS2324" t="inlineStr">
        <is>
          <t>- Headcount: 2
- Hiring Job Details: 1 lab assistant, 1 lorry driver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is>
      </c>
      <c r="AT2324">
        <v>110</v>
      </c>
      <c r="AU2324" t="inlineStr">
        <is>
          <t>1.10</t>
        </is>
      </c>
      <c r="AV2324" t="inlineStr">
        <is>
          <t>15</t>
        </is>
      </c>
      <c r="AW2324" t="inlineStr">
        <is>
          <t>0</t>
        </is>
      </c>
      <c r="AX2324" t="inlineStr">
        <is>
          <t>Not Qualified</t>
        </is>
      </c>
      <c r="AY2324" s="4"/>
      <c r="AZ2324"/>
      <c r="BA2324"/>
      <c r="BB2324"/>
      <c r="BC2324" t="inlineStr">
        <is>
          <t>Called, she said not feeling well. WA inform promo</t>
        </is>
      </c>
      <c r="BD2324" s="4">
        <v>46141.41370370371</v>
      </c>
      <c r="BE2324" t="inlineStr">
        <is>
          <t>paid</t>
        </is>
      </c>
      <c r="BF2324"/>
      <c r="BG2324" t="inlineStr">
        <is>
          <t>Reschedule</t>
        </is>
      </c>
      <c r="BH2324" t="inlineStr">
        <is>
          <t>Reagen</t>
        </is>
      </c>
      <c r="BI2324" t="inlineStr">
        <is>
          <t>Manufacturing / Production</t>
        </is>
      </c>
      <c r="BJ2324" s="4">
        <v>46144.75134259259</v>
      </c>
      <c r="BK2324" s="4">
        <v>45099.44981481481</v>
      </c>
      <c r="BL2324" t="inlineStr">
        <is>
          <t>1512.0</t>
        </is>
      </c>
      <c r="BM2324" t="inlineStr">
        <is>
          <t>2400.0</t>
        </is>
      </c>
      <c r="BN2324" t="inlineStr">
        <is>
          <t>View Jobmanager Page</t>
        </is>
      </c>
      <c r="BO2324" s="4">
        <v>45931.56083333334</v>
      </c>
      <c r="BP2324">
        <v>168343</v>
      </c>
      <c r="BQ2324">
        <v>81776</v>
      </c>
      <c r="BR2324" t="inlineStr">
        <is>
          <t>Online</t>
        </is>
      </c>
      <c r="BS2324"/>
      <c r="BT2324">
        <v>81776</v>
      </c>
      <c r="BU2324"/>
      <c r="BV2324">
        <v>2734235</v>
      </c>
      <c r="BW2324" t="inlineStr">
        <is>
          <t>Follow Up : Decision Pending</t>
        </is>
      </c>
      <c r="BX2324"/>
      <c r="BY2324"/>
      <c r="BZ2324" s="4"/>
      <c r="CA2324"/>
      <c r="CB2324"/>
      <c r="CC2324" s="4"/>
      <c r="CD2324" t="inlineStr">
        <is>
          <t>20</t>
        </is>
      </c>
      <c r="CE2324" t="inlineStr">
        <is>
          <t>0</t>
        </is>
      </c>
      <c r="CF2324" t="inlineStr">
        <is>
          <t>Q2-W03</t>
        </is>
      </c>
      <c r="CG2324"/>
      <c r="CH2324"/>
      <c r="CI2324"/>
      <c r="CJ2324" t="inlineStr">
        <is>
          <t>Paid</t>
        </is>
      </c>
      <c r="CK2324" t="inlineStr">
        <is>
          <t>Not Eligible</t>
        </is>
      </c>
      <c r="CL2324"/>
      <c r="CM2324"/>
    </row>
    <row r="2325" ht="25.5" customHeight="1">
      <c r="A2325" t="inlineStr">
        <is>
          <t>142070</t>
        </is>
      </c>
      <c r="B2325" s="2"/>
      <c r="C2325"/>
      <c r="D2325" s="3">
        <v>46119.67523148148</v>
      </c>
      <c r="E2325" t="inlineStr">
        <is>
          <t>Q2-W01</t>
        </is>
      </c>
      <c r="F2325" t="inlineStr">
        <is>
          <t>Carmen</t>
        </is>
      </c>
      <c r="G2325" t="inlineStr">
        <is>
          <t>Customer</t>
        </is>
      </c>
      <c r="H2325" s="2" t="str">
        <f>=HYPERLINK("https://upbox.ajobthing.my/customer/142070", "https://upbox.ajobthing.my/customer/142070")</f>
        <v>https://upbox.ajobthing.my/customer/142070</v>
      </c>
      <c r="I2325" t="inlineStr">
        <is>
          <t>Red Archer Sdn Bhd</t>
        </is>
      </c>
      <c r="J2325" t="inlineStr">
        <is>
          <t>Dolphin</t>
        </is>
      </c>
      <c r="K2325" t="inlineStr">
        <is>
          <t>Carmen</t>
        </is>
      </c>
      <c r="L2325" s="4"/>
      <c r="M2325" s="4">
        <v>46113.66019675926</v>
      </c>
      <c r="N2325"/>
      <c r="O2325">
        <v>1296</v>
      </c>
      <c r="P2325" s="4"/>
      <c r="Q2325" s="4">
        <v>46119.66494212963</v>
      </c>
      <c r="R2325"/>
      <c r="S2325">
        <v>1296</v>
      </c>
      <c r="T2325" s="4">
        <v>46119.66494212963</v>
      </c>
      <c r="U2325" s="4"/>
      <c r="V2325"/>
      <c r="W2325">
        <v>1296</v>
      </c>
      <c r="X2325"/>
      <c r="Y2325" t="inlineStr">
        <is>
          <t>Pending Appointment</t>
        </is>
      </c>
      <c r="Z2325" t="inlineStr">
        <is>
          <t>Hiring Now</t>
        </is>
      </c>
      <c r="AA2325">
        <v>1</v>
      </c>
      <c r="AB2325" t="inlineStr">
        <is>
          <t>No Appointment Made</t>
        </is>
      </c>
      <c r="AC2325"/>
      <c r="AD2325" t="inlineStr">
        <is>
          <t>1 event executive</t>
        </is>
      </c>
      <c r="AE2325"/>
      <c r="AF2325">
        <v>1000</v>
      </c>
      <c r="AG2325" s="4"/>
      <c r="AH2325" s="4"/>
      <c r="AI2325"/>
      <c r="AJ2325"/>
      <c r="AK2325" t="inlineStr">
        <is>
          <t>Yes, I have</t>
        </is>
      </c>
      <c r="AL2325"/>
      <c r="AM2325"/>
      <c r="AN2325"/>
      <c r="AO2325"/>
      <c r="AP2325" t="inlineStr">
        <is>
          <t>Once a year (25%)</t>
        </is>
      </c>
      <c r="AQ2325"/>
      <c r="AR2325"/>
      <c r="AS2325" t="inlineStr">
        <is>
          <t>- Headcount: 1
- Hiring Job Details: 1 event executive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325">
        <v>95</v>
      </c>
      <c r="AU2325" t="inlineStr">
        <is>
          <t>0.95</t>
        </is>
      </c>
      <c r="AV2325" t="inlineStr">
        <is>
          <t>15</t>
        </is>
      </c>
      <c r="AW2325" t="inlineStr">
        <is>
          <t>0</t>
        </is>
      </c>
      <c r="AX2325" t="inlineStr">
        <is>
          <t>Not Qualified</t>
        </is>
      </c>
      <c r="AY2325" s="4"/>
      <c r="AZ2325"/>
      <c r="BA2325"/>
      <c r="BB2325"/>
      <c r="BC2325" t="inlineStr">
        <is>
          <t>got few interview oh</t>
        </is>
      </c>
      <c r="BD2325" s="4">
        <v>46129.62064814815</v>
      </c>
      <c r="BE2325" t="inlineStr">
        <is>
          <t>paid</t>
        </is>
      </c>
      <c r="BF2325" t="inlineStr">
        <is>
          <t>Q2-W01</t>
        </is>
      </c>
      <c r="BG2325" t="inlineStr">
        <is>
          <t>Reschedule</t>
        </is>
      </c>
      <c r="BH2325" t="inlineStr">
        <is>
          <t>Reagen</t>
        </is>
      </c>
      <c r="BI2325" t="inlineStr">
        <is>
          <t>Exhibitions / Event Mgmt</t>
        </is>
      </c>
      <c r="BJ2325" s="4">
        <v>46144.75067129629</v>
      </c>
      <c r="BK2325" s="4">
        <v>44481.66751157407</v>
      </c>
      <c r="BL2325" t="inlineStr">
        <is>
          <t>1296.0</t>
        </is>
      </c>
      <c r="BM2325" t="inlineStr">
        <is>
          <t>0.0</t>
        </is>
      </c>
      <c r="BN2325" t="inlineStr">
        <is>
          <t>View Company Page</t>
        </is>
      </c>
      <c r="BO2325" s="4">
        <v>46142.707604166666</v>
      </c>
      <c r="BP2325">
        <v>164774</v>
      </c>
      <c r="BQ2325">
        <v>7590</v>
      </c>
      <c r="BR2325" t="inlineStr">
        <is>
          <t>Manual (Paid)</t>
        </is>
      </c>
      <c r="BS2325" t="inlineStr">
        <is>
          <t>AI Ala Carte (Jan 26)
 - A la carte for 1 AI Job Ad
 - 1 AI Job Ad will be published on Maukerja, Ricebowl and our partner platforms
 - 1 AI Job Ad will be published for 45 days
 - 1 Booster Plus (10 times bump up)
 - 1 Premium Job Ad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is>
      </c>
      <c r="BT2325">
        <v>7590</v>
      </c>
      <c r="BU2325"/>
      <c r="BV2325">
        <v>2712276</v>
      </c>
      <c r="BW2325" t="inlineStr">
        <is>
          <t>Service / Technical : Job Outcome Enquiry</t>
        </is>
      </c>
      <c r="BX2325">
        <v>1</v>
      </c>
      <c r="BY2325">
        <v>0</v>
      </c>
      <c r="BZ2325" s="4">
        <v>46121.633310185185</v>
      </c>
      <c r="CA2325">
        <v>23</v>
      </c>
      <c r="CB2325">
        <v>23</v>
      </c>
      <c r="CC2325" s="4"/>
      <c r="CD2325" t="inlineStr">
        <is>
          <t>20</t>
        </is>
      </c>
      <c r="CE2325" t="inlineStr">
        <is>
          <t>0</t>
        </is>
      </c>
      <c r="CF2325" t="inlineStr">
        <is>
          <t>Q1-W13</t>
        </is>
      </c>
      <c r="CG2325" t="inlineStr">
        <is>
          <t>Q2-W01</t>
        </is>
      </c>
      <c r="CH2325" t="inlineStr">
        <is>
          <t>Q2-W01</t>
        </is>
      </c>
      <c r="CI2325"/>
      <c r="CJ2325" t="inlineStr">
        <is>
          <t>Paid</t>
        </is>
      </c>
      <c r="CK2325" t="inlineStr">
        <is>
          <t>Not Eligible</t>
        </is>
      </c>
      <c r="CL2325"/>
      <c r="CM2325"/>
    </row>
    <row r="2326" ht="25.5" customHeight="1">
      <c r="A2326" t="inlineStr">
        <is>
          <t>52309</t>
        </is>
      </c>
      <c r="B2326" s="2"/>
      <c r="C2326"/>
      <c r="D2326" s="3">
        <v>46119.68145833333</v>
      </c>
      <c r="E2326" t="inlineStr">
        <is>
          <t>Q2-W01</t>
        </is>
      </c>
      <c r="F2326" t="inlineStr">
        <is>
          <t>Angel  Low</t>
        </is>
      </c>
      <c r="G2326" t="inlineStr">
        <is>
          <t>Customer</t>
        </is>
      </c>
      <c r="H2326" s="2" t="str">
        <f>=HYPERLINK("https://upbox.ajobthing.my/customer/52309", "https://upbox.ajobthing.my/customer/52309")</f>
        <v>https://upbox.ajobthing.my/customer/52309</v>
      </c>
      <c r="I2326" t="inlineStr">
        <is>
          <t>FS Precision Sdn Bhd</t>
        </is>
      </c>
      <c r="J2326" t="inlineStr">
        <is>
          <t>Dolphin</t>
        </is>
      </c>
      <c r="K2326" t="inlineStr">
        <is>
          <t>Angel Low</t>
        </is>
      </c>
      <c r="L2326" s="4"/>
      <c r="M2326" s="4">
        <v>46119.70135416667</v>
      </c>
      <c r="N2326"/>
      <c r="O2326">
        <v>3672</v>
      </c>
      <c r="P2326" s="4"/>
      <c r="Q2326" s="4">
        <v>45437.00001157408</v>
      </c>
      <c r="R2326"/>
      <c r="S2326">
        <v>2916</v>
      </c>
      <c r="T2326" s="4">
        <v>45437.00001157408</v>
      </c>
      <c r="U2326" s="4"/>
      <c r="V2326"/>
      <c r="W2326">
        <v>2916</v>
      </c>
      <c r="X2326"/>
      <c r="Y2326" t="inlineStr">
        <is>
          <t>Pending Appointment</t>
        </is>
      </c>
      <c r="Z2326"/>
      <c r="AA2326">
        <v>1</v>
      </c>
      <c r="AB2326" t="inlineStr">
        <is>
          <t>No Appointment Made</t>
        </is>
      </c>
      <c r="AC2326"/>
      <c r="AD2326" t="inlineStr">
        <is>
          <t xml:space="preserve">1 technician mandarin speaker </t>
        </is>
      </c>
      <c r="AE2326"/>
      <c r="AF2326"/>
      <c r="AG2326" s="4"/>
      <c r="AH2326" s="4"/>
      <c r="AI2326"/>
      <c r="AJ2326"/>
      <c r="AK2326"/>
      <c r="AL2326"/>
      <c r="AM2326"/>
      <c r="AN2326"/>
      <c r="AO2326"/>
      <c r="AP2326"/>
      <c r="AQ2326"/>
      <c r="AR2326"/>
      <c r="AS2326" t="inlineStr">
        <is>
          <t>- Headcount: 1
- Hiring Job Details: 1 technician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326">
        <v>65</v>
      </c>
      <c r="AU2326" t="inlineStr">
        <is>
          <t>0.65</t>
        </is>
      </c>
      <c r="AV2326" t="inlineStr">
        <is>
          <t>5</t>
        </is>
      </c>
      <c r="AW2326" t="inlineStr">
        <is>
          <t>0</t>
        </is>
      </c>
      <c r="AX2326" t="inlineStr">
        <is>
          <t>Not Qualified</t>
        </is>
      </c>
      <c r="AY2326" s="4"/>
      <c r="AZ2326"/>
      <c r="BA2326"/>
      <c r="BB2326"/>
      <c r="BC2326" t="inlineStr">
        <is>
          <t>- Headcount: 1
- Hiring Job Details: 1 technician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326" s="4">
        <v>46119.708391203705</v>
      </c>
      <c r="BE2326" t="inlineStr">
        <is>
          <t>paid</t>
        </is>
      </c>
      <c r="BF2326"/>
      <c r="BG2326" t="inlineStr">
        <is>
          <t>Reschedule</t>
        </is>
      </c>
      <c r="BH2326" t="inlineStr">
        <is>
          <t>Fauziah Maharan</t>
        </is>
      </c>
      <c r="BI2326" t="inlineStr">
        <is>
          <t>Electrical / Electronics</t>
        </is>
      </c>
      <c r="BJ2326" s="4">
        <v>46144.756064814814</v>
      </c>
      <c r="BK2326" s="4">
        <v>43318.42193287037</v>
      </c>
      <c r="BL2326" t="inlineStr">
        <is>
          <t>0.0</t>
        </is>
      </c>
      <c r="BM2326" t="inlineStr">
        <is>
          <t>0.0</t>
        </is>
      </c>
      <c r="BN2326" t="inlineStr">
        <is>
          <t>View Company Page</t>
        </is>
      </c>
      <c r="BO2326" s="4">
        <v>46059.67978009259</v>
      </c>
      <c r="BP2326">
        <v>165761</v>
      </c>
      <c r="BQ2326">
        <v>69506</v>
      </c>
      <c r="BR2326" t="inlineStr">
        <is>
          <t>Online</t>
        </is>
      </c>
      <c r="BS2326"/>
      <c r="BT2326">
        <v>69506</v>
      </c>
      <c r="BU2326"/>
      <c r="BV2326">
        <v>2690292</v>
      </c>
      <c r="BW2326" t="inlineStr">
        <is>
          <t>Customer Inquiry</t>
        </is>
      </c>
      <c r="BX2326"/>
      <c r="BY2326"/>
      <c r="BZ2326" s="4"/>
      <c r="CA2326"/>
      <c r="CB2326"/>
      <c r="CC2326" s="4"/>
      <c r="CD2326" t="inlineStr">
        <is>
          <t>5</t>
        </is>
      </c>
      <c r="CE2326" t="inlineStr">
        <is>
          <t>0</t>
        </is>
      </c>
      <c r="CF2326" t="inlineStr">
        <is>
          <t>Q2-W01</t>
        </is>
      </c>
      <c r="CG2326"/>
      <c r="CH2326"/>
      <c r="CI2326"/>
      <c r="CJ2326" t="inlineStr">
        <is>
          <t>Paid</t>
        </is>
      </c>
      <c r="CK2326" t="inlineStr">
        <is>
          <t>Not Eligible</t>
        </is>
      </c>
      <c r="CL2326"/>
      <c r="CM2326"/>
    </row>
    <row r="2327" ht="25.5" customHeight="1">
      <c r="A2327" t="inlineStr">
        <is>
          <t>4252810</t>
        </is>
      </c>
      <c r="B2327" s="2"/>
      <c r="C2327"/>
      <c r="D2327" s="3">
        <v>46119.68517361111</v>
      </c>
      <c r="E2327" t="inlineStr">
        <is>
          <t>Q2-W01</t>
        </is>
      </c>
      <c r="F2327" t="inlineStr">
        <is>
          <t>Josh</t>
        </is>
      </c>
      <c r="G2327" t="inlineStr">
        <is>
          <t>Lead</t>
        </is>
      </c>
      <c r="H2327" s="2" t="str">
        <f>=HYPERLINK("https://upbox.ajobthing.my/leads/4252810", "https://upbox.ajobthing.my/leads/4252810")</f>
        <v>https://upbox.ajobthing.my/leads/4252810</v>
      </c>
      <c r="I2327" t="inlineStr">
        <is>
          <t>NAMICOH SURIA PRESS SDN BHD</t>
        </is>
      </c>
      <c r="J2327" t="inlineStr">
        <is>
          <t>Dolphin</t>
        </is>
      </c>
      <c r="K2327" t="inlineStr">
        <is>
          <t>Josh</t>
        </is>
      </c>
      <c r="L2327" s="4"/>
      <c r="M2327" s="4">
        <v>46119.68618055555</v>
      </c>
      <c r="N2327"/>
      <c r="O2327">
        <v>6048</v>
      </c>
      <c r="P2327" s="4"/>
      <c r="Q2327" s="4"/>
      <c r="R2327"/>
      <c r="S2327"/>
      <c r="T2327" s="4"/>
      <c r="U2327" s="4"/>
      <c r="V2327"/>
      <c r="W2327"/>
      <c r="X2327"/>
      <c r="Y2327" t="inlineStr">
        <is>
          <t>Pending Appointment</t>
        </is>
      </c>
      <c r="Z2327" t="inlineStr">
        <is>
          <t>Hiring Now</t>
        </is>
      </c>
      <c r="AA2327">
        <v>20</v>
      </c>
      <c r="AB2327" t="inlineStr">
        <is>
          <t>No Appointment Made</t>
        </is>
      </c>
      <c r="AC2327"/>
      <c r="AD2327" t="inlineStr">
        <is>
          <t>20 operator</t>
        </is>
      </c>
      <c r="AE2327"/>
      <c r="AF2327">
        <v>3000</v>
      </c>
      <c r="AG2327" s="4"/>
      <c r="AH2327" s="4"/>
      <c r="AI2327"/>
      <c r="AJ2327"/>
      <c r="AK2327" t="inlineStr">
        <is>
          <t>Yes, I have</t>
        </is>
      </c>
      <c r="AL2327">
        <v>1</v>
      </c>
      <c r="AM2327"/>
      <c r="AN2327"/>
      <c r="AO2327"/>
      <c r="AP2327" t="inlineStr">
        <is>
          <t>Once a year (25%)</t>
        </is>
      </c>
      <c r="AQ2327"/>
      <c r="AR2327"/>
      <c r="AS2327" t="inlineStr">
        <is>
          <t>- Headcount: 20
- Hiring Job Details: 20 operator
- Number of outlets: Not available
- Have recruiter team: Yes
- Number of recruiter in company: 1
- Have ATS system: Not available
- Have career website: Not available
- Current hiring budget: RM3,000.00
- Whole year budget: Not available
- Whole year number of vacancies: Not available
- Hiring frequency: Once a year (25%)
- External job portal: Not available
- Hiring Urgency: Hiring Now</t>
        </is>
      </c>
      <c r="AT2327">
        <v>95</v>
      </c>
      <c r="AU2327" t="inlineStr">
        <is>
          <t>0.95</t>
        </is>
      </c>
      <c r="AV2327" t="inlineStr">
        <is>
          <t>25</t>
        </is>
      </c>
      <c r="AW2327" t="inlineStr">
        <is>
          <t>0</t>
        </is>
      </c>
      <c r="AX2327" t="inlineStr">
        <is>
          <t>Not Qualified</t>
        </is>
      </c>
      <c r="AY2327" s="4"/>
      <c r="AZ2327"/>
      <c r="BA2327"/>
      <c r="BB2327"/>
      <c r="BC2327"/>
      <c r="BD2327" s="4"/>
      <c r="BE2327"/>
      <c r="BF2327"/>
      <c r="BG2327" t="inlineStr">
        <is>
          <t>Reschedule</t>
        </is>
      </c>
      <c r="BH2327" t="inlineStr">
        <is>
          <t>Fauziah Maharan</t>
        </is>
      </c>
      <c r="BI2327"/>
      <c r="BJ2327" s="4">
        <v>46144.755740740744</v>
      </c>
      <c r="BK2327" s="4">
        <v>46118.652025462965</v>
      </c>
      <c r="BL2327" t="inlineStr">
        <is>
          <t>0.0</t>
        </is>
      </c>
      <c r="BM2327" t="inlineStr">
        <is>
          <t>4200.0</t>
        </is>
      </c>
      <c r="BN2327"/>
      <c r="BO2327" s="4"/>
      <c r="BP2327">
        <v>165745</v>
      </c>
      <c r="BQ2327"/>
      <c r="BR2327"/>
      <c r="BS2327"/>
      <c r="BT2327"/>
      <c r="BU2327"/>
      <c r="BV2327"/>
      <c r="BW2327"/>
      <c r="BX2327"/>
      <c r="BY2327"/>
      <c r="BZ2327" s="4"/>
      <c r="CA2327"/>
      <c r="CB2327"/>
      <c r="CC2327" s="4"/>
      <c r="CD2327" t="inlineStr">
        <is>
          <t>35</t>
        </is>
      </c>
      <c r="CE2327" t="inlineStr">
        <is>
          <t>0</t>
        </is>
      </c>
      <c r="CF2327" t="inlineStr">
        <is>
          <t>Q2-W01</t>
        </is>
      </c>
      <c r="CG2327"/>
      <c r="CH2327"/>
      <c r="CI2327"/>
      <c r="CJ2327" t="inlineStr">
        <is>
          <t>No Paid</t>
        </is>
      </c>
      <c r="CK2327" t="inlineStr">
        <is>
          <t>Eligible</t>
        </is>
      </c>
      <c r="CL2327"/>
      <c r="CM2327"/>
    </row>
    <row r="2328" ht="25.5" customHeight="1">
      <c r="A2328" t="inlineStr">
        <is>
          <t>163320</t>
        </is>
      </c>
      <c r="B2328" s="2"/>
      <c r="C2328"/>
      <c r="D2328" s="3">
        <v>46119.68884259259</v>
      </c>
      <c r="E2328" t="inlineStr">
        <is>
          <t>Q2-W01</t>
        </is>
      </c>
      <c r="F2328" t="inlineStr">
        <is>
          <t>Yuli</t>
        </is>
      </c>
      <c r="G2328" t="inlineStr">
        <is>
          <t>Customer</t>
        </is>
      </c>
      <c r="H2328" s="2" t="str">
        <f>=HYPERLINK("https://upbox.ajobthing.my/customer/163320", "https://upbox.ajobthing.my/customer/163320")</f>
        <v>https://upbox.ajobthing.my/customer/163320</v>
      </c>
      <c r="I2328" t="inlineStr">
        <is>
          <t>Diamond Point Sdn Bhd</t>
        </is>
      </c>
      <c r="J2328" t="inlineStr">
        <is>
          <t>Dolphin</t>
        </is>
      </c>
      <c r="K2328" t="inlineStr">
        <is>
          <t>YuLi</t>
        </is>
      </c>
      <c r="L2328" s="4"/>
      <c r="M2328" s="4">
        <v>46119.69608796296</v>
      </c>
      <c r="N2328"/>
      <c r="O2328">
        <v>7668</v>
      </c>
      <c r="P2328" s="4"/>
      <c r="Q2328" s="4">
        <v>44979.7003125</v>
      </c>
      <c r="R2328"/>
      <c r="S2328">
        <v>1908</v>
      </c>
      <c r="T2328" s="4">
        <v>44979.7003125</v>
      </c>
      <c r="U2328" s="4"/>
      <c r="V2328"/>
      <c r="W2328">
        <v>1908</v>
      </c>
      <c r="X2328"/>
      <c r="Y2328" t="inlineStr">
        <is>
          <t>Pending Appointment</t>
        </is>
      </c>
      <c r="Z2328" t="inlineStr">
        <is>
          <t>Hiring Now</t>
        </is>
      </c>
      <c r="AA2328">
        <v>2</v>
      </c>
      <c r="AB2328" t="inlineStr">
        <is>
          <t>No Appointment Made</t>
        </is>
      </c>
      <c r="AC2328"/>
      <c r="AD2328" t="inlineStr">
        <is>
          <t>sales promoter-Kajang IOI city mall, Icity, Alamanda, Penang
admin-open for HQ, Shah Alam</t>
        </is>
      </c>
      <c r="AE2328"/>
      <c r="AF2328"/>
      <c r="AG2328" s="4"/>
      <c r="AH2328" s="4"/>
      <c r="AI2328"/>
      <c r="AJ2328">
        <v>60</v>
      </c>
      <c r="AK2328"/>
      <c r="AL2328"/>
      <c r="AM2328"/>
      <c r="AN2328"/>
      <c r="AO2328"/>
      <c r="AP2328" t="inlineStr">
        <is>
          <t>Every month (100%)</t>
        </is>
      </c>
      <c r="AQ2328"/>
      <c r="AR2328" t="inlineStr">
        <is>
          <t>Jobstreet</t>
        </is>
      </c>
      <c r="AS2328" t="inlineStr">
        <is>
          <t>- Headcount: 2
- Hiring Job Details: sales promoter-Kajang IOI city mall, Icity, Alamanda, Penang; admin-open for HQ, Shah Alam
- Hiring Urgency: Hiring Now
- Number of outlets: 60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Every month (100%)
- External job portal: Jobstreet</t>
        </is>
      </c>
      <c r="AT2328">
        <v>55</v>
      </c>
      <c r="AU2328" t="inlineStr">
        <is>
          <t>0.55</t>
        </is>
      </c>
      <c r="AV2328" t="inlineStr">
        <is>
          <t>5</t>
        </is>
      </c>
      <c r="AW2328" t="inlineStr">
        <is>
          <t>0</t>
        </is>
      </c>
      <c r="AX2328" t="inlineStr">
        <is>
          <t>Not Qualified</t>
        </is>
      </c>
      <c r="AY2328" s="4"/>
      <c r="AZ2328"/>
      <c r="BA2328"/>
      <c r="BB2328"/>
      <c r="BC2328" t="inlineStr">
        <is>
          <t>called Ms. Sabrina not to proceed for this moment as the market is not good. will let me know when needed</t>
        </is>
      </c>
      <c r="BD2328" s="4">
        <v>46136.69363425926</v>
      </c>
      <c r="BE2328" t="inlineStr">
        <is>
          <t>paid</t>
        </is>
      </c>
      <c r="BF2328"/>
      <c r="BG2328" t="inlineStr">
        <is>
          <t>Reschedule</t>
        </is>
      </c>
      <c r="BH2328" t="inlineStr">
        <is>
          <t>Fauziah Maharan</t>
        </is>
      </c>
      <c r="BI2328" t="inlineStr">
        <is>
          <t>Retail / Merchandise</t>
        </is>
      </c>
      <c r="BJ2328" s="4">
        <v>46144.751180555555</v>
      </c>
      <c r="BK2328" s="4">
        <v>44925.72241898148</v>
      </c>
      <c r="BL2328" t="inlineStr">
        <is>
          <t>0.0</t>
        </is>
      </c>
      <c r="BM2328" t="inlineStr">
        <is>
          <t>0.0</t>
        </is>
      </c>
      <c r="BN2328" t="inlineStr">
        <is>
          <t>View Company Page</t>
        </is>
      </c>
      <c r="BO2328" s="4">
        <v>46119.688784722224</v>
      </c>
      <c r="BP2328">
        <v>165755</v>
      </c>
      <c r="BQ2328">
        <v>55856</v>
      </c>
      <c r="BR2328" t="inlineStr">
        <is>
          <t>Online</t>
        </is>
      </c>
      <c r="BS2328"/>
      <c r="BT2328">
        <v>55856</v>
      </c>
      <c r="BU2328"/>
      <c r="BV2328">
        <v>2727105</v>
      </c>
      <c r="BW2328" t="inlineStr">
        <is>
          <t>Follow Up : Budget Concern</t>
        </is>
      </c>
      <c r="BX2328"/>
      <c r="BY2328"/>
      <c r="BZ2328" s="4"/>
      <c r="CA2328"/>
      <c r="CB2328"/>
      <c r="CC2328" s="4"/>
      <c r="CD2328" t="inlineStr">
        <is>
          <t>5</t>
        </is>
      </c>
      <c r="CE2328" t="inlineStr">
        <is>
          <t>0</t>
        </is>
      </c>
      <c r="CF2328" t="inlineStr">
        <is>
          <t>Q2-W01</t>
        </is>
      </c>
      <c r="CG2328"/>
      <c r="CH2328"/>
      <c r="CI2328"/>
      <c r="CJ2328" t="inlineStr">
        <is>
          <t>Paid</t>
        </is>
      </c>
      <c r="CK2328" t="inlineStr">
        <is>
          <t>Not Eligible</t>
        </is>
      </c>
      <c r="CL2328"/>
      <c r="CM2328"/>
    </row>
    <row r="2329" ht="25.5" customHeight="1">
      <c r="A2329" t="inlineStr">
        <is>
          <t>50878</t>
        </is>
      </c>
      <c r="B2329" s="2"/>
      <c r="C2329"/>
      <c r="D2329" s="3">
        <v>46119.6899537037</v>
      </c>
      <c r="E2329" t="inlineStr">
        <is>
          <t>Q2-W01</t>
        </is>
      </c>
      <c r="F2329" t="inlineStr">
        <is>
          <t>Evan</t>
        </is>
      </c>
      <c r="G2329" t="inlineStr">
        <is>
          <t>Customer</t>
        </is>
      </c>
      <c r="H2329" s="2" t="str">
        <f>=HYPERLINK("https://upbox.ajobthing.my/customer/50878", "https://upbox.ajobthing.my/customer/50878")</f>
        <v>https://upbox.ajobthing.my/customer/50878</v>
      </c>
      <c r="I2329" t="inlineStr">
        <is>
          <t>Vclink Gadget Marketing</t>
        </is>
      </c>
      <c r="J2329" t="inlineStr">
        <is>
          <t>Dolphin</t>
        </is>
      </c>
      <c r="K2329" t="inlineStr">
        <is>
          <t>Evan</t>
        </is>
      </c>
      <c r="L2329" s="4"/>
      <c r="M2329" s="4">
        <v>46119.68614583334</v>
      </c>
      <c r="N2329"/>
      <c r="O2329">
        <v>3672</v>
      </c>
      <c r="P2329" s="4"/>
      <c r="Q2329" s="4">
        <v>46142.530497685184</v>
      </c>
      <c r="R2329"/>
      <c r="S2329">
        <v>0</v>
      </c>
      <c r="T2329" s="4">
        <v>45401.48490740741</v>
      </c>
      <c r="U2329" s="4"/>
      <c r="V2329"/>
      <c r="W2329">
        <v>756</v>
      </c>
      <c r="X2329"/>
      <c r="Y2329" t="inlineStr">
        <is>
          <t>Pending Appointment</t>
        </is>
      </c>
      <c r="Z2329" t="inlineStr">
        <is>
          <t>Hiring Now</t>
        </is>
      </c>
      <c r="AA2329">
        <v>1</v>
      </c>
      <c r="AB2329" t="inlineStr">
        <is>
          <t>No Appointment Made</t>
        </is>
      </c>
      <c r="AC2329"/>
      <c r="AD2329" t="inlineStr">
        <is>
          <t>1 sales, all base in Klang</t>
        </is>
      </c>
      <c r="AE2329"/>
      <c r="AF2329">
        <v>1</v>
      </c>
      <c r="AG2329" s="4"/>
      <c r="AH2329" s="4"/>
      <c r="AI2329">
        <v>1</v>
      </c>
      <c r="AJ2329">
        <v>1</v>
      </c>
      <c r="AK2329" t="inlineStr">
        <is>
          <t>No, I don't need at all</t>
        </is>
      </c>
      <c r="AL2329">
        <v>0</v>
      </c>
      <c r="AM2329" t="inlineStr">
        <is>
          <t>No, I don't need at all</t>
        </is>
      </c>
      <c r="AN2329"/>
      <c r="AO2329" t="inlineStr">
        <is>
          <t>No, I don't need at all</t>
        </is>
      </c>
      <c r="AP2329" t="inlineStr">
        <is>
          <t>Once a year (25%)</t>
        </is>
      </c>
      <c r="AQ2329">
        <v>1</v>
      </c>
      <c r="AR2329" t="inlineStr">
        <is>
          <t>Did not use any job portal</t>
        </is>
      </c>
      <c r="AS2329" t="inlineStr">
        <is>
          <t>- Headcount: 1
- Hiring Job Details: 1 sales, all base in Klang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2329">
        <v>110</v>
      </c>
      <c r="AU2329" t="inlineStr">
        <is>
          <t>1.10</t>
        </is>
      </c>
      <c r="AV2329" t="inlineStr">
        <is>
          <t>15</t>
        </is>
      </c>
      <c r="AW2329" t="inlineStr">
        <is>
          <t>0</t>
        </is>
      </c>
      <c r="AX2329" t="inlineStr">
        <is>
          <t>Not Qualified</t>
        </is>
      </c>
      <c r="AY2329" s="4"/>
      <c r="AZ2329"/>
      <c r="BA2329"/>
      <c r="BB2329"/>
      <c r="BC2329" t="inlineStr">
        <is>
          <t>at partner there</t>
        </is>
      </c>
      <c r="BD2329" s="4">
        <v>46133.719363425924</v>
      </c>
      <c r="BE2329" t="inlineStr">
        <is>
          <t>paid</t>
        </is>
      </c>
      <c r="BF2329"/>
      <c r="BG2329" t="inlineStr">
        <is>
          <t>Reschedule</t>
        </is>
      </c>
      <c r="BH2329" t="inlineStr">
        <is>
          <t>Edward Hoo</t>
        </is>
      </c>
      <c r="BI2329" t="inlineStr">
        <is>
          <t>IT / Hardware</t>
        </is>
      </c>
      <c r="BJ2329" s="4">
        <v>46144.756064814814</v>
      </c>
      <c r="BK2329" s="4">
        <v>43306.44261574074</v>
      </c>
      <c r="BL2329" t="inlineStr">
        <is>
          <t>0.0</t>
        </is>
      </c>
      <c r="BM2329" t="inlineStr">
        <is>
          <t>0.0</t>
        </is>
      </c>
      <c r="BN2329" t="inlineStr">
        <is>
          <t>View Company Page</t>
        </is>
      </c>
      <c r="BO2329" s="4">
        <v>46142.53105324074</v>
      </c>
      <c r="BP2329">
        <v>165744</v>
      </c>
      <c r="BQ2329">
        <v>124182</v>
      </c>
      <c r="BR2329" t="inlineStr">
        <is>
          <t>Proforma</t>
        </is>
      </c>
      <c r="BS2329" t="inlineStr">
        <is>
          <t>Free Internship Job</t>
        </is>
      </c>
      <c r="BT2329">
        <v>68132</v>
      </c>
      <c r="BU2329"/>
      <c r="BV2329">
        <v>2719031</v>
      </c>
      <c r="BW2329" t="inlineStr">
        <is>
          <t>Follow Up : Decision Pending</t>
        </is>
      </c>
      <c r="BX2329">
        <v>1</v>
      </c>
      <c r="BY2329">
        <v>1</v>
      </c>
      <c r="BZ2329" s="4"/>
      <c r="CA2329"/>
      <c r="CB2329"/>
      <c r="CC2329" s="4"/>
      <c r="CD2329" t="inlineStr">
        <is>
          <t>20</t>
        </is>
      </c>
      <c r="CE2329" t="inlineStr">
        <is>
          <t>0</t>
        </is>
      </c>
      <c r="CF2329" t="inlineStr">
        <is>
          <t>Q2-W01</t>
        </is>
      </c>
      <c r="CG2329" t="inlineStr">
        <is>
          <t>Q2-W04</t>
        </is>
      </c>
      <c r="CH2329"/>
      <c r="CI2329"/>
      <c r="CJ2329" t="inlineStr">
        <is>
          <t>Paid</t>
        </is>
      </c>
      <c r="CK2329" t="inlineStr">
        <is>
          <t>Not Eligible</t>
        </is>
      </c>
      <c r="CL2329"/>
      <c r="CM2329"/>
    </row>
    <row r="2330" ht="25.5" customHeight="1">
      <c r="A2330" t="inlineStr">
        <is>
          <t>118170</t>
        </is>
      </c>
      <c r="B2330" s="2"/>
      <c r="C2330"/>
      <c r="D2330" s="3">
        <v>46119.69092592593</v>
      </c>
      <c r="E2330" t="inlineStr">
        <is>
          <t>Q2-W01</t>
        </is>
      </c>
      <c r="F2330" t="inlineStr">
        <is>
          <t>Ratha</t>
        </is>
      </c>
      <c r="G2330" t="inlineStr">
        <is>
          <t>Customer</t>
        </is>
      </c>
      <c r="H2330" s="2" t="str">
        <f>=HYPERLINK("https://upbox.ajobthing.my/customer/118170", "https://upbox.ajobthing.my/customer/118170")</f>
        <v>https://upbox.ajobthing.my/customer/118170</v>
      </c>
      <c r="I2330" t="inlineStr">
        <is>
          <t>Advance System Holiday Sdn Bhd</t>
        </is>
      </c>
      <c r="J2330" t="inlineStr">
        <is>
          <t>Dolphin</t>
        </is>
      </c>
      <c r="K2330" t="inlineStr">
        <is>
          <t>Ratha</t>
        </is>
      </c>
      <c r="L2330" s="4"/>
      <c r="M2330" s="4">
        <v>46119.691342592596</v>
      </c>
      <c r="N2330"/>
      <c r="O2330">
        <v>3672</v>
      </c>
      <c r="P2330" s="4"/>
      <c r="Q2330" s="4">
        <v>45364.503229166665</v>
      </c>
      <c r="R2330"/>
      <c r="S2330">
        <v>2916</v>
      </c>
      <c r="T2330" s="4">
        <v>45364.00001157408</v>
      </c>
      <c r="U2330" s="4"/>
      <c r="V2330"/>
      <c r="W2330">
        <v>2916</v>
      </c>
      <c r="X2330"/>
      <c r="Y2330" t="inlineStr">
        <is>
          <t>Pending Appointment</t>
        </is>
      </c>
      <c r="Z2330" t="inlineStr">
        <is>
          <t>Hiring Now</t>
        </is>
      </c>
      <c r="AA2330">
        <v>2</v>
      </c>
      <c r="AB2330" t="inlineStr">
        <is>
          <t>No Appointment Made</t>
        </is>
      </c>
      <c r="AC2330"/>
      <c r="AD2330" t="inlineStr">
        <is>
          <t>Operation 1 to 2
Location : Ampang</t>
        </is>
      </c>
      <c r="AE2330"/>
      <c r="AF2330"/>
      <c r="AG2330" s="4"/>
      <c r="AH2330" s="4"/>
      <c r="AI2330">
        <v>0</v>
      </c>
      <c r="AJ2330">
        <v>1</v>
      </c>
      <c r="AK2330" t="inlineStr">
        <is>
          <t>Yes, I have</t>
        </is>
      </c>
      <c r="AL2330">
        <v>2</v>
      </c>
      <c r="AM2330" t="inlineStr">
        <is>
          <t>No, I don't need at all</t>
        </is>
      </c>
      <c r="AN2330"/>
      <c r="AO2330" t="inlineStr">
        <is>
          <t>No, I don't need at all</t>
        </is>
      </c>
      <c r="AP2330" t="inlineStr">
        <is>
          <t>Twice a year (50%)</t>
        </is>
      </c>
      <c r="AQ2330">
        <v>0</v>
      </c>
      <c r="AR2330" t="inlineStr">
        <is>
          <t>Free Job Portal</t>
        </is>
      </c>
      <c r="AS2330" t="inlineStr">
        <is>
          <t>- Headcount: 2
- Hiring Job Details: Operation 1 to 2; Location: Ampang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Twice a year (50%)
- External job portal: Free Job Portal</t>
        </is>
      </c>
      <c r="AT2330">
        <v>95</v>
      </c>
      <c r="AU2330" t="inlineStr">
        <is>
          <t>0.95</t>
        </is>
      </c>
      <c r="AV2330" t="inlineStr">
        <is>
          <t>5</t>
        </is>
      </c>
      <c r="AW2330" t="inlineStr">
        <is>
          <t>0</t>
        </is>
      </c>
      <c r="AX2330" t="inlineStr">
        <is>
          <t>Not Qualified</t>
        </is>
      </c>
      <c r="AY2330" s="4"/>
      <c r="AZ2330"/>
      <c r="BA2330"/>
      <c r="BB2330"/>
      <c r="BC2330" t="inlineStr">
        <is>
          <t>because of global issue thinking to hire new staffs - need to discuss &amp; if anything will get back</t>
        </is>
      </c>
      <c r="BD2330" s="4">
        <v>46132.459027777775</v>
      </c>
      <c r="BE2330" t="inlineStr">
        <is>
          <t>paid</t>
        </is>
      </c>
      <c r="BF2330"/>
      <c r="BG2330" t="inlineStr">
        <is>
          <t>Reschedule</t>
        </is>
      </c>
      <c r="BH2330" t="inlineStr">
        <is>
          <t>Fauziah Maharan</t>
        </is>
      </c>
      <c r="BI2330" t="inlineStr">
        <is>
          <t>Travel / Tourism</t>
        </is>
      </c>
      <c r="BJ2330" s="4">
        <v>46144.75019675926</v>
      </c>
      <c r="BK2330" s="4">
        <v>43587.57813657408</v>
      </c>
      <c r="BL2330" t="inlineStr">
        <is>
          <t>0.0</t>
        </is>
      </c>
      <c r="BM2330" t="inlineStr">
        <is>
          <t>0.0</t>
        </is>
      </c>
      <c r="BN2330" t="inlineStr">
        <is>
          <t>View Jobmanager Page</t>
        </is>
      </c>
      <c r="BO2330" s="4">
        <v>46035.8546412037</v>
      </c>
      <c r="BP2330">
        <v>165750</v>
      </c>
      <c r="BQ2330">
        <v>86977</v>
      </c>
      <c r="BR2330" t="inlineStr">
        <is>
          <t>Proforma</t>
        </is>
      </c>
      <c r="BS2330" t="inlineStr">
        <is>
          <t>Yearly Standard Plan</t>
        </is>
      </c>
      <c r="BT2330">
        <v>66852</v>
      </c>
      <c r="BU2330"/>
      <c r="BV2330">
        <v>2715049</v>
      </c>
      <c r="BW2330" t="inlineStr">
        <is>
          <t>Follow Up : Budget Concern</t>
        </is>
      </c>
      <c r="BX2330"/>
      <c r="BY2330"/>
      <c r="BZ2330" s="4"/>
      <c r="CA2330"/>
      <c r="CB2330"/>
      <c r="CC2330" s="4"/>
      <c r="CD2330" t="inlineStr">
        <is>
          <t>5</t>
        </is>
      </c>
      <c r="CE2330" t="inlineStr">
        <is>
          <t>0</t>
        </is>
      </c>
      <c r="CF2330" t="inlineStr">
        <is>
          <t>Q2-W01</t>
        </is>
      </c>
      <c r="CG2330"/>
      <c r="CH2330"/>
      <c r="CI2330"/>
      <c r="CJ2330" t="inlineStr">
        <is>
          <t>Paid</t>
        </is>
      </c>
      <c r="CK2330" t="inlineStr">
        <is>
          <t>Not Eligible</t>
        </is>
      </c>
      <c r="CL2330"/>
      <c r="CM2330"/>
    </row>
    <row r="2331" ht="25.5" customHeight="1">
      <c r="A2331" t="inlineStr">
        <is>
          <t>119014</t>
        </is>
      </c>
      <c r="B2331" s="2"/>
      <c r="C2331"/>
      <c r="D2331" s="3">
        <v>46119.6909375</v>
      </c>
      <c r="E2331" t="inlineStr">
        <is>
          <t>Q2-W01</t>
        </is>
      </c>
      <c r="F2331" t="inlineStr">
        <is>
          <t>Jia Hui</t>
        </is>
      </c>
      <c r="G2331" t="inlineStr">
        <is>
          <t>Customer</t>
        </is>
      </c>
      <c r="H2331" s="2" t="str">
        <f>=HYPERLINK("https://upbox.ajobthing.my/customer/119014", "https://upbox.ajobthing.my/customer/119014")</f>
        <v>https://upbox.ajobthing.my/customer/119014</v>
      </c>
      <c r="I2331" t="inlineStr">
        <is>
          <t>Allied Mobile Solutions Sdn Bhd</t>
        </is>
      </c>
      <c r="J2331" t="inlineStr">
        <is>
          <t>Dolphin</t>
        </is>
      </c>
      <c r="K2331" t="inlineStr">
        <is>
          <t>Jia Hui</t>
        </is>
      </c>
      <c r="L2331" s="4"/>
      <c r="M2331" s="4">
        <v>46119.719976851855</v>
      </c>
      <c r="N2331"/>
      <c r="O2331">
        <v>3888</v>
      </c>
      <c r="P2331" s="4"/>
      <c r="Q2331" s="4">
        <v>46127.61168981482</v>
      </c>
      <c r="R2331"/>
      <c r="S2331">
        <v>3672</v>
      </c>
      <c r="T2331" s="4">
        <v>46127.61168981482</v>
      </c>
      <c r="U2331" s="4"/>
      <c r="V2331"/>
      <c r="W2331">
        <v>3672</v>
      </c>
      <c r="X2331"/>
      <c r="Y2331" t="inlineStr">
        <is>
          <t>Pending Appointment</t>
        </is>
      </c>
      <c r="Z2331" t="inlineStr">
        <is>
          <t>Hiring Now</t>
        </is>
      </c>
      <c r="AA2331">
        <v>2</v>
      </c>
      <c r="AB2331" t="inlineStr">
        <is>
          <t>No Appointment Made</t>
        </is>
      </c>
      <c r="AC2331"/>
      <c r="AD2331" t="inlineStr">
        <is>
          <t>1 customer service, 1 admin</t>
        </is>
      </c>
      <c r="AE2331"/>
      <c r="AF2331">
        <v>1000</v>
      </c>
      <c r="AG2331" s="4"/>
      <c r="AH2331" s="4"/>
      <c r="AI2331"/>
      <c r="AJ2331"/>
      <c r="AK2331" t="inlineStr">
        <is>
          <t>Yes, I have</t>
        </is>
      </c>
      <c r="AL2331"/>
      <c r="AM2331"/>
      <c r="AN2331"/>
      <c r="AO2331"/>
      <c r="AP2331" t="inlineStr">
        <is>
          <t>Once a year (25%)</t>
        </is>
      </c>
      <c r="AQ2331"/>
      <c r="AR2331"/>
      <c r="AS2331" t="inlineStr">
        <is>
          <t>- Headcount: 2
- Hiring Job Details: 1 customer service, 1 admin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331">
        <v>95</v>
      </c>
      <c r="AU2331" t="inlineStr">
        <is>
          <t>0.95</t>
        </is>
      </c>
      <c r="AV2331" t="inlineStr">
        <is>
          <t>15</t>
        </is>
      </c>
      <c r="AW2331" t="inlineStr">
        <is>
          <t>0</t>
        </is>
      </c>
      <c r="AX2331" t="inlineStr">
        <is>
          <t>Not Qualified</t>
        </is>
      </c>
      <c r="AY2331" s="4"/>
      <c r="AZ2331"/>
      <c r="BA2331"/>
      <c r="BB2331"/>
      <c r="BC2331" t="inlineStr">
        <is>
          <t>enquiry on the similar job ads</t>
        </is>
      </c>
      <c r="BD2331" s="4">
        <v>46129.416550925926</v>
      </c>
      <c r="BE2331" t="inlineStr">
        <is>
          <t>paid</t>
        </is>
      </c>
      <c r="BF2331" t="inlineStr">
        <is>
          <t>Q2-W02</t>
        </is>
      </c>
      <c r="BG2331" t="inlineStr">
        <is>
          <t>Reschedule</t>
        </is>
      </c>
      <c r="BH2331" t="inlineStr">
        <is>
          <t>Reagen</t>
        </is>
      </c>
      <c r="BI2331" t="inlineStr">
        <is>
          <t>Telecommunication</t>
        </is>
      </c>
      <c r="BJ2331" s="4">
        <v>46144.75019675926</v>
      </c>
      <c r="BK2331" s="4">
        <v>43624.52119212963</v>
      </c>
      <c r="BL2331" t="inlineStr">
        <is>
          <t>3672.0</t>
        </is>
      </c>
      <c r="BM2331" t="inlineStr">
        <is>
          <t>600.0</t>
        </is>
      </c>
      <c r="BN2331" t="inlineStr">
        <is>
          <t>View Company Page</t>
        </is>
      </c>
      <c r="BO2331" s="4">
        <v>46142.38622685185</v>
      </c>
      <c r="BP2331">
        <v>165773</v>
      </c>
      <c r="BQ2331">
        <v>93647</v>
      </c>
      <c r="BR2331" t="inlineStr">
        <is>
          <t>Online</t>
        </is>
      </c>
      <c r="BS2331"/>
      <c r="BT2331">
        <v>93647</v>
      </c>
      <c r="BU2331"/>
      <c r="BV2331">
        <v>2711010</v>
      </c>
      <c r="BW2331" t="inlineStr">
        <is>
          <t>Service / Technical : Job Outcome Enquiry</t>
        </is>
      </c>
      <c r="BX2331">
        <v>6</v>
      </c>
      <c r="BY2331">
        <v>5</v>
      </c>
      <c r="BZ2331" s="4">
        <v>46129.40583333333</v>
      </c>
      <c r="CA2331">
        <v>60</v>
      </c>
      <c r="CB2331">
        <v>60</v>
      </c>
      <c r="CC2331" s="4"/>
      <c r="CD2331" t="inlineStr">
        <is>
          <t>20</t>
        </is>
      </c>
      <c r="CE2331" t="inlineStr">
        <is>
          <t>0</t>
        </is>
      </c>
      <c r="CF2331" t="inlineStr">
        <is>
          <t>Q2-W01</t>
        </is>
      </c>
      <c r="CG2331" t="inlineStr">
        <is>
          <t>Q2-W02</t>
        </is>
      </c>
      <c r="CH2331" t="inlineStr">
        <is>
          <t>Q2-W02</t>
        </is>
      </c>
      <c r="CI2331"/>
      <c r="CJ2331" t="inlineStr">
        <is>
          <t>Paid</t>
        </is>
      </c>
      <c r="CK2331" t="inlineStr">
        <is>
          <t>Not Eligible</t>
        </is>
      </c>
      <c r="CL2331"/>
      <c r="CM2331"/>
    </row>
    <row r="2332" ht="25.5" customHeight="1">
      <c r="A2332" t="inlineStr">
        <is>
          <t>35318</t>
        </is>
      </c>
      <c r="B2332" s="2"/>
      <c r="C2332"/>
      <c r="D2332" s="3">
        <v>46119.69259259259</v>
      </c>
      <c r="E2332" t="inlineStr">
        <is>
          <t>Q2-W01</t>
        </is>
      </c>
      <c r="F2332" t="inlineStr">
        <is>
          <t>Janice Yap</t>
        </is>
      </c>
      <c r="G2332" t="inlineStr">
        <is>
          <t>Customer</t>
        </is>
      </c>
      <c r="H2332" s="2" t="str">
        <f>=HYPERLINK("https://upbox.ajobthing.my/customer/35318", "https://upbox.ajobthing.my/customer/35318")</f>
        <v>https://upbox.ajobthing.my/customer/35318</v>
      </c>
      <c r="I2332" t="inlineStr">
        <is>
          <t>Travo Services</t>
        </is>
      </c>
      <c r="J2332" t="inlineStr">
        <is>
          <t>Dolphin</t>
        </is>
      </c>
      <c r="K2332" t="inlineStr">
        <is>
          <t>Janice</t>
        </is>
      </c>
      <c r="L2332" s="4"/>
      <c r="M2332" s="4">
        <v>46119.68834490741</v>
      </c>
      <c r="N2332"/>
      <c r="O2332">
        <v>3888</v>
      </c>
      <c r="P2332" s="4"/>
      <c r="Q2332" s="4">
        <v>43045.738020833334</v>
      </c>
      <c r="R2332"/>
      <c r="S2332">
        <v>530</v>
      </c>
      <c r="T2332" s="4">
        <v>43045.738020833334</v>
      </c>
      <c r="U2332" s="4"/>
      <c r="V2332"/>
      <c r="W2332">
        <v>530</v>
      </c>
      <c r="X2332"/>
      <c r="Y2332" t="inlineStr">
        <is>
          <t>Pending Appointment</t>
        </is>
      </c>
      <c r="Z2332" t="inlineStr">
        <is>
          <t>Hiring Now</t>
        </is>
      </c>
      <c r="AA2332">
        <v>1</v>
      </c>
      <c r="AB2332" t="inlineStr">
        <is>
          <t>No Appointment Made</t>
        </is>
      </c>
      <c r="AC2332"/>
      <c r="AD2332" t="inlineStr">
        <is>
          <t>1 intern operation</t>
        </is>
      </c>
      <c r="AE2332"/>
      <c r="AF2332">
        <v>0</v>
      </c>
      <c r="AG2332" s="4"/>
      <c r="AH2332" s="4"/>
      <c r="AI2332">
        <v>0</v>
      </c>
      <c r="AJ2332"/>
      <c r="AK2332" t="inlineStr">
        <is>
          <t>No, I don't need at all</t>
        </is>
      </c>
      <c r="AL2332">
        <v>0</v>
      </c>
      <c r="AM2332" t="inlineStr">
        <is>
          <t>No, I don't need at all</t>
        </is>
      </c>
      <c r="AN2332"/>
      <c r="AO2332" t="inlineStr">
        <is>
          <t>No, I don't need at all</t>
        </is>
      </c>
      <c r="AP2332" t="inlineStr">
        <is>
          <t>Once a year (25%)</t>
        </is>
      </c>
      <c r="AQ2332">
        <v>0</v>
      </c>
      <c r="AR2332" t="inlineStr">
        <is>
          <t>Free Job Portal</t>
        </is>
      </c>
      <c r="AS2332" t="inlineStr">
        <is>
          <t>- Headcount: 1
- Hiring Job Details: 1 intern operation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0
- Hiring frequency: Once a year (25%)
- External job portal: Free Job Portal</t>
        </is>
      </c>
      <c r="AT2332">
        <v>95</v>
      </c>
      <c r="AU2332" t="inlineStr">
        <is>
          <t>0.95</t>
        </is>
      </c>
      <c r="AV2332" t="inlineStr">
        <is>
          <t>15</t>
        </is>
      </c>
      <c r="AW2332" t="inlineStr">
        <is>
          <t>0</t>
        </is>
      </c>
      <c r="AX2332" t="inlineStr">
        <is>
          <t>Not Qualified</t>
        </is>
      </c>
      <c r="AY2332" s="4"/>
      <c r="AZ2332"/>
      <c r="BA2332"/>
      <c r="BB2332"/>
      <c r="BC2332" t="inlineStr">
        <is>
          <t>No need // high cost // prefer use other portal</t>
        </is>
      </c>
      <c r="BD2332" s="4">
        <v>46121.45421296296</v>
      </c>
      <c r="BE2332" t="inlineStr">
        <is>
          <t>paid</t>
        </is>
      </c>
      <c r="BF2332"/>
      <c r="BG2332" t="inlineStr">
        <is>
          <t>Reschedule</t>
        </is>
      </c>
      <c r="BH2332" t="inlineStr">
        <is>
          <t>Yee Hang</t>
        </is>
      </c>
      <c r="BI2332" t="inlineStr">
        <is>
          <t>Property / Real Estate</t>
        </is>
      </c>
      <c r="BJ2332" s="4">
        <v>46144.754594907405</v>
      </c>
      <c r="BK2332" s="4">
        <v>42821.4465162037</v>
      </c>
      <c r="BL2332" t="inlineStr">
        <is>
          <t>0.0</t>
        </is>
      </c>
      <c r="BM2332" t="inlineStr">
        <is>
          <t>0.0</t>
        </is>
      </c>
      <c r="BN2332" t="inlineStr">
        <is>
          <t>View Applicants</t>
        </is>
      </c>
      <c r="BO2332" s="4">
        <v>43262.73150462963</v>
      </c>
      <c r="BP2332">
        <v>165747</v>
      </c>
      <c r="BQ2332">
        <v>9475</v>
      </c>
      <c r="BR2332" t="inlineStr">
        <is>
          <t>Online</t>
        </is>
      </c>
      <c r="BS2332"/>
      <c r="BT2332">
        <v>9475</v>
      </c>
      <c r="BU2332"/>
      <c r="BV2332">
        <v>2694808</v>
      </c>
      <c r="BW2332" t="inlineStr">
        <is>
          <t>Follow Up : Budget Concern</t>
        </is>
      </c>
      <c r="BX2332"/>
      <c r="BY2332"/>
      <c r="BZ2332" s="4"/>
      <c r="CA2332"/>
      <c r="CB2332"/>
      <c r="CC2332" s="4"/>
      <c r="CD2332" t="inlineStr">
        <is>
          <t>20</t>
        </is>
      </c>
      <c r="CE2332" t="inlineStr">
        <is>
          <t>0</t>
        </is>
      </c>
      <c r="CF2332" t="inlineStr">
        <is>
          <t>Q2-W01</t>
        </is>
      </c>
      <c r="CG2332"/>
      <c r="CH2332"/>
      <c r="CI2332"/>
      <c r="CJ2332" t="inlineStr">
        <is>
          <t>Paid</t>
        </is>
      </c>
      <c r="CK2332" t="inlineStr">
        <is>
          <t>Not Eligible</t>
        </is>
      </c>
      <c r="CL2332"/>
      <c r="CM2332"/>
    </row>
    <row r="2333" ht="25.5" customHeight="1">
      <c r="A2333" t="inlineStr">
        <is>
          <t>190211</t>
        </is>
      </c>
      <c r="B2333" s="2"/>
      <c r="C2333"/>
      <c r="D2333" s="3">
        <v>46119.694027777776</v>
      </c>
      <c r="E2333" t="inlineStr">
        <is>
          <t>Q2-W01</t>
        </is>
      </c>
      <c r="F2333" t="inlineStr">
        <is>
          <t>Jess</t>
        </is>
      </c>
      <c r="G2333" t="inlineStr">
        <is>
          <t>Customer</t>
        </is>
      </c>
      <c r="H2333" s="2" t="str">
        <f>=HYPERLINK("https://upbox.ajobthing.my/customer/190211", "https://upbox.ajobthing.my/customer/190211")</f>
        <v>https://upbox.ajobthing.my/customer/190211</v>
      </c>
      <c r="I2333" t="inlineStr">
        <is>
          <t>Peng Chu Management Sdn&amp;nbsp;Bhd</t>
        </is>
      </c>
      <c r="J2333" t="inlineStr">
        <is>
          <t>Dolphin</t>
        </is>
      </c>
      <c r="K2333" t="inlineStr">
        <is>
          <t>Jess Lim</t>
        </is>
      </c>
      <c r="L2333" s="4"/>
      <c r="M2333" s="4">
        <v>46119.69443287037</v>
      </c>
      <c r="N2333"/>
      <c r="O2333">
        <v>3888</v>
      </c>
      <c r="P2333" s="4"/>
      <c r="Q2333" s="4">
        <v>46083.75189814815</v>
      </c>
      <c r="R2333"/>
      <c r="S2333">
        <v>3888</v>
      </c>
      <c r="T2333" s="4">
        <v>45784.72924768519</v>
      </c>
      <c r="U2333" s="4"/>
      <c r="V2333"/>
      <c r="W2333">
        <v>2916</v>
      </c>
      <c r="X2333"/>
      <c r="Y2333" t="inlineStr">
        <is>
          <t>Pending Appointment</t>
        </is>
      </c>
      <c r="Z2333" t="inlineStr">
        <is>
          <t>Hiring Now</t>
        </is>
      </c>
      <c r="AA2333">
        <v>1</v>
      </c>
      <c r="AB2333" t="inlineStr">
        <is>
          <t>No Appointment Made</t>
        </is>
      </c>
      <c r="AC2333"/>
      <c r="AD2333" t="inlineStr">
        <is>
          <t>admin</t>
        </is>
      </c>
      <c r="AE2333"/>
      <c r="AF2333">
        <v>3600</v>
      </c>
      <c r="AG2333" s="4"/>
      <c r="AH2333" s="4"/>
      <c r="AI2333"/>
      <c r="AJ2333">
        <v>1</v>
      </c>
      <c r="AK2333" t="inlineStr">
        <is>
          <t>No, I don't need at all</t>
        </is>
      </c>
      <c r="AL2333">
        <v>1</v>
      </c>
      <c r="AM2333" t="inlineStr">
        <is>
          <t>No, I don't need at all</t>
        </is>
      </c>
      <c r="AN2333"/>
      <c r="AO2333"/>
      <c r="AP2333" t="inlineStr">
        <is>
          <t>Once a year (25%)</t>
        </is>
      </c>
      <c r="AQ2333"/>
      <c r="AR2333" t="inlineStr">
        <is>
          <t>Jobstreet</t>
        </is>
      </c>
      <c r="AS2333" t="inlineStr">
        <is>
          <t>- Headcount: 1
- Hiring Job Details: admin
- Hiring Urgency: Hiring Now
- Number of outlets: 1
- Have recruiter team: No, I don't need at all
- Number of recruiter in company: 1
- Have ATS system: No, I don't need at all
- Have career website: N/A
- Current hiring budget: RM3,600.00
- Whole year budget: N/A
- Whole year number of vacancies: N/A
- Hiring frequency: Once a year (25%)
- External job portal: Jobstreet</t>
        </is>
      </c>
      <c r="AT2333">
        <v>100</v>
      </c>
      <c r="AU2333" t="inlineStr">
        <is>
          <t>1.00</t>
        </is>
      </c>
      <c r="AV2333" t="inlineStr">
        <is>
          <t>15</t>
        </is>
      </c>
      <c r="AW2333" t="inlineStr">
        <is>
          <t>0</t>
        </is>
      </c>
      <c r="AX2333" t="inlineStr">
        <is>
          <t>Not Qualified</t>
        </is>
      </c>
      <c r="AY2333" s="4"/>
      <c r="AZ2333"/>
      <c r="BA2333"/>
      <c r="BB2333"/>
      <c r="BC2333" t="inlineStr">
        <is>
          <t>no pick up</t>
        </is>
      </c>
      <c r="BD2333" s="4">
        <v>46139.61488425926</v>
      </c>
      <c r="BE2333" t="inlineStr">
        <is>
          <t>pending</t>
        </is>
      </c>
      <c r="BF2333"/>
      <c r="BG2333" t="inlineStr">
        <is>
          <t>Reschedule</t>
        </is>
      </c>
      <c r="BH2333" t="inlineStr">
        <is>
          <t>Fauziah Maharan</t>
        </is>
      </c>
      <c r="BI2333" t="inlineStr">
        <is>
          <t>Food / Beverage</t>
        </is>
      </c>
      <c r="BJ2333" s="4">
        <v>46144.75234953704</v>
      </c>
      <c r="BK2333" s="4">
        <v>45765.406689814816</v>
      </c>
      <c r="BL2333" t="inlineStr">
        <is>
          <t>3996.0</t>
        </is>
      </c>
      <c r="BM2333" t="inlineStr">
        <is>
          <t>0.0</t>
        </is>
      </c>
      <c r="BN2333" t="inlineStr">
        <is>
          <t>User Visit(Logged In)</t>
        </is>
      </c>
      <c r="BO2333" s="4">
        <v>46135.430451388886</v>
      </c>
      <c r="BP2333">
        <v>165753</v>
      </c>
      <c r="BQ2333">
        <v>115842</v>
      </c>
      <c r="BR2333" t="inlineStr">
        <is>
          <t>Proforma</t>
        </is>
      </c>
      <c r="BS2333" t="inlineStr">
        <is>
          <t>AI Yearly Standard Plan (CNY Promo 26)</t>
        </is>
      </c>
      <c r="BT2333">
        <v>79086</v>
      </c>
      <c r="BU2333"/>
      <c r="BV2333">
        <v>2730028</v>
      </c>
      <c r="BW2333" t="inlineStr">
        <is>
          <t>No Answer : Voicemail - WA sent to customer</t>
        </is>
      </c>
      <c r="BX2333">
        <v>6</v>
      </c>
      <c r="BY2333">
        <v>0</v>
      </c>
      <c r="BZ2333" s="4">
        <v>46076.51054398148</v>
      </c>
      <c r="CA2333">
        <v>120</v>
      </c>
      <c r="CB2333">
        <v>118</v>
      </c>
      <c r="CC2333" s="4">
        <v>46115.65362268518</v>
      </c>
      <c r="CD2333" t="inlineStr">
        <is>
          <t>20</t>
        </is>
      </c>
      <c r="CE2333" t="inlineStr">
        <is>
          <t>0</t>
        </is>
      </c>
      <c r="CF2333" t="inlineStr">
        <is>
          <t>Q2-W01</t>
        </is>
      </c>
      <c r="CG2333" t="inlineStr">
        <is>
          <t>Q1-W09</t>
        </is>
      </c>
      <c r="CH2333"/>
      <c r="CI2333"/>
      <c r="CJ2333" t="inlineStr">
        <is>
          <t>Paid</t>
        </is>
      </c>
      <c r="CK2333" t="inlineStr">
        <is>
          <t>Not Eligible</t>
        </is>
      </c>
      <c r="CL2333"/>
      <c r="CM2333"/>
    </row>
    <row r="2334" ht="25.5" customHeight="1">
      <c r="A2334" t="inlineStr">
        <is>
          <t>196044</t>
        </is>
      </c>
      <c r="B2334" s="2"/>
      <c r="C2334"/>
      <c r="D2334" s="3">
        <v>46119.69883101852</v>
      </c>
      <c r="E2334" t="inlineStr">
        <is>
          <t>Q2-W01</t>
        </is>
      </c>
      <c r="F2334" t="inlineStr">
        <is>
          <t>Angel  Low</t>
        </is>
      </c>
      <c r="G2334" t="inlineStr">
        <is>
          <t>Customer</t>
        </is>
      </c>
      <c r="H2334" s="2" t="str">
        <f>=HYPERLINK("https://upbox.ajobthing.my/customer/196044", "https://upbox.ajobthing.my/customer/196044")</f>
        <v>https://upbox.ajobthing.my/customer/196044</v>
      </c>
      <c r="I2334" t="inlineStr">
        <is>
          <t>OGS Com Sdn Bhd</t>
        </is>
      </c>
      <c r="J2334" t="inlineStr">
        <is>
          <t>Dolphin</t>
        </is>
      </c>
      <c r="K2334" t="inlineStr">
        <is>
          <t>Angel Low</t>
        </is>
      </c>
      <c r="L2334" s="4"/>
      <c r="M2334" s="4">
        <v>46119.69994212963</v>
      </c>
      <c r="N2334"/>
      <c r="O2334">
        <v>3672</v>
      </c>
      <c r="P2334" s="4"/>
      <c r="Q2334" s="4">
        <v>46066.90008101852</v>
      </c>
      <c r="R2334"/>
      <c r="S2334">
        <v>0</v>
      </c>
      <c r="T2334" s="4">
        <v>45912.863125</v>
      </c>
      <c r="U2334" s="4"/>
      <c r="V2334"/>
      <c r="W2334">
        <v>648</v>
      </c>
      <c r="X2334"/>
      <c r="Y2334" t="inlineStr">
        <is>
          <t>Pending Appointment</t>
        </is>
      </c>
      <c r="Z2334"/>
      <c r="AA2334">
        <v>1</v>
      </c>
      <c r="AB2334" t="inlineStr">
        <is>
          <t>No Appointment Made</t>
        </is>
      </c>
      <c r="AC2334"/>
      <c r="AD2334" t="inlineStr">
        <is>
          <t xml:space="preserve">1 sales exec </t>
        </is>
      </c>
      <c r="AE2334"/>
      <c r="AF2334"/>
      <c r="AG2334" s="4"/>
      <c r="AH2334" s="4"/>
      <c r="AI2334"/>
      <c r="AJ2334"/>
      <c r="AK2334"/>
      <c r="AL2334"/>
      <c r="AM2334"/>
      <c r="AN2334"/>
      <c r="AO2334"/>
      <c r="AP2334"/>
      <c r="AQ2334"/>
      <c r="AR2334"/>
      <c r="AS2334" t="inlineStr">
        <is>
          <t>- Headcount: 1
- Hiring Job Details: 1 sales exec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334">
        <v>60</v>
      </c>
      <c r="AU2334" t="inlineStr">
        <is>
          <t>0.60</t>
        </is>
      </c>
      <c r="AV2334" t="inlineStr">
        <is>
          <t>5</t>
        </is>
      </c>
      <c r="AW2334" t="inlineStr">
        <is>
          <t>0</t>
        </is>
      </c>
      <c r="AX2334" t="inlineStr">
        <is>
          <t>Not Qualified</t>
        </is>
      </c>
      <c r="AY2334" s="4"/>
      <c r="AZ2334"/>
      <c r="BA2334"/>
      <c r="BB2334"/>
      <c r="BC2334" t="inlineStr">
        <is>
          <t>- Headcount: 1
- Hiring Job Details: 1 sales exec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334" s="4">
        <v>46119.708402777775</v>
      </c>
      <c r="BE2334" t="inlineStr">
        <is>
          <t>paid</t>
        </is>
      </c>
      <c r="BF2334"/>
      <c r="BG2334" t="inlineStr">
        <is>
          <t>Reschedule</t>
        </is>
      </c>
      <c r="BH2334" t="inlineStr">
        <is>
          <t>Fauziah Maharan</t>
        </is>
      </c>
      <c r="BI2334" t="inlineStr">
        <is>
          <t>Telecommunication</t>
        </is>
      </c>
      <c r="BJ2334" s="4">
        <v>46144.7528125</v>
      </c>
      <c r="BK2334" s="4">
        <v>45911.858622685184</v>
      </c>
      <c r="BL2334" t="inlineStr">
        <is>
          <t>648.0</t>
        </is>
      </c>
      <c r="BM2334" t="inlineStr">
        <is>
          <t>600.0</t>
        </is>
      </c>
      <c r="BN2334" t="inlineStr">
        <is>
          <t>View Jobmanager Page</t>
        </is>
      </c>
      <c r="BO2334" s="4">
        <v>46002.63616898148</v>
      </c>
      <c r="BP2334">
        <v>165759</v>
      </c>
      <c r="BQ2334">
        <v>115160</v>
      </c>
      <c r="BR2334" t="inlineStr">
        <is>
          <t>Proforma</t>
        </is>
      </c>
      <c r="BS2334" t="inlineStr">
        <is>
          <t>Free Internship Job</t>
        </is>
      </c>
      <c r="BT2334">
        <v>82375</v>
      </c>
      <c r="BU2334"/>
      <c r="BV2334">
        <v>2690310</v>
      </c>
      <c r="BW2334" t="inlineStr">
        <is>
          <t>Customer Inquiry</t>
        </is>
      </c>
      <c r="BX2334"/>
      <c r="BY2334"/>
      <c r="BZ2334" s="4"/>
      <c r="CA2334"/>
      <c r="CB2334"/>
      <c r="CC2334" s="4"/>
      <c r="CD2334" t="inlineStr">
        <is>
          <t>5</t>
        </is>
      </c>
      <c r="CE2334" t="inlineStr">
        <is>
          <t>0</t>
        </is>
      </c>
      <c r="CF2334" t="inlineStr">
        <is>
          <t>Q2-W01</t>
        </is>
      </c>
      <c r="CG2334" t="inlineStr">
        <is>
          <t>Q1-W07</t>
        </is>
      </c>
      <c r="CH2334"/>
      <c r="CI2334"/>
      <c r="CJ2334" t="inlineStr">
        <is>
          <t>Paid</t>
        </is>
      </c>
      <c r="CK2334" t="inlineStr">
        <is>
          <t>Not Eligible</t>
        </is>
      </c>
      <c r="CL2334"/>
      <c r="CM2334"/>
    </row>
    <row r="2335" ht="25.5" customHeight="1">
      <c r="A2335" t="inlineStr">
        <is>
          <t>163320</t>
        </is>
      </c>
      <c r="B2335" s="2"/>
      <c r="C2335"/>
      <c r="D2335" s="3">
        <v>46119.69930555556</v>
      </c>
      <c r="E2335" t="inlineStr">
        <is>
          <t>Q2-W01</t>
        </is>
      </c>
      <c r="F2335" t="inlineStr">
        <is>
          <t>Yuli</t>
        </is>
      </c>
      <c r="G2335" t="inlineStr">
        <is>
          <t>Customer</t>
        </is>
      </c>
      <c r="H2335" s="2" t="str">
        <f>=HYPERLINK("https://upbox.ajobthing.my/customer/163320", "https://upbox.ajobthing.my/customer/163320")</f>
        <v>https://upbox.ajobthing.my/customer/163320</v>
      </c>
      <c r="I2335" t="inlineStr">
        <is>
          <t>Diamond Point Sdn Bhd</t>
        </is>
      </c>
      <c r="J2335" t="inlineStr">
        <is>
          <t>Dolphin</t>
        </is>
      </c>
      <c r="K2335" t="inlineStr">
        <is>
          <t>YuLi</t>
        </is>
      </c>
      <c r="L2335" s="4"/>
      <c r="M2335" s="4">
        <v>46119.69608796296</v>
      </c>
      <c r="N2335"/>
      <c r="O2335">
        <v>7668</v>
      </c>
      <c r="P2335" s="4"/>
      <c r="Q2335" s="4">
        <v>44979.7003125</v>
      </c>
      <c r="R2335"/>
      <c r="S2335">
        <v>1908</v>
      </c>
      <c r="T2335" s="4">
        <v>44979.7003125</v>
      </c>
      <c r="U2335" s="4"/>
      <c r="V2335"/>
      <c r="W2335">
        <v>1908</v>
      </c>
      <c r="X2335"/>
      <c r="Y2335" t="inlineStr">
        <is>
          <t>Pending Appointment</t>
        </is>
      </c>
      <c r="Z2335" t="inlineStr">
        <is>
          <t>Hiring Now</t>
        </is>
      </c>
      <c r="AA2335">
        <v>2</v>
      </c>
      <c r="AB2335" t="inlineStr">
        <is>
          <t>No Appointment Made</t>
        </is>
      </c>
      <c r="AC2335"/>
      <c r="AD2335" t="inlineStr">
        <is>
          <t xml:space="preserve">Retail Assistant and Clerk </t>
        </is>
      </c>
      <c r="AE2335"/>
      <c r="AF2335">
        <v>5000</v>
      </c>
      <c r="AG2335" s="4"/>
      <c r="AH2335" s="4"/>
      <c r="AI2335"/>
      <c r="AJ2335">
        <v>60</v>
      </c>
      <c r="AK2335" t="inlineStr">
        <is>
          <t>Yes, I have</t>
        </is>
      </c>
      <c r="AL2335">
        <v>1</v>
      </c>
      <c r="AM2335"/>
      <c r="AN2335"/>
      <c r="AO2335"/>
      <c r="AP2335" t="inlineStr">
        <is>
          <t>Every month (100%)</t>
        </is>
      </c>
      <c r="AQ2335"/>
      <c r="AR2335" t="inlineStr">
        <is>
          <t>Did not use any job portal</t>
        </is>
      </c>
      <c r="AS2335" t="inlineStr">
        <is>
          <t>- Headcount: 2
- Hiring Job Details: Retail Assistant and Clerk
- Hiring Urgency: Hiring Now
- Number of outlets: 60
- Have recruiter team: Yes
- Number of recruiter in company: 1
- Have ATS system: Not specified
- Have career website: Not specified
- Current hiring budget: RM5,000.00
- Whole year budget: Not specified
- Whole year number of vacancies: Not specified
- Hiring frequency: Every month (100%)
- External job portal: Did not use any job portal</t>
        </is>
      </c>
      <c r="AT2335">
        <v>95</v>
      </c>
      <c r="AU2335" t="inlineStr">
        <is>
          <t>0.95</t>
        </is>
      </c>
      <c r="AV2335" t="inlineStr">
        <is>
          <t>15</t>
        </is>
      </c>
      <c r="AW2335" t="inlineStr">
        <is>
          <t>0</t>
        </is>
      </c>
      <c r="AX2335" t="inlineStr">
        <is>
          <t>Not Qualified</t>
        </is>
      </c>
      <c r="AY2335" s="4"/>
      <c r="AZ2335"/>
      <c r="BA2335"/>
      <c r="BB2335"/>
      <c r="BC2335" t="inlineStr">
        <is>
          <t>called Ms. Sabrina not to proceed for this moment as the market is not good. will let me know when needed</t>
        </is>
      </c>
      <c r="BD2335" s="4">
        <v>46136.69363425926</v>
      </c>
      <c r="BE2335" t="inlineStr">
        <is>
          <t>paid</t>
        </is>
      </c>
      <c r="BF2335"/>
      <c r="BG2335" t="inlineStr">
        <is>
          <t>Reschedule</t>
        </is>
      </c>
      <c r="BH2335" t="inlineStr">
        <is>
          <t>Fauziah Maharan</t>
        </is>
      </c>
      <c r="BI2335" t="inlineStr">
        <is>
          <t>Retail / Merchandise</t>
        </is>
      </c>
      <c r="BJ2335" s="4">
        <v>46144.751180555555</v>
      </c>
      <c r="BK2335" s="4">
        <v>44925.72241898148</v>
      </c>
      <c r="BL2335" t="inlineStr">
        <is>
          <t>0.0</t>
        </is>
      </c>
      <c r="BM2335" t="inlineStr">
        <is>
          <t>0.0</t>
        </is>
      </c>
      <c r="BN2335" t="inlineStr">
        <is>
          <t>View Company Page</t>
        </is>
      </c>
      <c r="BO2335" s="4">
        <v>46119.688784722224</v>
      </c>
      <c r="BP2335">
        <v>165755</v>
      </c>
      <c r="BQ2335">
        <v>55856</v>
      </c>
      <c r="BR2335" t="inlineStr">
        <is>
          <t>Online</t>
        </is>
      </c>
      <c r="BS2335"/>
      <c r="BT2335">
        <v>55856</v>
      </c>
      <c r="BU2335"/>
      <c r="BV2335">
        <v>2727105</v>
      </c>
      <c r="BW2335" t="inlineStr">
        <is>
          <t>Follow Up : Budget Concern</t>
        </is>
      </c>
      <c r="BX2335"/>
      <c r="BY2335"/>
      <c r="BZ2335" s="4"/>
      <c r="CA2335"/>
      <c r="CB2335"/>
      <c r="CC2335" s="4"/>
      <c r="CD2335" t="inlineStr">
        <is>
          <t>20</t>
        </is>
      </c>
      <c r="CE2335" t="inlineStr">
        <is>
          <t>0</t>
        </is>
      </c>
      <c r="CF2335" t="inlineStr">
        <is>
          <t>Q2-W01</t>
        </is>
      </c>
      <c r="CG2335"/>
      <c r="CH2335"/>
      <c r="CI2335"/>
      <c r="CJ2335" t="inlineStr">
        <is>
          <t>Paid</t>
        </is>
      </c>
      <c r="CK2335" t="inlineStr">
        <is>
          <t>Not Eligible</t>
        </is>
      </c>
      <c r="CL2335"/>
      <c r="CM2335"/>
    </row>
    <row r="2336" ht="25.5" customHeight="1">
      <c r="A2336" t="inlineStr">
        <is>
          <t>162278</t>
        </is>
      </c>
      <c r="B2336" s="2"/>
      <c r="C2336"/>
      <c r="D2336" s="3">
        <v>46119.70216435185</v>
      </c>
      <c r="E2336" t="inlineStr">
        <is>
          <t>Q2-W01</t>
        </is>
      </c>
      <c r="F2336" t="inlineStr">
        <is>
          <t>Janice Yap</t>
        </is>
      </c>
      <c r="G2336" t="inlineStr">
        <is>
          <t>Customer</t>
        </is>
      </c>
      <c r="H2336" s="2" t="str">
        <f>=HYPERLINK("https://upbox.ajobthing.my/customer/162278", "https://upbox.ajobthing.my/customer/162278")</f>
        <v>https://upbox.ajobthing.my/customer/162278</v>
      </c>
      <c r="I2336" t="inlineStr">
        <is>
          <t>Leo Logistics (M) Sdn Bhd</t>
        </is>
      </c>
      <c r="J2336" t="inlineStr">
        <is>
          <t>Dolphin</t>
        </is>
      </c>
      <c r="K2336" t="inlineStr">
        <is>
          <t>Janice</t>
        </is>
      </c>
      <c r="L2336" s="4"/>
      <c r="M2336" s="4">
        <v>46119.700104166666</v>
      </c>
      <c r="N2336"/>
      <c r="O2336">
        <v>3888</v>
      </c>
      <c r="P2336" s="4"/>
      <c r="Q2336" s="4">
        <v>45342.416284722225</v>
      </c>
      <c r="R2336"/>
      <c r="S2336">
        <v>2862</v>
      </c>
      <c r="T2336" s="4">
        <v>44978.42555555556</v>
      </c>
      <c r="U2336" s="4"/>
      <c r="V2336"/>
      <c r="W2336">
        <v>1908</v>
      </c>
      <c r="X2336"/>
      <c r="Y2336" t="inlineStr">
        <is>
          <t>Pending Appointment</t>
        </is>
      </c>
      <c r="Z2336" t="inlineStr">
        <is>
          <t>Hiring Now</t>
        </is>
      </c>
      <c r="AA2336">
        <v>5</v>
      </c>
      <c r="AB2336" t="inlineStr">
        <is>
          <t>No Appointment Made</t>
        </is>
      </c>
      <c r="AC2336"/>
      <c r="AD2336" t="inlineStr">
        <is>
          <t>5 lorry driver</t>
        </is>
      </c>
      <c r="AE2336"/>
      <c r="AF2336">
        <v>0</v>
      </c>
      <c r="AG2336" s="4"/>
      <c r="AH2336" s="4"/>
      <c r="AI2336">
        <v>0</v>
      </c>
      <c r="AJ2336"/>
      <c r="AK2336" t="inlineStr">
        <is>
          <t>No, I don't need at all</t>
        </is>
      </c>
      <c r="AL2336">
        <v>0</v>
      </c>
      <c r="AM2336" t="inlineStr">
        <is>
          <t>No, I don't need at all</t>
        </is>
      </c>
      <c r="AN2336"/>
      <c r="AO2336" t="inlineStr">
        <is>
          <t>No, I don't need at all</t>
        </is>
      </c>
      <c r="AP2336" t="inlineStr">
        <is>
          <t>Once a year (25%)</t>
        </is>
      </c>
      <c r="AQ2336">
        <v>5</v>
      </c>
      <c r="AR2336" t="inlineStr">
        <is>
          <t>Did not use any job portal</t>
        </is>
      </c>
      <c r="AS2336" t="inlineStr">
        <is>
          <t>- Headcount: 5
- Hiring Job Details: 5 lorry driver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Did not use any job portal</t>
        </is>
      </c>
      <c r="AT2336">
        <v>110</v>
      </c>
      <c r="AU2336" t="inlineStr">
        <is>
          <t>1.10</t>
        </is>
      </c>
      <c r="AV2336" t="inlineStr">
        <is>
          <t>20</t>
        </is>
      </c>
      <c r="AW2336" t="inlineStr">
        <is>
          <t>0</t>
        </is>
      </c>
      <c r="AX2336" t="inlineStr">
        <is>
          <t>Not Qualified</t>
        </is>
      </c>
      <c r="AY2336" s="4"/>
      <c r="AZ2336"/>
      <c r="BA2336"/>
      <c r="BB2336"/>
      <c r="BC2336" t="inlineStr">
        <is>
          <t>No need // management reject to posting on portal // very hard to get lorry driver // prefer use walk in or free // hang up</t>
        </is>
      </c>
      <c r="BD2336" s="4">
        <v>46121.47225694444</v>
      </c>
      <c r="BE2336" t="inlineStr">
        <is>
          <t>pending</t>
        </is>
      </c>
      <c r="BF2336"/>
      <c r="BG2336" t="inlineStr">
        <is>
          <t>Reschedule</t>
        </is>
      </c>
      <c r="BH2336" t="inlineStr">
        <is>
          <t>Yee Hang</t>
        </is>
      </c>
      <c r="BI2336" t="inlineStr">
        <is>
          <t>Transportation / Logistics</t>
        </is>
      </c>
      <c r="BJ2336" s="4">
        <v>46144.75115740741</v>
      </c>
      <c r="BK2336" s="4">
        <v>44887.39268518519</v>
      </c>
      <c r="BL2336" t="inlineStr">
        <is>
          <t>0.0</t>
        </is>
      </c>
      <c r="BM2336" t="inlineStr">
        <is>
          <t>0.0</t>
        </is>
      </c>
      <c r="BN2336" t="inlineStr">
        <is>
          <t>View Create Job Page</t>
        </is>
      </c>
      <c r="BO2336" s="4">
        <v>45775.630219907405</v>
      </c>
      <c r="BP2336">
        <v>165760</v>
      </c>
      <c r="BQ2336">
        <v>85832</v>
      </c>
      <c r="BR2336" t="inlineStr">
        <is>
          <t>Proforma</t>
        </is>
      </c>
      <c r="BS2336" t="inlineStr">
        <is>
          <t>Yearly Standard Plan</t>
        </is>
      </c>
      <c r="BT2336">
        <v>55783</v>
      </c>
      <c r="BU2336"/>
      <c r="BV2336">
        <v>2694966</v>
      </c>
      <c r="BW2336" t="inlineStr">
        <is>
          <t>Follow Up : Lost - Free Portal</t>
        </is>
      </c>
      <c r="BX2336"/>
      <c r="BY2336"/>
      <c r="BZ2336" s="4"/>
      <c r="CA2336"/>
      <c r="CB2336"/>
      <c r="CC2336" s="4"/>
      <c r="CD2336" t="inlineStr">
        <is>
          <t>30</t>
        </is>
      </c>
      <c r="CE2336" t="inlineStr">
        <is>
          <t>0</t>
        </is>
      </c>
      <c r="CF2336" t="inlineStr">
        <is>
          <t>Q2-W01</t>
        </is>
      </c>
      <c r="CG2336"/>
      <c r="CH2336"/>
      <c r="CI2336"/>
      <c r="CJ2336" t="inlineStr">
        <is>
          <t>Paid</t>
        </is>
      </c>
      <c r="CK2336" t="inlineStr">
        <is>
          <t>Not Eligible</t>
        </is>
      </c>
      <c r="CL2336"/>
      <c r="CM2336"/>
    </row>
    <row r="2337" ht="25.5" customHeight="1">
      <c r="A2337" t="inlineStr">
        <is>
          <t>170866</t>
        </is>
      </c>
      <c r="B2337" s="2"/>
      <c r="C2337"/>
      <c r="D2337" s="3">
        <v>46119.706979166665</v>
      </c>
      <c r="E2337" t="inlineStr">
        <is>
          <t>Q2-W01</t>
        </is>
      </c>
      <c r="F2337" t="inlineStr">
        <is>
          <t>Clover</t>
        </is>
      </c>
      <c r="G2337" t="inlineStr">
        <is>
          <t>Customer</t>
        </is>
      </c>
      <c r="H2337" s="2" t="str">
        <f>=HYPERLINK("https://upbox.ajobthing.my/customer/170866", "https://upbox.ajobthing.my/customer/170866")</f>
        <v>https://upbox.ajobthing.my/customer/170866</v>
      </c>
      <c r="I2337" t="inlineStr">
        <is>
          <t>Vinjo Marketing Academy Sdn. Bhd.</t>
        </is>
      </c>
      <c r="J2337" t="inlineStr">
        <is>
          <t>Dolphin</t>
        </is>
      </c>
      <c r="K2337" t="inlineStr">
        <is>
          <t>Clover</t>
        </is>
      </c>
      <c r="L2337" s="4"/>
      <c r="M2337" s="4">
        <v>46119.70459490741</v>
      </c>
      <c r="N2337"/>
      <c r="O2337">
        <v>6048</v>
      </c>
      <c r="P2337" s="4"/>
      <c r="Q2337" s="4">
        <v>45804.468668981484</v>
      </c>
      <c r="R2337"/>
      <c r="S2337">
        <v>3132</v>
      </c>
      <c r="T2337" s="4">
        <v>45804.468668981484</v>
      </c>
      <c r="U2337" s="4"/>
      <c r="V2337"/>
      <c r="W2337">
        <v>3132</v>
      </c>
      <c r="X2337"/>
      <c r="Y2337" t="inlineStr">
        <is>
          <t>Pending Appointment</t>
        </is>
      </c>
      <c r="Z2337" t="inlineStr">
        <is>
          <t>Hiring Later</t>
        </is>
      </c>
      <c r="AA2337">
        <v>2</v>
      </c>
      <c r="AB2337" t="inlineStr">
        <is>
          <t>No Appointment Made</t>
        </is>
      </c>
      <c r="AC2337"/>
      <c r="AD2337" t="inlineStr">
        <is>
          <t>Job filled now,  previous hire for content creator, digital marketing, estimate 1-2, tmn conaught, marketing company, allow to wa, share pro</t>
        </is>
      </c>
      <c r="AE2337"/>
      <c r="AF2337">
        <v>5000</v>
      </c>
      <c r="AG2337" s="4"/>
      <c r="AH2337" s="4"/>
      <c r="AI2337">
        <v>5000</v>
      </c>
      <c r="AJ2337">
        <v>1</v>
      </c>
      <c r="AK2337" t="inlineStr">
        <is>
          <t>No, but I want in future</t>
        </is>
      </c>
      <c r="AL2337">
        <v>1</v>
      </c>
      <c r="AM2337" t="inlineStr">
        <is>
          <t>No, but I want in future</t>
        </is>
      </c>
      <c r="AN2337"/>
      <c r="AO2337" t="inlineStr">
        <is>
          <t>No, but I want in future</t>
        </is>
      </c>
      <c r="AP2337" t="inlineStr">
        <is>
          <t>Twice a year (50%)</t>
        </is>
      </c>
      <c r="AQ2337">
        <v>2</v>
      </c>
      <c r="AR2337" t="inlineStr">
        <is>
          <t>Did not use any job portal</t>
        </is>
      </c>
      <c r="AS2337" t="inlineStr">
        <is>
          <t>- Headcount: 2
- Hiring Job Details: Job filled now, previous hire for content creator, digital marketing, estimate 1-2, tmn conaught, marketing company, allow to wa, share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2
- Hiring frequency: Twice a year (50%)
- External job portal: Did not use any job portal</t>
        </is>
      </c>
      <c r="AT2337">
        <v>105</v>
      </c>
      <c r="AU2337" t="inlineStr">
        <is>
          <t>1.05</t>
        </is>
      </c>
      <c r="AV2337" t="inlineStr">
        <is>
          <t>15</t>
        </is>
      </c>
      <c r="AW2337" t="inlineStr">
        <is>
          <t>0</t>
        </is>
      </c>
      <c r="AX2337" t="inlineStr">
        <is>
          <t>Not Qualified</t>
        </is>
      </c>
      <c r="AY2337" s="4"/>
      <c r="AZ2337"/>
      <c r="BA2337"/>
      <c r="BB2337"/>
      <c r="BC2337" t="inlineStr">
        <is>
          <t>wa fu</t>
        </is>
      </c>
      <c r="BD2337" s="4">
        <v>46140.797800925924</v>
      </c>
      <c r="BE2337" t="inlineStr">
        <is>
          <t>paid</t>
        </is>
      </c>
      <c r="BF2337"/>
      <c r="BG2337" t="inlineStr">
        <is>
          <t>Reschedule</t>
        </is>
      </c>
      <c r="BH2337" t="inlineStr">
        <is>
          <t>Reagen</t>
        </is>
      </c>
      <c r="BI2337" t="inlineStr">
        <is>
          <t>Education / Training</t>
        </is>
      </c>
      <c r="BJ2337" s="4">
        <v>46144.75142361111</v>
      </c>
      <c r="BK2337" s="4">
        <v>45177.598599537036</v>
      </c>
      <c r="BL2337" t="inlineStr">
        <is>
          <t>3132.0</t>
        </is>
      </c>
      <c r="BM2337" t="inlineStr">
        <is>
          <t>0.0</t>
        </is>
      </c>
      <c r="BN2337" t="inlineStr">
        <is>
          <t>View Candidate Search Page</t>
        </is>
      </c>
      <c r="BO2337" s="4">
        <v>45995.01734953704</v>
      </c>
      <c r="BP2337">
        <v>165763</v>
      </c>
      <c r="BQ2337">
        <v>79579</v>
      </c>
      <c r="BR2337" t="inlineStr">
        <is>
          <t>Online</t>
        </is>
      </c>
      <c r="BS2337"/>
      <c r="BT2337">
        <v>79579</v>
      </c>
      <c r="BU2337"/>
      <c r="BV2337">
        <v>2734042</v>
      </c>
      <c r="BW2337" t="inlineStr">
        <is>
          <t>No Answer : Voicemail - WA sent to customer</t>
        </is>
      </c>
      <c r="BX2337">
        <v>6</v>
      </c>
      <c r="BY2337">
        <v>0</v>
      </c>
      <c r="BZ2337" s="4">
        <v>45895.59409722222</v>
      </c>
      <c r="CA2337">
        <v>120</v>
      </c>
      <c r="CB2337">
        <v>86</v>
      </c>
      <c r="CC2337" s="4">
        <v>45993.940300925926</v>
      </c>
      <c r="CD2337" t="inlineStr">
        <is>
          <t>20</t>
        </is>
      </c>
      <c r="CE2337" t="inlineStr">
        <is>
          <t>0</t>
        </is>
      </c>
      <c r="CF2337" t="inlineStr">
        <is>
          <t>Q2-W01</t>
        </is>
      </c>
      <c r="CG2337"/>
      <c r="CH2337"/>
      <c r="CI2337"/>
      <c r="CJ2337" t="inlineStr">
        <is>
          <t>Paid</t>
        </is>
      </c>
      <c r="CK2337" t="inlineStr">
        <is>
          <t>Not Eligible</t>
        </is>
      </c>
      <c r="CL2337"/>
      <c r="CM2337"/>
    </row>
    <row r="2338" ht="25.5" customHeight="1">
      <c r="A2338" t="inlineStr">
        <is>
          <t>116709</t>
        </is>
      </c>
      <c r="B2338" s="2"/>
      <c r="C2338"/>
      <c r="D2338" s="3">
        <v>46119.71277777778</v>
      </c>
      <c r="E2338" t="inlineStr">
        <is>
          <t>Q2-W01</t>
        </is>
      </c>
      <c r="F2338" t="inlineStr">
        <is>
          <t>Jia Hui</t>
        </is>
      </c>
      <c r="G2338" t="inlineStr">
        <is>
          <t>Customer</t>
        </is>
      </c>
      <c r="H2338" s="2" t="str">
        <f>=HYPERLINK("https://upbox.ajobthing.my/customer/116709", "https://upbox.ajobthing.my/customer/116709")</f>
        <v>https://upbox.ajobthing.my/customer/116709</v>
      </c>
      <c r="I2338" t="inlineStr">
        <is>
          <t>Green Lagoon Technology Sdn Bhd</t>
        </is>
      </c>
      <c r="J2338" t="inlineStr">
        <is>
          <t>Dolphin</t>
        </is>
      </c>
      <c r="K2338" t="inlineStr">
        <is>
          <t>Jia Hui</t>
        </is>
      </c>
      <c r="L2338" s="4"/>
      <c r="M2338" s="4">
        <v>46119.712847222225</v>
      </c>
      <c r="N2338"/>
      <c r="O2338">
        <v>6048</v>
      </c>
      <c r="P2338" s="4"/>
      <c r="Q2338" s="4">
        <v>46112.503958333335</v>
      </c>
      <c r="R2338"/>
      <c r="S2338">
        <v>0</v>
      </c>
      <c r="T2338" s="4"/>
      <c r="U2338" s="4"/>
      <c r="V2338"/>
      <c r="W2338"/>
      <c r="X2338"/>
      <c r="Y2338" t="inlineStr">
        <is>
          <t>Pending Appointment</t>
        </is>
      </c>
      <c r="Z2338" t="inlineStr">
        <is>
          <t>Hiring Now</t>
        </is>
      </c>
      <c r="AA2338">
        <v>2</v>
      </c>
      <c r="AB2338" t="inlineStr">
        <is>
          <t>No Appointment Made</t>
        </is>
      </c>
      <c r="AC2338"/>
      <c r="AD2338" t="inlineStr">
        <is>
          <t>1 senior engineer, 1 sales developer</t>
        </is>
      </c>
      <c r="AE2338"/>
      <c r="AF2338">
        <v>1000</v>
      </c>
      <c r="AG2338" s="4"/>
      <c r="AH2338" s="4"/>
      <c r="AI2338"/>
      <c r="AJ2338"/>
      <c r="AK2338" t="inlineStr">
        <is>
          <t>Yes, I have</t>
        </is>
      </c>
      <c r="AL2338"/>
      <c r="AM2338"/>
      <c r="AN2338"/>
      <c r="AO2338"/>
      <c r="AP2338" t="inlineStr">
        <is>
          <t>Once a year (25%)</t>
        </is>
      </c>
      <c r="AQ2338"/>
      <c r="AR2338"/>
      <c r="AS2338" t="inlineStr">
        <is>
          <t>- Headcount: 2
- Hiring Job Details: 1 senior engineer, 1 sales developer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338">
        <v>95</v>
      </c>
      <c r="AU2338" t="inlineStr">
        <is>
          <t>0.95</t>
        </is>
      </c>
      <c r="AV2338" t="inlineStr">
        <is>
          <t>15</t>
        </is>
      </c>
      <c r="AW2338" t="inlineStr">
        <is>
          <t>0</t>
        </is>
      </c>
      <c r="AX2338" t="inlineStr">
        <is>
          <t>Not Qualified</t>
        </is>
      </c>
      <c r="AY2338" s="4"/>
      <c r="AZ2338"/>
      <c r="BA2338"/>
      <c r="BB2338"/>
      <c r="BC2338" t="inlineStr">
        <is>
          <t>no respond dy</t>
        </is>
      </c>
      <c r="BD2338" s="4">
        <v>46132.71109953704</v>
      </c>
      <c r="BE2338" t="inlineStr">
        <is>
          <t>paid</t>
        </is>
      </c>
      <c r="BF2338"/>
      <c r="BG2338" t="inlineStr">
        <is>
          <t>Reschedule</t>
        </is>
      </c>
      <c r="BH2338" t="inlineStr">
        <is>
          <t>Reagen</t>
        </is>
      </c>
      <c r="BI2338"/>
      <c r="BJ2338" s="4">
        <v>46144.75016203704</v>
      </c>
      <c r="BK2338" s="4">
        <v>43537.3884837963</v>
      </c>
      <c r="BL2338" t="inlineStr">
        <is>
          <t>0.0</t>
        </is>
      </c>
      <c r="BM2338" t="inlineStr">
        <is>
          <t>3000.0</t>
        </is>
      </c>
      <c r="BN2338" t="inlineStr">
        <is>
          <t>View Shop</t>
        </is>
      </c>
      <c r="BO2338" s="4">
        <v>43537.62571759259</v>
      </c>
      <c r="BP2338">
        <v>165769</v>
      </c>
      <c r="BQ2338">
        <v>118905</v>
      </c>
      <c r="BR2338" t="inlineStr">
        <is>
          <t>Proforma</t>
        </is>
      </c>
      <c r="BS2338" t="inlineStr">
        <is>
          <t>Free High Pay Job</t>
        </is>
      </c>
      <c r="BT2338"/>
      <c r="BU2338"/>
      <c r="BV2338">
        <v>2716512</v>
      </c>
      <c r="BW2338" t="inlineStr">
        <is>
          <t>Customer Inquiry</t>
        </is>
      </c>
      <c r="BX2338"/>
      <c r="BY2338"/>
      <c r="BZ2338" s="4"/>
      <c r="CA2338"/>
      <c r="CB2338"/>
      <c r="CC2338" s="4"/>
      <c r="CD2338" t="inlineStr">
        <is>
          <t>20</t>
        </is>
      </c>
      <c r="CE2338" t="inlineStr">
        <is>
          <t>0</t>
        </is>
      </c>
      <c r="CF2338" t="inlineStr">
        <is>
          <t>Q2-W01</t>
        </is>
      </c>
      <c r="CG2338" t="inlineStr">
        <is>
          <t>Q1-W13</t>
        </is>
      </c>
      <c r="CH2338"/>
      <c r="CI2338"/>
      <c r="CJ2338" t="inlineStr">
        <is>
          <t>No Paid</t>
        </is>
      </c>
      <c r="CK2338" t="inlineStr">
        <is>
          <t>Not Eligible</t>
        </is>
      </c>
      <c r="CL2338"/>
      <c r="CM2338"/>
    </row>
    <row r="2339" ht="25.5" customHeight="1">
      <c r="A2339" t="inlineStr">
        <is>
          <t>191916</t>
        </is>
      </c>
      <c r="B2339" s="2"/>
      <c r="C2339"/>
      <c r="D2339" s="3">
        <v>46119.71666666667</v>
      </c>
      <c r="E2339" t="inlineStr">
        <is>
          <t>Q2-W01</t>
        </is>
      </c>
      <c r="F2339" t="inlineStr">
        <is>
          <t>Clover</t>
        </is>
      </c>
      <c r="G2339" t="inlineStr">
        <is>
          <t>Customer</t>
        </is>
      </c>
      <c r="H2339" s="2" t="str">
        <f>=HYPERLINK("https://upbox.ajobthing.my/customer/191916", "https://upbox.ajobthing.my/customer/191916")</f>
        <v>https://upbox.ajobthing.my/customer/191916</v>
      </c>
      <c r="I2339" t="inlineStr">
        <is>
          <t>Citywide Advisory</t>
        </is>
      </c>
      <c r="J2339" t="inlineStr">
        <is>
          <t>Dolphin</t>
        </is>
      </c>
      <c r="K2339" t="inlineStr">
        <is>
          <t>Clover</t>
        </is>
      </c>
      <c r="L2339" s="4"/>
      <c r="M2339" s="4">
        <v>46119.71527777778</v>
      </c>
      <c r="N2339"/>
      <c r="O2339">
        <v>6048</v>
      </c>
      <c r="P2339" s="4"/>
      <c r="Q2339" s="4">
        <v>45812.66473379629</v>
      </c>
      <c r="R2339"/>
      <c r="S2339">
        <v>3672</v>
      </c>
      <c r="T2339" s="4">
        <v>45812.66473379629</v>
      </c>
      <c r="U2339" s="4"/>
      <c r="V2339"/>
      <c r="W2339">
        <v>3672</v>
      </c>
      <c r="X2339"/>
      <c r="Y2339" t="inlineStr">
        <is>
          <t>Pending Appointment</t>
        </is>
      </c>
      <c r="Z2339" t="inlineStr">
        <is>
          <t>Hiring Later</t>
        </is>
      </c>
      <c r="AA2339">
        <v>3</v>
      </c>
      <c r="AB2339" t="inlineStr">
        <is>
          <t>No Appointment Made</t>
        </is>
      </c>
      <c r="AC2339"/>
      <c r="AD2339" t="inlineStr">
        <is>
          <t>Mr Yong, hard to hire here, try JS, allow to share promo, long term hire telemarketing x3-5, penang</t>
        </is>
      </c>
      <c r="AE2339"/>
      <c r="AF2339">
        <v>5000</v>
      </c>
      <c r="AG2339" s="4"/>
      <c r="AH2339" s="4"/>
      <c r="AI2339">
        <v>5000</v>
      </c>
      <c r="AJ2339">
        <v>1</v>
      </c>
      <c r="AK2339" t="inlineStr">
        <is>
          <t>No, but I want in future</t>
        </is>
      </c>
      <c r="AL2339">
        <v>1</v>
      </c>
      <c r="AM2339" t="inlineStr">
        <is>
          <t>No, but I want in future</t>
        </is>
      </c>
      <c r="AN2339"/>
      <c r="AO2339" t="inlineStr">
        <is>
          <t>No, but I want in future</t>
        </is>
      </c>
      <c r="AP2339" t="inlineStr">
        <is>
          <t>Once per quarter (75%)</t>
        </is>
      </c>
      <c r="AQ2339">
        <v>5</v>
      </c>
      <c r="AR2339" t="inlineStr">
        <is>
          <t>Free Job Portal</t>
        </is>
      </c>
      <c r="AS2339" t="inlineStr">
        <is>
          <t>- Headcount: 3
- Hiring Job Details: Mr Yong, hard to hire here, try JS, allow to share promo, long term hire telemarketing x3-5, penang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Once per quarter (75%)
- External job portal: Free Job Portal</t>
        </is>
      </c>
      <c r="AT2339">
        <v>85</v>
      </c>
      <c r="AU2339" t="inlineStr">
        <is>
          <t>0.85</t>
        </is>
      </c>
      <c r="AV2339" t="inlineStr">
        <is>
          <t>15</t>
        </is>
      </c>
      <c r="AW2339" t="inlineStr">
        <is>
          <t>0</t>
        </is>
      </c>
      <c r="AX2339" t="inlineStr">
        <is>
          <t>Not Qualified</t>
        </is>
      </c>
      <c r="AY2339" s="4"/>
      <c r="AZ2339"/>
      <c r="BA2339"/>
      <c r="BB2339"/>
      <c r="BC2339" t="inlineStr">
        <is>
          <t>- Headcount: 3
- Hiring Job Details: Mr Yong, hard to hire here, try JS, allow to share promo, long term hire telemarketing x3-5, penang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Once per quarter (75%)
- External job portal: Free Job Portal</t>
        </is>
      </c>
      <c r="BD2339" s="4">
        <v>46119.750081018516</v>
      </c>
      <c r="BE2339" t="inlineStr">
        <is>
          <t>paid</t>
        </is>
      </c>
      <c r="BF2339"/>
      <c r="BG2339" t="inlineStr">
        <is>
          <t>Reschedule</t>
        </is>
      </c>
      <c r="BH2339" t="inlineStr">
        <is>
          <t>Reagen</t>
        </is>
      </c>
      <c r="BI2339" t="inlineStr">
        <is>
          <t>Banking / Finance</t>
        </is>
      </c>
      <c r="BJ2339" s="4">
        <v>46144.7524537037</v>
      </c>
      <c r="BK2339" s="4">
        <v>45805.658229166664</v>
      </c>
      <c r="BL2339" t="inlineStr">
        <is>
          <t>3672.0</t>
        </is>
      </c>
      <c r="BM2339" t="inlineStr">
        <is>
          <t>0.0</t>
        </is>
      </c>
      <c r="BN2339" t="inlineStr">
        <is>
          <t>View Candidate Search Page</t>
        </is>
      </c>
      <c r="BO2339" s="4">
        <v>46126.50444444444</v>
      </c>
      <c r="BP2339">
        <v>165771</v>
      </c>
      <c r="BQ2339">
        <v>79821</v>
      </c>
      <c r="BR2339" t="inlineStr">
        <is>
          <t>Online</t>
        </is>
      </c>
      <c r="BS2339"/>
      <c r="BT2339">
        <v>79821</v>
      </c>
      <c r="BU2339"/>
      <c r="BV2339">
        <v>2690640</v>
      </c>
      <c r="BW2339" t="inlineStr">
        <is>
          <t>Customer Inquiry</t>
        </is>
      </c>
      <c r="BX2339">
        <v>1</v>
      </c>
      <c r="BY2339">
        <v>0</v>
      </c>
      <c r="BZ2339" s="4">
        <v>45813.6065625</v>
      </c>
      <c r="CA2339">
        <v>145</v>
      </c>
      <c r="CB2339">
        <v>95</v>
      </c>
      <c r="CC2339" s="4">
        <v>46125.657858796294</v>
      </c>
      <c r="CD2339" t="inlineStr">
        <is>
          <t>20</t>
        </is>
      </c>
      <c r="CE2339" t="inlineStr">
        <is>
          <t>0</t>
        </is>
      </c>
      <c r="CF2339" t="inlineStr">
        <is>
          <t>Q2-W01</t>
        </is>
      </c>
      <c r="CG2339"/>
      <c r="CH2339"/>
      <c r="CI2339"/>
      <c r="CJ2339" t="inlineStr">
        <is>
          <t>Paid</t>
        </is>
      </c>
      <c r="CK2339" t="inlineStr">
        <is>
          <t>Not Eligible</t>
        </is>
      </c>
      <c r="CL2339"/>
      <c r="CM2339"/>
    </row>
    <row r="2340" ht="25.5" customHeight="1">
      <c r="A2340" t="inlineStr">
        <is>
          <t>201970</t>
        </is>
      </c>
      <c r="B2340" s="2"/>
      <c r="C2340"/>
      <c r="D2340" s="3">
        <v>46119.71758101852</v>
      </c>
      <c r="E2340" t="inlineStr">
        <is>
          <t>Q2-W01</t>
        </is>
      </c>
      <c r="F2340" t="inlineStr">
        <is>
          <t>Ken Yi</t>
        </is>
      </c>
      <c r="G2340" t="inlineStr">
        <is>
          <t>Customer</t>
        </is>
      </c>
      <c r="H2340" s="2" t="str">
        <f>=HYPERLINK("https://upbox.ajobthing.my/customer/201970", "https://upbox.ajobthing.my/customer/201970")</f>
        <v>https://upbox.ajobthing.my/customer/201970</v>
      </c>
      <c r="I2340" t="inlineStr">
        <is>
          <t>Luchtech</t>
        </is>
      </c>
      <c r="J2340" t="inlineStr">
        <is>
          <t>Dolphin</t>
        </is>
      </c>
      <c r="K2340" t="inlineStr">
        <is>
          <t>Kenyi</t>
        </is>
      </c>
      <c r="L2340" s="4"/>
      <c r="M2340" s="4">
        <v>46093.46947916667</v>
      </c>
      <c r="N2340"/>
      <c r="O2340">
        <v>1296</v>
      </c>
      <c r="P2340" s="4"/>
      <c r="Q2340" s="4">
        <v>46132.625</v>
      </c>
      <c r="R2340"/>
      <c r="S2340">
        <v>3672</v>
      </c>
      <c r="T2340" s="4">
        <v>46132.625</v>
      </c>
      <c r="U2340" s="4"/>
      <c r="V2340"/>
      <c r="W2340">
        <v>3672</v>
      </c>
      <c r="X2340"/>
      <c r="Y2340" t="inlineStr">
        <is>
          <t>Pending Appointment</t>
        </is>
      </c>
      <c r="Z2340" t="inlineStr">
        <is>
          <t>Hiring Now</t>
        </is>
      </c>
      <c r="AA2340">
        <v>2</v>
      </c>
      <c r="AB2340" t="inlineStr">
        <is>
          <t>No Appointment Made</t>
        </is>
      </c>
      <c r="AC2340"/>
      <c r="AD2340" t="inlineStr">
        <is>
          <t>Sales &amp; Marketing 1, Aircond Technician 1</t>
        </is>
      </c>
      <c r="AE2340"/>
      <c r="AF2340">
        <v>0</v>
      </c>
      <c r="AG2340" s="4"/>
      <c r="AH2340" s="4"/>
      <c r="AI2340">
        <v>0</v>
      </c>
      <c r="AJ2340">
        <v>1</v>
      </c>
      <c r="AK2340" t="inlineStr">
        <is>
          <t>Yes, I have</t>
        </is>
      </c>
      <c r="AL2340">
        <v>1</v>
      </c>
      <c r="AM2340" t="inlineStr">
        <is>
          <t>No, I don't need at all</t>
        </is>
      </c>
      <c r="AN2340"/>
      <c r="AO2340" t="inlineStr">
        <is>
          <t>No, I don't need at all</t>
        </is>
      </c>
      <c r="AP2340" t="inlineStr">
        <is>
          <t>Every month (100%)</t>
        </is>
      </c>
      <c r="AQ2340">
        <v>2</v>
      </c>
      <c r="AR2340" t="inlineStr">
        <is>
          <t>Jobstreet</t>
        </is>
      </c>
      <c r="AS2340" t="inlineStr">
        <is>
          <t>- Headcount: 2
- Hiring Job Details: Sales &amp; Marketing 1, Aircond Technician 1
- Hiring Urgency: Hiring Now
- Number of outlets: 1
- Have recruiter team: Yes
- Number of recruiter in company: 1
- Have ATS system: No, I don't need at all
- Have career website: No, I don't need at all
- Current hiring budget: RM0
- Whole year budget: RM0.00
- Whole year number of vacancies: 2
- Hiring frequency: Every month (100%)
- External job portal: Jobstreet</t>
        </is>
      </c>
      <c r="AT2340">
        <v>115</v>
      </c>
      <c r="AU2340" t="inlineStr">
        <is>
          <t>1.15</t>
        </is>
      </c>
      <c r="AV2340" t="inlineStr">
        <is>
          <t>15</t>
        </is>
      </c>
      <c r="AW2340" t="inlineStr">
        <is>
          <t>0</t>
        </is>
      </c>
      <c r="AX2340" t="inlineStr">
        <is>
          <t>Not Qualified</t>
        </is>
      </c>
      <c r="AY2340" s="4"/>
      <c r="AZ2340"/>
      <c r="BA2340"/>
      <c r="BB2340"/>
      <c r="BC2340" t="inlineStr">
        <is>
          <t>Help to post job</t>
        </is>
      </c>
      <c r="BD2340" s="4">
        <v>46136.57954861111</v>
      </c>
      <c r="BE2340" t="inlineStr">
        <is>
          <t>paid</t>
        </is>
      </c>
      <c r="BF2340" t="inlineStr">
        <is>
          <t>Q2-W03</t>
        </is>
      </c>
      <c r="BG2340" t="inlineStr">
        <is>
          <t>Reschedule</t>
        </is>
      </c>
      <c r="BH2340" t="inlineStr">
        <is>
          <t>Fauziah Maharan</t>
        </is>
      </c>
      <c r="BI2340" t="inlineStr">
        <is>
          <t>Engineering / Technical Consulting</t>
        </is>
      </c>
      <c r="BJ2340" s="4">
        <v>46144.753900462965</v>
      </c>
      <c r="BK2340" s="4">
        <v>46092.54903935185</v>
      </c>
      <c r="BL2340" t="inlineStr">
        <is>
          <t>3672.0</t>
        </is>
      </c>
      <c r="BM2340" t="inlineStr">
        <is>
          <t>1200.0</t>
        </is>
      </c>
      <c r="BN2340" t="inlineStr">
        <is>
          <t>Send Chat to Applicant</t>
        </is>
      </c>
      <c r="BO2340" s="4">
        <v>46144.45921296296</v>
      </c>
      <c r="BP2340">
        <v>161880</v>
      </c>
      <c r="BQ2340">
        <v>94377</v>
      </c>
      <c r="BR2340" t="inlineStr">
        <is>
          <t>Online</t>
        </is>
      </c>
      <c r="BS2340"/>
      <c r="BT2340">
        <v>94377</v>
      </c>
      <c r="BU2340"/>
      <c r="BV2340">
        <v>2726344</v>
      </c>
      <c r="BW2340" t="inlineStr">
        <is>
          <t>Service / Technical : Help To Post Job</t>
        </is>
      </c>
      <c r="BX2340">
        <v>6</v>
      </c>
      <c r="BY2340">
        <v>4</v>
      </c>
      <c r="BZ2340" s="4">
        <v>46136.582037037035</v>
      </c>
      <c r="CA2340">
        <v>73</v>
      </c>
      <c r="CB2340">
        <v>70</v>
      </c>
      <c r="CC2340" s="4">
        <v>46144.453877314816</v>
      </c>
      <c r="CD2340" t="inlineStr">
        <is>
          <t>20</t>
        </is>
      </c>
      <c r="CE2340" t="inlineStr">
        <is>
          <t>0</t>
        </is>
      </c>
      <c r="CF2340" t="inlineStr">
        <is>
          <t>Q1-W10</t>
        </is>
      </c>
      <c r="CG2340" t="inlineStr">
        <is>
          <t>Q2-W03</t>
        </is>
      </c>
      <c r="CH2340" t="inlineStr">
        <is>
          <t>Q2-W03</t>
        </is>
      </c>
      <c r="CI2340"/>
      <c r="CJ2340" t="inlineStr">
        <is>
          <t>Paid</t>
        </is>
      </c>
      <c r="CK2340" t="inlineStr">
        <is>
          <t>Not Eligible</t>
        </is>
      </c>
      <c r="CL2340"/>
      <c r="CM2340"/>
    </row>
    <row r="2341" ht="25.5" customHeight="1">
      <c r="A2341" t="inlineStr">
        <is>
          <t>121034</t>
        </is>
      </c>
      <c r="B2341" s="2"/>
      <c r="C2341"/>
      <c r="D2341" s="3">
        <v>46119.73436342592</v>
      </c>
      <c r="E2341" t="inlineStr">
        <is>
          <t>Q2-W01</t>
        </is>
      </c>
      <c r="F2341" t="inlineStr">
        <is>
          <t>Ratha</t>
        </is>
      </c>
      <c r="G2341" t="inlineStr">
        <is>
          <t>Customer</t>
        </is>
      </c>
      <c r="H2341" s="2" t="str">
        <f>=HYPERLINK("https://upbox.ajobthing.my/customer/121034", "https://upbox.ajobthing.my/customer/121034")</f>
        <v>https://upbox.ajobthing.my/customer/121034</v>
      </c>
      <c r="I2341" t="inlineStr">
        <is>
          <t>Ginen Bersatu Sdn. Bhd.</t>
        </is>
      </c>
      <c r="J2341" t="inlineStr">
        <is>
          <t>Dolphin</t>
        </is>
      </c>
      <c r="K2341" t="inlineStr">
        <is>
          <t>Ratha</t>
        </is>
      </c>
      <c r="L2341" s="4"/>
      <c r="M2341" s="4">
        <v>46119.735289351855</v>
      </c>
      <c r="N2341"/>
      <c r="O2341">
        <v>5832</v>
      </c>
      <c r="P2341" s="4"/>
      <c r="Q2341" s="4"/>
      <c r="R2341"/>
      <c r="S2341"/>
      <c r="T2341" s="4"/>
      <c r="U2341" s="4"/>
      <c r="V2341"/>
      <c r="W2341"/>
      <c r="X2341"/>
      <c r="Y2341" t="inlineStr">
        <is>
          <t>Pending Appointment</t>
        </is>
      </c>
      <c r="Z2341" t="inlineStr">
        <is>
          <t>Hiring Later</t>
        </is>
      </c>
      <c r="AA2341">
        <v>3</v>
      </c>
      <c r="AB2341" t="inlineStr">
        <is>
          <t>No Appointment Made</t>
        </is>
      </c>
      <c r="AC2341"/>
      <c r="AD2341" t="inlineStr">
        <is>
          <t>Admin, Executive, Intern 
Location : KL</t>
        </is>
      </c>
      <c r="AE2341"/>
      <c r="AF2341"/>
      <c r="AG2341" s="4"/>
      <c r="AH2341" s="4"/>
      <c r="AI2341">
        <v>0</v>
      </c>
      <c r="AJ2341">
        <v>1</v>
      </c>
      <c r="AK2341" t="inlineStr">
        <is>
          <t>Yes, I have</t>
        </is>
      </c>
      <c r="AL2341">
        <v>2</v>
      </c>
      <c r="AM2341" t="inlineStr">
        <is>
          <t>No, I don't need at all</t>
        </is>
      </c>
      <c r="AN2341"/>
      <c r="AO2341" t="inlineStr">
        <is>
          <t>No, I don't need at all</t>
        </is>
      </c>
      <c r="AP2341" t="inlineStr">
        <is>
          <t>Once per quarter (75%)</t>
        </is>
      </c>
      <c r="AQ2341">
        <v>0</v>
      </c>
      <c r="AR2341" t="inlineStr">
        <is>
          <t>Free Job Portal</t>
        </is>
      </c>
      <c r="AS2341" t="inlineStr">
        <is>
          <t>- Headcount: 3
- Hiring Job Details: Admin, Executive, Intern; Location: KL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2341">
        <v>75</v>
      </c>
      <c r="AU2341" t="inlineStr">
        <is>
          <t>0.75</t>
        </is>
      </c>
      <c r="AV2341" t="inlineStr">
        <is>
          <t>5</t>
        </is>
      </c>
      <c r="AW2341" t="inlineStr">
        <is>
          <t>0</t>
        </is>
      </c>
      <c r="AX2341" t="inlineStr">
        <is>
          <t>Not Qualified</t>
        </is>
      </c>
      <c r="AY2341" s="4"/>
      <c r="AZ2341"/>
      <c r="BA2341"/>
      <c r="BB2341"/>
      <c r="BC2341" t="inlineStr">
        <is>
          <t>no answer</t>
        </is>
      </c>
      <c r="BD2341" s="4">
        <v>46126.631631944445</v>
      </c>
      <c r="BE2341"/>
      <c r="BF2341"/>
      <c r="BG2341" t="inlineStr">
        <is>
          <t>Reschedule</t>
        </is>
      </c>
      <c r="BH2341" t="inlineStr">
        <is>
          <t>Fauziah Maharan</t>
        </is>
      </c>
      <c r="BI2341" t="inlineStr">
        <is>
          <t>Banking / Finance</t>
        </is>
      </c>
      <c r="BJ2341" s="4">
        <v>46144.75025462963</v>
      </c>
      <c r="BK2341" s="4">
        <v>43697.53876157408</v>
      </c>
      <c r="BL2341" t="inlineStr">
        <is>
          <t>0.0</t>
        </is>
      </c>
      <c r="BM2341" t="inlineStr">
        <is>
          <t>0.0</t>
        </is>
      </c>
      <c r="BN2341" t="inlineStr">
        <is>
          <t>User Visit(Logged In)</t>
        </is>
      </c>
      <c r="BO2341" s="4">
        <v>45841.47085648148</v>
      </c>
      <c r="BP2341">
        <v>165782</v>
      </c>
      <c r="BQ2341"/>
      <c r="BR2341"/>
      <c r="BS2341"/>
      <c r="BT2341"/>
      <c r="BU2341"/>
      <c r="BV2341">
        <v>2703858</v>
      </c>
      <c r="BW2341" t="inlineStr">
        <is>
          <t>No Answer : Voicemail - WA sent to customer</t>
        </is>
      </c>
      <c r="BX2341"/>
      <c r="BY2341"/>
      <c r="BZ2341" s="4"/>
      <c r="CA2341"/>
      <c r="CB2341"/>
      <c r="CC2341" s="4"/>
      <c r="CD2341" t="inlineStr">
        <is>
          <t>5</t>
        </is>
      </c>
      <c r="CE2341" t="inlineStr">
        <is>
          <t>0</t>
        </is>
      </c>
      <c r="CF2341" t="inlineStr">
        <is>
          <t>Q2-W01</t>
        </is>
      </c>
      <c r="CG2341"/>
      <c r="CH2341"/>
      <c r="CI2341"/>
      <c r="CJ2341" t="inlineStr">
        <is>
          <t>No Paid</t>
        </is>
      </c>
      <c r="CK2341" t="inlineStr">
        <is>
          <t>Not Eligible</t>
        </is>
      </c>
      <c r="CL2341"/>
      <c r="CM2341"/>
    </row>
    <row r="2342" ht="25.5" customHeight="1">
      <c r="A2342" t="inlineStr">
        <is>
          <t>173134</t>
        </is>
      </c>
      <c r="B2342" s="2"/>
      <c r="C2342"/>
      <c r="D2342" s="3">
        <v>46119.735</v>
      </c>
      <c r="E2342" t="inlineStr">
        <is>
          <t>Q2-W01</t>
        </is>
      </c>
      <c r="F2342" t="inlineStr">
        <is>
          <t>Jess</t>
        </is>
      </c>
      <c r="G2342" t="inlineStr">
        <is>
          <t>Customer</t>
        </is>
      </c>
      <c r="H2342" s="2" t="str">
        <f>=HYPERLINK("https://upbox.ajobthing.my/customer/173134", "https://upbox.ajobthing.my/customer/173134")</f>
        <v>https://upbox.ajobthing.my/customer/173134</v>
      </c>
      <c r="I2342" t="inlineStr">
        <is>
          <t>Abbaco Controls Sdn Bhd</t>
        </is>
      </c>
      <c r="J2342" t="inlineStr">
        <is>
          <t>Dolphin</t>
        </is>
      </c>
      <c r="K2342" t="inlineStr">
        <is>
          <t>Jess Lim</t>
        </is>
      </c>
      <c r="L2342" s="4"/>
      <c r="M2342" s="4">
        <v>46119.73689814815</v>
      </c>
      <c r="N2342"/>
      <c r="O2342">
        <v>11448</v>
      </c>
      <c r="P2342" s="4"/>
      <c r="Q2342" s="4">
        <v>45701.5184375</v>
      </c>
      <c r="R2342"/>
      <c r="S2342">
        <v>2818.8</v>
      </c>
      <c r="T2342" s="4">
        <v>45701.5184375</v>
      </c>
      <c r="U2342" s="4"/>
      <c r="V2342"/>
      <c r="W2342">
        <v>2818.8</v>
      </c>
      <c r="X2342"/>
      <c r="Y2342" t="inlineStr">
        <is>
          <t>Pending Appointment</t>
        </is>
      </c>
      <c r="Z2342" t="inlineStr">
        <is>
          <t>Hiring Now</t>
        </is>
      </c>
      <c r="AA2342">
        <v>1</v>
      </c>
      <c r="AB2342" t="inlineStr">
        <is>
          <t>No Appointment Made</t>
        </is>
      </c>
      <c r="AC2342"/>
      <c r="AD2342" t="inlineStr">
        <is>
          <t>engineering 1</t>
        </is>
      </c>
      <c r="AE2342"/>
      <c r="AF2342">
        <v>2800</v>
      </c>
      <c r="AG2342" s="4"/>
      <c r="AH2342" s="4"/>
      <c r="AI2342"/>
      <c r="AJ2342">
        <v>1</v>
      </c>
      <c r="AK2342" t="inlineStr">
        <is>
          <t>No, I don't need at all</t>
        </is>
      </c>
      <c r="AL2342">
        <v>1</v>
      </c>
      <c r="AM2342" t="inlineStr">
        <is>
          <t>No, I don't need at all</t>
        </is>
      </c>
      <c r="AN2342"/>
      <c r="AO2342"/>
      <c r="AP2342" t="inlineStr">
        <is>
          <t>Once a year (25%)</t>
        </is>
      </c>
      <c r="AQ2342"/>
      <c r="AR2342" t="inlineStr">
        <is>
          <t>Jobstreet</t>
        </is>
      </c>
      <c r="AS2342" t="inlineStr">
        <is>
          <t>- Headcount: 1
- Hiring Job Details: 1 engineering
- Hiring Urgency: Hiring Now
- Number of outlets: 1
- Have recruiter team: No, I don't need at all
- Number of recruiter in company: 1
- Have ATS system: No, I don't need at all
- Have career website: Not specified
- Current hiring budget: RM2,800.00
- Whole year budget: Not specified
- Whole year number of vacancies: Not specified
- Hiring frequency: Once a year (25%)
- External job portal: Jobstreet</t>
        </is>
      </c>
      <c r="AT2342">
        <v>90</v>
      </c>
      <c r="AU2342" t="inlineStr">
        <is>
          <t>0.90</t>
        </is>
      </c>
      <c r="AV2342" t="inlineStr">
        <is>
          <t>15</t>
        </is>
      </c>
      <c r="AW2342" t="inlineStr">
        <is>
          <t>0</t>
        </is>
      </c>
      <c r="AX2342" t="inlineStr">
        <is>
          <t>Not Qualified</t>
        </is>
      </c>
      <c r="AY2342" s="4"/>
      <c r="AZ2342"/>
      <c r="BA2342"/>
      <c r="BB2342"/>
      <c r="BC2342" t="inlineStr">
        <is>
          <t>remind on the  job psoting left</t>
        </is>
      </c>
      <c r="BD2342" s="4">
        <v>46125.41266203704</v>
      </c>
      <c r="BE2342" t="inlineStr">
        <is>
          <t>paid</t>
        </is>
      </c>
      <c r="BF2342"/>
      <c r="BG2342" t="inlineStr">
        <is>
          <t>Reschedule</t>
        </is>
      </c>
      <c r="BH2342" t="inlineStr">
        <is>
          <t>Fauziah Maharan</t>
        </is>
      </c>
      <c r="BI2342" t="inlineStr">
        <is>
          <t>Engineering / Technical Consulting</t>
        </is>
      </c>
      <c r="BJ2342" s="4">
        <v>46144.75150462963</v>
      </c>
      <c r="BK2342" s="4">
        <v>45251.69944444444</v>
      </c>
      <c r="BL2342" t="inlineStr">
        <is>
          <t>0.0</t>
        </is>
      </c>
      <c r="BM2342" t="inlineStr">
        <is>
          <t>0.0</t>
        </is>
      </c>
      <c r="BN2342" t="inlineStr">
        <is>
          <t>View Company Page</t>
        </is>
      </c>
      <c r="BO2342" s="4">
        <v>46141.704305555555</v>
      </c>
      <c r="BP2342">
        <v>165785</v>
      </c>
      <c r="BQ2342">
        <v>76718</v>
      </c>
      <c r="BR2342" t="inlineStr">
        <is>
          <t>Online</t>
        </is>
      </c>
      <c r="BS2342"/>
      <c r="BT2342">
        <v>76718</v>
      </c>
      <c r="BU2342"/>
      <c r="BV2342">
        <v>2699913</v>
      </c>
      <c r="BW2342" t="inlineStr">
        <is>
          <t>Service / Technical : Job Outcome Enquiry</t>
        </is>
      </c>
      <c r="BX2342"/>
      <c r="BY2342"/>
      <c r="BZ2342" s="4"/>
      <c r="CA2342"/>
      <c r="CB2342"/>
      <c r="CC2342" s="4"/>
      <c r="CD2342" t="inlineStr">
        <is>
          <t>20</t>
        </is>
      </c>
      <c r="CE2342" t="inlineStr">
        <is>
          <t>0</t>
        </is>
      </c>
      <c r="CF2342" t="inlineStr">
        <is>
          <t>Q2-W01</t>
        </is>
      </c>
      <c r="CG2342"/>
      <c r="CH2342"/>
      <c r="CI2342"/>
      <c r="CJ2342" t="inlineStr">
        <is>
          <t>Paid</t>
        </is>
      </c>
      <c r="CK2342" t="inlineStr">
        <is>
          <t>Not Eligible</t>
        </is>
      </c>
      <c r="CL2342"/>
      <c r="CM2342"/>
    </row>
    <row r="2343" ht="25.5" customHeight="1">
      <c r="A2343" t="inlineStr">
        <is>
          <t>202813</t>
        </is>
      </c>
      <c r="B2343" s="2"/>
      <c r="C2343"/>
      <c r="D2343" s="3">
        <v>46119.742164351854</v>
      </c>
      <c r="E2343" t="inlineStr">
        <is>
          <t>Q2-W01</t>
        </is>
      </c>
      <c r="F2343" t="inlineStr">
        <is>
          <t>Jess</t>
        </is>
      </c>
      <c r="G2343" t="inlineStr">
        <is>
          <t>Customer</t>
        </is>
      </c>
      <c r="H2343" s="2" t="str">
        <f>=HYPERLINK("https://upbox.ajobthing.my/customer/202813", "https://upbox.ajobthing.my/customer/202813")</f>
        <v>https://upbox.ajobthing.my/customer/202813</v>
      </c>
      <c r="I2343" t="inlineStr">
        <is>
          <t xml:space="preserve">Gembirafood Sdn Bhd </t>
        </is>
      </c>
      <c r="J2343" t="inlineStr">
        <is>
          <t>Dolphin</t>
        </is>
      </c>
      <c r="K2343" t="inlineStr">
        <is>
          <t>Jess Lim</t>
        </is>
      </c>
      <c r="L2343" s="4"/>
      <c r="M2343" s="4">
        <v>46119.705462962964</v>
      </c>
      <c r="N2343"/>
      <c r="O2343">
        <v>1296</v>
      </c>
      <c r="P2343" s="4"/>
      <c r="Q2343" s="4">
        <v>46127.4137962963</v>
      </c>
      <c r="R2343"/>
      <c r="S2343">
        <v>1296</v>
      </c>
      <c r="T2343" s="4">
        <v>46127.4137962963</v>
      </c>
      <c r="U2343" s="4"/>
      <c r="V2343"/>
      <c r="W2343">
        <v>1296</v>
      </c>
      <c r="X2343"/>
      <c r="Y2343" t="inlineStr">
        <is>
          <t>Pending Appointment</t>
        </is>
      </c>
      <c r="Z2343" t="inlineStr">
        <is>
          <t>Hiring Now</t>
        </is>
      </c>
      <c r="AA2343">
        <v>3</v>
      </c>
      <c r="AB2343" t="inlineStr">
        <is>
          <t>No Appointment Made</t>
        </is>
      </c>
      <c r="AC2343"/>
      <c r="AD2343" t="inlineStr">
        <is>
          <t>admin account 3</t>
        </is>
      </c>
      <c r="AE2343"/>
      <c r="AF2343">
        <v>1200</v>
      </c>
      <c r="AG2343" s="4"/>
      <c r="AH2343" s="4"/>
      <c r="AI2343"/>
      <c r="AJ2343">
        <v>1</v>
      </c>
      <c r="AK2343" t="inlineStr">
        <is>
          <t>Yes, I have</t>
        </is>
      </c>
      <c r="AL2343">
        <v>1</v>
      </c>
      <c r="AM2343" t="inlineStr">
        <is>
          <t>No, I don't need at all</t>
        </is>
      </c>
      <c r="AN2343"/>
      <c r="AO2343" t="inlineStr">
        <is>
          <t>No, I don't need at all</t>
        </is>
      </c>
      <c r="AP2343" t="inlineStr">
        <is>
          <t>Once a year (25%)</t>
        </is>
      </c>
      <c r="AQ2343"/>
      <c r="AR2343" t="inlineStr">
        <is>
          <t>Jobstreet</t>
        </is>
      </c>
      <c r="AS2343" t="inlineStr">
        <is>
          <t>- Headcount: 3
- Hiring Job Details: 3 admin account
- Hiring Urgency: Hiring Now
- Number of outlets: 1
- Have recruiter team: Yes
- Number of recruiter in company: 1
- Have ATS system: No, I don't need at all
- Have career website: No, I don't need at all
- Current hiring budget: RM1,200.00
- Whole year budget: 
- Whole year number of vacancies: 
- Hiring frequency: Once a year (25%)
- External job portal: Jobstreet</t>
        </is>
      </c>
      <c r="AT2343">
        <v>105</v>
      </c>
      <c r="AU2343" t="inlineStr">
        <is>
          <t>1.05</t>
        </is>
      </c>
      <c r="AV2343" t="inlineStr">
        <is>
          <t>15</t>
        </is>
      </c>
      <c r="AW2343" t="inlineStr">
        <is>
          <t>0</t>
        </is>
      </c>
      <c r="AX2343" t="inlineStr">
        <is>
          <t>Not Qualified</t>
        </is>
      </c>
      <c r="AY2343" s="4"/>
      <c r="AZ2343"/>
      <c r="BA2343"/>
      <c r="BB2343"/>
      <c r="BC2343" t="inlineStr">
        <is>
          <t>feedback candidate not responsive compare to jobstreet</t>
        </is>
      </c>
      <c r="BD2343" s="4">
        <v>46141.448229166665</v>
      </c>
      <c r="BE2343" t="inlineStr">
        <is>
          <t>paid</t>
        </is>
      </c>
      <c r="BF2343" t="inlineStr">
        <is>
          <t>Q2-W02</t>
        </is>
      </c>
      <c r="BG2343" t="inlineStr">
        <is>
          <t>Reschedule</t>
        </is>
      </c>
      <c r="BH2343" t="inlineStr">
        <is>
          <t>Fauziah Maharan</t>
        </is>
      </c>
      <c r="BI2343" t="inlineStr">
        <is>
          <t>Manufacturing / Production</t>
        </is>
      </c>
      <c r="BJ2343" s="4">
        <v>46144.75412037037</v>
      </c>
      <c r="BK2343" s="4">
        <v>46115.99489583333</v>
      </c>
      <c r="BL2343" t="inlineStr">
        <is>
          <t>1296.0</t>
        </is>
      </c>
      <c r="BM2343" t="inlineStr">
        <is>
          <t>3000.0</t>
        </is>
      </c>
      <c r="BN2343" t="inlineStr">
        <is>
          <t>View Company Page</t>
        </is>
      </c>
      <c r="BO2343" s="4">
        <v>46141.45650462963</v>
      </c>
      <c r="BP2343">
        <v>165764</v>
      </c>
      <c r="BQ2343">
        <v>93508</v>
      </c>
      <c r="BR2343" t="inlineStr">
        <is>
          <t>Online</t>
        </is>
      </c>
      <c r="BS2343"/>
      <c r="BT2343">
        <v>93508</v>
      </c>
      <c r="BU2343"/>
      <c r="BV2343">
        <v>2734505</v>
      </c>
      <c r="BW2343" t="inlineStr">
        <is>
          <t>Service / Technical : Job Outcome Enquiry</t>
        </is>
      </c>
      <c r="BX2343">
        <v>1</v>
      </c>
      <c r="BY2343">
        <v>0</v>
      </c>
      <c r="BZ2343" s="4">
        <v>46127.445439814815</v>
      </c>
      <c r="CA2343">
        <v>10</v>
      </c>
      <c r="CB2343">
        <v>0</v>
      </c>
      <c r="CC2343" s="4">
        <v>46128.66574074074</v>
      </c>
      <c r="CD2343" t="inlineStr">
        <is>
          <t>20</t>
        </is>
      </c>
      <c r="CE2343" t="inlineStr">
        <is>
          <t>0</t>
        </is>
      </c>
      <c r="CF2343" t="inlineStr">
        <is>
          <t>Q2-W01</t>
        </is>
      </c>
      <c r="CG2343" t="inlineStr">
        <is>
          <t>Q2-W02</t>
        </is>
      </c>
      <c r="CH2343" t="inlineStr">
        <is>
          <t>Q2-W02</t>
        </is>
      </c>
      <c r="CI2343"/>
      <c r="CJ2343" t="inlineStr">
        <is>
          <t>Paid</t>
        </is>
      </c>
      <c r="CK2343" t="inlineStr">
        <is>
          <t>Not Eligible</t>
        </is>
      </c>
      <c r="CL2343"/>
      <c r="CM2343"/>
    </row>
    <row r="2344" ht="25.5" customHeight="1">
      <c r="A2344" t="inlineStr">
        <is>
          <t>125940</t>
        </is>
      </c>
      <c r="B2344" s="2"/>
      <c r="C2344"/>
      <c r="D2344" s="3">
        <v>46119.74655092593</v>
      </c>
      <c r="E2344" t="inlineStr">
        <is>
          <t>Q2-W01</t>
        </is>
      </c>
      <c r="F2344" t="inlineStr">
        <is>
          <t>Ken Yi</t>
        </is>
      </c>
      <c r="G2344" t="inlineStr">
        <is>
          <t>Customer</t>
        </is>
      </c>
      <c r="H2344" s="2" t="str">
        <f>=HYPERLINK("https://upbox.ajobthing.my/customer/125940", "https://upbox.ajobthing.my/customer/125940")</f>
        <v>https://upbox.ajobthing.my/customer/125940</v>
      </c>
      <c r="I2344" t="inlineStr">
        <is>
          <t>Prubsn Takaful</t>
        </is>
      </c>
      <c r="J2344" t="inlineStr">
        <is>
          <t>Dolphin</t>
        </is>
      </c>
      <c r="K2344" t="inlineStr">
        <is>
          <t>Kenyi</t>
        </is>
      </c>
      <c r="L2344" s="4"/>
      <c r="M2344" s="4">
        <v>46119.74497685185</v>
      </c>
      <c r="N2344"/>
      <c r="O2344">
        <v>3672</v>
      </c>
      <c r="P2344" s="4"/>
      <c r="Q2344" s="4">
        <v>46122.00659722222</v>
      </c>
      <c r="R2344"/>
      <c r="S2344">
        <v>0</v>
      </c>
      <c r="T2344" s="4"/>
      <c r="U2344" s="4"/>
      <c r="V2344"/>
      <c r="W2344"/>
      <c r="X2344"/>
      <c r="Y2344" t="inlineStr">
        <is>
          <t>Pending Appointment</t>
        </is>
      </c>
      <c r="Z2344" t="inlineStr">
        <is>
          <t>Hiring Now</t>
        </is>
      </c>
      <c r="AA2344">
        <v>1</v>
      </c>
      <c r="AB2344" t="inlineStr">
        <is>
          <t>No Appointment Made</t>
        </is>
      </c>
      <c r="AC2344"/>
      <c r="AD2344" t="inlineStr">
        <is>
          <t>Takaful Agent</t>
        </is>
      </c>
      <c r="AE2344"/>
      <c r="AF2344">
        <v>0</v>
      </c>
      <c r="AG2344" s="4"/>
      <c r="AH2344" s="4"/>
      <c r="AI2344">
        <v>0</v>
      </c>
      <c r="AJ2344">
        <v>1</v>
      </c>
      <c r="AK2344" t="inlineStr">
        <is>
          <t>Yes, I have</t>
        </is>
      </c>
      <c r="AL2344">
        <v>1</v>
      </c>
      <c r="AM2344" t="inlineStr">
        <is>
          <t>No, I don't need at all</t>
        </is>
      </c>
      <c r="AN2344"/>
      <c r="AO2344" t="inlineStr">
        <is>
          <t>No, I don't need at all</t>
        </is>
      </c>
      <c r="AP2344" t="inlineStr">
        <is>
          <t>Every month (100%)</t>
        </is>
      </c>
      <c r="AQ2344">
        <v>3</v>
      </c>
      <c r="AR2344" t="inlineStr">
        <is>
          <t>Jobstreet, Free Job Portal</t>
        </is>
      </c>
      <c r="AS2344" t="inlineStr">
        <is>
          <t>- Headcount: 1
- Hiring Job Details: Takaful Agent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Jobstreet,Free Job Portal</t>
        </is>
      </c>
      <c r="AT2344">
        <v>115</v>
      </c>
      <c r="AU2344" t="inlineStr">
        <is>
          <t>1.15</t>
        </is>
      </c>
      <c r="AV2344" t="inlineStr">
        <is>
          <t>15</t>
        </is>
      </c>
      <c r="AW2344" t="inlineStr">
        <is>
          <t>0</t>
        </is>
      </c>
      <c r="AX2344" t="inlineStr">
        <is>
          <t>Not Qualified</t>
        </is>
      </c>
      <c r="AY2344" s="4"/>
      <c r="AZ2344"/>
      <c r="BA2344"/>
      <c r="BB2344"/>
      <c r="BC2344" t="inlineStr">
        <is>
          <t>- Headcount: 1
- Hiring Job Details: Takaful Agent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3
- Hiring frequency: Every month (100%)
- External job portal: Jobstreet,Free Job Portal</t>
        </is>
      </c>
      <c r="BD2344" s="4">
        <v>46119.75009259259</v>
      </c>
      <c r="BE2344" t="inlineStr">
        <is>
          <t>paid</t>
        </is>
      </c>
      <c r="BF2344"/>
      <c r="BG2344" t="inlineStr">
        <is>
          <t>Reschedule</t>
        </is>
      </c>
      <c r="BH2344" t="inlineStr">
        <is>
          <t>Fauziah Maharan</t>
        </is>
      </c>
      <c r="BI2344"/>
      <c r="BJ2344" s="4">
        <v>46144.75037037037</v>
      </c>
      <c r="BK2344" s="4">
        <v>43908.700532407405</v>
      </c>
      <c r="BL2344" t="inlineStr">
        <is>
          <t>0.0</t>
        </is>
      </c>
      <c r="BM2344" t="inlineStr">
        <is>
          <t>0.0</t>
        </is>
      </c>
      <c r="BN2344" t="inlineStr">
        <is>
          <t>View Company Page</t>
        </is>
      </c>
      <c r="BO2344" s="4">
        <v>43908.70060185185</v>
      </c>
      <c r="BP2344">
        <v>165787</v>
      </c>
      <c r="BQ2344">
        <v>121552</v>
      </c>
      <c r="BR2344" t="inlineStr">
        <is>
          <t>Proforma</t>
        </is>
      </c>
      <c r="BS2344" t="inlineStr">
        <is>
          <t>Free Singapore Job</t>
        </is>
      </c>
      <c r="BT2344"/>
      <c r="BU2344"/>
      <c r="BV2344">
        <v>2690652</v>
      </c>
      <c r="BW2344" t="inlineStr">
        <is>
          <t>Customer Inquiry</t>
        </is>
      </c>
      <c r="BX2344"/>
      <c r="BY2344"/>
      <c r="BZ2344" s="4"/>
      <c r="CA2344"/>
      <c r="CB2344"/>
      <c r="CC2344" s="4"/>
      <c r="CD2344" t="inlineStr">
        <is>
          <t>20</t>
        </is>
      </c>
      <c r="CE2344" t="inlineStr">
        <is>
          <t>0</t>
        </is>
      </c>
      <c r="CF2344" t="inlineStr">
        <is>
          <t>Q2-W01</t>
        </is>
      </c>
      <c r="CG2344" t="inlineStr">
        <is>
          <t>Q2-W02</t>
        </is>
      </c>
      <c r="CH2344"/>
      <c r="CI2344"/>
      <c r="CJ2344" t="inlineStr">
        <is>
          <t>No Paid</t>
        </is>
      </c>
      <c r="CK2344" t="inlineStr">
        <is>
          <t>Not Eligible</t>
        </is>
      </c>
      <c r="CL2344"/>
      <c r="CM2344"/>
    </row>
    <row r="2345" ht="25.5" customHeight="1">
      <c r="A2345" t="inlineStr">
        <is>
          <t>190227</t>
        </is>
      </c>
      <c r="B2345" s="2"/>
      <c r="C2345"/>
      <c r="D2345" s="3">
        <v>46119.74733796297</v>
      </c>
      <c r="E2345" t="inlineStr">
        <is>
          <t>Q2-W01</t>
        </is>
      </c>
      <c r="F2345" t="inlineStr">
        <is>
          <t>Eugene</t>
        </is>
      </c>
      <c r="G2345" t="inlineStr">
        <is>
          <t>Customer</t>
        </is>
      </c>
      <c r="H2345" s="2" t="str">
        <f>=HYPERLINK("https://upbox.ajobthing.my/customer/190227", "https://upbox.ajobthing.my/customer/190227")</f>
        <v>https://upbox.ajobthing.my/customer/190227</v>
      </c>
      <c r="I2345" t="inlineStr">
        <is>
          <t>Nikkisia Industries Sdn Bhd</t>
        </is>
      </c>
      <c r="J2345" t="inlineStr">
        <is>
          <t>Dolphin</t>
        </is>
      </c>
      <c r="K2345" t="inlineStr">
        <is>
          <t>Eugene</t>
        </is>
      </c>
      <c r="L2345" s="4"/>
      <c r="M2345" s="4">
        <v>46119.74743055556</v>
      </c>
      <c r="N2345"/>
      <c r="O2345">
        <v>3888</v>
      </c>
      <c r="P2345" s="4"/>
      <c r="Q2345" s="4">
        <v>45768.42450231482</v>
      </c>
      <c r="R2345"/>
      <c r="S2345">
        <v>1620</v>
      </c>
      <c r="T2345" s="4">
        <v>45768.42450231482</v>
      </c>
      <c r="U2345" s="4"/>
      <c r="V2345"/>
      <c r="W2345">
        <v>1620</v>
      </c>
      <c r="X2345"/>
      <c r="Y2345" t="inlineStr">
        <is>
          <t>Pending Appointment</t>
        </is>
      </c>
      <c r="Z2345" t="inlineStr">
        <is>
          <t>Hiring Later</t>
        </is>
      </c>
      <c r="AA2345">
        <v>6</v>
      </c>
      <c r="AB2345" t="inlineStr">
        <is>
          <t>No Appointment Made</t>
        </is>
      </c>
      <c r="AC2345"/>
      <c r="AD2345" t="inlineStr">
        <is>
          <t>6 positions, based in KL</t>
        </is>
      </c>
      <c r="AE2345"/>
      <c r="AF2345">
        <v>3600</v>
      </c>
      <c r="AG2345" s="4"/>
      <c r="AH2345" s="4"/>
      <c r="AI2345">
        <v>3600</v>
      </c>
      <c r="AJ2345">
        <v>1</v>
      </c>
      <c r="AK2345" t="inlineStr">
        <is>
          <t>No, I don't need at all</t>
        </is>
      </c>
      <c r="AL2345">
        <v>0</v>
      </c>
      <c r="AM2345" t="inlineStr">
        <is>
          <t>No, I don't need at all</t>
        </is>
      </c>
      <c r="AN2345"/>
      <c r="AO2345" t="inlineStr">
        <is>
          <t>No, I don't need at all</t>
        </is>
      </c>
      <c r="AP2345" t="inlineStr">
        <is>
          <t>Once per quarter (75%)</t>
        </is>
      </c>
      <c r="AQ2345">
        <v>6</v>
      </c>
      <c r="AR2345" t="inlineStr">
        <is>
          <t>Free Job Portal</t>
        </is>
      </c>
      <c r="AS2345" t="inlineStr">
        <is>
          <t>- Headcount: 6
- Hiring Job Details: 6 positions, based in KL
- Hiring Urgency: Hiring Later
- Number of outlets: 1
- Have recruiter team: No, I don't need at all
- Number of recruiter in company: 0
- Have ATS system: No, I don't need at all
- Have career website: No, I don't need at all
- Current hiring budget: RM3,600
- Whole year budget: RM3,600.00
- Whole year number of vacancies: 6
- Hiring frequency: Once per quarter (75%)
- External job portal: Free Job Portal</t>
        </is>
      </c>
      <c r="AT2345">
        <v>75</v>
      </c>
      <c r="AU2345" t="inlineStr">
        <is>
          <t>0.75</t>
        </is>
      </c>
      <c r="AV2345" t="inlineStr">
        <is>
          <t>20</t>
        </is>
      </c>
      <c r="AW2345" t="inlineStr">
        <is>
          <t>0</t>
        </is>
      </c>
      <c r="AX2345" t="inlineStr">
        <is>
          <t>Not Qualified</t>
        </is>
      </c>
      <c r="AY2345" s="4"/>
      <c r="AZ2345"/>
      <c r="BA2345"/>
      <c r="BB2345"/>
      <c r="BC2345" t="inlineStr">
        <is>
          <t>mention hold first</t>
        </is>
      </c>
      <c r="BD2345" s="4">
        <v>46121.48873842593</v>
      </c>
      <c r="BE2345" t="inlineStr">
        <is>
          <t>paid</t>
        </is>
      </c>
      <c r="BF2345"/>
      <c r="BG2345" t="inlineStr">
        <is>
          <t>Reschedule</t>
        </is>
      </c>
      <c r="BH2345" t="inlineStr">
        <is>
          <t>Edward Hoo</t>
        </is>
      </c>
      <c r="BI2345" t="inlineStr">
        <is>
          <t>Manufacturing / Production</t>
        </is>
      </c>
      <c r="BJ2345" s="4">
        <v>46144.75234953704</v>
      </c>
      <c r="BK2345" s="4">
        <v>45765.50885416667</v>
      </c>
      <c r="BL2345" t="inlineStr">
        <is>
          <t>0.0</t>
        </is>
      </c>
      <c r="BM2345" t="inlineStr">
        <is>
          <t>0.0</t>
        </is>
      </c>
      <c r="BN2345" t="inlineStr">
        <is>
          <t>View Jobmanager Page</t>
        </is>
      </c>
      <c r="BO2345" s="4">
        <v>46097.741736111115</v>
      </c>
      <c r="BP2345">
        <v>165788</v>
      </c>
      <c r="BQ2345">
        <v>5751</v>
      </c>
      <c r="BR2345" t="inlineStr">
        <is>
          <t>Manual (Paid)</t>
        </is>
      </c>
      <c r="BS2345" t="inlineStr">
        <is>
          <t>Yearly Standard Plan (Upgrade Plan)
- Yearly Standard Plan of 3 Instant Job Ads + 3 Free Instant Job Ads with Booster
- 6 Instant Job Ads will be published on Maukerja, Ricebowl, Epicareer, Facebook, Google and Linkedin
- 6 Instant Job Ads will be published for 45 days
- 6 Booster Plus (8 times bump up)
- 60 People Search
- Free up to 60 AI Recommended Profiles
- Premium Company Page for 12 months
- Package valid for 12 months</t>
        </is>
      </c>
      <c r="BT2345">
        <v>5751</v>
      </c>
      <c r="BU2345"/>
      <c r="BV2345">
        <v>2695128</v>
      </c>
      <c r="BW2345" t="inlineStr">
        <is>
          <t>Service / Technical : Help To Post Job</t>
        </is>
      </c>
      <c r="BX2345"/>
      <c r="BY2345"/>
      <c r="BZ2345" s="4"/>
      <c r="CA2345"/>
      <c r="CB2345"/>
      <c r="CC2345" s="4"/>
      <c r="CD2345" t="inlineStr">
        <is>
          <t>30</t>
        </is>
      </c>
      <c r="CE2345" t="inlineStr">
        <is>
          <t>0</t>
        </is>
      </c>
      <c r="CF2345" t="inlineStr">
        <is>
          <t>Q2-W01</t>
        </is>
      </c>
      <c r="CG2345"/>
      <c r="CH2345"/>
      <c r="CI2345"/>
      <c r="CJ2345" t="inlineStr">
        <is>
          <t>Paid</t>
        </is>
      </c>
      <c r="CK2345" t="inlineStr">
        <is>
          <t>Not Eligible</t>
        </is>
      </c>
      <c r="CL2345"/>
      <c r="CM2345"/>
    </row>
    <row r="2346" ht="25.5" customHeight="1">
      <c r="A2346" t="inlineStr">
        <is>
          <t>202933</t>
        </is>
      </c>
      <c r="B2346" s="2"/>
      <c r="C2346"/>
      <c r="D2346" s="3">
        <v>46119.75210648148</v>
      </c>
      <c r="E2346" t="inlineStr">
        <is>
          <t>Q2-W01</t>
        </is>
      </c>
      <c r="F2346" t="inlineStr">
        <is>
          <t>Jess</t>
        </is>
      </c>
      <c r="G2346" t="inlineStr">
        <is>
          <t>Customer</t>
        </is>
      </c>
      <c r="H2346" s="2" t="str">
        <f>=HYPERLINK("https://upbox.ajobthing.my/customer/202933", "https://upbox.ajobthing.my/customer/202933")</f>
        <v>https://upbox.ajobthing.my/customer/202933</v>
      </c>
      <c r="I2346" t="inlineStr">
        <is>
          <t>Home Buddy Management Sdn Bhd</t>
        </is>
      </c>
      <c r="J2346" t="inlineStr">
        <is>
          <t>Dolphin</t>
        </is>
      </c>
      <c r="K2346" t="inlineStr">
        <is>
          <t>Jess Lim</t>
        </is>
      </c>
      <c r="L2346" s="4"/>
      <c r="M2346" s="4">
        <v>46119.75336805556</v>
      </c>
      <c r="N2346"/>
      <c r="O2346">
        <v>3888</v>
      </c>
      <c r="P2346" s="4"/>
      <c r="Q2346" s="4"/>
      <c r="R2346"/>
      <c r="S2346"/>
      <c r="T2346" s="4"/>
      <c r="U2346" s="4"/>
      <c r="V2346"/>
      <c r="W2346"/>
      <c r="X2346"/>
      <c r="Y2346" t="inlineStr">
        <is>
          <t>Pending Appointment</t>
        </is>
      </c>
      <c r="Z2346" t="inlineStr">
        <is>
          <t>Hiring Now</t>
        </is>
      </c>
      <c r="AA2346">
        <v>3</v>
      </c>
      <c r="AB2346" t="inlineStr">
        <is>
          <t>No Appointment Made</t>
        </is>
      </c>
      <c r="AC2346"/>
      <c r="AD2346" t="inlineStr">
        <is>
          <t>techinican admin sales
3-5 people</t>
        </is>
      </c>
      <c r="AE2346"/>
      <c r="AF2346">
        <v>3600</v>
      </c>
      <c r="AG2346" s="4"/>
      <c r="AH2346" s="4"/>
      <c r="AI2346"/>
      <c r="AJ2346">
        <v>1</v>
      </c>
      <c r="AK2346" t="inlineStr">
        <is>
          <t>No, I don't need at all</t>
        </is>
      </c>
      <c r="AL2346">
        <v>1</v>
      </c>
      <c r="AM2346" t="inlineStr">
        <is>
          <t>No, I don't need at all</t>
        </is>
      </c>
      <c r="AN2346"/>
      <c r="AO2346" t="inlineStr">
        <is>
          <t>No, I don't need at all</t>
        </is>
      </c>
      <c r="AP2346" t="inlineStr">
        <is>
          <t>Once a year (25%)</t>
        </is>
      </c>
      <c r="AQ2346"/>
      <c r="AR2346" t="inlineStr">
        <is>
          <t>Jobstreet</t>
        </is>
      </c>
      <c r="AS2346" t="inlineStr">
        <is>
          <t>- Headcount: 3
- Hiring Job Details: technician admin sales; 3-5 people
- Hiring Urgency: Hiring Now
- Number of outlets: 1
- Have recruiter team: No, I don't need at all
- Number of recruiter in company: 1
- Have ATS system: No, I don't need at all
- Have career website: No, I don't need at all
- Current hiring budget: RM3,600.00
- Whole year budget: Not specified
- Whole year number of vacancies: Not specified
- Hiring frequency: Once a year (25%)
- External job portal: Jobstreet</t>
        </is>
      </c>
      <c r="AT2346">
        <v>85</v>
      </c>
      <c r="AU2346" t="inlineStr">
        <is>
          <t>0.85</t>
        </is>
      </c>
      <c r="AV2346" t="inlineStr">
        <is>
          <t>15</t>
        </is>
      </c>
      <c r="AW2346" t="inlineStr">
        <is>
          <t>0</t>
        </is>
      </c>
      <c r="AX2346" t="inlineStr">
        <is>
          <t>Not Qualified</t>
        </is>
      </c>
      <c r="AY2346" s="4"/>
      <c r="AZ2346"/>
      <c r="BA2346"/>
      <c r="BB2346"/>
      <c r="BC2346" t="inlineStr">
        <is>
          <t>no pick up</t>
        </is>
      </c>
      <c r="BD2346" s="4">
        <v>46135.45753472222</v>
      </c>
      <c r="BE2346"/>
      <c r="BF2346"/>
      <c r="BG2346" t="inlineStr">
        <is>
          <t>Reschedule</t>
        </is>
      </c>
      <c r="BH2346" t="inlineStr">
        <is>
          <t>Fauziah Maharan</t>
        </is>
      </c>
      <c r="BI2346"/>
      <c r="BJ2346" s="4">
        <v>46144.754166666666</v>
      </c>
      <c r="BK2346" s="4">
        <v>46119.53868055555</v>
      </c>
      <c r="BL2346" t="inlineStr">
        <is>
          <t>0.0</t>
        </is>
      </c>
      <c r="BM2346" t="inlineStr">
        <is>
          <t>0.0</t>
        </is>
      </c>
      <c r="BN2346" t="inlineStr">
        <is>
          <t>View Company Page</t>
        </is>
      </c>
      <c r="BO2346" s="4">
        <v>46119.55991898148</v>
      </c>
      <c r="BP2346">
        <v>165791</v>
      </c>
      <c r="BQ2346"/>
      <c r="BR2346"/>
      <c r="BS2346"/>
      <c r="BT2346"/>
      <c r="BU2346"/>
      <c r="BV2346">
        <v>2722674</v>
      </c>
      <c r="BW2346" t="inlineStr">
        <is>
          <t>No Answer : Voicemail - WA sent to customer</t>
        </is>
      </c>
      <c r="BX2346"/>
      <c r="BY2346"/>
      <c r="BZ2346" s="4"/>
      <c r="CA2346"/>
      <c r="CB2346"/>
      <c r="CC2346" s="4"/>
      <c r="CD2346" t="inlineStr">
        <is>
          <t>20</t>
        </is>
      </c>
      <c r="CE2346" t="inlineStr">
        <is>
          <t>0</t>
        </is>
      </c>
      <c r="CF2346" t="inlineStr">
        <is>
          <t>Q2-W01</t>
        </is>
      </c>
      <c r="CG2346"/>
      <c r="CH2346"/>
      <c r="CI2346"/>
      <c r="CJ2346" t="inlineStr">
        <is>
          <t>No Paid</t>
        </is>
      </c>
      <c r="CK2346" t="inlineStr">
        <is>
          <t>Not Eligible</t>
        </is>
      </c>
      <c r="CL2346"/>
      <c r="CM2346"/>
    </row>
    <row r="2347" ht="25.5" customHeight="1">
      <c r="A2347" t="inlineStr">
        <is>
          <t>202957</t>
        </is>
      </c>
      <c r="B2347" s="2"/>
      <c r="C2347"/>
      <c r="D2347" s="3">
        <v>46119.75672453704</v>
      </c>
      <c r="E2347" t="inlineStr">
        <is>
          <t>Q2-W01</t>
        </is>
      </c>
      <c r="F2347" t="inlineStr">
        <is>
          <t>Derek Lim</t>
        </is>
      </c>
      <c r="G2347" t="inlineStr">
        <is>
          <t>Customer</t>
        </is>
      </c>
      <c r="H2347" s="2" t="str">
        <f>=HYPERLINK("https://upbox.ajobthing.my/customer/202957", "https://upbox.ajobthing.my/customer/202957")</f>
        <v>https://upbox.ajobthing.my/customer/202957</v>
      </c>
      <c r="I2347" t="inlineStr">
        <is>
          <t>Global Alliance Logistics Pte Ltd</t>
        </is>
      </c>
      <c r="J2347" t="inlineStr">
        <is>
          <t>Dolphin</t>
        </is>
      </c>
      <c r="K2347" t="inlineStr">
        <is>
          <t>Derek Lim</t>
        </is>
      </c>
      <c r="L2347" s="4"/>
      <c r="M2347" s="4">
        <v>46119.75682870371</v>
      </c>
      <c r="N2347"/>
      <c r="O2347">
        <v>6048</v>
      </c>
      <c r="P2347" s="4"/>
      <c r="Q2347" s="4"/>
      <c r="R2347"/>
      <c r="S2347"/>
      <c r="T2347" s="4"/>
      <c r="U2347" s="4"/>
      <c r="V2347"/>
      <c r="W2347"/>
      <c r="X2347"/>
      <c r="Y2347" t="inlineStr">
        <is>
          <t>Pending Appointment</t>
        </is>
      </c>
      <c r="Z2347" t="inlineStr">
        <is>
          <t>Hiring Now</t>
        </is>
      </c>
      <c r="AA2347">
        <v>11</v>
      </c>
      <c r="AB2347" t="inlineStr">
        <is>
          <t>No Appointment Made</t>
        </is>
      </c>
      <c r="AC2347"/>
      <c r="AD2347" t="inlineStr">
        <is>
          <t>shipping executive - 10, account executive - 1</t>
        </is>
      </c>
      <c r="AE2347"/>
      <c r="AF2347">
        <v>1000</v>
      </c>
      <c r="AG2347" s="4"/>
      <c r="AH2347" s="4"/>
      <c r="AI2347">
        <v>2000</v>
      </c>
      <c r="AJ2347">
        <v>1</v>
      </c>
      <c r="AK2347" t="inlineStr">
        <is>
          <t>No, but I want in future</t>
        </is>
      </c>
      <c r="AL2347">
        <v>0</v>
      </c>
      <c r="AM2347" t="inlineStr">
        <is>
          <t>No, I don't need at all</t>
        </is>
      </c>
      <c r="AN2347"/>
      <c r="AO2347" t="inlineStr">
        <is>
          <t>No, but I want in future</t>
        </is>
      </c>
      <c r="AP2347" t="inlineStr">
        <is>
          <t>Twice a year (50%)</t>
        </is>
      </c>
      <c r="AQ2347">
        <v>10</v>
      </c>
      <c r="AR2347" t="inlineStr">
        <is>
          <t>Jobstreet</t>
        </is>
      </c>
      <c r="AS2347" t="inlineStr">
        <is>
          <t>- Headcount: 11
- Hiring Job Details: shipping executive - 10, account executive - 1
- Hiring Urgency: Hiring Now
- Number of outlets: 1
- Have recruiter team: No, but I want in future
- Number of recruiter in company: 0
- Have ATS system: No, I don't need at all
- Have career website: No, but I want in future
- Current hiring budget: RM1,000
- Whole year budget: RM2,000.00
- Whole year number of vacancies: 10
- Hiring frequency: Twice a year (50%)
- External job portal: Jobstreet</t>
        </is>
      </c>
      <c r="AT2347">
        <v>115</v>
      </c>
      <c r="AU2347" t="inlineStr">
        <is>
          <t>1.15</t>
        </is>
      </c>
      <c r="AV2347" t="inlineStr">
        <is>
          <t>25</t>
        </is>
      </c>
      <c r="AW2347" t="inlineStr">
        <is>
          <t>0</t>
        </is>
      </c>
      <c r="AX2347" t="inlineStr">
        <is>
          <t>Not Qualified</t>
        </is>
      </c>
      <c r="AY2347" s="4"/>
      <c r="AZ2347"/>
      <c r="BA2347"/>
      <c r="BB2347"/>
      <c r="BC2347" t="inlineStr">
        <is>
          <t>CUSTOMER MENTION TRY USE FREE PLATFORM FIRST</t>
        </is>
      </c>
      <c r="BD2347" s="4">
        <v>46142.399143518516</v>
      </c>
      <c r="BE2347"/>
      <c r="BF2347"/>
      <c r="BG2347" t="inlineStr">
        <is>
          <t>Reschedule</t>
        </is>
      </c>
      <c r="BH2347" t="inlineStr">
        <is>
          <t>Edward Hoo</t>
        </is>
      </c>
      <c r="BI2347"/>
      <c r="BJ2347" s="4">
        <v>46144.754166666666</v>
      </c>
      <c r="BK2347" s="4">
        <v>46119.74324074074</v>
      </c>
      <c r="BL2347" t="inlineStr">
        <is>
          <t>0.0</t>
        </is>
      </c>
      <c r="BM2347" t="inlineStr">
        <is>
          <t>0.0</t>
        </is>
      </c>
      <c r="BN2347" t="inlineStr">
        <is>
          <t>View Company Page</t>
        </is>
      </c>
      <c r="BO2347" s="4">
        <v>46119.7550462963</v>
      </c>
      <c r="BP2347">
        <v>165793</v>
      </c>
      <c r="BQ2347"/>
      <c r="BR2347"/>
      <c r="BS2347"/>
      <c r="BT2347"/>
      <c r="BU2347"/>
      <c r="BV2347">
        <v>2736518</v>
      </c>
      <c r="BW2347" t="inlineStr">
        <is>
          <t>Follow Up : Lost - Free Portal</t>
        </is>
      </c>
      <c r="BX2347"/>
      <c r="BY2347"/>
      <c r="BZ2347" s="4"/>
      <c r="CA2347"/>
      <c r="CB2347"/>
      <c r="CC2347" s="4"/>
      <c r="CD2347" t="inlineStr">
        <is>
          <t>35</t>
        </is>
      </c>
      <c r="CE2347" t="inlineStr">
        <is>
          <t>0</t>
        </is>
      </c>
      <c r="CF2347" t="inlineStr">
        <is>
          <t>Q2-W01</t>
        </is>
      </c>
      <c r="CG2347"/>
      <c r="CH2347"/>
      <c r="CI2347"/>
      <c r="CJ2347" t="inlineStr">
        <is>
          <t>No Paid</t>
        </is>
      </c>
      <c r="CK2347" t="inlineStr">
        <is>
          <t>Eligible</t>
        </is>
      </c>
      <c r="CL2347"/>
      <c r="CM2347"/>
    </row>
    <row r="2348" ht="25.5" customHeight="1">
      <c r="A2348" t="inlineStr">
        <is>
          <t>202959</t>
        </is>
      </c>
      <c r="B2348" s="2"/>
      <c r="C2348"/>
      <c r="D2348" s="3">
        <v>46119.76306712963</v>
      </c>
      <c r="E2348" t="inlineStr">
        <is>
          <t>Q2-W01</t>
        </is>
      </c>
      <c r="F2348" t="inlineStr">
        <is>
          <t>Clover</t>
        </is>
      </c>
      <c r="G2348" t="inlineStr">
        <is>
          <t>Customer</t>
        </is>
      </c>
      <c r="H2348" s="2" t="str">
        <f>=HYPERLINK("https://upbox.ajobthing.my/customer/202959", "https://upbox.ajobthing.my/customer/202959")</f>
        <v>https://upbox.ajobthing.my/customer/202959</v>
      </c>
      <c r="I2348" t="inlineStr">
        <is>
          <t>Decruz Resources Sdn Bhd</t>
        </is>
      </c>
      <c r="J2348" t="inlineStr">
        <is>
          <t>Dolphin</t>
        </is>
      </c>
      <c r="K2348" t="inlineStr">
        <is>
          <t>Clover</t>
        </is>
      </c>
      <c r="L2348" s="4"/>
      <c r="M2348" s="4">
        <v>46121.768379629626</v>
      </c>
      <c r="N2348"/>
      <c r="O2348">
        <v>1296</v>
      </c>
      <c r="P2348" s="4"/>
      <c r="Q2348" s="4"/>
      <c r="R2348"/>
      <c r="S2348"/>
      <c r="T2348" s="4"/>
      <c r="U2348" s="4"/>
      <c r="V2348"/>
      <c r="W2348"/>
      <c r="X2348"/>
      <c r="Y2348" t="inlineStr">
        <is>
          <t>Pending Appointment</t>
        </is>
      </c>
      <c r="Z2348" t="inlineStr">
        <is>
          <t>Hiring Now</t>
        </is>
      </c>
      <c r="AA2348">
        <v>2</v>
      </c>
      <c r="AB2348" t="inlineStr">
        <is>
          <t>No Appointment Made</t>
        </is>
      </c>
      <c r="AC2348"/>
      <c r="AD2348" t="inlineStr">
        <is>
          <t>Hire Site supervisor x1, QS x1, all races , construction, HQ kuantan, 2 new project melaka klang, future hire QS &amp; Engineer, PIC Mr Bernard</t>
        </is>
      </c>
      <c r="AE2348"/>
      <c r="AF2348">
        <v>5000</v>
      </c>
      <c r="AG2348" s="4"/>
      <c r="AH2348" s="4"/>
      <c r="AI2348">
        <v>5000</v>
      </c>
      <c r="AJ2348">
        <v>1</v>
      </c>
      <c r="AK2348" t="inlineStr">
        <is>
          <t>No, but I want in future</t>
        </is>
      </c>
      <c r="AL2348">
        <v>1</v>
      </c>
      <c r="AM2348" t="inlineStr">
        <is>
          <t>No, but I want in future</t>
        </is>
      </c>
      <c r="AN2348"/>
      <c r="AO2348" t="inlineStr">
        <is>
          <t>No, but I want in future</t>
        </is>
      </c>
      <c r="AP2348" t="inlineStr">
        <is>
          <t>Once per quarter (75%)</t>
        </is>
      </c>
      <c r="AQ2348">
        <v>4</v>
      </c>
      <c r="AR2348" t="inlineStr">
        <is>
          <t>Did not use any job portal</t>
        </is>
      </c>
      <c r="AS2348" t="inlineStr">
        <is>
          <t>- Headcount: 2
- Hiring Job Details: 1 Site supervisor, 1 QS; construction, HQ kuantan, 2 new projects (melaka, klang); future hires (QS &amp; Engineer); PIC Mr Bernard; all races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is>
      </c>
      <c r="AT2348">
        <v>115</v>
      </c>
      <c r="AU2348" t="inlineStr">
        <is>
          <t>1.15</t>
        </is>
      </c>
      <c r="AV2348" t="inlineStr">
        <is>
          <t>15</t>
        </is>
      </c>
      <c r="AW2348" t="inlineStr">
        <is>
          <t>0</t>
        </is>
      </c>
      <c r="AX2348" t="inlineStr">
        <is>
          <t>Not Qualified</t>
        </is>
      </c>
      <c r="AY2348" s="4"/>
      <c r="AZ2348"/>
      <c r="BA2348"/>
      <c r="BB2348"/>
      <c r="BC2348" t="inlineStr">
        <is>
          <t>Budget concern, suggest try ala carte</t>
        </is>
      </c>
      <c r="BD2348" s="4">
        <v>46135.71638888889</v>
      </c>
      <c r="BE2348"/>
      <c r="BF2348"/>
      <c r="BG2348" t="inlineStr">
        <is>
          <t>Reschedule</t>
        </is>
      </c>
      <c r="BH2348" t="inlineStr">
        <is>
          <t>Reagen</t>
        </is>
      </c>
      <c r="BI2348"/>
      <c r="BJ2348" s="4">
        <v>46144.754166666666</v>
      </c>
      <c r="BK2348" s="4">
        <v>46119.75960648148</v>
      </c>
      <c r="BL2348" t="inlineStr">
        <is>
          <t>0.0</t>
        </is>
      </c>
      <c r="BM2348" t="inlineStr">
        <is>
          <t>0.0</t>
        </is>
      </c>
      <c r="BN2348"/>
      <c r="BO2348" s="4"/>
      <c r="BP2348">
        <v>166321</v>
      </c>
      <c r="BQ2348"/>
      <c r="BR2348"/>
      <c r="BS2348"/>
      <c r="BT2348"/>
      <c r="BU2348"/>
      <c r="BV2348">
        <v>2724975</v>
      </c>
      <c r="BW2348" t="inlineStr">
        <is>
          <t>Follow Up : Decision Pending</t>
        </is>
      </c>
      <c r="BX2348"/>
      <c r="BY2348"/>
      <c r="BZ2348" s="4"/>
      <c r="CA2348"/>
      <c r="CB2348"/>
      <c r="CC2348" s="4"/>
      <c r="CD2348" t="inlineStr">
        <is>
          <t>20</t>
        </is>
      </c>
      <c r="CE2348" t="inlineStr">
        <is>
          <t>0</t>
        </is>
      </c>
      <c r="CF2348" t="inlineStr">
        <is>
          <t>Q2-W01</t>
        </is>
      </c>
      <c r="CG2348"/>
      <c r="CH2348"/>
      <c r="CI2348"/>
      <c r="CJ2348" t="inlineStr">
        <is>
          <t>No Paid</t>
        </is>
      </c>
      <c r="CK2348" t="inlineStr">
        <is>
          <t>Not Eligible</t>
        </is>
      </c>
      <c r="CL2348"/>
      <c r="CM2348"/>
    </row>
    <row r="2349" ht="25.5" customHeight="1">
      <c r="A2349" t="inlineStr">
        <is>
          <t>3702</t>
        </is>
      </c>
      <c r="B2349" s="2"/>
      <c r="C2349"/>
      <c r="D2349" s="3">
        <v>46119.76398148148</v>
      </c>
      <c r="E2349" t="inlineStr">
        <is>
          <t>Q2-W01</t>
        </is>
      </c>
      <c r="F2349" t="inlineStr">
        <is>
          <t>Dickson</t>
        </is>
      </c>
      <c r="G2349" t="inlineStr">
        <is>
          <t>Customer</t>
        </is>
      </c>
      <c r="H2349" s="2" t="str">
        <f>=HYPERLINK("https://upbox.ajobthing.my/customer/3702", "https://upbox.ajobthing.my/customer/3702")</f>
        <v>https://upbox.ajobthing.my/customer/3702</v>
      </c>
      <c r="I2349" t="inlineStr">
        <is>
          <t>HPT &amp; Associates</t>
        </is>
      </c>
      <c r="J2349" t="inlineStr">
        <is>
          <t>Dolphin</t>
        </is>
      </c>
      <c r="K2349" t="inlineStr">
        <is>
          <t>Dickson</t>
        </is>
      </c>
      <c r="L2349" s="4"/>
      <c r="M2349" s="4">
        <v>46119.76409722222</v>
      </c>
      <c r="N2349"/>
      <c r="O2349">
        <v>3672</v>
      </c>
      <c r="P2349" s="4"/>
      <c r="Q2349" s="4">
        <v>45716.72184027778</v>
      </c>
      <c r="R2349"/>
      <c r="S2349">
        <v>1296</v>
      </c>
      <c r="T2349" s="4">
        <v>43868.513877314814</v>
      </c>
      <c r="U2349" s="4"/>
      <c r="V2349"/>
      <c r="W2349">
        <v>530</v>
      </c>
      <c r="X2349"/>
      <c r="Y2349" t="inlineStr">
        <is>
          <t>Pending Appointment</t>
        </is>
      </c>
      <c r="Z2349" t="inlineStr">
        <is>
          <t>Hiring Now</t>
        </is>
      </c>
      <c r="AA2349">
        <v>3</v>
      </c>
      <c r="AB2349" t="inlineStr">
        <is>
          <t>No Appointment Made</t>
        </is>
      </c>
      <c r="AC2349"/>
      <c r="AD2349" t="inlineStr">
        <is>
          <t>2 financial planner, 1 marketing</t>
        </is>
      </c>
      <c r="AE2349"/>
      <c r="AF2349"/>
      <c r="AG2349" s="4"/>
      <c r="AH2349" s="4"/>
      <c r="AI2349"/>
      <c r="AJ2349">
        <v>1</v>
      </c>
      <c r="AK2349" t="inlineStr">
        <is>
          <t>No, I don't need at all</t>
        </is>
      </c>
      <c r="AL2349"/>
      <c r="AM2349" t="inlineStr">
        <is>
          <t>No, I don't need at all</t>
        </is>
      </c>
      <c r="AN2349"/>
      <c r="AO2349" t="inlineStr">
        <is>
          <t>No, I don't need at all</t>
        </is>
      </c>
      <c r="AP2349" t="inlineStr">
        <is>
          <t>Once per quarter (75%)</t>
        </is>
      </c>
      <c r="AQ2349"/>
      <c r="AR2349"/>
      <c r="AS2349" t="inlineStr">
        <is>
          <t>- Headcount: 3
- Hiring Job Details: 2 financial planner, 1 marketing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349">
        <v>95</v>
      </c>
      <c r="AU2349" t="inlineStr">
        <is>
          <t>0.95</t>
        </is>
      </c>
      <c r="AV2349" t="inlineStr">
        <is>
          <t>5</t>
        </is>
      </c>
      <c r="AW2349" t="inlineStr">
        <is>
          <t>0</t>
        </is>
      </c>
      <c r="AX2349" t="inlineStr">
        <is>
          <t>Not Qualified</t>
        </is>
      </c>
      <c r="AY2349" s="4"/>
      <c r="AZ2349"/>
      <c r="BA2349"/>
      <c r="BB2349"/>
      <c r="BC2349" t="inlineStr">
        <is>
          <t>a lot r&amp;r regarding his future plans
hold on first</t>
        </is>
      </c>
      <c r="BD2349" s="4">
        <v>46134.51420138889</v>
      </c>
      <c r="BE2349" t="inlineStr">
        <is>
          <t>pending</t>
        </is>
      </c>
      <c r="BF2349"/>
      <c r="BG2349" t="inlineStr">
        <is>
          <t>Reschedule</t>
        </is>
      </c>
      <c r="BH2349" t="inlineStr">
        <is>
          <t>Edward Hoo</t>
        </is>
      </c>
      <c r="BI2349" t="inlineStr">
        <is>
          <t>Insurance</t>
        </is>
      </c>
      <c r="BJ2349" s="4">
        <v>46144.75465277778</v>
      </c>
      <c r="BK2349" s="4">
        <v>42303.41710648148</v>
      </c>
      <c r="BL2349" t="inlineStr">
        <is>
          <t>0.0</t>
        </is>
      </c>
      <c r="BM2349" t="inlineStr">
        <is>
          <t>0.0</t>
        </is>
      </c>
      <c r="BN2349" t="inlineStr">
        <is>
          <t>View Account User</t>
        </is>
      </c>
      <c r="BO2349" s="4">
        <v>45716.72289351852</v>
      </c>
      <c r="BP2349">
        <v>165795</v>
      </c>
      <c r="BQ2349">
        <v>101540</v>
      </c>
      <c r="BR2349" t="inlineStr">
        <is>
          <t>Proforma</t>
        </is>
      </c>
      <c r="BS2349" t="inlineStr">
        <is>
          <t>Ala Carte Single Max</t>
        </is>
      </c>
      <c r="BT2349">
        <v>23443</v>
      </c>
      <c r="BU2349"/>
      <c r="BV2349">
        <v>2720303</v>
      </c>
      <c r="BW2349" t="inlineStr">
        <is>
          <t>Follow Up : Lost - Free Portal</t>
        </is>
      </c>
      <c r="BX2349"/>
      <c r="BY2349"/>
      <c r="BZ2349" s="4"/>
      <c r="CA2349"/>
      <c r="CB2349"/>
      <c r="CC2349" s="4"/>
      <c r="CD2349" t="inlineStr">
        <is>
          <t>5</t>
        </is>
      </c>
      <c r="CE2349" t="inlineStr">
        <is>
          <t>0</t>
        </is>
      </c>
      <c r="CF2349" t="inlineStr">
        <is>
          <t>Q2-W01</t>
        </is>
      </c>
      <c r="CG2349"/>
      <c r="CH2349"/>
      <c r="CI2349"/>
      <c r="CJ2349" t="inlineStr">
        <is>
          <t>Paid</t>
        </is>
      </c>
      <c r="CK2349" t="inlineStr">
        <is>
          <t>Not Eligible</t>
        </is>
      </c>
      <c r="CL2349"/>
      <c r="CM2349"/>
    </row>
    <row r="2350" ht="25.5" customHeight="1">
      <c r="A2350" t="inlineStr">
        <is>
          <t>202889</t>
        </is>
      </c>
      <c r="B2350" s="2"/>
      <c r="C2350"/>
      <c r="D2350" s="3">
        <v>46119.88648148148</v>
      </c>
      <c r="E2350" t="inlineStr">
        <is>
          <t>Q2-W01</t>
        </is>
      </c>
      <c r="F2350" t="inlineStr">
        <is>
          <t>Luqman</t>
        </is>
      </c>
      <c r="G2350" t="inlineStr">
        <is>
          <t>Customer</t>
        </is>
      </c>
      <c r="H2350" s="2" t="str">
        <f>=HYPERLINK("https://upbox.ajobthing.my/customer/202889", "https://upbox.ajobthing.my/customer/202889")</f>
        <v>https://upbox.ajobthing.my/customer/202889</v>
      </c>
      <c r="I2350" t="inlineStr">
        <is>
          <t>Data Synergo Sdn Bhd</t>
        </is>
      </c>
      <c r="J2350" t="inlineStr">
        <is>
          <t>Dolphin</t>
        </is>
      </c>
      <c r="K2350" t="inlineStr">
        <is>
          <t>Luqman</t>
        </is>
      </c>
      <c r="L2350" s="4"/>
      <c r="M2350" s="4">
        <v>46119.46412037037</v>
      </c>
      <c r="N2350"/>
      <c r="O2350">
        <v>3576.96</v>
      </c>
      <c r="P2350" s="4"/>
      <c r="Q2350" s="4">
        <v>46119.552835648145</v>
      </c>
      <c r="R2350"/>
      <c r="S2350">
        <v>1296</v>
      </c>
      <c r="T2350" s="4"/>
      <c r="U2350" s="4"/>
      <c r="V2350"/>
      <c r="W2350"/>
      <c r="X2350"/>
      <c r="Y2350" t="inlineStr">
        <is>
          <t>Pending Appointment</t>
        </is>
      </c>
      <c r="Z2350" t="inlineStr">
        <is>
          <t>Hiring Later</t>
        </is>
      </c>
      <c r="AA2350">
        <v>1</v>
      </c>
      <c r="AB2350" t="inlineStr">
        <is>
          <t>No Appointment Made</t>
        </is>
      </c>
      <c r="AC2350"/>
      <c r="AD2350" t="inlineStr">
        <is>
          <t>1. IT Executive</t>
        </is>
      </c>
      <c r="AE2350"/>
      <c r="AF2350">
        <v>1200</v>
      </c>
      <c r="AG2350" s="4"/>
      <c r="AH2350" s="4"/>
      <c r="AI2350">
        <v>1200</v>
      </c>
      <c r="AJ2350"/>
      <c r="AK2350" t="inlineStr">
        <is>
          <t>No, I don't need at all</t>
        </is>
      </c>
      <c r="AL2350">
        <v>1</v>
      </c>
      <c r="AM2350" t="inlineStr">
        <is>
          <t>No, I don't need at all</t>
        </is>
      </c>
      <c r="AN2350"/>
      <c r="AO2350" t="inlineStr">
        <is>
          <t>No, I don't need at all</t>
        </is>
      </c>
      <c r="AP2350" t="inlineStr">
        <is>
          <t>Once a year (25%)</t>
        </is>
      </c>
      <c r="AQ2350">
        <v>1</v>
      </c>
      <c r="AR2350" t="inlineStr">
        <is>
          <t>Free Job Portal</t>
        </is>
      </c>
      <c r="AS2350" t="inlineStr">
        <is>
          <t>- Headcount: 1
- Hiring Job Details: 1 IT Executive
- Hiring Urgency: Hiring Later
- Number of outlets: N/A
- Have recruiter team: No, I don't need at all
- Number of recruiter in company: 1
- Have ATS system: No, I don't need at all
- Have career website: No, I don't need at all
- Current hiring budget: RM1,200.00
- Whole year budget: RM1,200.00
- Whole year number of vacancies: 1
- Hiring frequency: Once a year (25%)
- External job portal: Free Job Portal</t>
        </is>
      </c>
      <c r="AT2350">
        <v>115</v>
      </c>
      <c r="AU2350" t="inlineStr">
        <is>
          <t>1.15</t>
        </is>
      </c>
      <c r="AV2350" t="inlineStr">
        <is>
          <t>15</t>
        </is>
      </c>
      <c r="AW2350" t="inlineStr">
        <is>
          <t>0</t>
        </is>
      </c>
      <c r="AX2350" t="inlineStr">
        <is>
          <t>Not Qualified</t>
        </is>
      </c>
      <c r="AY2350" s="4"/>
      <c r="AZ2350"/>
      <c r="BA2350"/>
      <c r="BB2350"/>
      <c r="BC2350" t="inlineStr">
        <is>
          <t>Hiring on hold</t>
        </is>
      </c>
      <c r="BD2350" s="4">
        <v>46133.72423611111</v>
      </c>
      <c r="BE2350" t="inlineStr">
        <is>
          <t>pending</t>
        </is>
      </c>
      <c r="BF2350"/>
      <c r="BG2350" t="inlineStr">
        <is>
          <t>Reschedule</t>
        </is>
      </c>
      <c r="BH2350" t="inlineStr">
        <is>
          <t>Edward Hoo</t>
        </is>
      </c>
      <c r="BI2350"/>
      <c r="BJ2350" s="4">
        <v>46144.75414351852</v>
      </c>
      <c r="BK2350" s="4">
        <v>46118.71569444444</v>
      </c>
      <c r="BL2350" t="inlineStr">
        <is>
          <t>0.0</t>
        </is>
      </c>
      <c r="BM2350" t="inlineStr">
        <is>
          <t>0.0</t>
        </is>
      </c>
      <c r="BN2350"/>
      <c r="BO2350" s="4"/>
      <c r="BP2350">
        <v>165592</v>
      </c>
      <c r="BQ2350">
        <v>120366</v>
      </c>
      <c r="BR2350" t="inlineStr">
        <is>
          <t>Proforma</t>
        </is>
      </c>
      <c r="BS2350" t="inlineStr">
        <is>
          <t>AI Ala Carte (Jan 26) Plus</t>
        </is>
      </c>
      <c r="BT2350"/>
      <c r="BU2350"/>
      <c r="BV2350">
        <v>2719069</v>
      </c>
      <c r="BW2350" t="inlineStr">
        <is>
          <t>Follow Up : Lost - Free Portal</t>
        </is>
      </c>
      <c r="BX2350"/>
      <c r="BY2350"/>
      <c r="BZ2350" s="4"/>
      <c r="CA2350"/>
      <c r="CB2350"/>
      <c r="CC2350" s="4"/>
      <c r="CD2350" t="inlineStr">
        <is>
          <t>20</t>
        </is>
      </c>
      <c r="CE2350" t="inlineStr">
        <is>
          <t>0</t>
        </is>
      </c>
      <c r="CF2350" t="inlineStr">
        <is>
          <t>Q2-W01</t>
        </is>
      </c>
      <c r="CG2350" t="inlineStr">
        <is>
          <t>Q2-W01</t>
        </is>
      </c>
      <c r="CH2350"/>
      <c r="CI2350"/>
      <c r="CJ2350" t="inlineStr">
        <is>
          <t>No Paid</t>
        </is>
      </c>
      <c r="CK2350" t="inlineStr">
        <is>
          <t>Not Eligible</t>
        </is>
      </c>
      <c r="CL2350"/>
      <c r="CM2350"/>
    </row>
    <row r="2351" ht="25.5" customHeight="1">
      <c r="A2351" t="inlineStr">
        <is>
          <t>189028</t>
        </is>
      </c>
      <c r="B2351" s="2"/>
      <c r="C2351"/>
      <c r="D2351" s="3">
        <v>46120.42396990741</v>
      </c>
      <c r="E2351" t="inlineStr">
        <is>
          <t>Q2-W01</t>
        </is>
      </c>
      <c r="F2351" t="inlineStr">
        <is>
          <t>Jia Hui</t>
        </is>
      </c>
      <c r="G2351" t="inlineStr">
        <is>
          <t>Customer</t>
        </is>
      </c>
      <c r="H2351" s="2" t="str">
        <f>=HYPERLINK("https://upbox.ajobthing.my/customer/189028", "https://upbox.ajobthing.my/customer/189028")</f>
        <v>https://upbox.ajobthing.my/customer/189028</v>
      </c>
      <c r="I2351" t="inlineStr">
        <is>
          <t>Absk Advisory Sdn Bhd</t>
        </is>
      </c>
      <c r="J2351" t="inlineStr">
        <is>
          <t>Dolphin</t>
        </is>
      </c>
      <c r="K2351" t="inlineStr">
        <is>
          <t>Jia Hui</t>
        </is>
      </c>
      <c r="L2351" s="4"/>
      <c r="M2351" s="4">
        <v>46120.42438657407</v>
      </c>
      <c r="N2351"/>
      <c r="O2351">
        <v>3888</v>
      </c>
      <c r="P2351" s="4"/>
      <c r="Q2351" s="4"/>
      <c r="R2351"/>
      <c r="S2351"/>
      <c r="T2351" s="4"/>
      <c r="U2351" s="4"/>
      <c r="V2351"/>
      <c r="W2351"/>
      <c r="X2351"/>
      <c r="Y2351" t="inlineStr">
        <is>
          <t>Pending Appointment</t>
        </is>
      </c>
      <c r="Z2351" t="inlineStr">
        <is>
          <t>Hiring Now</t>
        </is>
      </c>
      <c r="AA2351">
        <v>1</v>
      </c>
      <c r="AB2351" t="inlineStr">
        <is>
          <t>No Appointment Made</t>
        </is>
      </c>
      <c r="AC2351"/>
      <c r="AD2351" t="inlineStr">
        <is>
          <t>1 personal driver</t>
        </is>
      </c>
      <c r="AE2351"/>
      <c r="AF2351">
        <v>500</v>
      </c>
      <c r="AG2351" s="4"/>
      <c r="AH2351" s="4"/>
      <c r="AI2351"/>
      <c r="AJ2351"/>
      <c r="AK2351" t="inlineStr">
        <is>
          <t>No, but I want in future</t>
        </is>
      </c>
      <c r="AL2351"/>
      <c r="AM2351"/>
      <c r="AN2351"/>
      <c r="AO2351"/>
      <c r="AP2351" t="inlineStr">
        <is>
          <t>Once a year (25%)</t>
        </is>
      </c>
      <c r="AQ2351"/>
      <c r="AR2351"/>
      <c r="AS2351" t="inlineStr">
        <is>
          <t>- Headcount: 1
- Hiring Job Details: 1 personal driver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351">
        <v>75</v>
      </c>
      <c r="AU2351" t="inlineStr">
        <is>
          <t>0.75</t>
        </is>
      </c>
      <c r="AV2351" t="inlineStr">
        <is>
          <t>15</t>
        </is>
      </c>
      <c r="AW2351" t="inlineStr">
        <is>
          <t>0</t>
        </is>
      </c>
      <c r="AX2351" t="inlineStr">
        <is>
          <t>Not Qualified</t>
        </is>
      </c>
      <c r="AY2351" s="4"/>
      <c r="AZ2351"/>
      <c r="BA2351"/>
      <c r="BB2351"/>
      <c r="BC2351" t="inlineStr">
        <is>
          <t>lost, already hired from facebook</t>
        </is>
      </c>
      <c r="BD2351" s="4">
        <v>46127.629849537036</v>
      </c>
      <c r="BE2351"/>
      <c r="BF2351"/>
      <c r="BG2351" t="inlineStr">
        <is>
          <t>Reschedule</t>
        </is>
      </c>
      <c r="BH2351" t="inlineStr">
        <is>
          <t>Reagen</t>
        </is>
      </c>
      <c r="BI2351"/>
      <c r="BJ2351" s="4">
        <v>46144.752280092594</v>
      </c>
      <c r="BK2351" s="4">
        <v>45735.4940625</v>
      </c>
      <c r="BL2351" t="inlineStr">
        <is>
          <t>0.0</t>
        </is>
      </c>
      <c r="BM2351" t="inlineStr">
        <is>
          <t>0.0</t>
        </is>
      </c>
      <c r="BN2351" t="inlineStr">
        <is>
          <t>View Account User</t>
        </is>
      </c>
      <c r="BO2351" s="4">
        <v>45735.49989583333</v>
      </c>
      <c r="BP2351">
        <v>165824</v>
      </c>
      <c r="BQ2351"/>
      <c r="BR2351"/>
      <c r="BS2351"/>
      <c r="BT2351"/>
      <c r="BU2351"/>
      <c r="BV2351">
        <v>2706146</v>
      </c>
      <c r="BW2351" t="inlineStr">
        <is>
          <t>Follow Up : Lost - Free Portal</t>
        </is>
      </c>
      <c r="BX2351"/>
      <c r="BY2351"/>
      <c r="BZ2351" s="4"/>
      <c r="CA2351"/>
      <c r="CB2351"/>
      <c r="CC2351" s="4"/>
      <c r="CD2351" t="inlineStr">
        <is>
          <t>20</t>
        </is>
      </c>
      <c r="CE2351" t="inlineStr">
        <is>
          <t>0</t>
        </is>
      </c>
      <c r="CF2351" t="inlineStr">
        <is>
          <t>Q2-W01</t>
        </is>
      </c>
      <c r="CG2351"/>
      <c r="CH2351"/>
      <c r="CI2351"/>
      <c r="CJ2351" t="inlineStr">
        <is>
          <t>No Paid</t>
        </is>
      </c>
      <c r="CK2351" t="inlineStr">
        <is>
          <t>Not Eligible</t>
        </is>
      </c>
      <c r="CL2351"/>
      <c r="CM2351"/>
    </row>
    <row r="2352" ht="25.5" customHeight="1">
      <c r="A2352" t="inlineStr">
        <is>
          <t>4259372</t>
        </is>
      </c>
      <c r="B2352" s="2"/>
      <c r="C2352"/>
      <c r="D2352" s="3">
        <v>46120.42768518518</v>
      </c>
      <c r="E2352" t="inlineStr">
        <is>
          <t>Q2-W01</t>
        </is>
      </c>
      <c r="F2352" t="inlineStr">
        <is>
          <t>Derek Lim</t>
        </is>
      </c>
      <c r="G2352" t="inlineStr">
        <is>
          <t>Lead</t>
        </is>
      </c>
      <c r="H2352" s="2" t="str">
        <f>=HYPERLINK("https://upbox.ajobthing.my/leads/4259372", "https://upbox.ajobthing.my/leads/4259372")</f>
        <v>https://upbox.ajobthing.my/leads/4259372</v>
      </c>
      <c r="I2352" t="inlineStr">
        <is>
          <t>HASIL LAUT SEONG KEE SDN BHD</t>
        </is>
      </c>
      <c r="J2352" t="inlineStr">
        <is>
          <t>Dolphin</t>
        </is>
      </c>
      <c r="K2352" t="inlineStr">
        <is>
          <t>Derek Lim</t>
        </is>
      </c>
      <c r="L2352" s="4"/>
      <c r="M2352" s="4">
        <v>46120.42805555555</v>
      </c>
      <c r="N2352"/>
      <c r="O2352">
        <v>6048</v>
      </c>
      <c r="P2352" s="4"/>
      <c r="Q2352" s="4"/>
      <c r="R2352"/>
      <c r="S2352"/>
      <c r="T2352" s="4"/>
      <c r="U2352" s="4"/>
      <c r="V2352"/>
      <c r="W2352"/>
      <c r="X2352"/>
      <c r="Y2352" t="inlineStr">
        <is>
          <t>Pending Appointment</t>
        </is>
      </c>
      <c r="Z2352" t="inlineStr">
        <is>
          <t>Hiring Now</t>
        </is>
      </c>
      <c r="AA2352">
        <v>6</v>
      </c>
      <c r="AB2352" t="inlineStr">
        <is>
          <t>No Appointment Made</t>
        </is>
      </c>
      <c r="AC2352"/>
      <c r="AD2352" t="inlineStr">
        <is>
          <t>account executive - 1, general worker - 3, driver - 2</t>
        </is>
      </c>
      <c r="AE2352"/>
      <c r="AF2352">
        <v>0</v>
      </c>
      <c r="AG2352" s="4"/>
      <c r="AH2352" s="4"/>
      <c r="AI2352">
        <v>0</v>
      </c>
      <c r="AJ2352">
        <v>1</v>
      </c>
      <c r="AK2352" t="inlineStr">
        <is>
          <t>No, I don't need at all</t>
        </is>
      </c>
      <c r="AL2352">
        <v>0</v>
      </c>
      <c r="AM2352" t="inlineStr">
        <is>
          <t>No, I don't need at all</t>
        </is>
      </c>
      <c r="AN2352"/>
      <c r="AO2352" t="inlineStr">
        <is>
          <t>No, I don't need at all</t>
        </is>
      </c>
      <c r="AP2352" t="inlineStr">
        <is>
          <t>Once a year (25%)</t>
        </is>
      </c>
      <c r="AQ2352">
        <v>5</v>
      </c>
      <c r="AR2352" t="inlineStr">
        <is>
          <t>Jobstreet</t>
        </is>
      </c>
      <c r="AS2352" t="inlineStr">
        <is>
          <t>- Headcount: 6
- Hiring Job Details: 1 account executive, 3 general workers, 2 drivers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5
- Hiring frequency: Once a year (25%)
- External job portal: Jobstreet</t>
        </is>
      </c>
      <c r="AT2352">
        <v>110</v>
      </c>
      <c r="AU2352" t="inlineStr">
        <is>
          <t>1.10</t>
        </is>
      </c>
      <c r="AV2352" t="inlineStr">
        <is>
          <t>20</t>
        </is>
      </c>
      <c r="AW2352" t="inlineStr">
        <is>
          <t>0</t>
        </is>
      </c>
      <c r="AX2352" t="inlineStr">
        <is>
          <t>Not Qualified</t>
        </is>
      </c>
      <c r="AY2352" s="4"/>
      <c r="AZ2352"/>
      <c r="BA2352"/>
      <c r="BB2352"/>
      <c r="BC2352"/>
      <c r="BD2352" s="4"/>
      <c r="BE2352"/>
      <c r="BF2352"/>
      <c r="BG2352" t="inlineStr">
        <is>
          <t>Reschedule</t>
        </is>
      </c>
      <c r="BH2352" t="inlineStr">
        <is>
          <t>Edward Hoo</t>
        </is>
      </c>
      <c r="BI2352"/>
      <c r="BJ2352" s="4">
        <v>46144.75576388889</v>
      </c>
      <c r="BK2352" s="4">
        <v>46120.41672453703</v>
      </c>
      <c r="BL2352" t="inlineStr">
        <is>
          <t>0.0</t>
        </is>
      </c>
      <c r="BM2352" t="inlineStr">
        <is>
          <t>0.0</t>
        </is>
      </c>
      <c r="BN2352"/>
      <c r="BO2352" s="4"/>
      <c r="BP2352">
        <v>165828</v>
      </c>
      <c r="BQ2352"/>
      <c r="BR2352"/>
      <c r="BS2352"/>
      <c r="BT2352"/>
      <c r="BU2352"/>
      <c r="BV2352"/>
      <c r="BW2352"/>
      <c r="BX2352"/>
      <c r="BY2352"/>
      <c r="BZ2352" s="4"/>
      <c r="CA2352"/>
      <c r="CB2352"/>
      <c r="CC2352" s="4"/>
      <c r="CD2352" t="inlineStr">
        <is>
          <t>30</t>
        </is>
      </c>
      <c r="CE2352" t="inlineStr">
        <is>
          <t>0</t>
        </is>
      </c>
      <c r="CF2352" t="inlineStr">
        <is>
          <t>Q2-W01</t>
        </is>
      </c>
      <c r="CG2352"/>
      <c r="CH2352"/>
      <c r="CI2352"/>
      <c r="CJ2352" t="inlineStr">
        <is>
          <t>No Paid</t>
        </is>
      </c>
      <c r="CK2352" t="inlineStr">
        <is>
          <t>Not Eligible</t>
        </is>
      </c>
      <c r="CL2352"/>
      <c r="CM2352"/>
    </row>
    <row r="2353" ht="25.5" customHeight="1">
      <c r="A2353" t="inlineStr">
        <is>
          <t>4257631</t>
        </is>
      </c>
      <c r="B2353" s="2"/>
      <c r="C2353"/>
      <c r="D2353" s="3">
        <v>46120.42811342593</v>
      </c>
      <c r="E2353" t="inlineStr">
        <is>
          <t>Q2-W01</t>
        </is>
      </c>
      <c r="F2353" t="inlineStr">
        <is>
          <t>Jess</t>
        </is>
      </c>
      <c r="G2353" t="inlineStr">
        <is>
          <t>Lead</t>
        </is>
      </c>
      <c r="H2353" s="2" t="str">
        <f>=HYPERLINK("https://upbox.ajobthing.my/leads/4257631", "https://upbox.ajobthing.my/leads/4257631")</f>
        <v>https://upbox.ajobthing.my/leads/4257631</v>
      </c>
      <c r="I2353" t="inlineStr">
        <is>
          <t>YST COMMERCE MALAYSIA SDN BHD</t>
        </is>
      </c>
      <c r="J2353" t="inlineStr">
        <is>
          <t>Dolphin</t>
        </is>
      </c>
      <c r="K2353" t="inlineStr">
        <is>
          <t>Jess Lim</t>
        </is>
      </c>
      <c r="L2353" s="4"/>
      <c r="M2353" s="4">
        <v>46120.42866898148</v>
      </c>
      <c r="N2353"/>
      <c r="O2353">
        <v>8208</v>
      </c>
      <c r="P2353" s="4"/>
      <c r="Q2353" s="4"/>
      <c r="R2353"/>
      <c r="S2353"/>
      <c r="T2353" s="4"/>
      <c r="U2353" s="4"/>
      <c r="V2353"/>
      <c r="W2353"/>
      <c r="X2353"/>
      <c r="Y2353" t="inlineStr">
        <is>
          <t>Pending Appointment</t>
        </is>
      </c>
      <c r="Z2353" t="inlineStr">
        <is>
          <t>Hiring Now</t>
        </is>
      </c>
      <c r="AA2353">
        <v>1</v>
      </c>
      <c r="AB2353" t="inlineStr">
        <is>
          <t>No Appointment Made</t>
        </is>
      </c>
      <c r="AC2353"/>
      <c r="AD2353" t="inlineStr">
        <is>
          <t>admin 1</t>
        </is>
      </c>
      <c r="AE2353"/>
      <c r="AF2353">
        <v>800</v>
      </c>
      <c r="AG2353" s="4"/>
      <c r="AH2353" s="4"/>
      <c r="AI2353"/>
      <c r="AJ2353">
        <v>1</v>
      </c>
      <c r="AK2353" t="inlineStr">
        <is>
          <t>No, I don't need at all</t>
        </is>
      </c>
      <c r="AL2353">
        <v>1</v>
      </c>
      <c r="AM2353" t="inlineStr">
        <is>
          <t>No, I don't need at all</t>
        </is>
      </c>
      <c r="AN2353"/>
      <c r="AO2353"/>
      <c r="AP2353" t="inlineStr">
        <is>
          <t>Once a year (25%)</t>
        </is>
      </c>
      <c r="AQ2353"/>
      <c r="AR2353" t="inlineStr">
        <is>
          <t>Jobstreet</t>
        </is>
      </c>
      <c r="AS2353" t="inlineStr">
        <is>
          <t>- Headcount: 1
- Hiring Job Details: 1 admin
- Hiring Urgency: Hiring Now
- Number of outlets: 1
- Have recruiter team: No, I don't need at all
- Number of recruiter in company: 1
- Have ATS system: No, I don't need at all
- Have career website: Not specified
- Current hiring budget: RM800.00
- Whole year budget: Not specified
- Whole year number of vacancies: Not specified
- Hiring frequency: Once a year (25%)
- External job portal: Jobstreet</t>
        </is>
      </c>
      <c r="AT2353">
        <v>95</v>
      </c>
      <c r="AU2353" t="inlineStr">
        <is>
          <t>0.95</t>
        </is>
      </c>
      <c r="AV2353" t="inlineStr">
        <is>
          <t>15</t>
        </is>
      </c>
      <c r="AW2353" t="inlineStr">
        <is>
          <t>0</t>
        </is>
      </c>
      <c r="AX2353" t="inlineStr">
        <is>
          <t>Not Qualified</t>
        </is>
      </c>
      <c r="AY2353" s="4"/>
      <c r="AZ2353"/>
      <c r="BA2353"/>
      <c r="BB2353"/>
      <c r="BC2353"/>
      <c r="BD2353" s="4"/>
      <c r="BE2353"/>
      <c r="BF2353"/>
      <c r="BG2353" t="inlineStr">
        <is>
          <t>Reschedule</t>
        </is>
      </c>
      <c r="BH2353" t="inlineStr">
        <is>
          <t>Fauziah Maharan</t>
        </is>
      </c>
      <c r="BI2353"/>
      <c r="BJ2353" s="4">
        <v>46144.755740740744</v>
      </c>
      <c r="BK2353" s="4">
        <v>46119.917280092595</v>
      </c>
      <c r="BL2353" t="inlineStr">
        <is>
          <t>0.0</t>
        </is>
      </c>
      <c r="BM2353" t="inlineStr">
        <is>
          <t>1800.0</t>
        </is>
      </c>
      <c r="BN2353"/>
      <c r="BO2353" s="4"/>
      <c r="BP2353">
        <v>165829</v>
      </c>
      <c r="BQ2353"/>
      <c r="BR2353"/>
      <c r="BS2353"/>
      <c r="BT2353"/>
      <c r="BU2353"/>
      <c r="BV2353"/>
      <c r="BW2353"/>
      <c r="BX2353"/>
      <c r="BY2353"/>
      <c r="BZ2353" s="4"/>
      <c r="CA2353"/>
      <c r="CB2353"/>
      <c r="CC2353" s="4"/>
      <c r="CD2353" t="inlineStr">
        <is>
          <t>20</t>
        </is>
      </c>
      <c r="CE2353" t="inlineStr">
        <is>
          <t>0</t>
        </is>
      </c>
      <c r="CF2353" t="inlineStr">
        <is>
          <t>Q2-W01</t>
        </is>
      </c>
      <c r="CG2353"/>
      <c r="CH2353"/>
      <c r="CI2353"/>
      <c r="CJ2353" t="inlineStr">
        <is>
          <t>No Paid</t>
        </is>
      </c>
      <c r="CK2353" t="inlineStr">
        <is>
          <t>Not Eligible</t>
        </is>
      </c>
      <c r="CL2353"/>
      <c r="CM2353"/>
    </row>
    <row r="2354" ht="25.5" customHeight="1">
      <c r="A2354" t="inlineStr">
        <is>
          <t>4259367</t>
        </is>
      </c>
      <c r="B2354" s="2"/>
      <c r="C2354"/>
      <c r="D2354" s="3">
        <v>46120.43712962963</v>
      </c>
      <c r="E2354" t="inlineStr">
        <is>
          <t>Q2-W01</t>
        </is>
      </c>
      <c r="F2354" t="inlineStr">
        <is>
          <t>Evan</t>
        </is>
      </c>
      <c r="G2354" t="inlineStr">
        <is>
          <t>Lead</t>
        </is>
      </c>
      <c r="H2354" s="2" t="str">
        <f>=HYPERLINK("https://upbox.ajobthing.my/leads/4259367", "https://upbox.ajobthing.my/leads/4259367")</f>
        <v>https://upbox.ajobthing.my/leads/4259367</v>
      </c>
      <c r="I2354" t="inlineStr">
        <is>
          <t>HEALTH ASPIRATION SDN BHD</t>
        </is>
      </c>
      <c r="J2354" t="inlineStr">
        <is>
          <t>Dolphin</t>
        </is>
      </c>
      <c r="K2354" t="inlineStr">
        <is>
          <t>Evan</t>
        </is>
      </c>
      <c r="L2354" s="4"/>
      <c r="M2354" s="4">
        <v>46120.43561342593</v>
      </c>
      <c r="N2354"/>
      <c r="O2354">
        <v>3888</v>
      </c>
      <c r="P2354" s="4"/>
      <c r="Q2354" s="4"/>
      <c r="R2354"/>
      <c r="S2354"/>
      <c r="T2354" s="4"/>
      <c r="U2354" s="4"/>
      <c r="V2354"/>
      <c r="W2354"/>
      <c r="X2354"/>
      <c r="Y2354" t="inlineStr">
        <is>
          <t>Pending Appointment</t>
        </is>
      </c>
      <c r="Z2354" t="inlineStr">
        <is>
          <t>Hiring Now</t>
        </is>
      </c>
      <c r="AA2354">
        <v>1</v>
      </c>
      <c r="AB2354" t="inlineStr">
        <is>
          <t>No Appointment Made</t>
        </is>
      </c>
      <c r="AC2354"/>
      <c r="AD2354" t="inlineStr">
        <is>
          <t>1 doctor, all base in PJ</t>
        </is>
      </c>
      <c r="AE2354"/>
      <c r="AF2354">
        <v>1</v>
      </c>
      <c r="AG2354" s="4"/>
      <c r="AH2354" s="4"/>
      <c r="AI2354">
        <v>1</v>
      </c>
      <c r="AJ2354">
        <v>2</v>
      </c>
      <c r="AK2354" t="inlineStr">
        <is>
          <t>No, I don't need at all</t>
        </is>
      </c>
      <c r="AL2354">
        <v>0</v>
      </c>
      <c r="AM2354" t="inlineStr">
        <is>
          <t>No, I don't need at all</t>
        </is>
      </c>
      <c r="AN2354"/>
      <c r="AO2354" t="inlineStr">
        <is>
          <t>No, I don't need at all</t>
        </is>
      </c>
      <c r="AP2354" t="inlineStr">
        <is>
          <t>Once a year (25%)</t>
        </is>
      </c>
      <c r="AQ2354">
        <v>1</v>
      </c>
      <c r="AR2354" t="inlineStr">
        <is>
          <t>Jobstreet</t>
        </is>
      </c>
      <c r="AS2354" t="inlineStr">
        <is>
          <t>- Headcount: 1
- Hiring Job Details: 1 doctor, all based in PJ
- Hiring Urgency: Hiring Now
- Number of outlets: 2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Jobstreet</t>
        </is>
      </c>
      <c r="AT2354">
        <v>110</v>
      </c>
      <c r="AU2354" t="inlineStr">
        <is>
          <t>1.10</t>
        </is>
      </c>
      <c r="AV2354" t="inlineStr">
        <is>
          <t>15</t>
        </is>
      </c>
      <c r="AW2354" t="inlineStr">
        <is>
          <t>0</t>
        </is>
      </c>
      <c r="AX2354" t="inlineStr">
        <is>
          <t>Not Qualified</t>
        </is>
      </c>
      <c r="AY2354" s="4"/>
      <c r="AZ2354"/>
      <c r="BA2354"/>
      <c r="BB2354"/>
      <c r="BC2354"/>
      <c r="BD2354" s="4"/>
      <c r="BE2354"/>
      <c r="BF2354"/>
      <c r="BG2354" t="inlineStr">
        <is>
          <t>Reschedule</t>
        </is>
      </c>
      <c r="BH2354" t="inlineStr">
        <is>
          <t>Edward Hoo</t>
        </is>
      </c>
      <c r="BI2354"/>
      <c r="BJ2354" s="4">
        <v>46144.75576388889</v>
      </c>
      <c r="BK2354" s="4">
        <v>46120.41609953704</v>
      </c>
      <c r="BL2354" t="inlineStr">
        <is>
          <t>0.0</t>
        </is>
      </c>
      <c r="BM2354" t="inlineStr">
        <is>
          <t>0.0</t>
        </is>
      </c>
      <c r="BN2354"/>
      <c r="BO2354" s="4"/>
      <c r="BP2354">
        <v>165831</v>
      </c>
      <c r="BQ2354"/>
      <c r="BR2354"/>
      <c r="BS2354"/>
      <c r="BT2354"/>
      <c r="BU2354"/>
      <c r="BV2354"/>
      <c r="BW2354"/>
      <c r="BX2354"/>
      <c r="BY2354"/>
      <c r="BZ2354" s="4"/>
      <c r="CA2354"/>
      <c r="CB2354"/>
      <c r="CC2354" s="4"/>
      <c r="CD2354" t="inlineStr">
        <is>
          <t>20</t>
        </is>
      </c>
      <c r="CE2354" t="inlineStr">
        <is>
          <t>0</t>
        </is>
      </c>
      <c r="CF2354" t="inlineStr">
        <is>
          <t>Q2-W01</t>
        </is>
      </c>
      <c r="CG2354"/>
      <c r="CH2354"/>
      <c r="CI2354"/>
      <c r="CJ2354" t="inlineStr">
        <is>
          <t>No Paid</t>
        </is>
      </c>
      <c r="CK2354" t="inlineStr">
        <is>
          <t>Not Eligible</t>
        </is>
      </c>
      <c r="CL2354"/>
      <c r="CM2354"/>
    </row>
    <row r="2355" ht="25.5" customHeight="1">
      <c r="A2355" t="inlineStr">
        <is>
          <t>189324</t>
        </is>
      </c>
      <c r="B2355" s="2"/>
      <c r="C2355"/>
      <c r="D2355" s="3">
        <v>46120.43958333333</v>
      </c>
      <c r="E2355" t="inlineStr">
        <is>
          <t>Q2-W01</t>
        </is>
      </c>
      <c r="F2355" t="inlineStr">
        <is>
          <t>Derek Lim</t>
        </is>
      </c>
      <c r="G2355" t="inlineStr">
        <is>
          <t>Customer</t>
        </is>
      </c>
      <c r="H2355" s="2" t="str">
        <f>=HYPERLINK("https://upbox.ajobthing.my/customer/189324", "https://upbox.ajobthing.my/customer/189324")</f>
        <v>https://upbox.ajobthing.my/customer/189324</v>
      </c>
      <c r="I2355" t="inlineStr">
        <is>
          <t>Boss Motorsport Sdn Bhd</t>
        </is>
      </c>
      <c r="J2355" t="inlineStr">
        <is>
          <t>Dolphin</t>
        </is>
      </c>
      <c r="K2355" t="inlineStr">
        <is>
          <t>Derek Lim</t>
        </is>
      </c>
      <c r="L2355" s="4"/>
      <c r="M2355" s="4">
        <v>46120.444340277776</v>
      </c>
      <c r="N2355"/>
      <c r="O2355">
        <v>2592</v>
      </c>
      <c r="P2355" s="4"/>
      <c r="Q2355" s="4">
        <v>46126.58923611111</v>
      </c>
      <c r="R2355"/>
      <c r="S2355">
        <v>2592</v>
      </c>
      <c r="T2355" s="4">
        <v>46126.58923611111</v>
      </c>
      <c r="U2355" s="4"/>
      <c r="V2355"/>
      <c r="W2355">
        <v>2592</v>
      </c>
      <c r="X2355"/>
      <c r="Y2355" t="inlineStr">
        <is>
          <t>Pending Appointment</t>
        </is>
      </c>
      <c r="Z2355" t="inlineStr">
        <is>
          <t>Hiring Now</t>
        </is>
      </c>
      <c r="AA2355">
        <v>3</v>
      </c>
      <c r="AB2355" t="inlineStr">
        <is>
          <t>No Appointment Made</t>
        </is>
      </c>
      <c r="AC2355"/>
      <c r="AD2355" t="inlineStr">
        <is>
          <t>Senior Mechanic - 2, receptionist cum admin - 1</t>
        </is>
      </c>
      <c r="AE2355"/>
      <c r="AF2355">
        <v>500</v>
      </c>
      <c r="AG2355" s="4"/>
      <c r="AH2355" s="4"/>
      <c r="AI2355">
        <v>0</v>
      </c>
      <c r="AJ2355">
        <v>1</v>
      </c>
      <c r="AK2355" t="inlineStr">
        <is>
          <t>No, I don't need at all</t>
        </is>
      </c>
      <c r="AL2355">
        <v>0</v>
      </c>
      <c r="AM2355" t="inlineStr">
        <is>
          <t>No, I don't need at all</t>
        </is>
      </c>
      <c r="AN2355"/>
      <c r="AO2355" t="inlineStr">
        <is>
          <t>No, I don't need at all</t>
        </is>
      </c>
      <c r="AP2355" t="inlineStr">
        <is>
          <t>Once a year (25%)</t>
        </is>
      </c>
      <c r="AQ2355">
        <v>2</v>
      </c>
      <c r="AR2355" t="inlineStr">
        <is>
          <t>Free Job Portal</t>
        </is>
      </c>
      <c r="AS2355" t="inlineStr">
        <is>
          <t>- Headcount: 3
- Hiring Job Details: Senior Mechanic - 2, receptionist cum admin - 1
- Hiring Urgency: Hiring Now
- Number of outlets: 1
- Have recruiter team: No, I don't need at all
- Number of recruiter in company: 0
- Have ATS system: No, I don't need at all
- Have career website: No, I don't need at all
- Current hiring budget: RM500
- Whole year budget: RM0.00
- Whole year number of vacancies: 2
- Hiring frequency: Once a year (25%)
- External job portal: Free Job Portal</t>
        </is>
      </c>
      <c r="AT2355">
        <v>115</v>
      </c>
      <c r="AU2355" t="inlineStr">
        <is>
          <t>1.15</t>
        </is>
      </c>
      <c r="AV2355" t="inlineStr">
        <is>
          <t>15</t>
        </is>
      </c>
      <c r="AW2355" t="inlineStr">
        <is>
          <t>0</t>
        </is>
      </c>
      <c r="AX2355" t="inlineStr">
        <is>
          <t>Not Qualified</t>
        </is>
      </c>
      <c r="AY2355" s="4"/>
      <c r="AZ2355"/>
      <c r="BA2355"/>
      <c r="BB2355"/>
      <c r="BC2355" t="inlineStr">
        <is>
          <t>GO THROUGH WITH CLIENT ON THE PLATFORM</t>
        </is>
      </c>
      <c r="BD2355" s="4">
        <v>46128.405185185184</v>
      </c>
      <c r="BE2355" t="inlineStr">
        <is>
          <t>paid</t>
        </is>
      </c>
      <c r="BF2355" t="inlineStr">
        <is>
          <t>Q2-W02</t>
        </is>
      </c>
      <c r="BG2355" t="inlineStr">
        <is>
          <t>Reschedule</t>
        </is>
      </c>
      <c r="BH2355" t="inlineStr">
        <is>
          <t>Edward Hoo</t>
        </is>
      </c>
      <c r="BI2355" t="inlineStr">
        <is>
          <t>Automobile / Automotive</t>
        </is>
      </c>
      <c r="BJ2355" s="4">
        <v>46144.75230324074</v>
      </c>
      <c r="BK2355" s="4">
        <v>45742.58576388889</v>
      </c>
      <c r="BL2355" t="inlineStr">
        <is>
          <t>2592.0</t>
        </is>
      </c>
      <c r="BM2355" t="inlineStr">
        <is>
          <t>600.0</t>
        </is>
      </c>
      <c r="BN2355" t="inlineStr">
        <is>
          <t>View Company Page</t>
        </is>
      </c>
      <c r="BO2355" s="4">
        <v>46142.62184027778</v>
      </c>
      <c r="BP2355">
        <v>165843</v>
      </c>
      <c r="BQ2355">
        <v>7606</v>
      </c>
      <c r="BR2355" t="inlineStr">
        <is>
          <t>Manual (Paid)</t>
        </is>
      </c>
      <c r="BS2355" t="inlineStr">
        <is>
          <t>AI Ala Carte
- A la carte for 2 AI Job Ad
- 2 AI Job Ad will be published on Maukerja, Ricebowl and our partner platforms
- 2 AI Job Ad will be published for 45 days
- 1 Booster Plus (10 times bump up)
- 1 Premium Job Ad
- 20 Free Candidates Profiles Unlock
- 6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
AI Ala Carte
- A la carte for 1 AI Job Ad
- 1 AI Job Ad will be published on Maukerja, Ricebowl and our partner platforms
- 1 AI Job Ad will be published for 45 days
- 1 Booster Plus (10 times bump up)
- 1 Premium Job Ad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is>
      </c>
      <c r="BT2355">
        <v>7606</v>
      </c>
      <c r="BU2355"/>
      <c r="BV2355">
        <v>2707730</v>
      </c>
      <c r="BW2355" t="inlineStr">
        <is>
          <t>Service / Technical : Help To Post Job</t>
        </is>
      </c>
      <c r="BX2355">
        <v>2</v>
      </c>
      <c r="BY2355">
        <v>0</v>
      </c>
      <c r="BZ2355" s="4">
        <v>46128.49304398148</v>
      </c>
      <c r="CA2355">
        <v>20</v>
      </c>
      <c r="CB2355">
        <v>20</v>
      </c>
      <c r="CC2355" s="4"/>
      <c r="CD2355" t="inlineStr">
        <is>
          <t>20</t>
        </is>
      </c>
      <c r="CE2355" t="inlineStr">
        <is>
          <t>0</t>
        </is>
      </c>
      <c r="CF2355" t="inlineStr">
        <is>
          <t>Q2-W01</t>
        </is>
      </c>
      <c r="CG2355" t="inlineStr">
        <is>
          <t>Q2-W02</t>
        </is>
      </c>
      <c r="CH2355" t="inlineStr">
        <is>
          <t>Q2-W02</t>
        </is>
      </c>
      <c r="CI2355"/>
      <c r="CJ2355" t="inlineStr">
        <is>
          <t>Paid</t>
        </is>
      </c>
      <c r="CK2355" t="inlineStr">
        <is>
          <t>Not Eligible</t>
        </is>
      </c>
      <c r="CL2355"/>
      <c r="CM2355"/>
    </row>
    <row r="2356" ht="25.5" customHeight="1">
      <c r="A2356" t="inlineStr">
        <is>
          <t>159606</t>
        </is>
      </c>
      <c r="B2356" s="2"/>
      <c r="C2356"/>
      <c r="D2356" s="3">
        <v>46120.44217592593</v>
      </c>
      <c r="E2356" t="inlineStr">
        <is>
          <t>Q2-W01</t>
        </is>
      </c>
      <c r="F2356" t="inlineStr">
        <is>
          <t>Angel  Low</t>
        </is>
      </c>
      <c r="G2356" t="inlineStr">
        <is>
          <t>Customer</t>
        </is>
      </c>
      <c r="H2356" s="2" t="str">
        <f>=HYPERLINK("https://upbox.ajobthing.my/customer/159606", "https://upbox.ajobthing.my/customer/159606")</f>
        <v>https://upbox.ajobthing.my/customer/159606</v>
      </c>
      <c r="I2356" t="inlineStr">
        <is>
          <t>Wintech Engineering &amp; Supplies</t>
        </is>
      </c>
      <c r="J2356" t="inlineStr">
        <is>
          <t>Dolphin</t>
        </is>
      </c>
      <c r="K2356" t="inlineStr">
        <is>
          <t>Angel Low</t>
        </is>
      </c>
      <c r="L2356" s="4"/>
      <c r="M2356" s="4">
        <v>46120.442407407405</v>
      </c>
      <c r="N2356"/>
      <c r="O2356">
        <v>3672</v>
      </c>
      <c r="P2356" s="4"/>
      <c r="Q2356" s="4">
        <v>46120.41773148148</v>
      </c>
      <c r="R2356"/>
      <c r="S2356">
        <v>0</v>
      </c>
      <c r="T2356" s="4"/>
      <c r="U2356" s="4"/>
      <c r="V2356"/>
      <c r="W2356"/>
      <c r="X2356"/>
      <c r="Y2356" t="inlineStr">
        <is>
          <t>Pending Appointment</t>
        </is>
      </c>
      <c r="Z2356"/>
      <c r="AA2356">
        <v>1</v>
      </c>
      <c r="AB2356" t="inlineStr">
        <is>
          <t>No Appointment Made</t>
        </is>
      </c>
      <c r="AC2356"/>
      <c r="AD2356" t="inlineStr">
        <is>
          <t xml:space="preserve">1 technician </t>
        </is>
      </c>
      <c r="AE2356"/>
      <c r="AF2356"/>
      <c r="AG2356" s="4"/>
      <c r="AH2356" s="4"/>
      <c r="AI2356"/>
      <c r="AJ2356"/>
      <c r="AK2356"/>
      <c r="AL2356"/>
      <c r="AM2356"/>
      <c r="AN2356"/>
      <c r="AO2356"/>
      <c r="AP2356"/>
      <c r="AQ2356"/>
      <c r="AR2356"/>
      <c r="AS2356" t="inlineStr">
        <is>
          <t>- Headcount: 1
- Hiring Job Details: 1 technician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356">
        <v>60</v>
      </c>
      <c r="AU2356" t="inlineStr">
        <is>
          <t>0.60</t>
        </is>
      </c>
      <c r="AV2356" t="inlineStr">
        <is>
          <t>5</t>
        </is>
      </c>
      <c r="AW2356" t="inlineStr">
        <is>
          <t>0</t>
        </is>
      </c>
      <c r="AX2356" t="inlineStr">
        <is>
          <t>Not Qualified</t>
        </is>
      </c>
      <c r="AY2356" s="4"/>
      <c r="AZ2356"/>
      <c r="BA2356"/>
      <c r="BB2356"/>
      <c r="BC2356" t="inlineStr">
        <is>
          <t>- Headcount: 1
- Hiring Job Details: 1 technician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356" s="4">
        <v>46120.45835648148</v>
      </c>
      <c r="BE2356" t="inlineStr">
        <is>
          <t>paid</t>
        </is>
      </c>
      <c r="BF2356"/>
      <c r="BG2356" t="inlineStr">
        <is>
          <t>Reschedule</t>
        </is>
      </c>
      <c r="BH2356" t="inlineStr">
        <is>
          <t>Fauziah Maharan</t>
        </is>
      </c>
      <c r="BI2356" t="inlineStr">
        <is>
          <t>Repair / Maintenance</t>
        </is>
      </c>
      <c r="BJ2356" s="4">
        <v>46120.48023148148</v>
      </c>
      <c r="BK2356" s="4">
        <v>44813.46292824074</v>
      </c>
      <c r="BL2356" t="inlineStr">
        <is>
          <t>0.0</t>
        </is>
      </c>
      <c r="BM2356" t="inlineStr">
        <is>
          <t>600.0</t>
        </is>
      </c>
      <c r="BN2356" t="inlineStr">
        <is>
          <t>View Jobmanager Page</t>
        </is>
      </c>
      <c r="BO2356" s="4">
        <v>46120.47702546296</v>
      </c>
      <c r="BP2356">
        <v>165839</v>
      </c>
      <c r="BQ2356">
        <v>120736</v>
      </c>
      <c r="BR2356" t="inlineStr">
        <is>
          <t>Proforma</t>
        </is>
      </c>
      <c r="BS2356" t="inlineStr">
        <is>
          <t>Free Internship Job</t>
        </is>
      </c>
      <c r="BT2356">
        <v>5576</v>
      </c>
      <c r="BU2356"/>
      <c r="BV2356">
        <v>2691601</v>
      </c>
      <c r="BW2356" t="inlineStr">
        <is>
          <t>Customer Inquiry</t>
        </is>
      </c>
      <c r="BX2356">
        <v>4</v>
      </c>
      <c r="BY2356">
        <v>4</v>
      </c>
      <c r="BZ2356" s="4"/>
      <c r="CA2356"/>
      <c r="CB2356"/>
      <c r="CC2356" s="4"/>
      <c r="CD2356" t="inlineStr">
        <is>
          <t>5</t>
        </is>
      </c>
      <c r="CE2356" t="inlineStr">
        <is>
          <t>0</t>
        </is>
      </c>
      <c r="CF2356" t="inlineStr">
        <is>
          <t>Q2-W01</t>
        </is>
      </c>
      <c r="CG2356" t="inlineStr">
        <is>
          <t>Q2-W01</t>
        </is>
      </c>
      <c r="CH2356"/>
      <c r="CI2356"/>
      <c r="CJ2356" t="inlineStr">
        <is>
          <t>No Paid</t>
        </is>
      </c>
      <c r="CK2356" t="inlineStr">
        <is>
          <t>Not Eligible</t>
        </is>
      </c>
      <c r="CL2356"/>
      <c r="CM2356"/>
    </row>
    <row r="2357" ht="25.5" customHeight="1">
      <c r="A2357" t="inlineStr">
        <is>
          <t>119310</t>
        </is>
      </c>
      <c r="B2357" s="2"/>
      <c r="C2357"/>
      <c r="D2357" s="3">
        <v>46120.444236111114</v>
      </c>
      <c r="E2357" t="inlineStr">
        <is>
          <t>Q2-W01</t>
        </is>
      </c>
      <c r="F2357" t="inlineStr">
        <is>
          <t>Eugene</t>
        </is>
      </c>
      <c r="G2357" t="inlineStr">
        <is>
          <t>Customer</t>
        </is>
      </c>
      <c r="H2357" s="2" t="str">
        <f>=HYPERLINK("https://upbox.ajobthing.my/customer/119310", "https://upbox.ajobthing.my/customer/119310")</f>
        <v>https://upbox.ajobthing.my/customer/119310</v>
      </c>
      <c r="I2357" t="inlineStr">
        <is>
          <t>Chin Swee Food Sdn Bhd</t>
        </is>
      </c>
      <c r="J2357" t="inlineStr">
        <is>
          <t>Dolphin</t>
        </is>
      </c>
      <c r="K2357" t="inlineStr">
        <is>
          <t>Eugene</t>
        </is>
      </c>
      <c r="L2357" s="4"/>
      <c r="M2357" s="4">
        <v>46120.444340277776</v>
      </c>
      <c r="N2357"/>
      <c r="O2357">
        <v>3888</v>
      </c>
      <c r="P2357" s="4"/>
      <c r="Q2357" s="4">
        <v>46135.69756944444</v>
      </c>
      <c r="R2357"/>
      <c r="S2357">
        <v>1296</v>
      </c>
      <c r="T2357" s="4">
        <v>46135.69756944444</v>
      </c>
      <c r="U2357" s="4"/>
      <c r="V2357"/>
      <c r="W2357">
        <v>1296</v>
      </c>
      <c r="X2357"/>
      <c r="Y2357" t="inlineStr">
        <is>
          <t>Pending Appointment</t>
        </is>
      </c>
      <c r="Z2357" t="inlineStr">
        <is>
          <t>Hiring Now</t>
        </is>
      </c>
      <c r="AA2357">
        <v>1</v>
      </c>
      <c r="AB2357" t="inlineStr">
        <is>
          <t>No Appointment Made</t>
        </is>
      </c>
      <c r="AC2357"/>
      <c r="AD2357" t="inlineStr">
        <is>
          <t>1 positions, based in KL</t>
        </is>
      </c>
      <c r="AE2357"/>
      <c r="AF2357">
        <v>3000</v>
      </c>
      <c r="AG2357" s="4"/>
      <c r="AH2357" s="4"/>
      <c r="AI2357">
        <v>3000</v>
      </c>
      <c r="AJ2357">
        <v>2</v>
      </c>
      <c r="AK2357" t="inlineStr">
        <is>
          <t>No, I don't need at all</t>
        </is>
      </c>
      <c r="AL2357">
        <v>1</v>
      </c>
      <c r="AM2357" t="inlineStr">
        <is>
          <t>No, I don't need at all</t>
        </is>
      </c>
      <c r="AN2357"/>
      <c r="AO2357" t="inlineStr">
        <is>
          <t>No, I don't need at all</t>
        </is>
      </c>
      <c r="AP2357" t="inlineStr">
        <is>
          <t>Once a year (25%)</t>
        </is>
      </c>
      <c r="AQ2357">
        <v>2</v>
      </c>
      <c r="AR2357" t="inlineStr">
        <is>
          <t>Free Job Portal</t>
        </is>
      </c>
      <c r="AS2357" t="inlineStr">
        <is>
          <t>- Headcount: 1
- Hiring Job Details: 1 position, based in KL
- Hiring Urgency: Hiring Now
- Number of outlets: 2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AT2357">
        <v>95</v>
      </c>
      <c r="AU2357" t="inlineStr">
        <is>
          <t>0.95</t>
        </is>
      </c>
      <c r="AV2357" t="inlineStr">
        <is>
          <t>15</t>
        </is>
      </c>
      <c r="AW2357" t="inlineStr">
        <is>
          <t>0</t>
        </is>
      </c>
      <c r="AX2357" t="inlineStr">
        <is>
          <t>Not Qualified</t>
        </is>
      </c>
      <c r="AY2357" s="4"/>
      <c r="AZ2357"/>
      <c r="BA2357"/>
      <c r="BB2357"/>
      <c r="BC2357" t="inlineStr">
        <is>
          <t>won</t>
        </is>
      </c>
      <c r="BD2357" s="4">
        <v>46136.441655092596</v>
      </c>
      <c r="BE2357" t="inlineStr">
        <is>
          <t>paid</t>
        </is>
      </c>
      <c r="BF2357" t="inlineStr">
        <is>
          <t>Q2-W03</t>
        </is>
      </c>
      <c r="BG2357" t="inlineStr">
        <is>
          <t>Reschedule</t>
        </is>
      </c>
      <c r="BH2357" t="inlineStr">
        <is>
          <t>Edward Hoo</t>
        </is>
      </c>
      <c r="BI2357" t="inlineStr">
        <is>
          <t>Food / Beverage</t>
        </is>
      </c>
      <c r="BJ2357" s="4">
        <v>46144.750231481485</v>
      </c>
      <c r="BK2357" s="4">
        <v>43633.485555555555</v>
      </c>
      <c r="BL2357" t="inlineStr">
        <is>
          <t>1296.0</t>
        </is>
      </c>
      <c r="BM2357" t="inlineStr">
        <is>
          <t>600.0</t>
        </is>
      </c>
      <c r="BN2357" t="inlineStr">
        <is>
          <t>User Visit(Logged In)</t>
        </is>
      </c>
      <c r="BO2357" s="4">
        <v>46142.654953703706</v>
      </c>
      <c r="BP2357">
        <v>165842</v>
      </c>
      <c r="BQ2357">
        <v>94682</v>
      </c>
      <c r="BR2357" t="inlineStr">
        <is>
          <t>Online</t>
        </is>
      </c>
      <c r="BS2357"/>
      <c r="BT2357">
        <v>94682</v>
      </c>
      <c r="BU2357"/>
      <c r="BV2357">
        <v>2725642</v>
      </c>
      <c r="BW2357" t="inlineStr">
        <is>
          <t>Follow Up : Win - Customer Paid</t>
        </is>
      </c>
      <c r="BX2357">
        <v>1</v>
      </c>
      <c r="BY2357">
        <v>0</v>
      </c>
      <c r="BZ2357" s="4">
        <v>46136.462430555555</v>
      </c>
      <c r="CA2357">
        <v>10</v>
      </c>
      <c r="CB2357">
        <v>10</v>
      </c>
      <c r="CC2357" s="4"/>
      <c r="CD2357" t="inlineStr">
        <is>
          <t>20</t>
        </is>
      </c>
      <c r="CE2357" t="inlineStr">
        <is>
          <t>0</t>
        </is>
      </c>
      <c r="CF2357" t="inlineStr">
        <is>
          <t>Q2-W01</t>
        </is>
      </c>
      <c r="CG2357" t="inlineStr">
        <is>
          <t>Q2-W03</t>
        </is>
      </c>
      <c r="CH2357" t="inlineStr">
        <is>
          <t>Q2-W03</t>
        </is>
      </c>
      <c r="CI2357"/>
      <c r="CJ2357" t="inlineStr">
        <is>
          <t>Paid</t>
        </is>
      </c>
      <c r="CK2357" t="inlineStr">
        <is>
          <t>Not Eligible</t>
        </is>
      </c>
      <c r="CL2357"/>
      <c r="CM2357"/>
    </row>
    <row r="2358" ht="25.5" customHeight="1">
      <c r="A2358" t="inlineStr">
        <is>
          <t>134777</t>
        </is>
      </c>
      <c r="B2358" s="2"/>
      <c r="C2358"/>
      <c r="D2358" s="3">
        <v>46120.448125</v>
      </c>
      <c r="E2358" t="inlineStr">
        <is>
          <t>Q2-W01</t>
        </is>
      </c>
      <c r="F2358" t="inlineStr">
        <is>
          <t>Chia Yee</t>
        </is>
      </c>
      <c r="G2358" t="inlineStr">
        <is>
          <t>Customer</t>
        </is>
      </c>
      <c r="H2358" s="2" t="str">
        <f>=HYPERLINK("https://upbox.ajobthing.my/customer/134777", "https://upbox.ajobthing.my/customer/134777")</f>
        <v>https://upbox.ajobthing.my/customer/134777</v>
      </c>
      <c r="I2358" t="inlineStr">
        <is>
          <t>OUS Prima (M) Sdn. Bhd.</t>
        </is>
      </c>
      <c r="J2358" t="inlineStr">
        <is>
          <t>Dolphin</t>
        </is>
      </c>
      <c r="K2358" t="inlineStr">
        <is>
          <t>Chia Yee</t>
        </is>
      </c>
      <c r="L2358" s="4"/>
      <c r="M2358" s="4">
        <v>46120.448287037034</v>
      </c>
      <c r="N2358"/>
      <c r="O2358">
        <v>11448</v>
      </c>
      <c r="P2358" s="4"/>
      <c r="Q2358" s="4">
        <v>44808.943819444445</v>
      </c>
      <c r="R2358"/>
      <c r="S2358">
        <v>1749</v>
      </c>
      <c r="T2358" s="4">
        <v>44808.943819444445</v>
      </c>
      <c r="U2358" s="4"/>
      <c r="V2358"/>
      <c r="W2358">
        <v>1749</v>
      </c>
      <c r="X2358"/>
      <c r="Y2358" t="inlineStr">
        <is>
          <t>Pending Appointment</t>
        </is>
      </c>
      <c r="Z2358" t="inlineStr">
        <is>
          <t>Hiring Now</t>
        </is>
      </c>
      <c r="AA2358">
        <v>10</v>
      </c>
      <c r="AB2358" t="inlineStr">
        <is>
          <t>No Appointment Made</t>
        </is>
      </c>
      <c r="AC2358"/>
      <c r="AD2358" t="inlineStr">
        <is>
          <t xml:space="preserve"> 2 customer service, 2 content creator, 2 Sales admin, 2 Video editor cum photographer, 1  E- commerce executive, 1 HR Recruiter</t>
        </is>
      </c>
      <c r="AE2358"/>
      <c r="AF2358">
        <v>0</v>
      </c>
      <c r="AG2358" s="4"/>
      <c r="AH2358" s="4"/>
      <c r="AI2358">
        <v>0</v>
      </c>
      <c r="AJ2358">
        <v>1</v>
      </c>
      <c r="AK2358" t="inlineStr">
        <is>
          <t>No, I don't need at all</t>
        </is>
      </c>
      <c r="AL2358">
        <v>1</v>
      </c>
      <c r="AM2358" t="inlineStr">
        <is>
          <t>No, I don't need at all</t>
        </is>
      </c>
      <c r="AN2358"/>
      <c r="AO2358" t="inlineStr">
        <is>
          <t>Yes, I have</t>
        </is>
      </c>
      <c r="AP2358" t="inlineStr">
        <is>
          <t>Twice a year (50%)</t>
        </is>
      </c>
      <c r="AQ2358">
        <v>12</v>
      </c>
      <c r="AR2358" t="inlineStr">
        <is>
          <t>Did not use any job portal</t>
        </is>
      </c>
      <c r="AS2358" t="inlineStr">
        <is>
          <t>- Headcount: 10
- Hiring Job Details: 2 customer service, 2 content creator, 2 Sales admin, 2 Video editor cum photographer, 1 E-commerce executive, 1 HR Recruiter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12
- Hiring frequency: Twice a year (50%)
- External job portal: Did not use any job portal</t>
        </is>
      </c>
      <c r="AT2358">
        <v>115</v>
      </c>
      <c r="AU2358" t="inlineStr">
        <is>
          <t>1.15</t>
        </is>
      </c>
      <c r="AV2358" t="inlineStr">
        <is>
          <t>20</t>
        </is>
      </c>
      <c r="AW2358" t="inlineStr">
        <is>
          <t>0</t>
        </is>
      </c>
      <c r="AX2358" t="inlineStr">
        <is>
          <t>Not Qualified</t>
        </is>
      </c>
      <c r="AY2358" s="4"/>
      <c r="AZ2358"/>
      <c r="BA2358"/>
      <c r="BB2358"/>
      <c r="BC2358" t="inlineStr">
        <is>
          <t>Replied: no feedback yet</t>
        </is>
      </c>
      <c r="BD2358" s="4">
        <v>46142.4297337963</v>
      </c>
      <c r="BE2358" t="inlineStr">
        <is>
          <t>paid</t>
        </is>
      </c>
      <c r="BF2358"/>
      <c r="BG2358" t="inlineStr">
        <is>
          <t>Reschedule</t>
        </is>
      </c>
      <c r="BH2358" t="inlineStr">
        <is>
          <t>Reagen</t>
        </is>
      </c>
      <c r="BI2358" t="inlineStr">
        <is>
          <t>Sales / Biz Development</t>
        </is>
      </c>
      <c r="BJ2358" s="4">
        <v>46144.75053240741</v>
      </c>
      <c r="BK2358" s="4">
        <v>44252.423113425924</v>
      </c>
      <c r="BL2358" t="inlineStr">
        <is>
          <t>0.0</t>
        </is>
      </c>
      <c r="BM2358" t="inlineStr">
        <is>
          <t>0.0</t>
        </is>
      </c>
      <c r="BN2358" t="inlineStr">
        <is>
          <t>View Jobmanager Page</t>
        </is>
      </c>
      <c r="BO2358" s="4">
        <v>45027.59017361111</v>
      </c>
      <c r="BP2358">
        <v>165847</v>
      </c>
      <c r="BQ2358">
        <v>50127</v>
      </c>
      <c r="BR2358" t="inlineStr">
        <is>
          <t>Online</t>
        </is>
      </c>
      <c r="BS2358"/>
      <c r="BT2358">
        <v>50127</v>
      </c>
      <c r="BU2358"/>
      <c r="BV2358">
        <v>2736691</v>
      </c>
      <c r="BW2358" t="inlineStr">
        <is>
          <t>Follow Up : Budget Concern</t>
        </is>
      </c>
      <c r="BX2358"/>
      <c r="BY2358"/>
      <c r="BZ2358" s="4"/>
      <c r="CA2358"/>
      <c r="CB2358"/>
      <c r="CC2358" s="4"/>
      <c r="CD2358" t="inlineStr">
        <is>
          <t>30</t>
        </is>
      </c>
      <c r="CE2358" t="inlineStr">
        <is>
          <t>0</t>
        </is>
      </c>
      <c r="CF2358" t="inlineStr">
        <is>
          <t>Q2-W01</t>
        </is>
      </c>
      <c r="CG2358"/>
      <c r="CH2358"/>
      <c r="CI2358"/>
      <c r="CJ2358" t="inlineStr">
        <is>
          <t>Paid</t>
        </is>
      </c>
      <c r="CK2358" t="inlineStr">
        <is>
          <t>Eligible</t>
        </is>
      </c>
      <c r="CL2358"/>
      <c r="CM2358"/>
    </row>
    <row r="2359" ht="25.5" customHeight="1">
      <c r="A2359" t="inlineStr">
        <is>
          <t>4259090</t>
        </is>
      </c>
      <c r="B2359" s="2"/>
      <c r="C2359"/>
      <c r="D2359" s="3">
        <v>46120.45049768518</v>
      </c>
      <c r="E2359" t="inlineStr">
        <is>
          <t>Q2-W01</t>
        </is>
      </c>
      <c r="F2359" t="inlineStr">
        <is>
          <t>Ken Yi</t>
        </is>
      </c>
      <c r="G2359" t="inlineStr">
        <is>
          <t>Lead</t>
        </is>
      </c>
      <c r="H2359" s="2" t="str">
        <f>=HYPERLINK("https://upbox.ajobthing.my/leads/4259090", "https://upbox.ajobthing.my/leads/4259090")</f>
        <v>https://upbox.ajobthing.my/leads/4259090</v>
      </c>
      <c r="I2359" t="inlineStr">
        <is>
          <t>Talent Earth Management</t>
        </is>
      </c>
      <c r="J2359" t="inlineStr">
        <is>
          <t>Dolphin</t>
        </is>
      </c>
      <c r="K2359" t="inlineStr">
        <is>
          <t>Kenyi</t>
        </is>
      </c>
      <c r="L2359" s="4"/>
      <c r="M2359" s="4">
        <v>46120.45670138889</v>
      </c>
      <c r="N2359"/>
      <c r="O2359">
        <v>1296</v>
      </c>
      <c r="P2359" s="4"/>
      <c r="Q2359" s="4"/>
      <c r="R2359"/>
      <c r="S2359"/>
      <c r="T2359" s="4"/>
      <c r="U2359" s="4"/>
      <c r="V2359"/>
      <c r="W2359"/>
      <c r="X2359"/>
      <c r="Y2359" t="inlineStr">
        <is>
          <t>Pending Appointment</t>
        </is>
      </c>
      <c r="Z2359" t="inlineStr">
        <is>
          <t>Hiring Now</t>
        </is>
      </c>
      <c r="AA2359">
        <v>2</v>
      </c>
      <c r="AB2359" t="inlineStr">
        <is>
          <t>No Appointment Made</t>
        </is>
      </c>
      <c r="AC2359"/>
      <c r="AD2359" t="inlineStr">
        <is>
          <t>Nurse - Mandarin 2</t>
        </is>
      </c>
      <c r="AE2359"/>
      <c r="AF2359">
        <v>0</v>
      </c>
      <c r="AG2359" s="4"/>
      <c r="AH2359" s="4"/>
      <c r="AI2359">
        <v>0</v>
      </c>
      <c r="AJ2359">
        <v>1</v>
      </c>
      <c r="AK2359" t="inlineStr">
        <is>
          <t>No, I don't need at all</t>
        </is>
      </c>
      <c r="AL2359">
        <v>2</v>
      </c>
      <c r="AM2359" t="inlineStr">
        <is>
          <t>No, I don't need at all</t>
        </is>
      </c>
      <c r="AN2359"/>
      <c r="AO2359" t="inlineStr">
        <is>
          <t>No, I don't need at all</t>
        </is>
      </c>
      <c r="AP2359" t="inlineStr">
        <is>
          <t>Every month (100%)</t>
        </is>
      </c>
      <c r="AQ2359">
        <v>1</v>
      </c>
      <c r="AR2359" t="inlineStr">
        <is>
          <t>Jobstreet, Jobstore</t>
        </is>
      </c>
      <c r="AS2359" t="inlineStr">
        <is>
          <t>- Headcount: 2
- Hiring Job Details: Nurse - Mandarin 2
- Hiring Urgency: Hiring Now
- Number of outlets: 1
- Have recruiter team: No, I don't need at all
- Number of recruiter in company: 2
- Have ATS system: No, I don't need at all
- Have career website: No, I don't need at all
- Current hiring budget: RM0
- Whole year budget: RM0.00
- Whole year number of vacancies: 1
- Hiring frequency: Every month (100%)
- External job portal: Jobstreet,Jobstore</t>
        </is>
      </c>
      <c r="AT2359">
        <v>115</v>
      </c>
      <c r="AU2359" t="inlineStr">
        <is>
          <t>1.15</t>
        </is>
      </c>
      <c r="AV2359" t="inlineStr">
        <is>
          <t>15</t>
        </is>
      </c>
      <c r="AW2359" t="inlineStr">
        <is>
          <t>0</t>
        </is>
      </c>
      <c r="AX2359" t="inlineStr">
        <is>
          <t>Not Qualified</t>
        </is>
      </c>
      <c r="AY2359" s="4"/>
      <c r="AZ2359"/>
      <c r="BA2359"/>
      <c r="BB2359"/>
      <c r="BC2359"/>
      <c r="BD2359" s="4"/>
      <c r="BE2359"/>
      <c r="BF2359"/>
      <c r="BG2359" t="inlineStr">
        <is>
          <t>Reschedule</t>
        </is>
      </c>
      <c r="BH2359" t="inlineStr">
        <is>
          <t>Fauziah Maharan</t>
        </is>
      </c>
      <c r="BI2359"/>
      <c r="BJ2359" s="4">
        <v>46144.75576388889</v>
      </c>
      <c r="BK2359" s="4">
        <v>46120.37957175926</v>
      </c>
      <c r="BL2359" t="inlineStr">
        <is>
          <t>0.0</t>
        </is>
      </c>
      <c r="BM2359" t="inlineStr">
        <is>
          <t>0.0</t>
        </is>
      </c>
      <c r="BN2359"/>
      <c r="BO2359" s="4"/>
      <c r="BP2359">
        <v>165855</v>
      </c>
      <c r="BQ2359"/>
      <c r="BR2359"/>
      <c r="BS2359"/>
      <c r="BT2359"/>
      <c r="BU2359"/>
      <c r="BV2359"/>
      <c r="BW2359"/>
      <c r="BX2359"/>
      <c r="BY2359"/>
      <c r="BZ2359" s="4"/>
      <c r="CA2359"/>
      <c r="CB2359"/>
      <c r="CC2359" s="4"/>
      <c r="CD2359" t="inlineStr">
        <is>
          <t>20</t>
        </is>
      </c>
      <c r="CE2359" t="inlineStr">
        <is>
          <t>0</t>
        </is>
      </c>
      <c r="CF2359" t="inlineStr">
        <is>
          <t>Q2-W01</t>
        </is>
      </c>
      <c r="CG2359"/>
      <c r="CH2359"/>
      <c r="CI2359"/>
      <c r="CJ2359" t="inlineStr">
        <is>
          <t>No Paid</t>
        </is>
      </c>
      <c r="CK2359" t="inlineStr">
        <is>
          <t>Not Eligible</t>
        </is>
      </c>
      <c r="CL2359"/>
      <c r="CM2359"/>
    </row>
    <row r="2360" ht="25.5" customHeight="1">
      <c r="A2360" t="inlineStr">
        <is>
          <t>155302</t>
        </is>
      </c>
      <c r="B2360" s="2"/>
      <c r="C2360"/>
      <c r="D2360" s="3">
        <v>46120.454872685186</v>
      </c>
      <c r="E2360" t="inlineStr">
        <is>
          <t>Q2-W01</t>
        </is>
      </c>
      <c r="F2360" t="inlineStr">
        <is>
          <t>Chia Yee</t>
        </is>
      </c>
      <c r="G2360" t="inlineStr">
        <is>
          <t>Customer</t>
        </is>
      </c>
      <c r="H2360" s="2" t="str">
        <f>=HYPERLINK("https://upbox.ajobthing.my/customer/155302", "https://upbox.ajobthing.my/customer/155302")</f>
        <v>https://upbox.ajobthing.my/customer/155302</v>
      </c>
      <c r="I2360" t="inlineStr">
        <is>
          <t>Sayen Global Sdn. Bhd.</t>
        </is>
      </c>
      <c r="J2360" t="inlineStr">
        <is>
          <t>Dolphin</t>
        </is>
      </c>
      <c r="K2360" t="inlineStr">
        <is>
          <t>Chia Yee</t>
        </is>
      </c>
      <c r="L2360" s="4"/>
      <c r="M2360" s="4">
        <v>46120.454976851855</v>
      </c>
      <c r="N2360"/>
      <c r="O2360">
        <v>1296</v>
      </c>
      <c r="P2360" s="4"/>
      <c r="Q2360" s="4">
        <v>46120.46025462963</v>
      </c>
      <c r="R2360"/>
      <c r="S2360">
        <v>0</v>
      </c>
      <c r="T2360" s="4">
        <v>44721.62951388889</v>
      </c>
      <c r="U2360" s="4"/>
      <c r="V2360"/>
      <c r="W2360">
        <v>1749</v>
      </c>
      <c r="X2360"/>
      <c r="Y2360" t="inlineStr">
        <is>
          <t>Pending Appointment</t>
        </is>
      </c>
      <c r="Z2360" t="inlineStr">
        <is>
          <t>Hiring Now</t>
        </is>
      </c>
      <c r="AA2360">
        <v>1</v>
      </c>
      <c r="AB2360" t="inlineStr">
        <is>
          <t>No Appointment Made</t>
        </is>
      </c>
      <c r="AC2360"/>
      <c r="AD2360" t="inlineStr">
        <is>
          <t xml:space="preserve">1 Nutrionist </t>
        </is>
      </c>
      <c r="AE2360"/>
      <c r="AF2360">
        <v>0</v>
      </c>
      <c r="AG2360" s="4"/>
      <c r="AH2360" s="4"/>
      <c r="AI2360">
        <v>0</v>
      </c>
      <c r="AJ2360">
        <v>1</v>
      </c>
      <c r="AK2360" t="inlineStr">
        <is>
          <t>No, I don't need at all</t>
        </is>
      </c>
      <c r="AL2360">
        <v>1</v>
      </c>
      <c r="AM2360" t="inlineStr">
        <is>
          <t>No, I don't need at all</t>
        </is>
      </c>
      <c r="AN2360"/>
      <c r="AO2360" t="inlineStr">
        <is>
          <t>Yes, I have</t>
        </is>
      </c>
      <c r="AP2360" t="inlineStr">
        <is>
          <t>Once a year (25%)</t>
        </is>
      </c>
      <c r="AQ2360">
        <v>1</v>
      </c>
      <c r="AR2360" t="inlineStr">
        <is>
          <t>Did not use any job portal</t>
        </is>
      </c>
      <c r="AS2360" t="inlineStr">
        <is>
          <t>- Headcount: 1
- Hiring Job Details: 1 Nutritionist
- Hiring Urgency: Hiring Now
- Number of outlets: 1
- Have recruiter team: No, I don't need at all
- Number of recruiter in company: 1
- Have ATS system: No, I don't need at all
- Have career website: Yes
- Current hiring budget: RM0
- Whole year budget: RM0.00
- Whole year number of vacancies: 1
- Hiring frequency: Once a year (25%)
- External job portal: Did not use any job portal</t>
        </is>
      </c>
      <c r="AT2360">
        <v>110</v>
      </c>
      <c r="AU2360" t="inlineStr">
        <is>
          <t>1.10</t>
        </is>
      </c>
      <c r="AV2360" t="inlineStr">
        <is>
          <t>15</t>
        </is>
      </c>
      <c r="AW2360" t="inlineStr">
        <is>
          <t>0</t>
        </is>
      </c>
      <c r="AX2360" t="inlineStr">
        <is>
          <t>Not Qualified</t>
        </is>
      </c>
      <c r="AY2360" s="4"/>
      <c r="AZ2360"/>
      <c r="BA2360"/>
      <c r="BB2360"/>
      <c r="BC2360" t="inlineStr">
        <is>
          <t>Replied: We have done job posting at Job street which is still active. 
No more posting at the moment.</t>
        </is>
      </c>
      <c r="BD2360" s="4">
        <v>46129.6775</v>
      </c>
      <c r="BE2360" t="inlineStr">
        <is>
          <t>paid</t>
        </is>
      </c>
      <c r="BF2360"/>
      <c r="BG2360" t="inlineStr">
        <is>
          <t>Reschedule</t>
        </is>
      </c>
      <c r="BH2360" t="inlineStr">
        <is>
          <t>Reagen</t>
        </is>
      </c>
      <c r="BI2360"/>
      <c r="BJ2360" s="4">
        <v>46144.75096064815</v>
      </c>
      <c r="BK2360" s="4">
        <v>44720.74909722222</v>
      </c>
      <c r="BL2360" t="inlineStr">
        <is>
          <t>0.0</t>
        </is>
      </c>
      <c r="BM2360" t="inlineStr">
        <is>
          <t>1200.0</t>
        </is>
      </c>
      <c r="BN2360" t="inlineStr">
        <is>
          <t>View Jobmanager Page</t>
        </is>
      </c>
      <c r="BO2360" s="4">
        <v>44727.63238425926</v>
      </c>
      <c r="BP2360">
        <v>165851</v>
      </c>
      <c r="BQ2360">
        <v>120814</v>
      </c>
      <c r="BR2360" t="inlineStr">
        <is>
          <t>Proforma</t>
        </is>
      </c>
      <c r="BS2360" t="inlineStr">
        <is>
          <t>Free Internship Job</t>
        </is>
      </c>
      <c r="BT2360">
        <v>46097</v>
      </c>
      <c r="BU2360"/>
      <c r="BV2360">
        <v>2712781</v>
      </c>
      <c r="BW2360" t="inlineStr">
        <is>
          <t>Follow Up : Lost - Paid Portal</t>
        </is>
      </c>
      <c r="BX2360"/>
      <c r="BY2360"/>
      <c r="BZ2360" s="4"/>
      <c r="CA2360"/>
      <c r="CB2360"/>
      <c r="CC2360" s="4"/>
      <c r="CD2360" t="inlineStr">
        <is>
          <t>20</t>
        </is>
      </c>
      <c r="CE2360" t="inlineStr">
        <is>
          <t>0</t>
        </is>
      </c>
      <c r="CF2360" t="inlineStr">
        <is>
          <t>Q2-W01</t>
        </is>
      </c>
      <c r="CG2360" t="inlineStr">
        <is>
          <t>Q2-W01</t>
        </is>
      </c>
      <c r="CH2360"/>
      <c r="CI2360"/>
      <c r="CJ2360" t="inlineStr">
        <is>
          <t>Paid</t>
        </is>
      </c>
      <c r="CK2360" t="inlineStr">
        <is>
          <t>Not Eligible</t>
        </is>
      </c>
      <c r="CL2360"/>
      <c r="CM2360"/>
    </row>
    <row r="2361" ht="25.5" customHeight="1">
      <c r="A2361" t="inlineStr">
        <is>
          <t>202005</t>
        </is>
      </c>
      <c r="B2361" s="2"/>
      <c r="C2361"/>
      <c r="D2361" s="3">
        <v>46120.45545138889</v>
      </c>
      <c r="E2361" t="inlineStr">
        <is>
          <t>Q2-W01</t>
        </is>
      </c>
      <c r="F2361" t="inlineStr">
        <is>
          <t>Janice Yap</t>
        </is>
      </c>
      <c r="G2361" t="inlineStr">
        <is>
          <t>Customer</t>
        </is>
      </c>
      <c r="H2361" s="2" t="str">
        <f>=HYPERLINK("https://upbox.ajobthing.my/customer/202005", "https://upbox.ajobthing.my/customer/202005")</f>
        <v>https://upbox.ajobthing.my/customer/202005</v>
      </c>
      <c r="I2361" t="inlineStr">
        <is>
          <t>Khailee Engineering Sdn Bhd</t>
        </is>
      </c>
      <c r="J2361" t="inlineStr">
        <is>
          <t>Dolphin</t>
        </is>
      </c>
      <c r="K2361" t="inlineStr">
        <is>
          <t>Janice</t>
        </is>
      </c>
      <c r="L2361" s="4"/>
      <c r="M2361" s="4">
        <v>46120.44505787037</v>
      </c>
      <c r="N2361"/>
      <c r="O2361">
        <v>3888</v>
      </c>
      <c r="P2361" s="4"/>
      <c r="Q2361" s="4">
        <v>46093.43962962963</v>
      </c>
      <c r="R2361"/>
      <c r="S2361">
        <v>0</v>
      </c>
      <c r="T2361" s="4"/>
      <c r="U2361" s="4"/>
      <c r="V2361"/>
      <c r="W2361"/>
      <c r="X2361"/>
      <c r="Y2361" t="inlineStr">
        <is>
          <t>Pending Appointment</t>
        </is>
      </c>
      <c r="Z2361" t="inlineStr">
        <is>
          <t>Hiring Now</t>
        </is>
      </c>
      <c r="AA2361">
        <v>2</v>
      </c>
      <c r="AB2361" t="inlineStr">
        <is>
          <t>No Appointment Made</t>
        </is>
      </c>
      <c r="AC2361"/>
      <c r="AD2361" t="inlineStr">
        <is>
          <t>1 technician // 1 electrician</t>
        </is>
      </c>
      <c r="AE2361"/>
      <c r="AF2361">
        <v>0</v>
      </c>
      <c r="AG2361" s="4"/>
      <c r="AH2361" s="4"/>
      <c r="AI2361">
        <v>0</v>
      </c>
      <c r="AJ2361"/>
      <c r="AK2361" t="inlineStr">
        <is>
          <t>No, I don't need at all</t>
        </is>
      </c>
      <c r="AL2361">
        <v>0</v>
      </c>
      <c r="AM2361" t="inlineStr">
        <is>
          <t>No, I don't need at all</t>
        </is>
      </c>
      <c r="AN2361"/>
      <c r="AO2361" t="inlineStr">
        <is>
          <t>No, I don't need at all</t>
        </is>
      </c>
      <c r="AP2361" t="inlineStr">
        <is>
          <t>Once a year (25%)</t>
        </is>
      </c>
      <c r="AQ2361">
        <v>2</v>
      </c>
      <c r="AR2361" t="inlineStr">
        <is>
          <t>Did not use any job portal</t>
        </is>
      </c>
      <c r="AS2361" t="inlineStr">
        <is>
          <t>- Headcount: 2
- Hiring Job Details: 1 technician // 1 electrician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2361">
        <v>115</v>
      </c>
      <c r="AU2361" t="inlineStr">
        <is>
          <t>1.15</t>
        </is>
      </c>
      <c r="AV2361" t="inlineStr">
        <is>
          <t>15</t>
        </is>
      </c>
      <c r="AW2361" t="inlineStr">
        <is>
          <t>0</t>
        </is>
      </c>
      <c r="AX2361" t="inlineStr">
        <is>
          <t>Not Qualified</t>
        </is>
      </c>
      <c r="AY2361" s="4"/>
      <c r="AZ2361"/>
      <c r="BA2361"/>
      <c r="BB2361"/>
      <c r="BC2361" t="inlineStr">
        <is>
          <t>No answer // WA sent</t>
        </is>
      </c>
      <c r="BD2361" s="4">
        <v>46141.644328703704</v>
      </c>
      <c r="BE2361" t="inlineStr">
        <is>
          <t>paid</t>
        </is>
      </c>
      <c r="BF2361"/>
      <c r="BG2361" t="inlineStr">
        <is>
          <t>Reschedule</t>
        </is>
      </c>
      <c r="BH2361" t="inlineStr">
        <is>
          <t>Yee Hang</t>
        </is>
      </c>
      <c r="BI2361"/>
      <c r="BJ2361" s="4">
        <v>46144.75392361111</v>
      </c>
      <c r="BK2361" s="4">
        <v>46093.43929398148</v>
      </c>
      <c r="BL2361" t="inlineStr">
        <is>
          <t>0.0</t>
        </is>
      </c>
      <c r="BM2361" t="inlineStr">
        <is>
          <t>0.0</t>
        </is>
      </c>
      <c r="BN2361" t="inlineStr">
        <is>
          <t>View Company Page</t>
        </is>
      </c>
      <c r="BO2361" s="4">
        <v>46093.440254629626</v>
      </c>
      <c r="BP2361">
        <v>165845</v>
      </c>
      <c r="BQ2361">
        <v>116972</v>
      </c>
      <c r="BR2361" t="inlineStr">
        <is>
          <t>Proforma</t>
        </is>
      </c>
      <c r="BS2361" t="inlineStr">
        <is>
          <t>Free Part-Time Job</t>
        </is>
      </c>
      <c r="BT2361"/>
      <c r="BU2361"/>
      <c r="BV2361">
        <v>2735630</v>
      </c>
      <c r="BW2361" t="inlineStr">
        <is>
          <t>No Answer : Voicemail - WA sent to customer</t>
        </is>
      </c>
      <c r="BX2361"/>
      <c r="BY2361"/>
      <c r="BZ2361" s="4"/>
      <c r="CA2361"/>
      <c r="CB2361"/>
      <c r="CC2361" s="4"/>
      <c r="CD2361" t="inlineStr">
        <is>
          <t>20</t>
        </is>
      </c>
      <c r="CE2361" t="inlineStr">
        <is>
          <t>0</t>
        </is>
      </c>
      <c r="CF2361" t="inlineStr">
        <is>
          <t>Q2-W01</t>
        </is>
      </c>
      <c r="CG2361" t="inlineStr">
        <is>
          <t>Q1-W10</t>
        </is>
      </c>
      <c r="CH2361"/>
      <c r="CI2361"/>
      <c r="CJ2361" t="inlineStr">
        <is>
          <t>No Paid</t>
        </is>
      </c>
      <c r="CK2361" t="inlineStr">
        <is>
          <t>Not Eligible</t>
        </is>
      </c>
      <c r="CL2361"/>
      <c r="CM2361"/>
    </row>
    <row r="2362" ht="25.5" customHeight="1">
      <c r="A2362" t="inlineStr">
        <is>
          <t>202757</t>
        </is>
      </c>
      <c r="B2362" s="2"/>
      <c r="C2362"/>
      <c r="D2362" s="3">
        <v>46120.45832175926</v>
      </c>
      <c r="E2362" t="inlineStr">
        <is>
          <t>Q2-W01</t>
        </is>
      </c>
      <c r="F2362" t="inlineStr">
        <is>
          <t>Derek Lim</t>
        </is>
      </c>
      <c r="G2362" t="inlineStr">
        <is>
          <t>Customer</t>
        </is>
      </c>
      <c r="H2362" s="2" t="str">
        <f>=HYPERLINK("https://upbox.ajobthing.my/customer/202757", "https://upbox.ajobthing.my/customer/202757")</f>
        <v>https://upbox.ajobthing.my/customer/202757</v>
      </c>
      <c r="I2362" t="inlineStr">
        <is>
          <t>Apex Connect Technologies Sdn Bhd</t>
        </is>
      </c>
      <c r="J2362" t="inlineStr">
        <is>
          <t>Dolphin</t>
        </is>
      </c>
      <c r="K2362" t="inlineStr">
        <is>
          <t>Derek Lim</t>
        </is>
      </c>
      <c r="L2362" s="4"/>
      <c r="M2362" s="4">
        <v>46120.45533564815</v>
      </c>
      <c r="N2362"/>
      <c r="O2362">
        <v>6048</v>
      </c>
      <c r="P2362" s="4"/>
      <c r="Q2362" s="4">
        <v>46121.636400462965</v>
      </c>
      <c r="R2362"/>
      <c r="S2362">
        <v>0</v>
      </c>
      <c r="T2362" s="4">
        <v>46121.62578703704</v>
      </c>
      <c r="U2362" s="4"/>
      <c r="V2362"/>
      <c r="W2362">
        <v>3888</v>
      </c>
      <c r="X2362"/>
      <c r="Y2362" t="inlineStr">
        <is>
          <t>Pending Appointment</t>
        </is>
      </c>
      <c r="Z2362" t="inlineStr">
        <is>
          <t>Hiring Now</t>
        </is>
      </c>
      <c r="AA2362">
        <v>2</v>
      </c>
      <c r="AB2362" t="inlineStr">
        <is>
          <t>No Appointment Made</t>
        </is>
      </c>
      <c r="AC2362"/>
      <c r="AD2362" t="inlineStr">
        <is>
          <t>overseas growth operations - 1, social media manager - 1</t>
        </is>
      </c>
      <c r="AE2362"/>
      <c r="AF2362">
        <v>1000</v>
      </c>
      <c r="AG2362" s="4"/>
      <c r="AH2362" s="4"/>
      <c r="AI2362">
        <v>1000</v>
      </c>
      <c r="AJ2362">
        <v>2</v>
      </c>
      <c r="AK2362" t="inlineStr">
        <is>
          <t>No, but I want in future</t>
        </is>
      </c>
      <c r="AL2362">
        <v>0</v>
      </c>
      <c r="AM2362" t="inlineStr">
        <is>
          <t>No, I don't need at all</t>
        </is>
      </c>
      <c r="AN2362"/>
      <c r="AO2362" t="inlineStr">
        <is>
          <t>No, but I want in future</t>
        </is>
      </c>
      <c r="AP2362" t="inlineStr">
        <is>
          <t>Once a year (25%)</t>
        </is>
      </c>
      <c r="AQ2362">
        <v>2</v>
      </c>
      <c r="AR2362" t="inlineStr">
        <is>
          <t>Did not use any job portal</t>
        </is>
      </c>
      <c r="AS2362" t="inlineStr">
        <is>
          <t>- Headcount: 2
- Hiring Job Details: 1 overseas growth operations, 1 social media manager
- Hiring Urgency: Hiring Now
- Number of outlets: 2
- Have recruiter team: No, but want in future
- Number of recruiter in company: 0
- Have ATS system: No, don't need at all
- Have career website: No, but want in future
- Current hiring budget: RM1,000
- Whole year budget: RM1,000.00
- Whole year number of vacancies: 2
- Hiring frequency: Once a year (25%)
- External job portal: Did not use any</t>
        </is>
      </c>
      <c r="AT2362">
        <v>115</v>
      </c>
      <c r="AU2362" t="inlineStr">
        <is>
          <t>1.15</t>
        </is>
      </c>
      <c r="AV2362" t="inlineStr">
        <is>
          <t>15</t>
        </is>
      </c>
      <c r="AW2362" t="inlineStr">
        <is>
          <t>0</t>
        </is>
      </c>
      <c r="AX2362" t="inlineStr">
        <is>
          <t>Not Qualified</t>
        </is>
      </c>
      <c r="AY2362" s="4"/>
      <c r="AZ2362"/>
      <c r="BA2362"/>
      <c r="BB2362"/>
      <c r="BC2362" t="inlineStr">
        <is>
          <t>REPORT TO CX, LOW CANDIDATE</t>
        </is>
      </c>
      <c r="BD2362" s="4">
        <v>46128.40605324074</v>
      </c>
      <c r="BE2362" t="inlineStr">
        <is>
          <t>paid</t>
        </is>
      </c>
      <c r="BF2362" t="inlineStr">
        <is>
          <t>Q2-W01</t>
        </is>
      </c>
      <c r="BG2362" t="inlineStr">
        <is>
          <t>Reschedule</t>
        </is>
      </c>
      <c r="BH2362" t="inlineStr">
        <is>
          <t>Edward Hoo</t>
        </is>
      </c>
      <c r="BI2362" t="inlineStr">
        <is>
          <t>Advertising / Marketing</t>
        </is>
      </c>
      <c r="BJ2362" s="4">
        <v>46144.75412037037</v>
      </c>
      <c r="BK2362" s="4">
        <v>46114.745092592595</v>
      </c>
      <c r="BL2362" t="inlineStr">
        <is>
          <t>3888.0</t>
        </is>
      </c>
      <c r="BM2362" t="inlineStr">
        <is>
          <t>0.0</t>
        </is>
      </c>
      <c r="BN2362" t="inlineStr">
        <is>
          <t>View Company Page</t>
        </is>
      </c>
      <c r="BO2362" s="4">
        <v>46142.72876157407</v>
      </c>
      <c r="BP2362">
        <v>165853</v>
      </c>
      <c r="BQ2362">
        <v>121368</v>
      </c>
      <c r="BR2362" t="inlineStr">
        <is>
          <t>Proforma</t>
        </is>
      </c>
      <c r="BS2362" t="inlineStr">
        <is>
          <t>Free Part-Time Job</t>
        </is>
      </c>
      <c r="BT2362">
        <v>92519</v>
      </c>
      <c r="BU2362"/>
      <c r="BV2362">
        <v>2707736</v>
      </c>
      <c r="BW2362" t="inlineStr">
        <is>
          <t>Service / Technical : Job Complaint - Report To Marketing</t>
        </is>
      </c>
      <c r="BX2362">
        <v>6</v>
      </c>
      <c r="BY2362">
        <v>3</v>
      </c>
      <c r="BZ2362" s="4">
        <v>46142.42087962963</v>
      </c>
      <c r="CA2362">
        <v>73</v>
      </c>
      <c r="CB2362">
        <v>43</v>
      </c>
      <c r="CC2362" s="4">
        <v>46141.59543981482</v>
      </c>
      <c r="CD2362" t="inlineStr">
        <is>
          <t>20</t>
        </is>
      </c>
      <c r="CE2362" t="inlineStr">
        <is>
          <t>0</t>
        </is>
      </c>
      <c r="CF2362" t="inlineStr">
        <is>
          <t>Q2-W01</t>
        </is>
      </c>
      <c r="CG2362" t="inlineStr">
        <is>
          <t>Q2-W01</t>
        </is>
      </c>
      <c r="CH2362" t="inlineStr">
        <is>
          <t>Q2-W01</t>
        </is>
      </c>
      <c r="CI2362"/>
      <c r="CJ2362" t="inlineStr">
        <is>
          <t>Paid</t>
        </is>
      </c>
      <c r="CK2362" t="inlineStr">
        <is>
          <t>Not Eligible</t>
        </is>
      </c>
      <c r="CL2362"/>
      <c r="CM2362"/>
    </row>
    <row r="2363" ht="25.5" customHeight="1">
      <c r="A2363" t="inlineStr">
        <is>
          <t>202972</t>
        </is>
      </c>
      <c r="B2363" s="2"/>
      <c r="C2363"/>
      <c r="D2363" s="3">
        <v>46120.468773148146</v>
      </c>
      <c r="E2363" t="inlineStr">
        <is>
          <t>Q2-W01</t>
        </is>
      </c>
      <c r="F2363" t="inlineStr">
        <is>
          <t>Carmen</t>
        </is>
      </c>
      <c r="G2363" t="inlineStr">
        <is>
          <t>Customer</t>
        </is>
      </c>
      <c r="H2363" s="2" t="str">
        <f>=HYPERLINK("https://upbox.ajobthing.my/customer/202972", "https://upbox.ajobthing.my/customer/202972")</f>
        <v>https://upbox.ajobthing.my/customer/202972</v>
      </c>
      <c r="I2363" t="inlineStr">
        <is>
          <t>DRS Medical Group Sdn Bhd</t>
        </is>
      </c>
      <c r="J2363" t="inlineStr">
        <is>
          <t>Dolphin</t>
        </is>
      </c>
      <c r="K2363" t="inlineStr">
        <is>
          <t>Carmen</t>
        </is>
      </c>
      <c r="L2363" s="4"/>
      <c r="M2363" s="4">
        <v>46120.46894675926</v>
      </c>
      <c r="N2363"/>
      <c r="O2363">
        <v>6048</v>
      </c>
      <c r="P2363" s="4"/>
      <c r="Q2363" s="4"/>
      <c r="R2363"/>
      <c r="S2363"/>
      <c r="T2363" s="4"/>
      <c r="U2363" s="4"/>
      <c r="V2363"/>
      <c r="W2363"/>
      <c r="X2363"/>
      <c r="Y2363" t="inlineStr">
        <is>
          <t>Pending Appointment</t>
        </is>
      </c>
      <c r="Z2363" t="inlineStr">
        <is>
          <t>Continuous Hiring</t>
        </is>
      </c>
      <c r="AA2363">
        <v>3</v>
      </c>
      <c r="AB2363" t="inlineStr">
        <is>
          <t>No Appointment Made</t>
        </is>
      </c>
      <c r="AC2363"/>
      <c r="AD2363" t="inlineStr">
        <is>
          <t>1 clinic assistant ; 1 telemarketing ; 1 customer service</t>
        </is>
      </c>
      <c r="AE2363"/>
      <c r="AF2363">
        <v>0</v>
      </c>
      <c r="AG2363" s="4"/>
      <c r="AH2363" s="4"/>
      <c r="AI2363"/>
      <c r="AJ2363"/>
      <c r="AK2363" t="inlineStr">
        <is>
          <t>No, I don't need at all</t>
        </is>
      </c>
      <c r="AL2363"/>
      <c r="AM2363"/>
      <c r="AN2363"/>
      <c r="AO2363"/>
      <c r="AP2363" t="inlineStr">
        <is>
          <t>Once a year (25%)</t>
        </is>
      </c>
      <c r="AQ2363"/>
      <c r="AR2363"/>
      <c r="AS2363" t="inlineStr">
        <is>
          <t>- Headcount: 3
- Hiring Job Details: 1 clinic assistant ; 1 telemarketing ; 1 customer service
- Hiring Urgency: Continuous Hiring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363">
        <v>75</v>
      </c>
      <c r="AU2363" t="inlineStr">
        <is>
          <t>0.75</t>
        </is>
      </c>
      <c r="AV2363" t="inlineStr">
        <is>
          <t>15</t>
        </is>
      </c>
      <c r="AW2363" t="inlineStr">
        <is>
          <t>0</t>
        </is>
      </c>
      <c r="AX2363" t="inlineStr">
        <is>
          <t>Not Qualified</t>
        </is>
      </c>
      <c r="AY2363" s="4"/>
      <c r="AZ2363"/>
      <c r="BA2363"/>
      <c r="BB2363"/>
      <c r="BC2363" t="inlineStr">
        <is>
          <t>he said expensive, so i asked him for the budget, then told him the stantdard, he said if need tell me again</t>
        </is>
      </c>
      <c r="BD2363" s="4">
        <v>46133.68609953704</v>
      </c>
      <c r="BE2363"/>
      <c r="BF2363"/>
      <c r="BG2363" t="inlineStr">
        <is>
          <t>Reschedule</t>
        </is>
      </c>
      <c r="BH2363" t="inlineStr">
        <is>
          <t>Reagen</t>
        </is>
      </c>
      <c r="BI2363"/>
      <c r="BJ2363" s="4">
        <v>46144.754166666666</v>
      </c>
      <c r="BK2363" s="4">
        <v>46120.46638888889</v>
      </c>
      <c r="BL2363" t="inlineStr">
        <is>
          <t>0.0</t>
        </is>
      </c>
      <c r="BM2363" t="inlineStr">
        <is>
          <t>150.0</t>
        </is>
      </c>
      <c r="BN2363"/>
      <c r="BO2363" s="4"/>
      <c r="BP2363">
        <v>165864</v>
      </c>
      <c r="BQ2363"/>
      <c r="BR2363"/>
      <c r="BS2363"/>
      <c r="BT2363"/>
      <c r="BU2363"/>
      <c r="BV2363">
        <v>2718814</v>
      </c>
      <c r="BW2363" t="inlineStr">
        <is>
          <t>Follow Up : Budget Concern</t>
        </is>
      </c>
      <c r="BX2363"/>
      <c r="BY2363"/>
      <c r="BZ2363" s="4"/>
      <c r="CA2363"/>
      <c r="CB2363"/>
      <c r="CC2363" s="4"/>
      <c r="CD2363" t="inlineStr">
        <is>
          <t>20</t>
        </is>
      </c>
      <c r="CE2363" t="inlineStr">
        <is>
          <t>0</t>
        </is>
      </c>
      <c r="CF2363" t="inlineStr">
        <is>
          <t>Q2-W01</t>
        </is>
      </c>
      <c r="CG2363"/>
      <c r="CH2363"/>
      <c r="CI2363"/>
      <c r="CJ2363" t="inlineStr">
        <is>
          <t>No Paid</t>
        </is>
      </c>
      <c r="CK2363" t="inlineStr">
        <is>
          <t>Not Eligible</t>
        </is>
      </c>
      <c r="CL2363"/>
      <c r="CM2363"/>
    </row>
    <row r="2364" ht="25.5" customHeight="1">
      <c r="A2364" t="inlineStr">
        <is>
          <t>199564</t>
        </is>
      </c>
      <c r="B2364" s="2"/>
      <c r="C2364"/>
      <c r="D2364" s="3">
        <v>46120.47429398148</v>
      </c>
      <c r="E2364" t="inlineStr">
        <is>
          <t>Q2-W01</t>
        </is>
      </c>
      <c r="F2364" t="inlineStr">
        <is>
          <t>Josh</t>
        </is>
      </c>
      <c r="G2364" t="inlineStr">
        <is>
          <t>Customer</t>
        </is>
      </c>
      <c r="H2364" s="2" t="str">
        <f>=HYPERLINK("https://upbox.ajobthing.my/customer/199564", "https://upbox.ajobthing.my/customer/199564")</f>
        <v>https://upbox.ajobthing.my/customer/199564</v>
      </c>
      <c r="I2364" t="inlineStr">
        <is>
          <t>Medini Dental Group Sdn. Bhd.</t>
        </is>
      </c>
      <c r="J2364" t="inlineStr">
        <is>
          <t>Dolphin</t>
        </is>
      </c>
      <c r="K2364" t="inlineStr">
        <is>
          <t>Josh</t>
        </is>
      </c>
      <c r="L2364" s="4"/>
      <c r="M2364" s="4">
        <v>46120.47336805556</v>
      </c>
      <c r="N2364"/>
      <c r="O2364">
        <v>8532</v>
      </c>
      <c r="P2364" s="4"/>
      <c r="Q2364" s="4"/>
      <c r="R2364"/>
      <c r="S2364"/>
      <c r="T2364" s="4"/>
      <c r="U2364" s="4"/>
      <c r="V2364"/>
      <c r="W2364"/>
      <c r="X2364"/>
      <c r="Y2364" t="inlineStr">
        <is>
          <t>Pending Appointment</t>
        </is>
      </c>
      <c r="Z2364" t="inlineStr">
        <is>
          <t>Hiring Now</t>
        </is>
      </c>
      <c r="AA2364">
        <v>15</v>
      </c>
      <c r="AB2364" t="inlineStr">
        <is>
          <t>No Appointment Made</t>
        </is>
      </c>
      <c r="AC2364"/>
      <c r="AD2364" t="inlineStr">
        <is>
          <t xml:space="preserve">15 dentist </t>
        </is>
      </c>
      <c r="AE2364"/>
      <c r="AF2364">
        <v>5000</v>
      </c>
      <c r="AG2364" s="4"/>
      <c r="AH2364" s="4"/>
      <c r="AI2364"/>
      <c r="AJ2364"/>
      <c r="AK2364" t="inlineStr">
        <is>
          <t>Yes, I have</t>
        </is>
      </c>
      <c r="AL2364">
        <v>1</v>
      </c>
      <c r="AM2364"/>
      <c r="AN2364"/>
      <c r="AO2364"/>
      <c r="AP2364" t="inlineStr">
        <is>
          <t>Every month (100%)</t>
        </is>
      </c>
      <c r="AQ2364"/>
      <c r="AR2364"/>
      <c r="AS2364" t="inlineStr">
        <is>
          <t>- Headcount: 15
- Hiring Job Details: 15 dentist
- Hiring Urgency: Hiring Now
- Number of outlets: Not available
- Have recruiter team: Yes
- Number of recruiter in company: 1
- Have ATS system: Not available
- Have career website: Not available
- Current hiring budget: RM5,000.00
- Whole year budget: Not available
- Whole year number of vacancies: Not available
- Hiring frequency: Every month (100%)
- External job portal: Not available</t>
        </is>
      </c>
      <c r="AT2364">
        <v>105</v>
      </c>
      <c r="AU2364" t="inlineStr">
        <is>
          <t>1.05</t>
        </is>
      </c>
      <c r="AV2364" t="inlineStr">
        <is>
          <t>25</t>
        </is>
      </c>
      <c r="AW2364" t="inlineStr">
        <is>
          <t>0</t>
        </is>
      </c>
      <c r="AX2364" t="inlineStr">
        <is>
          <t>Not Qualified</t>
        </is>
      </c>
      <c r="AY2364" s="4"/>
      <c r="AZ2364"/>
      <c r="BA2364"/>
      <c r="BB2364"/>
      <c r="BC2364" t="inlineStr">
        <is>
          <t>npu</t>
        </is>
      </c>
      <c r="BD2364" s="4">
        <v>46134.45731481481</v>
      </c>
      <c r="BE2364"/>
      <c r="BF2364"/>
      <c r="BG2364" t="inlineStr">
        <is>
          <t>Reschedule</t>
        </is>
      </c>
      <c r="BH2364" t="inlineStr">
        <is>
          <t>Fauziah Maharan</t>
        </is>
      </c>
      <c r="BI2364" t="inlineStr">
        <is>
          <t>Healthcare / Medical</t>
        </is>
      </c>
      <c r="BJ2364" s="4">
        <v>46144.75334490741</v>
      </c>
      <c r="BK2364" s="4">
        <v>46010.47866898148</v>
      </c>
      <c r="BL2364" t="inlineStr">
        <is>
          <t>0.0</t>
        </is>
      </c>
      <c r="BM2364" t="inlineStr">
        <is>
          <t>0.0</t>
        </is>
      </c>
      <c r="BN2364" t="inlineStr">
        <is>
          <t>User Visit(Logged In)</t>
        </is>
      </c>
      <c r="BO2364" s="4">
        <v>46013.69126157407</v>
      </c>
      <c r="BP2364">
        <v>165867</v>
      </c>
      <c r="BQ2364"/>
      <c r="BR2364"/>
      <c r="BS2364"/>
      <c r="BT2364"/>
      <c r="BU2364"/>
      <c r="BV2364">
        <v>2719858</v>
      </c>
      <c r="BW2364" t="inlineStr">
        <is>
          <t>No Answer : Voicemail - WA sent to customer</t>
        </is>
      </c>
      <c r="BX2364"/>
      <c r="BY2364"/>
      <c r="BZ2364" s="4"/>
      <c r="CA2364"/>
      <c r="CB2364"/>
      <c r="CC2364" s="4"/>
      <c r="CD2364" t="inlineStr">
        <is>
          <t>35</t>
        </is>
      </c>
      <c r="CE2364" t="inlineStr">
        <is>
          <t>0</t>
        </is>
      </c>
      <c r="CF2364" t="inlineStr">
        <is>
          <t>Q2-W01</t>
        </is>
      </c>
      <c r="CG2364"/>
      <c r="CH2364"/>
      <c r="CI2364"/>
      <c r="CJ2364" t="inlineStr">
        <is>
          <t>No Paid</t>
        </is>
      </c>
      <c r="CK2364" t="inlineStr">
        <is>
          <t>Eligible</t>
        </is>
      </c>
      <c r="CL2364"/>
      <c r="CM2364"/>
    </row>
    <row r="2365" ht="25.5" customHeight="1">
      <c r="A2365" t="inlineStr">
        <is>
          <t>180171</t>
        </is>
      </c>
      <c r="B2365" s="2"/>
      <c r="C2365"/>
      <c r="D2365" s="3">
        <v>46120.47607638889</v>
      </c>
      <c r="E2365" t="inlineStr">
        <is>
          <t>Q2-W01</t>
        </is>
      </c>
      <c r="F2365" t="inlineStr">
        <is>
          <t>Jess</t>
        </is>
      </c>
      <c r="G2365" t="inlineStr">
        <is>
          <t>Customer</t>
        </is>
      </c>
      <c r="H2365" s="2" t="str">
        <f>=HYPERLINK("https://upbox.ajobthing.my/customer/180171", "https://upbox.ajobthing.my/customer/180171")</f>
        <v>https://upbox.ajobthing.my/customer/180171</v>
      </c>
      <c r="I2365" t="inlineStr">
        <is>
          <t>S Y Kwong Foong &amp; Co</t>
        </is>
      </c>
      <c r="J2365" t="inlineStr">
        <is>
          <t>Dolphin</t>
        </is>
      </c>
      <c r="K2365" t="inlineStr">
        <is>
          <t>Jess Lim</t>
        </is>
      </c>
      <c r="L2365" s="4"/>
      <c r="M2365" s="4">
        <v>46120.47644675926</v>
      </c>
      <c r="N2365"/>
      <c r="O2365">
        <v>3888</v>
      </c>
      <c r="P2365" s="4"/>
      <c r="Q2365" s="4">
        <v>45825.635358796295</v>
      </c>
      <c r="R2365"/>
      <c r="S2365">
        <v>2916</v>
      </c>
      <c r="T2365" s="4">
        <v>45825.635358796295</v>
      </c>
      <c r="U2365" s="4"/>
      <c r="V2365"/>
      <c r="W2365">
        <v>2916</v>
      </c>
      <c r="X2365"/>
      <c r="Y2365" t="inlineStr">
        <is>
          <t>Pending Appointment</t>
        </is>
      </c>
      <c r="Z2365" t="inlineStr">
        <is>
          <t>Hiring Now</t>
        </is>
      </c>
      <c r="AA2365">
        <v>5</v>
      </c>
      <c r="AB2365" t="inlineStr">
        <is>
          <t>No Appointment Made</t>
        </is>
      </c>
      <c r="AC2365"/>
      <c r="AD2365" t="inlineStr">
        <is>
          <t>aduit 5</t>
        </is>
      </c>
      <c r="AE2365"/>
      <c r="AF2365">
        <v>2900</v>
      </c>
      <c r="AG2365" s="4"/>
      <c r="AH2365" s="4"/>
      <c r="AI2365"/>
      <c r="AJ2365">
        <v>1</v>
      </c>
      <c r="AK2365" t="inlineStr">
        <is>
          <t>No, I don't need at all</t>
        </is>
      </c>
      <c r="AL2365">
        <v>1</v>
      </c>
      <c r="AM2365" t="inlineStr">
        <is>
          <t>No, I don't need at all</t>
        </is>
      </c>
      <c r="AN2365"/>
      <c r="AO2365"/>
      <c r="AP2365" t="inlineStr">
        <is>
          <t>Once a year (25%)</t>
        </is>
      </c>
      <c r="AQ2365"/>
      <c r="AR2365" t="inlineStr">
        <is>
          <t>Jobstreet</t>
        </is>
      </c>
      <c r="AS2365" t="inlineStr">
        <is>
          <t>- Headcount: 5
- Hiring Job Details: audit 5
- Hiring Urgency: Hiring Now
- Number of outlets: 1
- Have recruiter team: No, I don't need at all
- Number of recruiter in company: 1
- Have ATS system: No, I don't need at all
- Have career website: No data
- Current hiring budget: RM2,900.00
- Whole year budget: No data
- Whole year number of vacancies: No data
- Hiring frequency: Once a year (25%)
- External job portal: Jobstreet</t>
        </is>
      </c>
      <c r="AT2365">
        <v>95</v>
      </c>
      <c r="AU2365" t="inlineStr">
        <is>
          <t>0.95</t>
        </is>
      </c>
      <c r="AV2365" t="inlineStr">
        <is>
          <t>20</t>
        </is>
      </c>
      <c r="AW2365" t="inlineStr">
        <is>
          <t>0</t>
        </is>
      </c>
      <c r="AX2365" t="inlineStr">
        <is>
          <t>Not Qualified</t>
        </is>
      </c>
      <c r="AY2365" s="4"/>
      <c r="AZ2365"/>
      <c r="BA2365"/>
      <c r="BB2365"/>
      <c r="BC2365" t="inlineStr">
        <is>
          <t>- Headcount: 5
- Hiring Job Details: audit 5
- Hiring Urgency: Hiring Now
- Number of outlets: 1
- Have recruiter team: No, I don't need at all
- Number of recruiter in company: 1
- Have ATS system: No, I don't need at all
- Have career website: No data
- Current hiring budget: RM2,900.00
- Whole year budget: No data
- Whole year number of vacancies: No data
- Hiring frequency: Once a year (25%)
- External job portal: Jobstreet</t>
        </is>
      </c>
      <c r="BD2365" s="4">
        <v>46120.500023148146</v>
      </c>
      <c r="BE2365" t="inlineStr">
        <is>
          <t>paid</t>
        </is>
      </c>
      <c r="BF2365"/>
      <c r="BG2365" t="inlineStr">
        <is>
          <t>Reschedule</t>
        </is>
      </c>
      <c r="BH2365" t="inlineStr">
        <is>
          <t>Fauziah Maharan</t>
        </is>
      </c>
      <c r="BI2365" t="inlineStr">
        <is>
          <t>Accounting / Tax Services</t>
        </is>
      </c>
      <c r="BJ2365" s="4">
        <v>46144.75181712963</v>
      </c>
      <c r="BK2365" s="4">
        <v>45477.48954861111</v>
      </c>
      <c r="BL2365" t="inlineStr">
        <is>
          <t>2916.0</t>
        </is>
      </c>
      <c r="BM2365" t="inlineStr">
        <is>
          <t>0.0</t>
        </is>
      </c>
      <c r="BN2365" t="inlineStr">
        <is>
          <t>View Company Page</t>
        </is>
      </c>
      <c r="BO2365" s="4">
        <v>46144.53943287037</v>
      </c>
      <c r="BP2365">
        <v>165871</v>
      </c>
      <c r="BQ2365">
        <v>80161</v>
      </c>
      <c r="BR2365" t="inlineStr">
        <is>
          <t>Online</t>
        </is>
      </c>
      <c r="BS2365"/>
      <c r="BT2365">
        <v>80161</v>
      </c>
      <c r="BU2365"/>
      <c r="BV2365">
        <v>2692049</v>
      </c>
      <c r="BW2365" t="inlineStr">
        <is>
          <t>Customer Inquiry</t>
        </is>
      </c>
      <c r="BX2365">
        <v>6</v>
      </c>
      <c r="BY2365">
        <v>0</v>
      </c>
      <c r="BZ2365" s="4">
        <v>46093.45929398148</v>
      </c>
      <c r="CA2365">
        <v>120</v>
      </c>
      <c r="CB2365">
        <v>75</v>
      </c>
      <c r="CC2365" s="4">
        <v>46135.4253125</v>
      </c>
      <c r="CD2365" t="inlineStr">
        <is>
          <t>30</t>
        </is>
      </c>
      <c r="CE2365" t="inlineStr">
        <is>
          <t>0</t>
        </is>
      </c>
      <c r="CF2365" t="inlineStr">
        <is>
          <t>Q2-W01</t>
        </is>
      </c>
      <c r="CG2365"/>
      <c r="CH2365"/>
      <c r="CI2365"/>
      <c r="CJ2365" t="inlineStr">
        <is>
          <t>Paid</t>
        </is>
      </c>
      <c r="CK2365" t="inlineStr">
        <is>
          <t>Not Eligible</t>
        </is>
      </c>
      <c r="CL2365"/>
      <c r="CM2365"/>
    </row>
    <row r="2366" ht="25.5" customHeight="1">
      <c r="A2366" t="inlineStr">
        <is>
          <t>202977</t>
        </is>
      </c>
      <c r="B2366" s="2"/>
      <c r="C2366"/>
      <c r="D2366" s="3">
        <v>46120.49009259259</v>
      </c>
      <c r="E2366" t="inlineStr">
        <is>
          <t>Q2-W01</t>
        </is>
      </c>
      <c r="F2366" t="inlineStr">
        <is>
          <t>Clover</t>
        </is>
      </c>
      <c r="G2366" t="inlineStr">
        <is>
          <t>Customer</t>
        </is>
      </c>
      <c r="H2366" s="2" t="str">
        <f>=HYPERLINK("https://upbox.ajobthing.my/customer/202977", "https://upbox.ajobthing.my/customer/202977")</f>
        <v>https://upbox.ajobthing.my/customer/202977</v>
      </c>
      <c r="I2366" t="inlineStr">
        <is>
          <t>Eliesya Resources</t>
        </is>
      </c>
      <c r="J2366" t="inlineStr">
        <is>
          <t>Dolphin</t>
        </is>
      </c>
      <c r="K2366" t="inlineStr">
        <is>
          <t>Clover</t>
        </is>
      </c>
      <c r="L2366" s="4"/>
      <c r="M2366" s="4">
        <v>46120.4921875</v>
      </c>
      <c r="N2366"/>
      <c r="O2366">
        <v>6048</v>
      </c>
      <c r="P2366" s="4"/>
      <c r="Q2366" s="4">
        <v>46120.500393518516</v>
      </c>
      <c r="R2366"/>
      <c r="S2366">
        <v>0</v>
      </c>
      <c r="T2366" s="4"/>
      <c r="U2366" s="4"/>
      <c r="V2366"/>
      <c r="W2366"/>
      <c r="X2366"/>
      <c r="Y2366" t="inlineStr">
        <is>
          <t>Pending Appointment</t>
        </is>
      </c>
      <c r="Z2366" t="inlineStr">
        <is>
          <t>Hiring Later</t>
        </is>
      </c>
      <c r="AA2366">
        <v>3</v>
      </c>
      <c r="AB2366" t="inlineStr">
        <is>
          <t>No Appointment Made</t>
        </is>
      </c>
      <c r="AC2366"/>
      <c r="AD2366" t="inlineStr">
        <is>
          <t>Ms Linda Bos, Hire sales exec x2 malay, digital marketing x1 malay, social media advertising, malay wedding, man power, expand,  1st time job portal, suggest stand</t>
        </is>
      </c>
      <c r="AE2366"/>
      <c r="AF2366">
        <v>3000</v>
      </c>
      <c r="AG2366" s="4"/>
      <c r="AH2366" s="4"/>
      <c r="AI2366">
        <v>3000</v>
      </c>
      <c r="AJ2366">
        <v>1</v>
      </c>
      <c r="AK2366" t="inlineStr">
        <is>
          <t>No, but I want in future</t>
        </is>
      </c>
      <c r="AL2366">
        <v>1</v>
      </c>
      <c r="AM2366" t="inlineStr">
        <is>
          <t>No, but I want in future</t>
        </is>
      </c>
      <c r="AN2366"/>
      <c r="AO2366" t="inlineStr">
        <is>
          <t>No, but I want in future</t>
        </is>
      </c>
      <c r="AP2366" t="inlineStr">
        <is>
          <t>Once per quarter (75%)</t>
        </is>
      </c>
      <c r="AQ2366">
        <v>3</v>
      </c>
      <c r="AR2366" t="inlineStr">
        <is>
          <t>Did not use any job portal</t>
        </is>
      </c>
      <c r="AS2366" t="inlineStr">
        <is>
          <t>- Headcount: 3
- Hiring Job Details: Ms Linda Bos; 2 Malay sales execs, 1 Malay digital marketer; social media advertising, Malay wedding, manpower, expand; first-time job portal user, needs stand suggestion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Once per quarter (75%)
- External job portal: None used</t>
        </is>
      </c>
      <c r="AT2366">
        <v>105</v>
      </c>
      <c r="AU2366" t="inlineStr">
        <is>
          <t>1.05</t>
        </is>
      </c>
      <c r="AV2366" t="inlineStr">
        <is>
          <t>15</t>
        </is>
      </c>
      <c r="AW2366" t="inlineStr">
        <is>
          <t>0</t>
        </is>
      </c>
      <c r="AX2366" t="inlineStr">
        <is>
          <t>Not Qualified</t>
        </is>
      </c>
      <c r="AY2366" s="4"/>
      <c r="AZ2366"/>
      <c r="BA2366"/>
      <c r="BB2366"/>
      <c r="BC2366" t="inlineStr">
        <is>
          <t>Call npu, wa fu</t>
        </is>
      </c>
      <c r="BD2366" s="4">
        <v>46135.7225</v>
      </c>
      <c r="BE2366" t="inlineStr">
        <is>
          <t>paid</t>
        </is>
      </c>
      <c r="BF2366"/>
      <c r="BG2366" t="inlineStr">
        <is>
          <t>Reschedule</t>
        </is>
      </c>
      <c r="BH2366" t="inlineStr">
        <is>
          <t>Reagen</t>
        </is>
      </c>
      <c r="BI2366"/>
      <c r="BJ2366" s="4">
        <v>46144.754166666666</v>
      </c>
      <c r="BK2366" s="4">
        <v>46120.48237268518</v>
      </c>
      <c r="BL2366" t="inlineStr">
        <is>
          <t>0.0</t>
        </is>
      </c>
      <c r="BM2366" t="inlineStr">
        <is>
          <t>0.0</t>
        </is>
      </c>
      <c r="BN2366"/>
      <c r="BO2366" s="4"/>
      <c r="BP2366">
        <v>165884</v>
      </c>
      <c r="BQ2366">
        <v>120859</v>
      </c>
      <c r="BR2366" t="inlineStr">
        <is>
          <t>Proforma</t>
        </is>
      </c>
      <c r="BS2366" t="inlineStr">
        <is>
          <t>Free Internship Job</t>
        </is>
      </c>
      <c r="BT2366"/>
      <c r="BU2366"/>
      <c r="BV2366">
        <v>2725016</v>
      </c>
      <c r="BW2366" t="inlineStr">
        <is>
          <t>No Answer : Voicemail - WA sent to customer</t>
        </is>
      </c>
      <c r="BX2366"/>
      <c r="BY2366"/>
      <c r="BZ2366" s="4"/>
      <c r="CA2366"/>
      <c r="CB2366"/>
      <c r="CC2366" s="4"/>
      <c r="CD2366" t="inlineStr">
        <is>
          <t>20</t>
        </is>
      </c>
      <c r="CE2366" t="inlineStr">
        <is>
          <t>0</t>
        </is>
      </c>
      <c r="CF2366" t="inlineStr">
        <is>
          <t>Q2-W01</t>
        </is>
      </c>
      <c r="CG2366" t="inlineStr">
        <is>
          <t>Q2-W01</t>
        </is>
      </c>
      <c r="CH2366"/>
      <c r="CI2366"/>
      <c r="CJ2366" t="inlineStr">
        <is>
          <t>No Paid</t>
        </is>
      </c>
      <c r="CK2366" t="inlineStr">
        <is>
          <t>Not Eligible</t>
        </is>
      </c>
      <c r="CL2366"/>
      <c r="CM2366"/>
    </row>
    <row r="2367" ht="25.5" customHeight="1">
      <c r="A2367" t="inlineStr">
        <is>
          <t>4257787</t>
        </is>
      </c>
      <c r="B2367" s="2"/>
      <c r="C2367"/>
      <c r="D2367" s="3">
        <v>46120.4919212963</v>
      </c>
      <c r="E2367" t="inlineStr">
        <is>
          <t>Q2-W01</t>
        </is>
      </c>
      <c r="F2367" t="inlineStr">
        <is>
          <t>Evan</t>
        </is>
      </c>
      <c r="G2367" t="inlineStr">
        <is>
          <t>Lead</t>
        </is>
      </c>
      <c r="H2367" s="2" t="str">
        <f>=HYPERLINK("https://upbox.ajobthing.my/leads/4257787", "https://upbox.ajobthing.my/leads/4257787")</f>
        <v>https://upbox.ajobthing.my/leads/4257787</v>
      </c>
      <c r="I2367" t="inlineStr">
        <is>
          <t>Sports Barn Sdn Bhd</t>
        </is>
      </c>
      <c r="J2367" t="inlineStr">
        <is>
          <t>Dolphin</t>
        </is>
      </c>
      <c r="K2367" t="inlineStr">
        <is>
          <t>Evan</t>
        </is>
      </c>
      <c r="L2367" s="4"/>
      <c r="M2367" s="4">
        <v>46120.490208333336</v>
      </c>
      <c r="N2367"/>
      <c r="O2367">
        <v>11448</v>
      </c>
      <c r="P2367" s="4"/>
      <c r="Q2367" s="4"/>
      <c r="R2367"/>
      <c r="S2367"/>
      <c r="T2367" s="4"/>
      <c r="U2367" s="4"/>
      <c r="V2367"/>
      <c r="W2367"/>
      <c r="X2367"/>
      <c r="Y2367" t="inlineStr">
        <is>
          <t>Pending Appointment</t>
        </is>
      </c>
      <c r="Z2367" t="inlineStr">
        <is>
          <t>Hiring Now</t>
        </is>
      </c>
      <c r="AA2367">
        <v>5</v>
      </c>
      <c r="AB2367" t="inlineStr">
        <is>
          <t>No Appointment Made</t>
        </is>
      </c>
      <c r="AC2367"/>
      <c r="AD2367" t="inlineStr">
        <is>
          <t>5 crew, all base in PJ</t>
        </is>
      </c>
      <c r="AE2367"/>
      <c r="AF2367">
        <v>1</v>
      </c>
      <c r="AG2367" s="4"/>
      <c r="AH2367" s="4"/>
      <c r="AI2367">
        <v>1</v>
      </c>
      <c r="AJ2367">
        <v>2</v>
      </c>
      <c r="AK2367" t="inlineStr">
        <is>
          <t>No, I don't need at all</t>
        </is>
      </c>
      <c r="AL2367">
        <v>0</v>
      </c>
      <c r="AM2367" t="inlineStr">
        <is>
          <t>No, I don't need at all</t>
        </is>
      </c>
      <c r="AN2367"/>
      <c r="AO2367" t="inlineStr">
        <is>
          <t>No, I don't need at all</t>
        </is>
      </c>
      <c r="AP2367" t="inlineStr">
        <is>
          <t>Once per quarter (75%)</t>
        </is>
      </c>
      <c r="AQ2367">
        <v>5</v>
      </c>
      <c r="AR2367" t="inlineStr">
        <is>
          <t>Jobstreet</t>
        </is>
      </c>
      <c r="AS2367" t="inlineStr">
        <is>
          <t>- Headcount: 5
- Hiring Job Details: 5 crew, all base in PJ
- Hiring Urgency: Hiring Now
- Number of outlets: 2
- Have recruiter team: No, I don't need at all
- Number of recruiter in company: 0
- Have ATS system: No, I don't need at all
- Have career website: No, I don't need at all
- Current hiring budget: RM1
- Whole year budget: RM1.00
- Whole year number of vacancies: 5
- Hiring frequency: Once per quarter (75%)
- External job portal: Jobstreet</t>
        </is>
      </c>
      <c r="AT2367">
        <v>90</v>
      </c>
      <c r="AU2367" t="inlineStr">
        <is>
          <t>0.90</t>
        </is>
      </c>
      <c r="AV2367" t="inlineStr">
        <is>
          <t>20</t>
        </is>
      </c>
      <c r="AW2367" t="inlineStr">
        <is>
          <t>0</t>
        </is>
      </c>
      <c r="AX2367" t="inlineStr">
        <is>
          <t>Not Qualified</t>
        </is>
      </c>
      <c r="AY2367" s="4"/>
      <c r="AZ2367"/>
      <c r="BA2367"/>
      <c r="BB2367"/>
      <c r="BC2367"/>
      <c r="BD2367" s="4"/>
      <c r="BE2367"/>
      <c r="BF2367"/>
      <c r="BG2367" t="inlineStr">
        <is>
          <t>Reschedule</t>
        </is>
      </c>
      <c r="BH2367" t="inlineStr">
        <is>
          <t>Edward Hoo</t>
        </is>
      </c>
      <c r="BI2367"/>
      <c r="BJ2367" s="4">
        <v>46144.755740740744</v>
      </c>
      <c r="BK2367" s="4">
        <v>46119.961851851855</v>
      </c>
      <c r="BL2367" t="inlineStr">
        <is>
          <t>0.0</t>
        </is>
      </c>
      <c r="BM2367" t="inlineStr">
        <is>
          <t>0.0</t>
        </is>
      </c>
      <c r="BN2367"/>
      <c r="BO2367" s="4"/>
      <c r="BP2367">
        <v>165882</v>
      </c>
      <c r="BQ2367"/>
      <c r="BR2367"/>
      <c r="BS2367"/>
      <c r="BT2367"/>
      <c r="BU2367"/>
      <c r="BV2367"/>
      <c r="BW2367"/>
      <c r="BX2367"/>
      <c r="BY2367"/>
      <c r="BZ2367" s="4"/>
      <c r="CA2367"/>
      <c r="CB2367"/>
      <c r="CC2367" s="4"/>
      <c r="CD2367" t="inlineStr">
        <is>
          <t>30</t>
        </is>
      </c>
      <c r="CE2367" t="inlineStr">
        <is>
          <t>0</t>
        </is>
      </c>
      <c r="CF2367" t="inlineStr">
        <is>
          <t>Q2-W01</t>
        </is>
      </c>
      <c r="CG2367"/>
      <c r="CH2367"/>
      <c r="CI2367"/>
      <c r="CJ2367" t="inlineStr">
        <is>
          <t>No Paid</t>
        </is>
      </c>
      <c r="CK2367" t="inlineStr">
        <is>
          <t>Not Eligible</t>
        </is>
      </c>
      <c r="CL2367"/>
      <c r="CM2367"/>
    </row>
    <row r="2368" ht="25.5" customHeight="1">
      <c r="A2368" t="inlineStr">
        <is>
          <t>202979</t>
        </is>
      </c>
      <c r="B2368" s="2"/>
      <c r="C2368"/>
      <c r="D2368" s="3">
        <v>46120.49555555556</v>
      </c>
      <c r="E2368" t="inlineStr">
        <is>
          <t>Q2-W01</t>
        </is>
      </c>
      <c r="F2368" t="inlineStr">
        <is>
          <t>Carmen</t>
        </is>
      </c>
      <c r="G2368" t="inlineStr">
        <is>
          <t>Customer</t>
        </is>
      </c>
      <c r="H2368" s="2" t="str">
        <f>=HYPERLINK("https://upbox.ajobthing.my/customer/202979", "https://upbox.ajobthing.my/customer/202979")</f>
        <v>https://upbox.ajobthing.my/customer/202979</v>
      </c>
      <c r="I2368" t="inlineStr">
        <is>
          <t>All Ring Tech</t>
        </is>
      </c>
      <c r="J2368" t="inlineStr">
        <is>
          <t>Dolphin</t>
        </is>
      </c>
      <c r="K2368" t="inlineStr">
        <is>
          <t>Carmen</t>
        </is>
      </c>
      <c r="L2368" s="4"/>
      <c r="M2368" s="4">
        <v>46120.49317129629</v>
      </c>
      <c r="N2368"/>
      <c r="O2368">
        <v>6048</v>
      </c>
      <c r="P2368" s="4"/>
      <c r="Q2368" s="4"/>
      <c r="R2368"/>
      <c r="S2368"/>
      <c r="T2368" s="4"/>
      <c r="U2368" s="4"/>
      <c r="V2368"/>
      <c r="W2368"/>
      <c r="X2368"/>
      <c r="Y2368" t="inlineStr">
        <is>
          <t>Pending Appointment</t>
        </is>
      </c>
      <c r="Z2368" t="inlineStr">
        <is>
          <t>Hiring Now</t>
        </is>
      </c>
      <c r="AA2368">
        <v>4</v>
      </c>
      <c r="AB2368" t="inlineStr">
        <is>
          <t>No Appointment Made</t>
        </is>
      </c>
      <c r="AC2368"/>
      <c r="AD2368" t="inlineStr">
        <is>
          <t>2 software engineer; 2 mechanical engineer</t>
        </is>
      </c>
      <c r="AE2368"/>
      <c r="AF2368">
        <v>0</v>
      </c>
      <c r="AG2368" s="4"/>
      <c r="AH2368" s="4"/>
      <c r="AI2368"/>
      <c r="AJ2368"/>
      <c r="AK2368"/>
      <c r="AL2368"/>
      <c r="AM2368"/>
      <c r="AN2368"/>
      <c r="AO2368"/>
      <c r="AP2368" t="inlineStr">
        <is>
          <t>Once a year (25%)</t>
        </is>
      </c>
      <c r="AQ2368"/>
      <c r="AR2368"/>
      <c r="AS2368" t="inlineStr">
        <is>
          <t>- Headcount: 4
- Hiring Job Details: 2 software engineer; 2 mechanical engineer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2368">
        <v>75</v>
      </c>
      <c r="AU2368" t="inlineStr">
        <is>
          <t>0.75</t>
        </is>
      </c>
      <c r="AV2368" t="inlineStr">
        <is>
          <t>15</t>
        </is>
      </c>
      <c r="AW2368" t="inlineStr">
        <is>
          <t>0</t>
        </is>
      </c>
      <c r="AX2368" t="inlineStr">
        <is>
          <t>Not Qualified</t>
        </is>
      </c>
      <c r="AY2368" s="4"/>
      <c r="AZ2368"/>
      <c r="BA2368"/>
      <c r="BB2368"/>
      <c r="BC2368" t="inlineStr">
        <is>
          <t>still asking for head hunter</t>
        </is>
      </c>
      <c r="BD2368" s="4">
        <v>46142.49123842592</v>
      </c>
      <c r="BE2368"/>
      <c r="BF2368"/>
      <c r="BG2368" t="inlineStr">
        <is>
          <t>Reschedule</t>
        </is>
      </c>
      <c r="BH2368" t="inlineStr">
        <is>
          <t>Reagen</t>
        </is>
      </c>
      <c r="BI2368"/>
      <c r="BJ2368" s="4">
        <v>46144.75418981481</v>
      </c>
      <c r="BK2368" s="4">
        <v>46120.49197916667</v>
      </c>
      <c r="BL2368" t="inlineStr">
        <is>
          <t>0.0</t>
        </is>
      </c>
      <c r="BM2368" t="inlineStr">
        <is>
          <t>0.0</t>
        </is>
      </c>
      <c r="BN2368"/>
      <c r="BO2368" s="4"/>
      <c r="BP2368">
        <v>165885</v>
      </c>
      <c r="BQ2368"/>
      <c r="BR2368"/>
      <c r="BS2368"/>
      <c r="BT2368"/>
      <c r="BU2368"/>
      <c r="BV2368">
        <v>2737231</v>
      </c>
      <c r="BW2368" t="inlineStr">
        <is>
          <t>Inquire for Hiring Needs : Proposal Sent 25%</t>
        </is>
      </c>
      <c r="BX2368"/>
      <c r="BY2368"/>
      <c r="BZ2368" s="4"/>
      <c r="CA2368"/>
      <c r="CB2368"/>
      <c r="CC2368" s="4"/>
      <c r="CD2368" t="inlineStr">
        <is>
          <t>20</t>
        </is>
      </c>
      <c r="CE2368" t="inlineStr">
        <is>
          <t>0</t>
        </is>
      </c>
      <c r="CF2368" t="inlineStr">
        <is>
          <t>Q2-W01</t>
        </is>
      </c>
      <c r="CG2368"/>
      <c r="CH2368"/>
      <c r="CI2368"/>
      <c r="CJ2368" t="inlineStr">
        <is>
          <t>No Paid</t>
        </is>
      </c>
      <c r="CK2368" t="inlineStr">
        <is>
          <t>Not Eligible</t>
        </is>
      </c>
      <c r="CL2368"/>
      <c r="CM2368"/>
    </row>
    <row r="2369" ht="25.5" customHeight="1">
      <c r="A2369" t="inlineStr">
        <is>
          <t>58481</t>
        </is>
      </c>
      <c r="B2369" s="2"/>
      <c r="C2369"/>
      <c r="D2369" s="3">
        <v>46120.497407407405</v>
      </c>
      <c r="E2369" t="inlineStr">
        <is>
          <t>Q2-W01</t>
        </is>
      </c>
      <c r="F2369" t="inlineStr">
        <is>
          <t>Ratha</t>
        </is>
      </c>
      <c r="G2369" t="inlineStr">
        <is>
          <t>Customer</t>
        </is>
      </c>
      <c r="H2369" s="2" t="str">
        <f>=HYPERLINK("https://upbox.ajobthing.my/customer/58481", "https://upbox.ajobthing.my/customer/58481")</f>
        <v>https://upbox.ajobthing.my/customer/58481</v>
      </c>
      <c r="I2369" t="inlineStr">
        <is>
          <t>Victus Project Sdn Bhd</t>
        </is>
      </c>
      <c r="J2369" t="inlineStr">
        <is>
          <t>Dolphin</t>
        </is>
      </c>
      <c r="K2369" t="inlineStr">
        <is>
          <t>Ratha</t>
        </is>
      </c>
      <c r="L2369" s="4"/>
      <c r="M2369" s="4">
        <v>46120.497881944444</v>
      </c>
      <c r="N2369"/>
      <c r="O2369">
        <v>3672</v>
      </c>
      <c r="P2369" s="4"/>
      <c r="Q2369" s="4">
        <v>46121.472962962966</v>
      </c>
      <c r="R2369"/>
      <c r="S2369">
        <v>0</v>
      </c>
      <c r="T2369" s="4">
        <v>46120.48465277778</v>
      </c>
      <c r="U2369" s="4"/>
      <c r="V2369"/>
      <c r="W2369">
        <v>1296</v>
      </c>
      <c r="X2369"/>
      <c r="Y2369" t="inlineStr">
        <is>
          <t>Pending Appointment</t>
        </is>
      </c>
      <c r="Z2369" t="inlineStr">
        <is>
          <t>Hiring Later</t>
        </is>
      </c>
      <c r="AA2369">
        <v>1</v>
      </c>
      <c r="AB2369" t="inlineStr">
        <is>
          <t>No Appointment Made</t>
        </is>
      </c>
      <c r="AC2369"/>
      <c r="AD2369" t="inlineStr">
        <is>
          <t>HR : 1
Location : Cheras</t>
        </is>
      </c>
      <c r="AE2369"/>
      <c r="AF2369"/>
      <c r="AG2369" s="4"/>
      <c r="AH2369" s="4"/>
      <c r="AI2369">
        <v>0</v>
      </c>
      <c r="AJ2369">
        <v>1</v>
      </c>
      <c r="AK2369" t="inlineStr">
        <is>
          <t>Yes, I have</t>
        </is>
      </c>
      <c r="AL2369">
        <v>2</v>
      </c>
      <c r="AM2369" t="inlineStr">
        <is>
          <t>No, I don't need at all</t>
        </is>
      </c>
      <c r="AN2369"/>
      <c r="AO2369" t="inlineStr">
        <is>
          <t>Yes, I have</t>
        </is>
      </c>
      <c r="AP2369" t="inlineStr">
        <is>
          <t>Once per quarter (75%)</t>
        </is>
      </c>
      <c r="AQ2369">
        <v>0</v>
      </c>
      <c r="AR2369" t="inlineStr">
        <is>
          <t>Free Job Portal, Jobstreet</t>
        </is>
      </c>
      <c r="AS2369" t="inlineStr">
        <is>
          <t>- Headcount: 1
- Hiring Job Details: 1 HR
- Hiring Urgency: Hiring Later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Free Job Portal, Jobstreet</t>
        </is>
      </c>
      <c r="AT2369">
        <v>90</v>
      </c>
      <c r="AU2369" t="inlineStr">
        <is>
          <t>0.90</t>
        </is>
      </c>
      <c r="AV2369" t="inlineStr">
        <is>
          <t>5</t>
        </is>
      </c>
      <c r="AW2369" t="inlineStr">
        <is>
          <t>0</t>
        </is>
      </c>
      <c r="AX2369" t="inlineStr">
        <is>
          <t>Not Qualified</t>
        </is>
      </c>
      <c r="AY2369" s="4"/>
      <c r="AZ2369"/>
      <c r="BA2369"/>
      <c r="BB2369"/>
      <c r="BC2369" t="inlineStr">
        <is>
          <t>not proceed because current ad not getting much applicants - raise to CX</t>
        </is>
      </c>
      <c r="BD2369" s="4">
        <v>46126.64807870371</v>
      </c>
      <c r="BE2369" t="inlineStr">
        <is>
          <t>paid</t>
        </is>
      </c>
      <c r="BF2369" t="inlineStr">
        <is>
          <t>Q2-W01</t>
        </is>
      </c>
      <c r="BG2369" t="inlineStr">
        <is>
          <t>Reschedule</t>
        </is>
      </c>
      <c r="BH2369" t="inlineStr">
        <is>
          <t>Fauziah Maharan</t>
        </is>
      </c>
      <c r="BI2369" t="inlineStr">
        <is>
          <t>Construction / Building</t>
        </is>
      </c>
      <c r="BJ2369" s="4">
        <v>46144.75609953704</v>
      </c>
      <c r="BK2369" s="4">
        <v>43377.39273148148</v>
      </c>
      <c r="BL2369" t="inlineStr">
        <is>
          <t>1296.0</t>
        </is>
      </c>
      <c r="BM2369" t="inlineStr">
        <is>
          <t>0.0</t>
        </is>
      </c>
      <c r="BN2369" t="inlineStr">
        <is>
          <t>User Login</t>
        </is>
      </c>
      <c r="BO2369" s="4">
        <v>46134.63780092593</v>
      </c>
      <c r="BP2369">
        <v>165887</v>
      </c>
      <c r="BQ2369">
        <v>121274</v>
      </c>
      <c r="BR2369" t="inlineStr">
        <is>
          <t>Proforma</t>
        </is>
      </c>
      <c r="BS2369" t="inlineStr">
        <is>
          <t>Free Part-Time Job</t>
        </is>
      </c>
      <c r="BT2369">
        <v>92006</v>
      </c>
      <c r="BU2369"/>
      <c r="BV2369">
        <v>2703936</v>
      </c>
      <c r="BW2369" t="inlineStr">
        <is>
          <t>Follow Up : Budget Concern</t>
        </is>
      </c>
      <c r="BX2369">
        <v>1</v>
      </c>
      <c r="BY2369">
        <v>0</v>
      </c>
      <c r="BZ2369" s="4">
        <v>46120.484664351854</v>
      </c>
      <c r="CA2369">
        <v>23</v>
      </c>
      <c r="CB2369">
        <v>23</v>
      </c>
      <c r="CC2369" s="4"/>
      <c r="CD2369" t="inlineStr">
        <is>
          <t>5</t>
        </is>
      </c>
      <c r="CE2369" t="inlineStr">
        <is>
          <t>0</t>
        </is>
      </c>
      <c r="CF2369" t="inlineStr">
        <is>
          <t>Q2-W01</t>
        </is>
      </c>
      <c r="CG2369" t="inlineStr">
        <is>
          <t>Q2-W01</t>
        </is>
      </c>
      <c r="CH2369" t="inlineStr">
        <is>
          <t>Q2-W01</t>
        </is>
      </c>
      <c r="CI2369"/>
      <c r="CJ2369" t="inlineStr">
        <is>
          <t>Paid</t>
        </is>
      </c>
      <c r="CK2369" t="inlineStr">
        <is>
          <t>Not Eligible</t>
        </is>
      </c>
      <c r="CL2369"/>
      <c r="CM2369"/>
    </row>
    <row r="2370" ht="25.5" customHeight="1">
      <c r="A2370" t="inlineStr">
        <is>
          <t>123832</t>
        </is>
      </c>
      <c r="B2370" s="2"/>
      <c r="C2370"/>
      <c r="D2370" s="3">
        <v>46120.500810185185</v>
      </c>
      <c r="E2370" t="inlineStr">
        <is>
          <t>Q2-W01</t>
        </is>
      </c>
      <c r="F2370" t="inlineStr">
        <is>
          <t>Alan KY</t>
        </is>
      </c>
      <c r="G2370" t="inlineStr">
        <is>
          <t>Customer</t>
        </is>
      </c>
      <c r="H2370" s="2" t="str">
        <f>=HYPERLINK("https://upbox.ajobthing.my/customer/123832", "https://upbox.ajobthing.my/customer/123832")</f>
        <v>https://upbox.ajobthing.my/customer/123832</v>
      </c>
      <c r="I2370" t="inlineStr">
        <is>
          <t>Ho Yow Turnparts Industrial Sdn Bhd</t>
        </is>
      </c>
      <c r="J2370" t="inlineStr">
        <is>
          <t>Dolphin</t>
        </is>
      </c>
      <c r="K2370" t="inlineStr">
        <is>
          <t>Alan KY</t>
        </is>
      </c>
      <c r="L2370" s="4"/>
      <c r="M2370" s="4">
        <v>46120.490069444444</v>
      </c>
      <c r="N2370"/>
      <c r="O2370">
        <v>3888</v>
      </c>
      <c r="P2370" s="4"/>
      <c r="Q2370" s="4">
        <v>46127.71150462963</v>
      </c>
      <c r="R2370"/>
      <c r="S2370">
        <v>3672</v>
      </c>
      <c r="T2370" s="4">
        <v>46127.71150462963</v>
      </c>
      <c r="U2370" s="4"/>
      <c r="V2370"/>
      <c r="W2370">
        <v>3672</v>
      </c>
      <c r="X2370"/>
      <c r="Y2370" t="inlineStr">
        <is>
          <t>Pending Appointment</t>
        </is>
      </c>
      <c r="Z2370" t="inlineStr">
        <is>
          <t>Hiring Now</t>
        </is>
      </c>
      <c r="AA2370">
        <v>3</v>
      </c>
      <c r="AB2370" t="inlineStr">
        <is>
          <t>No Appointment Made</t>
        </is>
      </c>
      <c r="AC2370"/>
      <c r="AD2370" t="inlineStr">
        <is>
          <t xml:space="preserve">1 admin and 2 sales coordinator </t>
        </is>
      </c>
      <c r="AE2370"/>
      <c r="AF2370"/>
      <c r="AG2370" s="4"/>
      <c r="AH2370" s="4"/>
      <c r="AI2370"/>
      <c r="AJ2370"/>
      <c r="AK2370" t="inlineStr">
        <is>
          <t>No, I don't need at all</t>
        </is>
      </c>
      <c r="AL2370"/>
      <c r="AM2370" t="inlineStr">
        <is>
          <t>No, I don't need at all</t>
        </is>
      </c>
      <c r="AN2370"/>
      <c r="AO2370" t="inlineStr">
        <is>
          <t>No, I don't need at all</t>
        </is>
      </c>
      <c r="AP2370" t="inlineStr">
        <is>
          <t>Once per quarter (75%)</t>
        </is>
      </c>
      <c r="AQ2370"/>
      <c r="AR2370" t="inlineStr">
        <is>
          <t>Jobstreet</t>
        </is>
      </c>
      <c r="AS2370" t="inlineStr">
        <is>
          <t>- Headcount: 3
- Hiring Job Details: 1 admin and 2 sales coordinator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 Hiring Urgency: Hiring Now</t>
        </is>
      </c>
      <c r="AT2370">
        <v>95</v>
      </c>
      <c r="AU2370" t="inlineStr">
        <is>
          <t>0.95</t>
        </is>
      </c>
      <c r="AV2370" t="inlineStr">
        <is>
          <t>5</t>
        </is>
      </c>
      <c r="AW2370" t="inlineStr">
        <is>
          <t>0</t>
        </is>
      </c>
      <c r="AX2370" t="inlineStr">
        <is>
          <t>Not Qualified</t>
        </is>
      </c>
      <c r="AY2370" s="4"/>
      <c r="AZ2370"/>
      <c r="BA2370"/>
      <c r="BB2370"/>
      <c r="BC2370" t="inlineStr">
        <is>
          <t>assist and advice client on job portal</t>
        </is>
      </c>
      <c r="BD2370" s="4">
        <v>46134.38112268518</v>
      </c>
      <c r="BE2370" t="inlineStr">
        <is>
          <t>paid</t>
        </is>
      </c>
      <c r="BF2370" t="inlineStr">
        <is>
          <t>Q2-W02</t>
        </is>
      </c>
      <c r="BG2370" t="inlineStr">
        <is>
          <t>Reschedule</t>
        </is>
      </c>
      <c r="BH2370" t="inlineStr">
        <is>
          <t>Reagen</t>
        </is>
      </c>
      <c r="BI2370" t="inlineStr">
        <is>
          <t>Manufacturing / Production</t>
        </is>
      </c>
      <c r="BJ2370" s="4">
        <v>46144.7503125</v>
      </c>
      <c r="BK2370" s="4">
        <v>43809.631527777776</v>
      </c>
      <c r="BL2370" t="inlineStr">
        <is>
          <t>3672.0</t>
        </is>
      </c>
      <c r="BM2370" t="inlineStr">
        <is>
          <t>300.0</t>
        </is>
      </c>
      <c r="BN2370" t="inlineStr">
        <is>
          <t>Search tab: Save Candidate</t>
        </is>
      </c>
      <c r="BO2370" s="4">
        <v>46142.492685185185</v>
      </c>
      <c r="BP2370">
        <v>165881</v>
      </c>
      <c r="BQ2370">
        <v>93719</v>
      </c>
      <c r="BR2370" t="inlineStr">
        <is>
          <t>Online</t>
        </is>
      </c>
      <c r="BS2370"/>
      <c r="BT2370">
        <v>93719</v>
      </c>
      <c r="BU2370"/>
      <c r="BV2370">
        <v>2719302</v>
      </c>
      <c r="BW2370" t="inlineStr">
        <is>
          <t>Service / Technical : Job Outcome Enquiry</t>
        </is>
      </c>
      <c r="BX2370">
        <v>7</v>
      </c>
      <c r="BY2370">
        <v>5</v>
      </c>
      <c r="BZ2370" s="4">
        <v>46134.41608796296</v>
      </c>
      <c r="CA2370">
        <v>60</v>
      </c>
      <c r="CB2370">
        <v>57</v>
      </c>
      <c r="CC2370" s="4">
        <v>46142.49254629629</v>
      </c>
      <c r="CD2370" t="inlineStr">
        <is>
          <t>5</t>
        </is>
      </c>
      <c r="CE2370" t="inlineStr">
        <is>
          <t>0</t>
        </is>
      </c>
      <c r="CF2370" t="inlineStr">
        <is>
          <t>Q2-W01</t>
        </is>
      </c>
      <c r="CG2370" t="inlineStr">
        <is>
          <t>Q2-W02</t>
        </is>
      </c>
      <c r="CH2370" t="inlineStr">
        <is>
          <t>Q2-W02</t>
        </is>
      </c>
      <c r="CI2370"/>
      <c r="CJ2370" t="inlineStr">
        <is>
          <t>Paid</t>
        </is>
      </c>
      <c r="CK2370" t="inlineStr">
        <is>
          <t>Not Eligible</t>
        </is>
      </c>
      <c r="CL2370"/>
      <c r="CM2370"/>
    </row>
    <row r="2371" ht="25.5" customHeight="1">
      <c r="A2371" t="inlineStr">
        <is>
          <t>202970</t>
        </is>
      </c>
      <c r="B2371" s="2"/>
      <c r="C2371"/>
      <c r="D2371" s="3">
        <v>46120.51252314815</v>
      </c>
      <c r="E2371" t="inlineStr">
        <is>
          <t>Q2-W01</t>
        </is>
      </c>
      <c r="F2371" t="inlineStr">
        <is>
          <t>Evan</t>
        </is>
      </c>
      <c r="G2371" t="inlineStr">
        <is>
          <t>Customer</t>
        </is>
      </c>
      <c r="H2371" s="2" t="str">
        <f>=HYPERLINK("https://upbox.ajobthing.my/customer/202970", "https://upbox.ajobthing.my/customer/202970")</f>
        <v>https://upbox.ajobthing.my/customer/202970</v>
      </c>
      <c r="I2371" t="inlineStr">
        <is>
          <t>NEW HEART NETWORK</t>
        </is>
      </c>
      <c r="J2371" t="inlineStr">
        <is>
          <t>Dolphin</t>
        </is>
      </c>
      <c r="K2371" t="inlineStr">
        <is>
          <t>Evan</t>
        </is>
      </c>
      <c r="L2371" s="4"/>
      <c r="M2371" s="4">
        <v>46120.51121527778</v>
      </c>
      <c r="N2371"/>
      <c r="O2371">
        <v>6048</v>
      </c>
      <c r="P2371" s="4"/>
      <c r="Q2371" s="4"/>
      <c r="R2371"/>
      <c r="S2371"/>
      <c r="T2371" s="4"/>
      <c r="U2371" s="4"/>
      <c r="V2371"/>
      <c r="W2371"/>
      <c r="X2371"/>
      <c r="Y2371" t="inlineStr">
        <is>
          <t>Pending Appointment</t>
        </is>
      </c>
      <c r="Z2371" t="inlineStr">
        <is>
          <t>Hiring Now</t>
        </is>
      </c>
      <c r="AA2371">
        <v>1</v>
      </c>
      <c r="AB2371" t="inlineStr">
        <is>
          <t>No Appointment Made</t>
        </is>
      </c>
      <c r="AC2371"/>
      <c r="AD2371" t="inlineStr">
        <is>
          <t>1 intern, all base in Sarawak</t>
        </is>
      </c>
      <c r="AE2371"/>
      <c r="AF2371">
        <v>1</v>
      </c>
      <c r="AG2371" s="4"/>
      <c r="AH2371" s="4"/>
      <c r="AI2371">
        <v>1</v>
      </c>
      <c r="AJ2371">
        <v>1</v>
      </c>
      <c r="AK2371" t="inlineStr">
        <is>
          <t>No, I don't need at all</t>
        </is>
      </c>
      <c r="AL2371">
        <v>0</v>
      </c>
      <c r="AM2371" t="inlineStr">
        <is>
          <t>No, I don't need at all</t>
        </is>
      </c>
      <c r="AN2371"/>
      <c r="AO2371" t="inlineStr">
        <is>
          <t>No, I don't need at all</t>
        </is>
      </c>
      <c r="AP2371" t="inlineStr">
        <is>
          <t>Once a year (25%)</t>
        </is>
      </c>
      <c r="AQ2371">
        <v>1</v>
      </c>
      <c r="AR2371" t="inlineStr">
        <is>
          <t>Did not use any job portal</t>
        </is>
      </c>
      <c r="AS2371" t="inlineStr">
        <is>
          <t>- Headcount: 1
- Hiring Job Details: 1 intern, all base in Sarawak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2371">
        <v>110</v>
      </c>
      <c r="AU2371" t="inlineStr">
        <is>
          <t>1.10</t>
        </is>
      </c>
      <c r="AV2371" t="inlineStr">
        <is>
          <t>15</t>
        </is>
      </c>
      <c r="AW2371" t="inlineStr">
        <is>
          <t>0</t>
        </is>
      </c>
      <c r="AX2371" t="inlineStr">
        <is>
          <t>Not Qualified</t>
        </is>
      </c>
      <c r="AY2371" s="4"/>
      <c r="AZ2371"/>
      <c r="BA2371"/>
      <c r="BB2371"/>
      <c r="BC2371" t="inlineStr">
        <is>
          <t>- Headcount: 1
- Hiring Job Details: 1 intern, all base in Sarawak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BD2371" s="4">
        <v>46120.54168981482</v>
      </c>
      <c r="BE2371"/>
      <c r="BF2371"/>
      <c r="BG2371" t="inlineStr">
        <is>
          <t>Reschedule</t>
        </is>
      </c>
      <c r="BH2371" t="inlineStr">
        <is>
          <t>Edward Hoo</t>
        </is>
      </c>
      <c r="BI2371"/>
      <c r="BJ2371" s="4">
        <v>46144.754166666666</v>
      </c>
      <c r="BK2371" s="4">
        <v>46120.45081018518</v>
      </c>
      <c r="BL2371" t="inlineStr">
        <is>
          <t>0.0</t>
        </is>
      </c>
      <c r="BM2371" t="inlineStr">
        <is>
          <t>2400.0</t>
        </is>
      </c>
      <c r="BN2371" t="inlineStr">
        <is>
          <t>View Company Page</t>
        </is>
      </c>
      <c r="BO2371" s="4">
        <v>46120.451840277776</v>
      </c>
      <c r="BP2371">
        <v>165896</v>
      </c>
      <c r="BQ2371"/>
      <c r="BR2371"/>
      <c r="BS2371"/>
      <c r="BT2371"/>
      <c r="BU2371"/>
      <c r="BV2371">
        <v>2692234</v>
      </c>
      <c r="BW2371" t="inlineStr">
        <is>
          <t>Customer Inquiry</t>
        </is>
      </c>
      <c r="BX2371"/>
      <c r="BY2371"/>
      <c r="BZ2371" s="4"/>
      <c r="CA2371"/>
      <c r="CB2371"/>
      <c r="CC2371" s="4"/>
      <c r="CD2371" t="inlineStr">
        <is>
          <t>20</t>
        </is>
      </c>
      <c r="CE2371" t="inlineStr">
        <is>
          <t>0</t>
        </is>
      </c>
      <c r="CF2371" t="inlineStr">
        <is>
          <t>Q2-W01</t>
        </is>
      </c>
      <c r="CG2371"/>
      <c r="CH2371"/>
      <c r="CI2371"/>
      <c r="CJ2371" t="inlineStr">
        <is>
          <t>No Paid</t>
        </is>
      </c>
      <c r="CK2371" t="inlineStr">
        <is>
          <t>Not Eligible</t>
        </is>
      </c>
      <c r="CL2371"/>
      <c r="CM2371"/>
    </row>
    <row r="2372" ht="25.5" customHeight="1">
      <c r="A2372" t="inlineStr">
        <is>
          <t>122483</t>
        </is>
      </c>
      <c r="B2372" s="2"/>
      <c r="C2372"/>
      <c r="D2372" s="3">
        <v>46120.515706018516</v>
      </c>
      <c r="E2372" t="inlineStr">
        <is>
          <t>Q2-W01</t>
        </is>
      </c>
      <c r="F2372" t="inlineStr">
        <is>
          <t>Chia Yee</t>
        </is>
      </c>
      <c r="G2372" t="inlineStr">
        <is>
          <t>Customer</t>
        </is>
      </c>
      <c r="H2372" s="2" t="str">
        <f>=HYPERLINK("https://upbox.ajobthing.my/customer/122483", "https://upbox.ajobthing.my/customer/122483")</f>
        <v>https://upbox.ajobthing.my/customer/122483</v>
      </c>
      <c r="I2372" t="inlineStr">
        <is>
          <t>Agensi Pekerjaan Ukhwah Sdn Bhd</t>
        </is>
      </c>
      <c r="J2372" t="inlineStr">
        <is>
          <t>Dolphin</t>
        </is>
      </c>
      <c r="K2372" t="inlineStr">
        <is>
          <t>Chia Yee</t>
        </is>
      </c>
      <c r="L2372" s="4"/>
      <c r="M2372" s="4">
        <v>46120.51584490741</v>
      </c>
      <c r="N2372"/>
      <c r="O2372">
        <v>11448</v>
      </c>
      <c r="P2372" s="4"/>
      <c r="Q2372" s="4">
        <v>44555.77853009259</v>
      </c>
      <c r="R2372"/>
      <c r="S2372">
        <v>2438</v>
      </c>
      <c r="T2372" s="4">
        <v>44555.77853009259</v>
      </c>
      <c r="U2372" s="4"/>
      <c r="V2372"/>
      <c r="W2372">
        <v>2438</v>
      </c>
      <c r="X2372"/>
      <c r="Y2372" t="inlineStr">
        <is>
          <t>Pending Appointment</t>
        </is>
      </c>
      <c r="Z2372" t="inlineStr">
        <is>
          <t>Hiring Now</t>
        </is>
      </c>
      <c r="AA2372">
        <v>6</v>
      </c>
      <c r="AB2372" t="inlineStr">
        <is>
          <t>No Appointment Made</t>
        </is>
      </c>
      <c r="AC2372"/>
      <c r="AD2372" t="inlineStr">
        <is>
          <t xml:space="preserve">1-2 Marketing, 4 Telemarketing </t>
        </is>
      </c>
      <c r="AE2372"/>
      <c r="AF2372">
        <v>0</v>
      </c>
      <c r="AG2372" s="4"/>
      <c r="AH2372" s="4"/>
      <c r="AI2372">
        <v>0</v>
      </c>
      <c r="AJ2372">
        <v>1</v>
      </c>
      <c r="AK2372" t="inlineStr">
        <is>
          <t>No, I don't need at all</t>
        </is>
      </c>
      <c r="AL2372">
        <v>1</v>
      </c>
      <c r="AM2372" t="inlineStr">
        <is>
          <t>No, I don't need at all</t>
        </is>
      </c>
      <c r="AN2372"/>
      <c r="AO2372" t="inlineStr">
        <is>
          <t>No, I don't need at all</t>
        </is>
      </c>
      <c r="AP2372" t="inlineStr">
        <is>
          <t>Once a year (25%)</t>
        </is>
      </c>
      <c r="AQ2372">
        <v>3</v>
      </c>
      <c r="AR2372" t="inlineStr">
        <is>
          <t>Did not use any job portal</t>
        </is>
      </c>
      <c r="AS2372" t="inlineStr">
        <is>
          <t>- Headcount: 6
- Hiring Job Details: 1-2 Marketing, 4 Telemarketing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3
- Hiring frequency: Once a year (25%)
- External job portal: Did not use any job portal</t>
        </is>
      </c>
      <c r="AT2372">
        <v>75</v>
      </c>
      <c r="AU2372" t="inlineStr">
        <is>
          <t>0.75</t>
        </is>
      </c>
      <c r="AV2372" t="inlineStr">
        <is>
          <t>20</t>
        </is>
      </c>
      <c r="AW2372" t="inlineStr">
        <is>
          <t>0</t>
        </is>
      </c>
      <c r="AX2372" t="inlineStr">
        <is>
          <t>Not Qualified</t>
        </is>
      </c>
      <c r="AY2372" s="4"/>
      <c r="AZ2372"/>
      <c r="BA2372"/>
      <c r="BB2372"/>
      <c r="BC2372" t="inlineStr">
        <is>
          <t>Called, no ans. WA</t>
        </is>
      </c>
      <c r="BD2372" s="4">
        <v>46121.58170138889</v>
      </c>
      <c r="BE2372" t="inlineStr">
        <is>
          <t>paid</t>
        </is>
      </c>
      <c r="BF2372"/>
      <c r="BG2372" t="inlineStr">
        <is>
          <t>Reschedule</t>
        </is>
      </c>
      <c r="BH2372" t="inlineStr">
        <is>
          <t>Reagen</t>
        </is>
      </c>
      <c r="BI2372" t="inlineStr">
        <is>
          <t>HR Mgmt / Consulting</t>
        </is>
      </c>
      <c r="BJ2372" s="4">
        <v>46144.750289351854</v>
      </c>
      <c r="BK2372" s="4">
        <v>43754.78847222222</v>
      </c>
      <c r="BL2372" t="inlineStr">
        <is>
          <t>0.0</t>
        </is>
      </c>
      <c r="BM2372" t="inlineStr">
        <is>
          <t>0.0</t>
        </is>
      </c>
      <c r="BN2372" t="inlineStr">
        <is>
          <t>User Visit(Logged In)</t>
        </is>
      </c>
      <c r="BO2372" s="4">
        <v>46122.46210648148</v>
      </c>
      <c r="BP2372">
        <v>165898</v>
      </c>
      <c r="BQ2372">
        <v>39062</v>
      </c>
      <c r="BR2372" t="inlineStr">
        <is>
          <t>Online</t>
        </is>
      </c>
      <c r="BS2372"/>
      <c r="BT2372">
        <v>39062</v>
      </c>
      <c r="BU2372"/>
      <c r="BV2372">
        <v>2695952</v>
      </c>
      <c r="BW2372" t="inlineStr">
        <is>
          <t>No Answer : Voicemail - WA sent to customer</t>
        </is>
      </c>
      <c r="BX2372"/>
      <c r="BY2372"/>
      <c r="BZ2372" s="4"/>
      <c r="CA2372"/>
      <c r="CB2372"/>
      <c r="CC2372" s="4"/>
      <c r="CD2372" t="inlineStr">
        <is>
          <t>30</t>
        </is>
      </c>
      <c r="CE2372" t="inlineStr">
        <is>
          <t>0</t>
        </is>
      </c>
      <c r="CF2372" t="inlineStr">
        <is>
          <t>Q2-W01</t>
        </is>
      </c>
      <c r="CG2372"/>
      <c r="CH2372"/>
      <c r="CI2372"/>
      <c r="CJ2372" t="inlineStr">
        <is>
          <t>Paid</t>
        </is>
      </c>
      <c r="CK2372" t="inlineStr">
        <is>
          <t>Not Eligible</t>
        </is>
      </c>
      <c r="CL2372"/>
      <c r="CM2372"/>
    </row>
    <row r="2373" ht="25.5" customHeight="1">
      <c r="A2373" t="inlineStr">
        <is>
          <t>127150</t>
        </is>
      </c>
      <c r="B2373" s="2"/>
      <c r="C2373"/>
      <c r="D2373" s="3">
        <v>46120.56412037037</v>
      </c>
      <c r="E2373" t="inlineStr">
        <is>
          <t>Q2-W01</t>
        </is>
      </c>
      <c r="F2373" t="inlineStr">
        <is>
          <t>Jia Hui</t>
        </is>
      </c>
      <c r="G2373" t="inlineStr">
        <is>
          <t>Customer</t>
        </is>
      </c>
      <c r="H2373" s="2" t="str">
        <f>=HYPERLINK("https://upbox.ajobthing.my/customer/127150", "https://upbox.ajobthing.my/customer/127150")</f>
        <v>https://upbox.ajobthing.my/customer/127150</v>
      </c>
      <c r="I2373" t="inlineStr">
        <is>
          <t>Taja Global Venture</t>
        </is>
      </c>
      <c r="J2373" t="inlineStr">
        <is>
          <t>Dolphin</t>
        </is>
      </c>
      <c r="K2373" t="inlineStr">
        <is>
          <t>Jia Hui</t>
        </is>
      </c>
      <c r="L2373" s="4"/>
      <c r="M2373" s="4">
        <v>46120.56431712963</v>
      </c>
      <c r="N2373"/>
      <c r="O2373">
        <v>6048</v>
      </c>
      <c r="P2373" s="4"/>
      <c r="Q2373" s="4">
        <v>46120.50094907408</v>
      </c>
      <c r="R2373"/>
      <c r="S2373">
        <v>0</v>
      </c>
      <c r="T2373" s="4">
        <v>44480.49783564815</v>
      </c>
      <c r="U2373" s="4"/>
      <c r="V2373"/>
      <c r="W2373">
        <v>477</v>
      </c>
      <c r="X2373"/>
      <c r="Y2373" t="inlineStr">
        <is>
          <t>Pending Appointment</t>
        </is>
      </c>
      <c r="Z2373" t="inlineStr">
        <is>
          <t>Hiring Now</t>
        </is>
      </c>
      <c r="AA2373">
        <v>6</v>
      </c>
      <c r="AB2373" t="inlineStr">
        <is>
          <t>No Appointment Made</t>
        </is>
      </c>
      <c r="AC2373"/>
      <c r="AD2373" t="inlineStr">
        <is>
          <t>6 takaful agent</t>
        </is>
      </c>
      <c r="AE2373"/>
      <c r="AF2373">
        <v>1000</v>
      </c>
      <c r="AG2373" s="4"/>
      <c r="AH2373" s="4"/>
      <c r="AI2373"/>
      <c r="AJ2373"/>
      <c r="AK2373" t="inlineStr">
        <is>
          <t>No, but I want in future</t>
        </is>
      </c>
      <c r="AL2373"/>
      <c r="AM2373"/>
      <c r="AN2373"/>
      <c r="AO2373"/>
      <c r="AP2373" t="inlineStr">
        <is>
          <t>Once a year (25%)</t>
        </is>
      </c>
      <c r="AQ2373"/>
      <c r="AR2373"/>
      <c r="AS2373" t="inlineStr">
        <is>
          <t>- Headcount: 6
- Hiring Job Details: 6 takaful agent
- Hiring Urgency: Hiring Now
- Number of outlets: Not available
- Have recruiter team: No, but I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373">
        <v>95</v>
      </c>
      <c r="AU2373" t="inlineStr">
        <is>
          <t>0.95</t>
        </is>
      </c>
      <c r="AV2373" t="inlineStr">
        <is>
          <t>20</t>
        </is>
      </c>
      <c r="AW2373" t="inlineStr">
        <is>
          <t>0</t>
        </is>
      </c>
      <c r="AX2373" t="inlineStr">
        <is>
          <t>Not Qualified</t>
        </is>
      </c>
      <c r="AY2373" s="4"/>
      <c r="AZ2373"/>
      <c r="BA2373"/>
      <c r="BB2373"/>
      <c r="BC2373" t="inlineStr">
        <is>
          <t>planning to hire on July, will f/up on end of June</t>
        </is>
      </c>
      <c r="BD2373" s="4">
        <v>46127.73915509259</v>
      </c>
      <c r="BE2373" t="inlineStr">
        <is>
          <t>paid</t>
        </is>
      </c>
      <c r="BF2373"/>
      <c r="BG2373" t="inlineStr">
        <is>
          <t>Reschedule</t>
        </is>
      </c>
      <c r="BH2373" t="inlineStr">
        <is>
          <t>Reagen</t>
        </is>
      </c>
      <c r="BI2373" t="inlineStr">
        <is>
          <t>Insurance</t>
        </is>
      </c>
      <c r="BJ2373" s="4">
        <v>46144.750393518516</v>
      </c>
      <c r="BK2373" s="4">
        <v>44008.52190972222</v>
      </c>
      <c r="BL2373" t="inlineStr">
        <is>
          <t>0.0</t>
        </is>
      </c>
      <c r="BM2373" t="inlineStr">
        <is>
          <t>0.0</t>
        </is>
      </c>
      <c r="BN2373" t="inlineStr">
        <is>
          <t>View Company Page</t>
        </is>
      </c>
      <c r="BO2373" s="4">
        <v>45314.926724537036</v>
      </c>
      <c r="BP2373">
        <v>165900</v>
      </c>
      <c r="BQ2373">
        <v>120871</v>
      </c>
      <c r="BR2373" t="inlineStr">
        <is>
          <t>Proforma</t>
        </is>
      </c>
      <c r="BS2373" t="inlineStr">
        <is>
          <t>Free Internship Job</t>
        </is>
      </c>
      <c r="BT2373">
        <v>36259</v>
      </c>
      <c r="BU2373"/>
      <c r="BV2373">
        <v>2707054</v>
      </c>
      <c r="BW2373" t="inlineStr">
        <is>
          <t>Follow Up : Budget Concern</t>
        </is>
      </c>
      <c r="BX2373"/>
      <c r="BY2373"/>
      <c r="BZ2373" s="4"/>
      <c r="CA2373"/>
      <c r="CB2373"/>
      <c r="CC2373" s="4"/>
      <c r="CD2373" t="inlineStr">
        <is>
          <t>30</t>
        </is>
      </c>
      <c r="CE2373" t="inlineStr">
        <is>
          <t>0</t>
        </is>
      </c>
      <c r="CF2373" t="inlineStr">
        <is>
          <t>Q2-W01</t>
        </is>
      </c>
      <c r="CG2373" t="inlineStr">
        <is>
          <t>Q2-W01</t>
        </is>
      </c>
      <c r="CH2373"/>
      <c r="CI2373"/>
      <c r="CJ2373" t="inlineStr">
        <is>
          <t>Paid</t>
        </is>
      </c>
      <c r="CK2373" t="inlineStr">
        <is>
          <t>Not Eligible</t>
        </is>
      </c>
      <c r="CL2373"/>
      <c r="CM2373"/>
    </row>
    <row r="2374" ht="25.5" customHeight="1">
      <c r="A2374" t="inlineStr">
        <is>
          <t>128341</t>
        </is>
      </c>
      <c r="B2374" s="2"/>
      <c r="C2374"/>
      <c r="D2374" s="3">
        <v>46120.56947916667</v>
      </c>
      <c r="E2374" t="inlineStr">
        <is>
          <t>Q2-W01</t>
        </is>
      </c>
      <c r="F2374" t="inlineStr">
        <is>
          <t>Janice Yap</t>
        </is>
      </c>
      <c r="G2374" t="inlineStr">
        <is>
          <t>Customer</t>
        </is>
      </c>
      <c r="H2374" s="2" t="str">
        <f>=HYPERLINK("https://upbox.ajobthing.my/customer/128341", "https://upbox.ajobthing.my/customer/128341")</f>
        <v>https://upbox.ajobthing.my/customer/128341</v>
      </c>
      <c r="I2374" t="inlineStr">
        <is>
          <t>KLH Tools &amp; Machineries Sdn. Bhd</t>
        </is>
      </c>
      <c r="J2374" t="inlineStr">
        <is>
          <t>Dolphin</t>
        </is>
      </c>
      <c r="K2374" t="inlineStr">
        <is>
          <t>Janice</t>
        </is>
      </c>
      <c r="L2374" s="4"/>
      <c r="M2374" s="4">
        <v>46120.56658564815</v>
      </c>
      <c r="N2374"/>
      <c r="O2374">
        <v>3888</v>
      </c>
      <c r="P2374" s="4"/>
      <c r="Q2374" s="4">
        <v>46120.500868055555</v>
      </c>
      <c r="R2374"/>
      <c r="S2374">
        <v>0</v>
      </c>
      <c r="T2374" s="4"/>
      <c r="U2374" s="4"/>
      <c r="V2374"/>
      <c r="W2374"/>
      <c r="X2374"/>
      <c r="Y2374" t="inlineStr">
        <is>
          <t>Pending Appointment</t>
        </is>
      </c>
      <c r="Z2374" t="inlineStr">
        <is>
          <t>Hiring Now</t>
        </is>
      </c>
      <c r="AA2374">
        <v>1</v>
      </c>
      <c r="AB2374" t="inlineStr">
        <is>
          <t>No Appointment Made</t>
        </is>
      </c>
      <c r="AC2374"/>
      <c r="AD2374" t="inlineStr">
        <is>
          <t>1 store keeper</t>
        </is>
      </c>
      <c r="AE2374"/>
      <c r="AF2374">
        <v>0</v>
      </c>
      <c r="AG2374" s="4"/>
      <c r="AH2374" s="4"/>
      <c r="AI2374">
        <v>0</v>
      </c>
      <c r="AJ2374"/>
      <c r="AK2374" t="inlineStr">
        <is>
          <t>No, I don't need at all</t>
        </is>
      </c>
      <c r="AL2374">
        <v>0</v>
      </c>
      <c r="AM2374" t="inlineStr">
        <is>
          <t>No, I don't need at all</t>
        </is>
      </c>
      <c r="AN2374"/>
      <c r="AO2374" t="inlineStr">
        <is>
          <t>No, I don't need at all</t>
        </is>
      </c>
      <c r="AP2374" t="inlineStr">
        <is>
          <t>Once a year (25%)</t>
        </is>
      </c>
      <c r="AQ2374">
        <v>1</v>
      </c>
      <c r="AR2374"/>
      <c r="AS2374" t="inlineStr">
        <is>
          <t>- Headcount: 1
- Hiring Job Details: 1 store keeper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2374">
        <v>105</v>
      </c>
      <c r="AU2374" t="inlineStr">
        <is>
          <t>1.05</t>
        </is>
      </c>
      <c r="AV2374" t="inlineStr">
        <is>
          <t>15</t>
        </is>
      </c>
      <c r="AW2374" t="inlineStr">
        <is>
          <t>0</t>
        </is>
      </c>
      <c r="AX2374" t="inlineStr">
        <is>
          <t>Not Qualified</t>
        </is>
      </c>
      <c r="AY2374" s="4"/>
      <c r="AZ2374"/>
      <c r="BA2374"/>
      <c r="BB2374"/>
      <c r="BC2374" t="inlineStr">
        <is>
          <t>No need post job atm // maybe in the future</t>
        </is>
      </c>
      <c r="BD2374" s="4">
        <v>46127.671956018516</v>
      </c>
      <c r="BE2374" t="inlineStr">
        <is>
          <t>paid</t>
        </is>
      </c>
      <c r="BF2374"/>
      <c r="BG2374" t="inlineStr">
        <is>
          <t>Reschedule</t>
        </is>
      </c>
      <c r="BH2374" t="inlineStr">
        <is>
          <t>Yee Hang</t>
        </is>
      </c>
      <c r="BI2374"/>
      <c r="BJ2374" s="4">
        <v>46144.75042824074</v>
      </c>
      <c r="BK2374" s="4">
        <v>44055.616122685184</v>
      </c>
      <c r="BL2374" t="inlineStr">
        <is>
          <t>0.0</t>
        </is>
      </c>
      <c r="BM2374" t="inlineStr">
        <is>
          <t>0.0</t>
        </is>
      </c>
      <c r="BN2374" t="inlineStr">
        <is>
          <t>User Visit(Logged In)</t>
        </is>
      </c>
      <c r="BO2374" s="4">
        <v>46122.43145833333</v>
      </c>
      <c r="BP2374">
        <v>165901</v>
      </c>
      <c r="BQ2374">
        <v>120869</v>
      </c>
      <c r="BR2374" t="inlineStr">
        <is>
          <t>Proforma</t>
        </is>
      </c>
      <c r="BS2374" t="inlineStr">
        <is>
          <t>Free Internship Job</t>
        </is>
      </c>
      <c r="BT2374"/>
      <c r="BU2374"/>
      <c r="BV2374">
        <v>2706442</v>
      </c>
      <c r="BW2374" t="inlineStr">
        <is>
          <t>Follow Up : Budget Concern</t>
        </is>
      </c>
      <c r="BX2374"/>
      <c r="BY2374"/>
      <c r="BZ2374" s="4"/>
      <c r="CA2374"/>
      <c r="CB2374"/>
      <c r="CC2374" s="4"/>
      <c r="CD2374" t="inlineStr">
        <is>
          <t>20</t>
        </is>
      </c>
      <c r="CE2374" t="inlineStr">
        <is>
          <t>0</t>
        </is>
      </c>
      <c r="CF2374" t="inlineStr">
        <is>
          <t>Q2-W01</t>
        </is>
      </c>
      <c r="CG2374" t="inlineStr">
        <is>
          <t>Q2-W01</t>
        </is>
      </c>
      <c r="CH2374"/>
      <c r="CI2374"/>
      <c r="CJ2374" t="inlineStr">
        <is>
          <t>No Paid</t>
        </is>
      </c>
      <c r="CK2374" t="inlineStr">
        <is>
          <t>Not Eligible</t>
        </is>
      </c>
      <c r="CL2374"/>
      <c r="CM2374"/>
    </row>
    <row r="2375" ht="25.5" customHeight="1">
      <c r="A2375" t="inlineStr">
        <is>
          <t>4257758</t>
        </is>
      </c>
      <c r="B2375" s="2"/>
      <c r="C2375"/>
      <c r="D2375" s="3">
        <v>46120.5762962963</v>
      </c>
      <c r="E2375" t="inlineStr">
        <is>
          <t>Q2-W01</t>
        </is>
      </c>
      <c r="F2375" t="inlineStr">
        <is>
          <t>Eugene</t>
        </is>
      </c>
      <c r="G2375" t="inlineStr">
        <is>
          <t>Lead</t>
        </is>
      </c>
      <c r="H2375" s="2" t="str">
        <f>=HYPERLINK("https://upbox.ajobthing.my/leads/4257758", "https://upbox.ajobthing.my/leads/4257758")</f>
        <v>https://upbox.ajobthing.my/leads/4257758</v>
      </c>
      <c r="I2375" t="inlineStr">
        <is>
          <t>Magicpapaya</t>
        </is>
      </c>
      <c r="J2375" t="inlineStr">
        <is>
          <t>Dolphin</t>
        </is>
      </c>
      <c r="K2375" t="inlineStr">
        <is>
          <t>Eugene</t>
        </is>
      </c>
      <c r="L2375" s="4"/>
      <c r="M2375" s="4">
        <v>46120.575787037036</v>
      </c>
      <c r="N2375"/>
      <c r="O2375">
        <v>3888</v>
      </c>
      <c r="P2375" s="4"/>
      <c r="Q2375" s="4"/>
      <c r="R2375"/>
      <c r="S2375"/>
      <c r="T2375" s="4"/>
      <c r="U2375" s="4"/>
      <c r="V2375"/>
      <c r="W2375"/>
      <c r="X2375"/>
      <c r="Y2375" t="inlineStr">
        <is>
          <t>Pending Appointment</t>
        </is>
      </c>
      <c r="Z2375" t="inlineStr">
        <is>
          <t>Hiring Now</t>
        </is>
      </c>
      <c r="AA2375">
        <v>5</v>
      </c>
      <c r="AB2375" t="inlineStr">
        <is>
          <t>No Appointment Made</t>
        </is>
      </c>
      <c r="AC2375"/>
      <c r="AD2375" t="inlineStr">
        <is>
          <t>5 customer service, based in JB</t>
        </is>
      </c>
      <c r="AE2375"/>
      <c r="AF2375">
        <v>3000</v>
      </c>
      <c r="AG2375" s="4"/>
      <c r="AH2375" s="4"/>
      <c r="AI2375">
        <v>3600</v>
      </c>
      <c r="AJ2375">
        <v>1</v>
      </c>
      <c r="AK2375" t="inlineStr">
        <is>
          <t>No, I don't need at all</t>
        </is>
      </c>
      <c r="AL2375">
        <v>1</v>
      </c>
      <c r="AM2375" t="inlineStr">
        <is>
          <t>No, I don't need at all</t>
        </is>
      </c>
      <c r="AN2375"/>
      <c r="AO2375" t="inlineStr">
        <is>
          <t>No, I don't need at all</t>
        </is>
      </c>
      <c r="AP2375" t="inlineStr">
        <is>
          <t>Once a year (25%)</t>
        </is>
      </c>
      <c r="AQ2375">
        <v>8</v>
      </c>
      <c r="AR2375" t="inlineStr">
        <is>
          <t>Free Job Portal</t>
        </is>
      </c>
      <c r="AS2375" t="inlineStr">
        <is>
          <t>- Headcount: 5
- Hiring Job Details: 5 customer service, based in JB
- Hiring Urgency: Hiring Now
- Number of outlets: 1
- Have recruiter team: No, I don't need at all
- Number of recruiter in company: 1
- Have ATS system: No, I don't need at all
- Have career website: No, I don't need at all
- Current hiring budget: RM3,000
- Whole year budget: RM3,600.00
- Whole year number of vacancies: 8
- Hiring frequency: Once a year (25%)
- External job portal: Free Job Portal</t>
        </is>
      </c>
      <c r="AT2375">
        <v>115</v>
      </c>
      <c r="AU2375" t="inlineStr">
        <is>
          <t>1.15</t>
        </is>
      </c>
      <c r="AV2375" t="inlineStr">
        <is>
          <t>20</t>
        </is>
      </c>
      <c r="AW2375" t="inlineStr">
        <is>
          <t>0</t>
        </is>
      </c>
      <c r="AX2375" t="inlineStr">
        <is>
          <t>Not Qualified</t>
        </is>
      </c>
      <c r="AY2375" s="4"/>
      <c r="AZ2375"/>
      <c r="BA2375"/>
      <c r="BB2375"/>
      <c r="BC2375"/>
      <c r="BD2375" s="4"/>
      <c r="BE2375"/>
      <c r="BF2375"/>
      <c r="BG2375" t="inlineStr">
        <is>
          <t>Reschedule</t>
        </is>
      </c>
      <c r="BH2375" t="inlineStr">
        <is>
          <t>Edward Hoo</t>
        </is>
      </c>
      <c r="BI2375"/>
      <c r="BJ2375" s="4">
        <v>46144.755740740744</v>
      </c>
      <c r="BK2375" s="4">
        <v>46119.95210648148</v>
      </c>
      <c r="BL2375" t="inlineStr">
        <is>
          <t>0.0</t>
        </is>
      </c>
      <c r="BM2375" t="inlineStr">
        <is>
          <t>0.0</t>
        </is>
      </c>
      <c r="BN2375"/>
      <c r="BO2375" s="4"/>
      <c r="BP2375">
        <v>165903</v>
      </c>
      <c r="BQ2375"/>
      <c r="BR2375"/>
      <c r="BS2375"/>
      <c r="BT2375"/>
      <c r="BU2375"/>
      <c r="BV2375"/>
      <c r="BW2375"/>
      <c r="BX2375"/>
      <c r="BY2375"/>
      <c r="BZ2375" s="4"/>
      <c r="CA2375"/>
      <c r="CB2375"/>
      <c r="CC2375" s="4"/>
      <c r="CD2375" t="inlineStr">
        <is>
          <t>30</t>
        </is>
      </c>
      <c r="CE2375" t="inlineStr">
        <is>
          <t>0</t>
        </is>
      </c>
      <c r="CF2375" t="inlineStr">
        <is>
          <t>Q2-W01</t>
        </is>
      </c>
      <c r="CG2375"/>
      <c r="CH2375"/>
      <c r="CI2375"/>
      <c r="CJ2375" t="inlineStr">
        <is>
          <t>No Paid</t>
        </is>
      </c>
      <c r="CK2375" t="inlineStr">
        <is>
          <t>Not Eligible</t>
        </is>
      </c>
      <c r="CL2375"/>
      <c r="CM2375"/>
    </row>
    <row r="2376" ht="25.5" customHeight="1">
      <c r="A2376" t="inlineStr">
        <is>
          <t>197196</t>
        </is>
      </c>
      <c r="B2376" s="2"/>
      <c r="C2376"/>
      <c r="D2376" s="3">
        <v>46120.59278935185</v>
      </c>
      <c r="E2376" t="inlineStr">
        <is>
          <t>Q2-W01</t>
        </is>
      </c>
      <c r="F2376" t="inlineStr">
        <is>
          <t>Carmen</t>
        </is>
      </c>
      <c r="G2376" t="inlineStr">
        <is>
          <t>Customer</t>
        </is>
      </c>
      <c r="H2376" s="2" t="str">
        <f>=HYPERLINK("https://upbox.ajobthing.my/customer/197196", "https://upbox.ajobthing.my/customer/197196")</f>
        <v>https://upbox.ajobthing.my/customer/197196</v>
      </c>
      <c r="I2376" t="inlineStr">
        <is>
          <t>Artpro Solutions (Malaysia) Sdn Bhd</t>
        </is>
      </c>
      <c r="J2376" t="inlineStr">
        <is>
          <t>Dolphin</t>
        </is>
      </c>
      <c r="K2376" t="inlineStr">
        <is>
          <t>Carmen</t>
        </is>
      </c>
      <c r="L2376" s="4"/>
      <c r="M2376" s="4">
        <v>46120.59302083333</v>
      </c>
      <c r="N2376"/>
      <c r="O2376">
        <v>3888</v>
      </c>
      <c r="P2376" s="4"/>
      <c r="Q2376" s="4"/>
      <c r="R2376"/>
      <c r="S2376"/>
      <c r="T2376" s="4"/>
      <c r="U2376" s="4"/>
      <c r="V2376"/>
      <c r="W2376"/>
      <c r="X2376"/>
      <c r="Y2376" t="inlineStr">
        <is>
          <t>Pending Appointment</t>
        </is>
      </c>
      <c r="Z2376" t="inlineStr">
        <is>
          <t>Hiring Later</t>
        </is>
      </c>
      <c r="AA2376">
        <v>1</v>
      </c>
      <c r="AB2376" t="inlineStr">
        <is>
          <t>No Appointment Made</t>
        </is>
      </c>
      <c r="AC2376"/>
      <c r="AD2376" t="inlineStr">
        <is>
          <t>1 admin</t>
        </is>
      </c>
      <c r="AE2376"/>
      <c r="AF2376">
        <v>0</v>
      </c>
      <c r="AG2376" s="4"/>
      <c r="AH2376" s="4"/>
      <c r="AI2376"/>
      <c r="AJ2376"/>
      <c r="AK2376"/>
      <c r="AL2376"/>
      <c r="AM2376"/>
      <c r="AN2376"/>
      <c r="AO2376"/>
      <c r="AP2376" t="inlineStr">
        <is>
          <t>Once a year (25%)</t>
        </is>
      </c>
      <c r="AQ2376"/>
      <c r="AR2376"/>
      <c r="AS2376" t="inlineStr">
        <is>
          <t>- Headcount: 1
- Hiring Job Details: 1 admin
- Hiring Urgency: Hiring Later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376">
        <v>75</v>
      </c>
      <c r="AU2376" t="inlineStr">
        <is>
          <t>0.75</t>
        </is>
      </c>
      <c r="AV2376" t="inlineStr">
        <is>
          <t>15</t>
        </is>
      </c>
      <c r="AW2376" t="inlineStr">
        <is>
          <t>0</t>
        </is>
      </c>
      <c r="AX2376" t="inlineStr">
        <is>
          <t>Not Qualified</t>
        </is>
      </c>
      <c r="AY2376" s="4"/>
      <c r="AZ2376"/>
      <c r="BA2376"/>
      <c r="BB2376"/>
      <c r="BC2376" t="inlineStr">
        <is>
          <t>- Headcount: 1
- Hiring Job Details: 1 admin
- Hiring Urgency: Hiring Later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BD2376" s="4">
        <v>46120.62503472222</v>
      </c>
      <c r="BE2376"/>
      <c r="BF2376"/>
      <c r="BG2376" t="inlineStr">
        <is>
          <t>Reschedule</t>
        </is>
      </c>
      <c r="BH2376" t="inlineStr">
        <is>
          <t>Reagen</t>
        </is>
      </c>
      <c r="BI2376" t="inlineStr">
        <is>
          <t>Advertising / Marketing</t>
        </is>
      </c>
      <c r="BJ2376" s="4">
        <v>46144.75288194444</v>
      </c>
      <c r="BK2376" s="4">
        <v>45944.44006944444</v>
      </c>
      <c r="BL2376" t="inlineStr">
        <is>
          <t>0.0</t>
        </is>
      </c>
      <c r="BM2376" t="inlineStr">
        <is>
          <t>2400.0</t>
        </is>
      </c>
      <c r="BN2376" t="inlineStr">
        <is>
          <t>View Notifications</t>
        </is>
      </c>
      <c r="BO2376" s="4">
        <v>45967.91143518518</v>
      </c>
      <c r="BP2376">
        <v>165906</v>
      </c>
      <c r="BQ2376"/>
      <c r="BR2376"/>
      <c r="BS2376"/>
      <c r="BT2376"/>
      <c r="BU2376"/>
      <c r="BV2376">
        <v>2692788</v>
      </c>
      <c r="BW2376" t="inlineStr">
        <is>
          <t>Customer Inquiry</t>
        </is>
      </c>
      <c r="BX2376"/>
      <c r="BY2376"/>
      <c r="BZ2376" s="4"/>
      <c r="CA2376"/>
      <c r="CB2376"/>
      <c r="CC2376" s="4"/>
      <c r="CD2376" t="inlineStr">
        <is>
          <t>20</t>
        </is>
      </c>
      <c r="CE2376" t="inlineStr">
        <is>
          <t>0</t>
        </is>
      </c>
      <c r="CF2376" t="inlineStr">
        <is>
          <t>Q2-W01</t>
        </is>
      </c>
      <c r="CG2376"/>
      <c r="CH2376"/>
      <c r="CI2376"/>
      <c r="CJ2376" t="inlineStr">
        <is>
          <t>No Paid</t>
        </is>
      </c>
      <c r="CK2376" t="inlineStr">
        <is>
          <t>Not Eligible</t>
        </is>
      </c>
      <c r="CL2376"/>
      <c r="CM2376"/>
    </row>
    <row r="2377" ht="25.5" customHeight="1">
      <c r="A2377" t="inlineStr">
        <is>
          <t>187532</t>
        </is>
      </c>
      <c r="B2377" s="2"/>
      <c r="C2377"/>
      <c r="D2377" s="3">
        <v>46120.596655092595</v>
      </c>
      <c r="E2377" t="inlineStr">
        <is>
          <t>Q2-W01</t>
        </is>
      </c>
      <c r="F2377" t="inlineStr">
        <is>
          <t>Keegan</t>
        </is>
      </c>
      <c r="G2377" t="inlineStr">
        <is>
          <t>Customer</t>
        </is>
      </c>
      <c r="H2377" s="2" t="str">
        <f>=HYPERLINK("https://upbox.ajobthing.my/customer/187532", "https://upbox.ajobthing.my/customer/187532")</f>
        <v>https://upbox.ajobthing.my/customer/187532</v>
      </c>
      <c r="I2377" t="inlineStr">
        <is>
          <t>Everise Stellar (M) Sdn Bhd</t>
        </is>
      </c>
      <c r="J2377" t="inlineStr">
        <is>
          <t>Dolphin</t>
        </is>
      </c>
      <c r="K2377" t="inlineStr">
        <is>
          <t>Keegan</t>
        </is>
      </c>
      <c r="L2377" s="4"/>
      <c r="M2377" s="4">
        <v>46120.596770833334</v>
      </c>
      <c r="N2377"/>
      <c r="O2377">
        <v>6048</v>
      </c>
      <c r="P2377" s="4"/>
      <c r="Q2377" s="4">
        <v>46120.55017361111</v>
      </c>
      <c r="R2377"/>
      <c r="S2377">
        <v>864</v>
      </c>
      <c r="T2377" s="4">
        <v>46120.55017361111</v>
      </c>
      <c r="U2377" s="4"/>
      <c r="V2377"/>
      <c r="W2377">
        <v>864</v>
      </c>
      <c r="X2377"/>
      <c r="Y2377" t="inlineStr">
        <is>
          <t>Pending Appointment</t>
        </is>
      </c>
      <c r="Z2377" t="inlineStr">
        <is>
          <t>Hiring Now</t>
        </is>
      </c>
      <c r="AA2377">
        <v>3</v>
      </c>
      <c r="AB2377" t="inlineStr">
        <is>
          <t>No Appointment Made</t>
        </is>
      </c>
      <c r="AC2377"/>
      <c r="AD2377" t="inlineStr">
        <is>
          <t>1. Sales 
2. Marketing 
3. Admin 
</t>
        </is>
      </c>
      <c r="AE2377"/>
      <c r="AF2377"/>
      <c r="AG2377" s="4"/>
      <c r="AH2377" s="4"/>
      <c r="AI2377"/>
      <c r="AJ2377">
        <v>1</v>
      </c>
      <c r="AK2377" t="inlineStr">
        <is>
          <t>No, I don't need at all</t>
        </is>
      </c>
      <c r="AL2377">
        <v>0</v>
      </c>
      <c r="AM2377" t="inlineStr">
        <is>
          <t>No, I don't need at all</t>
        </is>
      </c>
      <c r="AN2377"/>
      <c r="AO2377" t="inlineStr">
        <is>
          <t>No, I don't need at all</t>
        </is>
      </c>
      <c r="AP2377" t="inlineStr">
        <is>
          <t>Once per quarter (75%)</t>
        </is>
      </c>
      <c r="AQ2377"/>
      <c r="AR2377" t="inlineStr">
        <is>
          <t>Did not use any job portal</t>
        </is>
      </c>
      <c r="AS2377" t="inlineStr">
        <is>
          <t>- Headcount: 3
- Hiring Job Details: 1. Sales 2.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377">
        <v>65</v>
      </c>
      <c r="AU2377" t="inlineStr">
        <is>
          <t>0.65</t>
        </is>
      </c>
      <c r="AV2377" t="inlineStr">
        <is>
          <t>5</t>
        </is>
      </c>
      <c r="AW2377" t="inlineStr">
        <is>
          <t>0</t>
        </is>
      </c>
      <c r="AX2377" t="inlineStr">
        <is>
          <t>Not Qualified</t>
        </is>
      </c>
      <c r="AY2377" s="4"/>
      <c r="AZ2377"/>
      <c r="BA2377"/>
      <c r="BB2377"/>
      <c r="BC2377" t="inlineStr">
        <is>
          <t>Job posting f/up</t>
        </is>
      </c>
      <c r="BD2377" s="4">
        <v>46134.70410879629</v>
      </c>
      <c r="BE2377" t="inlineStr">
        <is>
          <t>paid</t>
        </is>
      </c>
      <c r="BF2377" t="inlineStr">
        <is>
          <t>Q2-W01</t>
        </is>
      </c>
      <c r="BG2377" t="inlineStr">
        <is>
          <t>Reschedule</t>
        </is>
      </c>
      <c r="BH2377" t="inlineStr">
        <is>
          <t>Edward Hoo</t>
        </is>
      </c>
      <c r="BI2377" t="inlineStr">
        <is>
          <t>Manufacturing / Production</t>
        </is>
      </c>
      <c r="BJ2377" s="4">
        <v>46144.752175925925</v>
      </c>
      <c r="BK2377" s="4">
        <v>45700.441030092596</v>
      </c>
      <c r="BL2377" t="inlineStr">
        <is>
          <t>864.0</t>
        </is>
      </c>
      <c r="BM2377" t="inlineStr">
        <is>
          <t>0.0</t>
        </is>
      </c>
      <c r="BN2377" t="inlineStr">
        <is>
          <t>User Visit(Logged In)</t>
        </is>
      </c>
      <c r="BO2377" s="4">
        <v>46141.457650462966</v>
      </c>
      <c r="BP2377">
        <v>165912</v>
      </c>
      <c r="BQ2377">
        <v>92083</v>
      </c>
      <c r="BR2377" t="inlineStr">
        <is>
          <t>Online</t>
        </is>
      </c>
      <c r="BS2377"/>
      <c r="BT2377">
        <v>92083</v>
      </c>
      <c r="BU2377"/>
      <c r="BV2377">
        <v>2721616</v>
      </c>
      <c r="BW2377" t="inlineStr">
        <is>
          <t>Service / Technical : Job Outcome Enquiry</t>
        </is>
      </c>
      <c r="BX2377">
        <v>1</v>
      </c>
      <c r="BY2377">
        <v>0</v>
      </c>
      <c r="BZ2377" s="4">
        <v>46120.55018518519</v>
      </c>
      <c r="CA2377">
        <v>10</v>
      </c>
      <c r="CB2377">
        <v>10</v>
      </c>
      <c r="CC2377" s="4"/>
      <c r="CD2377" t="inlineStr">
        <is>
          <t>5</t>
        </is>
      </c>
      <c r="CE2377" t="inlineStr">
        <is>
          <t>0</t>
        </is>
      </c>
      <c r="CF2377" t="inlineStr">
        <is>
          <t>Q2-W01</t>
        </is>
      </c>
      <c r="CG2377" t="inlineStr">
        <is>
          <t>Q2-W01</t>
        </is>
      </c>
      <c r="CH2377" t="inlineStr">
        <is>
          <t>Q2-W01</t>
        </is>
      </c>
      <c r="CI2377"/>
      <c r="CJ2377" t="inlineStr">
        <is>
          <t>Paid</t>
        </is>
      </c>
      <c r="CK2377" t="inlineStr">
        <is>
          <t>Not Eligible</t>
        </is>
      </c>
      <c r="CL2377"/>
      <c r="CM2377"/>
    </row>
    <row r="2378" ht="25.5" customHeight="1">
      <c r="A2378" t="inlineStr">
        <is>
          <t>4260447</t>
        </is>
      </c>
      <c r="B2378" s="2"/>
      <c r="C2378"/>
      <c r="D2378" s="3">
        <v>46120.598495370374</v>
      </c>
      <c r="E2378" t="inlineStr">
        <is>
          <t>Q2-W01</t>
        </is>
      </c>
      <c r="F2378" t="inlineStr">
        <is>
          <t>Eugene</t>
        </is>
      </c>
      <c r="G2378" t="inlineStr">
        <is>
          <t>Lead</t>
        </is>
      </c>
      <c r="H2378" s="2" t="str">
        <f>=HYPERLINK("https://upbox.ajobthing.my/leads/4260447", "https://upbox.ajobthing.my/leads/4260447")</f>
        <v>https://upbox.ajobthing.my/leads/4260447</v>
      </c>
      <c r="I2378" t="inlineStr">
        <is>
          <t>JAYA HENG CONSTRUCTION SDN BHD</t>
        </is>
      </c>
      <c r="J2378" t="inlineStr">
        <is>
          <t>Dolphin</t>
        </is>
      </c>
      <c r="K2378" t="inlineStr">
        <is>
          <t>Eugene</t>
        </is>
      </c>
      <c r="L2378" s="4"/>
      <c r="M2378" s="4">
        <v>46120.598761574074</v>
      </c>
      <c r="N2378"/>
      <c r="O2378">
        <v>3888</v>
      </c>
      <c r="P2378" s="4"/>
      <c r="Q2378" s="4"/>
      <c r="R2378"/>
      <c r="S2378"/>
      <c r="T2378" s="4"/>
      <c r="U2378" s="4"/>
      <c r="V2378"/>
      <c r="W2378"/>
      <c r="X2378"/>
      <c r="Y2378" t="inlineStr">
        <is>
          <t>Pending Appointment</t>
        </is>
      </c>
      <c r="Z2378" t="inlineStr">
        <is>
          <t>Hiring Now</t>
        </is>
      </c>
      <c r="AA2378">
        <v>2</v>
      </c>
      <c r="AB2378" t="inlineStr">
        <is>
          <t>No Appointment Made</t>
        </is>
      </c>
      <c r="AC2378"/>
      <c r="AD2378" t="inlineStr">
        <is>
          <t>2 site supervisor, based in KL</t>
        </is>
      </c>
      <c r="AE2378"/>
      <c r="AF2378">
        <v>3000</v>
      </c>
      <c r="AG2378" s="4"/>
      <c r="AH2378" s="4"/>
      <c r="AI2378">
        <v>3000</v>
      </c>
      <c r="AJ2378">
        <v>1</v>
      </c>
      <c r="AK2378" t="inlineStr">
        <is>
          <t>No, I don't need at all</t>
        </is>
      </c>
      <c r="AL2378">
        <v>1</v>
      </c>
      <c r="AM2378" t="inlineStr">
        <is>
          <t>No, I don't need at all</t>
        </is>
      </c>
      <c r="AN2378"/>
      <c r="AO2378" t="inlineStr">
        <is>
          <t>No, I don't need at all</t>
        </is>
      </c>
      <c r="AP2378" t="inlineStr">
        <is>
          <t>Twice a year (50%)</t>
        </is>
      </c>
      <c r="AQ2378">
        <v>4</v>
      </c>
      <c r="AR2378" t="inlineStr">
        <is>
          <t>Jobstreet</t>
        </is>
      </c>
      <c r="AS2378" t="inlineStr">
        <is>
          <t>- Headcount: 2
- Hiring Job Details: 2 site supervisor,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Jobstreet</t>
        </is>
      </c>
      <c r="AT2378">
        <v>110</v>
      </c>
      <c r="AU2378" t="inlineStr">
        <is>
          <t>1.10</t>
        </is>
      </c>
      <c r="AV2378" t="inlineStr">
        <is>
          <t>15</t>
        </is>
      </c>
      <c r="AW2378" t="inlineStr">
        <is>
          <t>0</t>
        </is>
      </c>
      <c r="AX2378" t="inlineStr">
        <is>
          <t>Not Qualified</t>
        </is>
      </c>
      <c r="AY2378" s="4"/>
      <c r="AZ2378"/>
      <c r="BA2378"/>
      <c r="BB2378"/>
      <c r="BC2378"/>
      <c r="BD2378" s="4"/>
      <c r="BE2378"/>
      <c r="BF2378"/>
      <c r="BG2378" t="inlineStr">
        <is>
          <t>Reschedule</t>
        </is>
      </c>
      <c r="BH2378" t="inlineStr">
        <is>
          <t>Edward Hoo</t>
        </is>
      </c>
      <c r="BI2378"/>
      <c r="BJ2378" s="4">
        <v>46144.75576388889</v>
      </c>
      <c r="BK2378" s="4">
        <v>46120.581608796296</v>
      </c>
      <c r="BL2378" t="inlineStr">
        <is>
          <t>0.0</t>
        </is>
      </c>
      <c r="BM2378" t="inlineStr">
        <is>
          <t>0.0</t>
        </is>
      </c>
      <c r="BN2378"/>
      <c r="BO2378" s="4"/>
      <c r="BP2378">
        <v>165913</v>
      </c>
      <c r="BQ2378"/>
      <c r="BR2378"/>
      <c r="BS2378"/>
      <c r="BT2378"/>
      <c r="BU2378"/>
      <c r="BV2378"/>
      <c r="BW2378"/>
      <c r="BX2378"/>
      <c r="BY2378"/>
      <c r="BZ2378" s="4"/>
      <c r="CA2378"/>
      <c r="CB2378"/>
      <c r="CC2378" s="4"/>
      <c r="CD2378" t="inlineStr">
        <is>
          <t>20</t>
        </is>
      </c>
      <c r="CE2378" t="inlineStr">
        <is>
          <t>0</t>
        </is>
      </c>
      <c r="CF2378" t="inlineStr">
        <is>
          <t>Q2-W01</t>
        </is>
      </c>
      <c r="CG2378"/>
      <c r="CH2378"/>
      <c r="CI2378"/>
      <c r="CJ2378" t="inlineStr">
        <is>
          <t>No Paid</t>
        </is>
      </c>
      <c r="CK2378" t="inlineStr">
        <is>
          <t>Not Eligible</t>
        </is>
      </c>
      <c r="CL2378"/>
      <c r="CM2378"/>
    </row>
    <row r="2379" ht="25.5" customHeight="1">
      <c r="A2379" t="inlineStr">
        <is>
          <t>196819</t>
        </is>
      </c>
      <c r="B2379" s="2"/>
      <c r="C2379"/>
      <c r="D2379" s="3">
        <v>46120.605625</v>
      </c>
      <c r="E2379" t="inlineStr">
        <is>
          <t>Q2-W01</t>
        </is>
      </c>
      <c r="F2379" t="inlineStr">
        <is>
          <t>Ken Yi</t>
        </is>
      </c>
      <c r="G2379" t="inlineStr">
        <is>
          <t>Customer</t>
        </is>
      </c>
      <c r="H2379" s="2" t="str">
        <f>=HYPERLINK("https://upbox.ajobthing.my/customer/196819", "https://upbox.ajobthing.my/customer/196819")</f>
        <v>https://upbox.ajobthing.my/customer/196819</v>
      </c>
      <c r="I2379" t="inlineStr">
        <is>
          <t>Cedar Pest Management</t>
        </is>
      </c>
      <c r="J2379" t="inlineStr">
        <is>
          <t>Dolphin</t>
        </is>
      </c>
      <c r="K2379" t="inlineStr">
        <is>
          <t>Kenyi</t>
        </is>
      </c>
      <c r="L2379" s="4"/>
      <c r="M2379" s="4">
        <v>46120.60396990741</v>
      </c>
      <c r="N2379"/>
      <c r="O2379">
        <v>10800</v>
      </c>
      <c r="P2379" s="4"/>
      <c r="Q2379" s="4">
        <v>46121.50282407407</v>
      </c>
      <c r="R2379"/>
      <c r="S2379">
        <v>0</v>
      </c>
      <c r="T2379" s="4">
        <v>45938.748460648145</v>
      </c>
      <c r="U2379" s="4"/>
      <c r="V2379"/>
      <c r="W2379">
        <v>3672</v>
      </c>
      <c r="X2379"/>
      <c r="Y2379" t="inlineStr">
        <is>
          <t>Pending Appointment</t>
        </is>
      </c>
      <c r="Z2379" t="inlineStr">
        <is>
          <t>Hiring Now</t>
        </is>
      </c>
      <c r="AA2379">
        <v>1</v>
      </c>
      <c r="AB2379" t="inlineStr">
        <is>
          <t>No Appointment Made</t>
        </is>
      </c>
      <c r="AC2379"/>
      <c r="AD2379" t="inlineStr">
        <is>
          <t>Renewal 1, Technician</t>
        </is>
      </c>
      <c r="AE2379"/>
      <c r="AF2379">
        <v>0</v>
      </c>
      <c r="AG2379" s="4"/>
      <c r="AH2379" s="4"/>
      <c r="AI2379">
        <v>0</v>
      </c>
      <c r="AJ2379">
        <v>1</v>
      </c>
      <c r="AK2379" t="inlineStr">
        <is>
          <t>No, I don't need at all</t>
        </is>
      </c>
      <c r="AL2379">
        <v>1</v>
      </c>
      <c r="AM2379" t="inlineStr">
        <is>
          <t>No, I don't need at all</t>
        </is>
      </c>
      <c r="AN2379"/>
      <c r="AO2379" t="inlineStr">
        <is>
          <t>No, I don't need at all</t>
        </is>
      </c>
      <c r="AP2379" t="inlineStr">
        <is>
          <t>Every month (100%)</t>
        </is>
      </c>
      <c r="AQ2379">
        <v>1</v>
      </c>
      <c r="AR2379" t="inlineStr">
        <is>
          <t>Did not use any job portal, Jobstreet, Free Job Portal</t>
        </is>
      </c>
      <c r="AS2379" t="inlineStr">
        <is>
          <t>- Headcount: 1
- Hiring Job Details: Renewal 1, Technician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portal,Jobstreet,Free Job Portal</t>
        </is>
      </c>
      <c r="AT2379">
        <v>105</v>
      </c>
      <c r="AU2379" t="inlineStr">
        <is>
          <t>1.05</t>
        </is>
      </c>
      <c r="AV2379" t="inlineStr">
        <is>
          <t>15</t>
        </is>
      </c>
      <c r="AW2379" t="inlineStr">
        <is>
          <t>0</t>
        </is>
      </c>
      <c r="AX2379" t="inlineStr">
        <is>
          <t>Not Qualified</t>
        </is>
      </c>
      <c r="AY2379" s="4"/>
      <c r="AZ2379"/>
      <c r="BA2379"/>
      <c r="BB2379"/>
      <c r="BC2379" t="inlineStr">
        <is>
          <t>Job outcome got issued help to post the job.</t>
        </is>
      </c>
      <c r="BD2379" s="4">
        <v>46142.59881944444</v>
      </c>
      <c r="BE2379" t="inlineStr">
        <is>
          <t>paid</t>
        </is>
      </c>
      <c r="BF2379"/>
      <c r="BG2379" t="inlineStr">
        <is>
          <t>Reschedule</t>
        </is>
      </c>
      <c r="BH2379" t="inlineStr">
        <is>
          <t>Fauziah Maharan</t>
        </is>
      </c>
      <c r="BI2379" t="inlineStr">
        <is>
          <t>Repair / Maintenance</t>
        </is>
      </c>
      <c r="BJ2379" s="4">
        <v>46144.752858796295</v>
      </c>
      <c r="BK2379" s="4">
        <v>45932.671331018515</v>
      </c>
      <c r="BL2379" t="inlineStr">
        <is>
          <t>3672.0</t>
        </is>
      </c>
      <c r="BM2379" t="inlineStr">
        <is>
          <t>0.0</t>
        </is>
      </c>
      <c r="BN2379" t="inlineStr">
        <is>
          <t>View Company Page</t>
        </is>
      </c>
      <c r="BO2379" s="4">
        <v>46140.475648148145</v>
      </c>
      <c r="BP2379">
        <v>165917</v>
      </c>
      <c r="BQ2379">
        <v>121292</v>
      </c>
      <c r="BR2379" t="inlineStr">
        <is>
          <t>Proforma</t>
        </is>
      </c>
      <c r="BS2379" t="inlineStr">
        <is>
          <t>Free Internship Job</t>
        </is>
      </c>
      <c r="BT2379">
        <v>83128</v>
      </c>
      <c r="BU2379"/>
      <c r="BV2379">
        <v>2737676</v>
      </c>
      <c r="BW2379" t="inlineStr">
        <is>
          <t>Service / Technical : Job Outcome Enquiry</t>
        </is>
      </c>
      <c r="BX2379">
        <v>6</v>
      </c>
      <c r="BY2379">
        <v>3</v>
      </c>
      <c r="BZ2379" s="4">
        <v>46090.62909722222</v>
      </c>
      <c r="CA2379">
        <v>60</v>
      </c>
      <c r="CB2379">
        <v>60</v>
      </c>
      <c r="CC2379" s="4"/>
      <c r="CD2379" t="inlineStr">
        <is>
          <t>20</t>
        </is>
      </c>
      <c r="CE2379" t="inlineStr">
        <is>
          <t>0</t>
        </is>
      </c>
      <c r="CF2379" t="inlineStr">
        <is>
          <t>Q2-W01</t>
        </is>
      </c>
      <c r="CG2379" t="inlineStr">
        <is>
          <t>Q2-W01</t>
        </is>
      </c>
      <c r="CH2379"/>
      <c r="CI2379"/>
      <c r="CJ2379" t="inlineStr">
        <is>
          <t>Paid</t>
        </is>
      </c>
      <c r="CK2379" t="inlineStr">
        <is>
          <t>Not Eligible</t>
        </is>
      </c>
      <c r="CL2379"/>
      <c r="CM2379"/>
    </row>
    <row r="2380" ht="25.5" customHeight="1">
      <c r="A2380" t="inlineStr">
        <is>
          <t>173713</t>
        </is>
      </c>
      <c r="B2380" s="2"/>
      <c r="C2380"/>
      <c r="D2380" s="3">
        <v>46120.605833333335</v>
      </c>
      <c r="E2380" t="inlineStr">
        <is>
          <t>Q2-W01</t>
        </is>
      </c>
      <c r="F2380" t="inlineStr">
        <is>
          <t>Josh</t>
        </is>
      </c>
      <c r="G2380" t="inlineStr">
        <is>
          <t>Customer</t>
        </is>
      </c>
      <c r="H2380" s="2" t="str">
        <f>=HYPERLINK("https://upbox.ajobthing.my/customer/173713", "https://upbox.ajobthing.my/customer/173713")</f>
        <v>https://upbox.ajobthing.my/customer/173713</v>
      </c>
      <c r="I2380" t="inlineStr">
        <is>
          <t>Thyora International Sdn Bhd</t>
        </is>
      </c>
      <c r="J2380" t="inlineStr">
        <is>
          <t>Dolphin</t>
        </is>
      </c>
      <c r="K2380" t="inlineStr">
        <is>
          <t>Josh</t>
        </is>
      </c>
      <c r="L2380" s="4"/>
      <c r="M2380" s="4">
        <v>46120.606354166666</v>
      </c>
      <c r="N2380"/>
      <c r="O2380">
        <v>11448</v>
      </c>
      <c r="P2380" s="4"/>
      <c r="Q2380" s="4">
        <v>45811.722719907404</v>
      </c>
      <c r="R2380"/>
      <c r="S2380">
        <v>648</v>
      </c>
      <c r="T2380" s="4">
        <v>45811.722719907404</v>
      </c>
      <c r="U2380" s="4"/>
      <c r="V2380"/>
      <c r="W2380">
        <v>648</v>
      </c>
      <c r="X2380"/>
      <c r="Y2380" t="inlineStr">
        <is>
          <t>Pending Appointment</t>
        </is>
      </c>
      <c r="Z2380" t="inlineStr">
        <is>
          <t>Hiring Later</t>
        </is>
      </c>
      <c r="AA2380">
        <v>1</v>
      </c>
      <c r="AB2380" t="inlineStr">
        <is>
          <t>No Appointment Made</t>
        </is>
      </c>
      <c r="AC2380"/>
      <c r="AD2380" t="inlineStr">
        <is>
          <t xml:space="preserve">1 marketing </t>
        </is>
      </c>
      <c r="AE2380"/>
      <c r="AF2380">
        <v>1000</v>
      </c>
      <c r="AG2380" s="4"/>
      <c r="AH2380" s="4"/>
      <c r="AI2380"/>
      <c r="AJ2380"/>
      <c r="AK2380" t="inlineStr">
        <is>
          <t>Yes, I have</t>
        </is>
      </c>
      <c r="AL2380"/>
      <c r="AM2380"/>
      <c r="AN2380"/>
      <c r="AO2380"/>
      <c r="AP2380" t="inlineStr">
        <is>
          <t>Once a year (25%)</t>
        </is>
      </c>
      <c r="AQ2380"/>
      <c r="AR2380"/>
      <c r="AS2380" t="inlineStr">
        <is>
          <t>- Headcount: 1
- Hiring Job Details: 1 marketing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
- Hiring Urgency: Hiring Later</t>
        </is>
      </c>
      <c r="AT2380">
        <v>75</v>
      </c>
      <c r="AU2380" t="inlineStr">
        <is>
          <t>0.75</t>
        </is>
      </c>
      <c r="AV2380" t="inlineStr">
        <is>
          <t>15</t>
        </is>
      </c>
      <c r="AW2380" t="inlineStr">
        <is>
          <t>0</t>
        </is>
      </c>
      <c r="AX2380" t="inlineStr">
        <is>
          <t>Not Qualified</t>
        </is>
      </c>
      <c r="AY2380" s="4"/>
      <c r="AZ2380"/>
      <c r="BA2380"/>
      <c r="BB2380"/>
      <c r="BC2380" t="inlineStr">
        <is>
          <t>- Headcount: 1
- Hiring Job Details: 1 marketing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
- Hiring Urgency: Hiring Later</t>
        </is>
      </c>
      <c r="BD2380" s="4">
        <v>46120.62503472222</v>
      </c>
      <c r="BE2380" t="inlineStr">
        <is>
          <t>paid</t>
        </is>
      </c>
      <c r="BF2380"/>
      <c r="BG2380" t="inlineStr">
        <is>
          <t>Reschedule</t>
        </is>
      </c>
      <c r="BH2380" t="inlineStr">
        <is>
          <t>Fauziah Maharan</t>
        </is>
      </c>
      <c r="BI2380" t="inlineStr">
        <is>
          <t>Education / Training</t>
        </is>
      </c>
      <c r="BJ2380" s="4">
        <v>46144.75152777778</v>
      </c>
      <c r="BK2380" s="4">
        <v>45272.57032407408</v>
      </c>
      <c r="BL2380" t="inlineStr">
        <is>
          <t>648.0</t>
        </is>
      </c>
      <c r="BM2380" t="inlineStr">
        <is>
          <t>600.0</t>
        </is>
      </c>
      <c r="BN2380" t="inlineStr">
        <is>
          <t>View Jobmanager Page</t>
        </is>
      </c>
      <c r="BO2380" s="4">
        <v>45858.50017361111</v>
      </c>
      <c r="BP2380">
        <v>165920</v>
      </c>
      <c r="BQ2380">
        <v>79791</v>
      </c>
      <c r="BR2380" t="inlineStr">
        <is>
          <t>Online</t>
        </is>
      </c>
      <c r="BS2380"/>
      <c r="BT2380">
        <v>79791</v>
      </c>
      <c r="BU2380"/>
      <c r="BV2380">
        <v>2692798</v>
      </c>
      <c r="BW2380" t="inlineStr">
        <is>
          <t>Customer Inquiry</t>
        </is>
      </c>
      <c r="BX2380"/>
      <c r="BY2380"/>
      <c r="BZ2380" s="4"/>
      <c r="CA2380"/>
      <c r="CB2380"/>
      <c r="CC2380" s="4"/>
      <c r="CD2380" t="inlineStr">
        <is>
          <t>20</t>
        </is>
      </c>
      <c r="CE2380" t="inlineStr">
        <is>
          <t>0</t>
        </is>
      </c>
      <c r="CF2380" t="inlineStr">
        <is>
          <t>Q2-W01</t>
        </is>
      </c>
      <c r="CG2380"/>
      <c r="CH2380"/>
      <c r="CI2380"/>
      <c r="CJ2380" t="inlineStr">
        <is>
          <t>Paid</t>
        </is>
      </c>
      <c r="CK2380" t="inlineStr">
        <is>
          <t>Not Eligible</t>
        </is>
      </c>
      <c r="CL2380"/>
      <c r="CM2380"/>
    </row>
    <row r="2381" ht="25.5" customHeight="1">
      <c r="A2381" t="inlineStr">
        <is>
          <t>185172</t>
        </is>
      </c>
      <c r="B2381" s="2"/>
      <c r="C2381"/>
      <c r="D2381" s="3">
        <v>46120.607453703706</v>
      </c>
      <c r="E2381" t="inlineStr">
        <is>
          <t>Q2-W01</t>
        </is>
      </c>
      <c r="F2381" t="inlineStr">
        <is>
          <t>Keegan</t>
        </is>
      </c>
      <c r="G2381" t="inlineStr">
        <is>
          <t>Customer</t>
        </is>
      </c>
      <c r="H2381" s="2" t="str">
        <f>=HYPERLINK("https://upbox.ajobthing.my/customer/185172", "https://upbox.ajobthing.my/customer/185172")</f>
        <v>https://upbox.ajobthing.my/customer/185172</v>
      </c>
      <c r="I2381" t="inlineStr">
        <is>
          <t>All Planters Tractor Kluang</t>
        </is>
      </c>
      <c r="J2381" t="inlineStr">
        <is>
          <t>Dolphin</t>
        </is>
      </c>
      <c r="K2381" t="inlineStr">
        <is>
          <t>Keegan</t>
        </is>
      </c>
      <c r="L2381" s="4"/>
      <c r="M2381" s="4">
        <v>46120.60755787037</v>
      </c>
      <c r="N2381"/>
      <c r="O2381">
        <v>3888</v>
      </c>
      <c r="P2381" s="4"/>
      <c r="Q2381" s="4">
        <v>46120.50084490741</v>
      </c>
      <c r="R2381"/>
      <c r="S2381">
        <v>0</v>
      </c>
      <c r="T2381" s="4"/>
      <c r="U2381" s="4"/>
      <c r="V2381"/>
      <c r="W2381"/>
      <c r="X2381"/>
      <c r="Y2381" t="inlineStr">
        <is>
          <t>Pending Appointment</t>
        </is>
      </c>
      <c r="Z2381" t="inlineStr">
        <is>
          <t>Hiring Now</t>
        </is>
      </c>
      <c r="AA2381">
        <v>1</v>
      </c>
      <c r="AB2381" t="inlineStr">
        <is>
          <t>No Appointment Made</t>
        </is>
      </c>
      <c r="AC2381"/>
      <c r="AD2381" t="inlineStr">
        <is>
          <t xml:space="preserve">1. Driver </t>
        </is>
      </c>
      <c r="AE2381"/>
      <c r="AF2381"/>
      <c r="AG2381" s="4"/>
      <c r="AH2381" s="4"/>
      <c r="AI2381"/>
      <c r="AJ2381">
        <v>1</v>
      </c>
      <c r="AK2381" t="inlineStr">
        <is>
          <t>No, I don't need at all</t>
        </is>
      </c>
      <c r="AL2381">
        <v>0</v>
      </c>
      <c r="AM2381" t="inlineStr">
        <is>
          <t>No, I don't need at all</t>
        </is>
      </c>
      <c r="AN2381"/>
      <c r="AO2381" t="inlineStr">
        <is>
          <t>No, I don't need at all</t>
        </is>
      </c>
      <c r="AP2381" t="inlineStr">
        <is>
          <t>Once per quarter (75%)</t>
        </is>
      </c>
      <c r="AQ2381"/>
      <c r="AR2381" t="inlineStr">
        <is>
          <t>Did not use any job portal</t>
        </is>
      </c>
      <c r="AS2381" t="inlineStr">
        <is>
          <t>- Headcount: 1
- Hiring Job Details: 1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381">
        <v>100</v>
      </c>
      <c r="AU2381" t="inlineStr">
        <is>
          <t>1.00</t>
        </is>
      </c>
      <c r="AV2381" t="inlineStr">
        <is>
          <t>5</t>
        </is>
      </c>
      <c r="AW2381" t="inlineStr">
        <is>
          <t>0</t>
        </is>
      </c>
      <c r="AX2381" t="inlineStr">
        <is>
          <t>Not Qualified</t>
        </is>
      </c>
      <c r="AY2381" s="4"/>
      <c r="AZ2381"/>
      <c r="BA2381"/>
      <c r="BB2381"/>
      <c r="BC2381" t="inlineStr">
        <is>
          <t>- Headcount: 1
- Hiring Job Details: 1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381" s="4">
        <v>46120.62503472222</v>
      </c>
      <c r="BE2381" t="inlineStr">
        <is>
          <t>paid</t>
        </is>
      </c>
      <c r="BF2381"/>
      <c r="BG2381" t="inlineStr">
        <is>
          <t>Reschedule</t>
        </is>
      </c>
      <c r="BH2381" t="inlineStr">
        <is>
          <t>Edward Hoo</t>
        </is>
      </c>
      <c r="BI2381" t="inlineStr">
        <is>
          <t>Automobile / Automotive</t>
        </is>
      </c>
      <c r="BJ2381" s="4">
        <v>46144.75204861111</v>
      </c>
      <c r="BK2381" s="4">
        <v>45621.68440972222</v>
      </c>
      <c r="BL2381" t="inlineStr">
        <is>
          <t>0.0</t>
        </is>
      </c>
      <c r="BM2381" t="inlineStr">
        <is>
          <t>0.0</t>
        </is>
      </c>
      <c r="BN2381" t="inlineStr">
        <is>
          <t>View Candidate Search Page</t>
        </is>
      </c>
      <c r="BO2381" s="4">
        <v>45621.71440972222</v>
      </c>
      <c r="BP2381">
        <v>165921</v>
      </c>
      <c r="BQ2381">
        <v>120868</v>
      </c>
      <c r="BR2381" t="inlineStr">
        <is>
          <t>Proforma</t>
        </is>
      </c>
      <c r="BS2381" t="inlineStr">
        <is>
          <t>Free Internship Job</t>
        </is>
      </c>
      <c r="BT2381"/>
      <c r="BU2381"/>
      <c r="BV2381">
        <v>2692799</v>
      </c>
      <c r="BW2381" t="inlineStr">
        <is>
          <t>Customer Inquiry</t>
        </is>
      </c>
      <c r="BX2381"/>
      <c r="BY2381"/>
      <c r="BZ2381" s="4"/>
      <c r="CA2381"/>
      <c r="CB2381"/>
      <c r="CC2381" s="4"/>
      <c r="CD2381" t="inlineStr">
        <is>
          <t>5</t>
        </is>
      </c>
      <c r="CE2381" t="inlineStr">
        <is>
          <t>0</t>
        </is>
      </c>
      <c r="CF2381" t="inlineStr">
        <is>
          <t>Q2-W01</t>
        </is>
      </c>
      <c r="CG2381" t="inlineStr">
        <is>
          <t>Q2-W01</t>
        </is>
      </c>
      <c r="CH2381"/>
      <c r="CI2381"/>
      <c r="CJ2381" t="inlineStr">
        <is>
          <t>No Paid</t>
        </is>
      </c>
      <c r="CK2381" t="inlineStr">
        <is>
          <t>Not Eligible</t>
        </is>
      </c>
      <c r="CL2381"/>
      <c r="CM2381"/>
    </row>
    <row r="2382" ht="25.5" customHeight="1">
      <c r="A2382" t="inlineStr">
        <is>
          <t>195486</t>
        </is>
      </c>
      <c r="B2382" s="2"/>
      <c r="C2382"/>
      <c r="D2382" s="3">
        <v>46120.61311342593</v>
      </c>
      <c r="E2382" t="inlineStr">
        <is>
          <t>Q2-W01</t>
        </is>
      </c>
      <c r="F2382" t="inlineStr">
        <is>
          <t>Luqman</t>
        </is>
      </c>
      <c r="G2382" t="inlineStr">
        <is>
          <t>Customer</t>
        </is>
      </c>
      <c r="H2382" s="2" t="str">
        <f>=HYPERLINK("https://upbox.ajobthing.my/customer/195486", "https://upbox.ajobthing.my/customer/195486")</f>
        <v>https://upbox.ajobthing.my/customer/195486</v>
      </c>
      <c r="I2382" t="inlineStr">
        <is>
          <t>Pusat Perkembangan Minda KV Educare Sdn Bhd</t>
        </is>
      </c>
      <c r="J2382" t="inlineStr">
        <is>
          <t>Dolphin</t>
        </is>
      </c>
      <c r="K2382" t="inlineStr">
        <is>
          <t>Luqman</t>
        </is>
      </c>
      <c r="L2382" s="4"/>
      <c r="M2382" s="4">
        <v>46120.613391203704</v>
      </c>
      <c r="N2382"/>
      <c r="O2382">
        <v>6048</v>
      </c>
      <c r="P2382" s="4"/>
      <c r="Q2382" s="4">
        <v>45960.398877314816</v>
      </c>
      <c r="R2382"/>
      <c r="S2382">
        <v>864</v>
      </c>
      <c r="T2382" s="4">
        <v>45960.398877314816</v>
      </c>
      <c r="U2382" s="4"/>
      <c r="V2382"/>
      <c r="W2382">
        <v>864</v>
      </c>
      <c r="X2382" t="inlineStr">
        <is>
          <t>Edward Hoo</t>
        </is>
      </c>
      <c r="Y2382" t="inlineStr">
        <is>
          <t>Pending Appointment</t>
        </is>
      </c>
      <c r="Z2382" t="inlineStr">
        <is>
          <t>Hiring Now</t>
        </is>
      </c>
      <c r="AA2382">
        <v>1</v>
      </c>
      <c r="AB2382" t="inlineStr">
        <is>
          <t>Appointment Made</t>
        </is>
      </c>
      <c r="AC2382" t="inlineStr">
        <is>
          <t>SME (&lt;50 employees)</t>
        </is>
      </c>
      <c r="AD2382" t="inlineStr">
        <is>
          <t xml:space="preserve">1. Teacher </t>
        </is>
      </c>
      <c r="AE2382" t="inlineStr">
        <is>
          <t>C-Suite (CHR / COO / CEO)</t>
        </is>
      </c>
      <c r="AF2382">
        <v>3600</v>
      </c>
      <c r="AG2382" s="4">
        <v>46121.479166666664</v>
      </c>
      <c r="AH2382" s="4">
        <v>46121.5</v>
      </c>
      <c r="AI2382">
        <v>3600</v>
      </c>
      <c r="AJ2382"/>
      <c r="AK2382" t="inlineStr">
        <is>
          <t>Yes, I have</t>
        </is>
      </c>
      <c r="AL2382">
        <v>2</v>
      </c>
      <c r="AM2382" t="inlineStr">
        <is>
          <t>No, I don't need at all</t>
        </is>
      </c>
      <c r="AN2382"/>
      <c r="AO2382" t="inlineStr">
        <is>
          <t>No, I don't need at all</t>
        </is>
      </c>
      <c r="AP2382" t="inlineStr">
        <is>
          <t>Twice a year (50%)</t>
        </is>
      </c>
      <c r="AQ2382">
        <v>3</v>
      </c>
      <c r="AR2382" t="inlineStr">
        <is>
          <t>Free Job Portal, Jobstreet</t>
        </is>
      </c>
      <c r="AS2382" t="inlineStr">
        <is>
          <t>- Headcount: 1
- Hiring Job Details: 1 Teacher
- Hiring Urgency: Hiring Now
- Number of outlets: Not provided
- Have recruiter team: Yes
- Number of recruiter in company: 2
- Have ATS system: No, I don't need at all
- Have career website: No, I don't need at all
- Current hiring budget: RM3,600
- Whole year budget: RM3,600.00
- Whole year number of vacancies: 3
- Hiring frequency: Twice a year (50%)
- External job portal: Free Job Portal,Jobstreet</t>
        </is>
      </c>
      <c r="AT2382">
        <v>115</v>
      </c>
      <c r="AU2382" t="inlineStr">
        <is>
          <t>1.15</t>
        </is>
      </c>
      <c r="AV2382" t="inlineStr">
        <is>
          <t>45</t>
        </is>
      </c>
      <c r="AW2382" t="inlineStr">
        <is>
          <t>0.5</t>
        </is>
      </c>
      <c r="AX2382" t="inlineStr">
        <is>
          <t>Not Qualified</t>
        </is>
      </c>
      <c r="AY2382" s="4"/>
      <c r="AZ2382"/>
      <c r="BA2382"/>
      <c r="BB2382"/>
      <c r="BC2382" t="inlineStr">
        <is>
          <t>Business utilize other platform first</t>
        </is>
      </c>
      <c r="BD2382" s="4">
        <v>46125.47688657408</v>
      </c>
      <c r="BE2382" t="inlineStr">
        <is>
          <t>paid</t>
        </is>
      </c>
      <c r="BF2382"/>
      <c r="BG2382" t="inlineStr">
        <is>
          <t>Reschedule</t>
        </is>
      </c>
      <c r="BH2382" t="inlineStr">
        <is>
          <t>Edward Hoo</t>
        </is>
      </c>
      <c r="BI2382" t="inlineStr">
        <is>
          <t>Education / Training</t>
        </is>
      </c>
      <c r="BJ2382" s="4">
        <v>46144.7527662037</v>
      </c>
      <c r="BK2382" s="4">
        <v>45896.66689814815</v>
      </c>
      <c r="BL2382" t="inlineStr">
        <is>
          <t>864.0</t>
        </is>
      </c>
      <c r="BM2382" t="inlineStr">
        <is>
          <t>150.0</t>
        </is>
      </c>
      <c r="BN2382" t="inlineStr">
        <is>
          <t>View Jobmanager Page</t>
        </is>
      </c>
      <c r="BO2382" s="4">
        <v>46121.50659722222</v>
      </c>
      <c r="BP2382">
        <v>165927</v>
      </c>
      <c r="BQ2382">
        <v>83772</v>
      </c>
      <c r="BR2382" t="inlineStr">
        <is>
          <t>Online</t>
        </is>
      </c>
      <c r="BS2382"/>
      <c r="BT2382">
        <v>83772</v>
      </c>
      <c r="BU2382"/>
      <c r="BV2382">
        <v>2700392</v>
      </c>
      <c r="BW2382" t="inlineStr">
        <is>
          <t>Follow Up : Lost - Paid Portal</t>
        </is>
      </c>
      <c r="BX2382"/>
      <c r="BY2382"/>
      <c r="BZ2382" s="4"/>
      <c r="CA2382"/>
      <c r="CB2382"/>
      <c r="CC2382" s="4"/>
      <c r="CD2382" t="inlineStr">
        <is>
          <t>60</t>
        </is>
      </c>
      <c r="CE2382" t="inlineStr">
        <is>
          <t>0</t>
        </is>
      </c>
      <c r="CF2382" t="inlineStr">
        <is>
          <t>Q2-W01</t>
        </is>
      </c>
      <c r="CG2382"/>
      <c r="CH2382"/>
      <c r="CI2382"/>
      <c r="CJ2382" t="inlineStr">
        <is>
          <t>Paid</t>
        </is>
      </c>
      <c r="CK2382" t="inlineStr">
        <is>
          <t>Not Eligible</t>
        </is>
      </c>
      <c r="CL2382"/>
      <c r="CM2382"/>
    </row>
    <row r="2383" ht="25.5" customHeight="1">
      <c r="A2383" t="inlineStr">
        <is>
          <t>46727</t>
        </is>
      </c>
      <c r="B2383" s="2"/>
      <c r="C2383"/>
      <c r="D2383" s="3">
        <v>46120.61445601852</v>
      </c>
      <c r="E2383" t="inlineStr">
        <is>
          <t>Q2-W01</t>
        </is>
      </c>
      <c r="F2383" t="inlineStr">
        <is>
          <t>Keegan</t>
        </is>
      </c>
      <c r="G2383" t="inlineStr">
        <is>
          <t>Customer</t>
        </is>
      </c>
      <c r="H2383" s="2" t="str">
        <f>=HYPERLINK("https://upbox.ajobthing.my/customer/46727", "https://upbox.ajobthing.my/customer/46727")</f>
        <v>https://upbox.ajobthing.my/customer/46727</v>
      </c>
      <c r="I2383" t="inlineStr">
        <is>
          <t>Ensoft</t>
        </is>
      </c>
      <c r="J2383" t="inlineStr">
        <is>
          <t>Dolphin</t>
        </is>
      </c>
      <c r="K2383" t="inlineStr">
        <is>
          <t>Keegan</t>
        </is>
      </c>
      <c r="L2383" s="4"/>
      <c r="M2383" s="4">
        <v>46120.61451388889</v>
      </c>
      <c r="N2383"/>
      <c r="O2383">
        <v>6048</v>
      </c>
      <c r="P2383" s="4"/>
      <c r="Q2383" s="4">
        <v>46120.541967592595</v>
      </c>
      <c r="R2383"/>
      <c r="S2383">
        <v>0</v>
      </c>
      <c r="T2383" s="4"/>
      <c r="U2383" s="4"/>
      <c r="V2383"/>
      <c r="W2383"/>
      <c r="X2383"/>
      <c r="Y2383" t="inlineStr">
        <is>
          <t>Pending Appointment</t>
        </is>
      </c>
      <c r="Z2383" t="inlineStr">
        <is>
          <t>Hiring Now</t>
        </is>
      </c>
      <c r="AA2383">
        <v>4</v>
      </c>
      <c r="AB2383" t="inlineStr">
        <is>
          <t>No Appointment Made</t>
        </is>
      </c>
      <c r="AC2383"/>
      <c r="AD2383" t="inlineStr">
        <is>
          <t xml:space="preserve">1. IT tehnician 
2. Developer 
3. Sales 
4. Project Manager </t>
        </is>
      </c>
      <c r="AE2383"/>
      <c r="AF2383"/>
      <c r="AG2383" s="4"/>
      <c r="AH2383" s="4"/>
      <c r="AI2383"/>
      <c r="AJ2383">
        <v>1</v>
      </c>
      <c r="AK2383" t="inlineStr">
        <is>
          <t>No, I don't need at all</t>
        </is>
      </c>
      <c r="AL2383">
        <v>0</v>
      </c>
      <c r="AM2383" t="inlineStr">
        <is>
          <t>No, I don't need at all</t>
        </is>
      </c>
      <c r="AN2383"/>
      <c r="AO2383" t="inlineStr">
        <is>
          <t>No, I don't need at all</t>
        </is>
      </c>
      <c r="AP2383" t="inlineStr">
        <is>
          <t>Once per quarter (75%)</t>
        </is>
      </c>
      <c r="AQ2383"/>
      <c r="AR2383" t="inlineStr">
        <is>
          <t>Did not use any job portal</t>
        </is>
      </c>
      <c r="AS2383" t="inlineStr">
        <is>
          <t>- Headcount: 4
- Hiring Job Details: 1. IT technician; 2. Developer; 3. Sales; 4. Project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383">
        <v>75</v>
      </c>
      <c r="AU2383" t="inlineStr">
        <is>
          <t>0.75</t>
        </is>
      </c>
      <c r="AV2383" t="inlineStr">
        <is>
          <t>5</t>
        </is>
      </c>
      <c r="AW2383" t="inlineStr">
        <is>
          <t>0</t>
        </is>
      </c>
      <c r="AX2383" t="inlineStr">
        <is>
          <t>Not Qualified</t>
        </is>
      </c>
      <c r="AY2383" s="4"/>
      <c r="AZ2383"/>
      <c r="BA2383"/>
      <c r="BB2383"/>
      <c r="BC2383" t="inlineStr">
        <is>
          <t>- Headcount: 4
- Hiring Job Details: 1. IT technician; 2. Developer; 3. Sales; 4. Project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383" s="4">
        <v>46120.6250462963</v>
      </c>
      <c r="BE2383" t="inlineStr">
        <is>
          <t>paid</t>
        </is>
      </c>
      <c r="BF2383"/>
      <c r="BG2383" t="inlineStr">
        <is>
          <t>Reschedule</t>
        </is>
      </c>
      <c r="BH2383" t="inlineStr">
        <is>
          <t>Edward Hoo</t>
        </is>
      </c>
      <c r="BI2383"/>
      <c r="BJ2383" s="4">
        <v>46144.756006944444</v>
      </c>
      <c r="BK2383" s="4">
        <v>43167.83863425926</v>
      </c>
      <c r="BL2383" t="inlineStr">
        <is>
          <t>0.0</t>
        </is>
      </c>
      <c r="BM2383" t="inlineStr">
        <is>
          <t>0.0</t>
        </is>
      </c>
      <c r="BN2383" t="inlineStr">
        <is>
          <t>View Shop</t>
        </is>
      </c>
      <c r="BO2383" s="4">
        <v>43297.77116898148</v>
      </c>
      <c r="BP2383">
        <v>165929</v>
      </c>
      <c r="BQ2383">
        <v>120904</v>
      </c>
      <c r="BR2383" t="inlineStr">
        <is>
          <t>Proforma</t>
        </is>
      </c>
      <c r="BS2383" t="inlineStr">
        <is>
          <t>Free Internship Job</t>
        </is>
      </c>
      <c r="BT2383"/>
      <c r="BU2383"/>
      <c r="BV2383">
        <v>2692804</v>
      </c>
      <c r="BW2383" t="inlineStr">
        <is>
          <t>Customer Inquiry</t>
        </is>
      </c>
      <c r="BX2383"/>
      <c r="BY2383"/>
      <c r="BZ2383" s="4"/>
      <c r="CA2383"/>
      <c r="CB2383"/>
      <c r="CC2383" s="4"/>
      <c r="CD2383" t="inlineStr">
        <is>
          <t>5</t>
        </is>
      </c>
      <c r="CE2383" t="inlineStr">
        <is>
          <t>0</t>
        </is>
      </c>
      <c r="CF2383" t="inlineStr">
        <is>
          <t>Q2-W01</t>
        </is>
      </c>
      <c r="CG2383" t="inlineStr">
        <is>
          <t>Q2-W01</t>
        </is>
      </c>
      <c r="CH2383"/>
      <c r="CI2383"/>
      <c r="CJ2383" t="inlineStr">
        <is>
          <t>No Paid</t>
        </is>
      </c>
      <c r="CK2383" t="inlineStr">
        <is>
          <t>Not Eligible</t>
        </is>
      </c>
      <c r="CL2383"/>
      <c r="CM2383"/>
    </row>
    <row r="2384" ht="25.5" customHeight="1">
      <c r="A2384" t="inlineStr">
        <is>
          <t>202991</t>
        </is>
      </c>
      <c r="B2384" s="2"/>
      <c r="C2384"/>
      <c r="D2384" s="3">
        <v>46120.61900462963</v>
      </c>
      <c r="E2384" t="inlineStr">
        <is>
          <t>Q2-W01</t>
        </is>
      </c>
      <c r="F2384" t="inlineStr">
        <is>
          <t>Clover</t>
        </is>
      </c>
      <c r="G2384" t="inlineStr">
        <is>
          <t>Customer</t>
        </is>
      </c>
      <c r="H2384" s="2" t="str">
        <f>=HYPERLINK("https://upbox.ajobthing.my/customer/202991", "https://upbox.ajobthing.my/customer/202991")</f>
        <v>https://upbox.ajobthing.my/customer/202991</v>
      </c>
      <c r="I2384" t="inlineStr">
        <is>
          <t>AGENSI PEKERJAAN BEST HIRE SDN. BHD</t>
        </is>
      </c>
      <c r="J2384" t="inlineStr">
        <is>
          <t>Dolphin</t>
        </is>
      </c>
      <c r="K2384" t="inlineStr">
        <is>
          <t>Clover</t>
        </is>
      </c>
      <c r="L2384" s="4"/>
      <c r="M2384" s="4">
        <v>46120.61646990741</v>
      </c>
      <c r="N2384"/>
      <c r="O2384">
        <v>3888</v>
      </c>
      <c r="P2384" s="4"/>
      <c r="Q2384" s="4"/>
      <c r="R2384"/>
      <c r="S2384"/>
      <c r="T2384" s="4"/>
      <c r="U2384" s="4"/>
      <c r="V2384"/>
      <c r="W2384"/>
      <c r="X2384"/>
      <c r="Y2384" t="inlineStr">
        <is>
          <t>Pending Appointment</t>
        </is>
      </c>
      <c r="Z2384" t="inlineStr">
        <is>
          <t>Hiring Now</t>
        </is>
      </c>
      <c r="AA2384">
        <v>1</v>
      </c>
      <c r="AB2384" t="inlineStr">
        <is>
          <t>No Appointment Made</t>
        </is>
      </c>
      <c r="AC2384"/>
      <c r="AD2384" t="inlineStr">
        <is>
          <t>Hire admin exec x1, prefer free ads, budget concern, recruitment agency, cheras, suggest stand</t>
        </is>
      </c>
      <c r="AE2384"/>
      <c r="AF2384">
        <v>3000</v>
      </c>
      <c r="AG2384" s="4"/>
      <c r="AH2384" s="4"/>
      <c r="AI2384">
        <v>3000</v>
      </c>
      <c r="AJ2384">
        <v>1</v>
      </c>
      <c r="AK2384" t="inlineStr">
        <is>
          <t>No, but I want in future</t>
        </is>
      </c>
      <c r="AL2384">
        <v>1</v>
      </c>
      <c r="AM2384" t="inlineStr">
        <is>
          <t>No, but I want in future</t>
        </is>
      </c>
      <c r="AN2384"/>
      <c r="AO2384" t="inlineStr">
        <is>
          <t>No, but I want in future</t>
        </is>
      </c>
      <c r="AP2384" t="inlineStr">
        <is>
          <t>Twice a year (50%)</t>
        </is>
      </c>
      <c r="AQ2384">
        <v>2</v>
      </c>
      <c r="AR2384" t="inlineStr">
        <is>
          <t>Did not use any job portal</t>
        </is>
      </c>
      <c r="AS2384" t="inlineStr">
        <is>
          <t>- Headcount: 1
- Hiring Job Details: Hire 1 admin exec, prefer free ads, budget concern, recruitment agency, cheras,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is>
      </c>
      <c r="AT2384">
        <v>115</v>
      </c>
      <c r="AU2384" t="inlineStr">
        <is>
          <t>1.15</t>
        </is>
      </c>
      <c r="AV2384" t="inlineStr">
        <is>
          <t>15</t>
        </is>
      </c>
      <c r="AW2384" t="inlineStr">
        <is>
          <t>0</t>
        </is>
      </c>
      <c r="AX2384" t="inlineStr">
        <is>
          <t>Not Qualified</t>
        </is>
      </c>
      <c r="AY2384" s="4"/>
      <c r="AZ2384"/>
      <c r="BA2384"/>
      <c r="BB2384"/>
      <c r="BC2384" t="inlineStr">
        <is>
          <t>Job filled now, PIC Ms Fion</t>
        </is>
      </c>
      <c r="BD2384" s="4">
        <v>46135.733773148146</v>
      </c>
      <c r="BE2384"/>
      <c r="BF2384"/>
      <c r="BG2384" t="inlineStr">
        <is>
          <t>Reschedule</t>
        </is>
      </c>
      <c r="BH2384" t="inlineStr">
        <is>
          <t>Reagen</t>
        </is>
      </c>
      <c r="BI2384"/>
      <c r="BJ2384" s="4">
        <v>46144.75418981481</v>
      </c>
      <c r="BK2384" s="4">
        <v>46120.61145833333</v>
      </c>
      <c r="BL2384" t="inlineStr">
        <is>
          <t>0.0</t>
        </is>
      </c>
      <c r="BM2384" t="inlineStr">
        <is>
          <t>0.0</t>
        </is>
      </c>
      <c r="BN2384"/>
      <c r="BO2384" s="4"/>
      <c r="BP2384">
        <v>165931</v>
      </c>
      <c r="BQ2384"/>
      <c r="BR2384"/>
      <c r="BS2384"/>
      <c r="BT2384"/>
      <c r="BU2384"/>
      <c r="BV2384">
        <v>2725085</v>
      </c>
      <c r="BW2384" t="inlineStr">
        <is>
          <t>Follow Up : Lost - Free Portal</t>
        </is>
      </c>
      <c r="BX2384"/>
      <c r="BY2384"/>
      <c r="BZ2384" s="4"/>
      <c r="CA2384"/>
      <c r="CB2384"/>
      <c r="CC2384" s="4"/>
      <c r="CD2384" t="inlineStr">
        <is>
          <t>20</t>
        </is>
      </c>
      <c r="CE2384" t="inlineStr">
        <is>
          <t>0</t>
        </is>
      </c>
      <c r="CF2384" t="inlineStr">
        <is>
          <t>Q2-W01</t>
        </is>
      </c>
      <c r="CG2384"/>
      <c r="CH2384"/>
      <c r="CI2384"/>
      <c r="CJ2384" t="inlineStr">
        <is>
          <t>No Paid</t>
        </is>
      </c>
      <c r="CK2384" t="inlineStr">
        <is>
          <t>Not Eligible</t>
        </is>
      </c>
      <c r="CL2384"/>
      <c r="CM2384"/>
    </row>
    <row r="2385" ht="25.5" customHeight="1">
      <c r="A2385" t="inlineStr">
        <is>
          <t>9478</t>
        </is>
      </c>
      <c r="B2385" s="2"/>
      <c r="C2385"/>
      <c r="D2385" s="3">
        <v>46120.6196412037</v>
      </c>
      <c r="E2385" t="inlineStr">
        <is>
          <t>Q2-W01</t>
        </is>
      </c>
      <c r="F2385" t="inlineStr">
        <is>
          <t>Yvonne Lee</t>
        </is>
      </c>
      <c r="G2385" t="inlineStr">
        <is>
          <t>Customer</t>
        </is>
      </c>
      <c r="H2385" s="2" t="str">
        <f>=HYPERLINK("https://upbox.ajobthing.my/customer/9478", "https://upbox.ajobthing.my/customer/9478")</f>
        <v>https://upbox.ajobthing.my/customer/9478</v>
      </c>
      <c r="I2385" t="inlineStr">
        <is>
          <t>Agensi Pekerjaan Dream Career Sdn Bhd</t>
        </is>
      </c>
      <c r="J2385" t="inlineStr">
        <is>
          <t>Dolphin</t>
        </is>
      </c>
      <c r="K2385" t="inlineStr">
        <is>
          <t>Yvonne</t>
        </is>
      </c>
      <c r="L2385" s="4"/>
      <c r="M2385" s="4">
        <v>46120.62540509259</v>
      </c>
      <c r="N2385"/>
      <c r="O2385">
        <v>21600</v>
      </c>
      <c r="P2385" s="4"/>
      <c r="Q2385" s="4"/>
      <c r="R2385"/>
      <c r="S2385"/>
      <c r="T2385" s="4"/>
      <c r="U2385" s="4"/>
      <c r="V2385"/>
      <c r="W2385"/>
      <c r="X2385"/>
      <c r="Y2385" t="inlineStr">
        <is>
          <t>Pending Appointment</t>
        </is>
      </c>
      <c r="Z2385" t="inlineStr">
        <is>
          <t>Continuous Hiring</t>
        </is>
      </c>
      <c r="AA2385">
        <v>4</v>
      </c>
      <c r="AB2385" t="inlineStr">
        <is>
          <t>No Appointment Made</t>
        </is>
      </c>
      <c r="AC2385"/>
      <c r="AD2385" t="inlineStr">
        <is>
          <t>1) Marketing Executive
2) Credit Control
3) Senior Electrical
4) Site Supervisor</t>
        </is>
      </c>
      <c r="AE2385"/>
      <c r="AF2385">
        <v>15000</v>
      </c>
      <c r="AG2385" s="4"/>
      <c r="AH2385" s="4"/>
      <c r="AI2385">
        <v>15000</v>
      </c>
      <c r="AJ2385">
        <v>2</v>
      </c>
      <c r="AK2385" t="inlineStr">
        <is>
          <t>Yes, I have</t>
        </is>
      </c>
      <c r="AL2385">
        <v>4</v>
      </c>
      <c r="AM2385" t="inlineStr">
        <is>
          <t>No, I don't need at all</t>
        </is>
      </c>
      <c r="AN2385"/>
      <c r="AO2385" t="inlineStr">
        <is>
          <t>No, I don't need at all</t>
        </is>
      </c>
      <c r="AP2385" t="inlineStr">
        <is>
          <t>Every month (100%)</t>
        </is>
      </c>
      <c r="AQ2385">
        <v>110</v>
      </c>
      <c r="AR2385" t="inlineStr">
        <is>
          <t>Jobstreet, Free Job Portal</t>
        </is>
      </c>
      <c r="AS2385" t="inlineStr">
        <is>
          <t>- Headcount: 4
- Hiring Job Details: 1) Marketing Executive, 2) Credit Control, 3) Senior Electrical, 4) Site Supervisor
- Hiring Urgency: Continuous Hiring
- Number of outlets: 2
- Have recruiter team: Yes
- Number of recruiter in company: 4
- Have ATS system: No, I don't need at all
- Have career website: No, I don't need at all
- Current hiring budget: RM15,000
- Whole year budget: RM15,000.00
- Whole year number of vacancies: 110
- Hiring frequency: Every month (100%)
- External job portal: Jobstreet, Free Job Portal</t>
        </is>
      </c>
      <c r="AT2385">
        <v>95</v>
      </c>
      <c r="AU2385" t="inlineStr">
        <is>
          <t>0.95</t>
        </is>
      </c>
      <c r="AV2385" t="inlineStr">
        <is>
          <t>20</t>
        </is>
      </c>
      <c r="AW2385" t="inlineStr">
        <is>
          <t>0</t>
        </is>
      </c>
      <c r="AX2385" t="inlineStr">
        <is>
          <t>Not Qualified</t>
        </is>
      </c>
      <c r="AY2385" s="4"/>
      <c r="AZ2385"/>
      <c r="BA2385"/>
      <c r="BB2385"/>
      <c r="BC2385" t="inlineStr">
        <is>
          <t>Quotation shared.</t>
        </is>
      </c>
      <c r="BD2385" s="4">
        <v>46142.720972222225</v>
      </c>
      <c r="BE2385"/>
      <c r="BF2385"/>
      <c r="BG2385" t="inlineStr">
        <is>
          <t>Reschedule</t>
        </is>
      </c>
      <c r="BH2385" t="inlineStr">
        <is>
          <t>andy@ajobthing.com</t>
        </is>
      </c>
      <c r="BI2385"/>
      <c r="BJ2385" s="4">
        <v>46144.756157407406</v>
      </c>
      <c r="BK2385" s="4">
        <v>42478.85648148148</v>
      </c>
      <c r="BL2385" t="inlineStr">
        <is>
          <t>0.0</t>
        </is>
      </c>
      <c r="BM2385" t="inlineStr">
        <is>
          <t>4800.0</t>
        </is>
      </c>
      <c r="BN2385" t="inlineStr">
        <is>
          <t>View Jobmanager Page</t>
        </is>
      </c>
      <c r="BO2385" s="4">
        <v>45833.754537037035</v>
      </c>
      <c r="BP2385">
        <v>165942</v>
      </c>
      <c r="BQ2385"/>
      <c r="BR2385"/>
      <c r="BS2385"/>
      <c r="BT2385"/>
      <c r="BU2385"/>
      <c r="BV2385">
        <v>2738351</v>
      </c>
      <c r="BW2385" t="inlineStr">
        <is>
          <t>Inquire for Hiring Needs : Quotation Sent 50%</t>
        </is>
      </c>
      <c r="BX2385"/>
      <c r="BY2385"/>
      <c r="BZ2385" s="4"/>
      <c r="CA2385"/>
      <c r="CB2385"/>
      <c r="CC2385" s="4"/>
      <c r="CD2385" t="inlineStr">
        <is>
          <t>25</t>
        </is>
      </c>
      <c r="CE2385" t="inlineStr">
        <is>
          <t>0</t>
        </is>
      </c>
      <c r="CF2385" t="inlineStr">
        <is>
          <t>Q2-W01</t>
        </is>
      </c>
      <c r="CG2385"/>
      <c r="CH2385"/>
      <c r="CI2385"/>
      <c r="CJ2385" t="inlineStr">
        <is>
          <t>No Paid</t>
        </is>
      </c>
      <c r="CK2385" t="inlineStr">
        <is>
          <t>Not Eligible</t>
        </is>
      </c>
      <c r="CL2385"/>
      <c r="CM2385"/>
    </row>
    <row r="2386" ht="25.5" customHeight="1">
      <c r="A2386" t="inlineStr">
        <is>
          <t>202990</t>
        </is>
      </c>
      <c r="B2386" s="2"/>
      <c r="C2386"/>
      <c r="D2386" s="3">
        <v>46120.61966435185</v>
      </c>
      <c r="E2386" t="inlineStr">
        <is>
          <t>Q2-W01</t>
        </is>
      </c>
      <c r="F2386" t="inlineStr">
        <is>
          <t>Evan</t>
        </is>
      </c>
      <c r="G2386" t="inlineStr">
        <is>
          <t>Customer</t>
        </is>
      </c>
      <c r="H2386" s="2" t="str">
        <f>=HYPERLINK("https://upbox.ajobthing.my/customer/202990", "https://upbox.ajobthing.my/customer/202990")</f>
        <v>https://upbox.ajobthing.my/customer/202990</v>
      </c>
      <c r="I2386" t="inlineStr">
        <is>
          <t>Nice Daily Necessities Malaysia</t>
        </is>
      </c>
      <c r="J2386" t="inlineStr">
        <is>
          <t>Dolphin</t>
        </is>
      </c>
      <c r="K2386" t="inlineStr">
        <is>
          <t>Evan</t>
        </is>
      </c>
      <c r="L2386" s="4"/>
      <c r="M2386" s="4">
        <v>46120.619097222225</v>
      </c>
      <c r="N2386"/>
      <c r="O2386">
        <v>6048</v>
      </c>
      <c r="P2386" s="4"/>
      <c r="Q2386" s="4">
        <v>46120.60891203704</v>
      </c>
      <c r="R2386"/>
      <c r="S2386">
        <v>0</v>
      </c>
      <c r="T2386" s="4"/>
      <c r="U2386" s="4"/>
      <c r="V2386"/>
      <c r="W2386"/>
      <c r="X2386"/>
      <c r="Y2386" t="inlineStr">
        <is>
          <t>Pending Appointment</t>
        </is>
      </c>
      <c r="Z2386" t="inlineStr">
        <is>
          <t>Hiring Now</t>
        </is>
      </c>
      <c r="AA2386">
        <v>1</v>
      </c>
      <c r="AB2386" t="inlineStr">
        <is>
          <t>No Appointment Made</t>
        </is>
      </c>
      <c r="AC2386"/>
      <c r="AD2386" t="inlineStr">
        <is>
          <t>1 admin, all base in KL</t>
        </is>
      </c>
      <c r="AE2386"/>
      <c r="AF2386">
        <v>1</v>
      </c>
      <c r="AG2386" s="4"/>
      <c r="AH2386" s="4"/>
      <c r="AI2386">
        <v>1</v>
      </c>
      <c r="AJ2386">
        <v>1</v>
      </c>
      <c r="AK2386" t="inlineStr">
        <is>
          <t>No, I don't need at all</t>
        </is>
      </c>
      <c r="AL2386">
        <v>0</v>
      </c>
      <c r="AM2386" t="inlineStr">
        <is>
          <t>No, I don't need at all</t>
        </is>
      </c>
      <c r="AN2386"/>
      <c r="AO2386" t="inlineStr">
        <is>
          <t>No, I don't need at all</t>
        </is>
      </c>
      <c r="AP2386" t="inlineStr">
        <is>
          <t>Once a year (25%)</t>
        </is>
      </c>
      <c r="AQ2386">
        <v>1</v>
      </c>
      <c r="AR2386" t="inlineStr">
        <is>
          <t>Jobstreet</t>
        </is>
      </c>
      <c r="AS2386"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AT2386">
        <v>115</v>
      </c>
      <c r="AU2386" t="inlineStr">
        <is>
          <t>1.15</t>
        </is>
      </c>
      <c r="AV2386" t="inlineStr">
        <is>
          <t>15</t>
        </is>
      </c>
      <c r="AW2386" t="inlineStr">
        <is>
          <t>0</t>
        </is>
      </c>
      <c r="AX2386" t="inlineStr">
        <is>
          <t>Not Qualified</t>
        </is>
      </c>
      <c r="AY2386" s="4"/>
      <c r="AZ2386"/>
      <c r="BA2386"/>
      <c r="BB2386"/>
      <c r="BC2386" t="inlineStr">
        <is>
          <t>lost</t>
        </is>
      </c>
      <c r="BD2386" s="4">
        <v>46126.57346064815</v>
      </c>
      <c r="BE2386" t="inlineStr">
        <is>
          <t>paid</t>
        </is>
      </c>
      <c r="BF2386"/>
      <c r="BG2386" t="inlineStr">
        <is>
          <t>Reschedule</t>
        </is>
      </c>
      <c r="BH2386" t="inlineStr">
        <is>
          <t>Edward Hoo</t>
        </is>
      </c>
      <c r="BI2386"/>
      <c r="BJ2386" s="4">
        <v>46144.75418981481</v>
      </c>
      <c r="BK2386" s="4">
        <v>46120.60789351852</v>
      </c>
      <c r="BL2386" t="inlineStr">
        <is>
          <t>0.0</t>
        </is>
      </c>
      <c r="BM2386" t="inlineStr">
        <is>
          <t>1200.0</t>
        </is>
      </c>
      <c r="BN2386" t="inlineStr">
        <is>
          <t>User Visit(Logged In)</t>
        </is>
      </c>
      <c r="BO2386" s="4">
        <v>46120.60796296296</v>
      </c>
      <c r="BP2386">
        <v>165937</v>
      </c>
      <c r="BQ2386">
        <v>120962</v>
      </c>
      <c r="BR2386" t="inlineStr">
        <is>
          <t>Proforma</t>
        </is>
      </c>
      <c r="BS2386" t="inlineStr">
        <is>
          <t>Free Part-Time Job</t>
        </is>
      </c>
      <c r="BT2386"/>
      <c r="BU2386"/>
      <c r="BV2386">
        <v>2703476</v>
      </c>
      <c r="BW2386" t="inlineStr">
        <is>
          <t>Follow Up : Lost - Free Portal</t>
        </is>
      </c>
      <c r="BX2386"/>
      <c r="BY2386"/>
      <c r="BZ2386" s="4"/>
      <c r="CA2386"/>
      <c r="CB2386"/>
      <c r="CC2386" s="4"/>
      <c r="CD2386" t="inlineStr">
        <is>
          <t>20</t>
        </is>
      </c>
      <c r="CE2386" t="inlineStr">
        <is>
          <t>0</t>
        </is>
      </c>
      <c r="CF2386" t="inlineStr">
        <is>
          <t>Q2-W01</t>
        </is>
      </c>
      <c r="CG2386" t="inlineStr">
        <is>
          <t>Q2-W01</t>
        </is>
      </c>
      <c r="CH2386"/>
      <c r="CI2386"/>
      <c r="CJ2386" t="inlineStr">
        <is>
          <t>No Paid</t>
        </is>
      </c>
      <c r="CK2386" t="inlineStr">
        <is>
          <t>Not Eligible</t>
        </is>
      </c>
      <c r="CL2386"/>
      <c r="CM2386"/>
    </row>
    <row r="2387" ht="25.5" customHeight="1">
      <c r="A2387" t="inlineStr">
        <is>
          <t>142357</t>
        </is>
      </c>
      <c r="B2387" s="2"/>
      <c r="C2387"/>
      <c r="D2387" s="3">
        <v>46120.61975694444</v>
      </c>
      <c r="E2387" t="inlineStr">
        <is>
          <t>Q2-W01</t>
        </is>
      </c>
      <c r="F2387" t="inlineStr">
        <is>
          <t>Keegan</t>
        </is>
      </c>
      <c r="G2387" t="inlineStr">
        <is>
          <t>Customer</t>
        </is>
      </c>
      <c r="H2387" s="2" t="str">
        <f>=HYPERLINK("https://upbox.ajobthing.my/customer/142357", "https://upbox.ajobthing.my/customer/142357")</f>
        <v>https://upbox.ajobthing.my/customer/142357</v>
      </c>
      <c r="I2387" t="inlineStr">
        <is>
          <t>Viva Kids Education Center</t>
        </is>
      </c>
      <c r="J2387" t="inlineStr">
        <is>
          <t>Dolphin</t>
        </is>
      </c>
      <c r="K2387" t="inlineStr">
        <is>
          <t>Keegan</t>
        </is>
      </c>
      <c r="L2387" s="4"/>
      <c r="M2387" s="4">
        <v>46120.61991898148</v>
      </c>
      <c r="N2387"/>
      <c r="O2387">
        <v>6048</v>
      </c>
      <c r="P2387" s="4"/>
      <c r="Q2387" s="4">
        <v>46120.54210648148</v>
      </c>
      <c r="R2387"/>
      <c r="S2387">
        <v>0</v>
      </c>
      <c r="T2387" s="4"/>
      <c r="U2387" s="4"/>
      <c r="V2387"/>
      <c r="W2387"/>
      <c r="X2387"/>
      <c r="Y2387" t="inlineStr">
        <is>
          <t>Pending Appointment</t>
        </is>
      </c>
      <c r="Z2387" t="inlineStr">
        <is>
          <t>Hiring Now</t>
        </is>
      </c>
      <c r="AA2387">
        <v>2</v>
      </c>
      <c r="AB2387" t="inlineStr">
        <is>
          <t>No Appointment Made</t>
        </is>
      </c>
      <c r="AC2387"/>
      <c r="AD2387" t="inlineStr">
        <is>
          <t xml:space="preserve">1. Teacher 
2. Helper </t>
        </is>
      </c>
      <c r="AE2387"/>
      <c r="AF2387"/>
      <c r="AG2387" s="4"/>
      <c r="AH2387" s="4"/>
      <c r="AI2387"/>
      <c r="AJ2387">
        <v>1</v>
      </c>
      <c r="AK2387" t="inlineStr">
        <is>
          <t>No, I don't need at all</t>
        </is>
      </c>
      <c r="AL2387">
        <v>0</v>
      </c>
      <c r="AM2387" t="inlineStr">
        <is>
          <t>No, I don't need at all</t>
        </is>
      </c>
      <c r="AN2387"/>
      <c r="AO2387" t="inlineStr">
        <is>
          <t>No, I don't need at all</t>
        </is>
      </c>
      <c r="AP2387" t="inlineStr">
        <is>
          <t>Once per quarter (75%)</t>
        </is>
      </c>
      <c r="AQ2387"/>
      <c r="AR2387" t="inlineStr">
        <is>
          <t>Did not use any job portal</t>
        </is>
      </c>
      <c r="AS2387" t="inlineStr">
        <is>
          <t>- Headcount: 2
- Hiring Job Details: 1. Teacher 2. Helper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387">
        <v>75</v>
      </c>
      <c r="AU2387" t="inlineStr">
        <is>
          <t>0.75</t>
        </is>
      </c>
      <c r="AV2387" t="inlineStr">
        <is>
          <t>5</t>
        </is>
      </c>
      <c r="AW2387" t="inlineStr">
        <is>
          <t>0</t>
        </is>
      </c>
      <c r="AX2387" t="inlineStr">
        <is>
          <t>Not Qualified</t>
        </is>
      </c>
      <c r="AY2387" s="4"/>
      <c r="AZ2387"/>
      <c r="BA2387"/>
      <c r="BB2387"/>
      <c r="BC2387" t="inlineStr">
        <is>
          <t>- Headcount: 2
- Hiring Job Details: 1. Teacher 2. Helper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387" s="4">
        <v>46120.6250462963</v>
      </c>
      <c r="BE2387" t="inlineStr">
        <is>
          <t>paid</t>
        </is>
      </c>
      <c r="BF2387"/>
      <c r="BG2387" t="inlineStr">
        <is>
          <t>Reschedule</t>
        </is>
      </c>
      <c r="BH2387" t="inlineStr">
        <is>
          <t>Edward Hoo</t>
        </is>
      </c>
      <c r="BI2387" t="inlineStr">
        <is>
          <t>Education / Training</t>
        </is>
      </c>
      <c r="BJ2387" s="4">
        <v>46144.75069444445</v>
      </c>
      <c r="BK2387" s="4">
        <v>44486.93890046296</v>
      </c>
      <c r="BL2387" t="inlineStr">
        <is>
          <t>0.0</t>
        </is>
      </c>
      <c r="BM2387" t="inlineStr">
        <is>
          <t>0.0</t>
        </is>
      </c>
      <c r="BN2387" t="inlineStr">
        <is>
          <t>View Job Applicants Page</t>
        </is>
      </c>
      <c r="BO2387" s="4">
        <v>44486.946921296294</v>
      </c>
      <c r="BP2387">
        <v>165938</v>
      </c>
      <c r="BQ2387">
        <v>120908</v>
      </c>
      <c r="BR2387" t="inlineStr">
        <is>
          <t>Proforma</t>
        </is>
      </c>
      <c r="BS2387" t="inlineStr">
        <is>
          <t>Free High Pay Job</t>
        </is>
      </c>
      <c r="BT2387"/>
      <c r="BU2387"/>
      <c r="BV2387">
        <v>2692809</v>
      </c>
      <c r="BW2387" t="inlineStr">
        <is>
          <t>Customer Inquiry</t>
        </is>
      </c>
      <c r="BX2387"/>
      <c r="BY2387"/>
      <c r="BZ2387" s="4"/>
      <c r="CA2387"/>
      <c r="CB2387"/>
      <c r="CC2387" s="4"/>
      <c r="CD2387" t="inlineStr">
        <is>
          <t>5</t>
        </is>
      </c>
      <c r="CE2387" t="inlineStr">
        <is>
          <t>0</t>
        </is>
      </c>
      <c r="CF2387" t="inlineStr">
        <is>
          <t>Q2-W01</t>
        </is>
      </c>
      <c r="CG2387" t="inlineStr">
        <is>
          <t>Q2-W01</t>
        </is>
      </c>
      <c r="CH2387"/>
      <c r="CI2387"/>
      <c r="CJ2387" t="inlineStr">
        <is>
          <t>No Paid</t>
        </is>
      </c>
      <c r="CK2387" t="inlineStr">
        <is>
          <t>Not Eligible</t>
        </is>
      </c>
      <c r="CL2387"/>
      <c r="CM2387"/>
    </row>
    <row r="2388" ht="25.5" customHeight="1">
      <c r="A2388" t="inlineStr">
        <is>
          <t>202770</t>
        </is>
      </c>
      <c r="B2388" s="2"/>
      <c r="C2388"/>
      <c r="D2388" s="3">
        <v>46120.622766203705</v>
      </c>
      <c r="E2388" t="inlineStr">
        <is>
          <t>Q2-W01</t>
        </is>
      </c>
      <c r="F2388" t="inlineStr">
        <is>
          <t>Josh</t>
        </is>
      </c>
      <c r="G2388" t="inlineStr">
        <is>
          <t>Customer</t>
        </is>
      </c>
      <c r="H2388" s="2" t="str">
        <f>=HYPERLINK("https://upbox.ajobthing.my/customer/202770", "https://upbox.ajobthing.my/customer/202770")</f>
        <v>https://upbox.ajobthing.my/customer/202770</v>
      </c>
      <c r="I2388" t="inlineStr">
        <is>
          <t>Work At Cloud Sdn Bhd</t>
        </is>
      </c>
      <c r="J2388" t="inlineStr">
        <is>
          <t>Dolphin</t>
        </is>
      </c>
      <c r="K2388" t="inlineStr">
        <is>
          <t>Josh</t>
        </is>
      </c>
      <c r="L2388" s="4"/>
      <c r="M2388" s="4">
        <v>46120.62342592593</v>
      </c>
      <c r="N2388"/>
      <c r="O2388">
        <v>3888</v>
      </c>
      <c r="P2388" s="4"/>
      <c r="Q2388" s="4">
        <v>46115.42350694445</v>
      </c>
      <c r="R2388"/>
      <c r="S2388">
        <v>0</v>
      </c>
      <c r="T2388" s="4"/>
      <c r="U2388" s="4"/>
      <c r="V2388"/>
      <c r="W2388"/>
      <c r="X2388"/>
      <c r="Y2388" t="inlineStr">
        <is>
          <t>Pending Appointment</t>
        </is>
      </c>
      <c r="Z2388" t="inlineStr">
        <is>
          <t>Hiring Now</t>
        </is>
      </c>
      <c r="AA2388">
        <v>0</v>
      </c>
      <c r="AB2388" t="inlineStr">
        <is>
          <t>No Appointment Made</t>
        </is>
      </c>
      <c r="AC2388"/>
      <c r="AD2388" t="inlineStr">
        <is>
          <t xml:space="preserve">1 Hr </t>
        </is>
      </c>
      <c r="AE2388"/>
      <c r="AF2388">
        <v>3000</v>
      </c>
      <c r="AG2388" s="4"/>
      <c r="AH2388" s="4"/>
      <c r="AI2388"/>
      <c r="AJ2388"/>
      <c r="AK2388" t="inlineStr">
        <is>
          <t>Yes, I have</t>
        </is>
      </c>
      <c r="AL2388"/>
      <c r="AM2388"/>
      <c r="AN2388"/>
      <c r="AO2388"/>
      <c r="AP2388" t="inlineStr">
        <is>
          <t>Once a year (25%)</t>
        </is>
      </c>
      <c r="AQ2388"/>
      <c r="AR2388"/>
      <c r="AS2388" t="inlineStr">
        <is>
          <t>- Headcount: 0
- Hiring Job Details: 1 Hr
- Hiring Urgency: Hiring Now
- Number of outlets: Not available
- Have recruiter team: Yes, I have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2388">
        <v>40</v>
      </c>
      <c r="AU2388" t="inlineStr">
        <is>
          <t>0.40</t>
        </is>
      </c>
      <c r="AV2388" t="inlineStr">
        <is>
          <t>15</t>
        </is>
      </c>
      <c r="AW2388" t="inlineStr">
        <is>
          <t>0</t>
        </is>
      </c>
      <c r="AX2388" t="inlineStr">
        <is>
          <t>Not Qualified</t>
        </is>
      </c>
      <c r="AY2388" s="4"/>
      <c r="AZ2388"/>
      <c r="BA2388"/>
      <c r="BB2388"/>
      <c r="BC2388" t="inlineStr">
        <is>
          <t>driving now</t>
        </is>
      </c>
      <c r="BD2388" s="4">
        <v>46126.51657407408</v>
      </c>
      <c r="BE2388" t="inlineStr">
        <is>
          <t>paid</t>
        </is>
      </c>
      <c r="BF2388"/>
      <c r="BG2388" t="inlineStr">
        <is>
          <t>Reschedule</t>
        </is>
      </c>
      <c r="BH2388" t="inlineStr">
        <is>
          <t>Fauziah Maharan</t>
        </is>
      </c>
      <c r="BI2388" t="inlineStr">
        <is>
          <t>IT / Software</t>
        </is>
      </c>
      <c r="BJ2388" s="4">
        <v>46144.75412037037</v>
      </c>
      <c r="BK2388" s="4">
        <v>46115.4228125</v>
      </c>
      <c r="BL2388" t="inlineStr">
        <is>
          <t>0.0</t>
        </is>
      </c>
      <c r="BM2388" t="inlineStr">
        <is>
          <t>1800.0</t>
        </is>
      </c>
      <c r="BN2388" t="inlineStr">
        <is>
          <t>View Jobmanager Page</t>
        </is>
      </c>
      <c r="BO2388" s="4">
        <v>46118.415717592594</v>
      </c>
      <c r="BP2388">
        <v>165940</v>
      </c>
      <c r="BQ2388">
        <v>119764</v>
      </c>
      <c r="BR2388" t="inlineStr">
        <is>
          <t>Proforma</t>
        </is>
      </c>
      <c r="BS2388" t="inlineStr">
        <is>
          <t>Free Freelance Job</t>
        </is>
      </c>
      <c r="BT2388"/>
      <c r="BU2388"/>
      <c r="BV2388">
        <v>2703312</v>
      </c>
      <c r="BW2388" t="inlineStr">
        <is>
          <t>Follow Up : Decision Pending</t>
        </is>
      </c>
      <c r="BX2388"/>
      <c r="BY2388"/>
      <c r="BZ2388" s="4"/>
      <c r="CA2388"/>
      <c r="CB2388"/>
      <c r="CC2388" s="4"/>
      <c r="CD2388" t="inlineStr">
        <is>
          <t>20</t>
        </is>
      </c>
      <c r="CE2388" t="inlineStr">
        <is>
          <t>0</t>
        </is>
      </c>
      <c r="CF2388" t="inlineStr">
        <is>
          <t>Q2-W01</t>
        </is>
      </c>
      <c r="CG2388" t="inlineStr">
        <is>
          <t>Q2-W01</t>
        </is>
      </c>
      <c r="CH2388"/>
      <c r="CI2388"/>
      <c r="CJ2388" t="inlineStr">
        <is>
          <t>No Paid</t>
        </is>
      </c>
      <c r="CK2388" t="inlineStr">
        <is>
          <t>Not Eligible</t>
        </is>
      </c>
      <c r="CL2388"/>
      <c r="CM2388"/>
    </row>
    <row r="2389" ht="25.5" customHeight="1">
      <c r="A2389" t="inlineStr">
        <is>
          <t>130099</t>
        </is>
      </c>
      <c r="B2389" s="2"/>
      <c r="C2389"/>
      <c r="D2389" s="3">
        <v>46120.62762731482</v>
      </c>
      <c r="E2389" t="inlineStr">
        <is>
          <t>Q2-W01</t>
        </is>
      </c>
      <c r="F2389" t="inlineStr">
        <is>
          <t>Carmen</t>
        </is>
      </c>
      <c r="G2389" t="inlineStr">
        <is>
          <t>Customer</t>
        </is>
      </c>
      <c r="H2389" s="2" t="str">
        <f>=HYPERLINK("https://upbox.ajobthing.my/customer/130099", "https://upbox.ajobthing.my/customer/130099")</f>
        <v>https://upbox.ajobthing.my/customer/130099</v>
      </c>
      <c r="I2389" t="inlineStr">
        <is>
          <t>Afta Motor Sdn Bhd</t>
        </is>
      </c>
      <c r="J2389" t="inlineStr">
        <is>
          <t>Dolphin</t>
        </is>
      </c>
      <c r="K2389" t="inlineStr">
        <is>
          <t>Carmen</t>
        </is>
      </c>
      <c r="L2389" s="4"/>
      <c r="M2389" s="4">
        <v>46120.62777777778</v>
      </c>
      <c r="N2389"/>
      <c r="O2389">
        <v>3888</v>
      </c>
      <c r="P2389" s="4"/>
      <c r="Q2389" s="4">
        <v>45649.60934027778</v>
      </c>
      <c r="R2389"/>
      <c r="S2389">
        <v>1296</v>
      </c>
      <c r="T2389" s="4">
        <v>45649.60934027778</v>
      </c>
      <c r="U2389" s="4"/>
      <c r="V2389"/>
      <c r="W2389">
        <v>1296</v>
      </c>
      <c r="X2389"/>
      <c r="Y2389" t="inlineStr">
        <is>
          <t>Pending Appointment</t>
        </is>
      </c>
      <c r="Z2389" t="inlineStr">
        <is>
          <t>Hiring Later</t>
        </is>
      </c>
      <c r="AA2389">
        <v>1</v>
      </c>
      <c r="AB2389" t="inlineStr">
        <is>
          <t>No Appointment Made</t>
        </is>
      </c>
      <c r="AC2389"/>
      <c r="AD2389" t="inlineStr">
        <is>
          <t>1 videographer</t>
        </is>
      </c>
      <c r="AE2389"/>
      <c r="AF2389">
        <v>0</v>
      </c>
      <c r="AG2389" s="4"/>
      <c r="AH2389" s="4"/>
      <c r="AI2389"/>
      <c r="AJ2389"/>
      <c r="AK2389"/>
      <c r="AL2389"/>
      <c r="AM2389"/>
      <c r="AN2389"/>
      <c r="AO2389"/>
      <c r="AP2389" t="inlineStr">
        <is>
          <t>Once a year (25%)</t>
        </is>
      </c>
      <c r="AQ2389"/>
      <c r="AR2389"/>
      <c r="AS2389" t="inlineStr">
        <is>
          <t>- Headcount: 1
- Hiring Job Details: 1 videographer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2389">
        <v>70</v>
      </c>
      <c r="AU2389" t="inlineStr">
        <is>
          <t>0.70</t>
        </is>
      </c>
      <c r="AV2389" t="inlineStr">
        <is>
          <t>15</t>
        </is>
      </c>
      <c r="AW2389" t="inlineStr">
        <is>
          <t>0</t>
        </is>
      </c>
      <c r="AX2389" t="inlineStr">
        <is>
          <t>Not Qualified</t>
        </is>
      </c>
      <c r="AY2389" s="4"/>
      <c r="AZ2389"/>
      <c r="BA2389"/>
      <c r="BB2389"/>
      <c r="BC2389" t="inlineStr">
        <is>
          <t>- Headcount: 1
- Hiring Job Details: 1 videographer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BD2389" s="4">
        <v>46120.66670138889</v>
      </c>
      <c r="BE2389" t="inlineStr">
        <is>
          <t>paid</t>
        </is>
      </c>
      <c r="BF2389"/>
      <c r="BG2389" t="inlineStr">
        <is>
          <t>Reschedule</t>
        </is>
      </c>
      <c r="BH2389" t="inlineStr">
        <is>
          <t>Reagen</t>
        </is>
      </c>
      <c r="BI2389" t="inlineStr">
        <is>
          <t>Automobile / Automotive</t>
        </is>
      </c>
      <c r="BJ2389" s="4">
        <v>46144.750451388885</v>
      </c>
      <c r="BK2389" s="4">
        <v>44094.95130787037</v>
      </c>
      <c r="BL2389" t="inlineStr">
        <is>
          <t>0.0</t>
        </is>
      </c>
      <c r="BM2389" t="inlineStr">
        <is>
          <t>0.0</t>
        </is>
      </c>
      <c r="BN2389" t="inlineStr">
        <is>
          <t>View Candidate Search Page</t>
        </is>
      </c>
      <c r="BO2389" s="4">
        <v>45750.713541666664</v>
      </c>
      <c r="BP2389">
        <v>165945</v>
      </c>
      <c r="BQ2389">
        <v>75586</v>
      </c>
      <c r="BR2389" t="inlineStr">
        <is>
          <t>Online</t>
        </is>
      </c>
      <c r="BS2389"/>
      <c r="BT2389">
        <v>75586</v>
      </c>
      <c r="BU2389"/>
      <c r="BV2389">
        <v>2693289</v>
      </c>
      <c r="BW2389" t="inlineStr">
        <is>
          <t>Customer Inquiry</t>
        </is>
      </c>
      <c r="BX2389"/>
      <c r="BY2389"/>
      <c r="BZ2389" s="4"/>
      <c r="CA2389"/>
      <c r="CB2389"/>
      <c r="CC2389" s="4"/>
      <c r="CD2389" t="inlineStr">
        <is>
          <t>20</t>
        </is>
      </c>
      <c r="CE2389" t="inlineStr">
        <is>
          <t>0</t>
        </is>
      </c>
      <c r="CF2389" t="inlineStr">
        <is>
          <t>Q2-W01</t>
        </is>
      </c>
      <c r="CG2389"/>
      <c r="CH2389"/>
      <c r="CI2389"/>
      <c r="CJ2389" t="inlineStr">
        <is>
          <t>Paid</t>
        </is>
      </c>
      <c r="CK2389" t="inlineStr">
        <is>
          <t>Not Eligible</t>
        </is>
      </c>
      <c r="CL2389"/>
      <c r="CM2389"/>
    </row>
    <row r="2390" ht="25.5" customHeight="1">
      <c r="A2390" t="inlineStr">
        <is>
          <t>141324</t>
        </is>
      </c>
      <c r="B2390" s="2"/>
      <c r="C2390"/>
      <c r="D2390" s="3">
        <v>46120.628703703704</v>
      </c>
      <c r="E2390" t="inlineStr">
        <is>
          <t>Q2-W01</t>
        </is>
      </c>
      <c r="F2390" t="inlineStr">
        <is>
          <t>Dickson</t>
        </is>
      </c>
      <c r="G2390" t="inlineStr">
        <is>
          <t>Customer</t>
        </is>
      </c>
      <c r="H2390" s="2" t="str">
        <f>=HYPERLINK("https://upbox.ajobthing.my/customer/141324", "https://upbox.ajobthing.my/customer/141324")</f>
        <v>https://upbox.ajobthing.my/customer/141324</v>
      </c>
      <c r="I2390" t="inlineStr">
        <is>
          <t>Ventronix Sdn Bhd</t>
        </is>
      </c>
      <c r="J2390" t="inlineStr">
        <is>
          <t>Dolphin</t>
        </is>
      </c>
      <c r="K2390" t="inlineStr">
        <is>
          <t>Dickson</t>
        </is>
      </c>
      <c r="L2390" s="4"/>
      <c r="M2390" s="4">
        <v>46120.628969907404</v>
      </c>
      <c r="N2390"/>
      <c r="O2390">
        <v>5508</v>
      </c>
      <c r="P2390" s="4"/>
      <c r="Q2390" s="4">
        <v>45632.7502662037</v>
      </c>
      <c r="R2390"/>
      <c r="S2390">
        <v>1512</v>
      </c>
      <c r="T2390" s="4">
        <v>45632.7502662037</v>
      </c>
      <c r="U2390" s="4"/>
      <c r="V2390"/>
      <c r="W2390">
        <v>1512</v>
      </c>
      <c r="X2390"/>
      <c r="Y2390" t="inlineStr">
        <is>
          <t>Pending Appointment</t>
        </is>
      </c>
      <c r="Z2390" t="inlineStr">
        <is>
          <t>Hiring Now</t>
        </is>
      </c>
      <c r="AA2390">
        <v>3</v>
      </c>
      <c r="AB2390" t="inlineStr">
        <is>
          <t>No Appointment Made</t>
        </is>
      </c>
      <c r="AC2390"/>
      <c r="AD2390" t="inlineStr">
        <is>
          <t>hiring more than 3 positions</t>
        </is>
      </c>
      <c r="AE2390"/>
      <c r="AF2390"/>
      <c r="AG2390" s="4"/>
      <c r="AH2390" s="4"/>
      <c r="AI2390"/>
      <c r="AJ2390">
        <v>1</v>
      </c>
      <c r="AK2390" t="inlineStr">
        <is>
          <t>No, I don't need at all</t>
        </is>
      </c>
      <c r="AL2390"/>
      <c r="AM2390" t="inlineStr">
        <is>
          <t>No, I don't need at all</t>
        </is>
      </c>
      <c r="AN2390"/>
      <c r="AO2390" t="inlineStr">
        <is>
          <t>No, I don't need at all</t>
        </is>
      </c>
      <c r="AP2390" t="inlineStr">
        <is>
          <t>Once per quarter (75%)</t>
        </is>
      </c>
      <c r="AQ2390"/>
      <c r="AR2390"/>
      <c r="AS2390" t="inlineStr">
        <is>
          <t>- Headcount: 3
- Hiring Job Details: hiring more than 3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390">
        <v>50</v>
      </c>
      <c r="AU2390" t="inlineStr">
        <is>
          <t>0.50</t>
        </is>
      </c>
      <c r="AV2390" t="inlineStr">
        <is>
          <t>5</t>
        </is>
      </c>
      <c r="AW2390" t="inlineStr">
        <is>
          <t>0</t>
        </is>
      </c>
      <c r="AX2390" t="inlineStr">
        <is>
          <t>Not Qualified</t>
        </is>
      </c>
      <c r="AY2390" s="4"/>
      <c r="AZ2390"/>
      <c r="BA2390"/>
      <c r="BB2390"/>
      <c r="BC2390" t="inlineStr">
        <is>
          <t>dont wish to proceeed</t>
        </is>
      </c>
      <c r="BD2390" s="4">
        <v>46126.62734953704</v>
      </c>
      <c r="BE2390" t="inlineStr">
        <is>
          <t>paid</t>
        </is>
      </c>
      <c r="BF2390"/>
      <c r="BG2390" t="inlineStr">
        <is>
          <t>Reschedule</t>
        </is>
      </c>
      <c r="BH2390" t="inlineStr">
        <is>
          <t>Edward Hoo</t>
        </is>
      </c>
      <c r="BI2390" t="inlineStr">
        <is>
          <t>Electrical / Electronics</t>
        </is>
      </c>
      <c r="BJ2390" s="4">
        <v>46144.75067129629</v>
      </c>
      <c r="BK2390" s="4">
        <v>44467.43363425926</v>
      </c>
      <c r="BL2390" t="inlineStr">
        <is>
          <t>0.0</t>
        </is>
      </c>
      <c r="BM2390" t="inlineStr">
        <is>
          <t>0.0</t>
        </is>
      </c>
      <c r="BN2390" t="inlineStr">
        <is>
          <t>View Jobmanager Page</t>
        </is>
      </c>
      <c r="BO2390" s="4">
        <v>45874.351793981485</v>
      </c>
      <c r="BP2390">
        <v>165946</v>
      </c>
      <c r="BQ2390">
        <v>75221</v>
      </c>
      <c r="BR2390" t="inlineStr">
        <is>
          <t>Online</t>
        </is>
      </c>
      <c r="BS2390"/>
      <c r="BT2390">
        <v>75221</v>
      </c>
      <c r="BU2390"/>
      <c r="BV2390">
        <v>2703836</v>
      </c>
      <c r="BW2390" t="inlineStr">
        <is>
          <t>Follow Up : Lost - Free Portal</t>
        </is>
      </c>
      <c r="BX2390"/>
      <c r="BY2390"/>
      <c r="BZ2390" s="4"/>
      <c r="CA2390"/>
      <c r="CB2390"/>
      <c r="CC2390" s="4"/>
      <c r="CD2390" t="inlineStr">
        <is>
          <t>5</t>
        </is>
      </c>
      <c r="CE2390" t="inlineStr">
        <is>
          <t>0</t>
        </is>
      </c>
      <c r="CF2390" t="inlineStr">
        <is>
          <t>Q2-W01</t>
        </is>
      </c>
      <c r="CG2390"/>
      <c r="CH2390"/>
      <c r="CI2390"/>
      <c r="CJ2390" t="inlineStr">
        <is>
          <t>Paid</t>
        </is>
      </c>
      <c r="CK2390" t="inlineStr">
        <is>
          <t>Not Eligible</t>
        </is>
      </c>
      <c r="CL2390"/>
      <c r="CM2390"/>
    </row>
    <row r="2391" ht="25.5" customHeight="1">
      <c r="A2391" t="inlineStr">
        <is>
          <t>190039</t>
        </is>
      </c>
      <c r="B2391" s="2"/>
      <c r="C2391"/>
      <c r="D2391" s="3">
        <v>46120.629965277774</v>
      </c>
      <c r="E2391" t="inlineStr">
        <is>
          <t>Q2-W01</t>
        </is>
      </c>
      <c r="F2391" t="inlineStr">
        <is>
          <t>Alex Chan</t>
        </is>
      </c>
      <c r="G2391" t="inlineStr">
        <is>
          <t>Customer</t>
        </is>
      </c>
      <c r="H2391" s="2" t="str">
        <f>=HYPERLINK("https://upbox.ajobthing.my/customer/190039", "https://upbox.ajobthing.my/customer/190039")</f>
        <v>https://upbox.ajobthing.my/customer/190039</v>
      </c>
      <c r="I2391" t="inlineStr">
        <is>
          <t>Ideo Production</t>
        </is>
      </c>
      <c r="J2391" t="inlineStr">
        <is>
          <t>Dolphin</t>
        </is>
      </c>
      <c r="K2391" t="inlineStr">
        <is>
          <t>Alex Chan</t>
        </is>
      </c>
      <c r="L2391" s="4"/>
      <c r="M2391" s="4">
        <v>46112.39357638889</v>
      </c>
      <c r="N2391"/>
      <c r="O2391">
        <v>3672</v>
      </c>
      <c r="P2391" s="4"/>
      <c r="Q2391" s="4">
        <v>46120.64105324074</v>
      </c>
      <c r="R2391"/>
      <c r="S2391">
        <v>3672</v>
      </c>
      <c r="T2391" s="4">
        <v>46120.64105324074</v>
      </c>
      <c r="U2391" s="4"/>
      <c r="V2391"/>
      <c r="W2391">
        <v>3672</v>
      </c>
      <c r="X2391"/>
      <c r="Y2391" t="inlineStr">
        <is>
          <t>Pending Appointment</t>
        </is>
      </c>
      <c r="Z2391" t="inlineStr">
        <is>
          <t>Hiring Now</t>
        </is>
      </c>
      <c r="AA2391">
        <v>1</v>
      </c>
      <c r="AB2391" t="inlineStr">
        <is>
          <t>No Appointment Made</t>
        </is>
      </c>
      <c r="AC2391"/>
      <c r="AD2391" t="inlineStr">
        <is>
          <t>1x VFX Generalist</t>
        </is>
      </c>
      <c r="AE2391"/>
      <c r="AF2391">
        <v>3400</v>
      </c>
      <c r="AG2391" s="4"/>
      <c r="AH2391" s="4"/>
      <c r="AI2391">
        <v>3400</v>
      </c>
      <c r="AJ2391">
        <v>1</v>
      </c>
      <c r="AK2391" t="inlineStr">
        <is>
          <t>No, I don't need at all</t>
        </is>
      </c>
      <c r="AL2391">
        <v>1</v>
      </c>
      <c r="AM2391" t="inlineStr">
        <is>
          <t>No, I don't need at all</t>
        </is>
      </c>
      <c r="AN2391"/>
      <c r="AO2391" t="inlineStr">
        <is>
          <t>No, I don't need at all</t>
        </is>
      </c>
      <c r="AP2391" t="inlineStr">
        <is>
          <t>Once a year (25%)</t>
        </is>
      </c>
      <c r="AQ2391">
        <v>1</v>
      </c>
      <c r="AR2391" t="inlineStr">
        <is>
          <t>Free Job Portal</t>
        </is>
      </c>
      <c r="AS2391" t="inlineStr">
        <is>
          <t>- Headcount: 1
- Hiring Job Details: 1x VFX Generalist
- Hiring Urgency: Hiring Now
- Number of outlets: 1
- Have recruiter team: No, I don't need at all
- Number of recruiter in company: 1
- Have ATS system: No, I don't need at all
- Have career website: No, I don't need at all
- Current hiring budget: RM3,400
- Whole year budget: RM3,400.00
- Whole year number of vacancies: 1
- Hiring frequency: Once a year (25%)
- External job portal: Free Job Portal</t>
        </is>
      </c>
      <c r="AT2391">
        <v>115</v>
      </c>
      <c r="AU2391" t="inlineStr">
        <is>
          <t>1.15</t>
        </is>
      </c>
      <c r="AV2391" t="inlineStr">
        <is>
          <t>15</t>
        </is>
      </c>
      <c r="AW2391" t="inlineStr">
        <is>
          <t>0</t>
        </is>
      </c>
      <c r="AX2391" t="inlineStr">
        <is>
          <t>Not Qualified</t>
        </is>
      </c>
      <c r="AY2391" s="4"/>
      <c r="AZ2391"/>
      <c r="BA2391"/>
      <c r="BB2391"/>
      <c r="BC2391" t="inlineStr">
        <is>
          <t>call back later</t>
        </is>
      </c>
      <c r="BD2391" s="4">
        <v>46139.577314814815</v>
      </c>
      <c r="BE2391" t="inlineStr">
        <is>
          <t>paid</t>
        </is>
      </c>
      <c r="BF2391" t="inlineStr">
        <is>
          <t>Q2-W01</t>
        </is>
      </c>
      <c r="BG2391" t="inlineStr">
        <is>
          <t>Reschedule</t>
        </is>
      </c>
      <c r="BH2391" t="inlineStr">
        <is>
          <t>Reagen</t>
        </is>
      </c>
      <c r="BI2391" t="inlineStr">
        <is>
          <t>Arts / Design / Fashion</t>
        </is>
      </c>
      <c r="BJ2391" s="4">
        <v>46144.75234953704</v>
      </c>
      <c r="BK2391" s="4">
        <v>45762.536215277774</v>
      </c>
      <c r="BL2391" t="inlineStr">
        <is>
          <t>3672.0</t>
        </is>
      </c>
      <c r="BM2391" t="inlineStr">
        <is>
          <t>450.0</t>
        </is>
      </c>
      <c r="BN2391" t="inlineStr">
        <is>
          <t>User Login</t>
        </is>
      </c>
      <c r="BO2391" s="4">
        <v>46144.72114583333</v>
      </c>
      <c r="BP2391">
        <v>164371</v>
      </c>
      <c r="BQ2391">
        <v>92169</v>
      </c>
      <c r="BR2391" t="inlineStr">
        <is>
          <t>Online</t>
        </is>
      </c>
      <c r="BS2391"/>
      <c r="BT2391">
        <v>92169</v>
      </c>
      <c r="BU2391"/>
      <c r="BV2391">
        <v>2729492</v>
      </c>
      <c r="BW2391" t="inlineStr">
        <is>
          <t>No Answer : Voicemail - WA sent to customer</t>
        </is>
      </c>
      <c r="BX2391">
        <v>8</v>
      </c>
      <c r="BY2391">
        <v>3</v>
      </c>
      <c r="BZ2391" s="4">
        <v>46132.766909722224</v>
      </c>
      <c r="CA2391">
        <v>73</v>
      </c>
      <c r="CB2391">
        <v>54</v>
      </c>
      <c r="CC2391" s="4">
        <v>46143.5694212963</v>
      </c>
      <c r="CD2391" t="inlineStr">
        <is>
          <t>20</t>
        </is>
      </c>
      <c r="CE2391" t="inlineStr">
        <is>
          <t>0</t>
        </is>
      </c>
      <c r="CF2391" t="inlineStr">
        <is>
          <t>Q1-W13</t>
        </is>
      </c>
      <c r="CG2391" t="inlineStr">
        <is>
          <t>Q2-W01</t>
        </is>
      </c>
      <c r="CH2391" t="inlineStr">
        <is>
          <t>Q2-W01</t>
        </is>
      </c>
      <c r="CI2391"/>
      <c r="CJ2391" t="inlineStr">
        <is>
          <t>Paid</t>
        </is>
      </c>
      <c r="CK2391" t="inlineStr">
        <is>
          <t>Not Eligible</t>
        </is>
      </c>
      <c r="CL2391"/>
      <c r="CM2391"/>
    </row>
    <row r="2392" ht="25.5" customHeight="1">
      <c r="A2392" t="inlineStr">
        <is>
          <t>202989</t>
        </is>
      </c>
      <c r="B2392" s="2"/>
      <c r="C2392"/>
      <c r="D2392" s="3">
        <v>46120.632685185185</v>
      </c>
      <c r="E2392" t="inlineStr">
        <is>
          <t>Q2-W01</t>
        </is>
      </c>
      <c r="F2392" t="inlineStr">
        <is>
          <t>Clover</t>
        </is>
      </c>
      <c r="G2392" t="inlineStr">
        <is>
          <t>Customer</t>
        </is>
      </c>
      <c r="H2392" s="2" t="str">
        <f>=HYPERLINK("https://upbox.ajobthing.my/customer/202989", "https://upbox.ajobthing.my/customer/202989")</f>
        <v>https://upbox.ajobthing.my/customer/202989</v>
      </c>
      <c r="I2392" t="inlineStr">
        <is>
          <t>Educatte Consultancy</t>
        </is>
      </c>
      <c r="J2392" t="inlineStr">
        <is>
          <t>Dolphin</t>
        </is>
      </c>
      <c r="K2392" t="inlineStr">
        <is>
          <t>Clover</t>
        </is>
      </c>
      <c r="L2392" s="4"/>
      <c r="M2392" s="4">
        <v>46120.63295138889</v>
      </c>
      <c r="N2392"/>
      <c r="O2392">
        <v>3888</v>
      </c>
      <c r="P2392" s="4"/>
      <c r="Q2392" s="4">
        <v>46122.539351851854</v>
      </c>
      <c r="R2392"/>
      <c r="S2392">
        <v>3672</v>
      </c>
      <c r="T2392" s="4">
        <v>46122.539351851854</v>
      </c>
      <c r="U2392" s="4"/>
      <c r="V2392"/>
      <c r="W2392">
        <v>3672</v>
      </c>
      <c r="X2392"/>
      <c r="Y2392" t="inlineStr">
        <is>
          <t>Pending Appointment</t>
        </is>
      </c>
      <c r="Z2392" t="inlineStr">
        <is>
          <t>Hiring Now</t>
        </is>
      </c>
      <c r="AA2392">
        <v>1</v>
      </c>
      <c r="AB2392" t="inlineStr">
        <is>
          <t>No Appointment Made</t>
        </is>
      </c>
      <c r="AC2392"/>
      <c r="AD2392" t="inlineStr">
        <is>
          <t>Hire admin operation x1 mandarin speaker, prior min 1 year exp, promote to consultant within 1 year, future hiring teacher, education consulting, ara damansaea, hybrid, suggest stand</t>
        </is>
      </c>
      <c r="AE2392"/>
      <c r="AF2392">
        <v>3000</v>
      </c>
      <c r="AG2392" s="4"/>
      <c r="AH2392" s="4"/>
      <c r="AI2392">
        <v>3000</v>
      </c>
      <c r="AJ2392">
        <v>1</v>
      </c>
      <c r="AK2392" t="inlineStr">
        <is>
          <t>No, but I want in future</t>
        </is>
      </c>
      <c r="AL2392">
        <v>1</v>
      </c>
      <c r="AM2392" t="inlineStr">
        <is>
          <t>No, but I want in future</t>
        </is>
      </c>
      <c r="AN2392"/>
      <c r="AO2392" t="inlineStr">
        <is>
          <t>No, but I want in future</t>
        </is>
      </c>
      <c r="AP2392" t="inlineStr">
        <is>
          <t>Twice a year (50%)</t>
        </is>
      </c>
      <c r="AQ2392">
        <v>1</v>
      </c>
      <c r="AR2392" t="inlineStr">
        <is>
          <t>Did not use any job portal</t>
        </is>
      </c>
      <c r="AS2392" t="inlineStr">
        <is>
          <t>- Headcount: 1
- Hiring Job Details: 1 mandarin-speaking admin operation (min 1yr exp, promote to consultant in 1yr; future hires: teacher, education consulting; location: ara damansaea; hybrid;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None used</t>
        </is>
      </c>
      <c r="AT2392">
        <v>115</v>
      </c>
      <c r="AU2392" t="inlineStr">
        <is>
          <t>1.15</t>
        </is>
      </c>
      <c r="AV2392" t="inlineStr">
        <is>
          <t>15</t>
        </is>
      </c>
      <c r="AW2392" t="inlineStr">
        <is>
          <t>0</t>
        </is>
      </c>
      <c r="AX2392" t="inlineStr">
        <is>
          <t>Not Qualified</t>
        </is>
      </c>
      <c r="AY2392" s="4"/>
      <c r="AZ2392"/>
      <c r="BA2392"/>
      <c r="BB2392"/>
      <c r="BC2392" t="inlineStr">
        <is>
          <t>post part time</t>
        </is>
      </c>
      <c r="BD2392" s="4">
        <v>46127.40578703704</v>
      </c>
      <c r="BE2392" t="inlineStr">
        <is>
          <t>paid</t>
        </is>
      </c>
      <c r="BF2392" t="inlineStr">
        <is>
          <t>Q2-W02</t>
        </is>
      </c>
      <c r="BG2392" t="inlineStr">
        <is>
          <t>Reschedule</t>
        </is>
      </c>
      <c r="BH2392" t="inlineStr">
        <is>
          <t>Reagen</t>
        </is>
      </c>
      <c r="BI2392" t="inlineStr">
        <is>
          <t>Education / Training</t>
        </is>
      </c>
      <c r="BJ2392" s="4">
        <v>46144.75418981481</v>
      </c>
      <c r="BK2392" s="4">
        <v>46120.592453703706</v>
      </c>
      <c r="BL2392" t="inlineStr">
        <is>
          <t>3672.0</t>
        </is>
      </c>
      <c r="BM2392" t="inlineStr">
        <is>
          <t>0.0</t>
        </is>
      </c>
      <c r="BN2392" t="inlineStr">
        <is>
          <t>View Company Page</t>
        </is>
      </c>
      <c r="BO2392" s="4">
        <v>46141.48049768519</v>
      </c>
      <c r="BP2392">
        <v>165948</v>
      </c>
      <c r="BQ2392">
        <v>92810</v>
      </c>
      <c r="BR2392" t="inlineStr">
        <is>
          <t>Online</t>
        </is>
      </c>
      <c r="BS2392"/>
      <c r="BT2392">
        <v>92810</v>
      </c>
      <c r="BU2392"/>
      <c r="BV2392">
        <v>2704976</v>
      </c>
      <c r="BW2392" t="inlineStr">
        <is>
          <t>Service / Technical : Help To Post Job</t>
        </is>
      </c>
      <c r="BX2392">
        <v>7</v>
      </c>
      <c r="BY2392">
        <v>5</v>
      </c>
      <c r="BZ2392" s="4">
        <v>46127.406851851854</v>
      </c>
      <c r="CA2392">
        <v>73</v>
      </c>
      <c r="CB2392">
        <v>73</v>
      </c>
      <c r="CC2392" s="4"/>
      <c r="CD2392" t="inlineStr">
        <is>
          <t>20</t>
        </is>
      </c>
      <c r="CE2392" t="inlineStr">
        <is>
          <t>0</t>
        </is>
      </c>
      <c r="CF2392" t="inlineStr">
        <is>
          <t>Q2-W01</t>
        </is>
      </c>
      <c r="CG2392" t="inlineStr">
        <is>
          <t>Q2-W02</t>
        </is>
      </c>
      <c r="CH2392" t="inlineStr">
        <is>
          <t>Q2-W02</t>
        </is>
      </c>
      <c r="CI2392"/>
      <c r="CJ2392" t="inlineStr">
        <is>
          <t>Paid</t>
        </is>
      </c>
      <c r="CK2392" t="inlineStr">
        <is>
          <t>Not Eligible</t>
        </is>
      </c>
      <c r="CL2392"/>
      <c r="CM2392"/>
    </row>
    <row r="2393" ht="25.5" customHeight="1">
      <c r="A2393" t="inlineStr">
        <is>
          <t>144198</t>
        </is>
      </c>
      <c r="B2393" s="2"/>
      <c r="C2393"/>
      <c r="D2393" s="3">
        <v>46120.632939814815</v>
      </c>
      <c r="E2393" t="inlineStr">
        <is>
          <t>Q2-W01</t>
        </is>
      </c>
      <c r="F2393" t="inlineStr">
        <is>
          <t>Keegan</t>
        </is>
      </c>
      <c r="G2393" t="inlineStr">
        <is>
          <t>Customer</t>
        </is>
      </c>
      <c r="H2393" s="2" t="str">
        <f>=HYPERLINK("https://upbox.ajobthing.my/customer/144198", "https://upbox.ajobthing.my/customer/144198")</f>
        <v>https://upbox.ajobthing.my/customer/144198</v>
      </c>
      <c r="I2393" t="inlineStr">
        <is>
          <t>Picsson Sdn Bhd</t>
        </is>
      </c>
      <c r="J2393" t="inlineStr">
        <is>
          <t>Dolphin</t>
        </is>
      </c>
      <c r="K2393" t="inlineStr">
        <is>
          <t>Keegan</t>
        </is>
      </c>
      <c r="L2393" s="4"/>
      <c r="M2393" s="4">
        <v>46142.645462962966</v>
      </c>
      <c r="N2393"/>
      <c r="O2393">
        <v>3576.96</v>
      </c>
      <c r="P2393" s="4"/>
      <c r="Q2393" s="4">
        <v>46030.4359375</v>
      </c>
      <c r="R2393"/>
      <c r="S2393">
        <v>3348</v>
      </c>
      <c r="T2393" s="4">
        <v>46030.4359375</v>
      </c>
      <c r="U2393" s="4"/>
      <c r="V2393"/>
      <c r="W2393">
        <v>3348</v>
      </c>
      <c r="X2393"/>
      <c r="Y2393" t="inlineStr">
        <is>
          <t>Pending Appointment</t>
        </is>
      </c>
      <c r="Z2393" t="inlineStr">
        <is>
          <t>Continuous Hiring</t>
        </is>
      </c>
      <c r="AA2393">
        <v>2</v>
      </c>
      <c r="AB2393" t="inlineStr">
        <is>
          <t>No Appointment Made</t>
        </is>
      </c>
      <c r="AC2393"/>
      <c r="AD2393" t="inlineStr">
        <is>
          <t xml:space="preserve">1. Live Host 
2. QC </t>
        </is>
      </c>
      <c r="AE2393"/>
      <c r="AF2393"/>
      <c r="AG2393" s="4"/>
      <c r="AH2393" s="4"/>
      <c r="AI2393"/>
      <c r="AJ2393">
        <v>1</v>
      </c>
      <c r="AK2393" t="inlineStr">
        <is>
          <t>No, I don't need at all</t>
        </is>
      </c>
      <c r="AL2393">
        <v>0</v>
      </c>
      <c r="AM2393" t="inlineStr">
        <is>
          <t>No, I don't need at all</t>
        </is>
      </c>
      <c r="AN2393"/>
      <c r="AO2393" t="inlineStr">
        <is>
          <t>No, I don't need at all</t>
        </is>
      </c>
      <c r="AP2393" t="inlineStr">
        <is>
          <t>Every month (100%)</t>
        </is>
      </c>
      <c r="AQ2393"/>
      <c r="AR2393" t="inlineStr">
        <is>
          <t>Did not use any job portal</t>
        </is>
      </c>
      <c r="AS2393" t="inlineStr">
        <is>
          <t>- Headcount: 2
- Hiring Job Details: 1. Live Host 2. QC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is>
      </c>
      <c r="AT2393">
        <v>75</v>
      </c>
      <c r="AU2393" t="inlineStr">
        <is>
          <t>0.75</t>
        </is>
      </c>
      <c r="AV2393" t="inlineStr">
        <is>
          <t>5</t>
        </is>
      </c>
      <c r="AW2393" t="inlineStr">
        <is>
          <t>0</t>
        </is>
      </c>
      <c r="AX2393" t="inlineStr">
        <is>
          <t>Not Qualified</t>
        </is>
      </c>
      <c r="AY2393" s="4"/>
      <c r="AZ2393"/>
      <c r="BA2393"/>
      <c r="BB2393"/>
      <c r="BC2393" t="inlineStr">
        <is>
          <t>Renewal plan next month</t>
        </is>
      </c>
      <c r="BD2393" s="4">
        <v>46142.64634259259</v>
      </c>
      <c r="BE2393" t="inlineStr">
        <is>
          <t>paid</t>
        </is>
      </c>
      <c r="BF2393" t="inlineStr">
        <is>
          <t>Q1-W01</t>
        </is>
      </c>
      <c r="BG2393" t="inlineStr">
        <is>
          <t>Reschedule</t>
        </is>
      </c>
      <c r="BH2393" t="inlineStr">
        <is>
          <t>Edward Hoo</t>
        </is>
      </c>
      <c r="BI2393" t="inlineStr">
        <is>
          <t>General / Wholesale Trading</t>
        </is>
      </c>
      <c r="BJ2393" s="4">
        <v>46144.75071759259</v>
      </c>
      <c r="BK2393" s="4">
        <v>44521.6271412037</v>
      </c>
      <c r="BL2393" t="inlineStr">
        <is>
          <t>3348.0</t>
        </is>
      </c>
      <c r="BM2393" t="inlineStr">
        <is>
          <t>0.0</t>
        </is>
      </c>
      <c r="BN2393" t="inlineStr">
        <is>
          <t>View Company Page</t>
        </is>
      </c>
      <c r="BO2393" s="4">
        <v>46140.52444444445</v>
      </c>
      <c r="BP2393">
        <v>169716</v>
      </c>
      <c r="BQ2393">
        <v>7025</v>
      </c>
      <c r="BR2393" t="inlineStr">
        <is>
          <t>Manual (Paid)</t>
        </is>
      </c>
      <c r="BS2393" t="inlineStr">
        <is>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Package valid for 1 year
- AI Capability for each AI Job Ad
- AI Instant Match for 30 profiles
- AI Daily Talent Recommendation for 2 profiles daily
- AI "Open to Work" Detector for 2 profiles
- AI Smart Filter
- AI Post Job Assistant
- AI Pre-Call Notifier
- Ajobthing CARE</t>
        </is>
      </c>
      <c r="BT2393">
        <v>7025</v>
      </c>
      <c r="BU2393"/>
      <c r="BV2393">
        <v>2737978</v>
      </c>
      <c r="BW2393" t="inlineStr">
        <is>
          <t>Service / Technical : Job Outcome Enquiry</t>
        </is>
      </c>
      <c r="BX2393">
        <v>6</v>
      </c>
      <c r="BY2393">
        <v>2</v>
      </c>
      <c r="BZ2393" s="4">
        <v>46107.62174768518</v>
      </c>
      <c r="CA2393">
        <v>60</v>
      </c>
      <c r="CB2393">
        <v>52</v>
      </c>
      <c r="CC2393" s="4">
        <v>46107.61855324074</v>
      </c>
      <c r="CD2393" t="inlineStr">
        <is>
          <t>5</t>
        </is>
      </c>
      <c r="CE2393" t="inlineStr">
        <is>
          <t>0</t>
        </is>
      </c>
      <c r="CF2393" t="inlineStr">
        <is>
          <t>Q2-W04</t>
        </is>
      </c>
      <c r="CG2393" t="inlineStr">
        <is>
          <t>Q1-W01</t>
        </is>
      </c>
      <c r="CH2393" t="inlineStr">
        <is>
          <t>Q1-W01</t>
        </is>
      </c>
      <c r="CI2393"/>
      <c r="CJ2393" t="inlineStr">
        <is>
          <t>Paid</t>
        </is>
      </c>
      <c r="CK2393" t="inlineStr">
        <is>
          <t>Not Eligible</t>
        </is>
      </c>
      <c r="CL2393"/>
      <c r="CM2393"/>
    </row>
    <row r="2394" ht="25.5" customHeight="1">
      <c r="A2394" t="inlineStr">
        <is>
          <t>42953</t>
        </is>
      </c>
      <c r="B2394" s="2"/>
      <c r="C2394"/>
      <c r="D2394" s="3">
        <v>46120.64346064815</v>
      </c>
      <c r="E2394" t="inlineStr">
        <is>
          <t>Q2-W01</t>
        </is>
      </c>
      <c r="F2394" t="inlineStr">
        <is>
          <t>Janice Yap</t>
        </is>
      </c>
      <c r="G2394" t="inlineStr">
        <is>
          <t>Customer</t>
        </is>
      </c>
      <c r="H2394" s="2" t="str">
        <f>=HYPERLINK("https://upbox.ajobthing.my/customer/42953", "https://upbox.ajobthing.my/customer/42953")</f>
        <v>https://upbox.ajobthing.my/customer/42953</v>
      </c>
      <c r="I2394" t="inlineStr">
        <is>
          <t>Metra Hydraulics Sdn. Bhd.</t>
        </is>
      </c>
      <c r="J2394" t="inlineStr">
        <is>
          <t>Dolphin</t>
        </is>
      </c>
      <c r="K2394" t="inlineStr">
        <is>
          <t>Janice</t>
        </is>
      </c>
      <c r="L2394" s="4"/>
      <c r="M2394" s="4">
        <v>46120.64166666667</v>
      </c>
      <c r="N2394"/>
      <c r="O2394">
        <v>1296</v>
      </c>
      <c r="P2394" s="4"/>
      <c r="Q2394" s="4">
        <v>45797.60407407407</v>
      </c>
      <c r="R2394"/>
      <c r="S2394">
        <v>648</v>
      </c>
      <c r="T2394" s="4">
        <v>45797.60407407407</v>
      </c>
      <c r="U2394" s="4"/>
      <c r="V2394"/>
      <c r="W2394">
        <v>648</v>
      </c>
      <c r="X2394"/>
      <c r="Y2394" t="inlineStr">
        <is>
          <t>Pending Appointment</t>
        </is>
      </c>
      <c r="Z2394" t="inlineStr">
        <is>
          <t>Hiring Now</t>
        </is>
      </c>
      <c r="AA2394">
        <v>1</v>
      </c>
      <c r="AB2394" t="inlineStr">
        <is>
          <t>No Appointment Made</t>
        </is>
      </c>
      <c r="AC2394"/>
      <c r="AD2394" t="inlineStr">
        <is>
          <t>1 driver</t>
        </is>
      </c>
      <c r="AE2394"/>
      <c r="AF2394">
        <v>0</v>
      </c>
      <c r="AG2394" s="4"/>
      <c r="AH2394" s="4"/>
      <c r="AI2394">
        <v>0</v>
      </c>
      <c r="AJ2394"/>
      <c r="AK2394" t="inlineStr">
        <is>
          <t>No, I don't need at all</t>
        </is>
      </c>
      <c r="AL2394">
        <v>0</v>
      </c>
      <c r="AM2394" t="inlineStr">
        <is>
          <t>No, I don't need at all</t>
        </is>
      </c>
      <c r="AN2394"/>
      <c r="AO2394" t="inlineStr">
        <is>
          <t>No, I don't need at all</t>
        </is>
      </c>
      <c r="AP2394" t="inlineStr">
        <is>
          <t>Once a year (25%)</t>
        </is>
      </c>
      <c r="AQ2394">
        <v>1</v>
      </c>
      <c r="AR2394"/>
      <c r="AS2394" t="inlineStr">
        <is>
          <t>- Headcount: 1
- Hiring Job Details: 1 driver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2394">
        <v>110</v>
      </c>
      <c r="AU2394" t="inlineStr">
        <is>
          <t>1.10</t>
        </is>
      </c>
      <c r="AV2394" t="inlineStr">
        <is>
          <t>15</t>
        </is>
      </c>
      <c r="AW2394" t="inlineStr">
        <is>
          <t>0</t>
        </is>
      </c>
      <c r="AX2394" t="inlineStr">
        <is>
          <t>Not Qualified</t>
        </is>
      </c>
      <c r="AY2394" s="4"/>
      <c r="AZ2394"/>
      <c r="BA2394"/>
      <c r="BB2394"/>
      <c r="BC2394" t="inlineStr">
        <is>
          <t>Her boss mentioned no need // not urgent hiring</t>
        </is>
      </c>
      <c r="BD2394" s="4">
        <v>46122.442453703705</v>
      </c>
      <c r="BE2394" t="inlineStr">
        <is>
          <t>paid</t>
        </is>
      </c>
      <c r="BF2394"/>
      <c r="BG2394" t="inlineStr">
        <is>
          <t>Reschedule</t>
        </is>
      </c>
      <c r="BH2394" t="inlineStr">
        <is>
          <t>Yee Hang</t>
        </is>
      </c>
      <c r="BI2394" t="inlineStr">
        <is>
          <t>Engineering / Technical Consulting</t>
        </is>
      </c>
      <c r="BJ2394" s="4">
        <v>46144.75585648148</v>
      </c>
      <c r="BK2394" s="4">
        <v>43032.484247685185</v>
      </c>
      <c r="BL2394" t="inlineStr">
        <is>
          <t>648.0</t>
        </is>
      </c>
      <c r="BM2394" t="inlineStr">
        <is>
          <t>0.0</t>
        </is>
      </c>
      <c r="BN2394" t="inlineStr">
        <is>
          <t>View Jobmanager Page</t>
        </is>
      </c>
      <c r="BO2394" s="4">
        <v>45866.726747685185</v>
      </c>
      <c r="BP2394">
        <v>165958</v>
      </c>
      <c r="BQ2394">
        <v>79410</v>
      </c>
      <c r="BR2394" t="inlineStr">
        <is>
          <t>Online</t>
        </is>
      </c>
      <c r="BS2394"/>
      <c r="BT2394">
        <v>79410</v>
      </c>
      <c r="BU2394"/>
      <c r="BV2394">
        <v>2697487</v>
      </c>
      <c r="BW2394" t="inlineStr">
        <is>
          <t>Follow Up : Budget Concern</t>
        </is>
      </c>
      <c r="BX2394"/>
      <c r="BY2394"/>
      <c r="BZ2394" s="4"/>
      <c r="CA2394"/>
      <c r="CB2394"/>
      <c r="CC2394" s="4"/>
      <c r="CD2394" t="inlineStr">
        <is>
          <t>20</t>
        </is>
      </c>
      <c r="CE2394" t="inlineStr">
        <is>
          <t>0</t>
        </is>
      </c>
      <c r="CF2394" t="inlineStr">
        <is>
          <t>Q2-W01</t>
        </is>
      </c>
      <c r="CG2394"/>
      <c r="CH2394"/>
      <c r="CI2394"/>
      <c r="CJ2394" t="inlineStr">
        <is>
          <t>Paid</t>
        </is>
      </c>
      <c r="CK2394" t="inlineStr">
        <is>
          <t>Not Eligible</t>
        </is>
      </c>
      <c r="CL2394"/>
      <c r="CM2394"/>
    </row>
    <row r="2395" ht="25.5" customHeight="1">
      <c r="A2395" t="inlineStr">
        <is>
          <t>189885</t>
        </is>
      </c>
      <c r="B2395" s="2"/>
      <c r="C2395"/>
      <c r="D2395" s="3">
        <v>46120.64545138889</v>
      </c>
      <c r="E2395" t="inlineStr">
        <is>
          <t>Q2-W01</t>
        </is>
      </c>
      <c r="F2395" t="inlineStr">
        <is>
          <t>Eugene</t>
        </is>
      </c>
      <c r="G2395" t="inlineStr">
        <is>
          <t>Customer</t>
        </is>
      </c>
      <c r="H2395" s="2" t="str">
        <f>=HYPERLINK("https://upbox.ajobthing.my/customer/189885", "https://upbox.ajobthing.my/customer/189885")</f>
        <v>https://upbox.ajobthing.my/customer/189885</v>
      </c>
      <c r="I2395" t="inlineStr">
        <is>
          <t>Gee Seng Industrial Parts &amp; Hoist Supply Sdn. Bhd.</t>
        </is>
      </c>
      <c r="J2395" t="inlineStr">
        <is>
          <t>Dolphin</t>
        </is>
      </c>
      <c r="K2395" t="inlineStr">
        <is>
          <t>Eugene</t>
        </is>
      </c>
      <c r="L2395" s="4"/>
      <c r="M2395" s="4">
        <v>46120.64493055556</v>
      </c>
      <c r="N2395"/>
      <c r="O2395">
        <v>3888</v>
      </c>
      <c r="P2395" s="4"/>
      <c r="Q2395" s="4">
        <v>46140.73270833334</v>
      </c>
      <c r="R2395"/>
      <c r="S2395">
        <v>0</v>
      </c>
      <c r="T2395" s="4">
        <v>46135.73719907407</v>
      </c>
      <c r="U2395" s="4"/>
      <c r="V2395"/>
      <c r="W2395">
        <v>1296</v>
      </c>
      <c r="X2395"/>
      <c r="Y2395" t="inlineStr">
        <is>
          <t>Pending Appointment</t>
        </is>
      </c>
      <c r="Z2395" t="inlineStr">
        <is>
          <t>Hiring Now</t>
        </is>
      </c>
      <c r="AA2395">
        <v>2</v>
      </c>
      <c r="AB2395" t="inlineStr">
        <is>
          <t>No Appointment Made</t>
        </is>
      </c>
      <c r="AC2395"/>
      <c r="AD2395" t="inlineStr">
        <is>
          <t>1 account, 1 admin, based in KL</t>
        </is>
      </c>
      <c r="AE2395"/>
      <c r="AF2395">
        <v>3600</v>
      </c>
      <c r="AG2395" s="4"/>
      <c r="AH2395" s="4"/>
      <c r="AI2395">
        <v>3600</v>
      </c>
      <c r="AJ2395">
        <v>1</v>
      </c>
      <c r="AK2395" t="inlineStr">
        <is>
          <t>No, I don't need at all</t>
        </is>
      </c>
      <c r="AL2395">
        <v>1</v>
      </c>
      <c r="AM2395" t="inlineStr">
        <is>
          <t>No, I don't need at all</t>
        </is>
      </c>
      <c r="AN2395"/>
      <c r="AO2395" t="inlineStr">
        <is>
          <t>No, I don't need at all</t>
        </is>
      </c>
      <c r="AP2395" t="inlineStr">
        <is>
          <t>Twice a year (50%)</t>
        </is>
      </c>
      <c r="AQ2395">
        <v>3</v>
      </c>
      <c r="AR2395" t="inlineStr">
        <is>
          <t>Free Job Portal</t>
        </is>
      </c>
      <c r="AS2395" t="inlineStr">
        <is>
          <t>- Headcount: 2
- Hiring Job Details: 1 account, 1 admin,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3
- Hiring frequency: Twice a year (50%)
- External job portal: Free Job Portal</t>
        </is>
      </c>
      <c r="AT2395">
        <v>110</v>
      </c>
      <c r="AU2395" t="inlineStr">
        <is>
          <t>1.10</t>
        </is>
      </c>
      <c r="AV2395" t="inlineStr">
        <is>
          <t>15</t>
        </is>
      </c>
      <c r="AW2395" t="inlineStr">
        <is>
          <t>0</t>
        </is>
      </c>
      <c r="AX2395" t="inlineStr">
        <is>
          <t>Not Qualified</t>
        </is>
      </c>
      <c r="AY2395" s="4"/>
      <c r="AZ2395"/>
      <c r="BA2395"/>
      <c r="BB2395"/>
      <c r="BC2395" t="inlineStr">
        <is>
          <t>post job</t>
        </is>
      </c>
      <c r="BD2395" s="4">
        <v>46140.6109375</v>
      </c>
      <c r="BE2395" t="inlineStr">
        <is>
          <t>paid</t>
        </is>
      </c>
      <c r="BF2395" t="inlineStr">
        <is>
          <t>Q2-W03</t>
        </is>
      </c>
      <c r="BG2395" t="inlineStr">
        <is>
          <t>Reschedule</t>
        </is>
      </c>
      <c r="BH2395" t="inlineStr">
        <is>
          <t>Edward Hoo</t>
        </is>
      </c>
      <c r="BI2395" t="inlineStr">
        <is>
          <t>Automobile / Automotive</t>
        </is>
      </c>
      <c r="BJ2395" s="4">
        <v>46144.75232638889</v>
      </c>
      <c r="BK2395" s="4">
        <v>45758.47597222222</v>
      </c>
      <c r="BL2395" t="inlineStr">
        <is>
          <t>2592.0</t>
        </is>
      </c>
      <c r="BM2395" t="inlineStr">
        <is>
          <t>0.0</t>
        </is>
      </c>
      <c r="BN2395" t="inlineStr">
        <is>
          <t>View Company Page</t>
        </is>
      </c>
      <c r="BO2395" s="4">
        <v>46142.573171296295</v>
      </c>
      <c r="BP2395">
        <v>165960</v>
      </c>
      <c r="BQ2395">
        <v>123957</v>
      </c>
      <c r="BR2395" t="inlineStr">
        <is>
          <t>Proforma</t>
        </is>
      </c>
      <c r="BS2395" t="inlineStr">
        <is>
          <t>Free Part-Time Job</t>
        </is>
      </c>
      <c r="BT2395">
        <v>7676</v>
      </c>
      <c r="BU2395"/>
      <c r="BV2395">
        <v>2732825</v>
      </c>
      <c r="BW2395" t="inlineStr">
        <is>
          <t>Service / Technical : Help To Post Job</t>
        </is>
      </c>
      <c r="BX2395">
        <v>3</v>
      </c>
      <c r="BY2395">
        <v>2</v>
      </c>
      <c r="BZ2395" s="4">
        <v>46140.745775462965</v>
      </c>
      <c r="CA2395">
        <v>10</v>
      </c>
      <c r="CB2395">
        <v>10</v>
      </c>
      <c r="CC2395" s="4"/>
      <c r="CD2395" t="inlineStr">
        <is>
          <t>20</t>
        </is>
      </c>
      <c r="CE2395" t="inlineStr">
        <is>
          <t>0</t>
        </is>
      </c>
      <c r="CF2395" t="inlineStr">
        <is>
          <t>Q2-W01</t>
        </is>
      </c>
      <c r="CG2395" t="inlineStr">
        <is>
          <t>Q2-W04</t>
        </is>
      </c>
      <c r="CH2395" t="inlineStr">
        <is>
          <t>Q2-W03</t>
        </is>
      </c>
      <c r="CI2395"/>
      <c r="CJ2395" t="inlineStr">
        <is>
          <t>Paid</t>
        </is>
      </c>
      <c r="CK2395" t="inlineStr">
        <is>
          <t>Not Eligible</t>
        </is>
      </c>
      <c r="CL2395"/>
      <c r="CM2395"/>
    </row>
    <row r="2396" ht="25.5" customHeight="1">
      <c r="A2396" t="inlineStr">
        <is>
          <t>181593</t>
        </is>
      </c>
      <c r="B2396" s="2"/>
      <c r="C2396"/>
      <c r="D2396" s="3">
        <v>46120.64842592592</v>
      </c>
      <c r="E2396" t="inlineStr">
        <is>
          <t>Q2-W01</t>
        </is>
      </c>
      <c r="F2396" t="inlineStr">
        <is>
          <t>Carmen</t>
        </is>
      </c>
      <c r="G2396" t="inlineStr">
        <is>
          <t>Customer</t>
        </is>
      </c>
      <c r="H2396" s="2" t="str">
        <f>=HYPERLINK("https://upbox.ajobthing.my/customer/181593", "https://upbox.ajobthing.my/customer/181593")</f>
        <v>https://upbox.ajobthing.my/customer/181593</v>
      </c>
      <c r="I2396" t="inlineStr">
        <is>
          <t>Quick Stop Solution Sdn. Bhd.</t>
        </is>
      </c>
      <c r="J2396" t="inlineStr">
        <is>
          <t>Dolphin</t>
        </is>
      </c>
      <c r="K2396" t="inlineStr">
        <is>
          <t>Carmen</t>
        </is>
      </c>
      <c r="L2396" s="4"/>
      <c r="M2396" s="4">
        <v>46120.64863425926</v>
      </c>
      <c r="N2396"/>
      <c r="O2396">
        <v>6048</v>
      </c>
      <c r="P2396" s="4"/>
      <c r="Q2396" s="4"/>
      <c r="R2396"/>
      <c r="S2396"/>
      <c r="T2396" s="4"/>
      <c r="U2396" s="4"/>
      <c r="V2396"/>
      <c r="W2396"/>
      <c r="X2396"/>
      <c r="Y2396" t="inlineStr">
        <is>
          <t>Pending Appointment</t>
        </is>
      </c>
      <c r="Z2396" t="inlineStr">
        <is>
          <t>Hiring Now</t>
        </is>
      </c>
      <c r="AA2396">
        <v>3</v>
      </c>
      <c r="AB2396" t="inlineStr">
        <is>
          <t>No Appointment Made</t>
        </is>
      </c>
      <c r="AC2396"/>
      <c r="AD2396" t="inlineStr">
        <is>
          <t>3 different kind o sales</t>
        </is>
      </c>
      <c r="AE2396"/>
      <c r="AF2396">
        <v>0</v>
      </c>
      <c r="AG2396" s="4"/>
      <c r="AH2396" s="4"/>
      <c r="AI2396"/>
      <c r="AJ2396">
        <v>0</v>
      </c>
      <c r="AK2396"/>
      <c r="AL2396"/>
      <c r="AM2396"/>
      <c r="AN2396"/>
      <c r="AO2396"/>
      <c r="AP2396" t="inlineStr">
        <is>
          <t>Once a year (25%)</t>
        </is>
      </c>
      <c r="AQ2396"/>
      <c r="AR2396" t="inlineStr">
        <is>
          <t>Jobstreet, Indeed (Paid)</t>
        </is>
      </c>
      <c r="AS2396" t="inlineStr">
        <is>
          <t>- Headcount: 3
- Hiring Job Details: 3 different kinds of sales
- Hiring Urgency: Hiring Now
- Number of outlets: 0
- Have recruiter team: Not specified
- Number of recruiter in company: Not specified
- Have ATS system: Not specified
- Have career website: Not specified
- Current hiring budget: RM0.00
- Whole year budget: Not specified
- Whole year number of vacancies: Not specified
- Hiring frequency: Once a year (25%)
- External job portal: Jobstreet, Indeed (Paid)</t>
        </is>
      </c>
      <c r="AT2396">
        <v>35</v>
      </c>
      <c r="AU2396" t="inlineStr">
        <is>
          <t>0.35</t>
        </is>
      </c>
      <c r="AV2396" t="inlineStr">
        <is>
          <t>15</t>
        </is>
      </c>
      <c r="AW2396" t="inlineStr">
        <is>
          <t>0</t>
        </is>
      </c>
      <c r="AX2396" t="inlineStr">
        <is>
          <t>Not Qualified</t>
        </is>
      </c>
      <c r="AY2396" s="4"/>
      <c r="AZ2396"/>
      <c r="BA2396"/>
      <c r="BB2396"/>
      <c r="BC2396" t="inlineStr">
        <is>
          <t>chose JS - cheaper to renew</t>
        </is>
      </c>
      <c r="BD2396" s="4">
        <v>46134.699837962966</v>
      </c>
      <c r="BE2396"/>
      <c r="BF2396"/>
      <c r="BG2396" t="inlineStr">
        <is>
          <t>Reschedule</t>
        </is>
      </c>
      <c r="BH2396" t="inlineStr">
        <is>
          <t>Reagen</t>
        </is>
      </c>
      <c r="BI2396" t="inlineStr">
        <is>
          <t>Healthcare / Medical</t>
        </is>
      </c>
      <c r="BJ2396" s="4">
        <v>46144.751863425925</v>
      </c>
      <c r="BK2396" s="4">
        <v>45518.380590277775</v>
      </c>
      <c r="BL2396" t="inlineStr">
        <is>
          <t>0.0</t>
        </is>
      </c>
      <c r="BM2396" t="inlineStr">
        <is>
          <t>1800.0</t>
        </is>
      </c>
      <c r="BN2396" t="inlineStr">
        <is>
          <t>View Jobmanager Page</t>
        </is>
      </c>
      <c r="BO2396" s="4">
        <v>46120.59600694444</v>
      </c>
      <c r="BP2396">
        <v>165961</v>
      </c>
      <c r="BQ2396"/>
      <c r="BR2396"/>
      <c r="BS2396"/>
      <c r="BT2396"/>
      <c r="BU2396"/>
      <c r="BV2396">
        <v>2721596</v>
      </c>
      <c r="BW2396" t="inlineStr">
        <is>
          <t>Follow Up : Lost - Paid Portal</t>
        </is>
      </c>
      <c r="BX2396"/>
      <c r="BY2396"/>
      <c r="BZ2396" s="4"/>
      <c r="CA2396"/>
      <c r="CB2396"/>
      <c r="CC2396" s="4"/>
      <c r="CD2396" t="inlineStr">
        <is>
          <t>20</t>
        </is>
      </c>
      <c r="CE2396" t="inlineStr">
        <is>
          <t>0</t>
        </is>
      </c>
      <c r="CF2396" t="inlineStr">
        <is>
          <t>Q2-W01</t>
        </is>
      </c>
      <c r="CG2396"/>
      <c r="CH2396"/>
      <c r="CI2396"/>
      <c r="CJ2396" t="inlineStr">
        <is>
          <t>No Paid</t>
        </is>
      </c>
      <c r="CK2396" t="inlineStr">
        <is>
          <t>Not Eligible</t>
        </is>
      </c>
      <c r="CL2396"/>
      <c r="CM2396"/>
    </row>
    <row r="2397" ht="25.5" customHeight="1">
      <c r="A2397" t="inlineStr">
        <is>
          <t>185412</t>
        </is>
      </c>
      <c r="B2397" s="2"/>
      <c r="C2397"/>
      <c r="D2397" s="3">
        <v>46120.65152777778</v>
      </c>
      <c r="E2397" t="inlineStr">
        <is>
          <t>Q2-W01</t>
        </is>
      </c>
      <c r="F2397" t="inlineStr">
        <is>
          <t>Evan</t>
        </is>
      </c>
      <c r="G2397" t="inlineStr">
        <is>
          <t>Customer</t>
        </is>
      </c>
      <c r="H2397" s="2" t="str">
        <f>=HYPERLINK("https://upbox.ajobthing.my/customer/185412", "https://upbox.ajobthing.my/customer/185412")</f>
        <v>https://upbox.ajobthing.my/customer/185412</v>
      </c>
      <c r="I2397" t="inlineStr">
        <is>
          <t>Setia Excel M &amp; E Solution</t>
        </is>
      </c>
      <c r="J2397" t="inlineStr">
        <is>
          <t>Dolphin</t>
        </is>
      </c>
      <c r="K2397" t="inlineStr">
        <is>
          <t>Evan</t>
        </is>
      </c>
      <c r="L2397" s="4"/>
      <c r="M2397" s="4">
        <v>46140.463425925926</v>
      </c>
      <c r="N2397"/>
      <c r="O2397">
        <v>3576.96</v>
      </c>
      <c r="P2397" s="4"/>
      <c r="Q2397" s="4">
        <v>46120.62100694444</v>
      </c>
      <c r="R2397"/>
      <c r="S2397">
        <v>0</v>
      </c>
      <c r="T2397" s="4">
        <v>45876.47827546296</v>
      </c>
      <c r="U2397" s="4"/>
      <c r="V2397"/>
      <c r="W2397">
        <v>864</v>
      </c>
      <c r="X2397"/>
      <c r="Y2397" t="inlineStr">
        <is>
          <t>Pending Appointment</t>
        </is>
      </c>
      <c r="Z2397" t="inlineStr">
        <is>
          <t>Hiring Now</t>
        </is>
      </c>
      <c r="AA2397">
        <v>1</v>
      </c>
      <c r="AB2397" t="inlineStr">
        <is>
          <t>No Appointment Made</t>
        </is>
      </c>
      <c r="AC2397"/>
      <c r="AD2397" t="inlineStr">
        <is>
          <t>1 driver, all base in Puncak Jalil</t>
        </is>
      </c>
      <c r="AE2397"/>
      <c r="AF2397">
        <v>1</v>
      </c>
      <c r="AG2397" s="4"/>
      <c r="AH2397" s="4"/>
      <c r="AI2397">
        <v>1</v>
      </c>
      <c r="AJ2397">
        <v>1</v>
      </c>
      <c r="AK2397" t="inlineStr">
        <is>
          <t>No, I don't need at all</t>
        </is>
      </c>
      <c r="AL2397">
        <v>0</v>
      </c>
      <c r="AM2397" t="inlineStr">
        <is>
          <t>No, I don't need at all</t>
        </is>
      </c>
      <c r="AN2397"/>
      <c r="AO2397" t="inlineStr">
        <is>
          <t>No, I don't need at all</t>
        </is>
      </c>
      <c r="AP2397" t="inlineStr">
        <is>
          <t>Once a year (25%)</t>
        </is>
      </c>
      <c r="AQ2397">
        <v>1</v>
      </c>
      <c r="AR2397" t="inlineStr">
        <is>
          <t>Did not use any job portal</t>
        </is>
      </c>
      <c r="AS2397" t="inlineStr">
        <is>
          <t>- Headcount: 1
- Hiring Job Details: 1 driver, all based in Puncak Jalil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2397">
        <v>115</v>
      </c>
      <c r="AU2397" t="inlineStr">
        <is>
          <t>1.15</t>
        </is>
      </c>
      <c r="AV2397" t="inlineStr">
        <is>
          <t>15</t>
        </is>
      </c>
      <c r="AW2397" t="inlineStr">
        <is>
          <t>0</t>
        </is>
      </c>
      <c r="AX2397" t="inlineStr">
        <is>
          <t>Not Qualified</t>
        </is>
      </c>
      <c r="AY2397" s="4"/>
      <c r="AZ2397"/>
      <c r="BA2397"/>
      <c r="BB2397"/>
      <c r="BC2397" t="inlineStr">
        <is>
          <t>resend flash promo</t>
        </is>
      </c>
      <c r="BD2397" s="4">
        <v>46140.46407407407</v>
      </c>
      <c r="BE2397" t="inlineStr">
        <is>
          <t>paid</t>
        </is>
      </c>
      <c r="BF2397"/>
      <c r="BG2397" t="inlineStr">
        <is>
          <t>Reschedule</t>
        </is>
      </c>
      <c r="BH2397" t="inlineStr">
        <is>
          <t>Edward Hoo</t>
        </is>
      </c>
      <c r="BI2397" t="inlineStr">
        <is>
          <t>Repair / Maintenance</t>
        </is>
      </c>
      <c r="BJ2397" s="4">
        <v>46144.752071759256</v>
      </c>
      <c r="BK2397" s="4">
        <v>45628.58060185185</v>
      </c>
      <c r="BL2397" t="inlineStr">
        <is>
          <t>864.0</t>
        </is>
      </c>
      <c r="BM2397" t="inlineStr">
        <is>
          <t>0.0</t>
        </is>
      </c>
      <c r="BN2397" t="inlineStr">
        <is>
          <t>View Company Page</t>
        </is>
      </c>
      <c r="BO2397" s="4">
        <v>46122.802453703705</v>
      </c>
      <c r="BP2397">
        <v>169165</v>
      </c>
      <c r="BQ2397">
        <v>120982</v>
      </c>
      <c r="BR2397" t="inlineStr">
        <is>
          <t>Proforma</t>
        </is>
      </c>
      <c r="BS2397" t="inlineStr">
        <is>
          <t>Free Part-Time Job</t>
        </is>
      </c>
      <c r="BT2397">
        <v>81350</v>
      </c>
      <c r="BU2397"/>
      <c r="BV2397">
        <v>2732039</v>
      </c>
      <c r="BW2397" t="inlineStr">
        <is>
          <t>Follow Up : Quotation Sent 50%</t>
        </is>
      </c>
      <c r="BX2397"/>
      <c r="BY2397"/>
      <c r="BZ2397" s="4"/>
      <c r="CA2397"/>
      <c r="CB2397"/>
      <c r="CC2397" s="4"/>
      <c r="CD2397" t="inlineStr">
        <is>
          <t>20</t>
        </is>
      </c>
      <c r="CE2397" t="inlineStr">
        <is>
          <t>0</t>
        </is>
      </c>
      <c r="CF2397" t="inlineStr">
        <is>
          <t>Q2-W04</t>
        </is>
      </c>
      <c r="CG2397" t="inlineStr">
        <is>
          <t>Q2-W01</t>
        </is>
      </c>
      <c r="CH2397"/>
      <c r="CI2397"/>
      <c r="CJ2397" t="inlineStr">
        <is>
          <t>Paid</t>
        </is>
      </c>
      <c r="CK2397" t="inlineStr">
        <is>
          <t>Not Eligible</t>
        </is>
      </c>
      <c r="CL2397"/>
      <c r="CM2397"/>
    </row>
    <row r="2398" ht="25.5" customHeight="1">
      <c r="A2398" t="inlineStr">
        <is>
          <t>182825</t>
        </is>
      </c>
      <c r="B2398" s="2"/>
      <c r="C2398"/>
      <c r="D2398" s="3">
        <v>46120.65181712963</v>
      </c>
      <c r="E2398" t="inlineStr">
        <is>
          <t>Q2-W01</t>
        </is>
      </c>
      <c r="F2398" t="inlineStr">
        <is>
          <t>Alan KY</t>
        </is>
      </c>
      <c r="G2398" t="inlineStr">
        <is>
          <t>Customer</t>
        </is>
      </c>
      <c r="H2398" s="2" t="str">
        <f>=HYPERLINK("https://upbox.ajobthing.my/customer/182825", "https://upbox.ajobthing.my/customer/182825")</f>
        <v>https://upbox.ajobthing.my/customer/182825</v>
      </c>
      <c r="I2398" t="inlineStr">
        <is>
          <t>ASE Education Group Pte Ltd</t>
        </is>
      </c>
      <c r="J2398" t="inlineStr">
        <is>
          <t>Dolphin</t>
        </is>
      </c>
      <c r="K2398" t="inlineStr">
        <is>
          <t>Alan KY</t>
        </is>
      </c>
      <c r="L2398" s="4"/>
      <c r="M2398" s="4">
        <v>46120.64978009259</v>
      </c>
      <c r="N2398"/>
      <c r="O2398">
        <v>6048</v>
      </c>
      <c r="P2398" s="4"/>
      <c r="Q2398" s="4">
        <v>46120.5805787037</v>
      </c>
      <c r="R2398"/>
      <c r="S2398">
        <v>0</v>
      </c>
      <c r="T2398" s="4">
        <v>45737.42965277778</v>
      </c>
      <c r="U2398" s="4"/>
      <c r="V2398"/>
      <c r="W2398">
        <v>2916</v>
      </c>
      <c r="X2398"/>
      <c r="Y2398" t="inlineStr">
        <is>
          <t>Pending Appointment</t>
        </is>
      </c>
      <c r="Z2398" t="inlineStr">
        <is>
          <t>Continuous Hiring</t>
        </is>
      </c>
      <c r="AA2398">
        <v>13</v>
      </c>
      <c r="AB2398" t="inlineStr">
        <is>
          <t>No Appointment Made</t>
        </is>
      </c>
      <c r="AC2398"/>
      <c r="AD2398" t="inlineStr">
        <is>
          <t xml:space="preserve">10 teacher  and 3-5 sales rep , in KL </t>
        </is>
      </c>
      <c r="AE2398"/>
      <c r="AF2398"/>
      <c r="AG2398" s="4"/>
      <c r="AH2398" s="4"/>
      <c r="AI2398"/>
      <c r="AJ2398"/>
      <c r="AK2398" t="inlineStr">
        <is>
          <t>No, I don't need at all</t>
        </is>
      </c>
      <c r="AL2398"/>
      <c r="AM2398" t="inlineStr">
        <is>
          <t>No, I don't need at all</t>
        </is>
      </c>
      <c r="AN2398"/>
      <c r="AO2398" t="inlineStr">
        <is>
          <t>No, I don't need at all</t>
        </is>
      </c>
      <c r="AP2398" t="inlineStr">
        <is>
          <t>Every month (100%)</t>
        </is>
      </c>
      <c r="AQ2398"/>
      <c r="AR2398" t="inlineStr">
        <is>
          <t>Jobstreet</t>
        </is>
      </c>
      <c r="AS2398" t="inlineStr">
        <is>
          <t>- Headcount: 13
- Hiring Job Details: 10 teachers and 3-5 sales reps, in KL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t>
        </is>
      </c>
      <c r="AT2398">
        <v>95</v>
      </c>
      <c r="AU2398" t="inlineStr">
        <is>
          <t>0.95</t>
        </is>
      </c>
      <c r="AV2398" t="inlineStr">
        <is>
          <t>15</t>
        </is>
      </c>
      <c r="AW2398" t="inlineStr">
        <is>
          <t>0</t>
        </is>
      </c>
      <c r="AX2398" t="inlineStr">
        <is>
          <t>Not Qualified</t>
        </is>
      </c>
      <c r="AY2398" s="4"/>
      <c r="AZ2398"/>
      <c r="BA2398"/>
      <c r="BB2398"/>
      <c r="BC2398" t="inlineStr">
        <is>
          <t>On hold first, as they focus Japan branch expanding</t>
        </is>
      </c>
      <c r="BD2398" s="4">
        <v>46129.44936342593</v>
      </c>
      <c r="BE2398" t="inlineStr">
        <is>
          <t>paid</t>
        </is>
      </c>
      <c r="BF2398"/>
      <c r="BG2398" t="inlineStr">
        <is>
          <t>Reschedule</t>
        </is>
      </c>
      <c r="BH2398" t="inlineStr">
        <is>
          <t>Reagen</t>
        </is>
      </c>
      <c r="BI2398" t="inlineStr">
        <is>
          <t>Education / Training</t>
        </is>
      </c>
      <c r="BJ2398" s="4">
        <v>46144.75194444445</v>
      </c>
      <c r="BK2398" s="4">
        <v>45553.62613425926</v>
      </c>
      <c r="BL2398" t="inlineStr">
        <is>
          <t>0.0</t>
        </is>
      </c>
      <c r="BM2398" t="inlineStr">
        <is>
          <t>600.0</t>
        </is>
      </c>
      <c r="BN2398" t="inlineStr">
        <is>
          <t>View Company Page</t>
        </is>
      </c>
      <c r="BO2398" s="4">
        <v>46120.58298611111</v>
      </c>
      <c r="BP2398">
        <v>165963</v>
      </c>
      <c r="BQ2398">
        <v>120927</v>
      </c>
      <c r="BR2398" t="inlineStr">
        <is>
          <t>Proforma</t>
        </is>
      </c>
      <c r="BS2398" t="inlineStr">
        <is>
          <t>Free Part-Time Job</t>
        </is>
      </c>
      <c r="BT2398">
        <v>77840</v>
      </c>
      <c r="BU2398"/>
      <c r="BV2398">
        <v>2711277</v>
      </c>
      <c r="BW2398" t="inlineStr">
        <is>
          <t>Follow Up : Lost - Free Portal</t>
        </is>
      </c>
      <c r="BX2398"/>
      <c r="BY2398"/>
      <c r="BZ2398" s="4"/>
      <c r="CA2398"/>
      <c r="CB2398"/>
      <c r="CC2398" s="4"/>
      <c r="CD2398" t="inlineStr">
        <is>
          <t>20</t>
        </is>
      </c>
      <c r="CE2398" t="inlineStr">
        <is>
          <t>0</t>
        </is>
      </c>
      <c r="CF2398" t="inlineStr">
        <is>
          <t>Q2-W01</t>
        </is>
      </c>
      <c r="CG2398" t="inlineStr">
        <is>
          <t>Q2-W01</t>
        </is>
      </c>
      <c r="CH2398"/>
      <c r="CI2398"/>
      <c r="CJ2398" t="inlineStr">
        <is>
          <t>Paid</t>
        </is>
      </c>
      <c r="CK2398" t="inlineStr">
        <is>
          <t>Eligible</t>
        </is>
      </c>
      <c r="CL2398"/>
      <c r="CM2398"/>
    </row>
    <row r="2399" ht="25.5" customHeight="1">
      <c r="A2399" t="inlineStr">
        <is>
          <t>4259984</t>
        </is>
      </c>
      <c r="B2399" s="2"/>
      <c r="C2399"/>
      <c r="D2399" s="3">
        <v>46120.65557870371</v>
      </c>
      <c r="E2399" t="inlineStr">
        <is>
          <t>Q2-W01</t>
        </is>
      </c>
      <c r="F2399" t="inlineStr">
        <is>
          <t>Jess</t>
        </is>
      </c>
      <c r="G2399" t="inlineStr">
        <is>
          <t>Lead</t>
        </is>
      </c>
      <c r="H2399" s="2" t="str">
        <f>=HYPERLINK("https://upbox.ajobthing.my/leads/4259984", "https://upbox.ajobthing.my/leads/4259984")</f>
        <v>https://upbox.ajobthing.my/leads/4259984</v>
      </c>
      <c r="I2399" t="inlineStr">
        <is>
          <t>HAKUHODO</t>
        </is>
      </c>
      <c r="J2399" t="inlineStr">
        <is>
          <t>Dolphin</t>
        </is>
      </c>
      <c r="K2399" t="inlineStr">
        <is>
          <t>Jess Lim</t>
        </is>
      </c>
      <c r="L2399" s="4"/>
      <c r="M2399" s="4">
        <v>46120.65704861111</v>
      </c>
      <c r="N2399"/>
      <c r="O2399">
        <v>3888</v>
      </c>
      <c r="P2399" s="4"/>
      <c r="Q2399" s="4"/>
      <c r="R2399"/>
      <c r="S2399"/>
      <c r="T2399" s="4"/>
      <c r="U2399" s="4"/>
      <c r="V2399"/>
      <c r="W2399"/>
      <c r="X2399"/>
      <c r="Y2399" t="inlineStr">
        <is>
          <t>Pending Appointment</t>
        </is>
      </c>
      <c r="Z2399" t="inlineStr">
        <is>
          <t>Hiring Now</t>
        </is>
      </c>
      <c r="AA2399">
        <v>1</v>
      </c>
      <c r="AB2399" t="inlineStr">
        <is>
          <t>No Appointment Made</t>
        </is>
      </c>
      <c r="AC2399"/>
      <c r="AD2399" t="inlineStr">
        <is>
          <t>Finance executive</t>
        </is>
      </c>
      <c r="AE2399"/>
      <c r="AF2399">
        <v>3600</v>
      </c>
      <c r="AG2399" s="4"/>
      <c r="AH2399" s="4"/>
      <c r="AI2399"/>
      <c r="AJ2399">
        <v>1</v>
      </c>
      <c r="AK2399" t="inlineStr">
        <is>
          <t>No, I don't need at all</t>
        </is>
      </c>
      <c r="AL2399">
        <v>1</v>
      </c>
      <c r="AM2399" t="inlineStr">
        <is>
          <t>No, I don't need at all</t>
        </is>
      </c>
      <c r="AN2399"/>
      <c r="AO2399" t="inlineStr">
        <is>
          <t>No, I don't need at all</t>
        </is>
      </c>
      <c r="AP2399" t="inlineStr">
        <is>
          <t>Once a year (25%)</t>
        </is>
      </c>
      <c r="AQ2399"/>
      <c r="AR2399" t="inlineStr">
        <is>
          <t>Jobstreet</t>
        </is>
      </c>
      <c r="AS2399" t="inlineStr">
        <is>
          <t>- Headcount: 1
- Hiring Job Details: Finance executive
- Hiring Urgency: Hiring Now
- Number of outlets: 1
- Have recruiter team: No, I don't need at all
- Number of recruiter in company: 1
- Have ATS system: No, I don't need at all
- Have career website: No, I don't need at all
- Current hiring budget: RM3,600.00
- Whole year budget: Not specified
- Whole year number of vacancies: Not specified
- Hiring frequency: Once a year (25%)
- External job portal: Jobstreet</t>
        </is>
      </c>
      <c r="AT2399">
        <v>100</v>
      </c>
      <c r="AU2399" t="inlineStr">
        <is>
          <t>1.00</t>
        </is>
      </c>
      <c r="AV2399" t="inlineStr">
        <is>
          <t>15</t>
        </is>
      </c>
      <c r="AW2399" t="inlineStr">
        <is>
          <t>0</t>
        </is>
      </c>
      <c r="AX2399" t="inlineStr">
        <is>
          <t>Not Qualified</t>
        </is>
      </c>
      <c r="AY2399" s="4"/>
      <c r="AZ2399"/>
      <c r="BA2399"/>
      <c r="BB2399"/>
      <c r="BC2399"/>
      <c r="BD2399" s="4"/>
      <c r="BE2399"/>
      <c r="BF2399"/>
      <c r="BG2399" t="inlineStr">
        <is>
          <t>Reschedule</t>
        </is>
      </c>
      <c r="BH2399" t="inlineStr">
        <is>
          <t>Fauziah Maharan</t>
        </is>
      </c>
      <c r="BI2399"/>
      <c r="BJ2399" s="4">
        <v>46144.75576388889</v>
      </c>
      <c r="BK2399" s="4">
        <v>46120.49961805555</v>
      </c>
      <c r="BL2399" t="inlineStr">
        <is>
          <t>0.0</t>
        </is>
      </c>
      <c r="BM2399" t="inlineStr">
        <is>
          <t>0.0</t>
        </is>
      </c>
      <c r="BN2399"/>
      <c r="BO2399" s="4"/>
      <c r="BP2399">
        <v>165968</v>
      </c>
      <c r="BQ2399"/>
      <c r="BR2399"/>
      <c r="BS2399"/>
      <c r="BT2399"/>
      <c r="BU2399"/>
      <c r="BV2399"/>
      <c r="BW2399"/>
      <c r="BX2399"/>
      <c r="BY2399"/>
      <c r="BZ2399" s="4"/>
      <c r="CA2399"/>
      <c r="CB2399"/>
      <c r="CC2399" s="4"/>
      <c r="CD2399" t="inlineStr">
        <is>
          <t>20</t>
        </is>
      </c>
      <c r="CE2399" t="inlineStr">
        <is>
          <t>0</t>
        </is>
      </c>
      <c r="CF2399" t="inlineStr">
        <is>
          <t>Q2-W01</t>
        </is>
      </c>
      <c r="CG2399"/>
      <c r="CH2399"/>
      <c r="CI2399"/>
      <c r="CJ2399" t="inlineStr">
        <is>
          <t>No Paid</t>
        </is>
      </c>
      <c r="CK2399" t="inlineStr">
        <is>
          <t>Not Eligible</t>
        </is>
      </c>
      <c r="CL2399"/>
      <c r="CM2399"/>
    </row>
    <row r="2400" ht="25.5" customHeight="1">
      <c r="A2400" t="inlineStr">
        <is>
          <t>9915</t>
        </is>
      </c>
      <c r="B2400" s="2"/>
      <c r="C2400"/>
      <c r="D2400" s="3">
        <v>46120.66699074074</v>
      </c>
      <c r="E2400" t="inlineStr">
        <is>
          <t>Q2-W01</t>
        </is>
      </c>
      <c r="F2400" t="inlineStr">
        <is>
          <t>Alex Chan</t>
        </is>
      </c>
      <c r="G2400" t="inlineStr">
        <is>
          <t>Customer</t>
        </is>
      </c>
      <c r="H2400" s="2" t="str">
        <f>=HYPERLINK("https://upbox.ajobthing.my/customer/9915", "https://upbox.ajobthing.my/customer/9915")</f>
        <v>https://upbox.ajobthing.my/customer/9915</v>
      </c>
      <c r="I2400" t="inlineStr">
        <is>
          <t>EKG Network Sdn Bhd</t>
        </is>
      </c>
      <c r="J2400" t="inlineStr">
        <is>
          <t>Dolphin</t>
        </is>
      </c>
      <c r="K2400" t="inlineStr">
        <is>
          <t>Alex Chan</t>
        </is>
      </c>
      <c r="L2400" s="4"/>
      <c r="M2400" s="4">
        <v>46120.666030092594</v>
      </c>
      <c r="N2400"/>
      <c r="O2400">
        <v>3888</v>
      </c>
      <c r="P2400" s="4"/>
      <c r="Q2400" s="4">
        <v>43852.71451388889</v>
      </c>
      <c r="R2400"/>
      <c r="S2400">
        <v>466.4</v>
      </c>
      <c r="T2400" s="4">
        <v>43852.71451388889</v>
      </c>
      <c r="U2400" s="4"/>
      <c r="V2400"/>
      <c r="W2400">
        <v>466.4</v>
      </c>
      <c r="X2400"/>
      <c r="Y2400" t="inlineStr">
        <is>
          <t>Pending Appointment</t>
        </is>
      </c>
      <c r="Z2400" t="inlineStr">
        <is>
          <t>Hiring Now</t>
        </is>
      </c>
      <c r="AA2400">
        <v>1</v>
      </c>
      <c r="AB2400" t="inlineStr">
        <is>
          <t>No Appointment Made</t>
        </is>
      </c>
      <c r="AC2400"/>
      <c r="AD2400" t="inlineStr">
        <is>
          <t>1x Sales Assistant</t>
        </is>
      </c>
      <c r="AE2400"/>
      <c r="AF2400">
        <v>3600</v>
      </c>
      <c r="AG2400" s="4"/>
      <c r="AH2400" s="4"/>
      <c r="AI2400">
        <v>3600</v>
      </c>
      <c r="AJ2400">
        <v>1</v>
      </c>
      <c r="AK2400" t="inlineStr">
        <is>
          <t>No, I don't need at all</t>
        </is>
      </c>
      <c r="AL2400">
        <v>1</v>
      </c>
      <c r="AM2400" t="inlineStr">
        <is>
          <t>No, I don't need at all</t>
        </is>
      </c>
      <c r="AN2400"/>
      <c r="AO2400" t="inlineStr">
        <is>
          <t>No, I don't need at all</t>
        </is>
      </c>
      <c r="AP2400" t="inlineStr">
        <is>
          <t>Once a year (25%)</t>
        </is>
      </c>
      <c r="AQ2400">
        <v>1</v>
      </c>
      <c r="AR2400" t="inlineStr">
        <is>
          <t>Free Job Portal</t>
        </is>
      </c>
      <c r="AS2400" t="inlineStr">
        <is>
          <t>- Headcount: 1
- Hiring Job Details: 1x Sales Assistant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AT2400">
        <v>115</v>
      </c>
      <c r="AU2400" t="inlineStr">
        <is>
          <t>1.15</t>
        </is>
      </c>
      <c r="AV2400" t="inlineStr">
        <is>
          <t>15</t>
        </is>
      </c>
      <c r="AW2400" t="inlineStr">
        <is>
          <t>0</t>
        </is>
      </c>
      <c r="AX2400" t="inlineStr">
        <is>
          <t>Not Qualified</t>
        </is>
      </c>
      <c r="AY2400" s="4"/>
      <c r="AZ2400"/>
      <c r="BA2400"/>
      <c r="BB2400"/>
      <c r="BC2400" t="inlineStr">
        <is>
          <t>- X Interested</t>
        </is>
      </c>
      <c r="BD2400" s="4">
        <v>46134.41826388889</v>
      </c>
      <c r="BE2400" t="inlineStr">
        <is>
          <t>paid</t>
        </is>
      </c>
      <c r="BF2400"/>
      <c r="BG2400" t="inlineStr">
        <is>
          <t>Reschedule</t>
        </is>
      </c>
      <c r="BH2400" t="inlineStr">
        <is>
          <t>Reagen</t>
        </is>
      </c>
      <c r="BI2400" t="inlineStr">
        <is>
          <t>Advertising / Marketing</t>
        </is>
      </c>
      <c r="BJ2400" s="4">
        <v>46144.75618055555</v>
      </c>
      <c r="BK2400" s="4">
        <v>42478.85649305556</v>
      </c>
      <c r="BL2400" t="inlineStr">
        <is>
          <t>0.0</t>
        </is>
      </c>
      <c r="BM2400" t="inlineStr">
        <is>
          <t>1200.0</t>
        </is>
      </c>
      <c r="BN2400" t="inlineStr">
        <is>
          <t>View Company Page</t>
        </is>
      </c>
      <c r="BO2400" s="4">
        <v>46120.72950231482</v>
      </c>
      <c r="BP2400">
        <v>165976</v>
      </c>
      <c r="BQ2400">
        <v>23108</v>
      </c>
      <c r="BR2400" t="inlineStr">
        <is>
          <t>Online</t>
        </is>
      </c>
      <c r="BS2400"/>
      <c r="BT2400">
        <v>23108</v>
      </c>
      <c r="BU2400"/>
      <c r="BV2400">
        <v>2719558</v>
      </c>
      <c r="BW2400" t="inlineStr">
        <is>
          <t>Follow Up : Budget Concern</t>
        </is>
      </c>
      <c r="BX2400"/>
      <c r="BY2400"/>
      <c r="BZ2400" s="4"/>
      <c r="CA2400"/>
      <c r="CB2400"/>
      <c r="CC2400" s="4"/>
      <c r="CD2400" t="inlineStr">
        <is>
          <t>20</t>
        </is>
      </c>
      <c r="CE2400" t="inlineStr">
        <is>
          <t>0</t>
        </is>
      </c>
      <c r="CF2400" t="inlineStr">
        <is>
          <t>Q2-W01</t>
        </is>
      </c>
      <c r="CG2400"/>
      <c r="CH2400"/>
      <c r="CI2400"/>
      <c r="CJ2400" t="inlineStr">
        <is>
          <t>Paid</t>
        </is>
      </c>
      <c r="CK2400" t="inlineStr">
        <is>
          <t>Not Eligible</t>
        </is>
      </c>
      <c r="CL2400"/>
      <c r="CM2400"/>
    </row>
    <row r="2401" ht="25.5" customHeight="1">
      <c r="A2401" t="inlineStr">
        <is>
          <t>183773</t>
        </is>
      </c>
      <c r="B2401" s="2"/>
      <c r="C2401"/>
      <c r="D2401" s="3">
        <v>46120.6674537037</v>
      </c>
      <c r="E2401" t="inlineStr">
        <is>
          <t>Q2-W01</t>
        </is>
      </c>
      <c r="F2401" t="inlineStr">
        <is>
          <t>Evan</t>
        </is>
      </c>
      <c r="G2401" t="inlineStr">
        <is>
          <t>Customer</t>
        </is>
      </c>
      <c r="H2401" s="2" t="str">
        <f>=HYPERLINK("https://upbox.ajobthing.my/customer/183773", "https://upbox.ajobthing.my/customer/183773")</f>
        <v>https://upbox.ajobthing.my/customer/183773</v>
      </c>
      <c r="I2401" t="inlineStr">
        <is>
          <t xml:space="preserve">Rheinol Lubricants Marketing (M) Sdn Bhd </t>
        </is>
      </c>
      <c r="J2401" t="inlineStr">
        <is>
          <t>Dolphin</t>
        </is>
      </c>
      <c r="K2401" t="inlineStr">
        <is>
          <t>Evan</t>
        </is>
      </c>
      <c r="L2401" s="4"/>
      <c r="M2401" s="4">
        <v>46120.66605324074</v>
      </c>
      <c r="N2401"/>
      <c r="O2401">
        <v>3888</v>
      </c>
      <c r="P2401" s="4"/>
      <c r="Q2401" s="4">
        <v>46140.625752314816</v>
      </c>
      <c r="R2401"/>
      <c r="S2401">
        <v>0</v>
      </c>
      <c r="T2401" s="4">
        <v>46128.87420138889</v>
      </c>
      <c r="U2401" s="4"/>
      <c r="V2401"/>
      <c r="W2401">
        <v>3888</v>
      </c>
      <c r="X2401"/>
      <c r="Y2401" t="inlineStr">
        <is>
          <t>Pending Appointment</t>
        </is>
      </c>
      <c r="Z2401" t="inlineStr">
        <is>
          <t>Hiring Now</t>
        </is>
      </c>
      <c r="AA2401">
        <v>5</v>
      </c>
      <c r="AB2401" t="inlineStr">
        <is>
          <t>No Appointment Made</t>
        </is>
      </c>
      <c r="AC2401"/>
      <c r="AD2401" t="inlineStr">
        <is>
          <t>5 sales, all base in KL</t>
        </is>
      </c>
      <c r="AE2401"/>
      <c r="AF2401">
        <v>1</v>
      </c>
      <c r="AG2401" s="4"/>
      <c r="AH2401" s="4"/>
      <c r="AI2401">
        <v>1</v>
      </c>
      <c r="AJ2401">
        <v>1</v>
      </c>
      <c r="AK2401" t="inlineStr">
        <is>
          <t>No, I don't need at all</t>
        </is>
      </c>
      <c r="AL2401">
        <v>0</v>
      </c>
      <c r="AM2401" t="inlineStr">
        <is>
          <t>No, I don't need at all</t>
        </is>
      </c>
      <c r="AN2401"/>
      <c r="AO2401" t="inlineStr">
        <is>
          <t>No, I don't need at all</t>
        </is>
      </c>
      <c r="AP2401" t="inlineStr">
        <is>
          <t>Once a year (25%)</t>
        </is>
      </c>
      <c r="AQ2401">
        <v>5</v>
      </c>
      <c r="AR2401" t="inlineStr">
        <is>
          <t>Did not use any job portal</t>
        </is>
      </c>
      <c r="AS2401" t="inlineStr">
        <is>
          <t>- Headcount: 5
- Hiring Job Details: 5 sales,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5
- Hiring frequency: Once a year (25%)
- External job portal: Did not use any job portal</t>
        </is>
      </c>
      <c r="AT2401">
        <v>115</v>
      </c>
      <c r="AU2401" t="inlineStr">
        <is>
          <t>1.15</t>
        </is>
      </c>
      <c r="AV2401" t="inlineStr">
        <is>
          <t>20</t>
        </is>
      </c>
      <c r="AW2401" t="inlineStr">
        <is>
          <t>0</t>
        </is>
      </c>
      <c r="AX2401" t="inlineStr">
        <is>
          <t>Not Qualified</t>
        </is>
      </c>
      <c r="AY2401" s="4"/>
      <c r="AZ2401"/>
      <c r="BA2401"/>
      <c r="BB2401"/>
      <c r="BC2401" t="inlineStr">
        <is>
          <t>help post</t>
        </is>
      </c>
      <c r="BD2401" s="4">
        <v>46129.66756944444</v>
      </c>
      <c r="BE2401" t="inlineStr">
        <is>
          <t>paid</t>
        </is>
      </c>
      <c r="BF2401" t="inlineStr">
        <is>
          <t>Q2-W02</t>
        </is>
      </c>
      <c r="BG2401" t="inlineStr">
        <is>
          <t>Reschedule</t>
        </is>
      </c>
      <c r="BH2401" t="inlineStr">
        <is>
          <t>Edward Hoo</t>
        </is>
      </c>
      <c r="BI2401" t="inlineStr">
        <is>
          <t>Automobile / Automotive</t>
        </is>
      </c>
      <c r="BJ2401" s="4">
        <v>46144.751967592594</v>
      </c>
      <c r="BK2401" s="4">
        <v>45579.533425925925</v>
      </c>
      <c r="BL2401" t="inlineStr">
        <is>
          <t>3888.0</t>
        </is>
      </c>
      <c r="BM2401" t="inlineStr">
        <is>
          <t>0.0</t>
        </is>
      </c>
      <c r="BN2401" t="inlineStr">
        <is>
          <t>PA Visit - Job Card</t>
        </is>
      </c>
      <c r="BO2401" s="4">
        <v>46143.061527777776</v>
      </c>
      <c r="BP2401">
        <v>165977</v>
      </c>
      <c r="BQ2401">
        <v>123925</v>
      </c>
      <c r="BR2401" t="inlineStr">
        <is>
          <t>Proforma</t>
        </is>
      </c>
      <c r="BS2401" t="inlineStr">
        <is>
          <t>Free Internship Job</t>
        </is>
      </c>
      <c r="BT2401">
        <v>93960</v>
      </c>
      <c r="BU2401"/>
      <c r="BV2401">
        <v>2712678</v>
      </c>
      <c r="BW2401" t="inlineStr">
        <is>
          <t>Service / Technical : Help To Post Job</t>
        </is>
      </c>
      <c r="BX2401">
        <v>7</v>
      </c>
      <c r="BY2401">
        <v>6</v>
      </c>
      <c r="BZ2401" s="4">
        <v>46129.74475694444</v>
      </c>
      <c r="CA2401">
        <v>73</v>
      </c>
      <c r="CB2401">
        <v>60</v>
      </c>
      <c r="CC2401" s="4">
        <v>46138.71456018519</v>
      </c>
      <c r="CD2401" t="inlineStr">
        <is>
          <t>30</t>
        </is>
      </c>
      <c r="CE2401" t="inlineStr">
        <is>
          <t>0</t>
        </is>
      </c>
      <c r="CF2401" t="inlineStr">
        <is>
          <t>Q2-W01</t>
        </is>
      </c>
      <c r="CG2401" t="inlineStr">
        <is>
          <t>Q2-W04</t>
        </is>
      </c>
      <c r="CH2401" t="inlineStr">
        <is>
          <t>Q2-W02</t>
        </is>
      </c>
      <c r="CI2401"/>
      <c r="CJ2401" t="inlineStr">
        <is>
          <t>Paid</t>
        </is>
      </c>
      <c r="CK2401" t="inlineStr">
        <is>
          <t>Not Eligible</t>
        </is>
      </c>
      <c r="CL2401"/>
      <c r="CM2401"/>
    </row>
    <row r="2402" ht="25.5" customHeight="1">
      <c r="A2402" t="inlineStr">
        <is>
          <t>123070</t>
        </is>
      </c>
      <c r="B2402" s="2"/>
      <c r="C2402"/>
      <c r="D2402" s="3">
        <v>46120.67108796296</v>
      </c>
      <c r="E2402" t="inlineStr">
        <is>
          <t>Q2-W01</t>
        </is>
      </c>
      <c r="F2402" t="inlineStr">
        <is>
          <t>Clover</t>
        </is>
      </c>
      <c r="G2402" t="inlineStr">
        <is>
          <t>Customer</t>
        </is>
      </c>
      <c r="H2402" s="2" t="str">
        <f>=HYPERLINK("https://upbox.ajobthing.my/customer/123070", "https://upbox.ajobthing.my/customer/123070")</f>
        <v>https://upbox.ajobthing.my/customer/123070</v>
      </c>
      <c r="I2402" t="inlineStr">
        <is>
          <t>Hospitality Kitchen Sdn Bhd</t>
        </is>
      </c>
      <c r="J2402" t="inlineStr">
        <is>
          <t>Dolphin</t>
        </is>
      </c>
      <c r="K2402" t="inlineStr">
        <is>
          <t>Clover</t>
        </is>
      </c>
      <c r="L2402" s="4"/>
      <c r="M2402" s="4">
        <v>46120.668912037036</v>
      </c>
      <c r="N2402"/>
      <c r="O2402">
        <v>3888</v>
      </c>
      <c r="P2402" s="4"/>
      <c r="Q2402" s="4">
        <v>46141.42037037037</v>
      </c>
      <c r="R2402"/>
      <c r="S2402">
        <v>1296</v>
      </c>
      <c r="T2402" s="4">
        <v>43776.620474537034</v>
      </c>
      <c r="U2402" s="4"/>
      <c r="V2402"/>
      <c r="W2402">
        <v>530</v>
      </c>
      <c r="X2402"/>
      <c r="Y2402" t="inlineStr">
        <is>
          <t>Pending Appointment</t>
        </is>
      </c>
      <c r="Z2402" t="inlineStr">
        <is>
          <t>Hiring Now</t>
        </is>
      </c>
      <c r="AA2402">
        <v>2</v>
      </c>
      <c r="AB2402" t="inlineStr">
        <is>
          <t>No Appointment Made</t>
        </is>
      </c>
      <c r="AC2402"/>
      <c r="AD2402" t="inlineStr">
        <is>
          <t>PIC Mr Jonathan 0129432082, purchasing exec x1 chi, sales exec x1 chi,  fresh grads, based on project, restaurant kitchen maintenance, puchong, suggest stand</t>
        </is>
      </c>
      <c r="AE2402"/>
      <c r="AF2402">
        <v>3000</v>
      </c>
      <c r="AG2402" s="4"/>
      <c r="AH2402" s="4"/>
      <c r="AI2402">
        <v>3000</v>
      </c>
      <c r="AJ2402">
        <v>1</v>
      </c>
      <c r="AK2402" t="inlineStr">
        <is>
          <t>No, but I want in future</t>
        </is>
      </c>
      <c r="AL2402">
        <v>1</v>
      </c>
      <c r="AM2402" t="inlineStr">
        <is>
          <t>No, but I want in future</t>
        </is>
      </c>
      <c r="AN2402"/>
      <c r="AO2402" t="inlineStr">
        <is>
          <t>No, but I want in future</t>
        </is>
      </c>
      <c r="AP2402" t="inlineStr">
        <is>
          <t>Twice a year (50%)</t>
        </is>
      </c>
      <c r="AQ2402">
        <v>2</v>
      </c>
      <c r="AR2402" t="inlineStr">
        <is>
          <t>Did not use any job portal</t>
        </is>
      </c>
      <c r="AS2402" t="inlineStr">
        <is>
          <t>- Headcount: 2
- Hiring Job Details: PIC Mr Jonathan 0129432082, purchasing exec x1 chi, sales exec x1 chi, fresh grads, based on project, restaurant kitchen maintenance, puchong,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402">
        <v>110</v>
      </c>
      <c r="AU2402" t="inlineStr">
        <is>
          <t>1.10</t>
        </is>
      </c>
      <c r="AV2402" t="inlineStr">
        <is>
          <t>15</t>
        </is>
      </c>
      <c r="AW2402" t="inlineStr">
        <is>
          <t>0</t>
        </is>
      </c>
      <c r="AX2402" t="inlineStr">
        <is>
          <t>Not Qualified</t>
        </is>
      </c>
      <c r="AY2402" s="4"/>
      <c r="AZ2402"/>
      <c r="BA2402"/>
      <c r="BB2402"/>
      <c r="BC2402" t="inlineStr">
        <is>
          <t>Prefer 1 job - sales exec, for purchasing exec on hold, share invoice</t>
        </is>
      </c>
      <c r="BD2402" s="4">
        <v>46141.422638888886</v>
      </c>
      <c r="BE2402" t="inlineStr">
        <is>
          <t>pending</t>
        </is>
      </c>
      <c r="BF2402"/>
      <c r="BG2402" t="inlineStr">
        <is>
          <t>Reschedule</t>
        </is>
      </c>
      <c r="BH2402" t="inlineStr">
        <is>
          <t>Reagen</t>
        </is>
      </c>
      <c r="BI2402"/>
      <c r="BJ2402" s="4">
        <v>46144.750289351854</v>
      </c>
      <c r="BK2402" s="4">
        <v>43775.47671296296</v>
      </c>
      <c r="BL2402" t="inlineStr">
        <is>
          <t>0.0</t>
        </is>
      </c>
      <c r="BM2402" t="inlineStr">
        <is>
          <t>0.0</t>
        </is>
      </c>
      <c r="BN2402" t="inlineStr">
        <is>
          <t>View Create Job Page V4</t>
        </is>
      </c>
      <c r="BO2402" s="4">
        <v>46120.59486111111</v>
      </c>
      <c r="BP2402">
        <v>165980</v>
      </c>
      <c r="BQ2402">
        <v>124021</v>
      </c>
      <c r="BR2402" t="inlineStr">
        <is>
          <t>Proforma</t>
        </is>
      </c>
      <c r="BS2402" t="inlineStr">
        <is>
          <t>AI Ala Carte (Jan 26) Plus</t>
        </is>
      </c>
      <c r="BT2402">
        <v>21255</v>
      </c>
      <c r="BU2402"/>
      <c r="BV2402">
        <v>2734307</v>
      </c>
      <c r="BW2402" t="inlineStr">
        <is>
          <t>Follow Up : Invoice Sent 75%</t>
        </is>
      </c>
      <c r="BX2402"/>
      <c r="BY2402"/>
      <c r="BZ2402" s="4"/>
      <c r="CA2402"/>
      <c r="CB2402"/>
      <c r="CC2402" s="4"/>
      <c r="CD2402" t="inlineStr">
        <is>
          <t>20</t>
        </is>
      </c>
      <c r="CE2402" t="inlineStr">
        <is>
          <t>0</t>
        </is>
      </c>
      <c r="CF2402" t="inlineStr">
        <is>
          <t>Q2-W01</t>
        </is>
      </c>
      <c r="CG2402" t="inlineStr">
        <is>
          <t>Q2-W04</t>
        </is>
      </c>
      <c r="CH2402"/>
      <c r="CI2402"/>
      <c r="CJ2402" t="inlineStr">
        <is>
          <t>Paid</t>
        </is>
      </c>
      <c r="CK2402" t="inlineStr">
        <is>
          <t>Not Eligible</t>
        </is>
      </c>
      <c r="CL2402"/>
      <c r="CM2402"/>
    </row>
    <row r="2403" ht="25.5" customHeight="1">
      <c r="A2403" t="inlineStr">
        <is>
          <t>172377</t>
        </is>
      </c>
      <c r="B2403" s="2"/>
      <c r="C2403"/>
      <c r="D2403" s="3">
        <v>46120.675092592595</v>
      </c>
      <c r="E2403" t="inlineStr">
        <is>
          <t>Q2-W01</t>
        </is>
      </c>
      <c r="F2403" t="inlineStr">
        <is>
          <t>Yuli</t>
        </is>
      </c>
      <c r="G2403" t="inlineStr">
        <is>
          <t>Customer</t>
        </is>
      </c>
      <c r="H2403" s="2" t="str">
        <f>=HYPERLINK("https://upbox.ajobthing.my/customer/172377", "https://upbox.ajobthing.my/customer/172377")</f>
        <v>https://upbox.ajobthing.my/customer/172377</v>
      </c>
      <c r="I2403" t="inlineStr">
        <is>
          <t>Qiangda Sdn Bhd</t>
        </is>
      </c>
      <c r="J2403" t="inlineStr">
        <is>
          <t>Dolphin</t>
        </is>
      </c>
      <c r="K2403" t="inlineStr">
        <is>
          <t>YuLi</t>
        </is>
      </c>
      <c r="L2403" s="4"/>
      <c r="M2403" s="4">
        <v>46120.675416666665</v>
      </c>
      <c r="N2403"/>
      <c r="O2403">
        <v>6048</v>
      </c>
      <c r="P2403" s="4"/>
      <c r="Q2403" s="4">
        <v>45896.56211805555</v>
      </c>
      <c r="R2403"/>
      <c r="S2403">
        <v>0</v>
      </c>
      <c r="T2403" s="4">
        <v>45765.62535879629</v>
      </c>
      <c r="U2403" s="4"/>
      <c r="V2403"/>
      <c r="W2403">
        <v>2916</v>
      </c>
      <c r="X2403"/>
      <c r="Y2403" t="inlineStr">
        <is>
          <t>Pending Appointment</t>
        </is>
      </c>
      <c r="Z2403" t="inlineStr">
        <is>
          <t>Hiring Now</t>
        </is>
      </c>
      <c r="AA2403">
        <v>2</v>
      </c>
      <c r="AB2403" t="inlineStr">
        <is>
          <t>No Appointment Made</t>
        </is>
      </c>
      <c r="AC2403"/>
      <c r="AD2403" t="inlineStr">
        <is>
          <t>Site Superviso-1
Qs-1
Site Manager-1</t>
        </is>
      </c>
      <c r="AE2403"/>
      <c r="AF2403"/>
      <c r="AG2403" s="4"/>
      <c r="AH2403" s="4"/>
      <c r="AI2403"/>
      <c r="AJ2403"/>
      <c r="AK2403"/>
      <c r="AL2403"/>
      <c r="AM2403"/>
      <c r="AN2403"/>
      <c r="AO2403"/>
      <c r="AP2403"/>
      <c r="AQ2403"/>
      <c r="AR2403"/>
      <c r="AS2403" t="inlineStr">
        <is>
          <t>- Headcount: 2
- Hiring Job Details: 1 Site Supervisor, 1 Qs, 1 Site Manager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is>
      </c>
      <c r="AT2403">
        <v>60</v>
      </c>
      <c r="AU2403" t="inlineStr">
        <is>
          <t>0.60</t>
        </is>
      </c>
      <c r="AV2403" t="inlineStr">
        <is>
          <t>5</t>
        </is>
      </c>
      <c r="AW2403" t="inlineStr">
        <is>
          <t>0</t>
        </is>
      </c>
      <c r="AX2403" t="inlineStr">
        <is>
          <t>Not Qualified</t>
        </is>
      </c>
      <c r="AY2403" s="4"/>
      <c r="AZ2403"/>
      <c r="BA2403"/>
      <c r="BB2403"/>
      <c r="BC2403" t="inlineStr">
        <is>
          <t>- Headcount: 2
- Hiring Job Details: 1 Site Supervisor, 1 Qs, 1 Site Manager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is>
      </c>
      <c r="BD2403" s="4">
        <v>46120.70921296296</v>
      </c>
      <c r="BE2403" t="inlineStr">
        <is>
          <t>paid</t>
        </is>
      </c>
      <c r="BF2403"/>
      <c r="BG2403" t="inlineStr">
        <is>
          <t>Reschedule</t>
        </is>
      </c>
      <c r="BH2403" t="inlineStr">
        <is>
          <t>Fauziah Maharan</t>
        </is>
      </c>
      <c r="BI2403" t="inlineStr">
        <is>
          <t>Construction / Building</t>
        </is>
      </c>
      <c r="BJ2403" s="4">
        <v>46144.75148148148</v>
      </c>
      <c r="BK2403" s="4">
        <v>45225.93387731481</v>
      </c>
      <c r="BL2403" t="inlineStr">
        <is>
          <t>2916.0</t>
        </is>
      </c>
      <c r="BM2403" t="inlineStr">
        <is>
          <t>0.0</t>
        </is>
      </c>
      <c r="BN2403" t="inlineStr">
        <is>
          <t>View Company Page</t>
        </is>
      </c>
      <c r="BO2403" s="4">
        <v>46139.80519675926</v>
      </c>
      <c r="BP2403">
        <v>165982</v>
      </c>
      <c r="BQ2403">
        <v>108655</v>
      </c>
      <c r="BR2403" t="inlineStr">
        <is>
          <t>Proforma</t>
        </is>
      </c>
      <c r="BS2403" t="inlineStr">
        <is>
          <t>A La Carte AI Job Ad Free</t>
        </is>
      </c>
      <c r="BT2403">
        <v>78592</v>
      </c>
      <c r="BU2403"/>
      <c r="BV2403">
        <v>2693717</v>
      </c>
      <c r="BW2403" t="inlineStr">
        <is>
          <t>Customer Inquiry</t>
        </is>
      </c>
      <c r="BX2403"/>
      <c r="BY2403"/>
      <c r="BZ2403" s="4"/>
      <c r="CA2403"/>
      <c r="CB2403"/>
      <c r="CC2403" s="4"/>
      <c r="CD2403" t="inlineStr">
        <is>
          <t>5</t>
        </is>
      </c>
      <c r="CE2403" t="inlineStr">
        <is>
          <t>0</t>
        </is>
      </c>
      <c r="CF2403" t="inlineStr">
        <is>
          <t>Q2-W01</t>
        </is>
      </c>
      <c r="CG2403"/>
      <c r="CH2403"/>
      <c r="CI2403"/>
      <c r="CJ2403" t="inlineStr">
        <is>
          <t>Paid</t>
        </is>
      </c>
      <c r="CK2403" t="inlineStr">
        <is>
          <t>Not Eligible</t>
        </is>
      </c>
      <c r="CL2403"/>
      <c r="CM2403"/>
    </row>
    <row r="2404" ht="25.5" customHeight="1">
      <c r="A2404" t="inlineStr">
        <is>
          <t>157829</t>
        </is>
      </c>
      <c r="B2404" s="2"/>
      <c r="C2404"/>
      <c r="D2404" s="3">
        <v>46120.68071759259</v>
      </c>
      <c r="E2404" t="inlineStr">
        <is>
          <t>Q2-W01</t>
        </is>
      </c>
      <c r="F2404" t="inlineStr">
        <is>
          <t>Luqman</t>
        </is>
      </c>
      <c r="G2404" t="inlineStr">
        <is>
          <t>Customer</t>
        </is>
      </c>
      <c r="H2404" s="2" t="str">
        <f>=HYPERLINK("https://upbox.ajobthing.my/customer/157829", "https://upbox.ajobthing.my/customer/157829")</f>
        <v>https://upbox.ajobthing.my/customer/157829</v>
      </c>
      <c r="I2404" t="inlineStr">
        <is>
          <t>Maxi Stone Marketing Sdn Bhd</t>
        </is>
      </c>
      <c r="J2404" t="inlineStr">
        <is>
          <t>Dolphin</t>
        </is>
      </c>
      <c r="K2404" t="inlineStr">
        <is>
          <t>Luqman</t>
        </is>
      </c>
      <c r="L2404" s="4"/>
      <c r="M2404" s="4">
        <v>46129.42238425926</v>
      </c>
      <c r="N2404"/>
      <c r="O2404">
        <v>1296</v>
      </c>
      <c r="P2404" s="4"/>
      <c r="Q2404" s="4">
        <v>46130.602175925924</v>
      </c>
      <c r="R2404"/>
      <c r="S2404">
        <v>864</v>
      </c>
      <c r="T2404" s="4">
        <v>46130.602175925924</v>
      </c>
      <c r="U2404" s="4"/>
      <c r="V2404"/>
      <c r="W2404">
        <v>864</v>
      </c>
      <c r="X2404"/>
      <c r="Y2404" t="inlineStr">
        <is>
          <t>Pending Appointment</t>
        </is>
      </c>
      <c r="Z2404" t="inlineStr">
        <is>
          <t>Hiring Later</t>
        </is>
      </c>
      <c r="AA2404">
        <v>1</v>
      </c>
      <c r="AB2404" t="inlineStr">
        <is>
          <t>No Appointment Made</t>
        </is>
      </c>
      <c r="AC2404"/>
      <c r="AD2404" t="inlineStr">
        <is>
          <t xml:space="preserve">1. Sales Executive </t>
        </is>
      </c>
      <c r="AE2404"/>
      <c r="AF2404">
        <v>1200</v>
      </c>
      <c r="AG2404" s="4"/>
      <c r="AH2404" s="4"/>
      <c r="AI2404">
        <v>1200</v>
      </c>
      <c r="AJ2404"/>
      <c r="AK2404" t="inlineStr">
        <is>
          <t>No, I don't need at all</t>
        </is>
      </c>
      <c r="AL2404">
        <v>1</v>
      </c>
      <c r="AM2404" t="inlineStr">
        <is>
          <t>No, I don't need at all</t>
        </is>
      </c>
      <c r="AN2404"/>
      <c r="AO2404" t="inlineStr">
        <is>
          <t>No, I don't need at all</t>
        </is>
      </c>
      <c r="AP2404" t="inlineStr">
        <is>
          <t>Once a year (25%)</t>
        </is>
      </c>
      <c r="AQ2404">
        <v>2</v>
      </c>
      <c r="AR2404" t="inlineStr">
        <is>
          <t>Jobstreet</t>
        </is>
      </c>
      <c r="AS2404" t="inlineStr">
        <is>
          <t>- Headcount: 1
- Hiring Job Details: 1 Sales Executive
- Hiring Urgency: Hiring Later
- Number of outlets: Not provided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Jobstreet</t>
        </is>
      </c>
      <c r="AT2404">
        <v>105</v>
      </c>
      <c r="AU2404" t="inlineStr">
        <is>
          <t>1.05</t>
        </is>
      </c>
      <c r="AV2404" t="inlineStr">
        <is>
          <t>15</t>
        </is>
      </c>
      <c r="AW2404" t="inlineStr">
        <is>
          <t>0</t>
        </is>
      </c>
      <c r="AX2404" t="inlineStr">
        <is>
          <t>Not Qualified</t>
        </is>
      </c>
      <c r="AY2404" s="4"/>
      <c r="AZ2404"/>
      <c r="BA2404"/>
      <c r="BB2404"/>
      <c r="BC2404" t="inlineStr">
        <is>
          <t>Google review</t>
        </is>
      </c>
      <c r="BD2404" s="4">
        <v>46142.46068287037</v>
      </c>
      <c r="BE2404" t="inlineStr">
        <is>
          <t>paid</t>
        </is>
      </c>
      <c r="BF2404" t="inlineStr">
        <is>
          <t>Q2-W03</t>
        </is>
      </c>
      <c r="BG2404" t="inlineStr">
        <is>
          <t>Reschedule</t>
        </is>
      </c>
      <c r="BH2404" t="inlineStr">
        <is>
          <t>Edward Hoo</t>
        </is>
      </c>
      <c r="BI2404" t="inlineStr">
        <is>
          <t>Manufacturing / Production</t>
        </is>
      </c>
      <c r="BJ2404" s="4">
        <v>46144.75101851852</v>
      </c>
      <c r="BK2404" s="4">
        <v>44771.680601851855</v>
      </c>
      <c r="BL2404" t="inlineStr">
        <is>
          <t>1728.0</t>
        </is>
      </c>
      <c r="BM2404" t="inlineStr">
        <is>
          <t>600.0</t>
        </is>
      </c>
      <c r="BN2404" t="inlineStr">
        <is>
          <t>View Candidate Search Page</t>
        </is>
      </c>
      <c r="BO2404" s="4">
        <v>46142.37688657407</v>
      </c>
      <c r="BP2404">
        <v>167525</v>
      </c>
      <c r="BQ2404">
        <v>94192</v>
      </c>
      <c r="BR2404" t="inlineStr">
        <is>
          <t>Online</t>
        </is>
      </c>
      <c r="BS2404"/>
      <c r="BT2404">
        <v>94192</v>
      </c>
      <c r="BU2404"/>
      <c r="BV2404">
        <v>2736997</v>
      </c>
      <c r="BW2404" t="inlineStr">
        <is>
          <t>Service / Technical : Job Outcome Enquiry</t>
        </is>
      </c>
      <c r="BX2404">
        <v>1</v>
      </c>
      <c r="BY2404">
        <v>0</v>
      </c>
      <c r="BZ2404" s="4">
        <v>46132.454618055555</v>
      </c>
      <c r="CA2404">
        <v>10</v>
      </c>
      <c r="CB2404">
        <v>2</v>
      </c>
      <c r="CC2404" s="4">
        <v>46141.457604166666</v>
      </c>
      <c r="CD2404" t="inlineStr">
        <is>
          <t>20</t>
        </is>
      </c>
      <c r="CE2404" t="inlineStr">
        <is>
          <t>0</t>
        </is>
      </c>
      <c r="CF2404" t="inlineStr">
        <is>
          <t>Q2-W03</t>
        </is>
      </c>
      <c r="CG2404" t="inlineStr">
        <is>
          <t>Q2-W03</t>
        </is>
      </c>
      <c r="CH2404" t="inlineStr">
        <is>
          <t>Q2-W03</t>
        </is>
      </c>
      <c r="CI2404"/>
      <c r="CJ2404" t="inlineStr">
        <is>
          <t>Paid</t>
        </is>
      </c>
      <c r="CK2404" t="inlineStr">
        <is>
          <t>Not Eligible</t>
        </is>
      </c>
      <c r="CL2404"/>
      <c r="CM2404"/>
    </row>
    <row r="2405" ht="25.5" customHeight="1">
      <c r="A2405" t="inlineStr">
        <is>
          <t>163161</t>
        </is>
      </c>
      <c r="B2405" s="2"/>
      <c r="C2405"/>
      <c r="D2405" s="3">
        <v>46120.68221064815</v>
      </c>
      <c r="E2405" t="inlineStr">
        <is>
          <t>Q2-W01</t>
        </is>
      </c>
      <c r="F2405" t="inlineStr">
        <is>
          <t>Jia Hui</t>
        </is>
      </c>
      <c r="G2405" t="inlineStr">
        <is>
          <t>Customer</t>
        </is>
      </c>
      <c r="H2405" s="2" t="str">
        <f>=HYPERLINK("https://upbox.ajobthing.my/customer/163161", "https://upbox.ajobthing.my/customer/163161")</f>
        <v>https://upbox.ajobthing.my/customer/163161</v>
      </c>
      <c r="I2405" t="inlineStr">
        <is>
          <t>Esh Resource Management</t>
        </is>
      </c>
      <c r="J2405" t="inlineStr">
        <is>
          <t>Dolphin</t>
        </is>
      </c>
      <c r="K2405" t="inlineStr">
        <is>
          <t>Jia Hui</t>
        </is>
      </c>
      <c r="L2405" s="4"/>
      <c r="M2405" s="4">
        <v>46120.6824537037</v>
      </c>
      <c r="N2405"/>
      <c r="O2405">
        <v>6048</v>
      </c>
      <c r="P2405" s="4"/>
      <c r="Q2405" s="4"/>
      <c r="R2405"/>
      <c r="S2405"/>
      <c r="T2405" s="4"/>
      <c r="U2405" s="4"/>
      <c r="V2405"/>
      <c r="W2405"/>
      <c r="X2405"/>
      <c r="Y2405" t="inlineStr">
        <is>
          <t>Pending Appointment</t>
        </is>
      </c>
      <c r="Z2405" t="inlineStr">
        <is>
          <t>Hiring Now</t>
        </is>
      </c>
      <c r="AA2405">
        <v>1</v>
      </c>
      <c r="AB2405" t="inlineStr">
        <is>
          <t>No Appointment Made</t>
        </is>
      </c>
      <c r="AC2405"/>
      <c r="AD2405" t="inlineStr">
        <is>
          <t>1 admin</t>
        </is>
      </c>
      <c r="AE2405"/>
      <c r="AF2405">
        <v>1000</v>
      </c>
      <c r="AG2405" s="4"/>
      <c r="AH2405" s="4"/>
      <c r="AI2405"/>
      <c r="AJ2405"/>
      <c r="AK2405" t="inlineStr">
        <is>
          <t>No, but I want in future</t>
        </is>
      </c>
      <c r="AL2405"/>
      <c r="AM2405"/>
      <c r="AN2405"/>
      <c r="AO2405"/>
      <c r="AP2405" t="inlineStr">
        <is>
          <t>Once a year (25%)</t>
        </is>
      </c>
      <c r="AQ2405"/>
      <c r="AR2405"/>
      <c r="AS2405" t="inlineStr">
        <is>
          <t>- Headcount: 1
- Hiring Job Details: 1 admin
- Hiring Urgency: Hiring Now
- Number of outlets: N/A
- Have recruiter team: No, but I want in future
- Number of recruiter in company: N/A
- Have ATS system: N/A
- Have career website: N/A
- Current hiring budget: RM1,000.00
- Whole year budget: N/A
- Whole year number of vacancies: N/A
- Hiring frequency: Once a year (25%)
- External job portal: N/A</t>
        </is>
      </c>
      <c r="AT2405">
        <v>75</v>
      </c>
      <c r="AU2405" t="inlineStr">
        <is>
          <t>0.75</t>
        </is>
      </c>
      <c r="AV2405" t="inlineStr">
        <is>
          <t>15</t>
        </is>
      </c>
      <c r="AW2405" t="inlineStr">
        <is>
          <t>0</t>
        </is>
      </c>
      <c r="AX2405" t="inlineStr">
        <is>
          <t>Not Qualified</t>
        </is>
      </c>
      <c r="AY2405" s="4"/>
      <c r="AZ2405"/>
      <c r="BA2405"/>
      <c r="BB2405"/>
      <c r="BC2405" t="inlineStr">
        <is>
          <t>no hiring atm</t>
        </is>
      </c>
      <c r="BD2405" s="4">
        <v>46132.7059375</v>
      </c>
      <c r="BE2405"/>
      <c r="BF2405"/>
      <c r="BG2405" t="inlineStr">
        <is>
          <t>Reschedule</t>
        </is>
      </c>
      <c r="BH2405" t="inlineStr">
        <is>
          <t>Reagen</t>
        </is>
      </c>
      <c r="BI2405"/>
      <c r="BJ2405" s="4">
        <v>46144.751180555555</v>
      </c>
      <c r="BK2405" s="4">
        <v>44918.57126157408</v>
      </c>
      <c r="BL2405" t="inlineStr">
        <is>
          <t>0.0</t>
        </is>
      </c>
      <c r="BM2405" t="inlineStr">
        <is>
          <t>4200.0</t>
        </is>
      </c>
      <c r="BN2405" t="inlineStr">
        <is>
          <t>View Account User</t>
        </is>
      </c>
      <c r="BO2405" s="4">
        <v>44918.579421296294</v>
      </c>
      <c r="BP2405">
        <v>165986</v>
      </c>
      <c r="BQ2405"/>
      <c r="BR2405"/>
      <c r="BS2405"/>
      <c r="BT2405"/>
      <c r="BU2405"/>
      <c r="BV2405">
        <v>2716456</v>
      </c>
      <c r="BW2405" t="inlineStr">
        <is>
          <t>Inquire for Hiring Needs : No Hiring</t>
        </is>
      </c>
      <c r="BX2405"/>
      <c r="BY2405"/>
      <c r="BZ2405" s="4"/>
      <c r="CA2405"/>
      <c r="CB2405"/>
      <c r="CC2405" s="4"/>
      <c r="CD2405" t="inlineStr">
        <is>
          <t>20</t>
        </is>
      </c>
      <c r="CE2405" t="inlineStr">
        <is>
          <t>0</t>
        </is>
      </c>
      <c r="CF2405" t="inlineStr">
        <is>
          <t>Q2-W01</t>
        </is>
      </c>
      <c r="CG2405"/>
      <c r="CH2405"/>
      <c r="CI2405"/>
      <c r="CJ2405" t="inlineStr">
        <is>
          <t>No Paid</t>
        </is>
      </c>
      <c r="CK2405" t="inlineStr">
        <is>
          <t>Not Eligible</t>
        </is>
      </c>
      <c r="CL2405"/>
      <c r="CM2405"/>
    </row>
    <row r="2406" ht="25.5" customHeight="1">
      <c r="A2406" t="inlineStr">
        <is>
          <t>6521</t>
        </is>
      </c>
      <c r="B2406" s="2"/>
      <c r="C2406"/>
      <c r="D2406" s="3">
        <v>46120.68545138889</v>
      </c>
      <c r="E2406" t="inlineStr">
        <is>
          <t>Q2-W01</t>
        </is>
      </c>
      <c r="F2406" t="inlineStr">
        <is>
          <t>Eugene</t>
        </is>
      </c>
      <c r="G2406" t="inlineStr">
        <is>
          <t>Customer</t>
        </is>
      </c>
      <c r="H2406" s="2" t="str">
        <f>=HYPERLINK("https://upbox.ajobthing.my/customer/6521", "https://upbox.ajobthing.my/customer/6521")</f>
        <v>https://upbox.ajobthing.my/customer/6521</v>
      </c>
      <c r="I2406" t="inlineStr">
        <is>
          <t>Ezsolve Sdn Bhd</t>
        </is>
      </c>
      <c r="J2406" t="inlineStr">
        <is>
          <t>Dolphin</t>
        </is>
      </c>
      <c r="K2406" t="inlineStr">
        <is>
          <t>Eugene</t>
        </is>
      </c>
      <c r="L2406" s="4"/>
      <c r="M2406" s="4">
        <v>46120.685532407406</v>
      </c>
      <c r="N2406"/>
      <c r="O2406">
        <v>3888</v>
      </c>
      <c r="P2406" s="4"/>
      <c r="Q2406" s="4">
        <v>46086.41087962963</v>
      </c>
      <c r="R2406"/>
      <c r="S2406">
        <v>864</v>
      </c>
      <c r="T2406" s="4">
        <v>46086.41087962963</v>
      </c>
      <c r="U2406" s="4"/>
      <c r="V2406"/>
      <c r="W2406">
        <v>864</v>
      </c>
      <c r="X2406"/>
      <c r="Y2406" t="inlineStr">
        <is>
          <t>Pending Appointment</t>
        </is>
      </c>
      <c r="Z2406" t="inlineStr">
        <is>
          <t>Hiring Now</t>
        </is>
      </c>
      <c r="AA2406">
        <v>1</v>
      </c>
      <c r="AB2406" t="inlineStr">
        <is>
          <t>No Appointment Made</t>
        </is>
      </c>
      <c r="AC2406"/>
      <c r="AD2406" t="inlineStr">
        <is>
          <t>1 position, based in KL</t>
        </is>
      </c>
      <c r="AE2406"/>
      <c r="AF2406">
        <v>3000</v>
      </c>
      <c r="AG2406" s="4"/>
      <c r="AH2406" s="4"/>
      <c r="AI2406">
        <v>3000</v>
      </c>
      <c r="AJ2406">
        <v>1</v>
      </c>
      <c r="AK2406" t="inlineStr">
        <is>
          <t>No, I don't need at all</t>
        </is>
      </c>
      <c r="AL2406">
        <v>1</v>
      </c>
      <c r="AM2406" t="inlineStr">
        <is>
          <t>No, I don't need at all</t>
        </is>
      </c>
      <c r="AN2406"/>
      <c r="AO2406" t="inlineStr">
        <is>
          <t>No, I don't need at all</t>
        </is>
      </c>
      <c r="AP2406" t="inlineStr">
        <is>
          <t>Once a year (25%)</t>
        </is>
      </c>
      <c r="AQ2406">
        <v>2</v>
      </c>
      <c r="AR2406" t="inlineStr">
        <is>
          <t>Free Job Portal</t>
        </is>
      </c>
      <c r="AS2406"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AT2406">
        <v>95</v>
      </c>
      <c r="AU2406" t="inlineStr">
        <is>
          <t>0.95</t>
        </is>
      </c>
      <c r="AV2406" t="inlineStr">
        <is>
          <t>15</t>
        </is>
      </c>
      <c r="AW2406" t="inlineStr">
        <is>
          <t>0</t>
        </is>
      </c>
      <c r="AX2406" t="inlineStr">
        <is>
          <t>Not Qualified</t>
        </is>
      </c>
      <c r="AY2406" s="4"/>
      <c r="AZ2406"/>
      <c r="BA2406"/>
      <c r="BB2406"/>
      <c r="BC2406"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Free Job Portal</t>
        </is>
      </c>
      <c r="BD2406" s="4">
        <v>46120.70921296296</v>
      </c>
      <c r="BE2406" t="inlineStr">
        <is>
          <t>paid</t>
        </is>
      </c>
      <c r="BF2406" t="inlineStr">
        <is>
          <t>Q1-W09</t>
        </is>
      </c>
      <c r="BG2406" t="inlineStr">
        <is>
          <t>Reschedule</t>
        </is>
      </c>
      <c r="BH2406" t="inlineStr">
        <is>
          <t>Edward Hoo</t>
        </is>
      </c>
      <c r="BI2406" t="inlineStr">
        <is>
          <t>Business / Mgmt Consulting</t>
        </is>
      </c>
      <c r="BJ2406" s="4">
        <v>46144.75612268518</v>
      </c>
      <c r="BK2406" s="4">
        <v>42430.47505787037</v>
      </c>
      <c r="BL2406" t="inlineStr">
        <is>
          <t>1512.0</t>
        </is>
      </c>
      <c r="BM2406" t="inlineStr">
        <is>
          <t>0.0</t>
        </is>
      </c>
      <c r="BN2406" t="inlineStr">
        <is>
          <t>View Company Page</t>
        </is>
      </c>
      <c r="BO2406" s="4">
        <v>46135.49266203704</v>
      </c>
      <c r="BP2406">
        <v>165989</v>
      </c>
      <c r="BQ2406">
        <v>87408</v>
      </c>
      <c r="BR2406" t="inlineStr">
        <is>
          <t>Online</t>
        </is>
      </c>
      <c r="BS2406"/>
      <c r="BT2406">
        <v>87408</v>
      </c>
      <c r="BU2406"/>
      <c r="BV2406">
        <v>2693720</v>
      </c>
      <c r="BW2406" t="inlineStr">
        <is>
          <t>Customer Inquiry</t>
        </is>
      </c>
      <c r="BX2406"/>
      <c r="BY2406"/>
      <c r="BZ2406" s="4"/>
      <c r="CA2406"/>
      <c r="CB2406"/>
      <c r="CC2406" s="4"/>
      <c r="CD2406" t="inlineStr">
        <is>
          <t>20</t>
        </is>
      </c>
      <c r="CE2406" t="inlineStr">
        <is>
          <t>0</t>
        </is>
      </c>
      <c r="CF2406" t="inlineStr">
        <is>
          <t>Q2-W01</t>
        </is>
      </c>
      <c r="CG2406" t="inlineStr">
        <is>
          <t>Q1-W09</t>
        </is>
      </c>
      <c r="CH2406" t="inlineStr">
        <is>
          <t>Q1-W09</t>
        </is>
      </c>
      <c r="CI2406"/>
      <c r="CJ2406" t="inlineStr">
        <is>
          <t>Paid</t>
        </is>
      </c>
      <c r="CK2406" t="inlineStr">
        <is>
          <t>Not Eligible</t>
        </is>
      </c>
      <c r="CL2406"/>
      <c r="CM2406"/>
    </row>
    <row r="2407" ht="25.5" customHeight="1">
      <c r="A2407" t="inlineStr">
        <is>
          <t>4178722</t>
        </is>
      </c>
      <c r="B2407" s="2"/>
      <c r="C2407"/>
      <c r="D2407" s="3">
        <v>46120.69185185185</v>
      </c>
      <c r="E2407" t="inlineStr">
        <is>
          <t>Q2-W01</t>
        </is>
      </c>
      <c r="F2407" t="inlineStr">
        <is>
          <t>Janice Yap</t>
        </is>
      </c>
      <c r="G2407" t="inlineStr">
        <is>
          <t>Lead</t>
        </is>
      </c>
      <c r="H2407" s="2" t="str">
        <f>=HYPERLINK("https://upbox.ajobthing.my/leads/4178722", "https://upbox.ajobthing.my/leads/4178722")</f>
        <v>https://upbox.ajobthing.my/leads/4178722</v>
      </c>
      <c r="I2407" t="inlineStr">
        <is>
          <t>SMART OPTION PROPERTY MANAGEMENT</t>
        </is>
      </c>
      <c r="J2407" t="inlineStr">
        <is>
          <t>Dolphin</t>
        </is>
      </c>
      <c r="K2407" t="inlineStr">
        <is>
          <t>Janice</t>
        </is>
      </c>
      <c r="L2407" s="4"/>
      <c r="M2407" s="4">
        <v>46120.69032407407</v>
      </c>
      <c r="N2407"/>
      <c r="O2407">
        <v>3888</v>
      </c>
      <c r="P2407" s="4"/>
      <c r="Q2407" s="4"/>
      <c r="R2407"/>
      <c r="S2407"/>
      <c r="T2407" s="4"/>
      <c r="U2407" s="4"/>
      <c r="V2407"/>
      <c r="W2407"/>
      <c r="X2407"/>
      <c r="Y2407" t="inlineStr">
        <is>
          <t>Pending Appointment</t>
        </is>
      </c>
      <c r="Z2407" t="inlineStr">
        <is>
          <t>Hiring Now</t>
        </is>
      </c>
      <c r="AA2407">
        <v>1</v>
      </c>
      <c r="AB2407" t="inlineStr">
        <is>
          <t>No Appointment Made</t>
        </is>
      </c>
      <c r="AC2407"/>
      <c r="AD2407" t="inlineStr">
        <is>
          <t>1 admin</t>
        </is>
      </c>
      <c r="AE2407"/>
      <c r="AF2407">
        <v>0</v>
      </c>
      <c r="AG2407" s="4"/>
      <c r="AH2407" s="4"/>
      <c r="AI2407">
        <v>0</v>
      </c>
      <c r="AJ2407"/>
      <c r="AK2407" t="inlineStr">
        <is>
          <t>No, I don't need at all</t>
        </is>
      </c>
      <c r="AL2407">
        <v>0</v>
      </c>
      <c r="AM2407" t="inlineStr">
        <is>
          <t>No, I don't need at all</t>
        </is>
      </c>
      <c r="AN2407"/>
      <c r="AO2407" t="inlineStr">
        <is>
          <t>No, I don't need at all</t>
        </is>
      </c>
      <c r="AP2407" t="inlineStr">
        <is>
          <t>Once a year (25%)</t>
        </is>
      </c>
      <c r="AQ2407">
        <v>1</v>
      </c>
      <c r="AR2407"/>
      <c r="AS2407"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2407">
        <v>100</v>
      </c>
      <c r="AU2407" t="inlineStr">
        <is>
          <t>1.00</t>
        </is>
      </c>
      <c r="AV2407" t="inlineStr">
        <is>
          <t>15</t>
        </is>
      </c>
      <c r="AW2407" t="inlineStr">
        <is>
          <t>0</t>
        </is>
      </c>
      <c r="AX2407" t="inlineStr">
        <is>
          <t>Not Qualified</t>
        </is>
      </c>
      <c r="AY2407" s="4"/>
      <c r="AZ2407"/>
      <c r="BA2407"/>
      <c r="BB2407"/>
      <c r="BC2407"/>
      <c r="BD2407" s="4"/>
      <c r="BE2407"/>
      <c r="BF2407"/>
      <c r="BG2407" t="inlineStr">
        <is>
          <t>Reschedule</t>
        </is>
      </c>
      <c r="BH2407" t="inlineStr">
        <is>
          <t>Yee Hang</t>
        </is>
      </c>
      <c r="BI2407"/>
      <c r="BJ2407" s="4">
        <v>46144.75560185185</v>
      </c>
      <c r="BK2407" s="4">
        <v>46100.72429398148</v>
      </c>
      <c r="BL2407" t="inlineStr">
        <is>
          <t>0.0</t>
        </is>
      </c>
      <c r="BM2407" t="inlineStr">
        <is>
          <t>0.0</t>
        </is>
      </c>
      <c r="BN2407"/>
      <c r="BO2407" s="4"/>
      <c r="BP2407">
        <v>165996</v>
      </c>
      <c r="BQ2407"/>
      <c r="BR2407"/>
      <c r="BS2407"/>
      <c r="BT2407"/>
      <c r="BU2407"/>
      <c r="BV2407"/>
      <c r="BW2407"/>
      <c r="BX2407"/>
      <c r="BY2407"/>
      <c r="BZ2407" s="4"/>
      <c r="CA2407"/>
      <c r="CB2407"/>
      <c r="CC2407" s="4"/>
      <c r="CD2407" t="inlineStr">
        <is>
          <t>20</t>
        </is>
      </c>
      <c r="CE2407" t="inlineStr">
        <is>
          <t>0</t>
        </is>
      </c>
      <c r="CF2407" t="inlineStr">
        <is>
          <t>Q2-W01</t>
        </is>
      </c>
      <c r="CG2407"/>
      <c r="CH2407"/>
      <c r="CI2407"/>
      <c r="CJ2407" t="inlineStr">
        <is>
          <t>No Paid</t>
        </is>
      </c>
      <c r="CK2407" t="inlineStr">
        <is>
          <t>Not Eligible</t>
        </is>
      </c>
      <c r="CL2407"/>
      <c r="CM2407"/>
    </row>
    <row r="2408" ht="25.5" customHeight="1">
      <c r="A2408" t="inlineStr">
        <is>
          <t>157408</t>
        </is>
      </c>
      <c r="B2408" s="2"/>
      <c r="C2408"/>
      <c r="D2408" s="3">
        <v>46120.69284722222</v>
      </c>
      <c r="E2408" t="inlineStr">
        <is>
          <t>Q2-W01</t>
        </is>
      </c>
      <c r="F2408" t="inlineStr">
        <is>
          <t>Jia Hui</t>
        </is>
      </c>
      <c r="G2408" t="inlineStr">
        <is>
          <t>Customer</t>
        </is>
      </c>
      <c r="H2408" s="2" t="str">
        <f>=HYPERLINK("https://upbox.ajobthing.my/customer/157408", "https://upbox.ajobthing.my/customer/157408")</f>
        <v>https://upbox.ajobthing.my/customer/157408</v>
      </c>
      <c r="I2408" t="inlineStr">
        <is>
          <t>Gaias Sdn Bhd</t>
        </is>
      </c>
      <c r="J2408" t="inlineStr">
        <is>
          <t>Dolphin</t>
        </is>
      </c>
      <c r="K2408" t="inlineStr">
        <is>
          <t>Jia Hui</t>
        </is>
      </c>
      <c r="L2408" s="4"/>
      <c r="M2408" s="4">
        <v>46120.69311342593</v>
      </c>
      <c r="N2408"/>
      <c r="O2408">
        <v>3888</v>
      </c>
      <c r="P2408" s="4"/>
      <c r="Q2408" s="4">
        <v>45089.31925925926</v>
      </c>
      <c r="R2408"/>
      <c r="S2408">
        <v>2332</v>
      </c>
      <c r="T2408" s="4">
        <v>45089.00001157408</v>
      </c>
      <c r="U2408" s="4"/>
      <c r="V2408"/>
      <c r="W2408">
        <v>2332</v>
      </c>
      <c r="X2408"/>
      <c r="Y2408" t="inlineStr">
        <is>
          <t>Pending Appointment</t>
        </is>
      </c>
      <c r="Z2408" t="inlineStr">
        <is>
          <t>Hiring Later</t>
        </is>
      </c>
      <c r="AA2408">
        <v>2</v>
      </c>
      <c r="AB2408" t="inlineStr">
        <is>
          <t>No Appointment Made</t>
        </is>
      </c>
      <c r="AC2408"/>
      <c r="AD2408" t="inlineStr">
        <is>
          <t>1 admin, 1 sales</t>
        </is>
      </c>
      <c r="AE2408"/>
      <c r="AF2408">
        <v>1000</v>
      </c>
      <c r="AG2408" s="4"/>
      <c r="AH2408" s="4"/>
      <c r="AI2408"/>
      <c r="AJ2408"/>
      <c r="AK2408" t="inlineStr">
        <is>
          <t>No, but I want in future</t>
        </is>
      </c>
      <c r="AL2408"/>
      <c r="AM2408"/>
      <c r="AN2408"/>
      <c r="AO2408"/>
      <c r="AP2408" t="inlineStr">
        <is>
          <t>Once a year (25%)</t>
        </is>
      </c>
      <c r="AQ2408"/>
      <c r="AR2408"/>
      <c r="AS2408" t="inlineStr">
        <is>
          <t>- Headcount: 2
- Hiring Job Details: 1 admin, 1 sales
- Hiring Urgency: Hiring Later
- Number of outlets: Not available
- Have recruiter team: No, but I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408">
        <v>75</v>
      </c>
      <c r="AU2408" t="inlineStr">
        <is>
          <t>0.75</t>
        </is>
      </c>
      <c r="AV2408" t="inlineStr">
        <is>
          <t>15</t>
        </is>
      </c>
      <c r="AW2408" t="inlineStr">
        <is>
          <t>0</t>
        </is>
      </c>
      <c r="AX2408" t="inlineStr">
        <is>
          <t>Not Qualified</t>
        </is>
      </c>
      <c r="AY2408" s="4"/>
      <c r="AZ2408"/>
      <c r="BA2408"/>
      <c r="BB2408"/>
      <c r="BC2408" t="inlineStr">
        <is>
          <t>no hiring atm</t>
        </is>
      </c>
      <c r="BD2408" s="4">
        <v>46127.75980324074</v>
      </c>
      <c r="BE2408" t="inlineStr">
        <is>
          <t>paid</t>
        </is>
      </c>
      <c r="BF2408"/>
      <c r="BG2408" t="inlineStr">
        <is>
          <t>Reschedule</t>
        </is>
      </c>
      <c r="BH2408" t="inlineStr">
        <is>
          <t>Reagen</t>
        </is>
      </c>
      <c r="BI2408" t="inlineStr">
        <is>
          <t>Advertising / Marketing</t>
        </is>
      </c>
      <c r="BJ2408" s="4">
        <v>46144.75101851852</v>
      </c>
      <c r="BK2408" s="4">
        <v>44762.75136574074</v>
      </c>
      <c r="BL2408" t="inlineStr">
        <is>
          <t>0.0</t>
        </is>
      </c>
      <c r="BM2408" t="inlineStr">
        <is>
          <t>600.0</t>
        </is>
      </c>
      <c r="BN2408" t="inlineStr">
        <is>
          <t>View Create Job Page</t>
        </is>
      </c>
      <c r="BO2408" s="4">
        <v>45691.65704861111</v>
      </c>
      <c r="BP2408">
        <v>165997</v>
      </c>
      <c r="BQ2408">
        <v>76980</v>
      </c>
      <c r="BR2408" t="inlineStr">
        <is>
          <t>Proforma</t>
        </is>
      </c>
      <c r="BS2408" t="inlineStr">
        <is>
          <t>Instant Job Ad - Standard Promo PLUS Package</t>
        </is>
      </c>
      <c r="BT2408">
        <v>59536</v>
      </c>
      <c r="BU2408"/>
      <c r="BV2408">
        <v>2707155</v>
      </c>
      <c r="BW2408" t="inlineStr">
        <is>
          <t>Inquire for Hiring Needs : No Hiring</t>
        </is>
      </c>
      <c r="BX2408"/>
      <c r="BY2408"/>
      <c r="BZ2408" s="4"/>
      <c r="CA2408"/>
      <c r="CB2408"/>
      <c r="CC2408" s="4"/>
      <c r="CD2408" t="inlineStr">
        <is>
          <t>20</t>
        </is>
      </c>
      <c r="CE2408" t="inlineStr">
        <is>
          <t>0</t>
        </is>
      </c>
      <c r="CF2408" t="inlineStr">
        <is>
          <t>Q2-W01</t>
        </is>
      </c>
      <c r="CG2408"/>
      <c r="CH2408"/>
      <c r="CI2408"/>
      <c r="CJ2408" t="inlineStr">
        <is>
          <t>Paid</t>
        </is>
      </c>
      <c r="CK2408" t="inlineStr">
        <is>
          <t>Not Eligible</t>
        </is>
      </c>
      <c r="CL2408"/>
      <c r="CM2408"/>
    </row>
    <row r="2409" ht="25.5" customHeight="1">
      <c r="A2409" t="inlineStr">
        <is>
          <t>177168</t>
        </is>
      </c>
      <c r="B2409" s="2"/>
      <c r="C2409"/>
      <c r="D2409" s="3">
        <v>46120.695393518516</v>
      </c>
      <c r="E2409" t="inlineStr">
        <is>
          <t>Q2-W01</t>
        </is>
      </c>
      <c r="F2409" t="inlineStr">
        <is>
          <t>Clover</t>
        </is>
      </c>
      <c r="G2409" t="inlineStr">
        <is>
          <t>Customer</t>
        </is>
      </c>
      <c r="H2409" s="2" t="str">
        <f>=HYPERLINK("https://upbox.ajobthing.my/customer/177168", "https://upbox.ajobthing.my/customer/177168")</f>
        <v>https://upbox.ajobthing.my/customer/177168</v>
      </c>
      <c r="I2409" t="inlineStr">
        <is>
          <t>London Mint Sdn Bhd</t>
        </is>
      </c>
      <c r="J2409" t="inlineStr">
        <is>
          <t>Dolphin</t>
        </is>
      </c>
      <c r="K2409" t="inlineStr">
        <is>
          <t>Clover</t>
        </is>
      </c>
      <c r="L2409" s="4"/>
      <c r="M2409" s="4">
        <v>46120.69493055555</v>
      </c>
      <c r="N2409"/>
      <c r="O2409">
        <v>6048</v>
      </c>
      <c r="P2409" s="4"/>
      <c r="Q2409" s="4">
        <v>46141.62902777778</v>
      </c>
      <c r="R2409"/>
      <c r="S2409">
        <v>0</v>
      </c>
      <c r="T2409" s="4">
        <v>46122.735081018516</v>
      </c>
      <c r="U2409" s="4"/>
      <c r="V2409"/>
      <c r="W2409">
        <v>3888</v>
      </c>
      <c r="X2409"/>
      <c r="Y2409" t="inlineStr">
        <is>
          <t>Pending Appointment</t>
        </is>
      </c>
      <c r="Z2409" t="inlineStr">
        <is>
          <t>Hiring Now</t>
        </is>
      </c>
      <c r="AA2409">
        <v>11</v>
      </c>
      <c r="AB2409" t="inlineStr">
        <is>
          <t>No Appointment Made</t>
        </is>
      </c>
      <c r="AC2409"/>
      <c r="AD2409" t="inlineStr">
        <is>
          <t>Want to hire marketing assistant exec x1 mandarin , sub company Kam Sheng Manufacturer- operator 10 pax, klang,  don't want meetings,  suggest pro</t>
        </is>
      </c>
      <c r="AE2409"/>
      <c r="AF2409">
        <v>5000</v>
      </c>
      <c r="AG2409" s="4"/>
      <c r="AH2409" s="4"/>
      <c r="AI2409">
        <v>5000</v>
      </c>
      <c r="AJ2409">
        <v>1</v>
      </c>
      <c r="AK2409" t="inlineStr">
        <is>
          <t>No, but I want in future</t>
        </is>
      </c>
      <c r="AL2409">
        <v>1</v>
      </c>
      <c r="AM2409" t="inlineStr">
        <is>
          <t>No, but I want in future</t>
        </is>
      </c>
      <c r="AN2409"/>
      <c r="AO2409" t="inlineStr">
        <is>
          <t>No, but I want in future</t>
        </is>
      </c>
      <c r="AP2409" t="inlineStr">
        <is>
          <t>Once per quarter (75%)</t>
        </is>
      </c>
      <c r="AQ2409">
        <v>11</v>
      </c>
      <c r="AR2409" t="inlineStr">
        <is>
          <t>Did not use any job portal</t>
        </is>
      </c>
      <c r="AS2409" t="inlineStr">
        <is>
          <t>- Headcount: 11
- Hiring Job Details: 1 mandarin marketing assistant exec, 10 Kam Sheng Manufacturer operator (Klang); no meetings preferred,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11
- Hiring frequency: Once per quarter (75%)
- External job portal: Did not use any</t>
        </is>
      </c>
      <c r="AT2409">
        <v>115</v>
      </c>
      <c r="AU2409" t="inlineStr">
        <is>
          <t>1.15</t>
        </is>
      </c>
      <c r="AV2409" t="inlineStr">
        <is>
          <t>25</t>
        </is>
      </c>
      <c r="AW2409" t="inlineStr">
        <is>
          <t>0</t>
        </is>
      </c>
      <c r="AX2409" t="inlineStr">
        <is>
          <t>Not Qualified</t>
        </is>
      </c>
      <c r="AY2409" s="4"/>
      <c r="AZ2409"/>
      <c r="BA2409"/>
      <c r="BB2409"/>
      <c r="BC2409" t="inlineStr">
        <is>
          <t>Bump up</t>
        </is>
      </c>
      <c r="BD2409" s="4">
        <v>46132.69900462963</v>
      </c>
      <c r="BE2409" t="inlineStr">
        <is>
          <t>paid</t>
        </is>
      </c>
      <c r="BF2409" t="inlineStr">
        <is>
          <t>Q2-W02</t>
        </is>
      </c>
      <c r="BG2409" t="inlineStr">
        <is>
          <t>Reschedule</t>
        </is>
      </c>
      <c r="BH2409" t="inlineStr">
        <is>
          <t>Reagen</t>
        </is>
      </c>
      <c r="BI2409" t="inlineStr">
        <is>
          <t>Gems / Jewellery</t>
        </is>
      </c>
      <c r="BJ2409" s="4">
        <v>46144.75167824074</v>
      </c>
      <c r="BK2409" s="4">
        <v>45390.400868055556</v>
      </c>
      <c r="BL2409" t="inlineStr">
        <is>
          <t>3888.0</t>
        </is>
      </c>
      <c r="BM2409" t="inlineStr">
        <is>
          <t>0.0</t>
        </is>
      </c>
      <c r="BN2409" t="inlineStr">
        <is>
          <t>View Company Page</t>
        </is>
      </c>
      <c r="BO2409" s="4">
        <v>46141.662303240744</v>
      </c>
      <c r="BP2409">
        <v>166000</v>
      </c>
      <c r="BQ2409">
        <v>124078</v>
      </c>
      <c r="BR2409" t="inlineStr">
        <is>
          <t>Proforma</t>
        </is>
      </c>
      <c r="BS2409" t="inlineStr">
        <is>
          <t>Free Internship Job</t>
        </is>
      </c>
      <c r="BT2409">
        <v>92929</v>
      </c>
      <c r="BU2409"/>
      <c r="BV2409">
        <v>2716401</v>
      </c>
      <c r="BW2409" t="inlineStr">
        <is>
          <t>Service / Technical : Job Outcome Enquiry</t>
        </is>
      </c>
      <c r="BX2409">
        <v>7</v>
      </c>
      <c r="BY2409">
        <v>5</v>
      </c>
      <c r="BZ2409" s="4">
        <v>46126.374918981484</v>
      </c>
      <c r="CA2409">
        <v>60</v>
      </c>
      <c r="CB2409">
        <v>49</v>
      </c>
      <c r="CC2409" s="4">
        <v>46135.446226851855</v>
      </c>
      <c r="CD2409" t="inlineStr">
        <is>
          <t>35</t>
        </is>
      </c>
      <c r="CE2409" t="inlineStr">
        <is>
          <t>0</t>
        </is>
      </c>
      <c r="CF2409" t="inlineStr">
        <is>
          <t>Q2-W01</t>
        </is>
      </c>
      <c r="CG2409" t="inlineStr">
        <is>
          <t>Q2-W04</t>
        </is>
      </c>
      <c r="CH2409" t="inlineStr">
        <is>
          <t>Q2-W02</t>
        </is>
      </c>
      <c r="CI2409"/>
      <c r="CJ2409" t="inlineStr">
        <is>
          <t>Paid</t>
        </is>
      </c>
      <c r="CK2409" t="inlineStr">
        <is>
          <t>Eligible</t>
        </is>
      </c>
      <c r="CL2409"/>
      <c r="CM2409"/>
    </row>
    <row r="2410" ht="25.5" customHeight="1">
      <c r="A2410" t="inlineStr">
        <is>
          <t>22513</t>
        </is>
      </c>
      <c r="B2410" s="2"/>
      <c r="C2410"/>
      <c r="D2410" s="3">
        <v>46120.69934027778</v>
      </c>
      <c r="E2410" t="inlineStr">
        <is>
          <t>Q2-W01</t>
        </is>
      </c>
      <c r="F2410" t="inlineStr">
        <is>
          <t>Chia Yee</t>
        </is>
      </c>
      <c r="G2410" t="inlineStr">
        <is>
          <t>Customer</t>
        </is>
      </c>
      <c r="H2410" s="2" t="str">
        <f>=HYPERLINK("https://upbox.ajobthing.my/customer/22513", "https://upbox.ajobthing.my/customer/22513")</f>
        <v>https://upbox.ajobthing.my/customer/22513</v>
      </c>
      <c r="I2410" t="inlineStr">
        <is>
          <t>Madre</t>
        </is>
      </c>
      <c r="J2410" t="inlineStr">
        <is>
          <t>Dolphin</t>
        </is>
      </c>
      <c r="K2410" t="inlineStr">
        <is>
          <t>Chia Yee</t>
        </is>
      </c>
      <c r="L2410" s="4"/>
      <c r="M2410" s="4">
        <v>46120.69945601852</v>
      </c>
      <c r="N2410"/>
      <c r="O2410">
        <v>3888</v>
      </c>
      <c r="P2410" s="4"/>
      <c r="Q2410" s="4">
        <v>46120.68251157407</v>
      </c>
      <c r="R2410"/>
      <c r="S2410">
        <v>0</v>
      </c>
      <c r="T2410" s="4">
        <v>44180.53160879629</v>
      </c>
      <c r="U2410" s="4"/>
      <c r="V2410"/>
      <c r="W2410">
        <v>1484</v>
      </c>
      <c r="X2410"/>
      <c r="Y2410" t="inlineStr">
        <is>
          <t>Pending Appointment</t>
        </is>
      </c>
      <c r="Z2410" t="inlineStr">
        <is>
          <t>Hiring Now</t>
        </is>
      </c>
      <c r="AA2410">
        <v>1</v>
      </c>
      <c r="AB2410" t="inlineStr">
        <is>
          <t>No Appointment Made</t>
        </is>
      </c>
      <c r="AC2410"/>
      <c r="AD2410" t="inlineStr">
        <is>
          <t>1 Content creator</t>
        </is>
      </c>
      <c r="AE2410"/>
      <c r="AF2410">
        <v>0</v>
      </c>
      <c r="AG2410" s="4"/>
      <c r="AH2410" s="4"/>
      <c r="AI2410">
        <v>0</v>
      </c>
      <c r="AJ2410">
        <v>1</v>
      </c>
      <c r="AK2410" t="inlineStr">
        <is>
          <t>No, I don't need at all</t>
        </is>
      </c>
      <c r="AL2410">
        <v>1</v>
      </c>
      <c r="AM2410" t="inlineStr">
        <is>
          <t>No, I don't need at all</t>
        </is>
      </c>
      <c r="AN2410"/>
      <c r="AO2410" t="inlineStr">
        <is>
          <t>No, I don't need at all</t>
        </is>
      </c>
      <c r="AP2410" t="inlineStr">
        <is>
          <t>Once a year (25%)</t>
        </is>
      </c>
      <c r="AQ2410">
        <v>1</v>
      </c>
      <c r="AR2410" t="inlineStr">
        <is>
          <t>Did not use any job portal</t>
        </is>
      </c>
      <c r="AS2410" t="inlineStr">
        <is>
          <t>- Headcount: 1
- Hiring Job Details: 1 Content creator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410">
        <v>110</v>
      </c>
      <c r="AU2410" t="inlineStr">
        <is>
          <t>1.10</t>
        </is>
      </c>
      <c r="AV2410" t="inlineStr">
        <is>
          <t>15</t>
        </is>
      </c>
      <c r="AW2410" t="inlineStr">
        <is>
          <t>0</t>
        </is>
      </c>
      <c r="AX2410" t="inlineStr">
        <is>
          <t>Not Qualified</t>
        </is>
      </c>
      <c r="AY2410" s="4"/>
      <c r="AZ2410"/>
      <c r="BA2410"/>
      <c r="BB2410"/>
      <c r="BC2410" t="inlineStr">
        <is>
          <t>Replied: we alrdy shortlisted candidates from indeed</t>
        </is>
      </c>
      <c r="BD2410" s="4">
        <v>46129.69258101852</v>
      </c>
      <c r="BE2410" t="inlineStr">
        <is>
          <t>paid</t>
        </is>
      </c>
      <c r="BF2410"/>
      <c r="BG2410" t="inlineStr">
        <is>
          <t>Reschedule</t>
        </is>
      </c>
      <c r="BH2410" t="inlineStr">
        <is>
          <t>Reagen</t>
        </is>
      </c>
      <c r="BI2410" t="inlineStr">
        <is>
          <t>Retail / Merchandise</t>
        </is>
      </c>
      <c r="BJ2410" s="4">
        <v>46144.75444444444</v>
      </c>
      <c r="BK2410" s="4">
        <v>42495.45344907408</v>
      </c>
      <c r="BL2410" t="inlineStr">
        <is>
          <t>0.0</t>
        </is>
      </c>
      <c r="BM2410" t="inlineStr">
        <is>
          <t>0.0</t>
        </is>
      </c>
      <c r="BN2410" t="inlineStr">
        <is>
          <t>View Company Page</t>
        </is>
      </c>
      <c r="BO2410" s="4">
        <v>46121.55</v>
      </c>
      <c r="BP2410">
        <v>166008</v>
      </c>
      <c r="BQ2410">
        <v>121054</v>
      </c>
      <c r="BR2410" t="inlineStr">
        <is>
          <t>Proforma</t>
        </is>
      </c>
      <c r="BS2410" t="inlineStr">
        <is>
          <t>Free Part-Time Job</t>
        </is>
      </c>
      <c r="BT2410">
        <v>28905</v>
      </c>
      <c r="BU2410"/>
      <c r="BV2410">
        <v>2713041</v>
      </c>
      <c r="BW2410" t="inlineStr">
        <is>
          <t>Follow Up : Lost - Free Portal</t>
        </is>
      </c>
      <c r="BX2410"/>
      <c r="BY2410"/>
      <c r="BZ2410" s="4"/>
      <c r="CA2410"/>
      <c r="CB2410"/>
      <c r="CC2410" s="4"/>
      <c r="CD2410" t="inlineStr">
        <is>
          <t>20</t>
        </is>
      </c>
      <c r="CE2410" t="inlineStr">
        <is>
          <t>0</t>
        </is>
      </c>
      <c r="CF2410" t="inlineStr">
        <is>
          <t>Q2-W01</t>
        </is>
      </c>
      <c r="CG2410" t="inlineStr">
        <is>
          <t>Q2-W01</t>
        </is>
      </c>
      <c r="CH2410"/>
      <c r="CI2410"/>
      <c r="CJ2410" t="inlineStr">
        <is>
          <t>Paid</t>
        </is>
      </c>
      <c r="CK2410" t="inlineStr">
        <is>
          <t>Not Eligible</t>
        </is>
      </c>
      <c r="CL2410"/>
      <c r="CM2410"/>
    </row>
    <row r="2411" ht="25.5" customHeight="1">
      <c r="A2411" t="inlineStr">
        <is>
          <t>190376</t>
        </is>
      </c>
      <c r="B2411" s="2"/>
      <c r="C2411"/>
      <c r="D2411" s="3">
        <v>46120.70925925926</v>
      </c>
      <c r="E2411" t="inlineStr">
        <is>
          <t>Q2-W01</t>
        </is>
      </c>
      <c r="F2411" t="inlineStr">
        <is>
          <t>Janice Yap</t>
        </is>
      </c>
      <c r="G2411" t="inlineStr">
        <is>
          <t>Customer</t>
        </is>
      </c>
      <c r="H2411" s="2" t="str">
        <f>=HYPERLINK("https://upbox.ajobthing.my/customer/190376", "https://upbox.ajobthing.my/customer/190376")</f>
        <v>https://upbox.ajobthing.my/customer/190376</v>
      </c>
      <c r="I2411" t="inlineStr">
        <is>
          <t>Tiger Green Resources Malaysia Sdn Bhd</t>
        </is>
      </c>
      <c r="J2411" t="inlineStr">
        <is>
          <t>Dolphin</t>
        </is>
      </c>
      <c r="K2411" t="inlineStr">
        <is>
          <t>Janice</t>
        </is>
      </c>
      <c r="L2411" s="4"/>
      <c r="M2411" s="4">
        <v>46120.70586805556</v>
      </c>
      <c r="N2411"/>
      <c r="O2411">
        <v>3888</v>
      </c>
      <c r="P2411" s="4"/>
      <c r="Q2411" s="4">
        <v>45777.811435185184</v>
      </c>
      <c r="R2411"/>
      <c r="S2411">
        <v>2916</v>
      </c>
      <c r="T2411" s="4">
        <v>45777.811435185184</v>
      </c>
      <c r="U2411" s="4"/>
      <c r="V2411"/>
      <c r="W2411">
        <v>2916</v>
      </c>
      <c r="X2411"/>
      <c r="Y2411" t="inlineStr">
        <is>
          <t>Pending Appointment</t>
        </is>
      </c>
      <c r="Z2411" t="inlineStr">
        <is>
          <t>Hiring Now</t>
        </is>
      </c>
      <c r="AA2411">
        <v>3</v>
      </c>
      <c r="AB2411" t="inlineStr">
        <is>
          <t>No Appointment Made</t>
        </is>
      </c>
      <c r="AC2411"/>
      <c r="AD2411" t="inlineStr">
        <is>
          <t>2 production // 1 marketing</t>
        </is>
      </c>
      <c r="AE2411"/>
      <c r="AF2411">
        <v>0</v>
      </c>
      <c r="AG2411" s="4"/>
      <c r="AH2411" s="4"/>
      <c r="AI2411">
        <v>0</v>
      </c>
      <c r="AJ2411"/>
      <c r="AK2411" t="inlineStr">
        <is>
          <t>No, I don't need at all</t>
        </is>
      </c>
      <c r="AL2411">
        <v>0</v>
      </c>
      <c r="AM2411" t="inlineStr">
        <is>
          <t>No, I don't need at all</t>
        </is>
      </c>
      <c r="AN2411"/>
      <c r="AO2411" t="inlineStr">
        <is>
          <t>No, I don't need at all</t>
        </is>
      </c>
      <c r="AP2411" t="inlineStr">
        <is>
          <t>Once a year (25%)</t>
        </is>
      </c>
      <c r="AQ2411">
        <v>3</v>
      </c>
      <c r="AR2411" t="inlineStr">
        <is>
          <t>Jobstreet</t>
        </is>
      </c>
      <c r="AS2411" t="inlineStr">
        <is>
          <t>- Headcount: 3
- Hiring Job Details: 2 production // 1 marketing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Jobstreet</t>
        </is>
      </c>
      <c r="AT2411">
        <v>110</v>
      </c>
      <c r="AU2411" t="inlineStr">
        <is>
          <t>1.10</t>
        </is>
      </c>
      <c r="AV2411" t="inlineStr">
        <is>
          <t>15</t>
        </is>
      </c>
      <c r="AW2411" t="inlineStr">
        <is>
          <t>0</t>
        </is>
      </c>
      <c r="AX2411" t="inlineStr">
        <is>
          <t>Not Qualified</t>
        </is>
      </c>
      <c r="AY2411" s="4"/>
      <c r="AZ2411"/>
      <c r="BA2411"/>
      <c r="BB2411"/>
      <c r="BC2411" t="inlineStr">
        <is>
          <t>No need posting // prefer use candidate search to get candidates</t>
        </is>
      </c>
      <c r="BD2411" s="4">
        <v>46122.69971064815</v>
      </c>
      <c r="BE2411" t="inlineStr">
        <is>
          <t>paid</t>
        </is>
      </c>
      <c r="BF2411"/>
      <c r="BG2411" t="inlineStr">
        <is>
          <t>Reschedule</t>
        </is>
      </c>
      <c r="BH2411" t="inlineStr">
        <is>
          <t>Yee Hang</t>
        </is>
      </c>
      <c r="BI2411" t="inlineStr">
        <is>
          <t>General / Wholesale Trading</t>
        </is>
      </c>
      <c r="BJ2411" s="4">
        <v>46144.75234953704</v>
      </c>
      <c r="BK2411" s="4">
        <v>45769.60171296296</v>
      </c>
      <c r="BL2411" t="inlineStr">
        <is>
          <t>2916.0</t>
        </is>
      </c>
      <c r="BM2411" t="inlineStr">
        <is>
          <t>1200.0</t>
        </is>
      </c>
      <c r="BN2411" t="inlineStr">
        <is>
          <t>View Jobmanager Page</t>
        </is>
      </c>
      <c r="BO2411" s="4">
        <v>46120.70260416667</v>
      </c>
      <c r="BP2411">
        <v>166012</v>
      </c>
      <c r="BQ2411">
        <v>78931</v>
      </c>
      <c r="BR2411" t="inlineStr">
        <is>
          <t>Online</t>
        </is>
      </c>
      <c r="BS2411"/>
      <c r="BT2411">
        <v>78931</v>
      </c>
      <c r="BU2411"/>
      <c r="BV2411">
        <v>2698894</v>
      </c>
      <c r="BW2411" t="inlineStr">
        <is>
          <t>Follow Up : Budget Concern</t>
        </is>
      </c>
      <c r="BX2411"/>
      <c r="BY2411"/>
      <c r="BZ2411" s="4"/>
      <c r="CA2411"/>
      <c r="CB2411"/>
      <c r="CC2411" s="4"/>
      <c r="CD2411" t="inlineStr">
        <is>
          <t>20</t>
        </is>
      </c>
      <c r="CE2411" t="inlineStr">
        <is>
          <t>0</t>
        </is>
      </c>
      <c r="CF2411" t="inlineStr">
        <is>
          <t>Q2-W01</t>
        </is>
      </c>
      <c r="CG2411"/>
      <c r="CH2411"/>
      <c r="CI2411"/>
      <c r="CJ2411" t="inlineStr">
        <is>
          <t>Paid</t>
        </is>
      </c>
      <c r="CK2411" t="inlineStr">
        <is>
          <t>Not Eligible</t>
        </is>
      </c>
      <c r="CL2411"/>
      <c r="CM2411"/>
    </row>
    <row r="2412" ht="25.5" customHeight="1">
      <c r="A2412" t="inlineStr">
        <is>
          <t>150845</t>
        </is>
      </c>
      <c r="B2412" s="2"/>
      <c r="C2412"/>
      <c r="D2412" s="3">
        <v>46120.716319444444</v>
      </c>
      <c r="E2412" t="inlineStr">
        <is>
          <t>Q2-W01</t>
        </is>
      </c>
      <c r="F2412" t="inlineStr">
        <is>
          <t>Jia Hui</t>
        </is>
      </c>
      <c r="G2412" t="inlineStr">
        <is>
          <t>Customer</t>
        </is>
      </c>
      <c r="H2412" s="2" t="str">
        <f>=HYPERLINK("https://upbox.ajobthing.my/customer/150845", "https://upbox.ajobthing.my/customer/150845")</f>
        <v>https://upbox.ajobthing.my/customer/150845</v>
      </c>
      <c r="I2412" t="inlineStr">
        <is>
          <t>Midas Surplus Management Sdn Bhd</t>
        </is>
      </c>
      <c r="J2412" t="inlineStr">
        <is>
          <t>Dolphin</t>
        </is>
      </c>
      <c r="K2412" t="inlineStr">
        <is>
          <t>Jia Hui</t>
        </is>
      </c>
      <c r="L2412" s="4"/>
      <c r="M2412" s="4">
        <v>46120.716990740744</v>
      </c>
      <c r="N2412"/>
      <c r="O2412">
        <v>3888</v>
      </c>
      <c r="P2412" s="4"/>
      <c r="Q2412" s="4">
        <v>44768.63086805555</v>
      </c>
      <c r="R2412"/>
      <c r="S2412">
        <v>1749</v>
      </c>
      <c r="T2412" s="4">
        <v>44768.63086805555</v>
      </c>
      <c r="U2412" s="4"/>
      <c r="V2412"/>
      <c r="W2412">
        <v>1749</v>
      </c>
      <c r="X2412"/>
      <c r="Y2412" t="inlineStr">
        <is>
          <t>Pending Appointment</t>
        </is>
      </c>
      <c r="Z2412" t="inlineStr">
        <is>
          <t>Hiring Now</t>
        </is>
      </c>
      <c r="AA2412">
        <v>2.5</v>
      </c>
      <c r="AB2412" t="inlineStr">
        <is>
          <t>No Appointment Made</t>
        </is>
      </c>
      <c r="AC2412"/>
      <c r="AD2412" t="inlineStr">
        <is>
          <t>2-3 customer service</t>
        </is>
      </c>
      <c r="AE2412"/>
      <c r="AF2412">
        <v>500</v>
      </c>
      <c r="AG2412" s="4"/>
      <c r="AH2412" s="4"/>
      <c r="AI2412"/>
      <c r="AJ2412"/>
      <c r="AK2412" t="inlineStr">
        <is>
          <t>No, but I want in future</t>
        </is>
      </c>
      <c r="AL2412"/>
      <c r="AM2412"/>
      <c r="AN2412"/>
      <c r="AO2412"/>
      <c r="AP2412" t="inlineStr">
        <is>
          <t>Once a year (25%)</t>
        </is>
      </c>
      <c r="AQ2412"/>
      <c r="AR2412"/>
      <c r="AS2412" t="inlineStr">
        <is>
          <t>- Headcount: 2
- Hiring Job Details: 2-3 customer service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is>
      </c>
      <c r="AT2412">
        <v>85</v>
      </c>
      <c r="AU2412" t="inlineStr">
        <is>
          <t>0.85</t>
        </is>
      </c>
      <c r="AV2412" t="inlineStr">
        <is>
          <t>15</t>
        </is>
      </c>
      <c r="AW2412" t="inlineStr">
        <is>
          <t>0</t>
        </is>
      </c>
      <c r="AX2412" t="inlineStr">
        <is>
          <t>Not Qualified</t>
        </is>
      </c>
      <c r="AY2412" s="4"/>
      <c r="AZ2412"/>
      <c r="BA2412"/>
      <c r="BB2412"/>
      <c r="BC2412" t="inlineStr">
        <is>
          <t>pending decision, want to hire but customer still not sure the hiring plan yet, not sure how many headcount, need to have discussion with boss first only can decide, on hold</t>
        </is>
      </c>
      <c r="BD2412" s="4">
        <v>46141.59888888889</v>
      </c>
      <c r="BE2412" t="inlineStr">
        <is>
          <t>paid</t>
        </is>
      </c>
      <c r="BF2412"/>
      <c r="BG2412" t="inlineStr">
        <is>
          <t>Reschedule</t>
        </is>
      </c>
      <c r="BH2412" t="inlineStr">
        <is>
          <t>Reagen</t>
        </is>
      </c>
      <c r="BI2412" t="inlineStr">
        <is>
          <t>Call Center / BPO</t>
        </is>
      </c>
      <c r="BJ2412" s="4">
        <v>46144.75084490741</v>
      </c>
      <c r="BK2412" s="4">
        <v>44643.38190972222</v>
      </c>
      <c r="BL2412" t="inlineStr">
        <is>
          <t>0.0</t>
        </is>
      </c>
      <c r="BM2412" t="inlineStr">
        <is>
          <t>0.0</t>
        </is>
      </c>
      <c r="BN2412" t="inlineStr">
        <is>
          <t>View Create Job Page</t>
        </is>
      </c>
      <c r="BO2412" s="4">
        <v>45742.66234953704</v>
      </c>
      <c r="BP2412">
        <v>166020</v>
      </c>
      <c r="BQ2412">
        <v>48421</v>
      </c>
      <c r="BR2412" t="inlineStr">
        <is>
          <t>Online</t>
        </is>
      </c>
      <c r="BS2412"/>
      <c r="BT2412">
        <v>48421</v>
      </c>
      <c r="BU2412"/>
      <c r="BV2412">
        <v>2735289</v>
      </c>
      <c r="BW2412" t="inlineStr">
        <is>
          <t>Follow Up : Budget Concern</t>
        </is>
      </c>
      <c r="BX2412"/>
      <c r="BY2412"/>
      <c r="BZ2412" s="4"/>
      <c r="CA2412"/>
      <c r="CB2412"/>
      <c r="CC2412" s="4"/>
      <c r="CD2412" t="inlineStr">
        <is>
          <t>20</t>
        </is>
      </c>
      <c r="CE2412" t="inlineStr">
        <is>
          <t>0</t>
        </is>
      </c>
      <c r="CF2412" t="inlineStr">
        <is>
          <t>Q2-W01</t>
        </is>
      </c>
      <c r="CG2412"/>
      <c r="CH2412"/>
      <c r="CI2412"/>
      <c r="CJ2412" t="inlineStr">
        <is>
          <t>Paid</t>
        </is>
      </c>
      <c r="CK2412" t="inlineStr">
        <is>
          <t>Not Eligible</t>
        </is>
      </c>
      <c r="CL2412"/>
      <c r="CM2412"/>
    </row>
    <row r="2413" ht="25.5" customHeight="1">
      <c r="A2413" t="inlineStr">
        <is>
          <t>131655</t>
        </is>
      </c>
      <c r="B2413" s="2"/>
      <c r="C2413"/>
      <c r="D2413" s="3">
        <v>46120.72320601852</v>
      </c>
      <c r="E2413" t="inlineStr">
        <is>
          <t>Q2-W01</t>
        </is>
      </c>
      <c r="F2413" t="inlineStr">
        <is>
          <t>Ratha</t>
        </is>
      </c>
      <c r="G2413" t="inlineStr">
        <is>
          <t>Customer</t>
        </is>
      </c>
      <c r="H2413" s="2" t="str">
        <f>=HYPERLINK("https://upbox.ajobthing.my/customer/131655", "https://upbox.ajobthing.my/customer/131655")</f>
        <v>https://upbox.ajobthing.my/customer/131655</v>
      </c>
      <c r="I2413" t="inlineStr">
        <is>
          <t>Fireworks Solutions Sdn Bhd</t>
        </is>
      </c>
      <c r="J2413" t="inlineStr">
        <is>
          <t>Dolphin</t>
        </is>
      </c>
      <c r="K2413" t="inlineStr">
        <is>
          <t>Ratha</t>
        </is>
      </c>
      <c r="L2413" s="4"/>
      <c r="M2413" s="4">
        <v>46120.723761574074</v>
      </c>
      <c r="N2413"/>
      <c r="O2413">
        <v>3672</v>
      </c>
      <c r="P2413" s="4"/>
      <c r="Q2413" s="4">
        <v>44158.752233796295</v>
      </c>
      <c r="R2413"/>
      <c r="S2413">
        <v>318</v>
      </c>
      <c r="T2413" s="4">
        <v>44158.752233796295</v>
      </c>
      <c r="U2413" s="4"/>
      <c r="V2413"/>
      <c r="W2413">
        <v>318</v>
      </c>
      <c r="X2413"/>
      <c r="Y2413" t="inlineStr">
        <is>
          <t>Pending Appointment</t>
        </is>
      </c>
      <c r="Z2413" t="inlineStr">
        <is>
          <t>Hiring Later</t>
        </is>
      </c>
      <c r="AA2413">
        <v>1</v>
      </c>
      <c r="AB2413" t="inlineStr">
        <is>
          <t>No Appointment Made</t>
        </is>
      </c>
      <c r="AC2413"/>
      <c r="AD2413" t="inlineStr">
        <is>
          <t>Sales (IT) : 1
Location : Jaya One</t>
        </is>
      </c>
      <c r="AE2413"/>
      <c r="AF2413"/>
      <c r="AG2413" s="4"/>
      <c r="AH2413" s="4"/>
      <c r="AI2413">
        <v>0</v>
      </c>
      <c r="AJ2413">
        <v>1</v>
      </c>
      <c r="AK2413" t="inlineStr">
        <is>
          <t>Yes, I have</t>
        </is>
      </c>
      <c r="AL2413">
        <v>2</v>
      </c>
      <c r="AM2413" t="inlineStr">
        <is>
          <t>No, I don't need at all</t>
        </is>
      </c>
      <c r="AN2413"/>
      <c r="AO2413" t="inlineStr">
        <is>
          <t>No, I don't need at all</t>
        </is>
      </c>
      <c r="AP2413" t="inlineStr">
        <is>
          <t>Once per quarter (75%)</t>
        </is>
      </c>
      <c r="AQ2413">
        <v>0</v>
      </c>
      <c r="AR2413" t="inlineStr">
        <is>
          <t>Free Job Portal, Jobstreet</t>
        </is>
      </c>
      <c r="AS2413" t="inlineStr">
        <is>
          <t>- Headcount: 1
- Hiring Job Details: 1 Sales (IT) at Jaya One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 Jobstreet</t>
        </is>
      </c>
      <c r="AT2413">
        <v>90</v>
      </c>
      <c r="AU2413" t="inlineStr">
        <is>
          <t>0.90</t>
        </is>
      </c>
      <c r="AV2413" t="inlineStr">
        <is>
          <t>5</t>
        </is>
      </c>
      <c r="AW2413" t="inlineStr">
        <is>
          <t>0</t>
        </is>
      </c>
      <c r="AX2413" t="inlineStr">
        <is>
          <t>Not Qualified</t>
        </is>
      </c>
      <c r="AY2413" s="4"/>
      <c r="AZ2413"/>
      <c r="BA2413"/>
      <c r="BB2413"/>
      <c r="BC2413" t="inlineStr">
        <is>
          <t>managed to get the candidates from referral</t>
        </is>
      </c>
      <c r="BD2413" s="4">
        <v>46129.56582175926</v>
      </c>
      <c r="BE2413" t="inlineStr">
        <is>
          <t>paid</t>
        </is>
      </c>
      <c r="BF2413"/>
      <c r="BG2413" t="inlineStr">
        <is>
          <t>Reschedule</t>
        </is>
      </c>
      <c r="BH2413" t="inlineStr">
        <is>
          <t>Fauziah Maharan</t>
        </is>
      </c>
      <c r="BI2413" t="inlineStr">
        <is>
          <t>IT / Software</t>
        </is>
      </c>
      <c r="BJ2413" s="4">
        <v>46144.75047453704</v>
      </c>
      <c r="BK2413" s="4">
        <v>44145.381747685184</v>
      </c>
      <c r="BL2413" t="inlineStr">
        <is>
          <t>0.0</t>
        </is>
      </c>
      <c r="BM2413" t="inlineStr">
        <is>
          <t>3600.0</t>
        </is>
      </c>
      <c r="BN2413" t="inlineStr">
        <is>
          <t>View Jobmanager Page</t>
        </is>
      </c>
      <c r="BO2413" s="4">
        <v>44246.57378472222</v>
      </c>
      <c r="BP2413">
        <v>166021</v>
      </c>
      <c r="BQ2413">
        <v>28340</v>
      </c>
      <c r="BR2413" t="inlineStr">
        <is>
          <t>Online</t>
        </is>
      </c>
      <c r="BS2413"/>
      <c r="BT2413">
        <v>28340</v>
      </c>
      <c r="BU2413"/>
      <c r="BV2413">
        <v>2711933</v>
      </c>
      <c r="BW2413" t="inlineStr">
        <is>
          <t>Follow Up : Lost - Free Portal</t>
        </is>
      </c>
      <c r="BX2413"/>
      <c r="BY2413"/>
      <c r="BZ2413" s="4"/>
      <c r="CA2413"/>
      <c r="CB2413"/>
      <c r="CC2413" s="4"/>
      <c r="CD2413" t="inlineStr">
        <is>
          <t>5</t>
        </is>
      </c>
      <c r="CE2413" t="inlineStr">
        <is>
          <t>0</t>
        </is>
      </c>
      <c r="CF2413" t="inlineStr">
        <is>
          <t>Q2-W01</t>
        </is>
      </c>
      <c r="CG2413"/>
      <c r="CH2413"/>
      <c r="CI2413"/>
      <c r="CJ2413" t="inlineStr">
        <is>
          <t>Paid</t>
        </is>
      </c>
      <c r="CK2413" t="inlineStr">
        <is>
          <t>Not Eligible</t>
        </is>
      </c>
      <c r="CL2413"/>
      <c r="CM2413"/>
    </row>
    <row r="2414" ht="25.5" customHeight="1">
      <c r="A2414" t="inlineStr">
        <is>
          <t>142814</t>
        </is>
      </c>
      <c r="B2414" s="2"/>
      <c r="C2414"/>
      <c r="D2414" s="3">
        <v>46120.74285879629</v>
      </c>
      <c r="E2414" t="inlineStr">
        <is>
          <t>Q2-W01</t>
        </is>
      </c>
      <c r="F2414" t="inlineStr">
        <is>
          <t>Ratha</t>
        </is>
      </c>
      <c r="G2414" t="inlineStr">
        <is>
          <t>Customer</t>
        </is>
      </c>
      <c r="H2414" s="2" t="str">
        <f>=HYPERLINK("https://upbox.ajobthing.my/customer/142814", "https://upbox.ajobthing.my/customer/142814")</f>
        <v>https://upbox.ajobthing.my/customer/142814</v>
      </c>
      <c r="I2414" t="inlineStr">
        <is>
          <t>LHS Digital World Sdn Bhd</t>
        </is>
      </c>
      <c r="J2414" t="inlineStr">
        <is>
          <t>Dolphin</t>
        </is>
      </c>
      <c r="K2414" t="inlineStr">
        <is>
          <t>Ratha</t>
        </is>
      </c>
      <c r="L2414" s="4"/>
      <c r="M2414" s="4">
        <v>46120.74328703704</v>
      </c>
      <c r="N2414"/>
      <c r="O2414">
        <v>3888</v>
      </c>
      <c r="P2414" s="4"/>
      <c r="Q2414" s="4">
        <v>45825.475</v>
      </c>
      <c r="R2414"/>
      <c r="S2414">
        <v>3888</v>
      </c>
      <c r="T2414" s="4">
        <v>45825.475</v>
      </c>
      <c r="U2414" s="4"/>
      <c r="V2414"/>
      <c r="W2414">
        <v>3888</v>
      </c>
      <c r="X2414"/>
      <c r="Y2414" t="inlineStr">
        <is>
          <t>Pending Appointment</t>
        </is>
      </c>
      <c r="Z2414" t="inlineStr">
        <is>
          <t>Hiring Later</t>
        </is>
      </c>
      <c r="AA2414">
        <v>1</v>
      </c>
      <c r="AB2414" t="inlineStr">
        <is>
          <t>No Appointment Made</t>
        </is>
      </c>
      <c r="AC2414"/>
      <c r="AD2414" t="inlineStr">
        <is>
          <t>engineer 
location : Cheras</t>
        </is>
      </c>
      <c r="AE2414"/>
      <c r="AF2414"/>
      <c r="AG2414" s="4"/>
      <c r="AH2414" s="4"/>
      <c r="AI2414">
        <v>0</v>
      </c>
      <c r="AJ2414">
        <v>1</v>
      </c>
      <c r="AK2414" t="inlineStr">
        <is>
          <t>Yes, I have</t>
        </is>
      </c>
      <c r="AL2414">
        <v>2</v>
      </c>
      <c r="AM2414" t="inlineStr">
        <is>
          <t>No, I don't need at all</t>
        </is>
      </c>
      <c r="AN2414"/>
      <c r="AO2414" t="inlineStr">
        <is>
          <t>No, I don't need at all</t>
        </is>
      </c>
      <c r="AP2414" t="inlineStr">
        <is>
          <t>Once per quarter (75%)</t>
        </is>
      </c>
      <c r="AQ2414">
        <v>0</v>
      </c>
      <c r="AR2414" t="inlineStr">
        <is>
          <t>Did not use any job portal</t>
        </is>
      </c>
      <c r="AS2414" t="inlineStr">
        <is>
          <t>- Headcount: 1
- Hiring Job Details: engineer (location: Cheras)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is>
      </c>
      <c r="AT2414">
        <v>95</v>
      </c>
      <c r="AU2414" t="inlineStr">
        <is>
          <t>0.95</t>
        </is>
      </c>
      <c r="AV2414" t="inlineStr">
        <is>
          <t>5</t>
        </is>
      </c>
      <c r="AW2414" t="inlineStr">
        <is>
          <t>0</t>
        </is>
      </c>
      <c r="AX2414" t="inlineStr">
        <is>
          <t>Not Qualified</t>
        </is>
      </c>
      <c r="AY2414" s="4"/>
      <c r="AZ2414"/>
      <c r="BA2414"/>
      <c r="BB2414"/>
      <c r="BC2414" t="inlineStr">
        <is>
          <t>management hold and resigning as well</t>
        </is>
      </c>
      <c r="BD2414" s="4">
        <v>46135.43005787037</v>
      </c>
      <c r="BE2414" t="inlineStr">
        <is>
          <t>paid</t>
        </is>
      </c>
      <c r="BF2414"/>
      <c r="BG2414" t="inlineStr">
        <is>
          <t>Reschedule</t>
        </is>
      </c>
      <c r="BH2414" t="inlineStr">
        <is>
          <t>Fauziah Maharan</t>
        </is>
      </c>
      <c r="BI2414" t="inlineStr">
        <is>
          <t>IT / Software</t>
        </is>
      </c>
      <c r="BJ2414" s="4">
        <v>46144.75069444445</v>
      </c>
      <c r="BK2414" s="4">
        <v>44495.657164351855</v>
      </c>
      <c r="BL2414" t="inlineStr">
        <is>
          <t>3888.0</t>
        </is>
      </c>
      <c r="BM2414" t="inlineStr">
        <is>
          <t>0.0</t>
        </is>
      </c>
      <c r="BN2414" t="inlineStr">
        <is>
          <t>View Jobmanager Page</t>
        </is>
      </c>
      <c r="BO2414" s="4">
        <v>46079.70260416667</v>
      </c>
      <c r="BP2414">
        <v>166035</v>
      </c>
      <c r="BQ2414">
        <v>80142</v>
      </c>
      <c r="BR2414" t="inlineStr">
        <is>
          <t>Online</t>
        </is>
      </c>
      <c r="BS2414"/>
      <c r="BT2414">
        <v>80142</v>
      </c>
      <c r="BU2414"/>
      <c r="BV2414">
        <v>2722434</v>
      </c>
      <c r="BW2414" t="inlineStr">
        <is>
          <t>Follow Up : Budget Concern</t>
        </is>
      </c>
      <c r="BX2414">
        <v>6</v>
      </c>
      <c r="BY2414">
        <v>0</v>
      </c>
      <c r="BZ2414" s="4">
        <v>45876.50140046296</v>
      </c>
      <c r="CA2414">
        <v>60</v>
      </c>
      <c r="CB2414">
        <v>41</v>
      </c>
      <c r="CC2414" s="4">
        <v>45860.45978009259</v>
      </c>
      <c r="CD2414" t="inlineStr">
        <is>
          <t>5</t>
        </is>
      </c>
      <c r="CE2414" t="inlineStr">
        <is>
          <t>0</t>
        </is>
      </c>
      <c r="CF2414" t="inlineStr">
        <is>
          <t>Q2-W01</t>
        </is>
      </c>
      <c r="CG2414"/>
      <c r="CH2414"/>
      <c r="CI2414"/>
      <c r="CJ2414" t="inlineStr">
        <is>
          <t>Paid</t>
        </is>
      </c>
      <c r="CK2414" t="inlineStr">
        <is>
          <t>Not Eligible</t>
        </is>
      </c>
      <c r="CL2414"/>
      <c r="CM2414"/>
    </row>
    <row r="2415" ht="25.5" customHeight="1">
      <c r="A2415" t="inlineStr">
        <is>
          <t>184289</t>
        </is>
      </c>
      <c r="B2415" s="2"/>
      <c r="C2415"/>
      <c r="D2415" s="3">
        <v>46120.746469907404</v>
      </c>
      <c r="E2415" t="inlineStr">
        <is>
          <t>Q2-W01</t>
        </is>
      </c>
      <c r="F2415" t="inlineStr">
        <is>
          <t>Evan</t>
        </is>
      </c>
      <c r="G2415" t="inlineStr">
        <is>
          <t>Customer</t>
        </is>
      </c>
      <c r="H2415" s="2" t="str">
        <f>=HYPERLINK("https://upbox.ajobthing.my/customer/184289", "https://upbox.ajobthing.my/customer/184289")</f>
        <v>https://upbox.ajobthing.my/customer/184289</v>
      </c>
      <c r="I2415" t="inlineStr">
        <is>
          <t>Maven Global Group Sdn Bhd</t>
        </is>
      </c>
      <c r="J2415" t="inlineStr">
        <is>
          <t>Dolphin</t>
        </is>
      </c>
      <c r="K2415" t="inlineStr">
        <is>
          <t>Evan</t>
        </is>
      </c>
      <c r="L2415" s="4"/>
      <c r="M2415" s="4">
        <v>46120.74356481482</v>
      </c>
      <c r="N2415"/>
      <c r="O2415">
        <v>10800</v>
      </c>
      <c r="P2415" s="4"/>
      <c r="Q2415" s="4"/>
      <c r="R2415"/>
      <c r="S2415"/>
      <c r="T2415" s="4"/>
      <c r="U2415" s="4"/>
      <c r="V2415"/>
      <c r="W2415"/>
      <c r="X2415"/>
      <c r="Y2415" t="inlineStr">
        <is>
          <t>Pending Appointment</t>
        </is>
      </c>
      <c r="Z2415" t="inlineStr">
        <is>
          <t>Continuous Hiring</t>
        </is>
      </c>
      <c r="AA2415">
        <v>12</v>
      </c>
      <c r="AB2415" t="inlineStr">
        <is>
          <t>No Appointment Made</t>
        </is>
      </c>
      <c r="AC2415"/>
      <c r="AD2415" t="inlineStr">
        <is>
          <t>12 retail sales, all base in malaysia</t>
        </is>
      </c>
      <c r="AE2415"/>
      <c r="AF2415">
        <v>1</v>
      </c>
      <c r="AG2415" s="4"/>
      <c r="AH2415" s="4"/>
      <c r="AI2415">
        <v>1</v>
      </c>
      <c r="AJ2415"/>
      <c r="AK2415" t="inlineStr">
        <is>
          <t>No, I don't need at all</t>
        </is>
      </c>
      <c r="AL2415">
        <v>1</v>
      </c>
      <c r="AM2415" t="inlineStr">
        <is>
          <t>No, I don't need at all</t>
        </is>
      </c>
      <c r="AN2415"/>
      <c r="AO2415" t="inlineStr">
        <is>
          <t>No, I don't need at all</t>
        </is>
      </c>
      <c r="AP2415" t="inlineStr">
        <is>
          <t>Every month (100%)</t>
        </is>
      </c>
      <c r="AQ2415">
        <v>12</v>
      </c>
      <c r="AR2415" t="inlineStr">
        <is>
          <t>Free Job Portal</t>
        </is>
      </c>
      <c r="AS2415" t="inlineStr">
        <is>
          <t>- Headcount: 12
- Hiring Job Details: 12 retail sales, all based in Malaysia
- Hiring Urgency: Continuous Hiring
- Number of outlets: N/A
- Have recruiter team: No, I don't need at all
- Number of recruiter in company: 1
- Have ATS system: No, I don't need at all
- Have career website: No, I don't need at all
- Current hiring budget: RM1
- Whole year budget: RM1.00
- Whole year number of vacancies: 12
- Hiring frequency: Every month (100%)
- External job portal: Free Job Portal</t>
        </is>
      </c>
      <c r="AT2415">
        <v>120</v>
      </c>
      <c r="AU2415" t="inlineStr">
        <is>
          <t>1.20</t>
        </is>
      </c>
      <c r="AV2415" t="inlineStr">
        <is>
          <t>25</t>
        </is>
      </c>
      <c r="AW2415" t="inlineStr">
        <is>
          <t>0</t>
        </is>
      </c>
      <c r="AX2415" t="inlineStr">
        <is>
          <t>Not Qualified</t>
        </is>
      </c>
      <c r="AY2415" s="4"/>
      <c r="AZ2415"/>
      <c r="BA2415"/>
      <c r="BB2415"/>
      <c r="BC2415" t="inlineStr">
        <is>
          <t>after 2</t>
        </is>
      </c>
      <c r="BD2415" s="4">
        <v>46141.50368055556</v>
      </c>
      <c r="BE2415"/>
      <c r="BF2415"/>
      <c r="BG2415" t="inlineStr">
        <is>
          <t>Reschedule</t>
        </is>
      </c>
      <c r="BH2415" t="inlineStr">
        <is>
          <t>Edward Hoo</t>
        </is>
      </c>
      <c r="BI2415" t="inlineStr">
        <is>
          <t>Other industries</t>
        </is>
      </c>
      <c r="BJ2415" s="4">
        <v>46144.75199074074</v>
      </c>
      <c r="BK2415" s="4">
        <v>45594.50821759259</v>
      </c>
      <c r="BL2415" t="inlineStr">
        <is>
          <t>0.0</t>
        </is>
      </c>
      <c r="BM2415" t="inlineStr">
        <is>
          <t>0.0</t>
        </is>
      </c>
      <c r="BN2415" t="inlineStr">
        <is>
          <t>View Company Page</t>
        </is>
      </c>
      <c r="BO2415" s="4">
        <v>45594.517488425925</v>
      </c>
      <c r="BP2415">
        <v>166036</v>
      </c>
      <c r="BQ2415"/>
      <c r="BR2415"/>
      <c r="BS2415"/>
      <c r="BT2415"/>
      <c r="BU2415"/>
      <c r="BV2415">
        <v>2734915</v>
      </c>
      <c r="BW2415" t="inlineStr">
        <is>
          <t>Follow Up : Decision Pending</t>
        </is>
      </c>
      <c r="BX2415"/>
      <c r="BY2415"/>
      <c r="BZ2415" s="4"/>
      <c r="CA2415"/>
      <c r="CB2415"/>
      <c r="CC2415" s="4"/>
      <c r="CD2415" t="inlineStr">
        <is>
          <t>35</t>
        </is>
      </c>
      <c r="CE2415" t="inlineStr">
        <is>
          <t>0</t>
        </is>
      </c>
      <c r="CF2415" t="inlineStr">
        <is>
          <t>Q2-W01</t>
        </is>
      </c>
      <c r="CG2415"/>
      <c r="CH2415"/>
      <c r="CI2415"/>
      <c r="CJ2415" t="inlineStr">
        <is>
          <t>No Paid</t>
        </is>
      </c>
      <c r="CK2415" t="inlineStr">
        <is>
          <t>Eligible</t>
        </is>
      </c>
      <c r="CL2415"/>
      <c r="CM2415"/>
    </row>
    <row r="2416" ht="25.5" customHeight="1">
      <c r="A2416" t="inlineStr">
        <is>
          <t>203014</t>
        </is>
      </c>
      <c r="B2416" s="2"/>
      <c r="C2416"/>
      <c r="D2416" s="3">
        <v>46120.749074074076</v>
      </c>
      <c r="E2416" t="inlineStr">
        <is>
          <t>Q2-W01</t>
        </is>
      </c>
      <c r="F2416" t="inlineStr">
        <is>
          <t>Clover</t>
        </is>
      </c>
      <c r="G2416" t="inlineStr">
        <is>
          <t>Customer</t>
        </is>
      </c>
      <c r="H2416" s="2" t="str">
        <f>=HYPERLINK("https://upbox.ajobthing.my/customer/203014", "https://upbox.ajobthing.my/customer/203014")</f>
        <v>https://upbox.ajobthing.my/customer/203014</v>
      </c>
      <c r="I2416" t="inlineStr">
        <is>
          <t>HUP SOON PLASTIC INDUSTRIAL (M) SDN BHD</t>
        </is>
      </c>
      <c r="J2416" t="inlineStr">
        <is>
          <t>Dolphin</t>
        </is>
      </c>
      <c r="K2416" t="inlineStr">
        <is>
          <t>Clover</t>
        </is>
      </c>
      <c r="L2416" s="4"/>
      <c r="M2416" s="4">
        <v>46120.74935185185</v>
      </c>
      <c r="N2416"/>
      <c r="O2416">
        <v>6048</v>
      </c>
      <c r="P2416" s="4"/>
      <c r="Q2416" s="4">
        <v>46120.750289351854</v>
      </c>
      <c r="R2416"/>
      <c r="S2416">
        <v>0</v>
      </c>
      <c r="T2416" s="4"/>
      <c r="U2416" s="4"/>
      <c r="V2416"/>
      <c r="W2416"/>
      <c r="X2416"/>
      <c r="Y2416" t="inlineStr">
        <is>
          <t>Pending Appointment</t>
        </is>
      </c>
      <c r="Z2416" t="inlineStr">
        <is>
          <t>Hiring Now</t>
        </is>
      </c>
      <c r="AA2416">
        <v>1</v>
      </c>
      <c r="AB2416" t="inlineStr">
        <is>
          <t>No Appointment Made</t>
        </is>
      </c>
      <c r="AC2416"/>
      <c r="AD2416" t="inlineStr">
        <is>
          <t xml:space="preserve">Hire QC x1, prior chi,  fresh grads, future maybe hiring, ipoh perak, future not sure suggest stand </t>
        </is>
      </c>
      <c r="AE2416"/>
      <c r="AF2416">
        <v>3000</v>
      </c>
      <c r="AG2416" s="4"/>
      <c r="AH2416" s="4"/>
      <c r="AI2416">
        <v>3000</v>
      </c>
      <c r="AJ2416">
        <v>1</v>
      </c>
      <c r="AK2416" t="inlineStr">
        <is>
          <t>No, but I want in future</t>
        </is>
      </c>
      <c r="AL2416">
        <v>1</v>
      </c>
      <c r="AM2416" t="inlineStr">
        <is>
          <t>No, but I want in future</t>
        </is>
      </c>
      <c r="AN2416"/>
      <c r="AO2416" t="inlineStr">
        <is>
          <t>No, but I want in future</t>
        </is>
      </c>
      <c r="AP2416" t="inlineStr">
        <is>
          <t>Once per quarter (75%)</t>
        </is>
      </c>
      <c r="AQ2416">
        <v>2</v>
      </c>
      <c r="AR2416" t="inlineStr">
        <is>
          <t>Did not use any job portal</t>
        </is>
      </c>
      <c r="AS2416" t="inlineStr">
        <is>
          <t>- Headcount: 1
- Hiring Job Details: Hire QC x1, prior chi, fresh grads, future maybe hiring, ipoh perak, future not sure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 job portal</t>
        </is>
      </c>
      <c r="AT2416">
        <v>110</v>
      </c>
      <c r="AU2416" t="inlineStr">
        <is>
          <t>1.10</t>
        </is>
      </c>
      <c r="AV2416" t="inlineStr">
        <is>
          <t>15</t>
        </is>
      </c>
      <c r="AW2416" t="inlineStr">
        <is>
          <t>0</t>
        </is>
      </c>
      <c r="AX2416" t="inlineStr">
        <is>
          <t>Not Qualified</t>
        </is>
      </c>
      <c r="AY2416" s="4"/>
      <c r="AZ2416"/>
      <c r="BA2416"/>
      <c r="BB2416"/>
      <c r="BC2416" t="inlineStr">
        <is>
          <t>Business not good, on hold</t>
        </is>
      </c>
      <c r="BD2416" s="4">
        <v>46136.68127314815</v>
      </c>
      <c r="BE2416" t="inlineStr">
        <is>
          <t>paid</t>
        </is>
      </c>
      <c r="BF2416"/>
      <c r="BG2416" t="inlineStr">
        <is>
          <t>Reschedule</t>
        </is>
      </c>
      <c r="BH2416" t="inlineStr">
        <is>
          <t>Reagen</t>
        </is>
      </c>
      <c r="BI2416"/>
      <c r="BJ2416" s="4">
        <v>46144.75418981481</v>
      </c>
      <c r="BK2416" s="4">
        <v>46120.7465625</v>
      </c>
      <c r="BL2416" t="inlineStr">
        <is>
          <t>0.0</t>
        </is>
      </c>
      <c r="BM2416" t="inlineStr">
        <is>
          <t>600.0</t>
        </is>
      </c>
      <c r="BN2416"/>
      <c r="BO2416" s="4"/>
      <c r="BP2416">
        <v>166038</v>
      </c>
      <c r="BQ2416">
        <v>121094</v>
      </c>
      <c r="BR2416" t="inlineStr">
        <is>
          <t>Proforma</t>
        </is>
      </c>
      <c r="BS2416" t="inlineStr">
        <is>
          <t>Free Internship Job</t>
        </is>
      </c>
      <c r="BT2416"/>
      <c r="BU2416"/>
      <c r="BV2416">
        <v>2727029</v>
      </c>
      <c r="BW2416" t="inlineStr">
        <is>
          <t>Follow Up : Lost - Free Portal</t>
        </is>
      </c>
      <c r="BX2416"/>
      <c r="BY2416"/>
      <c r="BZ2416" s="4"/>
      <c r="CA2416"/>
      <c r="CB2416"/>
      <c r="CC2416" s="4"/>
      <c r="CD2416" t="inlineStr">
        <is>
          <t>20</t>
        </is>
      </c>
      <c r="CE2416" t="inlineStr">
        <is>
          <t>0</t>
        </is>
      </c>
      <c r="CF2416" t="inlineStr">
        <is>
          <t>Q2-W01</t>
        </is>
      </c>
      <c r="CG2416" t="inlineStr">
        <is>
          <t>Q2-W01</t>
        </is>
      </c>
      <c r="CH2416"/>
      <c r="CI2416"/>
      <c r="CJ2416" t="inlineStr">
        <is>
          <t>No Paid</t>
        </is>
      </c>
      <c r="CK2416" t="inlineStr">
        <is>
          <t>Not Eligible</t>
        </is>
      </c>
      <c r="CL2416"/>
      <c r="CM2416"/>
    </row>
    <row r="2417" ht="25.5" customHeight="1">
      <c r="A2417" t="inlineStr">
        <is>
          <t>166573</t>
        </is>
      </c>
      <c r="B2417" s="2"/>
      <c r="C2417"/>
      <c r="D2417" s="3">
        <v>46120.75142361111</v>
      </c>
      <c r="E2417" t="inlineStr">
        <is>
          <t>Q2-W01</t>
        </is>
      </c>
      <c r="F2417" t="inlineStr">
        <is>
          <t>Keegan</t>
        </is>
      </c>
      <c r="G2417" t="inlineStr">
        <is>
          <t>Customer</t>
        </is>
      </c>
      <c r="H2417" s="2" t="str">
        <f>=HYPERLINK("https://upbox.ajobthing.my/customer/166573", "https://upbox.ajobthing.my/customer/166573")</f>
        <v>https://upbox.ajobthing.my/customer/166573</v>
      </c>
      <c r="I2417" t="inlineStr">
        <is>
          <t>Imtiyaz Assaif Consultancy</t>
        </is>
      </c>
      <c r="J2417" t="inlineStr">
        <is>
          <t>Dolphin</t>
        </is>
      </c>
      <c r="K2417" t="inlineStr">
        <is>
          <t>Keegan</t>
        </is>
      </c>
      <c r="L2417" s="4"/>
      <c r="M2417" s="4">
        <v>46120.75181712963</v>
      </c>
      <c r="N2417"/>
      <c r="O2417">
        <v>4752</v>
      </c>
      <c r="P2417" s="4"/>
      <c r="Q2417" s="4">
        <v>45044.89065972222</v>
      </c>
      <c r="R2417"/>
      <c r="S2417">
        <v>1908</v>
      </c>
      <c r="T2417" s="4">
        <v>45044.89065972222</v>
      </c>
      <c r="U2417" s="4"/>
      <c r="V2417"/>
      <c r="W2417">
        <v>1908</v>
      </c>
      <c r="X2417"/>
      <c r="Y2417" t="inlineStr">
        <is>
          <t>Pending Appointment</t>
        </is>
      </c>
      <c r="Z2417" t="inlineStr">
        <is>
          <t>Continuous Hiring</t>
        </is>
      </c>
      <c r="AA2417">
        <v>1</v>
      </c>
      <c r="AB2417" t="inlineStr">
        <is>
          <t>No Appointment Made</t>
        </is>
      </c>
      <c r="AC2417"/>
      <c r="AD2417" t="inlineStr">
        <is>
          <t xml:space="preserve">1. Sales </t>
        </is>
      </c>
      <c r="AE2417"/>
      <c r="AF2417"/>
      <c r="AG2417" s="4"/>
      <c r="AH2417" s="4"/>
      <c r="AI2417"/>
      <c r="AJ2417">
        <v>1</v>
      </c>
      <c r="AK2417" t="inlineStr">
        <is>
          <t>No, I don't need at all</t>
        </is>
      </c>
      <c r="AL2417">
        <v>0</v>
      </c>
      <c r="AM2417" t="inlineStr">
        <is>
          <t>No, I don't need at all</t>
        </is>
      </c>
      <c r="AN2417"/>
      <c r="AO2417" t="inlineStr">
        <is>
          <t>No, I don't need at all</t>
        </is>
      </c>
      <c r="AP2417" t="inlineStr">
        <is>
          <t>Every month (100%)</t>
        </is>
      </c>
      <c r="AQ2417"/>
      <c r="AR2417" t="inlineStr">
        <is>
          <t>Did not use any job portal</t>
        </is>
      </c>
      <c r="AS2417" t="inlineStr">
        <is>
          <t>- Headcount: 1
- Hiring Job Details: 1 Sales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is>
      </c>
      <c r="AT2417">
        <v>95</v>
      </c>
      <c r="AU2417" t="inlineStr">
        <is>
          <t>0.95</t>
        </is>
      </c>
      <c r="AV2417" t="inlineStr">
        <is>
          <t>5</t>
        </is>
      </c>
      <c r="AW2417" t="inlineStr">
        <is>
          <t>0</t>
        </is>
      </c>
      <c r="AX2417" t="inlineStr">
        <is>
          <t>Not Qualified</t>
        </is>
      </c>
      <c r="AY2417" s="4"/>
      <c r="AZ2417"/>
      <c r="BA2417"/>
      <c r="BB2417"/>
      <c r="BC2417" t="inlineStr">
        <is>
          <t>- Headcount: 1
- Hiring Job Details: 1 Sales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is>
      </c>
      <c r="BD2417" s="4">
        <v>46120.791712962964</v>
      </c>
      <c r="BE2417" t="inlineStr">
        <is>
          <t>paid</t>
        </is>
      </c>
      <c r="BF2417"/>
      <c r="BG2417" t="inlineStr">
        <is>
          <t>Reschedule</t>
        </is>
      </c>
      <c r="BH2417" t="inlineStr">
        <is>
          <t>Edward Hoo</t>
        </is>
      </c>
      <c r="BI2417" t="inlineStr">
        <is>
          <t>Insurance</t>
        </is>
      </c>
      <c r="BJ2417" s="4">
        <v>46144.751296296294</v>
      </c>
      <c r="BK2417" s="4">
        <v>45044.6352662037</v>
      </c>
      <c r="BL2417" t="inlineStr">
        <is>
          <t>0.0</t>
        </is>
      </c>
      <c r="BM2417" t="inlineStr">
        <is>
          <t>0.0</t>
        </is>
      </c>
      <c r="BN2417" t="inlineStr">
        <is>
          <t>View Payment History</t>
        </is>
      </c>
      <c r="BO2417" s="4">
        <v>45252.88686342593</v>
      </c>
      <c r="BP2417">
        <v>166041</v>
      </c>
      <c r="BQ2417">
        <v>58063</v>
      </c>
      <c r="BR2417" t="inlineStr">
        <is>
          <t>Online</t>
        </is>
      </c>
      <c r="BS2417"/>
      <c r="BT2417">
        <v>58063</v>
      </c>
      <c r="BU2417"/>
      <c r="BV2417">
        <v>2694047</v>
      </c>
      <c r="BW2417" t="inlineStr">
        <is>
          <t>Customer Inquiry</t>
        </is>
      </c>
      <c r="BX2417"/>
      <c r="BY2417"/>
      <c r="BZ2417" s="4"/>
      <c r="CA2417"/>
      <c r="CB2417"/>
      <c r="CC2417" s="4"/>
      <c r="CD2417" t="inlineStr">
        <is>
          <t>5</t>
        </is>
      </c>
      <c r="CE2417" t="inlineStr">
        <is>
          <t>0</t>
        </is>
      </c>
      <c r="CF2417" t="inlineStr">
        <is>
          <t>Q2-W01</t>
        </is>
      </c>
      <c r="CG2417"/>
      <c r="CH2417"/>
      <c r="CI2417"/>
      <c r="CJ2417" t="inlineStr">
        <is>
          <t>Paid</t>
        </is>
      </c>
      <c r="CK2417" t="inlineStr">
        <is>
          <t>Not Eligible</t>
        </is>
      </c>
      <c r="CL2417"/>
      <c r="CM2417"/>
    </row>
    <row r="2418" ht="25.5" customHeight="1">
      <c r="A2418" t="inlineStr">
        <is>
          <t>114302</t>
        </is>
      </c>
      <c r="B2418" s="2"/>
      <c r="C2418"/>
      <c r="D2418" s="3">
        <v>46120.76195601852</v>
      </c>
      <c r="E2418" t="inlineStr">
        <is>
          <t>Q2-W01</t>
        </is>
      </c>
      <c r="F2418" t="inlineStr">
        <is>
          <t>Alan KY</t>
        </is>
      </c>
      <c r="G2418" t="inlineStr">
        <is>
          <t>Customer</t>
        </is>
      </c>
      <c r="H2418" s="2" t="str">
        <f>=HYPERLINK("https://upbox.ajobthing.my/customer/114302", "https://upbox.ajobthing.my/customer/114302")</f>
        <v>https://upbox.ajobthing.my/customer/114302</v>
      </c>
      <c r="I2418" t="inlineStr">
        <is>
          <t>Syarikat Nang Hin Trading Sdn Bhd</t>
        </is>
      </c>
      <c r="J2418" t="inlineStr">
        <is>
          <t>Dolphin</t>
        </is>
      </c>
      <c r="K2418" t="inlineStr">
        <is>
          <t>Alan KY</t>
        </is>
      </c>
      <c r="L2418" s="4"/>
      <c r="M2418" s="4">
        <v>46097.67818287037</v>
      </c>
      <c r="N2418"/>
      <c r="O2418">
        <v>3672</v>
      </c>
      <c r="P2418" s="4"/>
      <c r="Q2418" s="4">
        <v>46132.74752314815</v>
      </c>
      <c r="R2418"/>
      <c r="S2418">
        <v>1296</v>
      </c>
      <c r="T2418" s="4">
        <v>46132.74752314815</v>
      </c>
      <c r="U2418" s="4"/>
      <c r="V2418"/>
      <c r="W2418">
        <v>1296</v>
      </c>
      <c r="X2418"/>
      <c r="Y2418" t="inlineStr">
        <is>
          <t>Pending Appointment</t>
        </is>
      </c>
      <c r="Z2418" t="inlineStr">
        <is>
          <t>Hiring Now</t>
        </is>
      </c>
      <c r="AA2418">
        <v>4</v>
      </c>
      <c r="AB2418" t="inlineStr">
        <is>
          <t>No Appointment Made</t>
        </is>
      </c>
      <c r="AC2418"/>
      <c r="AD2418" t="inlineStr">
        <is>
          <t xml:space="preserve">1 admin , 3 intern , in selangor </t>
        </is>
      </c>
      <c r="AE2418"/>
      <c r="AF2418"/>
      <c r="AG2418" s="4"/>
      <c r="AH2418" s="4"/>
      <c r="AI2418"/>
      <c r="AJ2418"/>
      <c r="AK2418" t="inlineStr">
        <is>
          <t>No, I don't need at all</t>
        </is>
      </c>
      <c r="AL2418"/>
      <c r="AM2418" t="inlineStr">
        <is>
          <t>No, I don't need at all</t>
        </is>
      </c>
      <c r="AN2418"/>
      <c r="AO2418" t="inlineStr">
        <is>
          <t>No, I don't need at all</t>
        </is>
      </c>
      <c r="AP2418" t="inlineStr">
        <is>
          <t>Once per quarter (75%)</t>
        </is>
      </c>
      <c r="AQ2418"/>
      <c r="AR2418" t="inlineStr">
        <is>
          <t>Jobstreet</t>
        </is>
      </c>
      <c r="AS2418" t="inlineStr">
        <is>
          <t>- Headcount: 4
- Hiring Job Details: 1 admin, 3 intern, in 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t>
        </is>
      </c>
      <c r="AT2418">
        <v>95</v>
      </c>
      <c r="AU2418" t="inlineStr">
        <is>
          <t>0.95</t>
        </is>
      </c>
      <c r="AV2418" t="inlineStr">
        <is>
          <t>5</t>
        </is>
      </c>
      <c r="AW2418" t="inlineStr">
        <is>
          <t>0</t>
        </is>
      </c>
      <c r="AX2418" t="inlineStr">
        <is>
          <t>Not Qualified</t>
        </is>
      </c>
      <c r="AY2418" s="4"/>
      <c r="AZ2418"/>
      <c r="BA2418"/>
      <c r="BB2418"/>
      <c r="BC2418" t="inlineStr">
        <is>
          <t>Follow up on job ad decision</t>
        </is>
      </c>
      <c r="BD2418" s="4">
        <v>46126.61891203704</v>
      </c>
      <c r="BE2418" t="inlineStr">
        <is>
          <t>paid</t>
        </is>
      </c>
      <c r="BF2418" t="inlineStr">
        <is>
          <t>Q2-W03</t>
        </is>
      </c>
      <c r="BG2418" t="inlineStr">
        <is>
          <t>Reschedule</t>
        </is>
      </c>
      <c r="BH2418" t="inlineStr">
        <is>
          <t>Reagen</t>
        </is>
      </c>
      <c r="BI2418" t="inlineStr">
        <is>
          <t>Healthcare / Medical</t>
        </is>
      </c>
      <c r="BJ2418" s="4">
        <v>46144.750127314815</v>
      </c>
      <c r="BK2418" s="4">
        <v>43451.94084490741</v>
      </c>
      <c r="BL2418" t="inlineStr">
        <is>
          <t>1296.0</t>
        </is>
      </c>
      <c r="BM2418" t="inlineStr">
        <is>
          <t>0.0</t>
        </is>
      </c>
      <c r="BN2418" t="inlineStr">
        <is>
          <t>View Company Page</t>
        </is>
      </c>
      <c r="BO2418" s="4">
        <v>46140.396782407406</v>
      </c>
      <c r="BP2418">
        <v>162520</v>
      </c>
      <c r="BQ2418">
        <v>94442</v>
      </c>
      <c r="BR2418" t="inlineStr">
        <is>
          <t>Online</t>
        </is>
      </c>
      <c r="BS2418"/>
      <c r="BT2418">
        <v>94442</v>
      </c>
      <c r="BU2418"/>
      <c r="BV2418">
        <v>2703754</v>
      </c>
      <c r="BW2418" t="inlineStr">
        <is>
          <t>Follow Up : Decision Pending</t>
        </is>
      </c>
      <c r="BX2418">
        <v>1</v>
      </c>
      <c r="BY2418">
        <v>0</v>
      </c>
      <c r="BZ2418" s="4">
        <v>46133.482256944444</v>
      </c>
      <c r="CA2418">
        <v>10</v>
      </c>
      <c r="CB2418">
        <v>7</v>
      </c>
      <c r="CC2418" s="4">
        <v>46134.604849537034</v>
      </c>
      <c r="CD2418" t="inlineStr">
        <is>
          <t>5</t>
        </is>
      </c>
      <c r="CE2418" t="inlineStr">
        <is>
          <t>0</t>
        </is>
      </c>
      <c r="CF2418" t="inlineStr">
        <is>
          <t>Q1-W11</t>
        </is>
      </c>
      <c r="CG2418" t="inlineStr">
        <is>
          <t>Q2-W03</t>
        </is>
      </c>
      <c r="CH2418" t="inlineStr">
        <is>
          <t>Q2-W03</t>
        </is>
      </c>
      <c r="CI2418"/>
      <c r="CJ2418" t="inlineStr">
        <is>
          <t>Paid</t>
        </is>
      </c>
      <c r="CK2418" t="inlineStr">
        <is>
          <t>Not Eligible</t>
        </is>
      </c>
      <c r="CL2418"/>
      <c r="CM2418"/>
    </row>
    <row r="2419" ht="25.5" customHeight="1">
      <c r="A2419" t="inlineStr">
        <is>
          <t>188086</t>
        </is>
      </c>
      <c r="B2419" s="2"/>
      <c r="C2419"/>
      <c r="D2419" s="3">
        <v>46121.388136574074</v>
      </c>
      <c r="E2419" t="inlineStr">
        <is>
          <t>Q2-W01</t>
        </is>
      </c>
      <c r="F2419" t="inlineStr">
        <is>
          <t>Ratha</t>
        </is>
      </c>
      <c r="G2419" t="inlineStr">
        <is>
          <t>Customer</t>
        </is>
      </c>
      <c r="H2419" s="2" t="str">
        <f>=HYPERLINK("https://upbox.ajobthing.my/customer/188086", "https://upbox.ajobthing.my/customer/188086")</f>
        <v>https://upbox.ajobthing.my/customer/188086</v>
      </c>
      <c r="I2419" t="inlineStr">
        <is>
          <t>Smart Cube Marketing Sdn Bhd</t>
        </is>
      </c>
      <c r="J2419" t="inlineStr">
        <is>
          <t>Dolphin</t>
        </is>
      </c>
      <c r="K2419" t="inlineStr">
        <is>
          <t>Ratha</t>
        </is>
      </c>
      <c r="L2419" s="4"/>
      <c r="M2419" s="4">
        <v>46107.72988425926</v>
      </c>
      <c r="N2419"/>
      <c r="O2419">
        <v>5508</v>
      </c>
      <c r="P2419" s="4"/>
      <c r="Q2419" s="4">
        <v>46121.454560185186</v>
      </c>
      <c r="R2419"/>
      <c r="S2419">
        <v>3672</v>
      </c>
      <c r="T2419" s="4">
        <v>46121.454560185186</v>
      </c>
      <c r="U2419" s="4"/>
      <c r="V2419"/>
      <c r="W2419">
        <v>3672</v>
      </c>
      <c r="X2419"/>
      <c r="Y2419" t="inlineStr">
        <is>
          <t>Pending Appointment</t>
        </is>
      </c>
      <c r="Z2419" t="inlineStr">
        <is>
          <t>Hiring Later</t>
        </is>
      </c>
      <c r="AA2419">
        <v>2</v>
      </c>
      <c r="AB2419" t="inlineStr">
        <is>
          <t>No Appointment Made</t>
        </is>
      </c>
      <c r="AC2419"/>
      <c r="AD2419" t="inlineStr">
        <is>
          <t>Event, Admin
Shah Alam</t>
        </is>
      </c>
      <c r="AE2419"/>
      <c r="AF2419"/>
      <c r="AG2419" s="4"/>
      <c r="AH2419" s="4"/>
      <c r="AI2419">
        <v>0</v>
      </c>
      <c r="AJ2419">
        <v>1</v>
      </c>
      <c r="AK2419" t="inlineStr">
        <is>
          <t>Yes, I have</t>
        </is>
      </c>
      <c r="AL2419">
        <v>4</v>
      </c>
      <c r="AM2419" t="inlineStr">
        <is>
          <t>No, I don't need at all</t>
        </is>
      </c>
      <c r="AN2419"/>
      <c r="AO2419" t="inlineStr">
        <is>
          <t>No, I don't need at all</t>
        </is>
      </c>
      <c r="AP2419" t="inlineStr">
        <is>
          <t>Once per quarter (75%)</t>
        </is>
      </c>
      <c r="AQ2419">
        <v>0</v>
      </c>
      <c r="AR2419" t="inlineStr">
        <is>
          <t>Free Job Portal</t>
        </is>
      </c>
      <c r="AS2419" t="inlineStr">
        <is>
          <t>- Headcount: 2
- Hiring Job Details: Event, Admin\nShah Alam
- Hiring Urgency: Hiring Later
- Number of outlets: 1
- Have recruiter team: Yes, I have
- Number of recruiter in company: 4
- Have ATS system: No, I don't need at all
- Have career website: No, I don't need at all
- Current hiring budget: Not specified
- Whole year budget: RM0.00
- Whole year number of vacancies: 0
- Hiring frequency: Once per quarter (75%)
- External job portal: Free Job Portal</t>
        </is>
      </c>
      <c r="AT2419">
        <v>75</v>
      </c>
      <c r="AU2419" t="inlineStr">
        <is>
          <t>0.75</t>
        </is>
      </c>
      <c r="AV2419" t="inlineStr">
        <is>
          <t>5</t>
        </is>
      </c>
      <c r="AW2419" t="inlineStr">
        <is>
          <t>0</t>
        </is>
      </c>
      <c r="AX2419" t="inlineStr">
        <is>
          <t>Not Qualified</t>
        </is>
      </c>
      <c r="AY2419" s="4"/>
      <c r="AZ2419"/>
      <c r="BA2419"/>
      <c r="BB2419"/>
      <c r="BC2419" t="inlineStr">
        <is>
          <t>- Headcount: 2
- Hiring Job Details: Event, Admin\nShah Alam
- Hiring Urgency: Hiring Later
- Number of outlets: 1
- Have recruiter team: Yes, I have
- Number of recruiter in company: 4
- Have ATS system: No, I don't need at all
- Have career website: No, I don't need at all
- Current hiring budget: Not specified
- Whole year budget: RM0.00
- Whole year number of vacancies: 0
- Hiring frequency: Once per quarter (75%)
- External job portal: Free Job Portal</t>
        </is>
      </c>
      <c r="BD2419" s="4">
        <v>46121.416712962964</v>
      </c>
      <c r="BE2419" t="inlineStr">
        <is>
          <t>paid</t>
        </is>
      </c>
      <c r="BF2419" t="inlineStr">
        <is>
          <t>Q2-W01</t>
        </is>
      </c>
      <c r="BG2419" t="inlineStr">
        <is>
          <t>Reschedule</t>
        </is>
      </c>
      <c r="BH2419" t="inlineStr">
        <is>
          <t>Fauziah Maharan</t>
        </is>
      </c>
      <c r="BI2419" t="inlineStr">
        <is>
          <t>Advertising / Marketing</t>
        </is>
      </c>
      <c r="BJ2419" s="4">
        <v>46144.752222222225</v>
      </c>
      <c r="BK2419" s="4">
        <v>45712.5778587963</v>
      </c>
      <c r="BL2419" t="inlineStr">
        <is>
          <t>3672.0</t>
        </is>
      </c>
      <c r="BM2419" t="inlineStr">
        <is>
          <t>0.0</t>
        </is>
      </c>
      <c r="BN2419" t="inlineStr">
        <is>
          <t>View Company Page</t>
        </is>
      </c>
      <c r="BO2419" s="4">
        <v>46141.7440625</v>
      </c>
      <c r="BP2419">
        <v>163896</v>
      </c>
      <c r="BQ2419">
        <v>92417</v>
      </c>
      <c r="BR2419" t="inlineStr">
        <is>
          <t>Online</t>
        </is>
      </c>
      <c r="BS2419"/>
      <c r="BT2419">
        <v>92417</v>
      </c>
      <c r="BU2419"/>
      <c r="BV2419">
        <v>2694523</v>
      </c>
      <c r="BW2419" t="inlineStr">
        <is>
          <t>Customer Inquiry</t>
        </is>
      </c>
      <c r="BX2419">
        <v>7</v>
      </c>
      <c r="BY2419">
        <v>5</v>
      </c>
      <c r="BZ2419" s="4">
        <v>46129.65987268519</v>
      </c>
      <c r="CA2419">
        <v>60</v>
      </c>
      <c r="CB2419">
        <v>60</v>
      </c>
      <c r="CC2419" s="4"/>
      <c r="CD2419" t="inlineStr">
        <is>
          <t>5</t>
        </is>
      </c>
      <c r="CE2419" t="inlineStr">
        <is>
          <t>0</t>
        </is>
      </c>
      <c r="CF2419" t="inlineStr">
        <is>
          <t>Q1-W12</t>
        </is>
      </c>
      <c r="CG2419" t="inlineStr">
        <is>
          <t>Q2-W01</t>
        </is>
      </c>
      <c r="CH2419" t="inlineStr">
        <is>
          <t>Q2-W01</t>
        </is>
      </c>
      <c r="CI2419"/>
      <c r="CJ2419" t="inlineStr">
        <is>
          <t>Paid</t>
        </is>
      </c>
      <c r="CK2419" t="inlineStr">
        <is>
          <t>Not Eligible</t>
        </is>
      </c>
      <c r="CL2419"/>
      <c r="CM2419"/>
    </row>
    <row r="2420" ht="25.5" customHeight="1">
      <c r="A2420" t="inlineStr">
        <is>
          <t>129000</t>
        </is>
      </c>
      <c r="B2420" s="2"/>
      <c r="C2420"/>
      <c r="D2420" s="3">
        <v>46121.38884259259</v>
      </c>
      <c r="E2420" t="inlineStr">
        <is>
          <t>Q2-W01</t>
        </is>
      </c>
      <c r="F2420" t="inlineStr">
        <is>
          <t>Angel  Low</t>
        </is>
      </c>
      <c r="G2420" t="inlineStr">
        <is>
          <t>Customer</t>
        </is>
      </c>
      <c r="H2420" s="2" t="str">
        <f>=HYPERLINK("https://upbox.ajobthing.my/customer/129000", "https://upbox.ajobthing.my/customer/129000")</f>
        <v>https://upbox.ajobthing.my/customer/129000</v>
      </c>
      <c r="I2420" t="inlineStr">
        <is>
          <t>Tiong TAT Printing Industry Sdn Bhd</t>
        </is>
      </c>
      <c r="J2420" t="inlineStr">
        <is>
          <t>Dolphin</t>
        </is>
      </c>
      <c r="K2420" t="inlineStr">
        <is>
          <t>Angel Low</t>
        </is>
      </c>
      <c r="L2420" s="4"/>
      <c r="M2420" s="4">
        <v>46121.46803240741</v>
      </c>
      <c r="N2420"/>
      <c r="O2420">
        <v>5508</v>
      </c>
      <c r="P2420" s="4"/>
      <c r="Q2420" s="4"/>
      <c r="R2420"/>
      <c r="S2420"/>
      <c r="T2420" s="4"/>
      <c r="U2420" s="4"/>
      <c r="V2420"/>
      <c r="W2420"/>
      <c r="X2420" t="inlineStr">
        <is>
          <t>Fauziah Maharan</t>
        </is>
      </c>
      <c r="Y2420" t="inlineStr">
        <is>
          <t>Pending Appointment</t>
        </is>
      </c>
      <c r="Z2420"/>
      <c r="AA2420">
        <v>4</v>
      </c>
      <c r="AB2420" t="inlineStr">
        <is>
          <t>Appointment Made</t>
        </is>
      </c>
      <c r="AC2420"/>
      <c r="AD2420" t="inlineStr">
        <is>
          <t xml:space="preserve">1 marketing , 1 purchasing , 1 scretary , 1 graphic designer , mandarin speaker </t>
        </is>
      </c>
      <c r="AE2420"/>
      <c r="AF2420"/>
      <c r="AG2420" s="4">
        <v>46121.4375</v>
      </c>
      <c r="AH2420" s="4">
        <v>46121.458333333336</v>
      </c>
      <c r="AI2420"/>
      <c r="AJ2420"/>
      <c r="AK2420"/>
      <c r="AL2420"/>
      <c r="AM2420"/>
      <c r="AN2420"/>
      <c r="AO2420"/>
      <c r="AP2420"/>
      <c r="AQ2420"/>
      <c r="AR2420"/>
      <c r="AS2420" t="inlineStr">
        <is>
          <t>- Headcount: 4
- Hiring Job Details: 1 marketing, 1 purchasing, 1 secretary, 1 graphic designer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420">
        <v>25</v>
      </c>
      <c r="AU2420" t="inlineStr">
        <is>
          <t>0.25</t>
        </is>
      </c>
      <c r="AV2420" t="inlineStr">
        <is>
          <t>5</t>
        </is>
      </c>
      <c r="AW2420" t="inlineStr">
        <is>
          <t>0</t>
        </is>
      </c>
      <c r="AX2420" t="inlineStr">
        <is>
          <t>Not Qualified</t>
        </is>
      </c>
      <c r="AY2420" s="4"/>
      <c r="AZ2420"/>
      <c r="BA2420"/>
      <c r="BB2420"/>
      <c r="BC2420" t="inlineStr">
        <is>
          <t>pending</t>
        </is>
      </c>
      <c r="BD2420" s="4">
        <v>46141.758935185186</v>
      </c>
      <c r="BE2420"/>
      <c r="BF2420"/>
      <c r="BG2420" t="inlineStr">
        <is>
          <t>Reschedule</t>
        </is>
      </c>
      <c r="BH2420" t="inlineStr">
        <is>
          <t>Fauziah Maharan</t>
        </is>
      </c>
      <c r="BI2420"/>
      <c r="BJ2420" s="4">
        <v>46144.75042824074</v>
      </c>
      <c r="BK2420" s="4">
        <v>44069.72576388889</v>
      </c>
      <c r="BL2420" t="inlineStr">
        <is>
          <t>0.0</t>
        </is>
      </c>
      <c r="BM2420" t="inlineStr">
        <is>
          <t>0.0</t>
        </is>
      </c>
      <c r="BN2420" t="inlineStr">
        <is>
          <t>View Jobmanager Page</t>
        </is>
      </c>
      <c r="BO2420" s="4">
        <v>46030.713530092595</v>
      </c>
      <c r="BP2420">
        <v>166134</v>
      </c>
      <c r="BQ2420"/>
      <c r="BR2420"/>
      <c r="BS2420"/>
      <c r="BT2420"/>
      <c r="BU2420"/>
      <c r="BV2420">
        <v>2736350</v>
      </c>
      <c r="BW2420" t="inlineStr">
        <is>
          <t>Follow Up : Decision Pending</t>
        </is>
      </c>
      <c r="BX2420"/>
      <c r="BY2420"/>
      <c r="BZ2420" s="4"/>
      <c r="CA2420"/>
      <c r="CB2420"/>
      <c r="CC2420" s="4"/>
      <c r="CD2420" t="inlineStr">
        <is>
          <t>5</t>
        </is>
      </c>
      <c r="CE2420" t="inlineStr">
        <is>
          <t>0</t>
        </is>
      </c>
      <c r="CF2420" t="inlineStr">
        <is>
          <t>Q2-W01</t>
        </is>
      </c>
      <c r="CG2420"/>
      <c r="CH2420"/>
      <c r="CI2420"/>
      <c r="CJ2420" t="inlineStr">
        <is>
          <t>No Paid</t>
        </is>
      </c>
      <c r="CK2420" t="inlineStr">
        <is>
          <t>Not Eligible</t>
        </is>
      </c>
      <c r="CL2420"/>
      <c r="CM2420"/>
    </row>
    <row r="2421" ht="25.5" customHeight="1">
      <c r="A2421" t="inlineStr">
        <is>
          <t>203026</t>
        </is>
      </c>
      <c r="B2421" s="2"/>
      <c r="C2421"/>
      <c r="D2421" s="3">
        <v>46121.40130787037</v>
      </c>
      <c r="E2421" t="inlineStr">
        <is>
          <t>Q2-W01</t>
        </is>
      </c>
      <c r="F2421" t="inlineStr">
        <is>
          <t>Ken Yi</t>
        </is>
      </c>
      <c r="G2421" t="inlineStr">
        <is>
          <t>Customer</t>
        </is>
      </c>
      <c r="H2421" s="2" t="str">
        <f>=HYPERLINK("https://upbox.ajobthing.my/customer/203026", "https://upbox.ajobthing.my/customer/203026")</f>
        <v>https://upbox.ajobthing.my/customer/203026</v>
      </c>
      <c r="I2421" t="inlineStr">
        <is>
          <t>Hundredwaves Sdn Bhd</t>
        </is>
      </c>
      <c r="J2421" t="inlineStr">
        <is>
          <t>Dolphin</t>
        </is>
      </c>
      <c r="K2421" t="inlineStr">
        <is>
          <t>Kenyi</t>
        </is>
      </c>
      <c r="L2421" s="4"/>
      <c r="M2421" s="4">
        <v>46128.50266203703</v>
      </c>
      <c r="N2421"/>
      <c r="O2421">
        <v>3672</v>
      </c>
      <c r="P2421" s="4"/>
      <c r="Q2421" s="4">
        <v>46128.75077546296</v>
      </c>
      <c r="R2421"/>
      <c r="S2421">
        <v>1728</v>
      </c>
      <c r="T2421" s="4">
        <v>46128.75077546296</v>
      </c>
      <c r="U2421" s="4"/>
      <c r="V2421"/>
      <c r="W2421">
        <v>1728</v>
      </c>
      <c r="X2421"/>
      <c r="Y2421" t="inlineStr">
        <is>
          <t>Pending Appointment</t>
        </is>
      </c>
      <c r="Z2421" t="inlineStr">
        <is>
          <t>Hiring Now</t>
        </is>
      </c>
      <c r="AA2421">
        <v>1</v>
      </c>
      <c r="AB2421" t="inlineStr">
        <is>
          <t>No Appointment Made</t>
        </is>
      </c>
      <c r="AC2421"/>
      <c r="AD2421" t="inlineStr">
        <is>
          <t>operation 2</t>
        </is>
      </c>
      <c r="AE2421"/>
      <c r="AF2421">
        <v>0</v>
      </c>
      <c r="AG2421" s="4"/>
      <c r="AH2421" s="4"/>
      <c r="AI2421">
        <v>0</v>
      </c>
      <c r="AJ2421">
        <v>1</v>
      </c>
      <c r="AK2421" t="inlineStr">
        <is>
          <t>Yes, I have</t>
        </is>
      </c>
      <c r="AL2421">
        <v>1</v>
      </c>
      <c r="AM2421" t="inlineStr">
        <is>
          <t>No, I don't need at all</t>
        </is>
      </c>
      <c r="AN2421"/>
      <c r="AO2421" t="inlineStr">
        <is>
          <t>No, I don't need at all</t>
        </is>
      </c>
      <c r="AP2421" t="inlineStr">
        <is>
          <t>Every month (100%)</t>
        </is>
      </c>
      <c r="AQ2421">
        <v>2</v>
      </c>
      <c r="AR2421" t="inlineStr">
        <is>
          <t>Jobstreet</t>
        </is>
      </c>
      <c r="AS2421" t="inlineStr">
        <is>
          <t>- Headcount: 1
- Hiring Job Details: operation 2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Jobstreet</t>
        </is>
      </c>
      <c r="AT2421">
        <v>95</v>
      </c>
      <c r="AU2421" t="inlineStr">
        <is>
          <t>0.95</t>
        </is>
      </c>
      <c r="AV2421" t="inlineStr">
        <is>
          <t>15</t>
        </is>
      </c>
      <c r="AW2421" t="inlineStr">
        <is>
          <t>0</t>
        </is>
      </c>
      <c r="AX2421" t="inlineStr">
        <is>
          <t>Not Qualified</t>
        </is>
      </c>
      <c r="AY2421" s="4"/>
      <c r="AZ2421"/>
      <c r="BA2421"/>
      <c r="BB2421"/>
      <c r="BC2421" t="inlineStr">
        <is>
          <t>Guide to ask for profile updating</t>
        </is>
      </c>
      <c r="BD2421" s="4">
        <v>46129.6209375</v>
      </c>
      <c r="BE2421" t="inlineStr">
        <is>
          <t>paid</t>
        </is>
      </c>
      <c r="BF2421" t="inlineStr">
        <is>
          <t>Q2-W02</t>
        </is>
      </c>
      <c r="BG2421" t="inlineStr">
        <is>
          <t>Reschedule</t>
        </is>
      </c>
      <c r="BH2421" t="inlineStr">
        <is>
          <t>Fauziah Maharan</t>
        </is>
      </c>
      <c r="BI2421"/>
      <c r="BJ2421" s="4">
        <v>46144.75418981481</v>
      </c>
      <c r="BK2421" s="4">
        <v>46121.38439814815</v>
      </c>
      <c r="BL2421" t="inlineStr">
        <is>
          <t>1728.0</t>
        </is>
      </c>
      <c r="BM2421" t="inlineStr">
        <is>
          <t>1800.0</t>
        </is>
      </c>
      <c r="BN2421" t="inlineStr">
        <is>
          <t>View Company Page</t>
        </is>
      </c>
      <c r="BO2421" s="4">
        <v>46142.88527777778</v>
      </c>
      <c r="BP2421">
        <v>167372</v>
      </c>
      <c r="BQ2421">
        <v>7644</v>
      </c>
      <c r="BR2421" t="inlineStr">
        <is>
          <t>Manual (Paid)</t>
        </is>
      </c>
      <c r="BS2421" t="inlineStr">
        <is>
          <t>AI Ala Carte (2 Units)
- A la carte for 2 AI Job Ad
- 2 AI Job Ad will be published on Maukerja, Ricebowl and our partner platforms
- 2 AI Job Ad will be published for 45 days
- 20 Free Candidates Profiles Unlock
- 6 Free Job Ad for any type of Intern / High Pay / Part-time / Volunteer / Freelance / Singapore Job
- Package valid for 2 month
- AI Capability
- AI Instant Match for 30 profiles
- AI Daily Talent Recommendation for 2 profiles daily for 45 days
- AI "Open to Work" Detector for 2 profiles for 10 days
- AI Smart Filter
- AI Post Job Assistant
- Ajobthing CARE</t>
        </is>
      </c>
      <c r="BT2421">
        <v>7644</v>
      </c>
      <c r="BU2421"/>
      <c r="BV2421">
        <v>2712279</v>
      </c>
      <c r="BW2421" t="inlineStr">
        <is>
          <t>Follow Up : Win - Customer Paid</t>
        </is>
      </c>
      <c r="BX2421">
        <v>2</v>
      </c>
      <c r="BY2421">
        <v>2</v>
      </c>
      <c r="BZ2421" s="4"/>
      <c r="CA2421"/>
      <c r="CB2421"/>
      <c r="CC2421" s="4"/>
      <c r="CD2421" t="inlineStr">
        <is>
          <t>20</t>
        </is>
      </c>
      <c r="CE2421" t="inlineStr">
        <is>
          <t>0</t>
        </is>
      </c>
      <c r="CF2421" t="inlineStr">
        <is>
          <t>Q2-W02</t>
        </is>
      </c>
      <c r="CG2421" t="inlineStr">
        <is>
          <t>Q2-W02</t>
        </is>
      </c>
      <c r="CH2421" t="inlineStr">
        <is>
          <t>Q2-W02</t>
        </is>
      </c>
      <c r="CI2421"/>
      <c r="CJ2421" t="inlineStr">
        <is>
          <t>Paid</t>
        </is>
      </c>
      <c r="CK2421" t="inlineStr">
        <is>
          <t>Not Eligible</t>
        </is>
      </c>
      <c r="CL2421"/>
      <c r="CM2421"/>
    </row>
    <row r="2422" ht="25.5" customHeight="1">
      <c r="A2422" t="inlineStr">
        <is>
          <t>46964</t>
        </is>
      </c>
      <c r="B2422" s="2"/>
      <c r="C2422"/>
      <c r="D2422" s="3">
        <v>46121.403958333336</v>
      </c>
      <c r="E2422" t="inlineStr">
        <is>
          <t>Q2-W01</t>
        </is>
      </c>
      <c r="F2422" t="inlineStr">
        <is>
          <t>Ken Yi</t>
        </is>
      </c>
      <c r="G2422" t="inlineStr">
        <is>
          <t>Customer</t>
        </is>
      </c>
      <c r="H2422" s="2" t="str">
        <f>=HYPERLINK("https://upbox.ajobthing.my/customer/46964", "https://upbox.ajobthing.my/customer/46964")</f>
        <v>https://upbox.ajobthing.my/customer/46964</v>
      </c>
      <c r="I2422" t="inlineStr">
        <is>
          <t>Bestbuy IT Mall Sdn Bhd</t>
        </is>
      </c>
      <c r="J2422" t="inlineStr">
        <is>
          <t>Dolphin</t>
        </is>
      </c>
      <c r="K2422" t="inlineStr">
        <is>
          <t>Kenyi</t>
        </is>
      </c>
      <c r="L2422" s="4"/>
      <c r="M2422" s="4">
        <v>46121.40487268518</v>
      </c>
      <c r="N2422"/>
      <c r="O2422">
        <v>10800</v>
      </c>
      <c r="P2422" s="4"/>
      <c r="Q2422" s="4">
        <v>46120.668761574074</v>
      </c>
      <c r="R2422"/>
      <c r="S2422">
        <v>0</v>
      </c>
      <c r="T2422" s="4">
        <v>45482</v>
      </c>
      <c r="U2422" s="4"/>
      <c r="V2422"/>
      <c r="W2422">
        <v>2616.84</v>
      </c>
      <c r="X2422"/>
      <c r="Y2422" t="inlineStr">
        <is>
          <t>Pending Appointment</t>
        </is>
      </c>
      <c r="Z2422" t="inlineStr">
        <is>
          <t>Hiring Now</t>
        </is>
      </c>
      <c r="AA2422">
        <v>3</v>
      </c>
      <c r="AB2422" t="inlineStr">
        <is>
          <t>No Appointment Made</t>
        </is>
      </c>
      <c r="AC2422"/>
      <c r="AD2422" t="inlineStr">
        <is>
          <t>outlet supervisor 1, outlet staff, service operator</t>
        </is>
      </c>
      <c r="AE2422"/>
      <c r="AF2422">
        <v>0</v>
      </c>
      <c r="AG2422" s="4"/>
      <c r="AH2422" s="4"/>
      <c r="AI2422">
        <v>0</v>
      </c>
      <c r="AJ2422">
        <v>1</v>
      </c>
      <c r="AK2422" t="inlineStr">
        <is>
          <t>Yes, I have</t>
        </is>
      </c>
      <c r="AL2422">
        <v>1</v>
      </c>
      <c r="AM2422" t="inlineStr">
        <is>
          <t>No, I don't need at all</t>
        </is>
      </c>
      <c r="AN2422"/>
      <c r="AO2422" t="inlineStr">
        <is>
          <t>No, I don't need at all</t>
        </is>
      </c>
      <c r="AP2422" t="inlineStr">
        <is>
          <t>Every month (100%)</t>
        </is>
      </c>
      <c r="AQ2422">
        <v>3</v>
      </c>
      <c r="AR2422" t="inlineStr">
        <is>
          <t>Jobstreet, Free Job Portal, Hiredly</t>
        </is>
      </c>
      <c r="AS2422" t="inlineStr">
        <is>
          <t>- Headcount: 3
- Hiring Job Details: outlet supervisor 1, outlet staff, service operator
- Hiring Urgency: Hiring Now
- Number of outlets: 1
- Have recruiter team: Yes
- Number of recruiter in company: 1
- Have ATS system: No, I don't need at all
- Have career website: No, I don't need at all
- Current hiring budget: RM0
- Whole year budget: RM0.00
- Whole year number of vacancies: 3
- Hiring frequency: Every month (100%)
- External job portal: Jobstreet, Free Job Portal, Hiredly</t>
        </is>
      </c>
      <c r="AT2422">
        <v>100</v>
      </c>
      <c r="AU2422" t="inlineStr">
        <is>
          <t>1.00</t>
        </is>
      </c>
      <c r="AV2422" t="inlineStr">
        <is>
          <t>15</t>
        </is>
      </c>
      <c r="AW2422" t="inlineStr">
        <is>
          <t>0</t>
        </is>
      </c>
      <c r="AX2422" t="inlineStr">
        <is>
          <t>Not Qualified</t>
        </is>
      </c>
      <c r="AY2422" s="4"/>
      <c r="AZ2422"/>
      <c r="BA2422"/>
      <c r="BB2422"/>
      <c r="BC2422" t="inlineStr">
        <is>
          <t>Budget concern</t>
        </is>
      </c>
      <c r="BD2422" s="4">
        <v>46134.68366898148</v>
      </c>
      <c r="BE2422" t="inlineStr">
        <is>
          <t>paid</t>
        </is>
      </c>
      <c r="BF2422"/>
      <c r="BG2422" t="inlineStr">
        <is>
          <t>Reschedule</t>
        </is>
      </c>
      <c r="BH2422" t="inlineStr">
        <is>
          <t>Fauziah Maharan</t>
        </is>
      </c>
      <c r="BI2422" t="inlineStr">
        <is>
          <t>Retail / Merchandise</t>
        </is>
      </c>
      <c r="BJ2422" s="4">
        <v>46144.756006944444</v>
      </c>
      <c r="BK2422" s="4">
        <v>43174.802615740744</v>
      </c>
      <c r="BL2422" t="inlineStr">
        <is>
          <t>0.0</t>
        </is>
      </c>
      <c r="BM2422" t="inlineStr">
        <is>
          <t>0.0</t>
        </is>
      </c>
      <c r="BN2422" t="inlineStr">
        <is>
          <t>View Company Page</t>
        </is>
      </c>
      <c r="BO2422" s="4">
        <v>46120.669953703706</v>
      </c>
      <c r="BP2422">
        <v>166067</v>
      </c>
      <c r="BQ2422">
        <v>121041</v>
      </c>
      <c r="BR2422" t="inlineStr">
        <is>
          <t>Proforma</t>
        </is>
      </c>
      <c r="BS2422" t="inlineStr">
        <is>
          <t>Free Part-Time Job</t>
        </is>
      </c>
      <c r="BT2422">
        <v>70891</v>
      </c>
      <c r="BU2422"/>
      <c r="BV2422">
        <v>2721456</v>
      </c>
      <c r="BW2422" t="inlineStr">
        <is>
          <t>Inquire for Hiring Needs : Budget Concern</t>
        </is>
      </c>
      <c r="BX2422"/>
      <c r="BY2422"/>
      <c r="BZ2422" s="4"/>
      <c r="CA2422"/>
      <c r="CB2422"/>
      <c r="CC2422" s="4"/>
      <c r="CD2422" t="inlineStr">
        <is>
          <t>20</t>
        </is>
      </c>
      <c r="CE2422" t="inlineStr">
        <is>
          <t>0</t>
        </is>
      </c>
      <c r="CF2422" t="inlineStr">
        <is>
          <t>Q2-W01</t>
        </is>
      </c>
      <c r="CG2422" t="inlineStr">
        <is>
          <t>Q2-W01</t>
        </is>
      </c>
      <c r="CH2422"/>
      <c r="CI2422"/>
      <c r="CJ2422" t="inlineStr">
        <is>
          <t>Paid</t>
        </is>
      </c>
      <c r="CK2422" t="inlineStr">
        <is>
          <t>Not Eligible</t>
        </is>
      </c>
      <c r="CL2422"/>
      <c r="CM2422"/>
    </row>
    <row r="2423" ht="25.5" customHeight="1">
      <c r="A2423" t="inlineStr">
        <is>
          <t>203015</t>
        </is>
      </c>
      <c r="B2423" s="2"/>
      <c r="C2423"/>
      <c r="D2423" s="3">
        <v>46121.40666666667</v>
      </c>
      <c r="E2423" t="inlineStr">
        <is>
          <t>Q2-W01</t>
        </is>
      </c>
      <c r="F2423" t="inlineStr">
        <is>
          <t>Chia Yee</t>
        </is>
      </c>
      <c r="G2423" t="inlineStr">
        <is>
          <t>Customer</t>
        </is>
      </c>
      <c r="H2423" s="2" t="str">
        <f>=HYPERLINK("https://upbox.ajobthing.my/customer/203015", "https://upbox.ajobthing.my/customer/203015")</f>
        <v>https://upbox.ajobthing.my/customer/203015</v>
      </c>
      <c r="I2423" t="inlineStr">
        <is>
          <t>Toka Flooring</t>
        </is>
      </c>
      <c r="J2423" t="inlineStr">
        <is>
          <t>Dolphin</t>
        </is>
      </c>
      <c r="K2423" t="inlineStr">
        <is>
          <t>Chia Yee</t>
        </is>
      </c>
      <c r="L2423" s="4"/>
      <c r="M2423" s="4">
        <v>46128.46543981481</v>
      </c>
      <c r="N2423"/>
      <c r="O2423">
        <v>1296</v>
      </c>
      <c r="P2423" s="4"/>
      <c r="Q2423" s="4"/>
      <c r="R2423"/>
      <c r="S2423"/>
      <c r="T2423" s="4"/>
      <c r="U2423" s="4"/>
      <c r="V2423"/>
      <c r="W2423"/>
      <c r="X2423"/>
      <c r="Y2423" t="inlineStr">
        <is>
          <t>Pending Appointment</t>
        </is>
      </c>
      <c r="Z2423" t="inlineStr">
        <is>
          <t>Hiring Now</t>
        </is>
      </c>
      <c r="AA2423">
        <v>3</v>
      </c>
      <c r="AB2423" t="inlineStr">
        <is>
          <t>No Appointment Made</t>
        </is>
      </c>
      <c r="AC2423"/>
      <c r="AD2423" t="inlineStr">
        <is>
          <t xml:space="preserve">1 content creator, 2 Sales executive (Keep hiring). </t>
        </is>
      </c>
      <c r="AE2423"/>
      <c r="AF2423">
        <v>0</v>
      </c>
      <c r="AG2423" s="4"/>
      <c r="AH2423" s="4"/>
      <c r="AI2423">
        <v>0</v>
      </c>
      <c r="AJ2423">
        <v>2</v>
      </c>
      <c r="AK2423" t="inlineStr">
        <is>
          <t>No, I don't need at all</t>
        </is>
      </c>
      <c r="AL2423">
        <v>1</v>
      </c>
      <c r="AM2423" t="inlineStr">
        <is>
          <t>No, I don't need at all</t>
        </is>
      </c>
      <c r="AN2423"/>
      <c r="AO2423" t="inlineStr">
        <is>
          <t>No, I don't need at all</t>
        </is>
      </c>
      <c r="AP2423" t="inlineStr">
        <is>
          <t>Once a year (25%)</t>
        </is>
      </c>
      <c r="AQ2423">
        <v>4</v>
      </c>
      <c r="AR2423" t="inlineStr">
        <is>
          <t>Did not use any job portal</t>
        </is>
      </c>
      <c r="AS2423" t="inlineStr">
        <is>
          <t>- Headcount: 3
- Hiring Job Details: 1 content creator, 2 Sales executive (Keep hiring)
- Hiring Urgency: Hiring Now
- Number of outlets: 2
- Have recruiter team: No, I don't need at all
- Number of recruiter in company: 1
- Have ATS system: No, I don't need at all
- Have career website: No, I don't need at all
- Current hiring budget: RM0
- Whole year budget: RM0.00
- Whole year number of vacancies: 4
- Hiring frequency: Once a year (25%)
- External job portal: Did not use any job portal</t>
        </is>
      </c>
      <c r="AT2423">
        <v>95</v>
      </c>
      <c r="AU2423" t="inlineStr">
        <is>
          <t>0.95</t>
        </is>
      </c>
      <c r="AV2423" t="inlineStr">
        <is>
          <t>15</t>
        </is>
      </c>
      <c r="AW2423" t="inlineStr">
        <is>
          <t>0</t>
        </is>
      </c>
      <c r="AX2423" t="inlineStr">
        <is>
          <t>Not Qualified</t>
        </is>
      </c>
      <c r="AY2423" s="4"/>
      <c r="AZ2423"/>
      <c r="BA2423"/>
      <c r="BB2423"/>
      <c r="BC2423" t="inlineStr">
        <is>
          <t>Called Zack, no need first as his partner get all candidate from other resources</t>
        </is>
      </c>
      <c r="BD2423" s="4">
        <v>46142.41798611111</v>
      </c>
      <c r="BE2423"/>
      <c r="BF2423"/>
      <c r="BG2423" t="inlineStr">
        <is>
          <t>Reschedule</t>
        </is>
      </c>
      <c r="BH2423" t="inlineStr">
        <is>
          <t>Reagen</t>
        </is>
      </c>
      <c r="BI2423"/>
      <c r="BJ2423" s="4">
        <v>46144.75418981481</v>
      </c>
      <c r="BK2423" s="4">
        <v>46120.784791666665</v>
      </c>
      <c r="BL2423" t="inlineStr">
        <is>
          <t>0.0</t>
        </is>
      </c>
      <c r="BM2423" t="inlineStr">
        <is>
          <t>1200.0</t>
        </is>
      </c>
      <c r="BN2423" t="inlineStr">
        <is>
          <t>View Company Page</t>
        </is>
      </c>
      <c r="BO2423" s="4">
        <v>46120.82045138889</v>
      </c>
      <c r="BP2423">
        <v>167342</v>
      </c>
      <c r="BQ2423"/>
      <c r="BR2423"/>
      <c r="BS2423"/>
      <c r="BT2423"/>
      <c r="BU2423"/>
      <c r="BV2423">
        <v>2736635</v>
      </c>
      <c r="BW2423" t="inlineStr">
        <is>
          <t>Inquire for Hiring Needs : No Hiring</t>
        </is>
      </c>
      <c r="BX2423"/>
      <c r="BY2423"/>
      <c r="BZ2423" s="4"/>
      <c r="CA2423"/>
      <c r="CB2423"/>
      <c r="CC2423" s="4"/>
      <c r="CD2423" t="inlineStr">
        <is>
          <t>20</t>
        </is>
      </c>
      <c r="CE2423" t="inlineStr">
        <is>
          <t>0</t>
        </is>
      </c>
      <c r="CF2423" t="inlineStr">
        <is>
          <t>Q2-W02</t>
        </is>
      </c>
      <c r="CG2423"/>
      <c r="CH2423"/>
      <c r="CI2423"/>
      <c r="CJ2423" t="inlineStr">
        <is>
          <t>No Paid</t>
        </is>
      </c>
      <c r="CK2423" t="inlineStr">
        <is>
          <t>Not Eligible</t>
        </is>
      </c>
      <c r="CL2423"/>
      <c r="CM2423"/>
    </row>
    <row r="2424" ht="25.5" customHeight="1">
      <c r="A2424" t="inlineStr">
        <is>
          <t>4261646</t>
        </is>
      </c>
      <c r="B2424" s="2"/>
      <c r="C2424"/>
      <c r="D2424" s="3">
        <v>46121.4112962963</v>
      </c>
      <c r="E2424" t="inlineStr">
        <is>
          <t>Q2-W01</t>
        </is>
      </c>
      <c r="F2424" t="inlineStr">
        <is>
          <t>Chia Yee</t>
        </is>
      </c>
      <c r="G2424" t="inlineStr">
        <is>
          <t>Lead</t>
        </is>
      </c>
      <c r="H2424" s="2" t="str">
        <f>=HYPERLINK("https://upbox.ajobthing.my/leads/4261646", "https://upbox.ajobthing.my/leads/4261646")</f>
        <v>https://upbox.ajobthing.my/leads/4261646</v>
      </c>
      <c r="I2424" t="inlineStr">
        <is>
          <t>Mechatechnic sdn bhd</t>
        </is>
      </c>
      <c r="J2424" t="inlineStr">
        <is>
          <t>Dolphin</t>
        </is>
      </c>
      <c r="K2424" t="inlineStr">
        <is>
          <t>Chia Yee</t>
        </is>
      </c>
      <c r="L2424" s="4"/>
      <c r="M2424" s="4">
        <v>46121.41195601852</v>
      </c>
      <c r="N2424"/>
      <c r="O2424">
        <v>6048</v>
      </c>
      <c r="P2424" s="4"/>
      <c r="Q2424" s="4"/>
      <c r="R2424"/>
      <c r="S2424"/>
      <c r="T2424" s="4"/>
      <c r="U2424" s="4"/>
      <c r="V2424"/>
      <c r="W2424"/>
      <c r="X2424"/>
      <c r="Y2424" t="inlineStr">
        <is>
          <t>Pending Appointment</t>
        </is>
      </c>
      <c r="Z2424" t="inlineStr">
        <is>
          <t>Hiring Now</t>
        </is>
      </c>
      <c r="AA2424">
        <v>4</v>
      </c>
      <c r="AB2424" t="inlineStr">
        <is>
          <t>No Appointment Made</t>
        </is>
      </c>
      <c r="AC2424"/>
      <c r="AD2424" t="inlineStr">
        <is>
          <t>3-4 Wiring Technician, QC inspector (senior)</t>
        </is>
      </c>
      <c r="AE2424"/>
      <c r="AF2424">
        <v>0</v>
      </c>
      <c r="AG2424" s="4"/>
      <c r="AH2424" s="4"/>
      <c r="AI2424">
        <v>0</v>
      </c>
      <c r="AJ2424">
        <v>0</v>
      </c>
      <c r="AK2424" t="inlineStr">
        <is>
          <t>No, I don't need at all</t>
        </is>
      </c>
      <c r="AL2424">
        <v>1</v>
      </c>
      <c r="AM2424" t="inlineStr">
        <is>
          <t>No, I don't need at all</t>
        </is>
      </c>
      <c r="AN2424"/>
      <c r="AO2424" t="inlineStr">
        <is>
          <t>Yes, I have</t>
        </is>
      </c>
      <c r="AP2424" t="inlineStr">
        <is>
          <t>Once a year (25%)</t>
        </is>
      </c>
      <c r="AQ2424">
        <v>4</v>
      </c>
      <c r="AR2424" t="inlineStr">
        <is>
          <t>Did not use any job portal</t>
        </is>
      </c>
      <c r="AS2424" t="inlineStr">
        <is>
          <t>- Headcount: 4
- Hiring Job Details: 3-4 Wiring Technician, QC inspector (senior)
- Hiring Urgency: Hiring Now
- Number of outlets: 0
- Have recruiter team: No, I don't need at all
- Number of recruiter in company: 1
- Have ATS system: No, I don't need at all
- Have career website: Yes, I have
- Current hiring budget: RM0.00
- Whole year budget: RM0.00
- Whole year number of vacancies: 4
- Hiring frequency: Once a year (25%)
- External job portal: Did not use any job portal</t>
        </is>
      </c>
      <c r="AT2424">
        <v>85</v>
      </c>
      <c r="AU2424" t="inlineStr">
        <is>
          <t>0.85</t>
        </is>
      </c>
      <c r="AV2424" t="inlineStr">
        <is>
          <t>15</t>
        </is>
      </c>
      <c r="AW2424" t="inlineStr">
        <is>
          <t>0</t>
        </is>
      </c>
      <c r="AX2424" t="inlineStr">
        <is>
          <t>Not Qualified</t>
        </is>
      </c>
      <c r="AY2424" s="4"/>
      <c r="AZ2424"/>
      <c r="BA2424"/>
      <c r="BB2424"/>
      <c r="BC2424"/>
      <c r="BD2424" s="4"/>
      <c r="BE2424"/>
      <c r="BF2424"/>
      <c r="BG2424" t="inlineStr">
        <is>
          <t>Reschedule</t>
        </is>
      </c>
      <c r="BH2424" t="inlineStr">
        <is>
          <t>Reagen</t>
        </is>
      </c>
      <c r="BI2424"/>
      <c r="BJ2424" s="4">
        <v>46144.75576388889</v>
      </c>
      <c r="BK2424" s="4">
        <v>46120.770844907405</v>
      </c>
      <c r="BL2424" t="inlineStr">
        <is>
          <t>0.0</t>
        </is>
      </c>
      <c r="BM2424" t="inlineStr">
        <is>
          <t>0.0</t>
        </is>
      </c>
      <c r="BN2424"/>
      <c r="BO2424" s="4"/>
      <c r="BP2424">
        <v>166076</v>
      </c>
      <c r="BQ2424"/>
      <c r="BR2424"/>
      <c r="BS2424"/>
      <c r="BT2424"/>
      <c r="BU2424"/>
      <c r="BV2424"/>
      <c r="BW2424"/>
      <c r="BX2424"/>
      <c r="BY2424"/>
      <c r="BZ2424" s="4"/>
      <c r="CA2424"/>
      <c r="CB2424"/>
      <c r="CC2424" s="4"/>
      <c r="CD2424" t="inlineStr">
        <is>
          <t>20</t>
        </is>
      </c>
      <c r="CE2424" t="inlineStr">
        <is>
          <t>0</t>
        </is>
      </c>
      <c r="CF2424" t="inlineStr">
        <is>
          <t>Q2-W01</t>
        </is>
      </c>
      <c r="CG2424"/>
      <c r="CH2424"/>
      <c r="CI2424"/>
      <c r="CJ2424" t="inlineStr">
        <is>
          <t>No Paid</t>
        </is>
      </c>
      <c r="CK2424" t="inlineStr">
        <is>
          <t>Not Eligible</t>
        </is>
      </c>
      <c r="CL2424"/>
      <c r="CM2424"/>
    </row>
    <row r="2425" ht="25.5" customHeight="1">
      <c r="A2425" t="inlineStr">
        <is>
          <t>121192</t>
        </is>
      </c>
      <c r="B2425" s="2"/>
      <c r="C2425"/>
      <c r="D2425" s="3">
        <v>46121.41324074074</v>
      </c>
      <c r="E2425" t="inlineStr">
        <is>
          <t>Q2-W01</t>
        </is>
      </c>
      <c r="F2425" t="inlineStr">
        <is>
          <t>Jia Hui</t>
        </is>
      </c>
      <c r="G2425" t="inlineStr">
        <is>
          <t>Customer</t>
        </is>
      </c>
      <c r="H2425" s="2" t="str">
        <f>=HYPERLINK("https://upbox.ajobthing.my/customer/121192", "https://upbox.ajobthing.my/customer/121192")</f>
        <v>https://upbox.ajobthing.my/customer/121192</v>
      </c>
      <c r="I2425" t="inlineStr">
        <is>
          <t>Hargon Engineering Sdn Bhd</t>
        </is>
      </c>
      <c r="J2425" t="inlineStr">
        <is>
          <t>Dolphin</t>
        </is>
      </c>
      <c r="K2425" t="inlineStr">
        <is>
          <t>Jia Hui</t>
        </is>
      </c>
      <c r="L2425" s="4"/>
      <c r="M2425" s="4">
        <v>46121.4134375</v>
      </c>
      <c r="N2425"/>
      <c r="O2425">
        <v>3888</v>
      </c>
      <c r="P2425" s="4"/>
      <c r="Q2425" s="4">
        <v>44277.603217592594</v>
      </c>
      <c r="R2425"/>
      <c r="S2425">
        <v>318</v>
      </c>
      <c r="T2425" s="4">
        <v>44277.603217592594</v>
      </c>
      <c r="U2425" s="4"/>
      <c r="V2425"/>
      <c r="W2425">
        <v>318</v>
      </c>
      <c r="X2425"/>
      <c r="Y2425" t="inlineStr">
        <is>
          <t>Pending Appointment</t>
        </is>
      </c>
      <c r="Z2425" t="inlineStr">
        <is>
          <t>Hiring Now</t>
        </is>
      </c>
      <c r="AA2425">
        <v>1</v>
      </c>
      <c r="AB2425" t="inlineStr">
        <is>
          <t>No Appointment Made</t>
        </is>
      </c>
      <c r="AC2425"/>
      <c r="AD2425" t="inlineStr">
        <is>
          <t>1 purchasing executive</t>
        </is>
      </c>
      <c r="AE2425"/>
      <c r="AF2425">
        <v>500</v>
      </c>
      <c r="AG2425" s="4"/>
      <c r="AH2425" s="4"/>
      <c r="AI2425"/>
      <c r="AJ2425"/>
      <c r="AK2425" t="inlineStr">
        <is>
          <t>No, but I want in future</t>
        </is>
      </c>
      <c r="AL2425"/>
      <c r="AM2425"/>
      <c r="AN2425"/>
      <c r="AO2425"/>
      <c r="AP2425" t="inlineStr">
        <is>
          <t>Once a year (25%)</t>
        </is>
      </c>
      <c r="AQ2425"/>
      <c r="AR2425"/>
      <c r="AS2425" t="inlineStr">
        <is>
          <t>- Headcount: 1
- Hiring Job Details: 1 purchasing executive
- Hiring Urgency: Hiring Now
- Number of outlets: N/A
- Have recruiter team: No, but I want in future
- Number of recruiter in company: N/A
- Have ATS system: N/A
- Have career website: N/A
- Current hiring budget: RM500.00
- Whole year budget: N/A
- Whole year number of vacancies: N/A
- Hiring frequency: Once a year (25%)
- External job portal: N/A</t>
        </is>
      </c>
      <c r="AT2425">
        <v>75</v>
      </c>
      <c r="AU2425" t="inlineStr">
        <is>
          <t>0.75</t>
        </is>
      </c>
      <c r="AV2425" t="inlineStr">
        <is>
          <t>15</t>
        </is>
      </c>
      <c r="AW2425" t="inlineStr">
        <is>
          <t>0</t>
        </is>
      </c>
      <c r="AX2425" t="inlineStr">
        <is>
          <t>Not Qualified</t>
        </is>
      </c>
      <c r="AY2425" s="4"/>
      <c r="AZ2425"/>
      <c r="BA2425"/>
      <c r="BB2425"/>
      <c r="BC2425" t="inlineStr">
        <is>
          <t>pending decision from boss</t>
        </is>
      </c>
      <c r="BD2425" s="4">
        <v>46125.745891203704</v>
      </c>
      <c r="BE2425" t="inlineStr">
        <is>
          <t>paid</t>
        </is>
      </c>
      <c r="BF2425"/>
      <c r="BG2425" t="inlineStr">
        <is>
          <t>Reschedule</t>
        </is>
      </c>
      <c r="BH2425" t="inlineStr">
        <is>
          <t>Reagen</t>
        </is>
      </c>
      <c r="BI2425"/>
      <c r="BJ2425" s="4">
        <v>46144.75025462963</v>
      </c>
      <c r="BK2425" s="4">
        <v>43703.689780092594</v>
      </c>
      <c r="BL2425" t="inlineStr">
        <is>
          <t>0.0</t>
        </is>
      </c>
      <c r="BM2425" t="inlineStr">
        <is>
          <t>0.0</t>
        </is>
      </c>
      <c r="BN2425" t="inlineStr">
        <is>
          <t>View Jobmanager Page</t>
        </is>
      </c>
      <c r="BO2425" s="4">
        <v>44762.399733796294</v>
      </c>
      <c r="BP2425">
        <v>166082</v>
      </c>
      <c r="BQ2425">
        <v>31404</v>
      </c>
      <c r="BR2425" t="inlineStr">
        <is>
          <t>Online</t>
        </is>
      </c>
      <c r="BS2425"/>
      <c r="BT2425">
        <v>31404</v>
      </c>
      <c r="BU2425"/>
      <c r="BV2425">
        <v>2702192</v>
      </c>
      <c r="BW2425" t="inlineStr">
        <is>
          <t>Follow Up : Decision Pending</t>
        </is>
      </c>
      <c r="BX2425"/>
      <c r="BY2425"/>
      <c r="BZ2425" s="4"/>
      <c r="CA2425"/>
      <c r="CB2425"/>
      <c r="CC2425" s="4"/>
      <c r="CD2425" t="inlineStr">
        <is>
          <t>20</t>
        </is>
      </c>
      <c r="CE2425" t="inlineStr">
        <is>
          <t>0</t>
        </is>
      </c>
      <c r="CF2425" t="inlineStr">
        <is>
          <t>Q2-W01</t>
        </is>
      </c>
      <c r="CG2425"/>
      <c r="CH2425"/>
      <c r="CI2425"/>
      <c r="CJ2425" t="inlineStr">
        <is>
          <t>Paid</t>
        </is>
      </c>
      <c r="CK2425" t="inlineStr">
        <is>
          <t>Not Eligible</t>
        </is>
      </c>
      <c r="CL2425"/>
      <c r="CM2425"/>
    </row>
    <row r="2426" ht="25.5" customHeight="1">
      <c r="A2426" t="inlineStr">
        <is>
          <t>173300</t>
        </is>
      </c>
      <c r="B2426" s="2"/>
      <c r="C2426"/>
      <c r="D2426" s="3">
        <v>46121.414675925924</v>
      </c>
      <c r="E2426" t="inlineStr">
        <is>
          <t>Q2-W01</t>
        </is>
      </c>
      <c r="F2426" t="inlineStr">
        <is>
          <t>Eugene</t>
        </is>
      </c>
      <c r="G2426" t="inlineStr">
        <is>
          <t>Customer</t>
        </is>
      </c>
      <c r="H2426" s="2" t="str">
        <f>=HYPERLINK("https://upbox.ajobthing.my/customer/173300", "https://upbox.ajobthing.my/customer/173300")</f>
        <v>https://upbox.ajobthing.my/customer/173300</v>
      </c>
      <c r="I2426" t="inlineStr">
        <is>
          <t>Ozhean Aesthetics Sdn. Bhd.</t>
        </is>
      </c>
      <c r="J2426" t="inlineStr">
        <is>
          <t>Dolphin</t>
        </is>
      </c>
      <c r="K2426" t="inlineStr">
        <is>
          <t>Eugene</t>
        </is>
      </c>
      <c r="L2426" s="4"/>
      <c r="M2426" s="4">
        <v>46121.41479166667</v>
      </c>
      <c r="N2426"/>
      <c r="O2426">
        <v>6048</v>
      </c>
      <c r="P2426" s="4"/>
      <c r="Q2426" s="4">
        <v>45989.74375</v>
      </c>
      <c r="R2426"/>
      <c r="S2426">
        <v>0</v>
      </c>
      <c r="T2426" s="4">
        <v>45796.60638888889</v>
      </c>
      <c r="U2426" s="4"/>
      <c r="V2426"/>
      <c r="W2426">
        <v>3024</v>
      </c>
      <c r="X2426"/>
      <c r="Y2426" t="inlineStr">
        <is>
          <t>Pending Appointment</t>
        </is>
      </c>
      <c r="Z2426" t="inlineStr">
        <is>
          <t>Hiring Later</t>
        </is>
      </c>
      <c r="AA2426">
        <v>5</v>
      </c>
      <c r="AB2426" t="inlineStr">
        <is>
          <t>No Appointment Made</t>
        </is>
      </c>
      <c r="AC2426"/>
      <c r="AD2426" t="inlineStr">
        <is>
          <t>5 positions, based in KL</t>
        </is>
      </c>
      <c r="AE2426"/>
      <c r="AF2426">
        <v>5000</v>
      </c>
      <c r="AG2426" s="4"/>
      <c r="AH2426" s="4"/>
      <c r="AI2426">
        <v>5000</v>
      </c>
      <c r="AJ2426">
        <v>2</v>
      </c>
      <c r="AK2426" t="inlineStr">
        <is>
          <t>No, I don't need at all</t>
        </is>
      </c>
      <c r="AL2426">
        <v>1</v>
      </c>
      <c r="AM2426" t="inlineStr">
        <is>
          <t>No, I don't need at all</t>
        </is>
      </c>
      <c r="AN2426"/>
      <c r="AO2426" t="inlineStr">
        <is>
          <t>No, I don't need at all</t>
        </is>
      </c>
      <c r="AP2426" t="inlineStr">
        <is>
          <t>Once per quarter (75%)</t>
        </is>
      </c>
      <c r="AQ2426">
        <v>6</v>
      </c>
      <c r="AR2426" t="inlineStr">
        <is>
          <t>Free Job Portal</t>
        </is>
      </c>
      <c r="AS2426" t="inlineStr">
        <is>
          <t>- Headcount: 5
- Hiring Job Details: 5 positions, based in KL
- Hiring Urgency: Hiring Later
- Number of outlets: 2
- Have recruiter team: No, I don't need at all
- Number of recruiter in company: 1
- Have ATS system: No, I don't need at all
- Have career website: No, I don't need at all
- Current hiring budget: RM5,000
- Whole year budget: RM5,000.00
- Whole year number of vacancies: 6
- Hiring frequency: Once per quarter (75%)
- External job portal: Free Job Portal</t>
        </is>
      </c>
      <c r="AT2426">
        <v>75</v>
      </c>
      <c r="AU2426" t="inlineStr">
        <is>
          <t>0.75</t>
        </is>
      </c>
      <c r="AV2426" t="inlineStr">
        <is>
          <t>20</t>
        </is>
      </c>
      <c r="AW2426" t="inlineStr">
        <is>
          <t>0</t>
        </is>
      </c>
      <c r="AX2426" t="inlineStr">
        <is>
          <t>Not Qualified</t>
        </is>
      </c>
      <c r="AY2426" s="4"/>
      <c r="AZ2426"/>
      <c r="BA2426"/>
      <c r="BB2426"/>
      <c r="BC2426" t="inlineStr">
        <is>
          <t>nh, share proposals</t>
        </is>
      </c>
      <c r="BD2426" s="4">
        <v>46121.41756944444</v>
      </c>
      <c r="BE2426" t="inlineStr">
        <is>
          <t>paid</t>
        </is>
      </c>
      <c r="BF2426"/>
      <c r="BG2426" t="inlineStr">
        <is>
          <t>Reschedule</t>
        </is>
      </c>
      <c r="BH2426" t="inlineStr">
        <is>
          <t>Edward Hoo</t>
        </is>
      </c>
      <c r="BI2426" t="inlineStr">
        <is>
          <t>Beauty / Fitness</t>
        </is>
      </c>
      <c r="BJ2426" s="4">
        <v>46144.75150462963</v>
      </c>
      <c r="BK2426" s="4">
        <v>45258.397361111114</v>
      </c>
      <c r="BL2426" t="inlineStr">
        <is>
          <t>3024.0</t>
        </is>
      </c>
      <c r="BM2426" t="inlineStr">
        <is>
          <t>0.0</t>
        </is>
      </c>
      <c r="BN2426" t="inlineStr">
        <is>
          <t>View Jobmanager Page</t>
        </is>
      </c>
      <c r="BO2426" s="4">
        <v>46043.57299768519</v>
      </c>
      <c r="BP2426">
        <v>166084</v>
      </c>
      <c r="BQ2426">
        <v>112446</v>
      </c>
      <c r="BR2426" t="inlineStr">
        <is>
          <t>Proforma</t>
        </is>
      </c>
      <c r="BS2426" t="inlineStr">
        <is>
          <t>A La Carte AI Job Ad Free</t>
        </is>
      </c>
      <c r="BT2426">
        <v>79373</v>
      </c>
      <c r="BU2426"/>
      <c r="BV2426">
        <v>2694540</v>
      </c>
      <c r="BW2426" t="inlineStr">
        <is>
          <t>Inquire for Hiring Needs : No Hiring</t>
        </is>
      </c>
      <c r="BX2426">
        <v>6</v>
      </c>
      <c r="BY2426">
        <v>0</v>
      </c>
      <c r="BZ2426" s="4">
        <v>45883.482719907406</v>
      </c>
      <c r="CA2426">
        <v>120</v>
      </c>
      <c r="CB2426">
        <v>95</v>
      </c>
      <c r="CC2426" s="4">
        <v>45804.42313657407</v>
      </c>
      <c r="CD2426" t="inlineStr">
        <is>
          <t>30</t>
        </is>
      </c>
      <c r="CE2426" t="inlineStr">
        <is>
          <t>0</t>
        </is>
      </c>
      <c r="CF2426" t="inlineStr">
        <is>
          <t>Q2-W01</t>
        </is>
      </c>
      <c r="CG2426"/>
      <c r="CH2426"/>
      <c r="CI2426"/>
      <c r="CJ2426" t="inlineStr">
        <is>
          <t>Paid</t>
        </is>
      </c>
      <c r="CK2426" t="inlineStr">
        <is>
          <t>Not Eligible</t>
        </is>
      </c>
      <c r="CL2426"/>
      <c r="CM2426"/>
    </row>
    <row r="2427" ht="25.5" customHeight="1">
      <c r="A2427" t="inlineStr">
        <is>
          <t>46493</t>
        </is>
      </c>
      <c r="B2427" s="2"/>
      <c r="C2427"/>
      <c r="D2427" s="3">
        <v>46121.41724537037</v>
      </c>
      <c r="E2427" t="inlineStr">
        <is>
          <t>Q2-W01</t>
        </is>
      </c>
      <c r="F2427" t="inlineStr">
        <is>
          <t>Yuli</t>
        </is>
      </c>
      <c r="G2427" t="inlineStr">
        <is>
          <t>Customer</t>
        </is>
      </c>
      <c r="H2427" s="2" t="str">
        <f>=HYPERLINK("https://upbox.ajobthing.my/customer/46493", "https://upbox.ajobthing.my/customer/46493")</f>
        <v>https://upbox.ajobthing.my/customer/46493</v>
      </c>
      <c r="I2427" t="inlineStr">
        <is>
          <t>MLB Group Sdn Bhd</t>
        </is>
      </c>
      <c r="J2427" t="inlineStr">
        <is>
          <t>Dolphin</t>
        </is>
      </c>
      <c r="K2427" t="inlineStr">
        <is>
          <t>YuLi</t>
        </is>
      </c>
      <c r="L2427" s="4"/>
      <c r="M2427" s="4">
        <v>46121.41663194444</v>
      </c>
      <c r="N2427"/>
      <c r="O2427">
        <v>7992</v>
      </c>
      <c r="P2427" s="4"/>
      <c r="Q2427" s="4">
        <v>45779.66421296296</v>
      </c>
      <c r="R2427"/>
      <c r="S2427">
        <v>2916</v>
      </c>
      <c r="T2427" s="4">
        <v>45779.66421296296</v>
      </c>
      <c r="U2427" s="4"/>
      <c r="V2427"/>
      <c r="W2427">
        <v>2916</v>
      </c>
      <c r="X2427"/>
      <c r="Y2427" t="inlineStr">
        <is>
          <t>Pending Appointment</t>
        </is>
      </c>
      <c r="Z2427" t="inlineStr">
        <is>
          <t>Hiring Now</t>
        </is>
      </c>
      <c r="AA2427">
        <v>1</v>
      </c>
      <c r="AB2427" t="inlineStr">
        <is>
          <t>No Appointment Made</t>
        </is>
      </c>
      <c r="AC2427"/>
      <c r="AD2427" t="inlineStr">
        <is>
          <t>retail sales</t>
        </is>
      </c>
      <c r="AE2427"/>
      <c r="AF2427"/>
      <c r="AG2427" s="4"/>
      <c r="AH2427" s="4"/>
      <c r="AI2427"/>
      <c r="AJ2427"/>
      <c r="AK2427"/>
      <c r="AL2427"/>
      <c r="AM2427"/>
      <c r="AN2427"/>
      <c r="AO2427"/>
      <c r="AP2427"/>
      <c r="AQ2427"/>
      <c r="AR2427" t="inlineStr">
        <is>
          <t>Free Job Portal</t>
        </is>
      </c>
      <c r="AS2427" t="inlineStr">
        <is>
          <t>- Headcount: 1
- Hiring Job Details: retail sales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Free Job Portal</t>
        </is>
      </c>
      <c r="AT2427">
        <v>65</v>
      </c>
      <c r="AU2427" t="inlineStr">
        <is>
          <t>0.65</t>
        </is>
      </c>
      <c r="AV2427" t="inlineStr">
        <is>
          <t>5</t>
        </is>
      </c>
      <c r="AW2427" t="inlineStr">
        <is>
          <t>0</t>
        </is>
      </c>
      <c r="AX2427" t="inlineStr">
        <is>
          <t>Not Qualified</t>
        </is>
      </c>
      <c r="AY2427" s="4"/>
      <c r="AZ2427"/>
      <c r="BA2427"/>
      <c r="BB2427"/>
      <c r="BC2427" t="inlineStr">
        <is>
          <t>using free portal like indeed with 0 cost get more applications, and Liping also mentioned on hold on the hiring.</t>
        </is>
      </c>
      <c r="BD2427" s="4">
        <v>46134.45715277778</v>
      </c>
      <c r="BE2427" t="inlineStr">
        <is>
          <t>paid</t>
        </is>
      </c>
      <c r="BF2427"/>
      <c r="BG2427" t="inlineStr">
        <is>
          <t>Reschedule</t>
        </is>
      </c>
      <c r="BH2427" t="inlineStr">
        <is>
          <t>Fauziah Maharan</t>
        </is>
      </c>
      <c r="BI2427" t="inlineStr">
        <is>
          <t>Retail / Merchandise</t>
        </is>
      </c>
      <c r="BJ2427" s="4">
        <v>46144.756006944444</v>
      </c>
      <c r="BK2427" s="4">
        <v>43160.62778935185</v>
      </c>
      <c r="BL2427" t="inlineStr">
        <is>
          <t>2916.0</t>
        </is>
      </c>
      <c r="BM2427" t="inlineStr">
        <is>
          <t>0.0</t>
        </is>
      </c>
      <c r="BN2427" t="inlineStr">
        <is>
          <t>View Jobmanager Page</t>
        </is>
      </c>
      <c r="BO2427" s="4">
        <v>46115.61618055555</v>
      </c>
      <c r="BP2427">
        <v>166087</v>
      </c>
      <c r="BQ2427">
        <v>78950</v>
      </c>
      <c r="BR2427" t="inlineStr">
        <is>
          <t>Online</t>
        </is>
      </c>
      <c r="BS2427"/>
      <c r="BT2427">
        <v>78950</v>
      </c>
      <c r="BU2427"/>
      <c r="BV2427">
        <v>2719856</v>
      </c>
      <c r="BW2427" t="inlineStr">
        <is>
          <t>Follow Up : Lost - Free Portal</t>
        </is>
      </c>
      <c r="BX2427"/>
      <c r="BY2427"/>
      <c r="BZ2427" s="4"/>
      <c r="CA2427"/>
      <c r="CB2427"/>
      <c r="CC2427" s="4"/>
      <c r="CD2427" t="inlineStr">
        <is>
          <t>5</t>
        </is>
      </c>
      <c r="CE2427" t="inlineStr">
        <is>
          <t>0</t>
        </is>
      </c>
      <c r="CF2427" t="inlineStr">
        <is>
          <t>Q2-W01</t>
        </is>
      </c>
      <c r="CG2427"/>
      <c r="CH2427"/>
      <c r="CI2427"/>
      <c r="CJ2427" t="inlineStr">
        <is>
          <t>Paid</t>
        </is>
      </c>
      <c r="CK2427" t="inlineStr">
        <is>
          <t>Not Eligible</t>
        </is>
      </c>
      <c r="CL2427"/>
      <c r="CM2427"/>
    </row>
    <row r="2428" ht="25.5" customHeight="1">
      <c r="A2428" t="inlineStr">
        <is>
          <t>184897</t>
        </is>
      </c>
      <c r="B2428" s="2"/>
      <c r="C2428"/>
      <c r="D2428" s="3">
        <v>46121.423425925925</v>
      </c>
      <c r="E2428" t="inlineStr">
        <is>
          <t>Q2-W01</t>
        </is>
      </c>
      <c r="F2428" t="inlineStr">
        <is>
          <t>Ken Yi</t>
        </is>
      </c>
      <c r="G2428" t="inlineStr">
        <is>
          <t>Customer</t>
        </is>
      </c>
      <c r="H2428" s="2" t="str">
        <f>=HYPERLINK("https://upbox.ajobthing.my/customer/184897", "https://upbox.ajobthing.my/customer/184897")</f>
        <v>https://upbox.ajobthing.my/customer/184897</v>
      </c>
      <c r="I2428" t="inlineStr">
        <is>
          <t>Water Mates Sdn Bhd</t>
        </is>
      </c>
      <c r="J2428" t="inlineStr">
        <is>
          <t>Dolphin</t>
        </is>
      </c>
      <c r="K2428" t="inlineStr">
        <is>
          <t>Kenyi</t>
        </is>
      </c>
      <c r="L2428" s="4"/>
      <c r="M2428" s="4">
        <v>46121.42376157407</v>
      </c>
      <c r="N2428"/>
      <c r="O2428">
        <v>4968</v>
      </c>
      <c r="P2428" s="4"/>
      <c r="Q2428" s="4">
        <v>46043.75436342593</v>
      </c>
      <c r="R2428"/>
      <c r="S2428">
        <v>0</v>
      </c>
      <c r="T2428" s="4">
        <v>45909.427256944444</v>
      </c>
      <c r="U2428" s="4"/>
      <c r="V2428"/>
      <c r="W2428">
        <v>3672</v>
      </c>
      <c r="X2428"/>
      <c r="Y2428" t="inlineStr">
        <is>
          <t>Pending Appointment</t>
        </is>
      </c>
      <c r="Z2428" t="inlineStr">
        <is>
          <t>Hiring Now</t>
        </is>
      </c>
      <c r="AA2428">
        <v>2</v>
      </c>
      <c r="AB2428" t="inlineStr">
        <is>
          <t>No Appointment Made</t>
        </is>
      </c>
      <c r="AC2428"/>
      <c r="AD2428" t="inlineStr">
        <is>
          <t>Admin, coach 2</t>
        </is>
      </c>
      <c r="AE2428"/>
      <c r="AF2428">
        <v>0</v>
      </c>
      <c r="AG2428" s="4"/>
      <c r="AH2428" s="4"/>
      <c r="AI2428">
        <v>0</v>
      </c>
      <c r="AJ2428">
        <v>1</v>
      </c>
      <c r="AK2428" t="inlineStr">
        <is>
          <t>Yes, I have</t>
        </is>
      </c>
      <c r="AL2428">
        <v>1</v>
      </c>
      <c r="AM2428" t="inlineStr">
        <is>
          <t>No, I don't need at all</t>
        </is>
      </c>
      <c r="AN2428"/>
      <c r="AO2428" t="inlineStr">
        <is>
          <t>No, I don't need at all</t>
        </is>
      </c>
      <c r="AP2428" t="inlineStr">
        <is>
          <t>Every month (100%)</t>
        </is>
      </c>
      <c r="AQ2428">
        <v>1</v>
      </c>
      <c r="AR2428" t="inlineStr">
        <is>
          <t>Did not use any job portal</t>
        </is>
      </c>
      <c r="AS2428" t="inlineStr">
        <is>
          <t>- Headcount: 2
- Hiring Job Details: Admin, coach 2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is>
      </c>
      <c r="AT2428">
        <v>95</v>
      </c>
      <c r="AU2428" t="inlineStr">
        <is>
          <t>0.95</t>
        </is>
      </c>
      <c r="AV2428" t="inlineStr">
        <is>
          <t>15</t>
        </is>
      </c>
      <c r="AW2428" t="inlineStr">
        <is>
          <t>0</t>
        </is>
      </c>
      <c r="AX2428" t="inlineStr">
        <is>
          <t>Not Qualified</t>
        </is>
      </c>
      <c r="AY2428" s="4"/>
      <c r="AZ2428"/>
      <c r="BA2428"/>
      <c r="BB2428"/>
      <c r="BC2428" t="inlineStr">
        <is>
          <t>Still pending decision</t>
        </is>
      </c>
      <c r="BD2428" s="4">
        <v>46134.68478009259</v>
      </c>
      <c r="BE2428" t="inlineStr">
        <is>
          <t>paid</t>
        </is>
      </c>
      <c r="BF2428"/>
      <c r="BG2428" t="inlineStr">
        <is>
          <t>Reschedule</t>
        </is>
      </c>
      <c r="BH2428" t="inlineStr">
        <is>
          <t>Fauziah Maharan</t>
        </is>
      </c>
      <c r="BI2428" t="inlineStr">
        <is>
          <t>Sports</t>
        </is>
      </c>
      <c r="BJ2428" s="4">
        <v>46144.75204861111</v>
      </c>
      <c r="BK2428" s="4">
        <v>45612.9921875</v>
      </c>
      <c r="BL2428" t="inlineStr">
        <is>
          <t>3672.0</t>
        </is>
      </c>
      <c r="BM2428" t="inlineStr">
        <is>
          <t>150.0</t>
        </is>
      </c>
      <c r="BN2428" t="inlineStr">
        <is>
          <t>View Company Page</t>
        </is>
      </c>
      <c r="BO2428" s="4">
        <v>46127.5633912037</v>
      </c>
      <c r="BP2428">
        <v>166093</v>
      </c>
      <c r="BQ2428">
        <v>114189</v>
      </c>
      <c r="BR2428" t="inlineStr">
        <is>
          <t>Proforma</t>
        </is>
      </c>
      <c r="BS2428" t="inlineStr">
        <is>
          <t>Free Internship Job</t>
        </is>
      </c>
      <c r="BT2428">
        <v>82217</v>
      </c>
      <c r="BU2428"/>
      <c r="BV2428">
        <v>2721467</v>
      </c>
      <c r="BW2428" t="inlineStr">
        <is>
          <t>Follow Up : Decision Pending</t>
        </is>
      </c>
      <c r="BX2428">
        <v>6</v>
      </c>
      <c r="BY2428">
        <v>0</v>
      </c>
      <c r="BZ2428" s="4">
        <v>46106.75387731481</v>
      </c>
      <c r="CA2428">
        <v>60</v>
      </c>
      <c r="CB2428">
        <v>42</v>
      </c>
      <c r="CC2428" s="4">
        <v>46049.65064814815</v>
      </c>
      <c r="CD2428" t="inlineStr">
        <is>
          <t>20</t>
        </is>
      </c>
      <c r="CE2428" t="inlineStr">
        <is>
          <t>0</t>
        </is>
      </c>
      <c r="CF2428" t="inlineStr">
        <is>
          <t>Q2-W01</t>
        </is>
      </c>
      <c r="CG2428" t="inlineStr">
        <is>
          <t>Q1-W03</t>
        </is>
      </c>
      <c r="CH2428"/>
      <c r="CI2428"/>
      <c r="CJ2428" t="inlineStr">
        <is>
          <t>Paid</t>
        </is>
      </c>
      <c r="CK2428" t="inlineStr">
        <is>
          <t>Not Eligible</t>
        </is>
      </c>
      <c r="CL2428"/>
      <c r="CM2428"/>
    </row>
    <row r="2429" ht="25.5" customHeight="1">
      <c r="A2429" t="inlineStr">
        <is>
          <t>22475</t>
        </is>
      </c>
      <c r="B2429" s="2"/>
      <c r="C2429"/>
      <c r="D2429" s="3">
        <v>46121.426574074074</v>
      </c>
      <c r="E2429" t="inlineStr">
        <is>
          <t>Q2-W01</t>
        </is>
      </c>
      <c r="F2429" t="inlineStr">
        <is>
          <t>Alex Chan</t>
        </is>
      </c>
      <c r="G2429" t="inlineStr">
        <is>
          <t>Customer</t>
        </is>
      </c>
      <c r="H2429" s="2" t="str">
        <f>=HYPERLINK("https://upbox.ajobthing.my/customer/22475", "https://upbox.ajobthing.my/customer/22475")</f>
        <v>https://upbox.ajobthing.my/customer/22475</v>
      </c>
      <c r="I2429" t="inlineStr">
        <is>
          <t>Messrs Kington Tan Dzul</t>
        </is>
      </c>
      <c r="J2429" t="inlineStr">
        <is>
          <t>Dolphin</t>
        </is>
      </c>
      <c r="K2429" t="inlineStr">
        <is>
          <t>Alex Chan</t>
        </is>
      </c>
      <c r="L2429" s="4"/>
      <c r="M2429" s="4">
        <v>46121.422002314815</v>
      </c>
      <c r="N2429"/>
      <c r="O2429">
        <v>3888</v>
      </c>
      <c r="P2429" s="4"/>
      <c r="Q2429" s="4">
        <v>44802.73880787037</v>
      </c>
      <c r="R2429"/>
      <c r="S2429">
        <v>848</v>
      </c>
      <c r="T2429" s="4">
        <v>44802.73880787037</v>
      </c>
      <c r="U2429" s="4"/>
      <c r="V2429"/>
      <c r="W2429">
        <v>848</v>
      </c>
      <c r="X2429"/>
      <c r="Y2429" t="inlineStr">
        <is>
          <t>Pending Appointment</t>
        </is>
      </c>
      <c r="Z2429" t="inlineStr">
        <is>
          <t>Hiring Now</t>
        </is>
      </c>
      <c r="AA2429">
        <v>1</v>
      </c>
      <c r="AB2429" t="inlineStr">
        <is>
          <t>No Appointment Made</t>
        </is>
      </c>
      <c r="AC2429"/>
      <c r="AD2429" t="inlineStr">
        <is>
          <t>1x Acc</t>
        </is>
      </c>
      <c r="AE2429"/>
      <c r="AF2429">
        <v>3600</v>
      </c>
      <c r="AG2429" s="4"/>
      <c r="AH2429" s="4"/>
      <c r="AI2429">
        <v>3600</v>
      </c>
      <c r="AJ2429">
        <v>1</v>
      </c>
      <c r="AK2429" t="inlineStr">
        <is>
          <t>No, I don't need at all</t>
        </is>
      </c>
      <c r="AL2429">
        <v>1</v>
      </c>
      <c r="AM2429" t="inlineStr">
        <is>
          <t>No, I don't need at all</t>
        </is>
      </c>
      <c r="AN2429"/>
      <c r="AO2429" t="inlineStr">
        <is>
          <t>No, I don't need at all</t>
        </is>
      </c>
      <c r="AP2429" t="inlineStr">
        <is>
          <t>Once a year (25%)</t>
        </is>
      </c>
      <c r="AQ2429">
        <v>1</v>
      </c>
      <c r="AR2429" t="inlineStr">
        <is>
          <t>Free Job Portal</t>
        </is>
      </c>
      <c r="AS2429" t="inlineStr">
        <is>
          <t>- Headcount: 1
- Hiring Job Details: 1x Acc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AT2429">
        <v>110</v>
      </c>
      <c r="AU2429" t="inlineStr">
        <is>
          <t>1.10</t>
        </is>
      </c>
      <c r="AV2429" t="inlineStr">
        <is>
          <t>15</t>
        </is>
      </c>
      <c r="AW2429" t="inlineStr">
        <is>
          <t>0</t>
        </is>
      </c>
      <c r="AX2429" t="inlineStr">
        <is>
          <t>Not Qualified</t>
        </is>
      </c>
      <c r="AY2429" s="4"/>
      <c r="AZ2429"/>
      <c r="BA2429"/>
      <c r="BB2429"/>
      <c r="BC2429" t="inlineStr">
        <is>
          <t>na</t>
        </is>
      </c>
      <c r="BD2429" s="4">
        <v>46139.67579861111</v>
      </c>
      <c r="BE2429" t="inlineStr">
        <is>
          <t>paid</t>
        </is>
      </c>
      <c r="BF2429"/>
      <c r="BG2429" t="inlineStr">
        <is>
          <t>Reschedule</t>
        </is>
      </c>
      <c r="BH2429" t="inlineStr">
        <is>
          <t>Reagen</t>
        </is>
      </c>
      <c r="BI2429" t="inlineStr">
        <is>
          <t>Law / Legal</t>
        </is>
      </c>
      <c r="BJ2429" s="4">
        <v>46144.75444444444</v>
      </c>
      <c r="BK2429" s="4">
        <v>42494.688622685186</v>
      </c>
      <c r="BL2429" t="inlineStr">
        <is>
          <t>0.0</t>
        </is>
      </c>
      <c r="BM2429" t="inlineStr">
        <is>
          <t>0.0</t>
        </is>
      </c>
      <c r="BN2429" t="inlineStr">
        <is>
          <t>View Notifications</t>
        </is>
      </c>
      <c r="BO2429" s="4">
        <v>44847.481261574074</v>
      </c>
      <c r="BP2429">
        <v>166092</v>
      </c>
      <c r="BQ2429">
        <v>49923</v>
      </c>
      <c r="BR2429" t="inlineStr">
        <is>
          <t>Online</t>
        </is>
      </c>
      <c r="BS2429"/>
      <c r="BT2429">
        <v>49923</v>
      </c>
      <c r="BU2429"/>
      <c r="BV2429">
        <v>2730932</v>
      </c>
      <c r="BW2429" t="inlineStr">
        <is>
          <t>No Answer : Voicemail - WA sent to customer</t>
        </is>
      </c>
      <c r="BX2429"/>
      <c r="BY2429"/>
      <c r="BZ2429" s="4"/>
      <c r="CA2429"/>
      <c r="CB2429"/>
      <c r="CC2429" s="4"/>
      <c r="CD2429" t="inlineStr">
        <is>
          <t>20</t>
        </is>
      </c>
      <c r="CE2429" t="inlineStr">
        <is>
          <t>0</t>
        </is>
      </c>
      <c r="CF2429" t="inlineStr">
        <is>
          <t>Q2-W01</t>
        </is>
      </c>
      <c r="CG2429"/>
      <c r="CH2429"/>
      <c r="CI2429"/>
      <c r="CJ2429" t="inlineStr">
        <is>
          <t>Paid</t>
        </is>
      </c>
      <c r="CK2429" t="inlineStr">
        <is>
          <t>Not Eligible</t>
        </is>
      </c>
      <c r="CL2429"/>
      <c r="CM2429"/>
    </row>
    <row r="2430" ht="25.5" customHeight="1">
      <c r="A2430" t="inlineStr">
        <is>
          <t>203030</t>
        </is>
      </c>
      <c r="B2430" s="2"/>
      <c r="C2430"/>
      <c r="D2430" s="3">
        <v>46121.428252314814</v>
      </c>
      <c r="E2430" t="inlineStr">
        <is>
          <t>Q2-W01</t>
        </is>
      </c>
      <c r="F2430" t="inlineStr">
        <is>
          <t>Jess</t>
        </is>
      </c>
      <c r="G2430" t="inlineStr">
        <is>
          <t>Customer</t>
        </is>
      </c>
      <c r="H2430" s="2" t="str">
        <f>=HYPERLINK("https://upbox.ajobthing.my/customer/203030", "https://upbox.ajobthing.my/customer/203030")</f>
        <v>https://upbox.ajobthing.my/customer/203030</v>
      </c>
      <c r="I2430" t="inlineStr">
        <is>
          <t>Carrealm Automall Sdn Bhd</t>
        </is>
      </c>
      <c r="J2430" t="inlineStr">
        <is>
          <t>Dolphin</t>
        </is>
      </c>
      <c r="K2430" t="inlineStr">
        <is>
          <t>Jess Lim</t>
        </is>
      </c>
      <c r="L2430" s="4"/>
      <c r="M2430" s="4">
        <v>46121.42885416667</v>
      </c>
      <c r="N2430"/>
      <c r="O2430">
        <v>3672</v>
      </c>
      <c r="P2430" s="4"/>
      <c r="Q2430" s="4"/>
      <c r="R2430"/>
      <c r="S2430"/>
      <c r="T2430" s="4"/>
      <c r="U2430" s="4"/>
      <c r="V2430"/>
      <c r="W2430"/>
      <c r="X2430"/>
      <c r="Y2430" t="inlineStr">
        <is>
          <t>Pending Appointment</t>
        </is>
      </c>
      <c r="Z2430" t="inlineStr">
        <is>
          <t>Hiring Now</t>
        </is>
      </c>
      <c r="AA2430">
        <v>4</v>
      </c>
      <c r="AB2430" t="inlineStr">
        <is>
          <t>No Appointment Made</t>
        </is>
      </c>
      <c r="AC2430"/>
      <c r="AD2430" t="inlineStr">
        <is>
          <t>sales 4</t>
        </is>
      </c>
      <c r="AE2430"/>
      <c r="AF2430">
        <v>1000</v>
      </c>
      <c r="AG2430" s="4"/>
      <c r="AH2430" s="4"/>
      <c r="AI2430"/>
      <c r="AJ2430">
        <v>1</v>
      </c>
      <c r="AK2430" t="inlineStr">
        <is>
          <t>No, I don't need at all</t>
        </is>
      </c>
      <c r="AL2430">
        <v>1</v>
      </c>
      <c r="AM2430" t="inlineStr">
        <is>
          <t>No, I don't need at all</t>
        </is>
      </c>
      <c r="AN2430"/>
      <c r="AO2430"/>
      <c r="AP2430" t="inlineStr">
        <is>
          <t>Once a year (25%)</t>
        </is>
      </c>
      <c r="AQ2430"/>
      <c r="AR2430" t="inlineStr">
        <is>
          <t>Jobstreet</t>
        </is>
      </c>
      <c r="AS2430" t="inlineStr">
        <is>
          <t>- Headcount: 4
- Hiring Job Details: sales 4
- Hiring Urgency: Hiring Now
- Number of outlets: 1
- Have recruiter team: No, I don't need at all
- Number of recruiter in company: 1
- Have ATS system: No, I don't need at all
- Have career website: Not specified
- Current hiring budget: RM1,000.00
- Whole year budget: Not specified
- Whole year number of vacancies: Not specified
- Hiring frequency: Once a year (25%)
- External job portal: Jobstreet</t>
        </is>
      </c>
      <c r="AT2430">
        <v>100</v>
      </c>
      <c r="AU2430" t="inlineStr">
        <is>
          <t>1.00</t>
        </is>
      </c>
      <c r="AV2430" t="inlineStr">
        <is>
          <t>15</t>
        </is>
      </c>
      <c r="AW2430" t="inlineStr">
        <is>
          <t>0</t>
        </is>
      </c>
      <c r="AX2430" t="inlineStr">
        <is>
          <t>Not Qualified</t>
        </is>
      </c>
      <c r="AY2430" s="4"/>
      <c r="AZ2430"/>
      <c r="BA2430"/>
      <c r="BB2430"/>
      <c r="BC2430" t="inlineStr">
        <is>
          <t>pending decision freeze hiring  not sure got budget</t>
        </is>
      </c>
      <c r="BD2430" s="4">
        <v>46126.7019212963</v>
      </c>
      <c r="BE2430"/>
      <c r="BF2430"/>
      <c r="BG2430" t="inlineStr">
        <is>
          <t>Reschedule</t>
        </is>
      </c>
      <c r="BH2430" t="inlineStr">
        <is>
          <t>Fauziah Maharan</t>
        </is>
      </c>
      <c r="BI2430" t="inlineStr">
        <is>
          <t>Automobile / Automotive</t>
        </is>
      </c>
      <c r="BJ2430" s="4">
        <v>46144.75418981481</v>
      </c>
      <c r="BK2430" s="4">
        <v>46121.406689814816</v>
      </c>
      <c r="BL2430" t="inlineStr">
        <is>
          <t>0.0</t>
        </is>
      </c>
      <c r="BM2430" t="inlineStr">
        <is>
          <t>0.0</t>
        </is>
      </c>
      <c r="BN2430" t="inlineStr">
        <is>
          <t>View Company Page</t>
        </is>
      </c>
      <c r="BO2430" s="4">
        <v>46126.53252314815</v>
      </c>
      <c r="BP2430">
        <v>166095</v>
      </c>
      <c r="BQ2430"/>
      <c r="BR2430"/>
      <c r="BS2430"/>
      <c r="BT2430"/>
      <c r="BU2430"/>
      <c r="BV2430">
        <v>2704372</v>
      </c>
      <c r="BW2430" t="inlineStr">
        <is>
          <t>Follow Up : Decision Pending</t>
        </is>
      </c>
      <c r="BX2430"/>
      <c r="BY2430"/>
      <c r="BZ2430" s="4"/>
      <c r="CA2430"/>
      <c r="CB2430"/>
      <c r="CC2430" s="4"/>
      <c r="CD2430" t="inlineStr">
        <is>
          <t>20</t>
        </is>
      </c>
      <c r="CE2430" t="inlineStr">
        <is>
          <t>0</t>
        </is>
      </c>
      <c r="CF2430" t="inlineStr">
        <is>
          <t>Q2-W01</t>
        </is>
      </c>
      <c r="CG2430"/>
      <c r="CH2430"/>
      <c r="CI2430"/>
      <c r="CJ2430" t="inlineStr">
        <is>
          <t>No Paid</t>
        </is>
      </c>
      <c r="CK2430" t="inlineStr">
        <is>
          <t>Not Eligible</t>
        </is>
      </c>
      <c r="CL2430"/>
      <c r="CM2430"/>
    </row>
    <row r="2431" ht="25.5" customHeight="1">
      <c r="A2431" t="inlineStr">
        <is>
          <t>4251440</t>
        </is>
      </c>
      <c r="B2431" s="2"/>
      <c r="C2431"/>
      <c r="D2431" s="3">
        <v>46121.43309027778</v>
      </c>
      <c r="E2431" t="inlineStr">
        <is>
          <t>Q2-W01</t>
        </is>
      </c>
      <c r="F2431" t="inlineStr">
        <is>
          <t>Eugene</t>
        </is>
      </c>
      <c r="G2431" t="inlineStr">
        <is>
          <t>Lead</t>
        </is>
      </c>
      <c r="H2431" s="2" t="str">
        <f>=HYPERLINK("https://upbox.ajobthing.my/leads/4251440", "https://upbox.ajobthing.my/leads/4251440")</f>
        <v>https://upbox.ajobthing.my/leads/4251440</v>
      </c>
      <c r="I2431" t="inlineStr">
        <is>
          <t>Homeworks</t>
        </is>
      </c>
      <c r="J2431" t="inlineStr">
        <is>
          <t>Dolphin</t>
        </is>
      </c>
      <c r="K2431" t="inlineStr">
        <is>
          <t>Eugene</t>
        </is>
      </c>
      <c r="L2431" s="4"/>
      <c r="M2431" s="4">
        <v>46121.43377314815</v>
      </c>
      <c r="N2431"/>
      <c r="O2431">
        <v>3888</v>
      </c>
      <c r="P2431" s="4"/>
      <c r="Q2431" s="4"/>
      <c r="R2431"/>
      <c r="S2431"/>
      <c r="T2431" s="4"/>
      <c r="U2431" s="4"/>
      <c r="V2431"/>
      <c r="W2431"/>
      <c r="X2431"/>
      <c r="Y2431" t="inlineStr">
        <is>
          <t>Pending Appointment</t>
        </is>
      </c>
      <c r="Z2431" t="inlineStr">
        <is>
          <t>Continuous Hiring</t>
        </is>
      </c>
      <c r="AA2431">
        <v>2</v>
      </c>
      <c r="AB2431" t="inlineStr">
        <is>
          <t>No Appointment Made</t>
        </is>
      </c>
      <c r="AC2431"/>
      <c r="AD2431" t="inlineStr">
        <is>
          <t>2 positions, based in KL</t>
        </is>
      </c>
      <c r="AE2431"/>
      <c r="AF2431">
        <v>3600</v>
      </c>
      <c r="AG2431" s="4"/>
      <c r="AH2431" s="4"/>
      <c r="AI2431">
        <v>3600</v>
      </c>
      <c r="AJ2431">
        <v>2</v>
      </c>
      <c r="AK2431" t="inlineStr">
        <is>
          <t>No, I don't need at all</t>
        </is>
      </c>
      <c r="AL2431">
        <v>1</v>
      </c>
      <c r="AM2431" t="inlineStr">
        <is>
          <t>No, I don't need at all</t>
        </is>
      </c>
      <c r="AN2431"/>
      <c r="AO2431" t="inlineStr">
        <is>
          <t>No, I don't need at all</t>
        </is>
      </c>
      <c r="AP2431" t="inlineStr">
        <is>
          <t>Twice a year (50%)</t>
        </is>
      </c>
      <c r="AQ2431">
        <v>4</v>
      </c>
      <c r="AR2431" t="inlineStr">
        <is>
          <t>Free Job Portal</t>
        </is>
      </c>
      <c r="AS2431" t="inlineStr">
        <is>
          <t>- Headcount: 2
- Hiring Job Details: 2 positions, based in KL
- Hiring Urgency: Continuous Hiring
- Number of outlets: 2
- Have recruiter team: No, I don't need at all
- Number of recruiter in company: 1
- Have ATS system: No, I don't need at all
- Have career website: No, I don't need at all
- Current hiring budget: RM3,600
- Whole year budget: RM3,600.00
- Whole year number of vacancies: 4
- Hiring frequency: Twice a year (50%)
- External job portal: Free Job Portal</t>
        </is>
      </c>
      <c r="AT2431">
        <v>85</v>
      </c>
      <c r="AU2431" t="inlineStr">
        <is>
          <t>0.85</t>
        </is>
      </c>
      <c r="AV2431" t="inlineStr">
        <is>
          <t>15</t>
        </is>
      </c>
      <c r="AW2431" t="inlineStr">
        <is>
          <t>0</t>
        </is>
      </c>
      <c r="AX2431" t="inlineStr">
        <is>
          <t>Not Qualified</t>
        </is>
      </c>
      <c r="AY2431" s="4"/>
      <c r="AZ2431"/>
      <c r="BA2431"/>
      <c r="BB2431"/>
      <c r="BC2431"/>
      <c r="BD2431" s="4"/>
      <c r="BE2431"/>
      <c r="BF2431"/>
      <c r="BG2431" t="inlineStr">
        <is>
          <t>Reschedule</t>
        </is>
      </c>
      <c r="BH2431" t="inlineStr">
        <is>
          <t>Edward Hoo</t>
        </is>
      </c>
      <c r="BI2431"/>
      <c r="BJ2431" s="4">
        <v>46144.75571759259</v>
      </c>
      <c r="BK2431" s="4">
        <v>46118.42936342592</v>
      </c>
      <c r="BL2431" t="inlineStr">
        <is>
          <t>0.0</t>
        </is>
      </c>
      <c r="BM2431" t="inlineStr">
        <is>
          <t>2400.0</t>
        </is>
      </c>
      <c r="BN2431"/>
      <c r="BO2431" s="4"/>
      <c r="BP2431">
        <v>166105</v>
      </c>
      <c r="BQ2431"/>
      <c r="BR2431"/>
      <c r="BS2431"/>
      <c r="BT2431"/>
      <c r="BU2431"/>
      <c r="BV2431"/>
      <c r="BW2431"/>
      <c r="BX2431"/>
      <c r="BY2431"/>
      <c r="BZ2431" s="4"/>
      <c r="CA2431"/>
      <c r="CB2431"/>
      <c r="CC2431" s="4"/>
      <c r="CD2431" t="inlineStr">
        <is>
          <t>20</t>
        </is>
      </c>
      <c r="CE2431" t="inlineStr">
        <is>
          <t>0</t>
        </is>
      </c>
      <c r="CF2431" t="inlineStr">
        <is>
          <t>Q2-W01</t>
        </is>
      </c>
      <c r="CG2431"/>
      <c r="CH2431"/>
      <c r="CI2431"/>
      <c r="CJ2431" t="inlineStr">
        <is>
          <t>No Paid</t>
        </is>
      </c>
      <c r="CK2431" t="inlineStr">
        <is>
          <t>Not Eligible</t>
        </is>
      </c>
      <c r="CL2431"/>
      <c r="CM2431"/>
    </row>
    <row r="2432" ht="25.5" customHeight="1">
      <c r="A2432" t="inlineStr">
        <is>
          <t>27637</t>
        </is>
      </c>
      <c r="B2432" s="2"/>
      <c r="C2432"/>
      <c r="D2432" s="3">
        <v>46121.43481481481</v>
      </c>
      <c r="E2432" t="inlineStr">
        <is>
          <t>Q2-W01</t>
        </is>
      </c>
      <c r="F2432" t="inlineStr">
        <is>
          <t>Lucas</t>
        </is>
      </c>
      <c r="G2432" t="inlineStr">
        <is>
          <t>Customer</t>
        </is>
      </c>
      <c r="H2432" s="2" t="str">
        <f>=HYPERLINK("https://upbox.ajobthing.my/customer/27637", "https://upbox.ajobthing.my/customer/27637")</f>
        <v>https://upbox.ajobthing.my/customer/27637</v>
      </c>
      <c r="I2432" t="inlineStr">
        <is>
          <t>Agroniche Sdn Bhd</t>
        </is>
      </c>
      <c r="J2432" t="inlineStr">
        <is>
          <t>Dolphin</t>
        </is>
      </c>
      <c r="K2432" t="inlineStr">
        <is>
          <t>Lucas</t>
        </is>
      </c>
      <c r="L2432" s="4"/>
      <c r="M2432" s="4">
        <v>46121.43355324074</v>
      </c>
      <c r="N2432"/>
      <c r="O2432">
        <v>3888</v>
      </c>
      <c r="P2432" s="4"/>
      <c r="Q2432" s="4"/>
      <c r="R2432"/>
      <c r="S2432"/>
      <c r="T2432" s="4"/>
      <c r="U2432" s="4"/>
      <c r="V2432"/>
      <c r="W2432"/>
      <c r="X2432"/>
      <c r="Y2432" t="inlineStr">
        <is>
          <t>Pending Appointment</t>
        </is>
      </c>
      <c r="Z2432" t="inlineStr">
        <is>
          <t>Hiring Now</t>
        </is>
      </c>
      <c r="AA2432">
        <v>1</v>
      </c>
      <c r="AB2432" t="inlineStr">
        <is>
          <t>No Appointment Made</t>
        </is>
      </c>
      <c r="AC2432"/>
      <c r="AD2432" t="inlineStr">
        <is>
          <t xml:space="preserve">1 account clerk </t>
        </is>
      </c>
      <c r="AE2432"/>
      <c r="AF2432">
        <v>0</v>
      </c>
      <c r="AG2432" s="4"/>
      <c r="AH2432" s="4"/>
      <c r="AI2432">
        <v>0</v>
      </c>
      <c r="AJ2432"/>
      <c r="AK2432" t="inlineStr">
        <is>
          <t>No, I don't need at all</t>
        </is>
      </c>
      <c r="AL2432">
        <v>0</v>
      </c>
      <c r="AM2432" t="inlineStr">
        <is>
          <t>No, I don't need at all</t>
        </is>
      </c>
      <c r="AN2432"/>
      <c r="AO2432" t="inlineStr">
        <is>
          <t>No, I don't need at all</t>
        </is>
      </c>
      <c r="AP2432" t="inlineStr">
        <is>
          <t>Once a year (25%)</t>
        </is>
      </c>
      <c r="AQ2432">
        <v>1</v>
      </c>
      <c r="AR2432" t="inlineStr">
        <is>
          <t>Did not use any job portal</t>
        </is>
      </c>
      <c r="AS2432" t="inlineStr">
        <is>
          <t>- Headcount: 1
- Hiring Job Details: 1 account clerk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432">
        <v>115</v>
      </c>
      <c r="AU2432" t="inlineStr">
        <is>
          <t>1.15</t>
        </is>
      </c>
      <c r="AV2432" t="inlineStr">
        <is>
          <t>15</t>
        </is>
      </c>
      <c r="AW2432" t="inlineStr">
        <is>
          <t>0</t>
        </is>
      </c>
      <c r="AX2432" t="inlineStr">
        <is>
          <t>Not Qualified</t>
        </is>
      </c>
      <c r="AY2432" s="4"/>
      <c r="AZ2432"/>
      <c r="BA2432"/>
      <c r="BB2432"/>
      <c r="BC2432" t="inlineStr">
        <is>
          <t>reject offer</t>
        </is>
      </c>
      <c r="BD2432" s="4">
        <v>46140.441782407404</v>
      </c>
      <c r="BE2432"/>
      <c r="BF2432"/>
      <c r="BG2432" t="inlineStr">
        <is>
          <t>Reschedule</t>
        </is>
      </c>
      <c r="BH2432" t="inlineStr">
        <is>
          <t>Yee Hang</t>
        </is>
      </c>
      <c r="BI2432" t="inlineStr">
        <is>
          <t>Agriculture / Poultry / Fisheries</t>
        </is>
      </c>
      <c r="BJ2432" s="4">
        <v>46144.75451388889</v>
      </c>
      <c r="BK2432" s="4">
        <v>42605.73876157407</v>
      </c>
      <c r="BL2432" t="inlineStr">
        <is>
          <t>0.0</t>
        </is>
      </c>
      <c r="BM2432" t="inlineStr">
        <is>
          <t>1200.0</t>
        </is>
      </c>
      <c r="BN2432" t="inlineStr">
        <is>
          <t>View Create Job Page</t>
        </is>
      </c>
      <c r="BO2432" s="4">
        <v>44319.894525462965</v>
      </c>
      <c r="BP2432">
        <v>166104</v>
      </c>
      <c r="BQ2432"/>
      <c r="BR2432"/>
      <c r="BS2432"/>
      <c r="BT2432"/>
      <c r="BU2432"/>
      <c r="BV2432">
        <v>2731871</v>
      </c>
      <c r="BW2432" t="inlineStr">
        <is>
          <t>Inquire for Hiring Needs : No Hiring</t>
        </is>
      </c>
      <c r="BX2432"/>
      <c r="BY2432"/>
      <c r="BZ2432" s="4"/>
      <c r="CA2432"/>
      <c r="CB2432"/>
      <c r="CC2432" s="4"/>
      <c r="CD2432" t="inlineStr">
        <is>
          <t>20</t>
        </is>
      </c>
      <c r="CE2432" t="inlineStr">
        <is>
          <t>0</t>
        </is>
      </c>
      <c r="CF2432" t="inlineStr">
        <is>
          <t>Q2-W01</t>
        </is>
      </c>
      <c r="CG2432"/>
      <c r="CH2432"/>
      <c r="CI2432"/>
      <c r="CJ2432" t="inlineStr">
        <is>
          <t>No Paid</t>
        </is>
      </c>
      <c r="CK2432" t="inlineStr">
        <is>
          <t>Not Eligible</t>
        </is>
      </c>
      <c r="CL2432"/>
      <c r="CM2432"/>
    </row>
    <row r="2433" ht="25.5" customHeight="1">
      <c r="A2433" t="inlineStr">
        <is>
          <t>203017</t>
        </is>
      </c>
      <c r="B2433" s="2"/>
      <c r="C2433"/>
      <c r="D2433" s="3">
        <v>46121.43719907408</v>
      </c>
      <c r="E2433" t="inlineStr">
        <is>
          <t>Q2-W01</t>
        </is>
      </c>
      <c r="F2433" t="inlineStr">
        <is>
          <t>Jess</t>
        </is>
      </c>
      <c r="G2433" t="inlineStr">
        <is>
          <t>Customer</t>
        </is>
      </c>
      <c r="H2433" s="2" t="str">
        <f>=HYPERLINK("https://upbox.ajobthing.my/customer/203017", "https://upbox.ajobthing.my/customer/203017")</f>
        <v>https://upbox.ajobthing.my/customer/203017</v>
      </c>
      <c r="I2433" t="inlineStr">
        <is>
          <t>Hotel 7 Suria</t>
        </is>
      </c>
      <c r="J2433" t="inlineStr">
        <is>
          <t>Dolphin</t>
        </is>
      </c>
      <c r="K2433" t="inlineStr">
        <is>
          <t>Jess Lim</t>
        </is>
      </c>
      <c r="L2433" s="4"/>
      <c r="M2433" s="4">
        <v>46121.43922453704</v>
      </c>
      <c r="N2433"/>
      <c r="O2433">
        <v>6048</v>
      </c>
      <c r="P2433" s="4"/>
      <c r="Q2433" s="4"/>
      <c r="R2433"/>
      <c r="S2433"/>
      <c r="T2433" s="4"/>
      <c r="U2433" s="4"/>
      <c r="V2433"/>
      <c r="W2433"/>
      <c r="X2433"/>
      <c r="Y2433" t="inlineStr">
        <is>
          <t>Pending Appointment</t>
        </is>
      </c>
      <c r="Z2433" t="inlineStr">
        <is>
          <t>Hiring Now</t>
        </is>
      </c>
      <c r="AA2433">
        <v>1</v>
      </c>
      <c r="AB2433" t="inlineStr">
        <is>
          <t>No Appointment Made</t>
        </is>
      </c>
      <c r="AC2433"/>
      <c r="AD2433" t="inlineStr">
        <is>
          <t>it technican</t>
        </is>
      </c>
      <c r="AE2433"/>
      <c r="AF2433">
        <v>500</v>
      </c>
      <c r="AG2433" s="4"/>
      <c r="AH2433" s="4"/>
      <c r="AI2433"/>
      <c r="AJ2433">
        <v>1</v>
      </c>
      <c r="AK2433" t="inlineStr">
        <is>
          <t>No, I don't need at all</t>
        </is>
      </c>
      <c r="AL2433">
        <v>1</v>
      </c>
      <c r="AM2433" t="inlineStr">
        <is>
          <t>No, I don't need at all</t>
        </is>
      </c>
      <c r="AN2433"/>
      <c r="AO2433" t="inlineStr">
        <is>
          <t>No, I don't need at all</t>
        </is>
      </c>
      <c r="AP2433" t="inlineStr">
        <is>
          <t>Once a year (25%)</t>
        </is>
      </c>
      <c r="AQ2433"/>
      <c r="AR2433" t="inlineStr">
        <is>
          <t>Free Job Portal</t>
        </is>
      </c>
      <c r="AS2433" t="inlineStr">
        <is>
          <t>- Headcount: 1
- Hiring Job Details: IT technician
- Hiring Urgency: Hiring Now
- Number of outlets: 1
- Have recruiter team: No, I don't need at all
- Number of recruiter in company: 1
- Have ATS system: No, I don't need at all
- Have career website: No, I don't need at all
- Current hiring budget: RM500.00
- Whole year budget: 
- Whole year number of vacancies: 
- Hiring frequency: Once a year (25%)
- External job portal: Free Job Portal</t>
        </is>
      </c>
      <c r="AT2433">
        <v>105</v>
      </c>
      <c r="AU2433" t="inlineStr">
        <is>
          <t>1.05</t>
        </is>
      </c>
      <c r="AV2433" t="inlineStr">
        <is>
          <t>15</t>
        </is>
      </c>
      <c r="AW2433" t="inlineStr">
        <is>
          <t>0</t>
        </is>
      </c>
      <c r="AX2433" t="inlineStr">
        <is>
          <t>Not Qualified</t>
        </is>
      </c>
      <c r="AY2433" s="4"/>
      <c r="AZ2433"/>
      <c r="BA2433"/>
      <c r="BB2433"/>
      <c r="BC2433" t="inlineStr">
        <is>
          <t>use paid portal</t>
        </is>
      </c>
      <c r="BD2433" s="4">
        <v>46126.698541666665</v>
      </c>
      <c r="BE2433"/>
      <c r="BF2433"/>
      <c r="BG2433" t="inlineStr">
        <is>
          <t>Reschedule</t>
        </is>
      </c>
      <c r="BH2433" t="inlineStr">
        <is>
          <t>Fauziah Maharan</t>
        </is>
      </c>
      <c r="BI2433"/>
      <c r="BJ2433" s="4">
        <v>46144.75418981481</v>
      </c>
      <c r="BK2433" s="4">
        <v>46120.840729166666</v>
      </c>
      <c r="BL2433" t="inlineStr">
        <is>
          <t>0.0</t>
        </is>
      </c>
      <c r="BM2433" t="inlineStr">
        <is>
          <t>0.0</t>
        </is>
      </c>
      <c r="BN2433" t="inlineStr">
        <is>
          <t>User Visit(Logged In)</t>
        </is>
      </c>
      <c r="BO2433" s="4">
        <v>46121.44144675926</v>
      </c>
      <c r="BP2433">
        <v>166110</v>
      </c>
      <c r="BQ2433"/>
      <c r="BR2433"/>
      <c r="BS2433"/>
      <c r="BT2433"/>
      <c r="BU2433"/>
      <c r="BV2433">
        <v>2704350</v>
      </c>
      <c r="BW2433" t="inlineStr">
        <is>
          <t>Follow Up : Lost - Paid Portal</t>
        </is>
      </c>
      <c r="BX2433"/>
      <c r="BY2433"/>
      <c r="BZ2433" s="4"/>
      <c r="CA2433"/>
      <c r="CB2433"/>
      <c r="CC2433" s="4"/>
      <c r="CD2433" t="inlineStr">
        <is>
          <t>20</t>
        </is>
      </c>
      <c r="CE2433" t="inlineStr">
        <is>
          <t>0</t>
        </is>
      </c>
      <c r="CF2433" t="inlineStr">
        <is>
          <t>Q2-W01</t>
        </is>
      </c>
      <c r="CG2433"/>
      <c r="CH2433"/>
      <c r="CI2433"/>
      <c r="CJ2433" t="inlineStr">
        <is>
          <t>No Paid</t>
        </is>
      </c>
      <c r="CK2433" t="inlineStr">
        <is>
          <t>Not Eligible</t>
        </is>
      </c>
      <c r="CL2433"/>
      <c r="CM2433"/>
    </row>
    <row r="2434" ht="25.5" customHeight="1">
      <c r="A2434" t="inlineStr">
        <is>
          <t>202983</t>
        </is>
      </c>
      <c r="B2434" s="2"/>
      <c r="C2434"/>
      <c r="D2434" s="3">
        <v>46121.44006944444</v>
      </c>
      <c r="E2434" t="inlineStr">
        <is>
          <t>Q2-W01</t>
        </is>
      </c>
      <c r="F2434" t="inlineStr">
        <is>
          <t>Josh</t>
        </is>
      </c>
      <c r="G2434" t="inlineStr">
        <is>
          <t>Customer</t>
        </is>
      </c>
      <c r="H2434" s="2" t="str">
        <f>=HYPERLINK("https://upbox.ajobthing.my/customer/202983", "https://upbox.ajobthing.my/customer/202983")</f>
        <v>https://upbox.ajobthing.my/customer/202983</v>
      </c>
      <c r="I2434" t="inlineStr">
        <is>
          <t>Trinity Transport Sdn Bhd</t>
        </is>
      </c>
      <c r="J2434" t="inlineStr">
        <is>
          <t>Dolphin</t>
        </is>
      </c>
      <c r="K2434" t="inlineStr">
        <is>
          <t>Josh</t>
        </is>
      </c>
      <c r="L2434" s="4"/>
      <c r="M2434" s="4">
        <v>46121.43950231482</v>
      </c>
      <c r="N2434"/>
      <c r="O2434">
        <v>864</v>
      </c>
      <c r="P2434" s="4"/>
      <c r="Q2434" s="4">
        <v>46120.51981481481</v>
      </c>
      <c r="R2434"/>
      <c r="S2434">
        <v>0</v>
      </c>
      <c r="T2434" s="4"/>
      <c r="U2434" s="4"/>
      <c r="V2434"/>
      <c r="W2434"/>
      <c r="X2434"/>
      <c r="Y2434" t="inlineStr">
        <is>
          <t>Pending Appointment</t>
        </is>
      </c>
      <c r="Z2434" t="inlineStr">
        <is>
          <t>Hiring Now</t>
        </is>
      </c>
      <c r="AA2434">
        <v>2</v>
      </c>
      <c r="AB2434" t="inlineStr">
        <is>
          <t>No Appointment Made</t>
        </is>
      </c>
      <c r="AC2434"/>
      <c r="AD2434" t="inlineStr">
        <is>
          <t xml:space="preserve">2 general worker </t>
        </is>
      </c>
      <c r="AE2434"/>
      <c r="AF2434">
        <v>1000</v>
      </c>
      <c r="AG2434" s="4"/>
      <c r="AH2434" s="4"/>
      <c r="AI2434"/>
      <c r="AJ2434"/>
      <c r="AK2434" t="inlineStr">
        <is>
          <t>Yes, I have</t>
        </is>
      </c>
      <c r="AL2434">
        <v>1</v>
      </c>
      <c r="AM2434"/>
      <c r="AN2434"/>
      <c r="AO2434"/>
      <c r="AP2434" t="inlineStr">
        <is>
          <t>Once a year (25%)</t>
        </is>
      </c>
      <c r="AQ2434"/>
      <c r="AR2434"/>
      <c r="AS2434" t="inlineStr">
        <is>
          <t>- Headcount: 2
- Hiring Job Details: 2 general worker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is>
      </c>
      <c r="AT2434">
        <v>95</v>
      </c>
      <c r="AU2434" t="inlineStr">
        <is>
          <t>0.95</t>
        </is>
      </c>
      <c r="AV2434" t="inlineStr">
        <is>
          <t>15</t>
        </is>
      </c>
      <c r="AW2434" t="inlineStr">
        <is>
          <t>0</t>
        </is>
      </c>
      <c r="AX2434" t="inlineStr">
        <is>
          <t>Not Qualified</t>
        </is>
      </c>
      <c r="AY2434" s="4"/>
      <c r="AZ2434"/>
      <c r="BA2434"/>
      <c r="BB2434"/>
      <c r="BC2434" t="inlineStr">
        <is>
          <t>found cdd</t>
        </is>
      </c>
      <c r="BD2434" s="4">
        <v>46127.453206018516</v>
      </c>
      <c r="BE2434" t="inlineStr">
        <is>
          <t>paid</t>
        </is>
      </c>
      <c r="BF2434"/>
      <c r="BG2434" t="inlineStr">
        <is>
          <t>Reschedule</t>
        </is>
      </c>
      <c r="BH2434" t="inlineStr">
        <is>
          <t>Fauziah Maharan</t>
        </is>
      </c>
      <c r="BI2434" t="inlineStr">
        <is>
          <t>Transportation / Logistics</t>
        </is>
      </c>
      <c r="BJ2434" s="4">
        <v>46144.75418981481</v>
      </c>
      <c r="BK2434" s="4">
        <v>46120.51929398148</v>
      </c>
      <c r="BL2434" t="inlineStr">
        <is>
          <t>0.0</t>
        </is>
      </c>
      <c r="BM2434" t="inlineStr">
        <is>
          <t>600.0</t>
        </is>
      </c>
      <c r="BN2434" t="inlineStr">
        <is>
          <t>User Visit(Logged In)</t>
        </is>
      </c>
      <c r="BO2434" s="4">
        <v>46122.15130787037</v>
      </c>
      <c r="BP2434">
        <v>166112</v>
      </c>
      <c r="BQ2434">
        <v>120892</v>
      </c>
      <c r="BR2434" t="inlineStr">
        <is>
          <t>Proforma</t>
        </is>
      </c>
      <c r="BS2434" t="inlineStr">
        <is>
          <t>Free Part-Time Job</t>
        </is>
      </c>
      <c r="BT2434"/>
      <c r="BU2434"/>
      <c r="BV2434">
        <v>2705278</v>
      </c>
      <c r="BW2434" t="inlineStr">
        <is>
          <t>Inquire for Hiring Needs : No Hiring</t>
        </is>
      </c>
      <c r="BX2434"/>
      <c r="BY2434"/>
      <c r="BZ2434" s="4"/>
      <c r="CA2434"/>
      <c r="CB2434"/>
      <c r="CC2434" s="4"/>
      <c r="CD2434" t="inlineStr">
        <is>
          <t>20</t>
        </is>
      </c>
      <c r="CE2434" t="inlineStr">
        <is>
          <t>0</t>
        </is>
      </c>
      <c r="CF2434" t="inlineStr">
        <is>
          <t>Q2-W01</t>
        </is>
      </c>
      <c r="CG2434" t="inlineStr">
        <is>
          <t>Q2-W01</t>
        </is>
      </c>
      <c r="CH2434"/>
      <c r="CI2434"/>
      <c r="CJ2434" t="inlineStr">
        <is>
          <t>No Paid</t>
        </is>
      </c>
      <c r="CK2434" t="inlineStr">
        <is>
          <t>Not Eligible</t>
        </is>
      </c>
      <c r="CL2434"/>
      <c r="CM2434"/>
    </row>
    <row r="2435" ht="25.5" customHeight="1">
      <c r="A2435" t="inlineStr">
        <is>
          <t>203019</t>
        </is>
      </c>
      <c r="B2435" s="2"/>
      <c r="C2435"/>
      <c r="D2435" s="3">
        <v>46121.44081018519</v>
      </c>
      <c r="E2435" t="inlineStr">
        <is>
          <t>Q2-W01</t>
        </is>
      </c>
      <c r="F2435" t="inlineStr">
        <is>
          <t>Keegan</t>
        </is>
      </c>
      <c r="G2435" t="inlineStr">
        <is>
          <t>Customer</t>
        </is>
      </c>
      <c r="H2435" s="2" t="str">
        <f>=HYPERLINK("https://upbox.ajobthing.my/customer/203019", "https://upbox.ajobthing.my/customer/203019")</f>
        <v>https://upbox.ajobthing.my/customer/203019</v>
      </c>
      <c r="I2435" t="inlineStr">
        <is>
          <t>Speed Line Logistic (m) Sdn Bhd</t>
        </is>
      </c>
      <c r="J2435" t="inlineStr">
        <is>
          <t>Dolphin</t>
        </is>
      </c>
      <c r="K2435" t="inlineStr">
        <is>
          <t>Keegan</t>
        </is>
      </c>
      <c r="L2435" s="4"/>
      <c r="M2435" s="4">
        <v>46121.44094907407</v>
      </c>
      <c r="N2435"/>
      <c r="O2435">
        <v>6048</v>
      </c>
      <c r="P2435" s="4"/>
      <c r="Q2435" s="4">
        <v>46120.87650462963</v>
      </c>
      <c r="R2435"/>
      <c r="S2435">
        <v>0</v>
      </c>
      <c r="T2435" s="4"/>
      <c r="U2435" s="4"/>
      <c r="V2435"/>
      <c r="W2435"/>
      <c r="X2435"/>
      <c r="Y2435" t="inlineStr">
        <is>
          <t>Pending Appointment</t>
        </is>
      </c>
      <c r="Z2435" t="inlineStr">
        <is>
          <t>Hiring Now</t>
        </is>
      </c>
      <c r="AA2435">
        <v>3</v>
      </c>
      <c r="AB2435" t="inlineStr">
        <is>
          <t>No Appointment Made</t>
        </is>
      </c>
      <c r="AC2435"/>
      <c r="AD2435" t="inlineStr">
        <is>
          <t xml:space="preserve">1. Driver 
2. Sales 
3. Admin </t>
        </is>
      </c>
      <c r="AE2435"/>
      <c r="AF2435"/>
      <c r="AG2435" s="4"/>
      <c r="AH2435" s="4"/>
      <c r="AI2435"/>
      <c r="AJ2435">
        <v>1</v>
      </c>
      <c r="AK2435" t="inlineStr">
        <is>
          <t>No, I don't need at all</t>
        </is>
      </c>
      <c r="AL2435">
        <v>0</v>
      </c>
      <c r="AM2435" t="inlineStr">
        <is>
          <t>No, I don't need at all</t>
        </is>
      </c>
      <c r="AN2435"/>
      <c r="AO2435" t="inlineStr">
        <is>
          <t>No, I don't need at all</t>
        </is>
      </c>
      <c r="AP2435" t="inlineStr">
        <is>
          <t>Once per quarter (75%)</t>
        </is>
      </c>
      <c r="AQ2435"/>
      <c r="AR2435" t="inlineStr">
        <is>
          <t>Did not use any job portal</t>
        </is>
      </c>
      <c r="AS2435" t="inlineStr">
        <is>
          <t>- Headcount: 3
- Hiring Job Details: 1. Driver, 2. Sales,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435">
        <v>75</v>
      </c>
      <c r="AU2435" t="inlineStr">
        <is>
          <t>0.75</t>
        </is>
      </c>
      <c r="AV2435" t="inlineStr">
        <is>
          <t>5</t>
        </is>
      </c>
      <c r="AW2435" t="inlineStr">
        <is>
          <t>0</t>
        </is>
      </c>
      <c r="AX2435" t="inlineStr">
        <is>
          <t>Not Qualified</t>
        </is>
      </c>
      <c r="AY2435" s="4"/>
      <c r="AZ2435"/>
      <c r="BA2435"/>
      <c r="BB2435"/>
      <c r="BC2435" t="inlineStr">
        <is>
          <t>Pending decision still</t>
        </is>
      </c>
      <c r="BD2435" s="4">
        <v>46142.707719907405</v>
      </c>
      <c r="BE2435" t="inlineStr">
        <is>
          <t>paid</t>
        </is>
      </c>
      <c r="BF2435"/>
      <c r="BG2435" t="inlineStr">
        <is>
          <t>Reschedule</t>
        </is>
      </c>
      <c r="BH2435" t="inlineStr">
        <is>
          <t>Edward Hoo</t>
        </is>
      </c>
      <c r="BI2435"/>
      <c r="BJ2435" s="4">
        <v>46144.75418981481</v>
      </c>
      <c r="BK2435" s="4">
        <v>46120.87613425926</v>
      </c>
      <c r="BL2435" t="inlineStr">
        <is>
          <t>0.0</t>
        </is>
      </c>
      <c r="BM2435" t="inlineStr">
        <is>
          <t>0.0</t>
        </is>
      </c>
      <c r="BN2435" t="inlineStr">
        <is>
          <t>View Company Page</t>
        </is>
      </c>
      <c r="BO2435" s="4">
        <v>46120.87752314815</v>
      </c>
      <c r="BP2435">
        <v>166113</v>
      </c>
      <c r="BQ2435">
        <v>121124</v>
      </c>
      <c r="BR2435" t="inlineStr">
        <is>
          <t>Proforma</t>
        </is>
      </c>
      <c r="BS2435" t="inlineStr">
        <is>
          <t>Free Part-Time Job</t>
        </is>
      </c>
      <c r="BT2435"/>
      <c r="BU2435"/>
      <c r="BV2435">
        <v>2738272</v>
      </c>
      <c r="BW2435" t="inlineStr">
        <is>
          <t>Follow Up : Decision Pending</t>
        </is>
      </c>
      <c r="BX2435"/>
      <c r="BY2435"/>
      <c r="BZ2435" s="4"/>
      <c r="CA2435"/>
      <c r="CB2435"/>
      <c r="CC2435" s="4"/>
      <c r="CD2435" t="inlineStr">
        <is>
          <t>5</t>
        </is>
      </c>
      <c r="CE2435" t="inlineStr">
        <is>
          <t>0</t>
        </is>
      </c>
      <c r="CF2435" t="inlineStr">
        <is>
          <t>Q2-W01</t>
        </is>
      </c>
      <c r="CG2435" t="inlineStr">
        <is>
          <t>Q2-W01</t>
        </is>
      </c>
      <c r="CH2435"/>
      <c r="CI2435"/>
      <c r="CJ2435" t="inlineStr">
        <is>
          <t>No Paid</t>
        </is>
      </c>
      <c r="CK2435" t="inlineStr">
        <is>
          <t>Not Eligible</t>
        </is>
      </c>
      <c r="CL2435"/>
      <c r="CM2435"/>
    </row>
    <row r="2436" ht="25.5" customHeight="1">
      <c r="A2436" t="inlineStr">
        <is>
          <t>203036</t>
        </is>
      </c>
      <c r="B2436" s="2"/>
      <c r="C2436"/>
      <c r="D2436" s="3">
        <v>46121.444548611114</v>
      </c>
      <c r="E2436" t="inlineStr">
        <is>
          <t>Q2-W01</t>
        </is>
      </c>
      <c r="F2436" t="inlineStr">
        <is>
          <t>Clover</t>
        </is>
      </c>
      <c r="G2436" t="inlineStr">
        <is>
          <t>Customer</t>
        </is>
      </c>
      <c r="H2436" s="2" t="str">
        <f>=HYPERLINK("https://upbox.ajobthing.my/customer/203036", "https://upbox.ajobthing.my/customer/203036")</f>
        <v>https://upbox.ajobthing.my/customer/203036</v>
      </c>
      <c r="I2436" t="inlineStr">
        <is>
          <t>Maya Engineering Sdn Bhd</t>
        </is>
      </c>
      <c r="J2436" t="inlineStr">
        <is>
          <t>Dolphin</t>
        </is>
      </c>
      <c r="K2436" t="inlineStr">
        <is>
          <t>Clover</t>
        </is>
      </c>
      <c r="L2436" s="4"/>
      <c r="M2436" s="4">
        <v>46125.70195601852</v>
      </c>
      <c r="N2436"/>
      <c r="O2436">
        <v>3672</v>
      </c>
      <c r="P2436" s="4"/>
      <c r="Q2436" s="4">
        <v>46128.748460648145</v>
      </c>
      <c r="R2436"/>
      <c r="S2436">
        <v>0</v>
      </c>
      <c r="T2436" s="4">
        <v>46127.71114583333</v>
      </c>
      <c r="U2436" s="4"/>
      <c r="V2436"/>
      <c r="W2436">
        <v>3672</v>
      </c>
      <c r="X2436"/>
      <c r="Y2436" t="inlineStr">
        <is>
          <t>Pending Appointment</t>
        </is>
      </c>
      <c r="Z2436" t="inlineStr">
        <is>
          <t>Hiring Now</t>
        </is>
      </c>
      <c r="AA2436">
        <v>2</v>
      </c>
      <c r="AB2436" t="inlineStr">
        <is>
          <t>No Appointment Made</t>
        </is>
      </c>
      <c r="AC2436"/>
      <c r="AD2436" t="inlineStr">
        <is>
          <t>Want hire admin x2 chi, engineering company, Telok Panglima Garang in Kuala Langat, previous JS Indeed, another company pending info</t>
        </is>
      </c>
      <c r="AE2436"/>
      <c r="AF2436">
        <v>3000</v>
      </c>
      <c r="AG2436" s="4"/>
      <c r="AH2436" s="4"/>
      <c r="AI2436">
        <v>3000</v>
      </c>
      <c r="AJ2436">
        <v>1</v>
      </c>
      <c r="AK2436" t="inlineStr">
        <is>
          <t>No, but I want in future</t>
        </is>
      </c>
      <c r="AL2436">
        <v>1</v>
      </c>
      <c r="AM2436" t="inlineStr">
        <is>
          <t>No, but I want in future</t>
        </is>
      </c>
      <c r="AN2436"/>
      <c r="AO2436" t="inlineStr">
        <is>
          <t>No, but I want in future</t>
        </is>
      </c>
      <c r="AP2436" t="inlineStr">
        <is>
          <t>Once per quarter (75%)</t>
        </is>
      </c>
      <c r="AQ2436">
        <v>2</v>
      </c>
      <c r="AR2436" t="inlineStr">
        <is>
          <t>Did not use any job portal</t>
        </is>
      </c>
      <c r="AS2436" t="inlineStr">
        <is>
          <t>- Headcount: 2
- Hiring Job Details: Hire 2 admin, engineering company, Telok Panglima Garang in Kuala Langat, previous JS Indeed, another company pending info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Once per quarter (75%)
- External job portal: Did not use any</t>
        </is>
      </c>
      <c r="AT2436">
        <v>110</v>
      </c>
      <c r="AU2436" t="inlineStr">
        <is>
          <t>1.10</t>
        </is>
      </c>
      <c r="AV2436" t="inlineStr">
        <is>
          <t>15</t>
        </is>
      </c>
      <c r="AW2436" t="inlineStr">
        <is>
          <t>0</t>
        </is>
      </c>
      <c r="AX2436" t="inlineStr">
        <is>
          <t>Not Qualified</t>
        </is>
      </c>
      <c r="AY2436" s="4"/>
      <c r="AZ2436"/>
      <c r="BA2436"/>
      <c r="BB2436"/>
      <c r="BC2436" t="inlineStr">
        <is>
          <t>post job</t>
        </is>
      </c>
      <c r="BD2436" s="4">
        <v>46128.49081018518</v>
      </c>
      <c r="BE2436" t="inlineStr">
        <is>
          <t>paid</t>
        </is>
      </c>
      <c r="BF2436" t="inlineStr">
        <is>
          <t>Q2-W02</t>
        </is>
      </c>
      <c r="BG2436" t="inlineStr">
        <is>
          <t>Reschedule</t>
        </is>
      </c>
      <c r="BH2436" t="inlineStr">
        <is>
          <t>Reagen</t>
        </is>
      </c>
      <c r="BI2436" t="inlineStr">
        <is>
          <t>Engineering / Technical Consulting</t>
        </is>
      </c>
      <c r="BJ2436" s="4">
        <v>46144.75418981481</v>
      </c>
      <c r="BK2436" s="4">
        <v>46121.441875</v>
      </c>
      <c r="BL2436" t="inlineStr">
        <is>
          <t>3672.0</t>
        </is>
      </c>
      <c r="BM2436" t="inlineStr">
        <is>
          <t>0.0</t>
        </is>
      </c>
      <c r="BN2436" t="inlineStr">
        <is>
          <t>View Candidate Search Page</t>
        </is>
      </c>
      <c r="BO2436" s="4">
        <v>46144.44771990741</v>
      </c>
      <c r="BP2436">
        <v>166831</v>
      </c>
      <c r="BQ2436">
        <v>122808</v>
      </c>
      <c r="BR2436" t="inlineStr">
        <is>
          <t>Proforma</t>
        </is>
      </c>
      <c r="BS2436" t="inlineStr">
        <is>
          <t>Free High Pay Job</t>
        </is>
      </c>
      <c r="BT2436">
        <v>93717</v>
      </c>
      <c r="BU2436"/>
      <c r="BV2436">
        <v>2708573</v>
      </c>
      <c r="BW2436" t="inlineStr">
        <is>
          <t>Service / Technical : Job Outcome Enquiry</t>
        </is>
      </c>
      <c r="BX2436">
        <v>6</v>
      </c>
      <c r="BY2436">
        <v>5</v>
      </c>
      <c r="BZ2436" s="4">
        <v>46127.7634837963</v>
      </c>
      <c r="CA2436">
        <v>73</v>
      </c>
      <c r="CB2436">
        <v>70</v>
      </c>
      <c r="CC2436" s="4">
        <v>46130.685694444444</v>
      </c>
      <c r="CD2436" t="inlineStr">
        <is>
          <t>20</t>
        </is>
      </c>
      <c r="CE2436" t="inlineStr">
        <is>
          <t>0</t>
        </is>
      </c>
      <c r="CF2436" t="inlineStr">
        <is>
          <t>Q2-W02</t>
        </is>
      </c>
      <c r="CG2436" t="inlineStr">
        <is>
          <t>Q2-W02</t>
        </is>
      </c>
      <c r="CH2436" t="inlineStr">
        <is>
          <t>Q2-W02</t>
        </is>
      </c>
      <c r="CI2436"/>
      <c r="CJ2436" t="inlineStr">
        <is>
          <t>Paid</t>
        </is>
      </c>
      <c r="CK2436" t="inlineStr">
        <is>
          <t>Not Eligible</t>
        </is>
      </c>
      <c r="CL2436"/>
      <c r="CM2436"/>
    </row>
    <row r="2437" ht="25.5" customHeight="1">
      <c r="A2437" t="inlineStr">
        <is>
          <t>203016</t>
        </is>
      </c>
      <c r="B2437" s="2"/>
      <c r="C2437"/>
      <c r="D2437" s="3">
        <v>46121.44944444444</v>
      </c>
      <c r="E2437" t="inlineStr">
        <is>
          <t>Q2-W01</t>
        </is>
      </c>
      <c r="F2437" t="inlineStr">
        <is>
          <t>Derek Lim</t>
        </is>
      </c>
      <c r="G2437" t="inlineStr">
        <is>
          <t>Customer</t>
        </is>
      </c>
      <c r="H2437" s="2" t="str">
        <f>=HYPERLINK("https://upbox.ajobthing.my/customer/203016", "https://upbox.ajobthing.my/customer/203016")</f>
        <v>https://upbox.ajobthing.my/customer/203016</v>
      </c>
      <c r="I2437" t="inlineStr">
        <is>
          <t>Omnia Solutions Plt</t>
        </is>
      </c>
      <c r="J2437" t="inlineStr">
        <is>
          <t>Dolphin</t>
        </is>
      </c>
      <c r="K2437" t="inlineStr">
        <is>
          <t>Derek Lim</t>
        </is>
      </c>
      <c r="L2437" s="4"/>
      <c r="M2437" s="4">
        <v>46121.44974537037</v>
      </c>
      <c r="N2437"/>
      <c r="O2437">
        <v>3888</v>
      </c>
      <c r="P2437" s="4"/>
      <c r="Q2437" s="4">
        <v>46126.385879629626</v>
      </c>
      <c r="R2437"/>
      <c r="S2437">
        <v>1296</v>
      </c>
      <c r="T2437" s="4">
        <v>46126.385879629626</v>
      </c>
      <c r="U2437" s="4"/>
      <c r="V2437"/>
      <c r="W2437">
        <v>1296</v>
      </c>
      <c r="X2437"/>
      <c r="Y2437" t="inlineStr">
        <is>
          <t>Pending Appointment</t>
        </is>
      </c>
      <c r="Z2437" t="inlineStr">
        <is>
          <t>Hiring Now</t>
        </is>
      </c>
      <c r="AA2437">
        <v>3</v>
      </c>
      <c r="AB2437" t="inlineStr">
        <is>
          <t>No Appointment Made</t>
        </is>
      </c>
      <c r="AC2437"/>
      <c r="AD2437" t="inlineStr">
        <is>
          <t>sales &amp; marketing - 2, digital marketing - 1</t>
        </is>
      </c>
      <c r="AE2437"/>
      <c r="AF2437">
        <v>0</v>
      </c>
      <c r="AG2437" s="4"/>
      <c r="AH2437" s="4"/>
      <c r="AI2437">
        <v>0</v>
      </c>
      <c r="AJ2437">
        <v>1</v>
      </c>
      <c r="AK2437" t="inlineStr">
        <is>
          <t>No, I don't need at all</t>
        </is>
      </c>
      <c r="AL2437">
        <v>0</v>
      </c>
      <c r="AM2437" t="inlineStr">
        <is>
          <t>No, I don't need at all</t>
        </is>
      </c>
      <c r="AN2437"/>
      <c r="AO2437" t="inlineStr">
        <is>
          <t>No, I don't need at all</t>
        </is>
      </c>
      <c r="AP2437" t="inlineStr">
        <is>
          <t>Once a year (25%)</t>
        </is>
      </c>
      <c r="AQ2437">
        <v>3</v>
      </c>
      <c r="AR2437" t="inlineStr">
        <is>
          <t>Free Job Portal</t>
        </is>
      </c>
      <c r="AS2437" t="inlineStr">
        <is>
          <t>- Headcount: 3
- Hiring Job Details: sales &amp; marketing - 2, digital marketing - 1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is>
      </c>
      <c r="AT2437">
        <v>95</v>
      </c>
      <c r="AU2437" t="inlineStr">
        <is>
          <t>0.95</t>
        </is>
      </c>
      <c r="AV2437" t="inlineStr">
        <is>
          <t>15</t>
        </is>
      </c>
      <c r="AW2437" t="inlineStr">
        <is>
          <t>0</t>
        </is>
      </c>
      <c r="AX2437" t="inlineStr">
        <is>
          <t>Not Qualified</t>
        </is>
      </c>
      <c r="AY2437" s="4"/>
      <c r="AZ2437"/>
      <c r="BA2437"/>
      <c r="BB2437"/>
      <c r="BC2437" t="inlineStr">
        <is>
          <t>TOLD CUSTOMER THEY NEED TO FILLED THE JOB FIRST ONLY NEW JOB CAN POST</t>
        </is>
      </c>
      <c r="BD2437" s="4">
        <v>46126.57300925926</v>
      </c>
      <c r="BE2437" t="inlineStr">
        <is>
          <t>paid</t>
        </is>
      </c>
      <c r="BF2437" t="inlineStr">
        <is>
          <t>Q2-W02</t>
        </is>
      </c>
      <c r="BG2437" t="inlineStr">
        <is>
          <t>Reschedule</t>
        </is>
      </c>
      <c r="BH2437" t="inlineStr">
        <is>
          <t>Edward Hoo</t>
        </is>
      </c>
      <c r="BI2437" t="inlineStr">
        <is>
          <t>Business / Mgmt Consulting</t>
        </is>
      </c>
      <c r="BJ2437" s="4">
        <v>46144.75418981481</v>
      </c>
      <c r="BK2437" s="4">
        <v>46120.81466435185</v>
      </c>
      <c r="BL2437" t="inlineStr">
        <is>
          <t>1296.0</t>
        </is>
      </c>
      <c r="BM2437" t="inlineStr">
        <is>
          <t>0.0</t>
        </is>
      </c>
      <c r="BN2437" t="inlineStr">
        <is>
          <t>User Visit(Logged In)</t>
        </is>
      </c>
      <c r="BO2437" s="4">
        <v>46142.46774305555</v>
      </c>
      <c r="BP2437">
        <v>166119</v>
      </c>
      <c r="BQ2437">
        <v>93276</v>
      </c>
      <c r="BR2437" t="inlineStr">
        <is>
          <t>Online</t>
        </is>
      </c>
      <c r="BS2437"/>
      <c r="BT2437">
        <v>93276</v>
      </c>
      <c r="BU2437"/>
      <c r="BV2437">
        <v>2703475</v>
      </c>
      <c r="BW2437" t="inlineStr">
        <is>
          <t>Service / Technical : Help To Post Job</t>
        </is>
      </c>
      <c r="BX2437">
        <v>1</v>
      </c>
      <c r="BY2437">
        <v>0</v>
      </c>
      <c r="BZ2437" s="4">
        <v>46126.55836805556</v>
      </c>
      <c r="CA2437">
        <v>23</v>
      </c>
      <c r="CB2437">
        <v>23</v>
      </c>
      <c r="CC2437" s="4"/>
      <c r="CD2437" t="inlineStr">
        <is>
          <t>20</t>
        </is>
      </c>
      <c r="CE2437" t="inlineStr">
        <is>
          <t>0</t>
        </is>
      </c>
      <c r="CF2437" t="inlineStr">
        <is>
          <t>Q2-W01</t>
        </is>
      </c>
      <c r="CG2437" t="inlineStr">
        <is>
          <t>Q2-W02</t>
        </is>
      </c>
      <c r="CH2437" t="inlineStr">
        <is>
          <t>Q2-W02</t>
        </is>
      </c>
      <c r="CI2437"/>
      <c r="CJ2437" t="inlineStr">
        <is>
          <t>Paid</t>
        </is>
      </c>
      <c r="CK2437" t="inlineStr">
        <is>
          <t>Not Eligible</t>
        </is>
      </c>
      <c r="CL2437"/>
      <c r="CM2437"/>
    </row>
    <row r="2438" ht="25.5" customHeight="1">
      <c r="A2438" t="inlineStr">
        <is>
          <t>187748</t>
        </is>
      </c>
      <c r="B2438" s="2"/>
      <c r="C2438"/>
      <c r="D2438" s="3">
        <v>46121.45113425926</v>
      </c>
      <c r="E2438" t="inlineStr">
        <is>
          <t>Q2-W01</t>
        </is>
      </c>
      <c r="F2438" t="inlineStr">
        <is>
          <t>Xin Quan</t>
        </is>
      </c>
      <c r="G2438" t="inlineStr">
        <is>
          <t>Customer</t>
        </is>
      </c>
      <c r="H2438" s="2" t="str">
        <f>=HYPERLINK("https://upbox.ajobthing.my/customer/187748", "https://upbox.ajobthing.my/customer/187748")</f>
        <v>https://upbox.ajobthing.my/customer/187748</v>
      </c>
      <c r="I2438" t="inlineStr">
        <is>
          <t>DYC Metal World Enterprise Sdn Bhd</t>
        </is>
      </c>
      <c r="J2438" t="inlineStr">
        <is>
          <t>Dolphin</t>
        </is>
      </c>
      <c r="K2438" t="inlineStr">
        <is>
          <t>Xin Quan</t>
        </is>
      </c>
      <c r="L2438" s="4"/>
      <c r="M2438" s="4">
        <v>46121.451365740744</v>
      </c>
      <c r="N2438"/>
      <c r="O2438">
        <v>1296</v>
      </c>
      <c r="P2438" s="4"/>
      <c r="Q2438" s="4">
        <v>46125.44363425926</v>
      </c>
      <c r="R2438"/>
      <c r="S2438">
        <v>1296</v>
      </c>
      <c r="T2438" s="4">
        <v>46125.44363425926</v>
      </c>
      <c r="U2438" s="4"/>
      <c r="V2438"/>
      <c r="W2438">
        <v>1296</v>
      </c>
      <c r="X2438"/>
      <c r="Y2438" t="inlineStr">
        <is>
          <t>Pending Appointment</t>
        </is>
      </c>
      <c r="Z2438" t="inlineStr">
        <is>
          <t>Hiring Now</t>
        </is>
      </c>
      <c r="AA2438">
        <v>1</v>
      </c>
      <c r="AB2438" t="inlineStr">
        <is>
          <t>No Appointment Made</t>
        </is>
      </c>
      <c r="AC2438"/>
      <c r="AD2438" t="inlineStr">
        <is>
          <t>1 Sales , Base in JOHOR</t>
        </is>
      </c>
      <c r="AE2438"/>
      <c r="AF2438">
        <v>2000</v>
      </c>
      <c r="AG2438" s="4"/>
      <c r="AH2438" s="4"/>
      <c r="AI2438">
        <v>24000</v>
      </c>
      <c r="AJ2438">
        <v>1</v>
      </c>
      <c r="AK2438"/>
      <c r="AL2438"/>
      <c r="AM2438"/>
      <c r="AN2438"/>
      <c r="AO2438"/>
      <c r="AP2438" t="inlineStr">
        <is>
          <t>Once a year (25%)</t>
        </is>
      </c>
      <c r="AQ2438">
        <v>1</v>
      </c>
      <c r="AR2438"/>
      <c r="AS2438" t="inlineStr">
        <is>
          <t>- Headcount: 1
- Hiring Job Details: 1 Sales, Base in JOHOR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Once a year (25%)
- External job portal: Not specified</t>
        </is>
      </c>
      <c r="AT2438">
        <v>95</v>
      </c>
      <c r="AU2438" t="inlineStr">
        <is>
          <t>0.95</t>
        </is>
      </c>
      <c r="AV2438" t="inlineStr">
        <is>
          <t>15</t>
        </is>
      </c>
      <c r="AW2438" t="inlineStr">
        <is>
          <t>0</t>
        </is>
      </c>
      <c r="AX2438" t="inlineStr">
        <is>
          <t>Not Qualified</t>
        </is>
      </c>
      <c r="AY2438" s="4"/>
      <c r="AZ2438"/>
      <c r="BA2438"/>
      <c r="BB2438"/>
      <c r="BC2438" t="inlineStr">
        <is>
          <t>Ask application</t>
        </is>
      </c>
      <c r="BD2438" s="4">
        <v>46136.410092592596</v>
      </c>
      <c r="BE2438" t="inlineStr">
        <is>
          <t>paid</t>
        </is>
      </c>
      <c r="BF2438" t="inlineStr">
        <is>
          <t>Q2-W02</t>
        </is>
      </c>
      <c r="BG2438" t="inlineStr">
        <is>
          <t>Reschedule</t>
        </is>
      </c>
      <c r="BH2438" t="inlineStr">
        <is>
          <t>Edward Hoo</t>
        </is>
      </c>
      <c r="BI2438" t="inlineStr">
        <is>
          <t>Other industries</t>
        </is>
      </c>
      <c r="BJ2438" s="4">
        <v>46144.75219907407</v>
      </c>
      <c r="BK2438" s="4">
        <v>45705.484398148146</v>
      </c>
      <c r="BL2438" t="inlineStr">
        <is>
          <t>1296.0</t>
        </is>
      </c>
      <c r="BM2438" t="inlineStr">
        <is>
          <t>0.0</t>
        </is>
      </c>
      <c r="BN2438" t="inlineStr">
        <is>
          <t>View Company Page</t>
        </is>
      </c>
      <c r="BO2438" s="4">
        <v>46141.51179398148</v>
      </c>
      <c r="BP2438">
        <v>166120</v>
      </c>
      <c r="BQ2438">
        <v>93088</v>
      </c>
      <c r="BR2438" t="inlineStr">
        <is>
          <t>Online</t>
        </is>
      </c>
      <c r="BS2438"/>
      <c r="BT2438">
        <v>93088</v>
      </c>
      <c r="BU2438"/>
      <c r="BV2438">
        <v>2725450</v>
      </c>
      <c r="BW2438" t="inlineStr">
        <is>
          <t>Service / Technical : Success Hire (MKRB)</t>
        </is>
      </c>
      <c r="BX2438">
        <v>1</v>
      </c>
      <c r="BY2438">
        <v>0</v>
      </c>
      <c r="BZ2438" s="4">
        <v>46126.66818287037</v>
      </c>
      <c r="CA2438">
        <v>10</v>
      </c>
      <c r="CB2438">
        <v>10</v>
      </c>
      <c r="CC2438" s="4"/>
      <c r="CD2438" t="inlineStr">
        <is>
          <t>20</t>
        </is>
      </c>
      <c r="CE2438" t="inlineStr">
        <is>
          <t>0</t>
        </is>
      </c>
      <c r="CF2438" t="inlineStr">
        <is>
          <t>Q2-W01</t>
        </is>
      </c>
      <c r="CG2438" t="inlineStr">
        <is>
          <t>Q2-W02</t>
        </is>
      </c>
      <c r="CH2438" t="inlineStr">
        <is>
          <t>Q2-W02</t>
        </is>
      </c>
      <c r="CI2438"/>
      <c r="CJ2438" t="inlineStr">
        <is>
          <t>Paid</t>
        </is>
      </c>
      <c r="CK2438" t="inlineStr">
        <is>
          <t>Not Eligible</t>
        </is>
      </c>
      <c r="CL2438"/>
      <c r="CM2438"/>
    </row>
    <row r="2439" ht="25.5" customHeight="1">
      <c r="A2439" t="inlineStr">
        <is>
          <t>177195</t>
        </is>
      </c>
      <c r="B2439" s="2"/>
      <c r="C2439"/>
      <c r="D2439" s="3">
        <v>46121.45439814815</v>
      </c>
      <c r="E2439" t="inlineStr">
        <is>
          <t>Q2-W01</t>
        </is>
      </c>
      <c r="F2439" t="inlineStr">
        <is>
          <t>Ken Yi</t>
        </is>
      </c>
      <c r="G2439" t="inlineStr">
        <is>
          <t>Customer</t>
        </is>
      </c>
      <c r="H2439" s="2" t="str">
        <f>=HYPERLINK("https://upbox.ajobthing.my/customer/177195", "https://upbox.ajobthing.my/customer/177195")</f>
        <v>https://upbox.ajobthing.my/customer/177195</v>
      </c>
      <c r="I2439" t="inlineStr">
        <is>
          <t>LK Lazy Kitchen Sdn Bhd</t>
        </is>
      </c>
      <c r="J2439" t="inlineStr">
        <is>
          <t>Dolphin</t>
        </is>
      </c>
      <c r="K2439" t="inlineStr">
        <is>
          <t>Kenyi</t>
        </is>
      </c>
      <c r="L2439" s="4"/>
      <c r="M2439" s="4">
        <v>46121.45811342593</v>
      </c>
      <c r="N2439"/>
      <c r="O2439">
        <v>10800</v>
      </c>
      <c r="P2439" s="4"/>
      <c r="Q2439" s="4">
        <v>46135.63296296296</v>
      </c>
      <c r="R2439"/>
      <c r="S2439">
        <v>3888</v>
      </c>
      <c r="T2439" s="4">
        <v>45826.62259259259</v>
      </c>
      <c r="U2439" s="4"/>
      <c r="V2439"/>
      <c r="W2439">
        <v>3672</v>
      </c>
      <c r="X2439"/>
      <c r="Y2439" t="inlineStr">
        <is>
          <t>Pending Appointment</t>
        </is>
      </c>
      <c r="Z2439" t="inlineStr">
        <is>
          <t>Hiring Now</t>
        </is>
      </c>
      <c r="AA2439">
        <v>2</v>
      </c>
      <c r="AB2439" t="inlineStr">
        <is>
          <t>No Appointment Made</t>
        </is>
      </c>
      <c r="AC2439"/>
      <c r="AD2439" t="inlineStr">
        <is>
          <t>Outlet Staff, kitchen stuff 1</t>
        </is>
      </c>
      <c r="AE2439"/>
      <c r="AF2439">
        <v>0</v>
      </c>
      <c r="AG2439" s="4"/>
      <c r="AH2439" s="4"/>
      <c r="AI2439">
        <v>0</v>
      </c>
      <c r="AJ2439">
        <v>1</v>
      </c>
      <c r="AK2439" t="inlineStr">
        <is>
          <t>Yes, I have</t>
        </is>
      </c>
      <c r="AL2439">
        <v>1</v>
      </c>
      <c r="AM2439" t="inlineStr">
        <is>
          <t>No, I don't need at all</t>
        </is>
      </c>
      <c r="AN2439"/>
      <c r="AO2439" t="inlineStr">
        <is>
          <t>No, I don't need at all</t>
        </is>
      </c>
      <c r="AP2439" t="inlineStr">
        <is>
          <t>Every month (100%)</t>
        </is>
      </c>
      <c r="AQ2439">
        <v>1</v>
      </c>
      <c r="AR2439" t="inlineStr">
        <is>
          <t>Jobstreet, Free Job Portal</t>
        </is>
      </c>
      <c r="AS2439" t="inlineStr">
        <is>
          <t>- Headcount: 2
- Hiring Job Details: Outlet Staff, kitchen stuff 1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Jobstreet,Free Job Portal</t>
        </is>
      </c>
      <c r="AT2439">
        <v>115</v>
      </c>
      <c r="AU2439" t="inlineStr">
        <is>
          <t>1.15</t>
        </is>
      </c>
      <c r="AV2439" t="inlineStr">
        <is>
          <t>15</t>
        </is>
      </c>
      <c r="AW2439" t="inlineStr">
        <is>
          <t>0</t>
        </is>
      </c>
      <c r="AX2439" t="inlineStr">
        <is>
          <t>Not Qualified</t>
        </is>
      </c>
      <c r="AY2439" s="4"/>
      <c r="AZ2439"/>
      <c r="BA2439"/>
      <c r="BB2439"/>
      <c r="BC2439" t="inlineStr">
        <is>
          <t>Perhaps i chase payment for quite tends, ask to pay it at the later date.</t>
        </is>
      </c>
      <c r="BD2439" s="4">
        <v>46142.635046296295</v>
      </c>
      <c r="BE2439" t="inlineStr">
        <is>
          <t>pending</t>
        </is>
      </c>
      <c r="BF2439"/>
      <c r="BG2439" t="inlineStr">
        <is>
          <t>Reschedule</t>
        </is>
      </c>
      <c r="BH2439" t="inlineStr">
        <is>
          <t>Fauziah Maharan</t>
        </is>
      </c>
      <c r="BI2439" t="inlineStr">
        <is>
          <t>Food / Beverage</t>
        </is>
      </c>
      <c r="BJ2439" s="4">
        <v>46144.75167824074</v>
      </c>
      <c r="BK2439" s="4">
        <v>45390.66189814815</v>
      </c>
      <c r="BL2439" t="inlineStr">
        <is>
          <t>3672.0</t>
        </is>
      </c>
      <c r="BM2439" t="inlineStr">
        <is>
          <t>0.0</t>
        </is>
      </c>
      <c r="BN2439" t="inlineStr">
        <is>
          <t>User Visit(Logged In)</t>
        </is>
      </c>
      <c r="BO2439" s="4">
        <v>46135.48403935185</v>
      </c>
      <c r="BP2439">
        <v>166128</v>
      </c>
      <c r="BQ2439">
        <v>7693</v>
      </c>
      <c r="BR2439" t="inlineStr">
        <is>
          <t>Manual</t>
        </is>
      </c>
      <c r="BS2439" t="inlineStr">
        <is>
          <t>AI Yearly Standard Plan
- AI Yearly Standard Plan of 3 AI Job Ads + 3 Free AI Job Ads with Booster (Total 6 Unit)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439">
        <v>80184</v>
      </c>
      <c r="BU2439"/>
      <c r="BV2439">
        <v>2737918</v>
      </c>
      <c r="BW2439" t="inlineStr">
        <is>
          <t>Follow Up : Payment Pending</t>
        </is>
      </c>
      <c r="BX2439">
        <v>1</v>
      </c>
      <c r="BY2439">
        <v>-4</v>
      </c>
      <c r="BZ2439" s="4">
        <v>46097.68258101852</v>
      </c>
      <c r="CA2439">
        <v>145</v>
      </c>
      <c r="CB2439">
        <v>112</v>
      </c>
      <c r="CC2439" s="4">
        <v>46122.61832175926</v>
      </c>
      <c r="CD2439" t="inlineStr">
        <is>
          <t>20</t>
        </is>
      </c>
      <c r="CE2439" t="inlineStr">
        <is>
          <t>0</t>
        </is>
      </c>
      <c r="CF2439" t="inlineStr">
        <is>
          <t>Q2-W01</t>
        </is>
      </c>
      <c r="CG2439" t="inlineStr">
        <is>
          <t>Q2-W03</t>
        </is>
      </c>
      <c r="CH2439"/>
      <c r="CI2439"/>
      <c r="CJ2439" t="inlineStr">
        <is>
          <t>Paid</t>
        </is>
      </c>
      <c r="CK2439" t="inlineStr">
        <is>
          <t>Not Eligible</t>
        </is>
      </c>
      <c r="CL2439"/>
      <c r="CM2439"/>
    </row>
    <row r="2440" ht="25.5" customHeight="1">
      <c r="A2440" t="inlineStr">
        <is>
          <t>197237</t>
        </is>
      </c>
      <c r="B2440" s="2"/>
      <c r="C2440"/>
      <c r="D2440" s="3">
        <v>46121.455775462964</v>
      </c>
      <c r="E2440" t="inlineStr">
        <is>
          <t>Q2-W01</t>
        </is>
      </c>
      <c r="F2440" t="inlineStr">
        <is>
          <t>Lucas</t>
        </is>
      </c>
      <c r="G2440" t="inlineStr">
        <is>
          <t>Customer</t>
        </is>
      </c>
      <c r="H2440" s="2" t="str">
        <f>=HYPERLINK("https://upbox.ajobthing.my/customer/197237", "https://upbox.ajobthing.my/customer/197237")</f>
        <v>https://upbox.ajobthing.my/customer/197237</v>
      </c>
      <c r="I2440" t="inlineStr">
        <is>
          <t>Black Pipa Sdn Bhd</t>
        </is>
      </c>
      <c r="J2440" t="inlineStr">
        <is>
          <t>Dolphin</t>
        </is>
      </c>
      <c r="K2440" t="inlineStr">
        <is>
          <t>Lucas</t>
        </is>
      </c>
      <c r="L2440" s="4"/>
      <c r="M2440" s="4">
        <v>46121.45408564815</v>
      </c>
      <c r="N2440"/>
      <c r="O2440">
        <v>3888</v>
      </c>
      <c r="P2440" s="4"/>
      <c r="Q2440" s="4">
        <v>45988.767800925925</v>
      </c>
      <c r="R2440"/>
      <c r="S2440">
        <v>324</v>
      </c>
      <c r="T2440" s="4">
        <v>45988.767800925925</v>
      </c>
      <c r="U2440" s="4"/>
      <c r="V2440"/>
      <c r="W2440">
        <v>324</v>
      </c>
      <c r="X2440"/>
      <c r="Y2440" t="inlineStr">
        <is>
          <t>Pending Appointment</t>
        </is>
      </c>
      <c r="Z2440" t="inlineStr">
        <is>
          <t>Hiring Now</t>
        </is>
      </c>
      <c r="AA2440">
        <v>1</v>
      </c>
      <c r="AB2440" t="inlineStr">
        <is>
          <t>No Appointment Made</t>
        </is>
      </c>
      <c r="AC2440"/>
      <c r="AD2440" t="inlineStr">
        <is>
          <t>hiring 1 e-commer (content creator /live host)</t>
        </is>
      </c>
      <c r="AE2440"/>
      <c r="AF2440">
        <v>0</v>
      </c>
      <c r="AG2440" s="4"/>
      <c r="AH2440" s="4"/>
      <c r="AI2440">
        <v>0</v>
      </c>
      <c r="AJ2440">
        <v>0</v>
      </c>
      <c r="AK2440" t="inlineStr">
        <is>
          <t>No, I don't need at all</t>
        </is>
      </c>
      <c r="AL2440">
        <v>0</v>
      </c>
      <c r="AM2440" t="inlineStr">
        <is>
          <t>No, I don't need at all</t>
        </is>
      </c>
      <c r="AN2440"/>
      <c r="AO2440" t="inlineStr">
        <is>
          <t>No, I don't need at all</t>
        </is>
      </c>
      <c r="AP2440" t="inlineStr">
        <is>
          <t>Once a year (25%)</t>
        </is>
      </c>
      <c r="AQ2440">
        <v>1</v>
      </c>
      <c r="AR2440" t="inlineStr">
        <is>
          <t>Did not use any job portal</t>
        </is>
      </c>
      <c r="AS2440" t="inlineStr">
        <is>
          <t>- Headcount: 1
- Hiring Job Details: 1 e-commerce (content creator /live host)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440">
        <v>105</v>
      </c>
      <c r="AU2440" t="inlineStr">
        <is>
          <t>1.05</t>
        </is>
      </c>
      <c r="AV2440" t="inlineStr">
        <is>
          <t>15</t>
        </is>
      </c>
      <c r="AW2440" t="inlineStr">
        <is>
          <t>0</t>
        </is>
      </c>
      <c r="AX2440" t="inlineStr">
        <is>
          <t>Not Qualified</t>
        </is>
      </c>
      <c r="AY2440" s="4"/>
      <c r="AZ2440"/>
      <c r="BA2440"/>
      <c r="BB2440"/>
      <c r="BC2440" t="inlineStr">
        <is>
          <t>nr, FU1</t>
        </is>
      </c>
      <c r="BD2440" s="4">
        <v>46139.639548611114</v>
      </c>
      <c r="BE2440" t="inlineStr">
        <is>
          <t>paid</t>
        </is>
      </c>
      <c r="BF2440"/>
      <c r="BG2440" t="inlineStr">
        <is>
          <t>Reschedule</t>
        </is>
      </c>
      <c r="BH2440" t="inlineStr">
        <is>
          <t>Yee Hang</t>
        </is>
      </c>
      <c r="BI2440" t="inlineStr">
        <is>
          <t>Apparel</t>
        </is>
      </c>
      <c r="BJ2440" s="4">
        <v>46144.75288194444</v>
      </c>
      <c r="BK2440" s="4">
        <v>45944.72688657408</v>
      </c>
      <c r="BL2440" t="inlineStr">
        <is>
          <t>1944.0</t>
        </is>
      </c>
      <c r="BM2440" t="inlineStr">
        <is>
          <t>0.0</t>
        </is>
      </c>
      <c r="BN2440" t="inlineStr">
        <is>
          <t>View Account User</t>
        </is>
      </c>
      <c r="BO2440" s="4">
        <v>46127.705717592595</v>
      </c>
      <c r="BP2440">
        <v>166125</v>
      </c>
      <c r="BQ2440">
        <v>84549</v>
      </c>
      <c r="BR2440" t="inlineStr">
        <is>
          <t>Online</t>
        </is>
      </c>
      <c r="BS2440"/>
      <c r="BT2440">
        <v>84549</v>
      </c>
      <c r="BU2440"/>
      <c r="BV2440">
        <v>2730232</v>
      </c>
      <c r="BW2440" t="inlineStr">
        <is>
          <t>No Answer : Voicemail - WA sent to customer</t>
        </is>
      </c>
      <c r="BX2440"/>
      <c r="BY2440"/>
      <c r="BZ2440" s="4"/>
      <c r="CA2440"/>
      <c r="CB2440"/>
      <c r="CC2440" s="4"/>
      <c r="CD2440" t="inlineStr">
        <is>
          <t>20</t>
        </is>
      </c>
      <c r="CE2440" t="inlineStr">
        <is>
          <t>0</t>
        </is>
      </c>
      <c r="CF2440" t="inlineStr">
        <is>
          <t>Q2-W01</t>
        </is>
      </c>
      <c r="CG2440"/>
      <c r="CH2440"/>
      <c r="CI2440"/>
      <c r="CJ2440" t="inlineStr">
        <is>
          <t>Paid</t>
        </is>
      </c>
      <c r="CK2440" t="inlineStr">
        <is>
          <t>Not Eligible</t>
        </is>
      </c>
      <c r="CL2440"/>
      <c r="CM2440"/>
    </row>
    <row r="2441" ht="25.5" customHeight="1">
      <c r="A2441" t="inlineStr">
        <is>
          <t>203002</t>
        </is>
      </c>
      <c r="B2441" s="2"/>
      <c r="C2441"/>
      <c r="D2441" s="3">
        <v>46121.46658564815</v>
      </c>
      <c r="E2441" t="inlineStr">
        <is>
          <t>Q2-W01</t>
        </is>
      </c>
      <c r="F2441" t="inlineStr">
        <is>
          <t>Clover</t>
        </is>
      </c>
      <c r="G2441" t="inlineStr">
        <is>
          <t>Customer</t>
        </is>
      </c>
      <c r="H2441" s="2" t="str">
        <f>=HYPERLINK("https://upbox.ajobthing.my/customer/203002", "https://upbox.ajobthing.my/customer/203002")</f>
        <v>https://upbox.ajobthing.my/customer/203002</v>
      </c>
      <c r="I2441" t="inlineStr">
        <is>
          <t>Desistyle Enterprise</t>
        </is>
      </c>
      <c r="J2441" t="inlineStr">
        <is>
          <t>Dolphin</t>
        </is>
      </c>
      <c r="K2441" t="inlineStr">
        <is>
          <t>Clover</t>
        </is>
      </c>
      <c r="L2441" s="4"/>
      <c r="M2441" s="4">
        <v>46121.46784722222</v>
      </c>
      <c r="N2441"/>
      <c r="O2441">
        <v>3888</v>
      </c>
      <c r="P2441" s="4"/>
      <c r="Q2441" s="4"/>
      <c r="R2441"/>
      <c r="S2441"/>
      <c r="T2441" s="4"/>
      <c r="U2441" s="4"/>
      <c r="V2441"/>
      <c r="W2441"/>
      <c r="X2441"/>
      <c r="Y2441" t="inlineStr">
        <is>
          <t>Pending Appointment</t>
        </is>
      </c>
      <c r="Z2441" t="inlineStr">
        <is>
          <t>Hiring Now</t>
        </is>
      </c>
      <c r="AA2441">
        <v>0</v>
      </c>
      <c r="AB2441" t="inlineStr">
        <is>
          <t>No Appointment Made</t>
        </is>
      </c>
      <c r="AC2441"/>
      <c r="AD2441" t="inlineStr">
        <is>
          <t>PIC Mr Nav,  indian wedding boutique, kl, new branch bukit johor mid may, urgent, previous try hire social media, next year maybe third branch, suggest stand but budget concern</t>
        </is>
      </c>
      <c r="AE2441"/>
      <c r="AF2441">
        <v>3000</v>
      </c>
      <c r="AG2441" s="4"/>
      <c r="AH2441" s="4"/>
      <c r="AI2441">
        <v>3000</v>
      </c>
      <c r="AJ2441">
        <v>1</v>
      </c>
      <c r="AK2441" t="inlineStr">
        <is>
          <t>No, but I want in future</t>
        </is>
      </c>
      <c r="AL2441">
        <v>1</v>
      </c>
      <c r="AM2441" t="inlineStr">
        <is>
          <t>No, but I want in future</t>
        </is>
      </c>
      <c r="AN2441"/>
      <c r="AO2441" t="inlineStr">
        <is>
          <t>No, but I want in future</t>
        </is>
      </c>
      <c r="AP2441" t="inlineStr">
        <is>
          <t>Twice a year (50%)</t>
        </is>
      </c>
      <c r="AQ2441">
        <v>1</v>
      </c>
      <c r="AR2441" t="inlineStr">
        <is>
          <t>Did not use any job portal</t>
        </is>
      </c>
      <c r="AS2441" t="inlineStr">
        <is>
          <t>- Headcount: 0
- Hiring Job Details: PIC Mr Nav, indian wedding boutique, kl, new branch bukit johor mid may, urgent, previous try hire social media, next year maybe third branch, suggest stand but budget concern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2441">
        <v>95</v>
      </c>
      <c r="AU2441" t="inlineStr">
        <is>
          <t>0.95</t>
        </is>
      </c>
      <c r="AV2441" t="inlineStr">
        <is>
          <t>15</t>
        </is>
      </c>
      <c r="AW2441" t="inlineStr">
        <is>
          <t>0</t>
        </is>
      </c>
      <c r="AX2441" t="inlineStr">
        <is>
          <t>Not Qualified</t>
        </is>
      </c>
      <c r="AY2441" s="4"/>
      <c r="AZ2441"/>
      <c r="BA2441"/>
      <c r="BB2441"/>
      <c r="BC2441" t="inlineStr">
        <is>
          <t>lost , job filled</t>
        </is>
      </c>
      <c r="BD2441" s="4">
        <v>46136.7316087963</v>
      </c>
      <c r="BE2441"/>
      <c r="BF2441"/>
      <c r="BG2441" t="inlineStr">
        <is>
          <t>Reschedule</t>
        </is>
      </c>
      <c r="BH2441" t="inlineStr">
        <is>
          <t>Reagen</t>
        </is>
      </c>
      <c r="BI2441"/>
      <c r="BJ2441" s="4">
        <v>46144.75418981481</v>
      </c>
      <c r="BK2441" s="4">
        <v>46120.67390046296</v>
      </c>
      <c r="BL2441" t="inlineStr">
        <is>
          <t>0.0</t>
        </is>
      </c>
      <c r="BM2441" t="inlineStr">
        <is>
          <t>0.0</t>
        </is>
      </c>
      <c r="BN2441"/>
      <c r="BO2441" s="4"/>
      <c r="BP2441">
        <v>166132</v>
      </c>
      <c r="BQ2441"/>
      <c r="BR2441"/>
      <c r="BS2441"/>
      <c r="BT2441"/>
      <c r="BU2441"/>
      <c r="BV2441">
        <v>2727381</v>
      </c>
      <c r="BW2441" t="inlineStr">
        <is>
          <t>Follow Up : Lost - Free Portal</t>
        </is>
      </c>
      <c r="BX2441"/>
      <c r="BY2441"/>
      <c r="BZ2441" s="4"/>
      <c r="CA2441"/>
      <c r="CB2441"/>
      <c r="CC2441" s="4"/>
      <c r="CD2441" t="inlineStr">
        <is>
          <t>20</t>
        </is>
      </c>
      <c r="CE2441" t="inlineStr">
        <is>
          <t>0</t>
        </is>
      </c>
      <c r="CF2441" t="inlineStr">
        <is>
          <t>Q2-W01</t>
        </is>
      </c>
      <c r="CG2441"/>
      <c r="CH2441"/>
      <c r="CI2441"/>
      <c r="CJ2441" t="inlineStr">
        <is>
          <t>No Paid</t>
        </is>
      </c>
      <c r="CK2441" t="inlineStr">
        <is>
          <t>Not Eligible</t>
        </is>
      </c>
      <c r="CL2441"/>
      <c r="CM2441"/>
    </row>
    <row r="2442" ht="25.5" customHeight="1">
      <c r="A2442" t="inlineStr">
        <is>
          <t>200538</t>
        </is>
      </c>
      <c r="B2442" s="2"/>
      <c r="C2442"/>
      <c r="D2442" s="3">
        <v>46121.46989583333</v>
      </c>
      <c r="E2442" t="inlineStr">
        <is>
          <t>Q2-W01</t>
        </is>
      </c>
      <c r="F2442" t="inlineStr">
        <is>
          <t>Jess</t>
        </is>
      </c>
      <c r="G2442" t="inlineStr">
        <is>
          <t>Customer</t>
        </is>
      </c>
      <c r="H2442" s="2" t="str">
        <f>=HYPERLINK("https://upbox.ajobthing.my/customer/200538", "https://upbox.ajobthing.my/customer/200538")</f>
        <v>https://upbox.ajobthing.my/customer/200538</v>
      </c>
      <c r="I2442" t="inlineStr">
        <is>
          <t>GI TENG INDUSTRY (M) SDN BHD</t>
        </is>
      </c>
      <c r="J2442" t="inlineStr">
        <is>
          <t>Dolphin</t>
        </is>
      </c>
      <c r="K2442" t="inlineStr">
        <is>
          <t>Jess Lim</t>
        </is>
      </c>
      <c r="L2442" s="4"/>
      <c r="M2442" s="4">
        <v>46121.47079861111</v>
      </c>
      <c r="N2442"/>
      <c r="O2442">
        <v>5508</v>
      </c>
      <c r="P2442" s="4"/>
      <c r="Q2442" s="4"/>
      <c r="R2442"/>
      <c r="S2442"/>
      <c r="T2442" s="4"/>
      <c r="U2442" s="4"/>
      <c r="V2442"/>
      <c r="W2442"/>
      <c r="X2442"/>
      <c r="Y2442" t="inlineStr">
        <is>
          <t>Pending Appointment</t>
        </is>
      </c>
      <c r="Z2442" t="inlineStr">
        <is>
          <t>Hiring Now</t>
        </is>
      </c>
      <c r="AA2442">
        <v>5</v>
      </c>
      <c r="AB2442" t="inlineStr">
        <is>
          <t>No Appointment Made</t>
        </is>
      </c>
      <c r="AC2442"/>
      <c r="AD2442" t="inlineStr">
        <is>
          <t>operator 3 qc1 op1
englishmalay</t>
        </is>
      </c>
      <c r="AE2442"/>
      <c r="AF2442">
        <v>1000</v>
      </c>
      <c r="AG2442" s="4"/>
      <c r="AH2442" s="4"/>
      <c r="AI2442"/>
      <c r="AJ2442">
        <v>1</v>
      </c>
      <c r="AK2442" t="inlineStr">
        <is>
          <t>No, I don't need at all</t>
        </is>
      </c>
      <c r="AL2442">
        <v>1</v>
      </c>
      <c r="AM2442" t="inlineStr">
        <is>
          <t>No, I don't need at all</t>
        </is>
      </c>
      <c r="AN2442"/>
      <c r="AO2442" t="inlineStr">
        <is>
          <t>No, I don't need at all</t>
        </is>
      </c>
      <c r="AP2442" t="inlineStr">
        <is>
          <t>Once a year (25%)</t>
        </is>
      </c>
      <c r="AQ2442"/>
      <c r="AR2442" t="inlineStr">
        <is>
          <t>Free Job Portal</t>
        </is>
      </c>
      <c r="AS2442" t="inlineStr">
        <is>
          <t>- Headcount: 5
- Hiring Job Details: operator 3 qc1 op1; englishmalay
- Hiring Urgency: Hiring Now
- Number of outlets: 1
- Have recruiter team: No, I don't need at all
- Number of recruiter in company: 1
- Have ATS system: No, I don't need at all
- Have career website: No, I don't need at all
- Current hiring budget: RM1,000.00
- Whole year budget: N/A
- Whole year number of vacancies: N/A
- Hiring frequency: Once a year (25%)
- External job portal: Free Job Portal</t>
        </is>
      </c>
      <c r="AT2442">
        <v>95</v>
      </c>
      <c r="AU2442" t="inlineStr">
        <is>
          <t>0.95</t>
        </is>
      </c>
      <c r="AV2442" t="inlineStr">
        <is>
          <t>20</t>
        </is>
      </c>
      <c r="AW2442" t="inlineStr">
        <is>
          <t>0</t>
        </is>
      </c>
      <c r="AX2442" t="inlineStr">
        <is>
          <t>Not Qualified</t>
        </is>
      </c>
      <c r="AY2442" s="4"/>
      <c r="AZ2442"/>
      <c r="BA2442"/>
      <c r="BB2442"/>
      <c r="BC2442" t="inlineStr">
        <is>
          <t>havent review yet</t>
        </is>
      </c>
      <c r="BD2442" s="4">
        <v>46126.69011574074</v>
      </c>
      <c r="BE2442"/>
      <c r="BF2442"/>
      <c r="BG2442" t="inlineStr">
        <is>
          <t>Reschedule</t>
        </is>
      </c>
      <c r="BH2442" t="inlineStr">
        <is>
          <t>Fauziah Maharan</t>
        </is>
      </c>
      <c r="BI2442"/>
      <c r="BJ2442" s="4">
        <v>46144.753599537034</v>
      </c>
      <c r="BK2442" s="4">
        <v>46043.68699074074</v>
      </c>
      <c r="BL2442" t="inlineStr">
        <is>
          <t>0.0</t>
        </is>
      </c>
      <c r="BM2442" t="inlineStr">
        <is>
          <t>0.0</t>
        </is>
      </c>
      <c r="BN2442" t="inlineStr">
        <is>
          <t>Instant Register</t>
        </is>
      </c>
      <c r="BO2442" s="4">
        <v>46043.687002314815</v>
      </c>
      <c r="BP2442">
        <v>166136</v>
      </c>
      <c r="BQ2442"/>
      <c r="BR2442"/>
      <c r="BS2442"/>
      <c r="BT2442"/>
      <c r="BU2442"/>
      <c r="BV2442">
        <v>2704264</v>
      </c>
      <c r="BW2442" t="inlineStr">
        <is>
          <t>Follow Up : Decision Pending</t>
        </is>
      </c>
      <c r="BX2442"/>
      <c r="BY2442"/>
      <c r="BZ2442" s="4"/>
      <c r="CA2442"/>
      <c r="CB2442"/>
      <c r="CC2442" s="4"/>
      <c r="CD2442" t="inlineStr">
        <is>
          <t>30</t>
        </is>
      </c>
      <c r="CE2442" t="inlineStr">
        <is>
          <t>0</t>
        </is>
      </c>
      <c r="CF2442" t="inlineStr">
        <is>
          <t>Q2-W01</t>
        </is>
      </c>
      <c r="CG2442"/>
      <c r="CH2442"/>
      <c r="CI2442"/>
      <c r="CJ2442" t="inlineStr">
        <is>
          <t>No Paid</t>
        </is>
      </c>
      <c r="CK2442" t="inlineStr">
        <is>
          <t>Not Eligible</t>
        </is>
      </c>
      <c r="CL2442"/>
      <c r="CM2442"/>
    </row>
    <row r="2443" ht="25.5" customHeight="1">
      <c r="A2443" t="inlineStr">
        <is>
          <t>135833</t>
        </is>
      </c>
      <c r="B2443" s="2"/>
      <c r="C2443"/>
      <c r="D2443" s="3">
        <v>46121.47375</v>
      </c>
      <c r="E2443" t="inlineStr">
        <is>
          <t>Q2-W01</t>
        </is>
      </c>
      <c r="F2443" t="inlineStr">
        <is>
          <t>Ratha</t>
        </is>
      </c>
      <c r="G2443" t="inlineStr">
        <is>
          <t>Customer</t>
        </is>
      </c>
      <c r="H2443" s="2" t="str">
        <f>=HYPERLINK("https://upbox.ajobthing.my/customer/135833", "https://upbox.ajobthing.my/customer/135833")</f>
        <v>https://upbox.ajobthing.my/customer/135833</v>
      </c>
      <c r="I2443" t="inlineStr">
        <is>
          <t>Aqua Solar Technology Sdn Bhd</t>
        </is>
      </c>
      <c r="J2443" t="inlineStr">
        <is>
          <t>Dolphin</t>
        </is>
      </c>
      <c r="K2443" t="inlineStr">
        <is>
          <t>Ratha</t>
        </is>
      </c>
      <c r="L2443" s="4"/>
      <c r="M2443" s="4">
        <v>46121.47431712963</v>
      </c>
      <c r="N2443"/>
      <c r="O2443">
        <v>3672</v>
      </c>
      <c r="P2443" s="4"/>
      <c r="Q2443" s="4">
        <v>45926.47591435185</v>
      </c>
      <c r="R2443"/>
      <c r="S2443">
        <v>648</v>
      </c>
      <c r="T2443" s="4">
        <v>45926.47591435185</v>
      </c>
      <c r="U2443" s="4"/>
      <c r="V2443"/>
      <c r="W2443">
        <v>648</v>
      </c>
      <c r="X2443"/>
      <c r="Y2443" t="inlineStr">
        <is>
          <t>Pending Appointment</t>
        </is>
      </c>
      <c r="Z2443" t="inlineStr">
        <is>
          <t>Hiring Now</t>
        </is>
      </c>
      <c r="AA2443">
        <v>2</v>
      </c>
      <c r="AB2443" t="inlineStr">
        <is>
          <t>No Appointment Made</t>
        </is>
      </c>
      <c r="AC2443"/>
      <c r="AD2443" t="inlineStr">
        <is>
          <t>1 is looking for sales representative(outdoor sales), another 1 is showroom part time(only weekend)
Location : Rawang</t>
        </is>
      </c>
      <c r="AE2443"/>
      <c r="AF2443"/>
      <c r="AG2443" s="4"/>
      <c r="AH2443" s="4"/>
      <c r="AI2443">
        <v>0</v>
      </c>
      <c r="AJ2443">
        <v>1</v>
      </c>
      <c r="AK2443" t="inlineStr">
        <is>
          <t>Yes, I have</t>
        </is>
      </c>
      <c r="AL2443">
        <v>2</v>
      </c>
      <c r="AM2443" t="inlineStr">
        <is>
          <t>No, I don't need at all</t>
        </is>
      </c>
      <c r="AN2443"/>
      <c r="AO2443" t="inlineStr">
        <is>
          <t>No, I don't need at all</t>
        </is>
      </c>
      <c r="AP2443" t="inlineStr">
        <is>
          <t>Once per quarter (75%)</t>
        </is>
      </c>
      <c r="AQ2443">
        <v>0</v>
      </c>
      <c r="AR2443" t="inlineStr">
        <is>
          <t>Free Job Portal, Jobstreet</t>
        </is>
      </c>
      <c r="AS2443" t="inlineStr">
        <is>
          <t>- Headcount: 2
- Hiring Job Details: 1 sales representative (outdoor sales), 1 showroom part-time (only weekend)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 Jobstreet</t>
        </is>
      </c>
      <c r="AT2443">
        <v>110</v>
      </c>
      <c r="AU2443" t="inlineStr">
        <is>
          <t>1.10</t>
        </is>
      </c>
      <c r="AV2443" t="inlineStr">
        <is>
          <t>5</t>
        </is>
      </c>
      <c r="AW2443" t="inlineStr">
        <is>
          <t>0</t>
        </is>
      </c>
      <c r="AX2443" t="inlineStr">
        <is>
          <t>Not Qualified</t>
        </is>
      </c>
      <c r="AY2443" s="4"/>
      <c r="AZ2443"/>
      <c r="BA2443"/>
      <c r="BB2443"/>
      <c r="BC2443" t="inlineStr">
        <is>
          <t>hold the proposal</t>
        </is>
      </c>
      <c r="BD2443" s="4">
        <v>46135.45953703704</v>
      </c>
      <c r="BE2443" t="inlineStr">
        <is>
          <t>paid</t>
        </is>
      </c>
      <c r="BF2443"/>
      <c r="BG2443" t="inlineStr">
        <is>
          <t>Reschedule</t>
        </is>
      </c>
      <c r="BH2443" t="inlineStr">
        <is>
          <t>Fauziah Maharan</t>
        </is>
      </c>
      <c r="BI2443" t="inlineStr">
        <is>
          <t>Manufacturing / Production</t>
        </is>
      </c>
      <c r="BJ2443" s="4">
        <v>46144.750555555554</v>
      </c>
      <c r="BK2443" s="4">
        <v>44273.7140162037</v>
      </c>
      <c r="BL2443" t="inlineStr">
        <is>
          <t>2268.0</t>
        </is>
      </c>
      <c r="BM2443" t="inlineStr">
        <is>
          <t>1650.0</t>
        </is>
      </c>
      <c r="BN2443" t="inlineStr">
        <is>
          <t>User Visit(Logged In)</t>
        </is>
      </c>
      <c r="BO2443" s="4">
        <v>46118.606412037036</v>
      </c>
      <c r="BP2443">
        <v>166142</v>
      </c>
      <c r="BQ2443">
        <v>82765</v>
      </c>
      <c r="BR2443" t="inlineStr">
        <is>
          <t>Online</t>
        </is>
      </c>
      <c r="BS2443"/>
      <c r="BT2443">
        <v>82765</v>
      </c>
      <c r="BU2443"/>
      <c r="BV2443">
        <v>2722704</v>
      </c>
      <c r="BW2443" t="inlineStr">
        <is>
          <t>Follow Up : Budget Concern</t>
        </is>
      </c>
      <c r="BX2443"/>
      <c r="BY2443"/>
      <c r="BZ2443" s="4"/>
      <c r="CA2443"/>
      <c r="CB2443"/>
      <c r="CC2443" s="4"/>
      <c r="CD2443" t="inlineStr">
        <is>
          <t>5</t>
        </is>
      </c>
      <c r="CE2443" t="inlineStr">
        <is>
          <t>0</t>
        </is>
      </c>
      <c r="CF2443" t="inlineStr">
        <is>
          <t>Q2-W01</t>
        </is>
      </c>
      <c r="CG2443"/>
      <c r="CH2443"/>
      <c r="CI2443"/>
      <c r="CJ2443" t="inlineStr">
        <is>
          <t>Paid</t>
        </is>
      </c>
      <c r="CK2443" t="inlineStr">
        <is>
          <t>Not Eligible</t>
        </is>
      </c>
      <c r="CL2443"/>
      <c r="CM2443"/>
    </row>
    <row r="2444" ht="25.5" customHeight="1">
      <c r="A2444" t="inlineStr">
        <is>
          <t>33934</t>
        </is>
      </c>
      <c r="B2444" s="2"/>
      <c r="C2444"/>
      <c r="D2444" s="3">
        <v>46121.47486111111</v>
      </c>
      <c r="E2444" t="inlineStr">
        <is>
          <t>Q2-W01</t>
        </is>
      </c>
      <c r="F2444" t="inlineStr">
        <is>
          <t>Eugene</t>
        </is>
      </c>
      <c r="G2444" t="inlineStr">
        <is>
          <t>Customer</t>
        </is>
      </c>
      <c r="H2444" s="2" t="str">
        <f>=HYPERLINK("https://upbox.ajobthing.my/customer/33934", "https://upbox.ajobthing.my/customer/33934")</f>
        <v>https://upbox.ajobthing.my/customer/33934</v>
      </c>
      <c r="I2444" t="inlineStr">
        <is>
          <t>Arca Corporation Sdn Bhd</t>
        </is>
      </c>
      <c r="J2444" t="inlineStr">
        <is>
          <t>Dolphin</t>
        </is>
      </c>
      <c r="K2444" t="inlineStr">
        <is>
          <t>Eugene</t>
        </is>
      </c>
      <c r="L2444" s="4"/>
      <c r="M2444" s="4">
        <v>46135.653229166666</v>
      </c>
      <c r="N2444"/>
      <c r="O2444">
        <v>1296</v>
      </c>
      <c r="P2444" s="4"/>
      <c r="Q2444" s="4"/>
      <c r="R2444"/>
      <c r="S2444"/>
      <c r="T2444" s="4"/>
      <c r="U2444" s="4"/>
      <c r="V2444"/>
      <c r="W2444"/>
      <c r="X2444"/>
      <c r="Y2444" t="inlineStr">
        <is>
          <t>Pending Appointment</t>
        </is>
      </c>
      <c r="Z2444" t="inlineStr">
        <is>
          <t>Hiring Now</t>
        </is>
      </c>
      <c r="AA2444">
        <v>1</v>
      </c>
      <c r="AB2444" t="inlineStr">
        <is>
          <t>No Appointment Made</t>
        </is>
      </c>
      <c r="AC2444"/>
      <c r="AD2444" t="inlineStr">
        <is>
          <t>1 finance, based in KL</t>
        </is>
      </c>
      <c r="AE2444"/>
      <c r="AF2444">
        <v>3600</v>
      </c>
      <c r="AG2444" s="4"/>
      <c r="AH2444" s="4"/>
      <c r="AI2444">
        <v>3600</v>
      </c>
      <c r="AJ2444">
        <v>1</v>
      </c>
      <c r="AK2444" t="inlineStr">
        <is>
          <t>No, I don't need at all</t>
        </is>
      </c>
      <c r="AL2444">
        <v>1</v>
      </c>
      <c r="AM2444" t="inlineStr">
        <is>
          <t>No, I don't need at all</t>
        </is>
      </c>
      <c r="AN2444"/>
      <c r="AO2444" t="inlineStr">
        <is>
          <t>No, I don't need at all</t>
        </is>
      </c>
      <c r="AP2444" t="inlineStr">
        <is>
          <t>Twice a year (50%)</t>
        </is>
      </c>
      <c r="AQ2444">
        <v>2</v>
      </c>
      <c r="AR2444" t="inlineStr">
        <is>
          <t>Did not use any job portal</t>
        </is>
      </c>
      <c r="AS2444" t="inlineStr">
        <is>
          <t>- Headcount: 1
- Hiring Job Details: 1 finance,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2
- Hiring frequency: Twice a year (50%)
- External job portal: Did not use any job portal</t>
        </is>
      </c>
      <c r="AT2444">
        <v>110</v>
      </c>
      <c r="AU2444" t="inlineStr">
        <is>
          <t>1.10</t>
        </is>
      </c>
      <c r="AV2444" t="inlineStr">
        <is>
          <t>15</t>
        </is>
      </c>
      <c r="AW2444" t="inlineStr">
        <is>
          <t>0</t>
        </is>
      </c>
      <c r="AX2444" t="inlineStr">
        <is>
          <t>Not Qualified</t>
        </is>
      </c>
      <c r="AY2444" s="4"/>
      <c r="AZ2444"/>
      <c r="BA2444"/>
      <c r="BB2444"/>
      <c r="BC2444" t="inlineStr">
        <is>
          <t>- Headcount: 2
- Hiring Job Details: 1 finance, 1 intern, based in KL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2
- Hiring frequency: Twice a year (50%)
- External job portal: Free Job Portal</t>
        </is>
      </c>
      <c r="BD2444" s="4">
        <v>46135.66674768519</v>
      </c>
      <c r="BE2444"/>
      <c r="BF2444"/>
      <c r="BG2444" t="inlineStr">
        <is>
          <t>Reschedule</t>
        </is>
      </c>
      <c r="BH2444" t="inlineStr">
        <is>
          <t>Edward Hoo</t>
        </is>
      </c>
      <c r="BI2444" t="inlineStr">
        <is>
          <t>Automobile / Automotive</t>
        </is>
      </c>
      <c r="BJ2444" s="4">
        <v>46144.75457175926</v>
      </c>
      <c r="BK2444" s="4">
        <v>42786.59788194444</v>
      </c>
      <c r="BL2444" t="inlineStr">
        <is>
          <t>0.0</t>
        </is>
      </c>
      <c r="BM2444" t="inlineStr">
        <is>
          <t>1200.0</t>
        </is>
      </c>
      <c r="BN2444" t="inlineStr">
        <is>
          <t>View Shop</t>
        </is>
      </c>
      <c r="BO2444" s="4">
        <v>43566.51868055556</v>
      </c>
      <c r="BP2444">
        <v>168601</v>
      </c>
      <c r="BQ2444"/>
      <c r="BR2444"/>
      <c r="BS2444"/>
      <c r="BT2444"/>
      <c r="BU2444"/>
      <c r="BV2444">
        <v>2724577</v>
      </c>
      <c r="BW2444" t="inlineStr">
        <is>
          <t>Customer Inquiry</t>
        </is>
      </c>
      <c r="BX2444"/>
      <c r="BY2444"/>
      <c r="BZ2444" s="4"/>
      <c r="CA2444"/>
      <c r="CB2444"/>
      <c r="CC2444" s="4"/>
      <c r="CD2444" t="inlineStr">
        <is>
          <t>20</t>
        </is>
      </c>
      <c r="CE2444" t="inlineStr">
        <is>
          <t>0</t>
        </is>
      </c>
      <c r="CF2444" t="inlineStr">
        <is>
          <t>Q2-W03</t>
        </is>
      </c>
      <c r="CG2444"/>
      <c r="CH2444"/>
      <c r="CI2444"/>
      <c r="CJ2444" t="inlineStr">
        <is>
          <t>No Paid</t>
        </is>
      </c>
      <c r="CK2444" t="inlineStr">
        <is>
          <t>Not Eligible</t>
        </is>
      </c>
      <c r="CL2444"/>
      <c r="CM2444"/>
    </row>
    <row r="2445" ht="25.5" customHeight="1">
      <c r="A2445" t="inlineStr">
        <is>
          <t>202411</t>
        </is>
      </c>
      <c r="B2445" s="2"/>
      <c r="C2445"/>
      <c r="D2445" s="3">
        <v>46121.47792824074</v>
      </c>
      <c r="E2445" t="inlineStr">
        <is>
          <t>Q2-W01</t>
        </is>
      </c>
      <c r="F2445" t="inlineStr">
        <is>
          <t>Carmen</t>
        </is>
      </c>
      <c r="G2445" t="inlineStr">
        <is>
          <t>Customer</t>
        </is>
      </c>
      <c r="H2445" s="2" t="str">
        <f>=HYPERLINK("https://upbox.ajobthing.my/customer/202411", "https://upbox.ajobthing.my/customer/202411")</f>
        <v>https://upbox.ajobthing.my/customer/202411</v>
      </c>
      <c r="I2445" t="inlineStr">
        <is>
          <t>Marent (M) Sdn. Bhd.</t>
        </is>
      </c>
      <c r="J2445" t="inlineStr">
        <is>
          <t>Dolphin</t>
        </is>
      </c>
      <c r="K2445" t="inlineStr">
        <is>
          <t>Carmen</t>
        </is>
      </c>
      <c r="L2445" s="4"/>
      <c r="M2445" s="4">
        <v>46136.635150462964</v>
      </c>
      <c r="N2445"/>
      <c r="O2445">
        <v>864</v>
      </c>
      <c r="P2445" s="4"/>
      <c r="Q2445" s="4">
        <v>46141.4543287037</v>
      </c>
      <c r="R2445"/>
      <c r="S2445">
        <v>0</v>
      </c>
      <c r="T2445" s="4">
        <v>46112.637650462966</v>
      </c>
      <c r="U2445" s="4"/>
      <c r="V2445"/>
      <c r="W2445">
        <v>2592</v>
      </c>
      <c r="X2445"/>
      <c r="Y2445" t="inlineStr">
        <is>
          <t>Pending Appointment</t>
        </is>
      </c>
      <c r="Z2445" t="inlineStr">
        <is>
          <t>Continuous Hiring</t>
        </is>
      </c>
      <c r="AA2445">
        <v>3</v>
      </c>
      <c r="AB2445" t="inlineStr">
        <is>
          <t>No Appointment Made</t>
        </is>
      </c>
      <c r="AC2445"/>
      <c r="AD2445" t="inlineStr">
        <is>
          <t>1 account exe, 1 account admin, 1 content creator</t>
        </is>
      </c>
      <c r="AE2445"/>
      <c r="AF2445">
        <v>3000</v>
      </c>
      <c r="AG2445" s="4"/>
      <c r="AH2445" s="4"/>
      <c r="AI2445"/>
      <c r="AJ2445"/>
      <c r="AK2445"/>
      <c r="AL2445"/>
      <c r="AM2445"/>
      <c r="AN2445"/>
      <c r="AO2445"/>
      <c r="AP2445" t="inlineStr">
        <is>
          <t>Once a year (25%)</t>
        </is>
      </c>
      <c r="AQ2445"/>
      <c r="AR2445"/>
      <c r="AS2445" t="inlineStr">
        <is>
          <t>- Headcount: 3
- Hiring Job Details: 1 account exe, 1 account admin, 1 content creator
- Hiring Urgency: Continuous Hiring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2445">
        <v>65</v>
      </c>
      <c r="AU2445" t="inlineStr">
        <is>
          <t>0.65</t>
        </is>
      </c>
      <c r="AV2445" t="inlineStr">
        <is>
          <t>15</t>
        </is>
      </c>
      <c r="AW2445" t="inlineStr">
        <is>
          <t>0</t>
        </is>
      </c>
      <c r="AX2445" t="inlineStr">
        <is>
          <t>Not Qualified</t>
        </is>
      </c>
      <c r="AY2445" s="4"/>
      <c r="AZ2445"/>
      <c r="BA2445"/>
      <c r="BB2445"/>
      <c r="BC2445" t="inlineStr">
        <is>
          <t>on hold</t>
        </is>
      </c>
      <c r="BD2445" s="4">
        <v>46136.68913194445</v>
      </c>
      <c r="BE2445" t="inlineStr">
        <is>
          <t>paid</t>
        </is>
      </c>
      <c r="BF2445" t="inlineStr">
        <is>
          <t>Q1-W13</t>
        </is>
      </c>
      <c r="BG2445" t="inlineStr">
        <is>
          <t>Reschedule</t>
        </is>
      </c>
      <c r="BH2445" t="inlineStr">
        <is>
          <t>Reagen</t>
        </is>
      </c>
      <c r="BI2445"/>
      <c r="BJ2445" s="4">
        <v>46144.75402777778</v>
      </c>
      <c r="BK2445" s="4">
        <v>46106.59841435185</v>
      </c>
      <c r="BL2445" t="inlineStr">
        <is>
          <t>2592.0</t>
        </is>
      </c>
      <c r="BM2445" t="inlineStr">
        <is>
          <t>0.0</t>
        </is>
      </c>
      <c r="BN2445" t="inlineStr">
        <is>
          <t>PA Visit - Job Card</t>
        </is>
      </c>
      <c r="BO2445" s="4">
        <v>46141.46991898148</v>
      </c>
      <c r="BP2445">
        <v>168820</v>
      </c>
      <c r="BQ2445">
        <v>124033</v>
      </c>
      <c r="BR2445" t="inlineStr">
        <is>
          <t>Proforma</t>
        </is>
      </c>
      <c r="BS2445" t="inlineStr">
        <is>
          <t>Free Freelance Job</t>
        </is>
      </c>
      <c r="BT2445">
        <v>7542</v>
      </c>
      <c r="BU2445"/>
      <c r="BV2445">
        <v>2727085</v>
      </c>
      <c r="BW2445" t="inlineStr">
        <is>
          <t>Follow Up : Budget Concern</t>
        </is>
      </c>
      <c r="BX2445">
        <v>5</v>
      </c>
      <c r="BY2445">
        <v>2</v>
      </c>
      <c r="BZ2445" s="4">
        <v>46113.492476851854</v>
      </c>
      <c r="CA2445">
        <v>53</v>
      </c>
      <c r="CB2445">
        <v>22</v>
      </c>
      <c r="CC2445" s="4">
        <v>46141.470509259256</v>
      </c>
      <c r="CD2445" t="inlineStr">
        <is>
          <t>20</t>
        </is>
      </c>
      <c r="CE2445" t="inlineStr">
        <is>
          <t>0</t>
        </is>
      </c>
      <c r="CF2445" t="inlineStr">
        <is>
          <t>Q2-W04</t>
        </is>
      </c>
      <c r="CG2445" t="inlineStr">
        <is>
          <t>Q2-W04</t>
        </is>
      </c>
      <c r="CH2445" t="inlineStr">
        <is>
          <t>Q1-W13</t>
        </is>
      </c>
      <c r="CI2445"/>
      <c r="CJ2445" t="inlineStr">
        <is>
          <t>Paid</t>
        </is>
      </c>
      <c r="CK2445" t="inlineStr">
        <is>
          <t>Not Eligible</t>
        </is>
      </c>
      <c r="CL2445"/>
      <c r="CM2445"/>
    </row>
    <row r="2446" ht="25.5" customHeight="1">
      <c r="A2446" t="inlineStr">
        <is>
          <t>176980</t>
        </is>
      </c>
      <c r="B2446" s="2"/>
      <c r="C2446"/>
      <c r="D2446" s="3">
        <v>46121.48458333333</v>
      </c>
      <c r="E2446" t="inlineStr">
        <is>
          <t>Q2-W01</t>
        </is>
      </c>
      <c r="F2446" t="inlineStr">
        <is>
          <t>Xin Quan</t>
        </is>
      </c>
      <c r="G2446" t="inlineStr">
        <is>
          <t>Customer</t>
        </is>
      </c>
      <c r="H2446" s="2" t="str">
        <f>=HYPERLINK("https://upbox.ajobthing.my/customer/176980", "https://upbox.ajobthing.my/customer/176980")</f>
        <v>https://upbox.ajobthing.my/customer/176980</v>
      </c>
      <c r="I2446" t="inlineStr">
        <is>
          <t>Foroem Phytonutrical Sdn Bhd</t>
        </is>
      </c>
      <c r="J2446" t="inlineStr">
        <is>
          <t>Dolphin</t>
        </is>
      </c>
      <c r="K2446" t="inlineStr">
        <is>
          <t>Xin Quan</t>
        </is>
      </c>
      <c r="L2446" s="4"/>
      <c r="M2446" s="4">
        <v>46099.64938657408</v>
      </c>
      <c r="N2446"/>
      <c r="O2446">
        <v>3888</v>
      </c>
      <c r="P2446" s="4"/>
      <c r="Q2446" s="4">
        <v>46121.75508101852</v>
      </c>
      <c r="R2446"/>
      <c r="S2446">
        <v>3888</v>
      </c>
      <c r="T2446" s="4">
        <v>46121.75508101852</v>
      </c>
      <c r="U2446" s="4"/>
      <c r="V2446"/>
      <c r="W2446">
        <v>3888</v>
      </c>
      <c r="X2446"/>
      <c r="Y2446" t="inlineStr">
        <is>
          <t>Pending Appointment</t>
        </is>
      </c>
      <c r="Z2446" t="inlineStr">
        <is>
          <t>Hiring Now</t>
        </is>
      </c>
      <c r="AA2446">
        <v>6</v>
      </c>
      <c r="AB2446" t="inlineStr">
        <is>
          <t>No Appointment Made</t>
        </is>
      </c>
      <c r="AC2446"/>
      <c r="AD2446" t="inlineStr">
        <is>
          <t>6 Sales , Base in KL</t>
        </is>
      </c>
      <c r="AE2446"/>
      <c r="AF2446">
        <v>12000</v>
      </c>
      <c r="AG2446" s="4"/>
      <c r="AH2446" s="4"/>
      <c r="AI2446">
        <v>144000</v>
      </c>
      <c r="AJ2446">
        <v>1</v>
      </c>
      <c r="AK2446"/>
      <c r="AL2446"/>
      <c r="AM2446"/>
      <c r="AN2446"/>
      <c r="AO2446"/>
      <c r="AP2446"/>
      <c r="AQ2446">
        <v>6</v>
      </c>
      <c r="AR2446"/>
      <c r="AS2446" t="inlineStr">
        <is>
          <t>- Headcount: 6
- Hiring Job Details: 6 Sales, Base in KL
- Hiring Urgency: Hiring Now
- Number of outlets: 1
- Have recruiter team: Not specified
- Number of recruiter in company: Not specified
- Have ATS system: Not specified
- Have career website: Not specified
- Current hiring budget: RM12,000
- Whole year budget: RM144,000.00
- Whole year number of vacancies: 6
- Hiring frequency: Not specified
- External job portal: Not specified</t>
        </is>
      </c>
      <c r="AT2446">
        <v>75</v>
      </c>
      <c r="AU2446" t="inlineStr">
        <is>
          <t>0.75</t>
        </is>
      </c>
      <c r="AV2446" t="inlineStr">
        <is>
          <t>25</t>
        </is>
      </c>
      <c r="AW2446" t="inlineStr">
        <is>
          <t>0</t>
        </is>
      </c>
      <c r="AX2446" t="inlineStr">
        <is>
          <t>Not Qualified</t>
        </is>
      </c>
      <c r="AY2446" s="4"/>
      <c r="AZ2446"/>
      <c r="BA2446"/>
      <c r="BB2446"/>
      <c r="BC2446" t="inlineStr">
        <is>
          <t>Location</t>
        </is>
      </c>
      <c r="BD2446" s="4">
        <v>46135.74065972222</v>
      </c>
      <c r="BE2446" t="inlineStr">
        <is>
          <t>paid</t>
        </is>
      </c>
      <c r="BF2446" t="inlineStr">
        <is>
          <t>Q2-W01</t>
        </is>
      </c>
      <c r="BG2446" t="inlineStr">
        <is>
          <t>Reschedule</t>
        </is>
      </c>
      <c r="BH2446" t="inlineStr">
        <is>
          <t>Edward Hoo</t>
        </is>
      </c>
      <c r="BI2446" t="inlineStr">
        <is>
          <t>Manufacturing / Production</t>
        </is>
      </c>
      <c r="BJ2446" s="4">
        <v>46144.75167824074</v>
      </c>
      <c r="BK2446" s="4">
        <v>45384.36295138889</v>
      </c>
      <c r="BL2446" t="inlineStr">
        <is>
          <t>3888.0</t>
        </is>
      </c>
      <c r="BM2446" t="inlineStr">
        <is>
          <t>0.0</t>
        </is>
      </c>
      <c r="BN2446" t="inlineStr">
        <is>
          <t>View Company Page</t>
        </is>
      </c>
      <c r="BO2446" s="4">
        <v>46140.707962962966</v>
      </c>
      <c r="BP2446">
        <v>162979</v>
      </c>
      <c r="BQ2446">
        <v>7598</v>
      </c>
      <c r="BR2446" t="inlineStr">
        <is>
          <t>Manual (Paid)</t>
        </is>
      </c>
      <c r="BS2446"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Remark
- FREE 10 Candidate Searches</t>
        </is>
      </c>
      <c r="BT2446">
        <v>7598</v>
      </c>
      <c r="BU2446"/>
      <c r="BV2446">
        <v>2725121</v>
      </c>
      <c r="BW2446" t="inlineStr">
        <is>
          <t>Service / Technical : Help To Post Job</t>
        </is>
      </c>
      <c r="BX2446">
        <v>6</v>
      </c>
      <c r="BY2446">
        <v>2</v>
      </c>
      <c r="BZ2446" s="4">
        <v>46126.36684027778</v>
      </c>
      <c r="CA2446">
        <v>60</v>
      </c>
      <c r="CB2446">
        <v>59</v>
      </c>
      <c r="CC2446" s="4">
        <v>46139.38798611111</v>
      </c>
      <c r="CD2446" t="inlineStr">
        <is>
          <t>35</t>
        </is>
      </c>
      <c r="CE2446" t="inlineStr">
        <is>
          <t>0</t>
        </is>
      </c>
      <c r="CF2446" t="inlineStr">
        <is>
          <t>Q1-W11</t>
        </is>
      </c>
      <c r="CG2446" t="inlineStr">
        <is>
          <t>Q2-W01</t>
        </is>
      </c>
      <c r="CH2446" t="inlineStr">
        <is>
          <t>Q2-W01</t>
        </is>
      </c>
      <c r="CI2446"/>
      <c r="CJ2446" t="inlineStr">
        <is>
          <t>Paid</t>
        </is>
      </c>
      <c r="CK2446" t="inlineStr">
        <is>
          <t>Not Eligible</t>
        </is>
      </c>
      <c r="CL2446"/>
      <c r="CM2446"/>
    </row>
    <row r="2447" ht="25.5" customHeight="1">
      <c r="A2447" t="inlineStr">
        <is>
          <t>4256705</t>
        </is>
      </c>
      <c r="B2447" s="2"/>
      <c r="C2447"/>
      <c r="D2447" s="3">
        <v>46121.486550925925</v>
      </c>
      <c r="E2447" t="inlineStr">
        <is>
          <t>Q2-W01</t>
        </is>
      </c>
      <c r="F2447" t="inlineStr">
        <is>
          <t>Janice Yap</t>
        </is>
      </c>
      <c r="G2447" t="inlineStr">
        <is>
          <t>Lead</t>
        </is>
      </c>
      <c r="H2447" s="2" t="str">
        <f>=HYPERLINK("https://upbox.ajobthing.my/leads/4256705", "https://upbox.ajobthing.my/leads/4256705")</f>
        <v>https://upbox.ajobthing.my/leads/4256705</v>
      </c>
      <c r="I2447" t="inlineStr">
        <is>
          <t>Arif WKV Sdn. Bhd.</t>
        </is>
      </c>
      <c r="J2447" t="inlineStr">
        <is>
          <t>Dolphin</t>
        </is>
      </c>
      <c r="K2447" t="inlineStr">
        <is>
          <t>Janice</t>
        </is>
      </c>
      <c r="L2447" s="4"/>
      <c r="M2447" s="4">
        <v>46121.48386574074</v>
      </c>
      <c r="N2447"/>
      <c r="O2447">
        <v>3888</v>
      </c>
      <c r="P2447" s="4"/>
      <c r="Q2447" s="4"/>
      <c r="R2447"/>
      <c r="S2447"/>
      <c r="T2447" s="4"/>
      <c r="U2447" s="4"/>
      <c r="V2447"/>
      <c r="W2447"/>
      <c r="X2447"/>
      <c r="Y2447" t="inlineStr">
        <is>
          <t>Pending Appointment</t>
        </is>
      </c>
      <c r="Z2447" t="inlineStr">
        <is>
          <t>Hiring Now</t>
        </is>
      </c>
      <c r="AA2447">
        <v>1</v>
      </c>
      <c r="AB2447" t="inlineStr">
        <is>
          <t>No Appointment Made</t>
        </is>
      </c>
      <c r="AC2447"/>
      <c r="AD2447" t="inlineStr">
        <is>
          <t>1 draftman</t>
        </is>
      </c>
      <c r="AE2447"/>
      <c r="AF2447">
        <v>0</v>
      </c>
      <c r="AG2447" s="4"/>
      <c r="AH2447" s="4"/>
      <c r="AI2447">
        <v>0</v>
      </c>
      <c r="AJ2447"/>
      <c r="AK2447" t="inlineStr">
        <is>
          <t>No, I don't need at all</t>
        </is>
      </c>
      <c r="AL2447">
        <v>0</v>
      </c>
      <c r="AM2447" t="inlineStr">
        <is>
          <t>No, I don't need at all</t>
        </is>
      </c>
      <c r="AN2447"/>
      <c r="AO2447" t="inlineStr">
        <is>
          <t>No, I don't need at all</t>
        </is>
      </c>
      <c r="AP2447" t="inlineStr">
        <is>
          <t>Once a year (25%)</t>
        </is>
      </c>
      <c r="AQ2447">
        <v>1</v>
      </c>
      <c r="AR2447"/>
      <c r="AS2447" t="inlineStr">
        <is>
          <t>- Headcount: 1
- Hiring Job Details: 1 draftman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is>
      </c>
      <c r="AT2447">
        <v>110</v>
      </c>
      <c r="AU2447" t="inlineStr">
        <is>
          <t>1.10</t>
        </is>
      </c>
      <c r="AV2447" t="inlineStr">
        <is>
          <t>15</t>
        </is>
      </c>
      <c r="AW2447" t="inlineStr">
        <is>
          <t>0</t>
        </is>
      </c>
      <c r="AX2447" t="inlineStr">
        <is>
          <t>Not Qualified</t>
        </is>
      </c>
      <c r="AY2447" s="4"/>
      <c r="AZ2447"/>
      <c r="BA2447"/>
      <c r="BB2447"/>
      <c r="BC2447"/>
      <c r="BD2447" s="4"/>
      <c r="BE2447"/>
      <c r="BF2447"/>
      <c r="BG2447" t="inlineStr">
        <is>
          <t>Reschedule</t>
        </is>
      </c>
      <c r="BH2447" t="inlineStr">
        <is>
          <t>Yee Hang</t>
        </is>
      </c>
      <c r="BI2447"/>
      <c r="BJ2447" s="4">
        <v>46144.755740740744</v>
      </c>
      <c r="BK2447" s="4">
        <v>46119.69599537037</v>
      </c>
      <c r="BL2447" t="inlineStr">
        <is>
          <t>0.0</t>
        </is>
      </c>
      <c r="BM2447" t="inlineStr">
        <is>
          <t>1200.0</t>
        </is>
      </c>
      <c r="BN2447"/>
      <c r="BO2447" s="4"/>
      <c r="BP2447">
        <v>166149</v>
      </c>
      <c r="BQ2447"/>
      <c r="BR2447"/>
      <c r="BS2447"/>
      <c r="BT2447"/>
      <c r="BU2447"/>
      <c r="BV2447"/>
      <c r="BW2447"/>
      <c r="BX2447"/>
      <c r="BY2447"/>
      <c r="BZ2447" s="4"/>
      <c r="CA2447"/>
      <c r="CB2447"/>
      <c r="CC2447" s="4"/>
      <c r="CD2447" t="inlineStr">
        <is>
          <t>20</t>
        </is>
      </c>
      <c r="CE2447" t="inlineStr">
        <is>
          <t>0</t>
        </is>
      </c>
      <c r="CF2447" t="inlineStr">
        <is>
          <t>Q2-W01</t>
        </is>
      </c>
      <c r="CG2447"/>
      <c r="CH2447"/>
      <c r="CI2447"/>
      <c r="CJ2447" t="inlineStr">
        <is>
          <t>No Paid</t>
        </is>
      </c>
      <c r="CK2447" t="inlineStr">
        <is>
          <t>Not Eligible</t>
        </is>
      </c>
      <c r="CL2447"/>
      <c r="CM2447"/>
    </row>
    <row r="2448" ht="25.5" customHeight="1">
      <c r="A2448" t="inlineStr">
        <is>
          <t>4263251</t>
        </is>
      </c>
      <c r="B2448" s="2"/>
      <c r="C2448"/>
      <c r="D2448" s="3">
        <v>46121.488645833335</v>
      </c>
      <c r="E2448" t="inlineStr">
        <is>
          <t>Q2-W01</t>
        </is>
      </c>
      <c r="F2448" t="inlineStr">
        <is>
          <t>Jess</t>
        </is>
      </c>
      <c r="G2448" t="inlineStr">
        <is>
          <t>Lead</t>
        </is>
      </c>
      <c r="H2448" s="2" t="str">
        <f>=HYPERLINK("https://upbox.ajobthing.my/leads/4263251", "https://upbox.ajobthing.my/leads/4263251")</f>
        <v>https://upbox.ajobthing.my/leads/4263251</v>
      </c>
      <c r="I2448" t="inlineStr">
        <is>
          <t>The Only Dessert</t>
        </is>
      </c>
      <c r="J2448" t="inlineStr">
        <is>
          <t>Dolphin</t>
        </is>
      </c>
      <c r="K2448" t="inlineStr">
        <is>
          <t>Jess Lim</t>
        </is>
      </c>
      <c r="L2448" s="4"/>
      <c r="M2448" s="4">
        <v>46121.4890625</v>
      </c>
      <c r="N2448"/>
      <c r="O2448">
        <v>6048</v>
      </c>
      <c r="P2448" s="4"/>
      <c r="Q2448" s="4"/>
      <c r="R2448"/>
      <c r="S2448"/>
      <c r="T2448" s="4"/>
      <c r="U2448" s="4"/>
      <c r="V2448"/>
      <c r="W2448"/>
      <c r="X2448"/>
      <c r="Y2448" t="inlineStr">
        <is>
          <t>Pending Appointment</t>
        </is>
      </c>
      <c r="Z2448" t="inlineStr">
        <is>
          <t>Hiring Now</t>
        </is>
      </c>
      <c r="AA2448">
        <v>1</v>
      </c>
      <c r="AB2448" t="inlineStr">
        <is>
          <t>No Appointment Made</t>
        </is>
      </c>
      <c r="AC2448"/>
      <c r="AD2448" t="inlineStr">
        <is>
          <t>kitchen 1</t>
        </is>
      </c>
      <c r="AE2448"/>
      <c r="AF2448">
        <v>500</v>
      </c>
      <c r="AG2448" s="4"/>
      <c r="AH2448" s="4"/>
      <c r="AI2448"/>
      <c r="AJ2448">
        <v>1</v>
      </c>
      <c r="AK2448" t="inlineStr">
        <is>
          <t>No, I don't need at all</t>
        </is>
      </c>
      <c r="AL2448">
        <v>1</v>
      </c>
      <c r="AM2448" t="inlineStr">
        <is>
          <t>No, I don't need at all</t>
        </is>
      </c>
      <c r="AN2448"/>
      <c r="AO2448"/>
      <c r="AP2448" t="inlineStr">
        <is>
          <t>Once a year (25%)</t>
        </is>
      </c>
      <c r="AQ2448"/>
      <c r="AR2448" t="inlineStr">
        <is>
          <t>Free Job Portal</t>
        </is>
      </c>
      <c r="AS2448" t="inlineStr">
        <is>
          <t>- Headcount: 1
- Hiring Job Details: kitchen 1
- Hiring Urgency: Hiring Now
- Number of outlets: 1
- Have recruiter team: No, I don't need at all
- Number of recruiter in company: 1
- Have ATS system: No, I don't need at all
- Have career website: Not specified
- Current hiring budget: RM500.00
- Whole year budget: Not specified
- Whole year number of vacancies: Not specified
- Hiring frequency: Once a year (25%)
- External job portal: Free Job Portal</t>
        </is>
      </c>
      <c r="AT2448">
        <v>95</v>
      </c>
      <c r="AU2448" t="inlineStr">
        <is>
          <t>0.95</t>
        </is>
      </c>
      <c r="AV2448" t="inlineStr">
        <is>
          <t>15</t>
        </is>
      </c>
      <c r="AW2448" t="inlineStr">
        <is>
          <t>0</t>
        </is>
      </c>
      <c r="AX2448" t="inlineStr">
        <is>
          <t>Not Qualified</t>
        </is>
      </c>
      <c r="AY2448" s="4"/>
      <c r="AZ2448"/>
      <c r="BA2448"/>
      <c r="BB2448"/>
      <c r="BC2448"/>
      <c r="BD2448" s="4"/>
      <c r="BE2448"/>
      <c r="BF2448"/>
      <c r="BG2448" t="inlineStr">
        <is>
          <t>Reschedule</t>
        </is>
      </c>
      <c r="BH2448" t="inlineStr">
        <is>
          <t>Fauziah Maharan</t>
        </is>
      </c>
      <c r="BI2448"/>
      <c r="BJ2448" s="4">
        <v>46144.75576388889</v>
      </c>
      <c r="BK2448" s="4">
        <v>46121.36300925926</v>
      </c>
      <c r="BL2448" t="inlineStr">
        <is>
          <t>0.0</t>
        </is>
      </c>
      <c r="BM2448" t="inlineStr">
        <is>
          <t>0.0</t>
        </is>
      </c>
      <c r="BN2448"/>
      <c r="BO2448" s="4"/>
      <c r="BP2448">
        <v>166151</v>
      </c>
      <c r="BQ2448"/>
      <c r="BR2448"/>
      <c r="BS2448"/>
      <c r="BT2448"/>
      <c r="BU2448"/>
      <c r="BV2448"/>
      <c r="BW2448"/>
      <c r="BX2448"/>
      <c r="BY2448"/>
      <c r="BZ2448" s="4"/>
      <c r="CA2448"/>
      <c r="CB2448"/>
      <c r="CC2448" s="4"/>
      <c r="CD2448" t="inlineStr">
        <is>
          <t>20</t>
        </is>
      </c>
      <c r="CE2448" t="inlineStr">
        <is>
          <t>0</t>
        </is>
      </c>
      <c r="CF2448" t="inlineStr">
        <is>
          <t>Q2-W01</t>
        </is>
      </c>
      <c r="CG2448"/>
      <c r="CH2448"/>
      <c r="CI2448"/>
      <c r="CJ2448" t="inlineStr">
        <is>
          <t>No Paid</t>
        </is>
      </c>
      <c r="CK2448" t="inlineStr">
        <is>
          <t>Not Eligible</t>
        </is>
      </c>
      <c r="CL2448"/>
      <c r="CM2448"/>
    </row>
    <row r="2449" ht="25.5" customHeight="1">
      <c r="A2449" t="inlineStr">
        <is>
          <t>4264432</t>
        </is>
      </c>
      <c r="B2449" s="2"/>
      <c r="C2449"/>
      <c r="D2449" s="3">
        <v>46121.531689814816</v>
      </c>
      <c r="E2449" t="inlineStr">
        <is>
          <t>Q2-W01</t>
        </is>
      </c>
      <c r="F2449" t="inlineStr">
        <is>
          <t>Josh</t>
        </is>
      </c>
      <c r="G2449" t="inlineStr">
        <is>
          <t>Lead</t>
        </is>
      </c>
      <c r="H2449" s="2" t="str">
        <f>=HYPERLINK("https://upbox.ajobthing.my/leads/4264432", "https://upbox.ajobthing.my/leads/4264432")</f>
        <v>https://upbox.ajobthing.my/leads/4264432</v>
      </c>
      <c r="I2449" t="inlineStr">
        <is>
          <t>SECURIFORCE LOGISTICS</t>
        </is>
      </c>
      <c r="J2449" t="inlineStr">
        <is>
          <t>Dolphin</t>
        </is>
      </c>
      <c r="K2449" t="inlineStr">
        <is>
          <t>Josh</t>
        </is>
      </c>
      <c r="L2449" s="4"/>
      <c r="M2449" s="4">
        <v>46121.53226851852</v>
      </c>
      <c r="N2449"/>
      <c r="O2449">
        <v>4752</v>
      </c>
      <c r="P2449" s="4"/>
      <c r="Q2449" s="4"/>
      <c r="R2449"/>
      <c r="S2449"/>
      <c r="T2449" s="4"/>
      <c r="U2449" s="4"/>
      <c r="V2449"/>
      <c r="W2449"/>
      <c r="X2449"/>
      <c r="Y2449" t="inlineStr">
        <is>
          <t>Pending Appointment</t>
        </is>
      </c>
      <c r="Z2449" t="inlineStr">
        <is>
          <t>Hiring Now</t>
        </is>
      </c>
      <c r="AA2449">
        <v>1</v>
      </c>
      <c r="AB2449" t="inlineStr">
        <is>
          <t>No Appointment Made</t>
        </is>
      </c>
      <c r="AC2449"/>
      <c r="AD2449" t="inlineStr">
        <is>
          <t xml:space="preserve">1 forklift driver </t>
        </is>
      </c>
      <c r="AE2449"/>
      <c r="AF2449">
        <v>1000</v>
      </c>
      <c r="AG2449" s="4"/>
      <c r="AH2449" s="4"/>
      <c r="AI2449"/>
      <c r="AJ2449"/>
      <c r="AK2449" t="inlineStr">
        <is>
          <t>Yes, I have</t>
        </is>
      </c>
      <c r="AL2449">
        <v>1</v>
      </c>
      <c r="AM2449"/>
      <c r="AN2449"/>
      <c r="AO2449"/>
      <c r="AP2449" t="inlineStr">
        <is>
          <t>Once a year (25%)</t>
        </is>
      </c>
      <c r="AQ2449"/>
      <c r="AR2449"/>
      <c r="AS2449" t="inlineStr">
        <is>
          <t>- Headcount: 1
- Hiring Job Details: 1 forklift driver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is>
      </c>
      <c r="AT2449">
        <v>95</v>
      </c>
      <c r="AU2449" t="inlineStr">
        <is>
          <t>0.95</t>
        </is>
      </c>
      <c r="AV2449" t="inlineStr">
        <is>
          <t>15</t>
        </is>
      </c>
      <c r="AW2449" t="inlineStr">
        <is>
          <t>0</t>
        </is>
      </c>
      <c r="AX2449" t="inlineStr">
        <is>
          <t>Not Qualified</t>
        </is>
      </c>
      <c r="AY2449" s="4"/>
      <c r="AZ2449"/>
      <c r="BA2449"/>
      <c r="BB2449"/>
      <c r="BC2449"/>
      <c r="BD2449" s="4"/>
      <c r="BE2449"/>
      <c r="BF2449"/>
      <c r="BG2449" t="inlineStr">
        <is>
          <t>Reschedule</t>
        </is>
      </c>
      <c r="BH2449" t="inlineStr">
        <is>
          <t>Fauziah Maharan</t>
        </is>
      </c>
      <c r="BI2449"/>
      <c r="BJ2449" s="4">
        <v>46144.75578703704</v>
      </c>
      <c r="BK2449" s="4">
        <v>46121.51222222222</v>
      </c>
      <c r="BL2449" t="inlineStr">
        <is>
          <t>0.0</t>
        </is>
      </c>
      <c r="BM2449" t="inlineStr">
        <is>
          <t>8400.0</t>
        </is>
      </c>
      <c r="BN2449"/>
      <c r="BO2449" s="4"/>
      <c r="BP2449">
        <v>166175</v>
      </c>
      <c r="BQ2449"/>
      <c r="BR2449"/>
      <c r="BS2449"/>
      <c r="BT2449"/>
      <c r="BU2449"/>
      <c r="BV2449"/>
      <c r="BW2449"/>
      <c r="BX2449"/>
      <c r="BY2449"/>
      <c r="BZ2449" s="4"/>
      <c r="CA2449"/>
      <c r="CB2449"/>
      <c r="CC2449" s="4"/>
      <c r="CD2449" t="inlineStr">
        <is>
          <t>20</t>
        </is>
      </c>
      <c r="CE2449" t="inlineStr">
        <is>
          <t>0</t>
        </is>
      </c>
      <c r="CF2449" t="inlineStr">
        <is>
          <t>Q2-W01</t>
        </is>
      </c>
      <c r="CG2449"/>
      <c r="CH2449"/>
      <c r="CI2449"/>
      <c r="CJ2449" t="inlineStr">
        <is>
          <t>No Paid</t>
        </is>
      </c>
      <c r="CK2449" t="inlineStr">
        <is>
          <t>Not Eligible</t>
        </is>
      </c>
      <c r="CL2449"/>
      <c r="CM2449"/>
    </row>
    <row r="2450" ht="25.5" customHeight="1">
      <c r="A2450" t="inlineStr">
        <is>
          <t>203045</t>
        </is>
      </c>
      <c r="B2450" s="2"/>
      <c r="C2450"/>
      <c r="D2450" s="3">
        <v>46121.561527777776</v>
      </c>
      <c r="E2450" t="inlineStr">
        <is>
          <t>Q2-W01</t>
        </is>
      </c>
      <c r="F2450" t="inlineStr">
        <is>
          <t>Keegan</t>
        </is>
      </c>
      <c r="G2450" t="inlineStr">
        <is>
          <t>Customer</t>
        </is>
      </c>
      <c r="H2450" s="2" t="str">
        <f>=HYPERLINK("https://upbox.ajobthing.my/customer/203045", "https://upbox.ajobthing.my/customer/203045")</f>
        <v>https://upbox.ajobthing.my/customer/203045</v>
      </c>
      <c r="I2450" t="inlineStr">
        <is>
          <t>A.r.m. Century</t>
        </is>
      </c>
      <c r="J2450" t="inlineStr">
        <is>
          <t>Dolphin</t>
        </is>
      </c>
      <c r="K2450" t="inlineStr">
        <is>
          <t>Keegan</t>
        </is>
      </c>
      <c r="L2450" s="4"/>
      <c r="M2450" s="4">
        <v>46121.56178240741</v>
      </c>
      <c r="N2450"/>
      <c r="O2450">
        <v>6048</v>
      </c>
      <c r="P2450" s="4"/>
      <c r="Q2450" s="4">
        <v>46127.45386574074</v>
      </c>
      <c r="R2450"/>
      <c r="S2450">
        <v>0</v>
      </c>
      <c r="T2450" s="4"/>
      <c r="U2450" s="4"/>
      <c r="V2450"/>
      <c r="W2450"/>
      <c r="X2450"/>
      <c r="Y2450" t="inlineStr">
        <is>
          <t>Pending Appointment</t>
        </is>
      </c>
      <c r="Z2450" t="inlineStr">
        <is>
          <t>Hiring Now</t>
        </is>
      </c>
      <c r="AA2450">
        <v>2</v>
      </c>
      <c r="AB2450" t="inlineStr">
        <is>
          <t>No Appointment Made</t>
        </is>
      </c>
      <c r="AC2450"/>
      <c r="AD2450" t="inlineStr">
        <is>
          <t xml:space="preserve">1. Sales 
2. Admin </t>
        </is>
      </c>
      <c r="AE2450"/>
      <c r="AF2450"/>
      <c r="AG2450" s="4"/>
      <c r="AH2450" s="4"/>
      <c r="AI2450"/>
      <c r="AJ2450">
        <v>1</v>
      </c>
      <c r="AK2450" t="inlineStr">
        <is>
          <t>No, I don't need at all</t>
        </is>
      </c>
      <c r="AL2450">
        <v>0</v>
      </c>
      <c r="AM2450" t="inlineStr">
        <is>
          <t>No, I don't need at all</t>
        </is>
      </c>
      <c r="AN2450"/>
      <c r="AO2450" t="inlineStr">
        <is>
          <t>No, I don't need at all</t>
        </is>
      </c>
      <c r="AP2450" t="inlineStr">
        <is>
          <t>Once per quarter (75%)</t>
        </is>
      </c>
      <c r="AQ2450"/>
      <c r="AR2450" t="inlineStr">
        <is>
          <t>Did not use any job portal</t>
        </is>
      </c>
      <c r="AS2450" t="inlineStr">
        <is>
          <t>- Headcount: 2
- Hiring Job Details: 1. Sales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450">
        <v>75</v>
      </c>
      <c r="AU2450" t="inlineStr">
        <is>
          <t>0.75</t>
        </is>
      </c>
      <c r="AV2450" t="inlineStr">
        <is>
          <t>5</t>
        </is>
      </c>
      <c r="AW2450" t="inlineStr">
        <is>
          <t>0</t>
        </is>
      </c>
      <c r="AX2450" t="inlineStr">
        <is>
          <t>Not Qualified</t>
        </is>
      </c>
      <c r="AY2450" s="4"/>
      <c r="AZ2450"/>
      <c r="BA2450"/>
      <c r="BB2450"/>
      <c r="BC2450" t="inlineStr">
        <is>
          <t>Hiring plan on hold</t>
        </is>
      </c>
      <c r="BD2450" s="4">
        <v>46133.61785879629</v>
      </c>
      <c r="BE2450" t="inlineStr">
        <is>
          <t>paid</t>
        </is>
      </c>
      <c r="BF2450"/>
      <c r="BG2450" t="inlineStr">
        <is>
          <t>Reschedule</t>
        </is>
      </c>
      <c r="BH2450" t="inlineStr">
        <is>
          <t>Edward Hoo</t>
        </is>
      </c>
      <c r="BI2450"/>
      <c r="BJ2450" s="4">
        <v>46144.75418981481</v>
      </c>
      <c r="BK2450" s="4">
        <v>46121.55094907407</v>
      </c>
      <c r="BL2450" t="inlineStr">
        <is>
          <t>0.0</t>
        </is>
      </c>
      <c r="BM2450" t="inlineStr">
        <is>
          <t>0.0</t>
        </is>
      </c>
      <c r="BN2450" t="inlineStr">
        <is>
          <t>View Company Page</t>
        </is>
      </c>
      <c r="BO2450" s="4">
        <v>46127.4546875</v>
      </c>
      <c r="BP2450">
        <v>166178</v>
      </c>
      <c r="BQ2450">
        <v>122414</v>
      </c>
      <c r="BR2450" t="inlineStr">
        <is>
          <t>Proforma</t>
        </is>
      </c>
      <c r="BS2450" t="inlineStr">
        <is>
          <t>Free High Pay Job</t>
        </is>
      </c>
      <c r="BT2450"/>
      <c r="BU2450"/>
      <c r="BV2450">
        <v>2718362</v>
      </c>
      <c r="BW2450" t="inlineStr">
        <is>
          <t>Follow Up : Lost - Free Portal</t>
        </is>
      </c>
      <c r="BX2450"/>
      <c r="BY2450"/>
      <c r="BZ2450" s="4"/>
      <c r="CA2450"/>
      <c r="CB2450"/>
      <c r="CC2450" s="4"/>
      <c r="CD2450" t="inlineStr">
        <is>
          <t>5</t>
        </is>
      </c>
      <c r="CE2450" t="inlineStr">
        <is>
          <t>0</t>
        </is>
      </c>
      <c r="CF2450" t="inlineStr">
        <is>
          <t>Q2-W01</t>
        </is>
      </c>
      <c r="CG2450" t="inlineStr">
        <is>
          <t>Q2-W02</t>
        </is>
      </c>
      <c r="CH2450"/>
      <c r="CI2450"/>
      <c r="CJ2450" t="inlineStr">
        <is>
          <t>No Paid</t>
        </is>
      </c>
      <c r="CK2450" t="inlineStr">
        <is>
          <t>Not Eligible</t>
        </is>
      </c>
      <c r="CL2450"/>
      <c r="CM2450"/>
    </row>
    <row r="2451" ht="25.5" customHeight="1">
      <c r="A2451" t="inlineStr">
        <is>
          <t>202398</t>
        </is>
      </c>
      <c r="B2451" s="2"/>
      <c r="C2451"/>
      <c r="D2451" s="3">
        <v>46121.564409722225</v>
      </c>
      <c r="E2451" t="inlineStr">
        <is>
          <t>Q2-W01</t>
        </is>
      </c>
      <c r="F2451" t="inlineStr">
        <is>
          <t>Eugene</t>
        </is>
      </c>
      <c r="G2451" t="inlineStr">
        <is>
          <t>Customer</t>
        </is>
      </c>
      <c r="H2451" s="2" t="str">
        <f>=HYPERLINK("https://upbox.ajobthing.my/customer/202398", "https://upbox.ajobthing.my/customer/202398")</f>
        <v>https://upbox.ajobthing.my/customer/202398</v>
      </c>
      <c r="I2451" t="inlineStr">
        <is>
          <t>Build Ant Design Sdn. Bhd.</t>
        </is>
      </c>
      <c r="J2451" t="inlineStr">
        <is>
          <t>Dolphin</t>
        </is>
      </c>
      <c r="K2451" t="inlineStr">
        <is>
          <t>Eugene</t>
        </is>
      </c>
      <c r="L2451" s="4"/>
      <c r="M2451" s="4">
        <v>46112.58002314815</v>
      </c>
      <c r="N2451"/>
      <c r="O2451">
        <v>1296</v>
      </c>
      <c r="P2451" s="4"/>
      <c r="Q2451" s="4">
        <v>46121.62552083333</v>
      </c>
      <c r="R2451"/>
      <c r="S2451">
        <v>1296</v>
      </c>
      <c r="T2451" s="4">
        <v>46121.62552083333</v>
      </c>
      <c r="U2451" s="4"/>
      <c r="V2451"/>
      <c r="W2451">
        <v>1296</v>
      </c>
      <c r="X2451"/>
      <c r="Y2451" t="inlineStr">
        <is>
          <t>Pending Appointment</t>
        </is>
      </c>
      <c r="Z2451" t="inlineStr">
        <is>
          <t>Hiring Now</t>
        </is>
      </c>
      <c r="AA2451">
        <v>1</v>
      </c>
      <c r="AB2451" t="inlineStr">
        <is>
          <t>No Appointment Made</t>
        </is>
      </c>
      <c r="AC2451"/>
      <c r="AD2451" t="inlineStr">
        <is>
          <t>1 positions, based in Penang</t>
        </is>
      </c>
      <c r="AE2451"/>
      <c r="AF2451">
        <v>1200</v>
      </c>
      <c r="AG2451" s="4"/>
      <c r="AH2451" s="4"/>
      <c r="AI2451">
        <v>1200</v>
      </c>
      <c r="AJ2451">
        <v>1</v>
      </c>
      <c r="AK2451" t="inlineStr">
        <is>
          <t>No, I don't need at all</t>
        </is>
      </c>
      <c r="AL2451">
        <v>1</v>
      </c>
      <c r="AM2451" t="inlineStr">
        <is>
          <t>No, I don't need at all</t>
        </is>
      </c>
      <c r="AN2451"/>
      <c r="AO2451" t="inlineStr">
        <is>
          <t>No, I don't need at all</t>
        </is>
      </c>
      <c r="AP2451" t="inlineStr">
        <is>
          <t>Once per quarter (75%)</t>
        </is>
      </c>
      <c r="AQ2451">
        <v>3</v>
      </c>
      <c r="AR2451" t="inlineStr">
        <is>
          <t>Free Job Portal</t>
        </is>
      </c>
      <c r="AS2451" t="inlineStr">
        <is>
          <t>- Headcount: 1
- Hiring Job Details: 1 position, based in Penang
- Hiring Urgency: Hiring Now
- Number of outlets: 1
- Have recruiter team: No, I don't need at all
- Number of recruiter in company: 1
- Have ATS system: No, I don't need at all
- Have career website: No, I don't need at all
- Current hiring budget: RM1,200
- Whole year budget: RM1,200.00
- Whole year number of vacancies: 3
- Hiring frequency: Once per quarter (75%)
- External job portal: Free Job Portal</t>
        </is>
      </c>
      <c r="AT2451">
        <v>85</v>
      </c>
      <c r="AU2451" t="inlineStr">
        <is>
          <t>0.85</t>
        </is>
      </c>
      <c r="AV2451" t="inlineStr">
        <is>
          <t>15</t>
        </is>
      </c>
      <c r="AW2451" t="inlineStr">
        <is>
          <t>0</t>
        </is>
      </c>
      <c r="AX2451" t="inlineStr">
        <is>
          <t>Not Qualified</t>
        </is>
      </c>
      <c r="AY2451" s="4"/>
      <c r="AZ2451"/>
      <c r="BA2451"/>
      <c r="BB2451"/>
      <c r="BC2451" t="inlineStr">
        <is>
          <t>boost job</t>
        </is>
      </c>
      <c r="BD2451" s="4">
        <v>46135.43336805556</v>
      </c>
      <c r="BE2451" t="inlineStr">
        <is>
          <t>paid</t>
        </is>
      </c>
      <c r="BF2451" t="inlineStr">
        <is>
          <t>Q2-W01</t>
        </is>
      </c>
      <c r="BG2451" t="inlineStr">
        <is>
          <t>Reschedule</t>
        </is>
      </c>
      <c r="BH2451" t="inlineStr">
        <is>
          <t>Edward Hoo</t>
        </is>
      </c>
      <c r="BI2451" t="inlineStr">
        <is>
          <t>Architecture / Interior Design</t>
        </is>
      </c>
      <c r="BJ2451" s="4">
        <v>46144.75402777778</v>
      </c>
      <c r="BK2451" s="4">
        <v>46106.426087962966</v>
      </c>
      <c r="BL2451" t="inlineStr">
        <is>
          <t>1296.0</t>
        </is>
      </c>
      <c r="BM2451" t="inlineStr">
        <is>
          <t>0.0</t>
        </is>
      </c>
      <c r="BN2451" t="inlineStr">
        <is>
          <t>User Visit(Logged In)</t>
        </is>
      </c>
      <c r="BO2451" s="4">
        <v>46144.63328703704</v>
      </c>
      <c r="BP2451">
        <v>164476</v>
      </c>
      <c r="BQ2451">
        <v>92517</v>
      </c>
      <c r="BR2451" t="inlineStr">
        <is>
          <t>Online</t>
        </is>
      </c>
      <c r="BS2451"/>
      <c r="BT2451">
        <v>92517</v>
      </c>
      <c r="BU2451"/>
      <c r="BV2451">
        <v>2722462</v>
      </c>
      <c r="BW2451" t="inlineStr">
        <is>
          <t>Service / Technical : Job Complaint - Report To Marketing</t>
        </is>
      </c>
      <c r="BX2451">
        <v>1</v>
      </c>
      <c r="BY2451">
        <v>0</v>
      </c>
      <c r="BZ2451" s="4">
        <v>46127.46094907408</v>
      </c>
      <c r="CA2451">
        <v>23</v>
      </c>
      <c r="CB2451">
        <v>21</v>
      </c>
      <c r="CC2451" s="4">
        <v>46140.45755787037</v>
      </c>
      <c r="CD2451" t="inlineStr">
        <is>
          <t>20</t>
        </is>
      </c>
      <c r="CE2451" t="inlineStr">
        <is>
          <t>0</t>
        </is>
      </c>
      <c r="CF2451" t="inlineStr">
        <is>
          <t>Q1-W13</t>
        </is>
      </c>
      <c r="CG2451" t="inlineStr">
        <is>
          <t>Q2-W01</t>
        </is>
      </c>
      <c r="CH2451" t="inlineStr">
        <is>
          <t>Q2-W01</t>
        </is>
      </c>
      <c r="CI2451"/>
      <c r="CJ2451" t="inlineStr">
        <is>
          <t>Paid</t>
        </is>
      </c>
      <c r="CK2451" t="inlineStr">
        <is>
          <t>Not Eligible</t>
        </is>
      </c>
      <c r="CL2451"/>
      <c r="CM2451"/>
    </row>
    <row r="2452" ht="25.5" customHeight="1">
      <c r="A2452" t="inlineStr">
        <is>
          <t>192355</t>
        </is>
      </c>
      <c r="B2452" s="2"/>
      <c r="C2452"/>
      <c r="D2452" s="3">
        <v>46121.570868055554</v>
      </c>
      <c r="E2452" t="inlineStr">
        <is>
          <t>Q2-W01</t>
        </is>
      </c>
      <c r="F2452" t="inlineStr">
        <is>
          <t>Xin Quan</t>
        </is>
      </c>
      <c r="G2452" t="inlineStr">
        <is>
          <t>Customer</t>
        </is>
      </c>
      <c r="H2452" s="2" t="str">
        <f>=HYPERLINK("https://upbox.ajobthing.my/customer/192355", "https://upbox.ajobthing.my/customer/192355")</f>
        <v>https://upbox.ajobthing.my/customer/192355</v>
      </c>
      <c r="I2452" t="inlineStr">
        <is>
          <t>JA Auto Car Dealer</t>
        </is>
      </c>
      <c r="J2452" t="inlineStr">
        <is>
          <t>Dolphin</t>
        </is>
      </c>
      <c r="K2452" t="inlineStr">
        <is>
          <t>Xin Quan</t>
        </is>
      </c>
      <c r="L2452" s="4"/>
      <c r="M2452" s="4">
        <v>46121.57267361111</v>
      </c>
      <c r="N2452"/>
      <c r="O2452">
        <v>3888</v>
      </c>
      <c r="P2452" s="4"/>
      <c r="Q2452" s="4">
        <v>45818.42920138889</v>
      </c>
      <c r="R2452"/>
      <c r="S2452">
        <v>1080</v>
      </c>
      <c r="T2452" s="4">
        <v>45818.42920138889</v>
      </c>
      <c r="U2452" s="4"/>
      <c r="V2452"/>
      <c r="W2452">
        <v>1080</v>
      </c>
      <c r="X2452"/>
      <c r="Y2452" t="inlineStr">
        <is>
          <t>Pending Appointment</t>
        </is>
      </c>
      <c r="Z2452" t="inlineStr">
        <is>
          <t>Hiring Now</t>
        </is>
      </c>
      <c r="AA2452">
        <v>1</v>
      </c>
      <c r="AB2452" t="inlineStr">
        <is>
          <t>No Appointment Made</t>
        </is>
      </c>
      <c r="AC2452"/>
      <c r="AD2452" t="inlineStr">
        <is>
          <t>1 Salesman , Base in KL</t>
        </is>
      </c>
      <c r="AE2452"/>
      <c r="AF2452">
        <v>2000</v>
      </c>
      <c r="AG2452" s="4"/>
      <c r="AH2452" s="4"/>
      <c r="AI2452">
        <v>24000</v>
      </c>
      <c r="AJ2452">
        <v>1</v>
      </c>
      <c r="AK2452"/>
      <c r="AL2452"/>
      <c r="AM2452"/>
      <c r="AN2452"/>
      <c r="AO2452"/>
      <c r="AP2452"/>
      <c r="AQ2452">
        <v>1</v>
      </c>
      <c r="AR2452"/>
      <c r="AS2452" t="inlineStr">
        <is>
          <t>- Headcount: 1
- Hiring Job Details: 1 Salesman,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2452">
        <v>100</v>
      </c>
      <c r="AU2452" t="inlineStr">
        <is>
          <t>1.00</t>
        </is>
      </c>
      <c r="AV2452" t="inlineStr">
        <is>
          <t>15</t>
        </is>
      </c>
      <c r="AW2452" t="inlineStr">
        <is>
          <t>0</t>
        </is>
      </c>
      <c r="AX2452" t="inlineStr">
        <is>
          <t>Not Qualified</t>
        </is>
      </c>
      <c r="AY2452" s="4"/>
      <c r="AZ2452"/>
      <c r="BA2452"/>
      <c r="BB2452"/>
      <c r="BC2452" t="inlineStr">
        <is>
          <t>NA</t>
        </is>
      </c>
      <c r="BD2452" s="4">
        <v>46132.60890046296</v>
      </c>
      <c r="BE2452" t="inlineStr">
        <is>
          <t>paid</t>
        </is>
      </c>
      <c r="BF2452"/>
      <c r="BG2452" t="inlineStr">
        <is>
          <t>Reschedule</t>
        </is>
      </c>
      <c r="BH2452" t="inlineStr">
        <is>
          <t>Edward Hoo</t>
        </is>
      </c>
      <c r="BI2452"/>
      <c r="BJ2452" s="4">
        <v>46144.75256944444</v>
      </c>
      <c r="BK2452" s="4">
        <v>45818.41782407407</v>
      </c>
      <c r="BL2452" t="inlineStr">
        <is>
          <t>1080.0</t>
        </is>
      </c>
      <c r="BM2452" t="inlineStr">
        <is>
          <t>0.0</t>
        </is>
      </c>
      <c r="BN2452" t="inlineStr">
        <is>
          <t>View Create Job Page</t>
        </is>
      </c>
      <c r="BO2452" s="4">
        <v>45986.5103125</v>
      </c>
      <c r="BP2452">
        <v>166182</v>
      </c>
      <c r="BQ2452">
        <v>79955</v>
      </c>
      <c r="BR2452" t="inlineStr">
        <is>
          <t>Online</t>
        </is>
      </c>
      <c r="BS2452"/>
      <c r="BT2452">
        <v>79955</v>
      </c>
      <c r="BU2452"/>
      <c r="BV2452">
        <v>2715792</v>
      </c>
      <c r="BW2452" t="inlineStr">
        <is>
          <t>No Answer : 3 Days No Response</t>
        </is>
      </c>
      <c r="BX2452"/>
      <c r="BY2452"/>
      <c r="BZ2452" s="4"/>
      <c r="CA2452"/>
      <c r="CB2452"/>
      <c r="CC2452" s="4"/>
      <c r="CD2452" t="inlineStr">
        <is>
          <t>20</t>
        </is>
      </c>
      <c r="CE2452" t="inlineStr">
        <is>
          <t>0</t>
        </is>
      </c>
      <c r="CF2452" t="inlineStr">
        <is>
          <t>Q2-W01</t>
        </is>
      </c>
      <c r="CG2452"/>
      <c r="CH2452"/>
      <c r="CI2452"/>
      <c r="CJ2452" t="inlineStr">
        <is>
          <t>Paid</t>
        </is>
      </c>
      <c r="CK2452" t="inlineStr">
        <is>
          <t>Not Eligible</t>
        </is>
      </c>
      <c r="CL2452"/>
      <c r="CM2452"/>
    </row>
    <row r="2453" ht="25.5" customHeight="1">
      <c r="A2453" t="inlineStr">
        <is>
          <t>44756</t>
        </is>
      </c>
      <c r="B2453" s="2"/>
      <c r="C2453"/>
      <c r="D2453" s="3">
        <v>46121.572060185186</v>
      </c>
      <c r="E2453" t="inlineStr">
        <is>
          <t>Q2-W01</t>
        </is>
      </c>
      <c r="F2453" t="inlineStr">
        <is>
          <t>Eugene</t>
        </is>
      </c>
      <c r="G2453" t="inlineStr">
        <is>
          <t>Customer</t>
        </is>
      </c>
      <c r="H2453" s="2" t="str">
        <f>=HYPERLINK("https://upbox.ajobthing.my/customer/44756", "https://upbox.ajobthing.my/customer/44756")</f>
        <v>https://upbox.ajobthing.my/customer/44756</v>
      </c>
      <c r="I2453" t="inlineStr">
        <is>
          <t>DirectD Retail &amp; Wholesale Sdn Bhd</t>
        </is>
      </c>
      <c r="J2453" t="inlineStr">
        <is>
          <t>Dolphin</t>
        </is>
      </c>
      <c r="K2453" t="inlineStr">
        <is>
          <t>Eugene</t>
        </is>
      </c>
      <c r="L2453" s="4"/>
      <c r="M2453" s="4">
        <v>46121.5753587963</v>
      </c>
      <c r="N2453"/>
      <c r="O2453">
        <v>11448</v>
      </c>
      <c r="P2453" s="4"/>
      <c r="Q2453" s="4">
        <v>45378.196701388886</v>
      </c>
      <c r="R2453"/>
      <c r="S2453">
        <v>6156</v>
      </c>
      <c r="T2453" s="4">
        <v>43098.744733796295</v>
      </c>
      <c r="U2453" s="4"/>
      <c r="V2453"/>
      <c r="W2453">
        <v>1272</v>
      </c>
      <c r="X2453"/>
      <c r="Y2453" t="inlineStr">
        <is>
          <t>Pending Appointment</t>
        </is>
      </c>
      <c r="Z2453" t="inlineStr">
        <is>
          <t>Hiring Now</t>
        </is>
      </c>
      <c r="AA2453">
        <v>3</v>
      </c>
      <c r="AB2453" t="inlineStr">
        <is>
          <t>No Appointment Made</t>
        </is>
      </c>
      <c r="AC2453"/>
      <c r="AD2453" t="inlineStr">
        <is>
          <t>1 brand PIC, 1 senior HR, 1 Personal driver, based in KL</t>
        </is>
      </c>
      <c r="AE2453"/>
      <c r="AF2453">
        <v>5600</v>
      </c>
      <c r="AG2453" s="4"/>
      <c r="AH2453" s="4"/>
      <c r="AI2453">
        <v>5600</v>
      </c>
      <c r="AJ2453">
        <v>5</v>
      </c>
      <c r="AK2453" t="inlineStr">
        <is>
          <t>No, but I want in future</t>
        </is>
      </c>
      <c r="AL2453">
        <v>1</v>
      </c>
      <c r="AM2453" t="inlineStr">
        <is>
          <t>No, I don't need at all</t>
        </is>
      </c>
      <c r="AN2453"/>
      <c r="AO2453" t="inlineStr">
        <is>
          <t>No, I don't need at all</t>
        </is>
      </c>
      <c r="AP2453" t="inlineStr">
        <is>
          <t>Once per quarter (75%)</t>
        </is>
      </c>
      <c r="AQ2453">
        <v>12</v>
      </c>
      <c r="AR2453" t="inlineStr">
        <is>
          <t>Jobstreet, Indeed (Paid)</t>
        </is>
      </c>
      <c r="AS2453" t="inlineStr">
        <is>
          <t>- Headcount: 3
- Hiring Job Details: 1 brand PIC, 1 senior HR, 1 Personal driver, based in KL
- Hiring Urgency: Hiring Now
- Number of outlets: 5
- Have recruiter team: No, but want in future
- Number of recruiter in company: 1
- Have ATS system: No, I don't need at all
- Have career website: No, I don't need at all
- Current hiring budget: RM5,600
- Whole year budget: RM5,600.00
- Whole year number of vacancies: 12
- Hiring frequency: Once per quarter (75%)
- External job portal: Jobstreet,Indeed (Paid)</t>
        </is>
      </c>
      <c r="AT2453">
        <v>105</v>
      </c>
      <c r="AU2453" t="inlineStr">
        <is>
          <t>1.05</t>
        </is>
      </c>
      <c r="AV2453" t="inlineStr">
        <is>
          <t>15</t>
        </is>
      </c>
      <c r="AW2453" t="inlineStr">
        <is>
          <t>0</t>
        </is>
      </c>
      <c r="AX2453" t="inlineStr">
        <is>
          <t>Not Qualified</t>
        </is>
      </c>
      <c r="AY2453" s="4"/>
      <c r="AZ2453"/>
      <c r="BA2453"/>
      <c r="BB2453"/>
      <c r="BC2453" t="inlineStr">
        <is>
          <t>no outcome... // 0356211355</t>
        </is>
      </c>
      <c r="BD2453" s="4">
        <v>46140.625555555554</v>
      </c>
      <c r="BE2453" t="inlineStr">
        <is>
          <t>cancelled</t>
        </is>
      </c>
      <c r="BF2453"/>
      <c r="BG2453" t="inlineStr">
        <is>
          <t>Reschedule</t>
        </is>
      </c>
      <c r="BH2453" t="inlineStr">
        <is>
          <t>Edward Hoo</t>
        </is>
      </c>
      <c r="BI2453" t="inlineStr">
        <is>
          <t>Retail / Merchandise</t>
        </is>
      </c>
      <c r="BJ2453" s="4">
        <v>46144.7559837963</v>
      </c>
      <c r="BK2453" s="4">
        <v>43089.64533564815</v>
      </c>
      <c r="BL2453" t="inlineStr">
        <is>
          <t>0.0</t>
        </is>
      </c>
      <c r="BM2453" t="inlineStr">
        <is>
          <t>1800.0</t>
        </is>
      </c>
      <c r="BN2453" t="inlineStr">
        <is>
          <t>User Visit(Logged In)</t>
        </is>
      </c>
      <c r="BO2453" s="4">
        <v>45380.62065972222</v>
      </c>
      <c r="BP2453">
        <v>166185</v>
      </c>
      <c r="BQ2453">
        <v>5011</v>
      </c>
      <c r="BR2453" t="inlineStr">
        <is>
          <t>Manual</t>
        </is>
      </c>
      <c r="BS2453" t="inlineStr">
        <is>
          <t>SME Package for 2 Instant Job Slot + 1 Free Instant Job Slot
3 Instant Job Slot will be published on Maukerja, Ricebowl, Facebook, Google and Linkedin
3 Job Slot will be published for 12 months
Reusable listing for 12 months
3 Instant Boosters (10 times bump up per month, 1 Instant AI Reach to up to 100 candidates per month)
Free 3 Internship OR Manager Job Ads
Free Standard Company Page for 12 months
Package valid for 12 months
With Booster 
Coupon Code RM300 valid till 31 Mar 2024</t>
        </is>
      </c>
      <c r="BT2453">
        <v>10112</v>
      </c>
      <c r="BU2453"/>
      <c r="BV2453">
        <v>2732948</v>
      </c>
      <c r="BW2453" t="inlineStr">
        <is>
          <t>Follow Up : Lost - Free Portal</t>
        </is>
      </c>
      <c r="BX2453"/>
      <c r="BY2453"/>
      <c r="BZ2453" s="4"/>
      <c r="CA2453"/>
      <c r="CB2453"/>
      <c r="CC2453" s="4"/>
      <c r="CD2453" t="inlineStr">
        <is>
          <t>20</t>
        </is>
      </c>
      <c r="CE2453" t="inlineStr">
        <is>
          <t>0</t>
        </is>
      </c>
      <c r="CF2453" t="inlineStr">
        <is>
          <t>Q2-W01</t>
        </is>
      </c>
      <c r="CG2453"/>
      <c r="CH2453"/>
      <c r="CI2453"/>
      <c r="CJ2453" t="inlineStr">
        <is>
          <t>Paid</t>
        </is>
      </c>
      <c r="CK2453" t="inlineStr">
        <is>
          <t>Not Eligible</t>
        </is>
      </c>
      <c r="CL2453"/>
      <c r="CM2453"/>
    </row>
    <row r="2454" ht="25.5" customHeight="1">
      <c r="A2454" t="inlineStr">
        <is>
          <t>187509</t>
        </is>
      </c>
      <c r="B2454" s="2"/>
      <c r="C2454"/>
      <c r="D2454" s="3">
        <v>46121.58084490741</v>
      </c>
      <c r="E2454" t="inlineStr">
        <is>
          <t>Q2-W01</t>
        </is>
      </c>
      <c r="F2454" t="inlineStr">
        <is>
          <t>Josh</t>
        </is>
      </c>
      <c r="G2454" t="inlineStr">
        <is>
          <t>Customer</t>
        </is>
      </c>
      <c r="H2454" s="2" t="str">
        <f>=HYPERLINK("https://upbox.ajobthing.my/customer/187509", "https://upbox.ajobthing.my/customer/187509")</f>
        <v>https://upbox.ajobthing.my/customer/187509</v>
      </c>
      <c r="I2454" t="inlineStr">
        <is>
          <t>White Space Design</t>
        </is>
      </c>
      <c r="J2454" t="inlineStr">
        <is>
          <t>Dolphin</t>
        </is>
      </c>
      <c r="K2454" t="inlineStr">
        <is>
          <t>Josh</t>
        </is>
      </c>
      <c r="L2454" s="4"/>
      <c r="M2454" s="4">
        <v>46121.58111111111</v>
      </c>
      <c r="N2454"/>
      <c r="O2454">
        <v>3672</v>
      </c>
      <c r="P2454" s="4"/>
      <c r="Q2454" s="4"/>
      <c r="R2454"/>
      <c r="S2454"/>
      <c r="T2454" s="4"/>
      <c r="U2454" s="4"/>
      <c r="V2454"/>
      <c r="W2454"/>
      <c r="X2454"/>
      <c r="Y2454" t="inlineStr">
        <is>
          <t>Pending Appointment</t>
        </is>
      </c>
      <c r="Z2454" t="inlineStr">
        <is>
          <t>Hiring Now</t>
        </is>
      </c>
      <c r="AA2454">
        <v>1</v>
      </c>
      <c r="AB2454" t="inlineStr">
        <is>
          <t>No Appointment Made</t>
        </is>
      </c>
      <c r="AC2454"/>
      <c r="AD2454" t="inlineStr">
        <is>
          <t>1 graphic designer</t>
        </is>
      </c>
      <c r="AE2454"/>
      <c r="AF2454">
        <v>3000</v>
      </c>
      <c r="AG2454" s="4"/>
      <c r="AH2454" s="4"/>
      <c r="AI2454"/>
      <c r="AJ2454"/>
      <c r="AK2454"/>
      <c r="AL2454"/>
      <c r="AM2454"/>
      <c r="AN2454"/>
      <c r="AO2454"/>
      <c r="AP2454" t="inlineStr">
        <is>
          <t>Once a year (25%)</t>
        </is>
      </c>
      <c r="AQ2454"/>
      <c r="AR2454"/>
      <c r="AS2454" t="inlineStr">
        <is>
          <t>- Headcount: 1
- Hiring Job Details: 1 graphic designer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2454">
        <v>75</v>
      </c>
      <c r="AU2454" t="inlineStr">
        <is>
          <t>0.75</t>
        </is>
      </c>
      <c r="AV2454" t="inlineStr">
        <is>
          <t>15</t>
        </is>
      </c>
      <c r="AW2454" t="inlineStr">
        <is>
          <t>0</t>
        </is>
      </c>
      <c r="AX2454" t="inlineStr">
        <is>
          <t>Not Qualified</t>
        </is>
      </c>
      <c r="AY2454" s="4"/>
      <c r="AZ2454"/>
      <c r="BA2454"/>
      <c r="BB2454"/>
      <c r="BC2454" t="inlineStr">
        <is>
          <t>- Headcount: 1
- Hiring Job Details: 1 graphic designer
- Hiring Urgency: Hiring Now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BD2454" s="4">
        <v>46121.583391203705</v>
      </c>
      <c r="BE2454"/>
      <c r="BF2454"/>
      <c r="BG2454" t="inlineStr">
        <is>
          <t>Reschedule</t>
        </is>
      </c>
      <c r="BH2454" t="inlineStr">
        <is>
          <t>Fauziah Maharan</t>
        </is>
      </c>
      <c r="BI2454" t="inlineStr">
        <is>
          <t>Architecture / Interior Design</t>
        </is>
      </c>
      <c r="BJ2454" s="4">
        <v>46144.752175925925</v>
      </c>
      <c r="BK2454" s="4">
        <v>45699.67787037037</v>
      </c>
      <c r="BL2454" t="inlineStr">
        <is>
          <t>0.0</t>
        </is>
      </c>
      <c r="BM2454" t="inlineStr">
        <is>
          <t>0.0</t>
        </is>
      </c>
      <c r="BN2454" t="inlineStr">
        <is>
          <t>View Company Page</t>
        </is>
      </c>
      <c r="BO2454" s="4">
        <v>45702.67173611111</v>
      </c>
      <c r="BP2454">
        <v>166187</v>
      </c>
      <c r="BQ2454"/>
      <c r="BR2454"/>
      <c r="BS2454"/>
      <c r="BT2454"/>
      <c r="BU2454"/>
      <c r="BV2454">
        <v>2695983</v>
      </c>
      <c r="BW2454" t="inlineStr">
        <is>
          <t>Customer Inquiry</t>
        </is>
      </c>
      <c r="BX2454"/>
      <c r="BY2454"/>
      <c r="BZ2454" s="4"/>
      <c r="CA2454"/>
      <c r="CB2454"/>
      <c r="CC2454" s="4"/>
      <c r="CD2454" t="inlineStr">
        <is>
          <t>20</t>
        </is>
      </c>
      <c r="CE2454" t="inlineStr">
        <is>
          <t>0</t>
        </is>
      </c>
      <c r="CF2454" t="inlineStr">
        <is>
          <t>Q2-W01</t>
        </is>
      </c>
      <c r="CG2454"/>
      <c r="CH2454"/>
      <c r="CI2454"/>
      <c r="CJ2454" t="inlineStr">
        <is>
          <t>No Paid</t>
        </is>
      </c>
      <c r="CK2454" t="inlineStr">
        <is>
          <t>Not Eligible</t>
        </is>
      </c>
      <c r="CL2454"/>
      <c r="CM2454"/>
    </row>
    <row r="2455" ht="25.5" customHeight="1">
      <c r="A2455" t="inlineStr">
        <is>
          <t>187449</t>
        </is>
      </c>
      <c r="B2455" s="2"/>
      <c r="C2455"/>
      <c r="D2455" s="3">
        <v>46121.58347222222</v>
      </c>
      <c r="E2455" t="inlineStr">
        <is>
          <t>Q2-W01</t>
        </is>
      </c>
      <c r="F2455" t="inlineStr">
        <is>
          <t>Josh</t>
        </is>
      </c>
      <c r="G2455" t="inlineStr">
        <is>
          <t>Customer</t>
        </is>
      </c>
      <c r="H2455" s="2" t="str">
        <f>=HYPERLINK("https://upbox.ajobthing.my/customer/187449", "https://upbox.ajobthing.my/customer/187449")</f>
        <v>https://upbox.ajobthing.my/customer/187449</v>
      </c>
      <c r="I2455" t="inlineStr">
        <is>
          <t>Win Dental Clinic</t>
        </is>
      </c>
      <c r="J2455" t="inlineStr">
        <is>
          <t>Dolphin</t>
        </is>
      </c>
      <c r="K2455" t="inlineStr">
        <is>
          <t>Josh</t>
        </is>
      </c>
      <c r="L2455" s="4"/>
      <c r="M2455" s="4">
        <v>46121.583599537036</v>
      </c>
      <c r="N2455"/>
      <c r="O2455">
        <v>5832</v>
      </c>
      <c r="P2455" s="4"/>
      <c r="Q2455" s="4"/>
      <c r="R2455"/>
      <c r="S2455"/>
      <c r="T2455" s="4"/>
      <c r="U2455" s="4"/>
      <c r="V2455"/>
      <c r="W2455"/>
      <c r="X2455"/>
      <c r="Y2455" t="inlineStr">
        <is>
          <t>Pending Appointment</t>
        </is>
      </c>
      <c r="Z2455" t="inlineStr">
        <is>
          <t>Hiring Later</t>
        </is>
      </c>
      <c r="AA2455">
        <v>1</v>
      </c>
      <c r="AB2455" t="inlineStr">
        <is>
          <t>No Appointment Made</t>
        </is>
      </c>
      <c r="AC2455"/>
      <c r="AD2455" t="inlineStr">
        <is>
          <t>1 clinic assistant</t>
        </is>
      </c>
      <c r="AE2455"/>
      <c r="AF2455">
        <v>1000</v>
      </c>
      <c r="AG2455" s="4"/>
      <c r="AH2455" s="4"/>
      <c r="AI2455"/>
      <c r="AJ2455"/>
      <c r="AK2455"/>
      <c r="AL2455"/>
      <c r="AM2455"/>
      <c r="AN2455"/>
      <c r="AO2455"/>
      <c r="AP2455" t="inlineStr">
        <is>
          <t>Once a year (25%)</t>
        </is>
      </c>
      <c r="AQ2455"/>
      <c r="AR2455"/>
      <c r="AS2455" t="inlineStr">
        <is>
          <t>- Headcount: 1
- Hiring Job Details: 1 clinic assistant
- Hiring Urgency: Hiring Later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455">
        <v>75</v>
      </c>
      <c r="AU2455" t="inlineStr">
        <is>
          <t>0.75</t>
        </is>
      </c>
      <c r="AV2455" t="inlineStr">
        <is>
          <t>15</t>
        </is>
      </c>
      <c r="AW2455" t="inlineStr">
        <is>
          <t>0</t>
        </is>
      </c>
      <c r="AX2455" t="inlineStr">
        <is>
          <t>Not Qualified</t>
        </is>
      </c>
      <c r="AY2455" s="4"/>
      <c r="AZ2455"/>
      <c r="BA2455"/>
      <c r="BB2455"/>
      <c r="BC2455" t="inlineStr">
        <is>
          <t>- Headcount: 1
- Hiring Job Details: 1 clinic assistant
- Hiring Urgency: Hiring Later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BD2455" s="4">
        <v>46121.62503472222</v>
      </c>
      <c r="BE2455"/>
      <c r="BF2455"/>
      <c r="BG2455" t="inlineStr">
        <is>
          <t>Reschedule</t>
        </is>
      </c>
      <c r="BH2455" t="inlineStr">
        <is>
          <t>Fauziah Maharan</t>
        </is>
      </c>
      <c r="BI2455" t="inlineStr">
        <is>
          <t>Healthcare / Medical</t>
        </is>
      </c>
      <c r="BJ2455" s="4">
        <v>46144.752175925925</v>
      </c>
      <c r="BK2455" s="4">
        <v>45698.428402777776</v>
      </c>
      <c r="BL2455" t="inlineStr">
        <is>
          <t>0.0</t>
        </is>
      </c>
      <c r="BM2455" t="inlineStr">
        <is>
          <t>0.0</t>
        </is>
      </c>
      <c r="BN2455" t="inlineStr">
        <is>
          <t>View Company Page</t>
        </is>
      </c>
      <c r="BO2455" s="4">
        <v>45698.444710648146</v>
      </c>
      <c r="BP2455">
        <v>166189</v>
      </c>
      <c r="BQ2455"/>
      <c r="BR2455"/>
      <c r="BS2455"/>
      <c r="BT2455"/>
      <c r="BU2455"/>
      <c r="BV2455">
        <v>2696192</v>
      </c>
      <c r="BW2455" t="inlineStr">
        <is>
          <t>Customer Inquiry</t>
        </is>
      </c>
      <c r="BX2455"/>
      <c r="BY2455"/>
      <c r="BZ2455" s="4"/>
      <c r="CA2455"/>
      <c r="CB2455"/>
      <c r="CC2455" s="4"/>
      <c r="CD2455" t="inlineStr">
        <is>
          <t>20</t>
        </is>
      </c>
      <c r="CE2455" t="inlineStr">
        <is>
          <t>0</t>
        </is>
      </c>
      <c r="CF2455" t="inlineStr">
        <is>
          <t>Q2-W01</t>
        </is>
      </c>
      <c r="CG2455"/>
      <c r="CH2455"/>
      <c r="CI2455"/>
      <c r="CJ2455" t="inlineStr">
        <is>
          <t>No Paid</t>
        </is>
      </c>
      <c r="CK2455" t="inlineStr">
        <is>
          <t>Not Eligible</t>
        </is>
      </c>
      <c r="CL2455"/>
      <c r="CM2455"/>
    </row>
    <row r="2456" ht="25.5" customHeight="1">
      <c r="A2456" t="inlineStr">
        <is>
          <t>184577</t>
        </is>
      </c>
      <c r="B2456" s="2"/>
      <c r="C2456"/>
      <c r="D2456" s="3">
        <v>46121.591412037036</v>
      </c>
      <c r="E2456" t="inlineStr">
        <is>
          <t>Q2-W01</t>
        </is>
      </c>
      <c r="F2456" t="inlineStr">
        <is>
          <t>Josh</t>
        </is>
      </c>
      <c r="G2456" t="inlineStr">
        <is>
          <t>Customer</t>
        </is>
      </c>
      <c r="H2456" s="2" t="str">
        <f>=HYPERLINK("https://upbox.ajobthing.my/customer/184577", "https://upbox.ajobthing.my/customer/184577")</f>
        <v>https://upbox.ajobthing.my/customer/184577</v>
      </c>
      <c r="I2456" t="inlineStr">
        <is>
          <t>Total Solution Food Supply Sdn Bhd</t>
        </is>
      </c>
      <c r="J2456" t="inlineStr">
        <is>
          <t>Dolphin</t>
        </is>
      </c>
      <c r="K2456" t="inlineStr">
        <is>
          <t>Josh</t>
        </is>
      </c>
      <c r="L2456" s="4"/>
      <c r="M2456" s="4">
        <v>46121.59166666667</v>
      </c>
      <c r="N2456"/>
      <c r="O2456">
        <v>864</v>
      </c>
      <c r="P2456" s="4"/>
      <c r="Q2456" s="4"/>
      <c r="R2456"/>
      <c r="S2456"/>
      <c r="T2456" s="4"/>
      <c r="U2456" s="4"/>
      <c r="V2456"/>
      <c r="W2456"/>
      <c r="X2456"/>
      <c r="Y2456" t="inlineStr">
        <is>
          <t>Pending Appointment</t>
        </is>
      </c>
      <c r="Z2456" t="inlineStr">
        <is>
          <t>Hiring Now</t>
        </is>
      </c>
      <c r="AA2456">
        <v>1</v>
      </c>
      <c r="AB2456" t="inlineStr">
        <is>
          <t>No Appointment Made</t>
        </is>
      </c>
      <c r="AC2456"/>
      <c r="AD2456" t="inlineStr">
        <is>
          <t xml:space="preserve">1 graphic designer </t>
        </is>
      </c>
      <c r="AE2456"/>
      <c r="AF2456">
        <v>1000</v>
      </c>
      <c r="AG2456" s="4"/>
      <c r="AH2456" s="4"/>
      <c r="AI2456"/>
      <c r="AJ2456"/>
      <c r="AK2456" t="inlineStr">
        <is>
          <t>Yes, I have</t>
        </is>
      </c>
      <c r="AL2456"/>
      <c r="AM2456"/>
      <c r="AN2456"/>
      <c r="AO2456"/>
      <c r="AP2456" t="inlineStr">
        <is>
          <t>Once a year (25%)</t>
        </is>
      </c>
      <c r="AQ2456"/>
      <c r="AR2456"/>
      <c r="AS2456" t="inlineStr">
        <is>
          <t>- Headcount: 1
- Hiring Job Details: 1 graphic designer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2456">
        <v>95</v>
      </c>
      <c r="AU2456" t="inlineStr">
        <is>
          <t>0.95</t>
        </is>
      </c>
      <c r="AV2456" t="inlineStr">
        <is>
          <t>15</t>
        </is>
      </c>
      <c r="AW2456" t="inlineStr">
        <is>
          <t>0</t>
        </is>
      </c>
      <c r="AX2456" t="inlineStr">
        <is>
          <t>Not Qualified</t>
        </is>
      </c>
      <c r="AY2456" s="4"/>
      <c r="AZ2456"/>
      <c r="BA2456"/>
      <c r="BB2456"/>
      <c r="BC2456" t="inlineStr">
        <is>
          <t>outsource to outsider do, no need already</t>
        </is>
      </c>
      <c r="BD2456" s="4">
        <v>46127.76940972222</v>
      </c>
      <c r="BE2456"/>
      <c r="BF2456"/>
      <c r="BG2456" t="inlineStr">
        <is>
          <t>Reschedule</t>
        </is>
      </c>
      <c r="BH2456" t="inlineStr">
        <is>
          <t>Fauziah Maharan</t>
        </is>
      </c>
      <c r="BI2456" t="inlineStr">
        <is>
          <t>Food / Beverage</t>
        </is>
      </c>
      <c r="BJ2456" s="4">
        <v>46144.75201388889</v>
      </c>
      <c r="BK2456" s="4">
        <v>45603.58495370371</v>
      </c>
      <c r="BL2456" t="inlineStr">
        <is>
          <t>0.0</t>
        </is>
      </c>
      <c r="BM2456" t="inlineStr">
        <is>
          <t>1800.0</t>
        </is>
      </c>
      <c r="BN2456" t="inlineStr">
        <is>
          <t>View Company Page</t>
        </is>
      </c>
      <c r="BO2456" s="4">
        <v>46080.46890046296</v>
      </c>
      <c r="BP2456">
        <v>166194</v>
      </c>
      <c r="BQ2456"/>
      <c r="BR2456"/>
      <c r="BS2456"/>
      <c r="BT2456"/>
      <c r="BU2456"/>
      <c r="BV2456">
        <v>2707197</v>
      </c>
      <c r="BW2456" t="inlineStr">
        <is>
          <t>Inquire for Hiring Needs : No Hiring</t>
        </is>
      </c>
      <c r="BX2456"/>
      <c r="BY2456"/>
      <c r="BZ2456" s="4"/>
      <c r="CA2456"/>
      <c r="CB2456"/>
      <c r="CC2456" s="4"/>
      <c r="CD2456" t="inlineStr">
        <is>
          <t>20</t>
        </is>
      </c>
      <c r="CE2456" t="inlineStr">
        <is>
          <t>0</t>
        </is>
      </c>
      <c r="CF2456" t="inlineStr">
        <is>
          <t>Q2-W01</t>
        </is>
      </c>
      <c r="CG2456"/>
      <c r="CH2456"/>
      <c r="CI2456"/>
      <c r="CJ2456" t="inlineStr">
        <is>
          <t>No Paid</t>
        </is>
      </c>
      <c r="CK2456" t="inlineStr">
        <is>
          <t>Not Eligible</t>
        </is>
      </c>
      <c r="CL2456"/>
      <c r="CM2456"/>
    </row>
    <row r="2457" ht="25.5" customHeight="1">
      <c r="A2457" t="inlineStr">
        <is>
          <t>176075</t>
        </is>
      </c>
      <c r="B2457" s="2"/>
      <c r="C2457"/>
      <c r="D2457" s="3">
        <v>46121.59908564815</v>
      </c>
      <c r="E2457" t="inlineStr">
        <is>
          <t>Q2-W01</t>
        </is>
      </c>
      <c r="F2457" t="inlineStr">
        <is>
          <t>Ken Yi</t>
        </is>
      </c>
      <c r="G2457" t="inlineStr">
        <is>
          <t>Customer</t>
        </is>
      </c>
      <c r="H2457" s="2" t="str">
        <f>=HYPERLINK("https://upbox.ajobthing.my/customer/176075", "https://upbox.ajobthing.my/customer/176075")</f>
        <v>https://upbox.ajobthing.my/customer/176075</v>
      </c>
      <c r="I2457" t="inlineStr">
        <is>
          <t>Amlex Technology Sdn Bhd</t>
        </is>
      </c>
      <c r="J2457" t="inlineStr">
        <is>
          <t>Dolphin</t>
        </is>
      </c>
      <c r="K2457" t="inlineStr">
        <is>
          <t>Kenyi</t>
        </is>
      </c>
      <c r="L2457" s="4"/>
      <c r="M2457" s="4">
        <v>46134.73164351852</v>
      </c>
      <c r="N2457"/>
      <c r="O2457">
        <v>3672</v>
      </c>
      <c r="P2457" s="4"/>
      <c r="Q2457" s="4">
        <v>46044.4615162037</v>
      </c>
      <c r="R2457"/>
      <c r="S2457">
        <v>0</v>
      </c>
      <c r="T2457" s="4">
        <v>45799.41274305555</v>
      </c>
      <c r="U2457" s="4"/>
      <c r="V2457"/>
      <c r="W2457">
        <v>3132</v>
      </c>
      <c r="X2457"/>
      <c r="Y2457" t="inlineStr">
        <is>
          <t>Pending Appointment</t>
        </is>
      </c>
      <c r="Z2457" t="inlineStr">
        <is>
          <t>Hiring Now</t>
        </is>
      </c>
      <c r="AA2457">
        <v>1</v>
      </c>
      <c r="AB2457" t="inlineStr">
        <is>
          <t>No Appointment Made</t>
        </is>
      </c>
      <c r="AC2457"/>
      <c r="AD2457" t="inlineStr">
        <is>
          <t>Renewal</t>
        </is>
      </c>
      <c r="AE2457"/>
      <c r="AF2457">
        <v>0</v>
      </c>
      <c r="AG2457" s="4"/>
      <c r="AH2457" s="4"/>
      <c r="AI2457">
        <v>0</v>
      </c>
      <c r="AJ2457">
        <v>1</v>
      </c>
      <c r="AK2457" t="inlineStr">
        <is>
          <t>No, I don't need at all</t>
        </is>
      </c>
      <c r="AL2457">
        <v>0</v>
      </c>
      <c r="AM2457" t="inlineStr">
        <is>
          <t>No, I don't need at all</t>
        </is>
      </c>
      <c r="AN2457"/>
      <c r="AO2457" t="inlineStr">
        <is>
          <t>No, I don't need at all</t>
        </is>
      </c>
      <c r="AP2457" t="inlineStr">
        <is>
          <t>Every month (100%)</t>
        </is>
      </c>
      <c r="AQ2457">
        <v>5</v>
      </c>
      <c r="AR2457" t="inlineStr">
        <is>
          <t>Jobstreet</t>
        </is>
      </c>
      <c r="AS2457" t="inlineStr">
        <is>
          <t>- Headcount: 1
- Hiring Job Details: Renewal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5
- Hiring frequency: Every month (100%)
- External job portal: Jobstreet</t>
        </is>
      </c>
      <c r="AT2457">
        <v>75</v>
      </c>
      <c r="AU2457" t="inlineStr">
        <is>
          <t>0.75</t>
        </is>
      </c>
      <c r="AV2457" t="inlineStr">
        <is>
          <t>15</t>
        </is>
      </c>
      <c r="AW2457" t="inlineStr">
        <is>
          <t>0</t>
        </is>
      </c>
      <c r="AX2457" t="inlineStr">
        <is>
          <t>Not Qualified</t>
        </is>
      </c>
      <c r="AY2457" s="4"/>
      <c r="AZ2457"/>
      <c r="BA2457"/>
      <c r="BB2457"/>
      <c r="BC2457" t="inlineStr">
        <is>
          <t>follow up proposal</t>
        </is>
      </c>
      <c r="BD2457" s="4">
        <v>46134.729525462964</v>
      </c>
      <c r="BE2457" t="inlineStr">
        <is>
          <t>paid</t>
        </is>
      </c>
      <c r="BF2457"/>
      <c r="BG2457" t="inlineStr">
        <is>
          <t>Reschedule</t>
        </is>
      </c>
      <c r="BH2457" t="inlineStr">
        <is>
          <t>Fauziah Maharan</t>
        </is>
      </c>
      <c r="BI2457" t="inlineStr">
        <is>
          <t>Manufacturing / Production</t>
        </is>
      </c>
      <c r="BJ2457" s="4">
        <v>46144.75163194445</v>
      </c>
      <c r="BK2457" s="4">
        <v>45356.61449074074</v>
      </c>
      <c r="BL2457" t="inlineStr">
        <is>
          <t>3132.0</t>
        </is>
      </c>
      <c r="BM2457" t="inlineStr">
        <is>
          <t>0.0</t>
        </is>
      </c>
      <c r="BN2457" t="inlineStr">
        <is>
          <t>User Login</t>
        </is>
      </c>
      <c r="BO2457" s="4">
        <v>46141.58015046296</v>
      </c>
      <c r="BP2457">
        <v>168404</v>
      </c>
      <c r="BQ2457">
        <v>114233</v>
      </c>
      <c r="BR2457" t="inlineStr">
        <is>
          <t>Proforma</t>
        </is>
      </c>
      <c r="BS2457" t="inlineStr">
        <is>
          <t>Free Internship Job</t>
        </is>
      </c>
      <c r="BT2457">
        <v>79473</v>
      </c>
      <c r="BU2457"/>
      <c r="BV2457">
        <v>2721893</v>
      </c>
      <c r="BW2457" t="inlineStr">
        <is>
          <t>Follow Up : Decision Pending</t>
        </is>
      </c>
      <c r="BX2457">
        <v>6</v>
      </c>
      <c r="BY2457">
        <v>1</v>
      </c>
      <c r="BZ2457" s="4">
        <v>46091.62466435185</v>
      </c>
      <c r="CA2457">
        <v>120</v>
      </c>
      <c r="CB2457">
        <v>59</v>
      </c>
      <c r="CC2457" s="4">
        <v>46118.51603009259</v>
      </c>
      <c r="CD2457" t="inlineStr">
        <is>
          <t>20</t>
        </is>
      </c>
      <c r="CE2457" t="inlineStr">
        <is>
          <t>0</t>
        </is>
      </c>
      <c r="CF2457" t="inlineStr">
        <is>
          <t>Q2-W03</t>
        </is>
      </c>
      <c r="CG2457" t="inlineStr">
        <is>
          <t>Q1-W03</t>
        </is>
      </c>
      <c r="CH2457"/>
      <c r="CI2457"/>
      <c r="CJ2457" t="inlineStr">
        <is>
          <t>Paid</t>
        </is>
      </c>
      <c r="CK2457" t="inlineStr">
        <is>
          <t>Not Eligible</t>
        </is>
      </c>
      <c r="CL2457"/>
      <c r="CM2457"/>
    </row>
    <row r="2458" ht="25.5" customHeight="1">
      <c r="A2458" t="inlineStr">
        <is>
          <t>4264856</t>
        </is>
      </c>
      <c r="B2458" s="2"/>
      <c r="C2458"/>
      <c r="D2458" s="3">
        <v>46121.60653935185</v>
      </c>
      <c r="E2458" t="inlineStr">
        <is>
          <t>Q2-W01</t>
        </is>
      </c>
      <c r="F2458" t="inlineStr">
        <is>
          <t>Josh</t>
        </is>
      </c>
      <c r="G2458" t="inlineStr">
        <is>
          <t>Lead</t>
        </is>
      </c>
      <c r="H2458" s="2" t="str">
        <f>=HYPERLINK("https://upbox.ajobthing.my/leads/4264856", "https://upbox.ajobthing.my/leads/4264856")</f>
        <v>https://upbox.ajobthing.my/leads/4264856</v>
      </c>
      <c r="I2458" t="inlineStr">
        <is>
          <t>Nextec Resources</t>
        </is>
      </c>
      <c r="J2458" t="inlineStr">
        <is>
          <t>Dolphin</t>
        </is>
      </c>
      <c r="K2458" t="inlineStr">
        <is>
          <t>Josh</t>
        </is>
      </c>
      <c r="L2458" s="4"/>
      <c r="M2458" s="4">
        <v>46121.607303240744</v>
      </c>
      <c r="N2458"/>
      <c r="O2458">
        <v>6048</v>
      </c>
      <c r="P2458" s="4"/>
      <c r="Q2458" s="4"/>
      <c r="R2458"/>
      <c r="S2458"/>
      <c r="T2458" s="4"/>
      <c r="U2458" s="4"/>
      <c r="V2458"/>
      <c r="W2458"/>
      <c r="X2458"/>
      <c r="Y2458" t="inlineStr">
        <is>
          <t>Pending Appointment</t>
        </is>
      </c>
      <c r="Z2458" t="inlineStr">
        <is>
          <t>Hiring Now</t>
        </is>
      </c>
      <c r="AA2458">
        <v>3</v>
      </c>
      <c r="AB2458" t="inlineStr">
        <is>
          <t>No Appointment Made</t>
        </is>
      </c>
      <c r="AC2458"/>
      <c r="AD2458" t="inlineStr">
        <is>
          <t xml:space="preserve">3 customer service </t>
        </is>
      </c>
      <c r="AE2458"/>
      <c r="AF2458">
        <v>3000</v>
      </c>
      <c r="AG2458" s="4"/>
      <c r="AH2458" s="4"/>
      <c r="AI2458"/>
      <c r="AJ2458"/>
      <c r="AK2458" t="inlineStr">
        <is>
          <t>Yes, I have</t>
        </is>
      </c>
      <c r="AL2458"/>
      <c r="AM2458"/>
      <c r="AN2458"/>
      <c r="AO2458"/>
      <c r="AP2458" t="inlineStr">
        <is>
          <t>Once a year (25%)</t>
        </is>
      </c>
      <c r="AQ2458"/>
      <c r="AR2458"/>
      <c r="AS2458" t="inlineStr">
        <is>
          <t>- Headcount: 3
- Hiring Job Details: 3 customer service
- Hiring Urgency: Hiring Now
- Number of outlets: Not provided
- Have recruiter team: Yes, I have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2458">
        <v>95</v>
      </c>
      <c r="AU2458" t="inlineStr">
        <is>
          <t>0.95</t>
        </is>
      </c>
      <c r="AV2458" t="inlineStr">
        <is>
          <t>15</t>
        </is>
      </c>
      <c r="AW2458" t="inlineStr">
        <is>
          <t>0</t>
        </is>
      </c>
      <c r="AX2458" t="inlineStr">
        <is>
          <t>Not Qualified</t>
        </is>
      </c>
      <c r="AY2458" s="4"/>
      <c r="AZ2458"/>
      <c r="BA2458"/>
      <c r="BB2458"/>
      <c r="BC2458"/>
      <c r="BD2458" s="4"/>
      <c r="BE2458"/>
      <c r="BF2458"/>
      <c r="BG2458" t="inlineStr">
        <is>
          <t>Reschedule</t>
        </is>
      </c>
      <c r="BH2458" t="inlineStr">
        <is>
          <t>Fauziah Maharan</t>
        </is>
      </c>
      <c r="BI2458"/>
      <c r="BJ2458" s="4">
        <v>46144.75578703704</v>
      </c>
      <c r="BK2458" s="4">
        <v>46121.587476851855</v>
      </c>
      <c r="BL2458" t="inlineStr">
        <is>
          <t>0.0</t>
        </is>
      </c>
      <c r="BM2458" t="inlineStr">
        <is>
          <t>0.0</t>
        </is>
      </c>
      <c r="BN2458"/>
      <c r="BO2458" s="4"/>
      <c r="BP2458">
        <v>166210</v>
      </c>
      <c r="BQ2458"/>
      <c r="BR2458"/>
      <c r="BS2458"/>
      <c r="BT2458"/>
      <c r="BU2458"/>
      <c r="BV2458"/>
      <c r="BW2458"/>
      <c r="BX2458"/>
      <c r="BY2458"/>
      <c r="BZ2458" s="4"/>
      <c r="CA2458"/>
      <c r="CB2458"/>
      <c r="CC2458" s="4"/>
      <c r="CD2458" t="inlineStr">
        <is>
          <t>20</t>
        </is>
      </c>
      <c r="CE2458" t="inlineStr">
        <is>
          <t>0</t>
        </is>
      </c>
      <c r="CF2458" t="inlineStr">
        <is>
          <t>Q2-W01</t>
        </is>
      </c>
      <c r="CG2458"/>
      <c r="CH2458"/>
      <c r="CI2458"/>
      <c r="CJ2458" t="inlineStr">
        <is>
          <t>No Paid</t>
        </is>
      </c>
      <c r="CK2458" t="inlineStr">
        <is>
          <t>Not Eligible</t>
        </is>
      </c>
      <c r="CL2458"/>
      <c r="CM2458"/>
    </row>
    <row r="2459" ht="25.5" customHeight="1">
      <c r="A2459" t="inlineStr">
        <is>
          <t>27196</t>
        </is>
      </c>
      <c r="B2459" s="2"/>
      <c r="C2459"/>
      <c r="D2459" s="3">
        <v>46121.60827546296</v>
      </c>
      <c r="E2459" t="inlineStr">
        <is>
          <t>Q2-W01</t>
        </is>
      </c>
      <c r="F2459" t="inlineStr">
        <is>
          <t>Chia Yee</t>
        </is>
      </c>
      <c r="G2459" t="inlineStr">
        <is>
          <t>Customer</t>
        </is>
      </c>
      <c r="H2459" s="2" t="str">
        <f>=HYPERLINK("https://upbox.ajobthing.my/customer/27196", "https://upbox.ajobthing.my/customer/27196")</f>
        <v>https://upbox.ajobthing.my/customer/27196</v>
      </c>
      <c r="I2459" t="inlineStr">
        <is>
          <t>Resqtec Zumro Asia Sdn Bhd</t>
        </is>
      </c>
      <c r="J2459" t="inlineStr">
        <is>
          <t>Dolphin</t>
        </is>
      </c>
      <c r="K2459" t="inlineStr">
        <is>
          <t>Chia Yee</t>
        </is>
      </c>
      <c r="L2459" s="4"/>
      <c r="M2459" s="4">
        <v>46121.60837962963</v>
      </c>
      <c r="N2459"/>
      <c r="O2459">
        <v>8208</v>
      </c>
      <c r="P2459" s="4"/>
      <c r="Q2459" s="4">
        <v>46059.70979166667</v>
      </c>
      <c r="R2459"/>
      <c r="S2459">
        <v>864</v>
      </c>
      <c r="T2459" s="4">
        <v>46059.70979166667</v>
      </c>
      <c r="U2459" s="4"/>
      <c r="V2459"/>
      <c r="W2459">
        <v>864</v>
      </c>
      <c r="X2459"/>
      <c r="Y2459" t="inlineStr">
        <is>
          <t>Pending Appointment</t>
        </is>
      </c>
      <c r="Z2459" t="inlineStr">
        <is>
          <t>Hiring Now</t>
        </is>
      </c>
      <c r="AA2459">
        <v>4</v>
      </c>
      <c r="AB2459" t="inlineStr">
        <is>
          <t>No Appointment Made</t>
        </is>
      </c>
      <c r="AC2459"/>
      <c r="AD2459" t="inlineStr">
        <is>
          <t>4 Production worker</t>
        </is>
      </c>
      <c r="AE2459"/>
      <c r="AF2459">
        <v>0</v>
      </c>
      <c r="AG2459" s="4"/>
      <c r="AH2459" s="4"/>
      <c r="AI2459">
        <v>0</v>
      </c>
      <c r="AJ2459">
        <v>1</v>
      </c>
      <c r="AK2459" t="inlineStr">
        <is>
          <t>No, I don't need at all</t>
        </is>
      </c>
      <c r="AL2459">
        <v>1</v>
      </c>
      <c r="AM2459" t="inlineStr">
        <is>
          <t>No, I don't need at all</t>
        </is>
      </c>
      <c r="AN2459"/>
      <c r="AO2459" t="inlineStr">
        <is>
          <t>Yes, I have</t>
        </is>
      </c>
      <c r="AP2459" t="inlineStr">
        <is>
          <t>Once a year (25%)</t>
        </is>
      </c>
      <c r="AQ2459">
        <v>4</v>
      </c>
      <c r="AR2459" t="inlineStr">
        <is>
          <t>Did not use any job portal</t>
        </is>
      </c>
      <c r="AS2459" t="inlineStr">
        <is>
          <t>- Headcount: 4
- Hiring Job Details: 4 Production worker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4
- Hiring frequency: Once a year (25%)
- External job portal: Did not use any job portal</t>
        </is>
      </c>
      <c r="AT2459">
        <v>110</v>
      </c>
      <c r="AU2459" t="inlineStr">
        <is>
          <t>1.10</t>
        </is>
      </c>
      <c r="AV2459" t="inlineStr">
        <is>
          <t>15</t>
        </is>
      </c>
      <c r="AW2459" t="inlineStr">
        <is>
          <t>0</t>
        </is>
      </c>
      <c r="AX2459" t="inlineStr">
        <is>
          <t>Not Qualified</t>
        </is>
      </c>
      <c r="AY2459" s="4"/>
      <c r="AZ2459"/>
      <c r="BA2459"/>
      <c r="BB2459"/>
      <c r="BC2459" t="inlineStr">
        <is>
          <t>Called Ms. Lai, not proceed , budget. Share single job , said is okay</t>
        </is>
      </c>
      <c r="BD2459" s="4">
        <v>46140.568460648145</v>
      </c>
      <c r="BE2459" t="inlineStr">
        <is>
          <t>paid</t>
        </is>
      </c>
      <c r="BF2459" t="inlineStr">
        <is>
          <t>Q1-W06</t>
        </is>
      </c>
      <c r="BG2459" t="inlineStr">
        <is>
          <t>Reschedule</t>
        </is>
      </c>
      <c r="BH2459" t="inlineStr">
        <is>
          <t>Reagen</t>
        </is>
      </c>
      <c r="BI2459" t="inlineStr">
        <is>
          <t>Manufacturing / Production</t>
        </is>
      </c>
      <c r="BJ2459" s="4">
        <v>46144.75449074074</v>
      </c>
      <c r="BK2459" s="4">
        <v>42597.731944444444</v>
      </c>
      <c r="BL2459" t="inlineStr">
        <is>
          <t>1512.0</t>
        </is>
      </c>
      <c r="BM2459" t="inlineStr">
        <is>
          <t>600.0</t>
        </is>
      </c>
      <c r="BN2459" t="inlineStr">
        <is>
          <t>PA Email CTA Click</t>
        </is>
      </c>
      <c r="BO2459" s="4">
        <v>46097.34658564815</v>
      </c>
      <c r="BP2459">
        <v>166212</v>
      </c>
      <c r="BQ2459">
        <v>86435</v>
      </c>
      <c r="BR2459" t="inlineStr">
        <is>
          <t>Online</t>
        </is>
      </c>
      <c r="BS2459"/>
      <c r="BT2459">
        <v>86435</v>
      </c>
      <c r="BU2459"/>
      <c r="BV2459">
        <v>2732595</v>
      </c>
      <c r="BW2459" t="inlineStr">
        <is>
          <t>Follow Up : Budget Concern</t>
        </is>
      </c>
      <c r="BX2459"/>
      <c r="BY2459"/>
      <c r="BZ2459" s="4"/>
      <c r="CA2459"/>
      <c r="CB2459"/>
      <c r="CC2459" s="4"/>
      <c r="CD2459" t="inlineStr">
        <is>
          <t>20</t>
        </is>
      </c>
      <c r="CE2459" t="inlineStr">
        <is>
          <t>0</t>
        </is>
      </c>
      <c r="CF2459" t="inlineStr">
        <is>
          <t>Q2-W01</t>
        </is>
      </c>
      <c r="CG2459" t="inlineStr">
        <is>
          <t>Q1-W06</t>
        </is>
      </c>
      <c r="CH2459" t="inlineStr">
        <is>
          <t>Q1-W06</t>
        </is>
      </c>
      <c r="CI2459"/>
      <c r="CJ2459" t="inlineStr">
        <is>
          <t>Paid</t>
        </is>
      </c>
      <c r="CK2459" t="inlineStr">
        <is>
          <t>Not Eligible</t>
        </is>
      </c>
      <c r="CL2459"/>
      <c r="CM2459"/>
    </row>
    <row r="2460" ht="25.5" customHeight="1">
      <c r="A2460" t="inlineStr">
        <is>
          <t>4264959</t>
        </is>
      </c>
      <c r="B2460" s="2"/>
      <c r="C2460"/>
      <c r="D2460" s="3">
        <v>46121.61591435185</v>
      </c>
      <c r="E2460" t="inlineStr">
        <is>
          <t>Q2-W01</t>
        </is>
      </c>
      <c r="F2460" t="inlineStr">
        <is>
          <t>Josh</t>
        </is>
      </c>
      <c r="G2460" t="inlineStr">
        <is>
          <t>Lead</t>
        </is>
      </c>
      <c r="H2460" s="2" t="str">
        <f>=HYPERLINK("https://upbox.ajobthing.my/leads/4264959", "https://upbox.ajobthing.my/leads/4264959")</f>
        <v>https://upbox.ajobthing.my/leads/4264959</v>
      </c>
      <c r="I2460" t="inlineStr">
        <is>
          <t>CSW</t>
        </is>
      </c>
      <c r="J2460" t="inlineStr">
        <is>
          <t>Dolphin</t>
        </is>
      </c>
      <c r="K2460" t="inlineStr">
        <is>
          <t>Josh</t>
        </is>
      </c>
      <c r="L2460" s="4"/>
      <c r="M2460" s="4">
        <v>46128.65277777778</v>
      </c>
      <c r="N2460"/>
      <c r="O2460">
        <v>6048</v>
      </c>
      <c r="P2460" s="4"/>
      <c r="Q2460" s="4"/>
      <c r="R2460"/>
      <c r="S2460"/>
      <c r="T2460" s="4"/>
      <c r="U2460" s="4"/>
      <c r="V2460"/>
      <c r="W2460"/>
      <c r="X2460"/>
      <c r="Y2460" t="inlineStr">
        <is>
          <t>Pending Appointment</t>
        </is>
      </c>
      <c r="Z2460" t="inlineStr">
        <is>
          <t>Hiring Now</t>
        </is>
      </c>
      <c r="AA2460">
        <v>1</v>
      </c>
      <c r="AB2460" t="inlineStr">
        <is>
          <t>No Appointment Made</t>
        </is>
      </c>
      <c r="AC2460"/>
      <c r="AD2460" t="inlineStr">
        <is>
          <t xml:space="preserve">1 account </t>
        </is>
      </c>
      <c r="AE2460"/>
      <c r="AF2460">
        <v>1000</v>
      </c>
      <c r="AG2460" s="4"/>
      <c r="AH2460" s="4"/>
      <c r="AI2460"/>
      <c r="AJ2460"/>
      <c r="AK2460" t="inlineStr">
        <is>
          <t>Yes, I have</t>
        </is>
      </c>
      <c r="AL2460"/>
      <c r="AM2460"/>
      <c r="AN2460"/>
      <c r="AO2460"/>
      <c r="AP2460" t="inlineStr">
        <is>
          <t>Once a year (25%)</t>
        </is>
      </c>
      <c r="AQ2460"/>
      <c r="AR2460"/>
      <c r="AS2460" t="inlineStr">
        <is>
          <t>- Headcount: 1
- Hiring Job Details: 1 account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
- Hiring Urgency: Hiring Now</t>
        </is>
      </c>
      <c r="AT2460">
        <v>85</v>
      </c>
      <c r="AU2460" t="inlineStr">
        <is>
          <t>0.85</t>
        </is>
      </c>
      <c r="AV2460" t="inlineStr">
        <is>
          <t>15</t>
        </is>
      </c>
      <c r="AW2460" t="inlineStr">
        <is>
          <t>0</t>
        </is>
      </c>
      <c r="AX2460" t="inlineStr">
        <is>
          <t>Not Qualified</t>
        </is>
      </c>
      <c r="AY2460" s="4"/>
      <c r="AZ2460"/>
      <c r="BA2460"/>
      <c r="BB2460"/>
      <c r="BC2460"/>
      <c r="BD2460" s="4"/>
      <c r="BE2460"/>
      <c r="BF2460"/>
      <c r="BG2460" t="inlineStr">
        <is>
          <t>Reschedule</t>
        </is>
      </c>
      <c r="BH2460" t="inlineStr">
        <is>
          <t>Fauziah Maharan</t>
        </is>
      </c>
      <c r="BI2460"/>
      <c r="BJ2460" s="4">
        <v>46144.75578703704</v>
      </c>
      <c r="BK2460" s="4">
        <v>46121.60738425926</v>
      </c>
      <c r="BL2460" t="inlineStr">
        <is>
          <t>0.0</t>
        </is>
      </c>
      <c r="BM2460" t="inlineStr">
        <is>
          <t>0.0</t>
        </is>
      </c>
      <c r="BN2460"/>
      <c r="BO2460" s="4"/>
      <c r="BP2460">
        <v>167442</v>
      </c>
      <c r="BQ2460"/>
      <c r="BR2460"/>
      <c r="BS2460"/>
      <c r="BT2460"/>
      <c r="BU2460"/>
      <c r="BV2460"/>
      <c r="BW2460"/>
      <c r="BX2460"/>
      <c r="BY2460"/>
      <c r="BZ2460" s="4"/>
      <c r="CA2460"/>
      <c r="CB2460"/>
      <c r="CC2460" s="4"/>
      <c r="CD2460" t="inlineStr">
        <is>
          <t>20</t>
        </is>
      </c>
      <c r="CE2460" t="inlineStr">
        <is>
          <t>0</t>
        </is>
      </c>
      <c r="CF2460" t="inlineStr">
        <is>
          <t>Q2-W02</t>
        </is>
      </c>
      <c r="CG2460"/>
      <c r="CH2460"/>
      <c r="CI2460"/>
      <c r="CJ2460" t="inlineStr">
        <is>
          <t>No Paid</t>
        </is>
      </c>
      <c r="CK2460" t="inlineStr">
        <is>
          <t>Not Eligible</t>
        </is>
      </c>
      <c r="CL2460"/>
      <c r="CM2460"/>
    </row>
    <row r="2461" ht="25.5" customHeight="1">
      <c r="A2461" t="inlineStr">
        <is>
          <t>203051</t>
        </is>
      </c>
      <c r="B2461" s="2"/>
      <c r="C2461"/>
      <c r="D2461" s="3">
        <v>46121.619618055556</v>
      </c>
      <c r="E2461" t="inlineStr">
        <is>
          <t>Q2-W01</t>
        </is>
      </c>
      <c r="F2461" t="inlineStr">
        <is>
          <t>Jia Hui</t>
        </is>
      </c>
      <c r="G2461" t="inlineStr">
        <is>
          <t>Customer</t>
        </is>
      </c>
      <c r="H2461" s="2" t="str">
        <f>=HYPERLINK("https://upbox.ajobthing.my/customer/203051", "https://upbox.ajobthing.my/customer/203051")</f>
        <v>https://upbox.ajobthing.my/customer/203051</v>
      </c>
      <c r="I2461" t="inlineStr">
        <is>
          <t>Prinstone Language Center</t>
        </is>
      </c>
      <c r="J2461" t="inlineStr">
        <is>
          <t>Dolphin</t>
        </is>
      </c>
      <c r="K2461" t="inlineStr">
        <is>
          <t>Jia Hui</t>
        </is>
      </c>
      <c r="L2461" s="4"/>
      <c r="M2461" s="4">
        <v>46121.61991898148</v>
      </c>
      <c r="N2461"/>
      <c r="O2461">
        <v>3888</v>
      </c>
      <c r="P2461" s="4"/>
      <c r="Q2461" s="4">
        <v>46121.62670138889</v>
      </c>
      <c r="R2461"/>
      <c r="S2461">
        <v>0</v>
      </c>
      <c r="T2461" s="4"/>
      <c r="U2461" s="4"/>
      <c r="V2461"/>
      <c r="W2461"/>
      <c r="X2461"/>
      <c r="Y2461" t="inlineStr">
        <is>
          <t>Pending Appointment</t>
        </is>
      </c>
      <c r="Z2461" t="inlineStr">
        <is>
          <t>Hiring Now</t>
        </is>
      </c>
      <c r="AA2461">
        <v>2</v>
      </c>
      <c r="AB2461" t="inlineStr">
        <is>
          <t>No Appointment Made</t>
        </is>
      </c>
      <c r="AC2461"/>
      <c r="AD2461" t="inlineStr">
        <is>
          <t>1 sales consultant, 1 english teacher</t>
        </is>
      </c>
      <c r="AE2461"/>
      <c r="AF2461">
        <v>500</v>
      </c>
      <c r="AG2461" s="4"/>
      <c r="AH2461" s="4"/>
      <c r="AI2461"/>
      <c r="AJ2461"/>
      <c r="AK2461" t="inlineStr">
        <is>
          <t>No, but I want in future</t>
        </is>
      </c>
      <c r="AL2461"/>
      <c r="AM2461"/>
      <c r="AN2461"/>
      <c r="AO2461"/>
      <c r="AP2461" t="inlineStr">
        <is>
          <t>Once a year (25%)</t>
        </is>
      </c>
      <c r="AQ2461"/>
      <c r="AR2461"/>
      <c r="AS2461" t="inlineStr">
        <is>
          <t>- Headcount: 2
- Hiring Job Details: 1 sales consultant, 1 english teacher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461">
        <v>95</v>
      </c>
      <c r="AU2461" t="inlineStr">
        <is>
          <t>0.95</t>
        </is>
      </c>
      <c r="AV2461" t="inlineStr">
        <is>
          <t>15</t>
        </is>
      </c>
      <c r="AW2461" t="inlineStr">
        <is>
          <t>0</t>
        </is>
      </c>
      <c r="AX2461" t="inlineStr">
        <is>
          <t>Not Qualified</t>
        </is>
      </c>
      <c r="AY2461" s="4"/>
      <c r="AZ2461"/>
      <c r="BA2461"/>
      <c r="BB2461"/>
      <c r="BC2461" t="inlineStr">
        <is>
          <t>no hiring at the moment, plan to publish job ads on June, will f/up end of May</t>
        </is>
      </c>
      <c r="BD2461" s="4">
        <v>46142.63792824074</v>
      </c>
      <c r="BE2461" t="inlineStr">
        <is>
          <t>paid</t>
        </is>
      </c>
      <c r="BF2461"/>
      <c r="BG2461" t="inlineStr">
        <is>
          <t>Reschedule</t>
        </is>
      </c>
      <c r="BH2461" t="inlineStr">
        <is>
          <t>Reagen</t>
        </is>
      </c>
      <c r="BI2461" t="inlineStr">
        <is>
          <t>Education / Training</t>
        </is>
      </c>
      <c r="BJ2461" s="4">
        <v>46144.75418981481</v>
      </c>
      <c r="BK2461" s="4">
        <v>46121.60800925926</v>
      </c>
      <c r="BL2461" t="inlineStr">
        <is>
          <t>0.0</t>
        </is>
      </c>
      <c r="BM2461" t="inlineStr">
        <is>
          <t>1800.0</t>
        </is>
      </c>
      <c r="BN2461" t="inlineStr">
        <is>
          <t>User Visit(Logged In)</t>
        </is>
      </c>
      <c r="BO2461" s="4">
        <v>46122.68405092593</v>
      </c>
      <c r="BP2461">
        <v>166218</v>
      </c>
      <c r="BQ2461">
        <v>121360</v>
      </c>
      <c r="BR2461" t="inlineStr">
        <is>
          <t>Proforma</t>
        </is>
      </c>
      <c r="BS2461" t="inlineStr">
        <is>
          <t>Free Internship Job</t>
        </is>
      </c>
      <c r="BT2461"/>
      <c r="BU2461"/>
      <c r="BV2461">
        <v>2737930</v>
      </c>
      <c r="BW2461" t="inlineStr">
        <is>
          <t>Inquire for Hiring Needs : No Hiring</t>
        </is>
      </c>
      <c r="BX2461"/>
      <c r="BY2461"/>
      <c r="BZ2461" s="4"/>
      <c r="CA2461"/>
      <c r="CB2461"/>
      <c r="CC2461" s="4"/>
      <c r="CD2461" t="inlineStr">
        <is>
          <t>20</t>
        </is>
      </c>
      <c r="CE2461" t="inlineStr">
        <is>
          <t>0</t>
        </is>
      </c>
      <c r="CF2461" t="inlineStr">
        <is>
          <t>Q2-W01</t>
        </is>
      </c>
      <c r="CG2461" t="inlineStr">
        <is>
          <t>Q2-W01</t>
        </is>
      </c>
      <c r="CH2461"/>
      <c r="CI2461"/>
      <c r="CJ2461" t="inlineStr">
        <is>
          <t>No Paid</t>
        </is>
      </c>
      <c r="CK2461" t="inlineStr">
        <is>
          <t>Not Eligible</t>
        </is>
      </c>
      <c r="CL2461"/>
      <c r="CM2461"/>
    </row>
    <row r="2462" ht="25.5" customHeight="1">
      <c r="A2462" t="inlineStr">
        <is>
          <t>197054</t>
        </is>
      </c>
      <c r="B2462" s="2"/>
      <c r="C2462"/>
      <c r="D2462" s="3">
        <v>46121.620625</v>
      </c>
      <c r="E2462" t="inlineStr">
        <is>
          <t>Q2-W01</t>
        </is>
      </c>
      <c r="F2462" t="inlineStr">
        <is>
          <t>Guest User 33300</t>
        </is>
      </c>
      <c r="G2462" t="inlineStr">
        <is>
          <t>Customer</t>
        </is>
      </c>
      <c r="H2462" s="2" t="str">
        <f>=HYPERLINK("https://upbox.ajobthing.my/customer/197054", "https://upbox.ajobthing.my/customer/197054")</f>
        <v>https://upbox.ajobthing.my/customer/197054</v>
      </c>
      <c r="I2462" t="inlineStr">
        <is>
          <t>Lymans Technologies Sdn Bhd</t>
        </is>
      </c>
      <c r="J2462" t="inlineStr">
        <is>
          <t>Dolphin</t>
        </is>
      </c>
      <c r="K2462" t="inlineStr">
        <is>
          <t>Fariz</t>
        </is>
      </c>
      <c r="L2462" s="4"/>
      <c r="M2462" s="4">
        <v>46121.640856481485</v>
      </c>
      <c r="N2462"/>
      <c r="O2462">
        <v>1728</v>
      </c>
      <c r="P2462" s="4"/>
      <c r="Q2462" s="4">
        <v>46056.45523148148</v>
      </c>
      <c r="R2462"/>
      <c r="S2462">
        <v>3672</v>
      </c>
      <c r="T2462" s="4">
        <v>46056.45523148148</v>
      </c>
      <c r="U2462" s="4"/>
      <c r="V2462"/>
      <c r="W2462">
        <v>3672</v>
      </c>
      <c r="X2462"/>
      <c r="Y2462" t="inlineStr">
        <is>
          <t>Pending Appointment</t>
        </is>
      </c>
      <c r="Z2462" t="inlineStr">
        <is>
          <t>Hiring Now</t>
        </is>
      </c>
      <c r="AA2462">
        <v>1</v>
      </c>
      <c r="AB2462" t="inlineStr">
        <is>
          <t>No Appointment Made</t>
        </is>
      </c>
      <c r="AC2462"/>
      <c r="AD2462" t="inlineStr">
        <is>
          <t>1. Admin</t>
        </is>
      </c>
      <c r="AE2462"/>
      <c r="AF2462">
        <v>600</v>
      </c>
      <c r="AG2462" s="4"/>
      <c r="AH2462" s="4"/>
      <c r="AI2462">
        <v>600</v>
      </c>
      <c r="AJ2462"/>
      <c r="AK2462" t="inlineStr">
        <is>
          <t>Yes, I have</t>
        </is>
      </c>
      <c r="AL2462">
        <v>1</v>
      </c>
      <c r="AM2462" t="inlineStr">
        <is>
          <t>No, I don't need at all</t>
        </is>
      </c>
      <c r="AN2462"/>
      <c r="AO2462" t="inlineStr">
        <is>
          <t>Yes, I have</t>
        </is>
      </c>
      <c r="AP2462" t="inlineStr">
        <is>
          <t>Once a year (25%)</t>
        </is>
      </c>
      <c r="AQ2462">
        <v>1</v>
      </c>
      <c r="AR2462" t="inlineStr">
        <is>
          <t>Free Job Portal, Jobstreet</t>
        </is>
      </c>
      <c r="AS2462" t="inlineStr">
        <is>
          <t>- Headcount: 1
- Hiring Job Details: 1 Admin
- Hiring Urgency: Hiring Now
- Number of outlets: Not specified
- Have recruiter team: Yes
- Number of recruiter in company: 1
- Have ATS system: No, I don't need at all
- Have career website: Yes
- Current hiring budget: RM600
- Whole year budget: RM600.00
- Whole year number of vacancies: 1
- Hiring frequency: Once a year (25%)
- External job portal: Free Job Portal, Jobstreet</t>
        </is>
      </c>
      <c r="AT2462">
        <v>110</v>
      </c>
      <c r="AU2462" t="inlineStr">
        <is>
          <t>1.10</t>
        </is>
      </c>
      <c r="AV2462" t="inlineStr">
        <is>
          <t>15</t>
        </is>
      </c>
      <c r="AW2462" t="inlineStr">
        <is>
          <t>0</t>
        </is>
      </c>
      <c r="AX2462" t="inlineStr">
        <is>
          <t>Not Qualified</t>
        </is>
      </c>
      <c r="AY2462" s="4"/>
      <c r="AZ2462"/>
      <c r="BA2462"/>
      <c r="BB2462"/>
      <c r="BC2462" t="inlineStr">
        <is>
          <t>said, still not decide yet. will let me know once his bos confirm</t>
        </is>
      </c>
      <c r="BD2462" s="4">
        <v>46125.60172453704</v>
      </c>
      <c r="BE2462" t="inlineStr">
        <is>
          <t>paid</t>
        </is>
      </c>
      <c r="BF2462" t="inlineStr">
        <is>
          <t>Q1-W05</t>
        </is>
      </c>
      <c r="BG2462" t="inlineStr">
        <is>
          <t>Reschedule</t>
        </is>
      </c>
      <c r="BH2462"/>
      <c r="BI2462" t="inlineStr">
        <is>
          <t>Transportation / Logistics</t>
        </is>
      </c>
      <c r="BJ2462" s="4">
        <v>46144.752858796295</v>
      </c>
      <c r="BK2462" s="4">
        <v>45939.610243055555</v>
      </c>
      <c r="BL2462" t="inlineStr">
        <is>
          <t>3672.0</t>
        </is>
      </c>
      <c r="BM2462" t="inlineStr">
        <is>
          <t>0.0</t>
        </is>
      </c>
      <c r="BN2462" t="inlineStr">
        <is>
          <t>User Visit(Logged In)</t>
        </is>
      </c>
      <c r="BO2462" s="4">
        <v>46140.405798611115</v>
      </c>
      <c r="BP2462">
        <v>166232</v>
      </c>
      <c r="BQ2462">
        <v>86343</v>
      </c>
      <c r="BR2462" t="inlineStr">
        <is>
          <t>Online</t>
        </is>
      </c>
      <c r="BS2462"/>
      <c r="BT2462">
        <v>86343</v>
      </c>
      <c r="BU2462"/>
      <c r="BV2462">
        <v>2700934</v>
      </c>
      <c r="BW2462" t="inlineStr">
        <is>
          <t>Follow Up : Decision Pending</t>
        </is>
      </c>
      <c r="BX2462">
        <v>1</v>
      </c>
      <c r="BY2462">
        <v>-2</v>
      </c>
      <c r="BZ2462" s="4">
        <v>46100.40190972222</v>
      </c>
      <c r="CA2462">
        <v>145</v>
      </c>
      <c r="CB2462">
        <v>145</v>
      </c>
      <c r="CC2462" s="4"/>
      <c r="CD2462" t="inlineStr">
        <is>
          <t>20</t>
        </is>
      </c>
      <c r="CE2462" t="inlineStr">
        <is>
          <t>0</t>
        </is>
      </c>
      <c r="CF2462" t="inlineStr">
        <is>
          <t>Q2-W01</t>
        </is>
      </c>
      <c r="CG2462" t="inlineStr">
        <is>
          <t>Q1-W05</t>
        </is>
      </c>
      <c r="CH2462" t="inlineStr">
        <is>
          <t>Q1-W05</t>
        </is>
      </c>
      <c r="CI2462"/>
      <c r="CJ2462" t="inlineStr">
        <is>
          <t>Paid</t>
        </is>
      </c>
      <c r="CK2462" t="inlineStr">
        <is>
          <t>Not Eligible</t>
        </is>
      </c>
      <c r="CL2462"/>
      <c r="CM2462"/>
    </row>
    <row r="2463" ht="25.5" customHeight="1">
      <c r="A2463" t="inlineStr">
        <is>
          <t>170412</t>
        </is>
      </c>
      <c r="B2463" s="2"/>
      <c r="C2463"/>
      <c r="D2463" s="3">
        <v>46121.63072916667</v>
      </c>
      <c r="E2463" t="inlineStr">
        <is>
          <t>Q2-W01</t>
        </is>
      </c>
      <c r="F2463" t="inlineStr">
        <is>
          <t>Carmen</t>
        </is>
      </c>
      <c r="G2463" t="inlineStr">
        <is>
          <t>Customer</t>
        </is>
      </c>
      <c r="H2463" s="2" t="str">
        <f>=HYPERLINK("https://upbox.ajobthing.my/customer/170412", "https://upbox.ajobthing.my/customer/170412")</f>
        <v>https://upbox.ajobthing.my/customer/170412</v>
      </c>
      <c r="I2463" t="inlineStr">
        <is>
          <t>Asfa Pine Resources</t>
        </is>
      </c>
      <c r="J2463" t="inlineStr">
        <is>
          <t>Dolphin</t>
        </is>
      </c>
      <c r="K2463" t="inlineStr">
        <is>
          <t>Carmen</t>
        </is>
      </c>
      <c r="L2463" s="4"/>
      <c r="M2463" s="4">
        <v>46121.63087962963</v>
      </c>
      <c r="N2463"/>
      <c r="O2463">
        <v>3888</v>
      </c>
      <c r="P2463" s="4"/>
      <c r="Q2463" s="4">
        <v>45854.60126157408</v>
      </c>
      <c r="R2463"/>
      <c r="S2463">
        <v>648</v>
      </c>
      <c r="T2463" s="4">
        <v>45854.60126157408</v>
      </c>
      <c r="U2463" s="4"/>
      <c r="V2463"/>
      <c r="W2463">
        <v>648</v>
      </c>
      <c r="X2463"/>
      <c r="Y2463" t="inlineStr">
        <is>
          <t>Pending Appointment</t>
        </is>
      </c>
      <c r="Z2463" t="inlineStr">
        <is>
          <t>Hiring Later</t>
        </is>
      </c>
      <c r="AA2463">
        <v>3</v>
      </c>
      <c r="AB2463" t="inlineStr">
        <is>
          <t>No Appointment Made</t>
        </is>
      </c>
      <c r="AC2463"/>
      <c r="AD2463" t="inlineStr">
        <is>
          <t>3 salesperson</t>
        </is>
      </c>
      <c r="AE2463"/>
      <c r="AF2463">
        <v>0</v>
      </c>
      <c r="AG2463" s="4"/>
      <c r="AH2463" s="4"/>
      <c r="AI2463"/>
      <c r="AJ2463"/>
      <c r="AK2463"/>
      <c r="AL2463"/>
      <c r="AM2463"/>
      <c r="AN2463"/>
      <c r="AO2463"/>
      <c r="AP2463"/>
      <c r="AQ2463"/>
      <c r="AR2463"/>
      <c r="AS2463" t="inlineStr">
        <is>
          <t>- Headcount: 3
- Hiring Job Details: 3 salesperson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2463">
        <v>65</v>
      </c>
      <c r="AU2463" t="inlineStr">
        <is>
          <t>0.65</t>
        </is>
      </c>
      <c r="AV2463" t="inlineStr">
        <is>
          <t>15</t>
        </is>
      </c>
      <c r="AW2463" t="inlineStr">
        <is>
          <t>0</t>
        </is>
      </c>
      <c r="AX2463" t="inlineStr">
        <is>
          <t>Not Qualified</t>
        </is>
      </c>
      <c r="AY2463" s="4"/>
      <c r="AZ2463"/>
      <c r="BA2463"/>
      <c r="BB2463"/>
      <c r="BC2463" t="inlineStr">
        <is>
          <t>- Headcount: 3
- Hiring Job Details: 3 salesperson
- Hiring Urgency: Hiring Later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BD2463" s="4">
        <v>46121.66670138889</v>
      </c>
      <c r="BE2463" t="inlineStr">
        <is>
          <t>paid</t>
        </is>
      </c>
      <c r="BF2463"/>
      <c r="BG2463" t="inlineStr">
        <is>
          <t>Reschedule</t>
        </is>
      </c>
      <c r="BH2463" t="inlineStr">
        <is>
          <t>Reagen</t>
        </is>
      </c>
      <c r="BI2463" t="inlineStr">
        <is>
          <t>Manufacturing / Production</t>
        </is>
      </c>
      <c r="BJ2463" s="4">
        <v>46144.75140046296</v>
      </c>
      <c r="BK2463" s="4">
        <v>45160.68027777778</v>
      </c>
      <c r="BL2463" t="inlineStr">
        <is>
          <t>648.0</t>
        </is>
      </c>
      <c r="BM2463" t="inlineStr">
        <is>
          <t>600.0</t>
        </is>
      </c>
      <c r="BN2463" t="inlineStr">
        <is>
          <t>PA Email CTA Click</t>
        </is>
      </c>
      <c r="BO2463" s="4">
        <v>45869.53188657408</v>
      </c>
      <c r="BP2463">
        <v>166224</v>
      </c>
      <c r="BQ2463">
        <v>80797</v>
      </c>
      <c r="BR2463" t="inlineStr">
        <is>
          <t>Online</t>
        </is>
      </c>
      <c r="BS2463"/>
      <c r="BT2463">
        <v>80797</v>
      </c>
      <c r="BU2463"/>
      <c r="BV2463">
        <v>2696523</v>
      </c>
      <c r="BW2463" t="inlineStr">
        <is>
          <t>Customer Inquiry</t>
        </is>
      </c>
      <c r="BX2463"/>
      <c r="BY2463"/>
      <c r="BZ2463" s="4"/>
      <c r="CA2463"/>
      <c r="CB2463"/>
      <c r="CC2463" s="4"/>
      <c r="CD2463" t="inlineStr">
        <is>
          <t>20</t>
        </is>
      </c>
      <c r="CE2463" t="inlineStr">
        <is>
          <t>0</t>
        </is>
      </c>
      <c r="CF2463" t="inlineStr">
        <is>
          <t>Q2-W01</t>
        </is>
      </c>
      <c r="CG2463"/>
      <c r="CH2463"/>
      <c r="CI2463"/>
      <c r="CJ2463" t="inlineStr">
        <is>
          <t>Paid</t>
        </is>
      </c>
      <c r="CK2463" t="inlineStr">
        <is>
          <t>Not Eligible</t>
        </is>
      </c>
      <c r="CL2463"/>
      <c r="CM2463"/>
    </row>
    <row r="2464" ht="25.5" customHeight="1">
      <c r="A2464" t="inlineStr">
        <is>
          <t>203057</t>
        </is>
      </c>
      <c r="B2464" s="2"/>
      <c r="C2464"/>
      <c r="D2464" s="3">
        <v>46121.63900462963</v>
      </c>
      <c r="E2464" t="inlineStr">
        <is>
          <t>Q2-W01</t>
        </is>
      </c>
      <c r="F2464" t="inlineStr">
        <is>
          <t>Keegan</t>
        </is>
      </c>
      <c r="G2464" t="inlineStr">
        <is>
          <t>Customer</t>
        </is>
      </c>
      <c r="H2464" s="2" t="str">
        <f>=HYPERLINK("https://upbox.ajobthing.my/customer/203057", "https://upbox.ajobthing.my/customer/203057")</f>
        <v>https://upbox.ajobthing.my/customer/203057</v>
      </c>
      <c r="I2464" t="inlineStr">
        <is>
          <t>JOY N PARK SDN BHD</t>
        </is>
      </c>
      <c r="J2464" t="inlineStr">
        <is>
          <t>Dolphin</t>
        </is>
      </c>
      <c r="K2464" t="inlineStr">
        <is>
          <t>Keegan</t>
        </is>
      </c>
      <c r="L2464" s="4"/>
      <c r="M2464" s="4">
        <v>46121.639236111114</v>
      </c>
      <c r="N2464"/>
      <c r="O2464">
        <v>3672</v>
      </c>
      <c r="P2464" s="4"/>
      <c r="Q2464" s="4"/>
      <c r="R2464"/>
      <c r="S2464"/>
      <c r="T2464" s="4"/>
      <c r="U2464" s="4"/>
      <c r="V2464"/>
      <c r="W2464"/>
      <c r="X2464"/>
      <c r="Y2464" t="inlineStr">
        <is>
          <t>Pending Appointment</t>
        </is>
      </c>
      <c r="Z2464" t="inlineStr">
        <is>
          <t>Hiring Now</t>
        </is>
      </c>
      <c r="AA2464">
        <v>1</v>
      </c>
      <c r="AB2464" t="inlineStr">
        <is>
          <t>No Appointment Made</t>
        </is>
      </c>
      <c r="AC2464"/>
      <c r="AD2464" t="inlineStr">
        <is>
          <t xml:space="preserve">1. Operation Site Manager </t>
        </is>
      </c>
      <c r="AE2464"/>
      <c r="AF2464"/>
      <c r="AG2464" s="4"/>
      <c r="AH2464" s="4"/>
      <c r="AI2464"/>
      <c r="AJ2464">
        <v>1</v>
      </c>
      <c r="AK2464" t="inlineStr">
        <is>
          <t>No, I don't need at all</t>
        </is>
      </c>
      <c r="AL2464">
        <v>0</v>
      </c>
      <c r="AM2464" t="inlineStr">
        <is>
          <t>No, I don't need at all</t>
        </is>
      </c>
      <c r="AN2464"/>
      <c r="AO2464" t="inlineStr">
        <is>
          <t>No, I don't need at all</t>
        </is>
      </c>
      <c r="AP2464" t="inlineStr">
        <is>
          <t>Once per quarter (75%)</t>
        </is>
      </c>
      <c r="AQ2464"/>
      <c r="AR2464" t="inlineStr">
        <is>
          <t>Did not use any job portal</t>
        </is>
      </c>
      <c r="AS2464" t="inlineStr">
        <is>
          <t>- Headcount: 1
- Hiring Job Details: 1 Operation Site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464">
        <v>100</v>
      </c>
      <c r="AU2464" t="inlineStr">
        <is>
          <t>1.00</t>
        </is>
      </c>
      <c r="AV2464" t="inlineStr">
        <is>
          <t>5</t>
        </is>
      </c>
      <c r="AW2464" t="inlineStr">
        <is>
          <t>0</t>
        </is>
      </c>
      <c r="AX2464" t="inlineStr">
        <is>
          <t>Not Qualified</t>
        </is>
      </c>
      <c r="AY2464" s="4"/>
      <c r="AZ2464"/>
      <c r="BA2464"/>
      <c r="BB2464"/>
      <c r="BC2464" t="inlineStr">
        <is>
          <t>Hiring plan postponed</t>
        </is>
      </c>
      <c r="BD2464" s="4">
        <v>46125.64041666667</v>
      </c>
      <c r="BE2464"/>
      <c r="BF2464"/>
      <c r="BG2464" t="inlineStr">
        <is>
          <t>Reschedule</t>
        </is>
      </c>
      <c r="BH2464" t="inlineStr">
        <is>
          <t>Edward Hoo</t>
        </is>
      </c>
      <c r="BI2464"/>
      <c r="BJ2464" s="4">
        <v>46144.75418981481</v>
      </c>
      <c r="BK2464" s="4">
        <v>46121.63313657408</v>
      </c>
      <c r="BL2464" t="inlineStr">
        <is>
          <t>0.0</t>
        </is>
      </c>
      <c r="BM2464" t="inlineStr">
        <is>
          <t>1800.0</t>
        </is>
      </c>
      <c r="BN2464"/>
      <c r="BO2464" s="4"/>
      <c r="BP2464">
        <v>166229</v>
      </c>
      <c r="BQ2464"/>
      <c r="BR2464"/>
      <c r="BS2464"/>
      <c r="BT2464"/>
      <c r="BU2464"/>
      <c r="BV2464">
        <v>2701231</v>
      </c>
      <c r="BW2464" t="inlineStr">
        <is>
          <t>Follow Up : Lost - Free Portal</t>
        </is>
      </c>
      <c r="BX2464"/>
      <c r="BY2464"/>
      <c r="BZ2464" s="4"/>
      <c r="CA2464"/>
      <c r="CB2464"/>
      <c r="CC2464" s="4"/>
      <c r="CD2464" t="inlineStr">
        <is>
          <t>5</t>
        </is>
      </c>
      <c r="CE2464" t="inlineStr">
        <is>
          <t>0</t>
        </is>
      </c>
      <c r="CF2464" t="inlineStr">
        <is>
          <t>Q2-W01</t>
        </is>
      </c>
      <c r="CG2464"/>
      <c r="CH2464"/>
      <c r="CI2464"/>
      <c r="CJ2464" t="inlineStr">
        <is>
          <t>No Paid</t>
        </is>
      </c>
      <c r="CK2464" t="inlineStr">
        <is>
          <t>Not Eligible</t>
        </is>
      </c>
      <c r="CL2464"/>
      <c r="CM2464"/>
    </row>
    <row r="2465" ht="25.5" customHeight="1">
      <c r="A2465" t="inlineStr">
        <is>
          <t>188576</t>
        </is>
      </c>
      <c r="B2465" s="2"/>
      <c r="C2465"/>
      <c r="D2465" s="3">
        <v>46121.640856481485</v>
      </c>
      <c r="E2465" t="inlineStr">
        <is>
          <t>Q2-W01</t>
        </is>
      </c>
      <c r="F2465" t="inlineStr">
        <is>
          <t>Keegan</t>
        </is>
      </c>
      <c r="G2465" t="inlineStr">
        <is>
          <t>Customer</t>
        </is>
      </c>
      <c r="H2465" s="2" t="str">
        <f>=HYPERLINK("https://upbox.ajobthing.my/customer/188576", "https://upbox.ajobthing.my/customer/188576")</f>
        <v>https://upbox.ajobthing.my/customer/188576</v>
      </c>
      <c r="I2465" t="inlineStr">
        <is>
          <t>QE Group (M) Sdn Bhd</t>
        </is>
      </c>
      <c r="J2465" t="inlineStr">
        <is>
          <t>Dolphin</t>
        </is>
      </c>
      <c r="K2465" t="inlineStr">
        <is>
          <t>Keegan</t>
        </is>
      </c>
      <c r="L2465" s="4"/>
      <c r="M2465" s="4">
        <v>46140.56928240741</v>
      </c>
      <c r="N2465"/>
      <c r="O2465">
        <v>3576.96</v>
      </c>
      <c r="P2465" s="4"/>
      <c r="Q2465" s="4">
        <v>46140.72819444445</v>
      </c>
      <c r="R2465"/>
      <c r="S2465">
        <v>3576.96</v>
      </c>
      <c r="T2465" s="4">
        <v>46140.72819444445</v>
      </c>
      <c r="U2465" s="4"/>
      <c r="V2465"/>
      <c r="W2465">
        <v>3576.96</v>
      </c>
      <c r="X2465"/>
      <c r="Y2465" t="inlineStr">
        <is>
          <t>Pending Appointment</t>
        </is>
      </c>
      <c r="Z2465" t="inlineStr">
        <is>
          <t>Hiring Now</t>
        </is>
      </c>
      <c r="AA2465">
        <v>2</v>
      </c>
      <c r="AB2465" t="inlineStr">
        <is>
          <t>No Appointment Made</t>
        </is>
      </c>
      <c r="AC2465"/>
      <c r="AD2465" t="inlineStr">
        <is>
          <t>1. Sales 
2. BD</t>
        </is>
      </c>
      <c r="AE2465"/>
      <c r="AF2465"/>
      <c r="AG2465" s="4"/>
      <c r="AH2465" s="4"/>
      <c r="AI2465"/>
      <c r="AJ2465">
        <v>1</v>
      </c>
      <c r="AK2465" t="inlineStr">
        <is>
          <t>No, I don't need at all</t>
        </is>
      </c>
      <c r="AL2465">
        <v>0</v>
      </c>
      <c r="AM2465" t="inlineStr">
        <is>
          <t>No, I don't need at all</t>
        </is>
      </c>
      <c r="AN2465"/>
      <c r="AO2465" t="inlineStr">
        <is>
          <t>No, I don't need at all</t>
        </is>
      </c>
      <c r="AP2465" t="inlineStr">
        <is>
          <t>Once per quarter (75%)</t>
        </is>
      </c>
      <c r="AQ2465"/>
      <c r="AR2465" t="inlineStr">
        <is>
          <t>Did not use any job portal</t>
        </is>
      </c>
      <c r="AS2465" t="inlineStr">
        <is>
          <t>- Headcount: 2
- Hiring Job Details: 1. Sales 2. BD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465">
        <v>85</v>
      </c>
      <c r="AU2465" t="inlineStr">
        <is>
          <t>0.85</t>
        </is>
      </c>
      <c r="AV2465" t="inlineStr">
        <is>
          <t>5</t>
        </is>
      </c>
      <c r="AW2465" t="inlineStr">
        <is>
          <t>0</t>
        </is>
      </c>
      <c r="AX2465" t="inlineStr">
        <is>
          <t>Not Qualified</t>
        </is>
      </c>
      <c r="AY2465" s="4"/>
      <c r="AZ2465"/>
      <c r="BA2465"/>
      <c r="BB2465"/>
      <c r="BC2465" t="inlineStr">
        <is>
          <t>Job posting request and payment made</t>
        </is>
      </c>
      <c r="BD2465" s="4">
        <v>46142.49150462963</v>
      </c>
      <c r="BE2465" t="inlineStr">
        <is>
          <t>paid</t>
        </is>
      </c>
      <c r="BF2465" t="inlineStr">
        <is>
          <t>Q2-W04</t>
        </is>
      </c>
      <c r="BG2465" t="inlineStr">
        <is>
          <t>Reschedule</t>
        </is>
      </c>
      <c r="BH2465" t="inlineStr">
        <is>
          <t>Edward Hoo</t>
        </is>
      </c>
      <c r="BI2465" t="inlineStr">
        <is>
          <t>Food / Beverage</t>
        </is>
      </c>
      <c r="BJ2465" s="4">
        <v>46144.75224537037</v>
      </c>
      <c r="BK2465" s="4">
        <v>45723.6483912037</v>
      </c>
      <c r="BL2465" t="inlineStr">
        <is>
          <t>3576.0</t>
        </is>
      </c>
      <c r="BM2465" t="inlineStr">
        <is>
          <t>0.0</t>
        </is>
      </c>
      <c r="BN2465" t="inlineStr">
        <is>
          <t>View Jobmanager Page</t>
        </is>
      </c>
      <c r="BO2465" s="4">
        <v>46142.49417824074</v>
      </c>
      <c r="BP2465">
        <v>169237</v>
      </c>
      <c r="BQ2465">
        <v>7737</v>
      </c>
      <c r="BR2465" t="inlineStr">
        <is>
          <t>Manual (Paid)</t>
        </is>
      </c>
      <c r="BS2465"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2 months 
- AI Capability for each AI Job Ad
- AI Instant Match for 30 profiles
- AI Daily Talent Recommendation for 2 profiles daily
- AI "Open to Work" Detector for 2 profiles
- AI Smart Filter
- AI Post Job Assistant
- Ajobthing CARE
Remark :- 
1. Extra 10 candidate search token 
2. Free 5 booster per posting 
3. Extra 15 days duration per posting</t>
        </is>
      </c>
      <c r="BT2465">
        <v>7737</v>
      </c>
      <c r="BU2465"/>
      <c r="BV2465">
        <v>2737232</v>
      </c>
      <c r="BW2465" t="inlineStr">
        <is>
          <t>Follow Up : Win - Customer Paid</t>
        </is>
      </c>
      <c r="BX2465">
        <v>6</v>
      </c>
      <c r="BY2465">
        <v>5</v>
      </c>
      <c r="BZ2465" s="4">
        <v>46142.49344907407</v>
      </c>
      <c r="CA2465">
        <v>70</v>
      </c>
      <c r="CB2465">
        <v>70</v>
      </c>
      <c r="CC2465" s="4"/>
      <c r="CD2465" t="inlineStr">
        <is>
          <t>5</t>
        </is>
      </c>
      <c r="CE2465" t="inlineStr">
        <is>
          <t>0</t>
        </is>
      </c>
      <c r="CF2465" t="inlineStr">
        <is>
          <t>Q2-W04</t>
        </is>
      </c>
      <c r="CG2465" t="inlineStr">
        <is>
          <t>Q2-W04</t>
        </is>
      </c>
      <c r="CH2465" t="inlineStr">
        <is>
          <t>Q2-W04</t>
        </is>
      </c>
      <c r="CI2465"/>
      <c r="CJ2465" t="inlineStr">
        <is>
          <t>Paid</t>
        </is>
      </c>
      <c r="CK2465" t="inlineStr">
        <is>
          <t>Not Eligible</t>
        </is>
      </c>
      <c r="CL2465"/>
      <c r="CM2465"/>
    </row>
    <row r="2466" ht="25.5" customHeight="1">
      <c r="A2466" t="inlineStr">
        <is>
          <t>185774</t>
        </is>
      </c>
      <c r="B2466" s="2"/>
      <c r="C2466"/>
      <c r="D2466" s="3">
        <v>46121.64857638889</v>
      </c>
      <c r="E2466" t="inlineStr">
        <is>
          <t>Q2-W01</t>
        </is>
      </c>
      <c r="F2466" t="inlineStr">
        <is>
          <t>Ken Yi</t>
        </is>
      </c>
      <c r="G2466" t="inlineStr">
        <is>
          <t>Customer</t>
        </is>
      </c>
      <c r="H2466" s="2" t="str">
        <f>=HYPERLINK("https://upbox.ajobthing.my/customer/185774", "https://upbox.ajobthing.my/customer/185774")</f>
        <v>https://upbox.ajobthing.my/customer/185774</v>
      </c>
      <c r="I2466" t="inlineStr">
        <is>
          <t>Dezeno Sdn Bhd</t>
        </is>
      </c>
      <c r="J2466" t="inlineStr">
        <is>
          <t>Dolphin</t>
        </is>
      </c>
      <c r="K2466" t="inlineStr">
        <is>
          <t>Kenyi</t>
        </is>
      </c>
      <c r="L2466" s="4"/>
      <c r="M2466" s="4">
        <v>46121.64439814815</v>
      </c>
      <c r="N2466"/>
      <c r="O2466">
        <v>3888</v>
      </c>
      <c r="P2466" s="4"/>
      <c r="Q2466" s="4">
        <v>45756.613854166666</v>
      </c>
      <c r="R2466"/>
      <c r="S2466">
        <v>2916</v>
      </c>
      <c r="T2466" s="4">
        <v>45756.613854166666</v>
      </c>
      <c r="U2466" s="4"/>
      <c r="V2466"/>
      <c r="W2466">
        <v>2916</v>
      </c>
      <c r="X2466"/>
      <c r="Y2466" t="inlineStr">
        <is>
          <t>Pending Appointment</t>
        </is>
      </c>
      <c r="Z2466" t="inlineStr">
        <is>
          <t>Hiring Now</t>
        </is>
      </c>
      <c r="AA2466">
        <v>0</v>
      </c>
      <c r="AB2466" t="inlineStr">
        <is>
          <t>No Appointment Made</t>
        </is>
      </c>
      <c r="AC2466"/>
      <c r="AD2466" t="inlineStr">
        <is>
          <t>Renewal and future reference</t>
        </is>
      </c>
      <c r="AE2466"/>
      <c r="AF2466">
        <v>0</v>
      </c>
      <c r="AG2466" s="4"/>
      <c r="AH2466" s="4"/>
      <c r="AI2466">
        <v>0</v>
      </c>
      <c r="AJ2466">
        <v>1</v>
      </c>
      <c r="AK2466" t="inlineStr">
        <is>
          <t>Yes, I have</t>
        </is>
      </c>
      <c r="AL2466">
        <v>1</v>
      </c>
      <c r="AM2466" t="inlineStr">
        <is>
          <t>No, I don't need at all</t>
        </is>
      </c>
      <c r="AN2466"/>
      <c r="AO2466" t="inlineStr">
        <is>
          <t>No, I don't need at all</t>
        </is>
      </c>
      <c r="AP2466" t="inlineStr">
        <is>
          <t>Every month (100%)</t>
        </is>
      </c>
      <c r="AQ2466">
        <v>1</v>
      </c>
      <c r="AR2466" t="inlineStr">
        <is>
          <t>Did not use any job portal</t>
        </is>
      </c>
      <c r="AS2466" t="inlineStr">
        <is>
          <t>- Headcount: 0
- Hiring Job Details: Renewal and future reference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is>
      </c>
      <c r="AT2466">
        <v>75</v>
      </c>
      <c r="AU2466" t="inlineStr">
        <is>
          <t>0.75</t>
        </is>
      </c>
      <c r="AV2466" t="inlineStr">
        <is>
          <t>15</t>
        </is>
      </c>
      <c r="AW2466" t="inlineStr">
        <is>
          <t>0</t>
        </is>
      </c>
      <c r="AX2466" t="inlineStr">
        <is>
          <t>Not Qualified</t>
        </is>
      </c>
      <c r="AY2466" s="4"/>
      <c r="AZ2466"/>
      <c r="BA2466"/>
      <c r="BB2466"/>
      <c r="BC2466" t="inlineStr">
        <is>
          <t>Company actually mentioned that they are downsizing and not hiring at the moment, and customer would not have hiring for the past next few month</t>
        </is>
      </c>
      <c r="BD2466" s="4">
        <v>46135.63943287037</v>
      </c>
      <c r="BE2466" t="inlineStr">
        <is>
          <t>paid</t>
        </is>
      </c>
      <c r="BF2466"/>
      <c r="BG2466" t="inlineStr">
        <is>
          <t>Reschedule</t>
        </is>
      </c>
      <c r="BH2466" t="inlineStr">
        <is>
          <t>Fauziah Maharan</t>
        </is>
      </c>
      <c r="BI2466" t="inlineStr">
        <is>
          <t>Architecture / Interior Design</t>
        </is>
      </c>
      <c r="BJ2466" s="4">
        <v>46144.752071759256</v>
      </c>
      <c r="BK2466" s="4">
        <v>45639.31827546296</v>
      </c>
      <c r="BL2466" t="inlineStr">
        <is>
          <t>0.0</t>
        </is>
      </c>
      <c r="BM2466" t="inlineStr">
        <is>
          <t>600.0</t>
        </is>
      </c>
      <c r="BN2466" t="inlineStr">
        <is>
          <t>User Visit(Logged In)</t>
        </is>
      </c>
      <c r="BO2466" s="4">
        <v>46122.47310185185</v>
      </c>
      <c r="BP2466">
        <v>166239</v>
      </c>
      <c r="BQ2466">
        <v>78300</v>
      </c>
      <c r="BR2466" t="inlineStr">
        <is>
          <t>Online</t>
        </is>
      </c>
      <c r="BS2466"/>
      <c r="BT2466">
        <v>78300</v>
      </c>
      <c r="BU2466"/>
      <c r="BV2466">
        <v>2723891</v>
      </c>
      <c r="BW2466" t="inlineStr">
        <is>
          <t>Follow Up : Budget Concern</t>
        </is>
      </c>
      <c r="BX2466"/>
      <c r="BY2466"/>
      <c r="BZ2466" s="4"/>
      <c r="CA2466"/>
      <c r="CB2466"/>
      <c r="CC2466" s="4"/>
      <c r="CD2466" t="inlineStr">
        <is>
          <t>20</t>
        </is>
      </c>
      <c r="CE2466" t="inlineStr">
        <is>
          <t>0</t>
        </is>
      </c>
      <c r="CF2466" t="inlineStr">
        <is>
          <t>Q2-W01</t>
        </is>
      </c>
      <c r="CG2466"/>
      <c r="CH2466"/>
      <c r="CI2466"/>
      <c r="CJ2466" t="inlineStr">
        <is>
          <t>Paid</t>
        </is>
      </c>
      <c r="CK2466" t="inlineStr">
        <is>
          <t>Not Eligible</t>
        </is>
      </c>
      <c r="CL2466"/>
      <c r="CM2466"/>
    </row>
    <row r="2467" ht="25.5" customHeight="1">
      <c r="A2467" t="inlineStr">
        <is>
          <t>147446</t>
        </is>
      </c>
      <c r="B2467" s="2"/>
      <c r="C2467"/>
      <c r="D2467" s="3">
        <v>46121.65059027778</v>
      </c>
      <c r="E2467" t="inlineStr">
        <is>
          <t>Q2-W01</t>
        </is>
      </c>
      <c r="F2467" t="inlineStr">
        <is>
          <t>Keegan</t>
        </is>
      </c>
      <c r="G2467" t="inlineStr">
        <is>
          <t>Customer</t>
        </is>
      </c>
      <c r="H2467" s="2" t="str">
        <f>=HYPERLINK("https://upbox.ajobthing.my/customer/147446", "https://upbox.ajobthing.my/customer/147446")</f>
        <v>https://upbox.ajobthing.my/customer/147446</v>
      </c>
      <c r="I2467" t="inlineStr">
        <is>
          <t xml:space="preserve"> Be Quinn Global Sdn Bhd</t>
        </is>
      </c>
      <c r="J2467" t="inlineStr">
        <is>
          <t>Dolphin</t>
        </is>
      </c>
      <c r="K2467" t="inlineStr">
        <is>
          <t>Keegan</t>
        </is>
      </c>
      <c r="L2467" s="4"/>
      <c r="M2467" s="4">
        <v>46128.61306712963</v>
      </c>
      <c r="N2467"/>
      <c r="O2467">
        <v>6048</v>
      </c>
      <c r="P2467" s="4"/>
      <c r="Q2467" s="4">
        <v>44711.74119212963</v>
      </c>
      <c r="R2467"/>
      <c r="S2467">
        <v>1749</v>
      </c>
      <c r="T2467" s="4">
        <v>44711.74119212963</v>
      </c>
      <c r="U2467" s="4"/>
      <c r="V2467"/>
      <c r="W2467">
        <v>1749</v>
      </c>
      <c r="X2467"/>
      <c r="Y2467" t="inlineStr">
        <is>
          <t>Pending Appointment</t>
        </is>
      </c>
      <c r="Z2467" t="inlineStr">
        <is>
          <t>Hiring Now</t>
        </is>
      </c>
      <c r="AA2467">
        <v>2</v>
      </c>
      <c r="AB2467" t="inlineStr">
        <is>
          <t>No Appointment Made</t>
        </is>
      </c>
      <c r="AC2467"/>
      <c r="AD2467" t="inlineStr">
        <is>
          <t xml:space="preserve">1. Admin 
2. Marketing </t>
        </is>
      </c>
      <c r="AE2467"/>
      <c r="AF2467"/>
      <c r="AG2467" s="4"/>
      <c r="AH2467" s="4"/>
      <c r="AI2467"/>
      <c r="AJ2467">
        <v>1</v>
      </c>
      <c r="AK2467" t="inlineStr">
        <is>
          <t>No, I don't need at all</t>
        </is>
      </c>
      <c r="AL2467">
        <v>0</v>
      </c>
      <c r="AM2467" t="inlineStr">
        <is>
          <t>No, I don't need at all</t>
        </is>
      </c>
      <c r="AN2467"/>
      <c r="AO2467" t="inlineStr">
        <is>
          <t>No, I don't need at all</t>
        </is>
      </c>
      <c r="AP2467" t="inlineStr">
        <is>
          <t>Once per quarter (75%)</t>
        </is>
      </c>
      <c r="AQ2467"/>
      <c r="AR2467" t="inlineStr">
        <is>
          <t>Did not use any job portal</t>
        </is>
      </c>
      <c r="AS2467" t="inlineStr">
        <is>
          <t>- Headcount: 2
- Hiring Job Details: 1. Admin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467">
        <v>75</v>
      </c>
      <c r="AU2467" t="inlineStr">
        <is>
          <t>0.75</t>
        </is>
      </c>
      <c r="AV2467" t="inlineStr">
        <is>
          <t>5</t>
        </is>
      </c>
      <c r="AW2467" t="inlineStr">
        <is>
          <t>0</t>
        </is>
      </c>
      <c r="AX2467" t="inlineStr">
        <is>
          <t>Not Qualified</t>
        </is>
      </c>
      <c r="AY2467" s="4"/>
      <c r="AZ2467"/>
      <c r="BA2467"/>
      <c r="BB2467"/>
      <c r="BC2467" t="inlineStr">
        <is>
          <t>- Headcount: 2
- Hiring Job Details: 1. Admin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467" s="4">
        <v>46128.6250462963</v>
      </c>
      <c r="BE2467" t="inlineStr">
        <is>
          <t>paid</t>
        </is>
      </c>
      <c r="BF2467"/>
      <c r="BG2467" t="inlineStr">
        <is>
          <t>Reschedule</t>
        </is>
      </c>
      <c r="BH2467" t="inlineStr">
        <is>
          <t>Edward Hoo</t>
        </is>
      </c>
      <c r="BI2467" t="inlineStr">
        <is>
          <t>Consumer Products / FMCG</t>
        </is>
      </c>
      <c r="BJ2467" s="4">
        <v>46144.75077546296</v>
      </c>
      <c r="BK2467" s="4">
        <v>44581.73310185185</v>
      </c>
      <c r="BL2467" t="inlineStr">
        <is>
          <t>0.0</t>
        </is>
      </c>
      <c r="BM2467" t="inlineStr">
        <is>
          <t>0.0</t>
        </is>
      </c>
      <c r="BN2467" t="inlineStr">
        <is>
          <t>View Jobmanager Page</t>
        </is>
      </c>
      <c r="BO2467" s="4">
        <v>44774.53989583333</v>
      </c>
      <c r="BP2467">
        <v>167414</v>
      </c>
      <c r="BQ2467">
        <v>45656</v>
      </c>
      <c r="BR2467" t="inlineStr">
        <is>
          <t>Online</t>
        </is>
      </c>
      <c r="BS2467"/>
      <c r="BT2467">
        <v>45656</v>
      </c>
      <c r="BU2467"/>
      <c r="BV2467">
        <v>2709625</v>
      </c>
      <c r="BW2467" t="inlineStr">
        <is>
          <t>Customer Inquiry</t>
        </is>
      </c>
      <c r="BX2467"/>
      <c r="BY2467"/>
      <c r="BZ2467" s="4"/>
      <c r="CA2467"/>
      <c r="CB2467"/>
      <c r="CC2467" s="4"/>
      <c r="CD2467" t="inlineStr">
        <is>
          <t>5</t>
        </is>
      </c>
      <c r="CE2467" t="inlineStr">
        <is>
          <t>0</t>
        </is>
      </c>
      <c r="CF2467" t="inlineStr">
        <is>
          <t>Q2-W02</t>
        </is>
      </c>
      <c r="CG2467"/>
      <c r="CH2467"/>
      <c r="CI2467"/>
      <c r="CJ2467" t="inlineStr">
        <is>
          <t>Paid</t>
        </is>
      </c>
      <c r="CK2467" t="inlineStr">
        <is>
          <t>Not Eligible</t>
        </is>
      </c>
      <c r="CL2467"/>
      <c r="CM2467"/>
    </row>
    <row r="2468" ht="25.5" customHeight="1">
      <c r="A2468" t="inlineStr">
        <is>
          <t>168539</t>
        </is>
      </c>
      <c r="B2468" s="2"/>
      <c r="C2468"/>
      <c r="D2468" s="3">
        <v>46121.65387731481</v>
      </c>
      <c r="E2468" t="inlineStr">
        <is>
          <t>Q2-W01</t>
        </is>
      </c>
      <c r="F2468" t="inlineStr">
        <is>
          <t>Eugene</t>
        </is>
      </c>
      <c r="G2468" t="inlineStr">
        <is>
          <t>Customer</t>
        </is>
      </c>
      <c r="H2468" s="2" t="str">
        <f>=HYPERLINK("https://upbox.ajobthing.my/customer/168539", "https://upbox.ajobthing.my/customer/168539")</f>
        <v>https://upbox.ajobthing.my/customer/168539</v>
      </c>
      <c r="I2468" t="inlineStr">
        <is>
          <t>Sublime Telecom Sdn Bhd</t>
        </is>
      </c>
      <c r="J2468" t="inlineStr">
        <is>
          <t>Dolphin</t>
        </is>
      </c>
      <c r="K2468" t="inlineStr">
        <is>
          <t>Eugene</t>
        </is>
      </c>
      <c r="L2468" s="4"/>
      <c r="M2468" s="4">
        <v>46121.65394675926</v>
      </c>
      <c r="N2468"/>
      <c r="O2468">
        <v>3888</v>
      </c>
      <c r="P2468" s="4"/>
      <c r="Q2468" s="4">
        <v>46121.625613425924</v>
      </c>
      <c r="R2468"/>
      <c r="S2468">
        <v>0</v>
      </c>
      <c r="T2468" s="4">
        <v>45518.466319444444</v>
      </c>
      <c r="U2468" s="4"/>
      <c r="V2468"/>
      <c r="W2468">
        <v>648</v>
      </c>
      <c r="X2468"/>
      <c r="Y2468" t="inlineStr">
        <is>
          <t>Pending Appointment</t>
        </is>
      </c>
      <c r="Z2468" t="inlineStr">
        <is>
          <t>Hiring Now</t>
        </is>
      </c>
      <c r="AA2468">
        <v>1</v>
      </c>
      <c r="AB2468" t="inlineStr">
        <is>
          <t>No Appointment Made</t>
        </is>
      </c>
      <c r="AC2468"/>
      <c r="AD2468" t="inlineStr">
        <is>
          <t>1 position, based in KL</t>
        </is>
      </c>
      <c r="AE2468"/>
      <c r="AF2468">
        <v>3600</v>
      </c>
      <c r="AG2468" s="4"/>
      <c r="AH2468" s="4"/>
      <c r="AI2468">
        <v>3600</v>
      </c>
      <c r="AJ2468">
        <v>1</v>
      </c>
      <c r="AK2468" t="inlineStr">
        <is>
          <t>No, I don't need at all</t>
        </is>
      </c>
      <c r="AL2468">
        <v>1</v>
      </c>
      <c r="AM2468" t="inlineStr">
        <is>
          <t>No, I don't need at all</t>
        </is>
      </c>
      <c r="AN2468"/>
      <c r="AO2468" t="inlineStr">
        <is>
          <t>No, I don't need at all</t>
        </is>
      </c>
      <c r="AP2468" t="inlineStr">
        <is>
          <t>Once a year (25%)</t>
        </is>
      </c>
      <c r="AQ2468">
        <v>3</v>
      </c>
      <c r="AR2468" t="inlineStr">
        <is>
          <t>Did not use any job portal</t>
        </is>
      </c>
      <c r="AS2468" t="inlineStr">
        <is>
          <t>- Headcount: Not specified
- Hiring Job Details: 1 position, based in KL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Did not use any job portal</t>
        </is>
      </c>
      <c r="AT2468">
        <v>75</v>
      </c>
      <c r="AU2468" t="inlineStr">
        <is>
          <t>0.75</t>
        </is>
      </c>
      <c r="AV2468" t="inlineStr">
        <is>
          <t>15</t>
        </is>
      </c>
      <c r="AW2468" t="inlineStr">
        <is>
          <t>0</t>
        </is>
      </c>
      <c r="AX2468" t="inlineStr">
        <is>
          <t>Not Qualified</t>
        </is>
      </c>
      <c r="AY2468" s="4"/>
      <c r="AZ2468"/>
      <c r="BA2468"/>
      <c r="BB2468"/>
      <c r="BC2468" t="inlineStr">
        <is>
          <t>will publish on her own</t>
        </is>
      </c>
      <c r="BD2468" s="4">
        <v>46129.478368055556</v>
      </c>
      <c r="BE2468" t="inlineStr">
        <is>
          <t>paid</t>
        </is>
      </c>
      <c r="BF2468"/>
      <c r="BG2468" t="inlineStr">
        <is>
          <t>Reschedule</t>
        </is>
      </c>
      <c r="BH2468" t="inlineStr">
        <is>
          <t>Edward Hoo</t>
        </is>
      </c>
      <c r="BI2468" t="inlineStr">
        <is>
          <t>IT / Hardware</t>
        </is>
      </c>
      <c r="BJ2468" s="4">
        <v>46144.75134259259</v>
      </c>
      <c r="BK2468" s="4">
        <v>45103.650300925925</v>
      </c>
      <c r="BL2468" t="inlineStr">
        <is>
          <t>0.0</t>
        </is>
      </c>
      <c r="BM2468" t="inlineStr">
        <is>
          <t>0.0</t>
        </is>
      </c>
      <c r="BN2468" t="inlineStr">
        <is>
          <t>Publish Job</t>
        </is>
      </c>
      <c r="BO2468" s="4">
        <v>46142.92318287037</v>
      </c>
      <c r="BP2468">
        <v>166249</v>
      </c>
      <c r="BQ2468">
        <v>121354</v>
      </c>
      <c r="BR2468" t="inlineStr">
        <is>
          <t>Proforma</t>
        </is>
      </c>
      <c r="BS2468" t="inlineStr">
        <is>
          <t>Free Internship Job</t>
        </is>
      </c>
      <c r="BT2468">
        <v>72038</v>
      </c>
      <c r="BU2468"/>
      <c r="BV2468">
        <v>2711554</v>
      </c>
      <c r="BW2468" t="inlineStr">
        <is>
          <t>Follow Up : Decision Pending</t>
        </is>
      </c>
      <c r="BX2468"/>
      <c r="BY2468"/>
      <c r="BZ2468" s="4"/>
      <c r="CA2468"/>
      <c r="CB2468"/>
      <c r="CC2468" s="4"/>
      <c r="CD2468" t="inlineStr">
        <is>
          <t>20</t>
        </is>
      </c>
      <c r="CE2468" t="inlineStr">
        <is>
          <t>0</t>
        </is>
      </c>
      <c r="CF2468" t="inlineStr">
        <is>
          <t>Q2-W01</t>
        </is>
      </c>
      <c r="CG2468" t="inlineStr">
        <is>
          <t>Q2-W01</t>
        </is>
      </c>
      <c r="CH2468"/>
      <c r="CI2468"/>
      <c r="CJ2468" t="inlineStr">
        <is>
          <t>Paid</t>
        </is>
      </c>
      <c r="CK2468" t="inlineStr">
        <is>
          <t>Not Eligible</t>
        </is>
      </c>
      <c r="CL2468"/>
      <c r="CM2468"/>
    </row>
    <row r="2469" ht="25.5" customHeight="1">
      <c r="A2469" t="inlineStr">
        <is>
          <t>4265179</t>
        </is>
      </c>
      <c r="B2469" s="2"/>
      <c r="C2469"/>
      <c r="D2469" s="3">
        <v>46121.664826388886</v>
      </c>
      <c r="E2469" t="inlineStr">
        <is>
          <t>Q2-W01</t>
        </is>
      </c>
      <c r="F2469" t="inlineStr">
        <is>
          <t>Lucas</t>
        </is>
      </c>
      <c r="G2469" t="inlineStr">
        <is>
          <t>Lead</t>
        </is>
      </c>
      <c r="H2469" s="2" t="str">
        <f>=HYPERLINK("https://upbox.ajobthing.my/leads/4265179", "https://upbox.ajobthing.my/leads/4265179")</f>
        <v>https://upbox.ajobthing.my/leads/4265179</v>
      </c>
      <c r="I2469" t="inlineStr">
        <is>
          <t>Kin Heng Timber Industries Sdn Berhad</t>
        </is>
      </c>
      <c r="J2469" t="inlineStr">
        <is>
          <t>Dolphin</t>
        </is>
      </c>
      <c r="K2469" t="inlineStr">
        <is>
          <t>Lucas</t>
        </is>
      </c>
      <c r="L2469" s="4"/>
      <c r="M2469" s="4">
        <v>46121.66359953704</v>
      </c>
      <c r="N2469"/>
      <c r="O2469">
        <v>3888</v>
      </c>
      <c r="P2469" s="4"/>
      <c r="Q2469" s="4"/>
      <c r="R2469"/>
      <c r="S2469"/>
      <c r="T2469" s="4"/>
      <c r="U2469" s="4"/>
      <c r="V2469"/>
      <c r="W2469"/>
      <c r="X2469"/>
      <c r="Y2469" t="inlineStr">
        <is>
          <t>Pending Appointment</t>
        </is>
      </c>
      <c r="Z2469" t="inlineStr">
        <is>
          <t>Hiring Now</t>
        </is>
      </c>
      <c r="AA2469">
        <v>1</v>
      </c>
      <c r="AB2469" t="inlineStr">
        <is>
          <t>No Appointment Made</t>
        </is>
      </c>
      <c r="AC2469"/>
      <c r="AD2469" t="inlineStr">
        <is>
          <t xml:space="preserve">1 admin executive </t>
        </is>
      </c>
      <c r="AE2469"/>
      <c r="AF2469">
        <v>0</v>
      </c>
      <c r="AG2469" s="4"/>
      <c r="AH2469" s="4"/>
      <c r="AI2469">
        <v>0</v>
      </c>
      <c r="AJ2469">
        <v>0</v>
      </c>
      <c r="AK2469" t="inlineStr">
        <is>
          <t>No, I don't need at all</t>
        </is>
      </c>
      <c r="AL2469">
        <v>0</v>
      </c>
      <c r="AM2469" t="inlineStr">
        <is>
          <t>No, I don't need at all</t>
        </is>
      </c>
      <c r="AN2469"/>
      <c r="AO2469" t="inlineStr">
        <is>
          <t>No, I don't need at all</t>
        </is>
      </c>
      <c r="AP2469" t="inlineStr">
        <is>
          <t>Once a year (25%)</t>
        </is>
      </c>
      <c r="AQ2469">
        <v>1</v>
      </c>
      <c r="AR2469" t="inlineStr">
        <is>
          <t>Did not use any job portal</t>
        </is>
      </c>
      <c r="AS2469" t="inlineStr">
        <is>
          <t>- Headcount: 1
- Hiring Job Details: 1 admin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469">
        <v>105</v>
      </c>
      <c r="AU2469" t="inlineStr">
        <is>
          <t>1.05</t>
        </is>
      </c>
      <c r="AV2469" t="inlineStr">
        <is>
          <t>15</t>
        </is>
      </c>
      <c r="AW2469" t="inlineStr">
        <is>
          <t>0</t>
        </is>
      </c>
      <c r="AX2469" t="inlineStr">
        <is>
          <t>Not Qualified</t>
        </is>
      </c>
      <c r="AY2469" s="4"/>
      <c r="AZ2469"/>
      <c r="BA2469"/>
      <c r="BB2469"/>
      <c r="BC2469"/>
      <c r="BD2469" s="4"/>
      <c r="BE2469"/>
      <c r="BF2469"/>
      <c r="BG2469" t="inlineStr">
        <is>
          <t>Reschedule</t>
        </is>
      </c>
      <c r="BH2469" t="inlineStr">
        <is>
          <t>Yee Hang</t>
        </is>
      </c>
      <c r="BI2469"/>
      <c r="BJ2469" s="4">
        <v>46144.75578703704</v>
      </c>
      <c r="BK2469" s="4">
        <v>46121.648148148146</v>
      </c>
      <c r="BL2469" t="inlineStr">
        <is>
          <t>0.0</t>
        </is>
      </c>
      <c r="BM2469" t="inlineStr">
        <is>
          <t>1800.0</t>
        </is>
      </c>
      <c r="BN2469"/>
      <c r="BO2469" s="4"/>
      <c r="BP2469">
        <v>166251</v>
      </c>
      <c r="BQ2469"/>
      <c r="BR2469"/>
      <c r="BS2469"/>
      <c r="BT2469"/>
      <c r="BU2469"/>
      <c r="BV2469"/>
      <c r="BW2469"/>
      <c r="BX2469"/>
      <c r="BY2469"/>
      <c r="BZ2469" s="4"/>
      <c r="CA2469"/>
      <c r="CB2469"/>
      <c r="CC2469" s="4"/>
      <c r="CD2469" t="inlineStr">
        <is>
          <t>20</t>
        </is>
      </c>
      <c r="CE2469" t="inlineStr">
        <is>
          <t>0</t>
        </is>
      </c>
      <c r="CF2469" t="inlineStr">
        <is>
          <t>Q2-W01</t>
        </is>
      </c>
      <c r="CG2469"/>
      <c r="CH2469"/>
      <c r="CI2469"/>
      <c r="CJ2469" t="inlineStr">
        <is>
          <t>No Paid</t>
        </is>
      </c>
      <c r="CK2469" t="inlineStr">
        <is>
          <t>Not Eligible</t>
        </is>
      </c>
      <c r="CL2469"/>
      <c r="CM2469"/>
    </row>
    <row r="2470" ht="25.5" customHeight="1">
      <c r="A2470" t="inlineStr">
        <is>
          <t>196630</t>
        </is>
      </c>
      <c r="B2470" s="2"/>
      <c r="C2470"/>
      <c r="D2470" s="3">
        <v>46121.66483796296</v>
      </c>
      <c r="E2470" t="inlineStr">
        <is>
          <t>Q2-W01</t>
        </is>
      </c>
      <c r="F2470" t="inlineStr">
        <is>
          <t>Jess</t>
        </is>
      </c>
      <c r="G2470" t="inlineStr">
        <is>
          <t>Customer</t>
        </is>
      </c>
      <c r="H2470" s="2" t="str">
        <f>=HYPERLINK("https://upbox.ajobthing.my/customer/196630", "https://upbox.ajobthing.my/customer/196630")</f>
        <v>https://upbox.ajobthing.my/customer/196630</v>
      </c>
      <c r="I2470" t="inlineStr">
        <is>
          <t>MADURA E-COMMERCE SDN BHD</t>
        </is>
      </c>
      <c r="J2470" t="inlineStr">
        <is>
          <t>Dolphin</t>
        </is>
      </c>
      <c r="K2470" t="inlineStr">
        <is>
          <t>Jess Lim</t>
        </is>
      </c>
      <c r="L2470" s="4"/>
      <c r="M2470" s="4">
        <v>46121.66693287037</v>
      </c>
      <c r="N2470"/>
      <c r="O2470">
        <v>3888</v>
      </c>
      <c r="P2470" s="4"/>
      <c r="Q2470" s="4">
        <v>46121.54230324074</v>
      </c>
      <c r="R2470"/>
      <c r="S2470">
        <v>0</v>
      </c>
      <c r="T2470" s="4"/>
      <c r="U2470" s="4"/>
      <c r="V2470"/>
      <c r="W2470"/>
      <c r="X2470"/>
      <c r="Y2470" t="inlineStr">
        <is>
          <t>Pending Appointment</t>
        </is>
      </c>
      <c r="Z2470" t="inlineStr">
        <is>
          <t>Hiring Now</t>
        </is>
      </c>
      <c r="AA2470">
        <v>1</v>
      </c>
      <c r="AB2470" t="inlineStr">
        <is>
          <t>No Appointment Made</t>
        </is>
      </c>
      <c r="AC2470"/>
      <c r="AD2470" t="inlineStr">
        <is>
          <t>
assistant warehouse  `1</t>
        </is>
      </c>
      <c r="AE2470"/>
      <c r="AF2470">
        <v>300</v>
      </c>
      <c r="AG2470" s="4"/>
      <c r="AH2470" s="4"/>
      <c r="AI2470"/>
      <c r="AJ2470">
        <v>1</v>
      </c>
      <c r="AK2470" t="inlineStr">
        <is>
          <t>No, I don't need at all</t>
        </is>
      </c>
      <c r="AL2470">
        <v>1</v>
      </c>
      <c r="AM2470" t="inlineStr">
        <is>
          <t>No, I don't need at all</t>
        </is>
      </c>
      <c r="AN2470"/>
      <c r="AO2470"/>
      <c r="AP2470" t="inlineStr">
        <is>
          <t>Once a year (25%)</t>
        </is>
      </c>
      <c r="AQ2470"/>
      <c r="AR2470" t="inlineStr">
        <is>
          <t>Free Job Portal</t>
        </is>
      </c>
      <c r="AS2470" t="inlineStr">
        <is>
          <t>- Headcount: 1
- Hiring Job Details: 1 assistant warehouse
- Hiring Urgency: Hiring Now
- Number of outlets: 1
- Have recruiter team: No, I don't need at all
- Number of recruiter in company: 1
- Have ATS system: No, I don't need at all
- Have career website: Not specified
- Current hiring budget: RM300.00
- Whole year budget: Not specified
- Whole year number of vacancies: Not specified
- Hiring frequency: Once a year (25%)
- External job portal: Free Job Portal</t>
        </is>
      </c>
      <c r="AT2470">
        <v>100</v>
      </c>
      <c r="AU2470" t="inlineStr">
        <is>
          <t>1.00</t>
        </is>
      </c>
      <c r="AV2470" t="inlineStr">
        <is>
          <t>15</t>
        </is>
      </c>
      <c r="AW2470" t="inlineStr">
        <is>
          <t>0</t>
        </is>
      </c>
      <c r="AX2470" t="inlineStr">
        <is>
          <t>Not Qualified</t>
        </is>
      </c>
      <c r="AY2470" s="4"/>
      <c r="AZ2470"/>
      <c r="BA2470"/>
      <c r="BB2470"/>
      <c r="BC2470" t="inlineStr">
        <is>
          <t>no pick up</t>
        </is>
      </c>
      <c r="BD2470" s="4">
        <v>46126.684594907405</v>
      </c>
      <c r="BE2470" t="inlineStr">
        <is>
          <t>paid</t>
        </is>
      </c>
      <c r="BF2470"/>
      <c r="BG2470" t="inlineStr">
        <is>
          <t>Reschedule</t>
        </is>
      </c>
      <c r="BH2470" t="inlineStr">
        <is>
          <t>Fauziah Maharan</t>
        </is>
      </c>
      <c r="BI2470"/>
      <c r="BJ2470" s="4">
        <v>46144.75283564815</v>
      </c>
      <c r="BK2470" s="4">
        <v>45928.64481481481</v>
      </c>
      <c r="BL2470" t="inlineStr">
        <is>
          <t>0.0</t>
        </is>
      </c>
      <c r="BM2470" t="inlineStr">
        <is>
          <t>0.0</t>
        </is>
      </c>
      <c r="BN2470"/>
      <c r="BO2470" s="4"/>
      <c r="BP2470">
        <v>166254</v>
      </c>
      <c r="BQ2470">
        <v>121317</v>
      </c>
      <c r="BR2470" t="inlineStr">
        <is>
          <t>Proforma</t>
        </is>
      </c>
      <c r="BS2470" t="inlineStr">
        <is>
          <t>Free Internship Job</t>
        </is>
      </c>
      <c r="BT2470"/>
      <c r="BU2470"/>
      <c r="BV2470">
        <v>2704231</v>
      </c>
      <c r="BW2470" t="inlineStr">
        <is>
          <t>No Answer : Voicemail - WA sent to customer</t>
        </is>
      </c>
      <c r="BX2470"/>
      <c r="BY2470"/>
      <c r="BZ2470" s="4"/>
      <c r="CA2470"/>
      <c r="CB2470"/>
      <c r="CC2470" s="4"/>
      <c r="CD2470" t="inlineStr">
        <is>
          <t>20</t>
        </is>
      </c>
      <c r="CE2470" t="inlineStr">
        <is>
          <t>0</t>
        </is>
      </c>
      <c r="CF2470" t="inlineStr">
        <is>
          <t>Q2-W01</t>
        </is>
      </c>
      <c r="CG2470" t="inlineStr">
        <is>
          <t>Q2-W01</t>
        </is>
      </c>
      <c r="CH2470"/>
      <c r="CI2470"/>
      <c r="CJ2470" t="inlineStr">
        <is>
          <t>No Paid</t>
        </is>
      </c>
      <c r="CK2470" t="inlineStr">
        <is>
          <t>Not Eligible</t>
        </is>
      </c>
      <c r="CL2470"/>
      <c r="CM2470"/>
    </row>
    <row r="2471" ht="25.5" customHeight="1">
      <c r="A2471" t="inlineStr">
        <is>
          <t>163613</t>
        </is>
      </c>
      <c r="B2471" s="2"/>
      <c r="C2471"/>
      <c r="D2471" s="3">
        <v>46121.67789351852</v>
      </c>
      <c r="E2471" t="inlineStr">
        <is>
          <t>Q2-W01</t>
        </is>
      </c>
      <c r="F2471" t="inlineStr">
        <is>
          <t>Lucas</t>
        </is>
      </c>
      <c r="G2471" t="inlineStr">
        <is>
          <t>Customer</t>
        </is>
      </c>
      <c r="H2471" s="2" t="str">
        <f>=HYPERLINK("https://upbox.ajobthing.my/customer/163613", "https://upbox.ajobthing.my/customer/163613")</f>
        <v>https://upbox.ajobthing.my/customer/163613</v>
      </c>
      <c r="I2471" t="inlineStr">
        <is>
          <t>Starkiss Food Corporation Sdn Bhd</t>
        </is>
      </c>
      <c r="J2471" t="inlineStr">
        <is>
          <t>Dolphin</t>
        </is>
      </c>
      <c r="K2471" t="inlineStr">
        <is>
          <t>Lucas</t>
        </is>
      </c>
      <c r="L2471" s="4"/>
      <c r="M2471" s="4">
        <v>46142.58893518519</v>
      </c>
      <c r="N2471"/>
      <c r="O2471">
        <v>3576.96</v>
      </c>
      <c r="P2471" s="4"/>
      <c r="Q2471" s="4">
        <v>45139.66804398148</v>
      </c>
      <c r="R2471"/>
      <c r="S2471">
        <v>2374.4</v>
      </c>
      <c r="T2471" s="4">
        <v>45139.66804398148</v>
      </c>
      <c r="U2471" s="4"/>
      <c r="V2471"/>
      <c r="W2471">
        <v>2374.4</v>
      </c>
      <c r="X2471"/>
      <c r="Y2471" t="inlineStr">
        <is>
          <t>Pending Appointment</t>
        </is>
      </c>
      <c r="Z2471" t="inlineStr">
        <is>
          <t>Hiring Now</t>
        </is>
      </c>
      <c r="AA2471">
        <v>2</v>
      </c>
      <c r="AB2471" t="inlineStr">
        <is>
          <t>No Appointment Made</t>
        </is>
      </c>
      <c r="AC2471"/>
      <c r="AD2471" t="inlineStr">
        <is>
          <t xml:space="preserve">1 account , 1 purchaser assistance </t>
        </is>
      </c>
      <c r="AE2471"/>
      <c r="AF2471">
        <v>0</v>
      </c>
      <c r="AG2471" s="4"/>
      <c r="AH2471" s="4"/>
      <c r="AI2471">
        <v>0</v>
      </c>
      <c r="AJ2471">
        <v>0</v>
      </c>
      <c r="AK2471" t="inlineStr">
        <is>
          <t>No, I don't need at all</t>
        </is>
      </c>
      <c r="AL2471">
        <v>0</v>
      </c>
      <c r="AM2471" t="inlineStr">
        <is>
          <t>No, I don't need at all</t>
        </is>
      </c>
      <c r="AN2471"/>
      <c r="AO2471" t="inlineStr">
        <is>
          <t>No, I don't need at all</t>
        </is>
      </c>
      <c r="AP2471" t="inlineStr">
        <is>
          <t>Once a year (25%)</t>
        </is>
      </c>
      <c r="AQ2471">
        <v>2</v>
      </c>
      <c r="AR2471" t="inlineStr">
        <is>
          <t>Did not use any job portal</t>
        </is>
      </c>
      <c r="AS2471" t="inlineStr">
        <is>
          <t>- Headcount: 2
- Hiring Job Details: 1 account, 1 purchaser assistance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2471">
        <v>105</v>
      </c>
      <c r="AU2471" t="inlineStr">
        <is>
          <t>1.05</t>
        </is>
      </c>
      <c r="AV2471" t="inlineStr">
        <is>
          <t>15</t>
        </is>
      </c>
      <c r="AW2471" t="inlineStr">
        <is>
          <t>0</t>
        </is>
      </c>
      <c r="AX2471" t="inlineStr">
        <is>
          <t>Not Qualified</t>
        </is>
      </c>
      <c r="AY2471" s="4"/>
      <c r="AZ2471"/>
      <c r="BA2471"/>
      <c r="BB2471"/>
      <c r="BC2471" t="inlineStr">
        <is>
          <t>- Headcount: 1
- Hiring Job Details: 1 admin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BD2471" s="4">
        <v>46142.625023148146</v>
      </c>
      <c r="BE2471" t="inlineStr">
        <is>
          <t>paid</t>
        </is>
      </c>
      <c r="BF2471"/>
      <c r="BG2471" t="inlineStr">
        <is>
          <t>Reschedule</t>
        </is>
      </c>
      <c r="BH2471" t="inlineStr">
        <is>
          <t>Yee Hang</t>
        </is>
      </c>
      <c r="BI2471" t="inlineStr">
        <is>
          <t>Food / Beverage</t>
        </is>
      </c>
      <c r="BJ2471" s="4">
        <v>46144.7512037037</v>
      </c>
      <c r="BK2471" s="4">
        <v>44936.67298611111</v>
      </c>
      <c r="BL2471" t="inlineStr">
        <is>
          <t>0.0</t>
        </is>
      </c>
      <c r="BM2471" t="inlineStr">
        <is>
          <t>0.0</t>
        </is>
      </c>
      <c r="BN2471" t="inlineStr">
        <is>
          <t>View Jobmanager Page</t>
        </is>
      </c>
      <c r="BO2471" s="4">
        <v>46004.69125</v>
      </c>
      <c r="BP2471">
        <v>169687</v>
      </c>
      <c r="BQ2471">
        <v>61000</v>
      </c>
      <c r="BR2471" t="inlineStr">
        <is>
          <t>Online</t>
        </is>
      </c>
      <c r="BS2471"/>
      <c r="BT2471">
        <v>61000</v>
      </c>
      <c r="BU2471"/>
      <c r="BV2471">
        <v>2737836</v>
      </c>
      <c r="BW2471" t="inlineStr">
        <is>
          <t>Customer Inquiry</t>
        </is>
      </c>
      <c r="BX2471"/>
      <c r="BY2471"/>
      <c r="BZ2471" s="4"/>
      <c r="CA2471"/>
      <c r="CB2471"/>
      <c r="CC2471" s="4"/>
      <c r="CD2471" t="inlineStr">
        <is>
          <t>20</t>
        </is>
      </c>
      <c r="CE2471" t="inlineStr">
        <is>
          <t>0</t>
        </is>
      </c>
      <c r="CF2471" t="inlineStr">
        <is>
          <t>Q2-W04</t>
        </is>
      </c>
      <c r="CG2471"/>
      <c r="CH2471"/>
      <c r="CI2471"/>
      <c r="CJ2471" t="inlineStr">
        <is>
          <t>Paid</t>
        </is>
      </c>
      <c r="CK2471" t="inlineStr">
        <is>
          <t>Not Eligible</t>
        </is>
      </c>
      <c r="CL2471"/>
      <c r="CM2471"/>
    </row>
    <row r="2472" ht="25.5" customHeight="1">
      <c r="A2472" t="inlineStr">
        <is>
          <t>169952</t>
        </is>
      </c>
      <c r="B2472" s="2"/>
      <c r="C2472"/>
      <c r="D2472" s="3">
        <v>46121.67952546296</v>
      </c>
      <c r="E2472" t="inlineStr">
        <is>
          <t>Q2-W01</t>
        </is>
      </c>
      <c r="F2472" t="inlineStr">
        <is>
          <t>Luqman</t>
        </is>
      </c>
      <c r="G2472" t="inlineStr">
        <is>
          <t>Customer</t>
        </is>
      </c>
      <c r="H2472" s="2" t="str">
        <f>=HYPERLINK("https://upbox.ajobthing.my/customer/169952", "https://upbox.ajobthing.my/customer/169952")</f>
        <v>https://upbox.ajobthing.my/customer/169952</v>
      </c>
      <c r="I2472" t="inlineStr">
        <is>
          <t>Skyview Advisory Sdn Bhd</t>
        </is>
      </c>
      <c r="J2472" t="inlineStr">
        <is>
          <t>Dolphin</t>
        </is>
      </c>
      <c r="K2472" t="inlineStr">
        <is>
          <t>Luqman</t>
        </is>
      </c>
      <c r="L2472" s="4"/>
      <c r="M2472" s="4">
        <v>46121.679918981485</v>
      </c>
      <c r="N2472"/>
      <c r="O2472">
        <v>6048</v>
      </c>
      <c r="P2472" s="4"/>
      <c r="Q2472" s="4">
        <v>45154.67534722222</v>
      </c>
      <c r="R2472"/>
      <c r="S2472">
        <v>2374.4</v>
      </c>
      <c r="T2472" s="4">
        <v>45154.67534722222</v>
      </c>
      <c r="U2472" s="4"/>
      <c r="V2472"/>
      <c r="W2472">
        <v>2374.4</v>
      </c>
      <c r="X2472"/>
      <c r="Y2472" t="inlineStr">
        <is>
          <t>Pending Appointment</t>
        </is>
      </c>
      <c r="Z2472" t="inlineStr">
        <is>
          <t>Hiring Later</t>
        </is>
      </c>
      <c r="AA2472">
        <v>2</v>
      </c>
      <c r="AB2472" t="inlineStr">
        <is>
          <t>No Appointment Made</t>
        </is>
      </c>
      <c r="AC2472"/>
      <c r="AD2472" t="inlineStr">
        <is>
          <t>1. Admin 2. Account Executive</t>
        </is>
      </c>
      <c r="AE2472"/>
      <c r="AF2472">
        <v>1200</v>
      </c>
      <c r="AG2472" s="4"/>
      <c r="AH2472" s="4"/>
      <c r="AI2472">
        <v>1200</v>
      </c>
      <c r="AJ2472"/>
      <c r="AK2472" t="inlineStr">
        <is>
          <t>Yes, I have</t>
        </is>
      </c>
      <c r="AL2472">
        <v>2</v>
      </c>
      <c r="AM2472" t="inlineStr">
        <is>
          <t>No, I don't need at all</t>
        </is>
      </c>
      <c r="AN2472"/>
      <c r="AO2472" t="inlineStr">
        <is>
          <t>No, I don't need at all</t>
        </is>
      </c>
      <c r="AP2472" t="inlineStr">
        <is>
          <t>Once a year (25%)</t>
        </is>
      </c>
      <c r="AQ2472">
        <v>2</v>
      </c>
      <c r="AR2472" t="inlineStr">
        <is>
          <t>Free Job Portal</t>
        </is>
      </c>
      <c r="AS2472" t="inlineStr">
        <is>
          <t>- Headcount: 2
- Hiring Job Details: 1 Admin, 2 Account Executive
- Number of outlets: N/A
- Have recruiter team: Yes
- Number of recruiter in company: 2
- Have ATS system: No, I don't need at all
- Have career website: No, I don't need at all
- Current hiring budget: RM1,200
- Whole year budget: RM1,200.00
- Whole year number of vacancies: 2
- Hiring frequency: Once a year (25%)
- External job portal: Free Job Portal
- Hiring Urgency: Hiring Later</t>
        </is>
      </c>
      <c r="AT2472">
        <v>95</v>
      </c>
      <c r="AU2472" t="inlineStr">
        <is>
          <t>0.95</t>
        </is>
      </c>
      <c r="AV2472" t="inlineStr">
        <is>
          <t>15</t>
        </is>
      </c>
      <c r="AW2472" t="inlineStr">
        <is>
          <t>0</t>
        </is>
      </c>
      <c r="AX2472" t="inlineStr">
        <is>
          <t>Not Qualified</t>
        </is>
      </c>
      <c r="AY2472" s="4"/>
      <c r="AZ2472"/>
      <c r="BA2472"/>
      <c r="BB2472"/>
      <c r="BC2472" t="inlineStr">
        <is>
          <t>Business utilize social media platform</t>
        </is>
      </c>
      <c r="BD2472" s="4">
        <v>46127.66287037037</v>
      </c>
      <c r="BE2472" t="inlineStr">
        <is>
          <t>paid</t>
        </is>
      </c>
      <c r="BF2472"/>
      <c r="BG2472" t="inlineStr">
        <is>
          <t>Reschedule</t>
        </is>
      </c>
      <c r="BH2472" t="inlineStr">
        <is>
          <t>Edward Hoo</t>
        </is>
      </c>
      <c r="BI2472" t="inlineStr">
        <is>
          <t>Accounting / Tax Services</t>
        </is>
      </c>
      <c r="BJ2472" s="4">
        <v>46144.75140046296</v>
      </c>
      <c r="BK2472" s="4">
        <v>45146.60230324074</v>
      </c>
      <c r="BL2472" t="inlineStr">
        <is>
          <t>0.0</t>
        </is>
      </c>
      <c r="BM2472" t="inlineStr">
        <is>
          <t>600.0</t>
        </is>
      </c>
      <c r="BN2472" t="inlineStr">
        <is>
          <t>PA Visit - Applicant Manager</t>
        </is>
      </c>
      <c r="BO2472" s="4">
        <v>45506.39708333334</v>
      </c>
      <c r="BP2472">
        <v>166259</v>
      </c>
      <c r="BQ2472">
        <v>61428</v>
      </c>
      <c r="BR2472" t="inlineStr">
        <is>
          <t>Online</t>
        </is>
      </c>
      <c r="BS2472"/>
      <c r="BT2472">
        <v>61428</v>
      </c>
      <c r="BU2472"/>
      <c r="BV2472">
        <v>2706374</v>
      </c>
      <c r="BW2472" t="inlineStr">
        <is>
          <t>Follow Up : Lost - Free Portal</t>
        </is>
      </c>
      <c r="BX2472"/>
      <c r="BY2472"/>
      <c r="BZ2472" s="4"/>
      <c r="CA2472"/>
      <c r="CB2472"/>
      <c r="CC2472" s="4"/>
      <c r="CD2472" t="inlineStr">
        <is>
          <t>20</t>
        </is>
      </c>
      <c r="CE2472" t="inlineStr">
        <is>
          <t>0</t>
        </is>
      </c>
      <c r="CF2472" t="inlineStr">
        <is>
          <t>Q2-W01</t>
        </is>
      </c>
      <c r="CG2472"/>
      <c r="CH2472"/>
      <c r="CI2472"/>
      <c r="CJ2472" t="inlineStr">
        <is>
          <t>Paid</t>
        </is>
      </c>
      <c r="CK2472" t="inlineStr">
        <is>
          <t>Not Eligible</t>
        </is>
      </c>
      <c r="CL2472"/>
      <c r="CM2472"/>
    </row>
    <row r="2473" ht="25.5" customHeight="1">
      <c r="A2473" t="inlineStr">
        <is>
          <t>144739</t>
        </is>
      </c>
      <c r="B2473" s="2"/>
      <c r="C2473"/>
      <c r="D2473" s="3">
        <v>46121.68545138889</v>
      </c>
      <c r="E2473" t="inlineStr">
        <is>
          <t>Q2-W01</t>
        </is>
      </c>
      <c r="F2473" t="inlineStr">
        <is>
          <t>Alan KY</t>
        </is>
      </c>
      <c r="G2473" t="inlineStr">
        <is>
          <t>Customer</t>
        </is>
      </c>
      <c r="H2473" s="2" t="str">
        <f>=HYPERLINK("https://upbox.ajobthing.my/customer/144739", "https://upbox.ajobthing.my/customer/144739")</f>
        <v>https://upbox.ajobthing.my/customer/144739</v>
      </c>
      <c r="I2473" t="inlineStr">
        <is>
          <t>WS Wai Seng Hardware Sdn Bhd</t>
        </is>
      </c>
      <c r="J2473" t="inlineStr">
        <is>
          <t>Dolphin</t>
        </is>
      </c>
      <c r="K2473" t="inlineStr">
        <is>
          <t>Alan KY</t>
        </is>
      </c>
      <c r="L2473" s="4"/>
      <c r="M2473" s="4">
        <v>46121.68498842593</v>
      </c>
      <c r="N2473"/>
      <c r="O2473">
        <v>4968</v>
      </c>
      <c r="P2473" s="4"/>
      <c r="Q2473" s="4">
        <v>45769.460231481484</v>
      </c>
      <c r="R2473"/>
      <c r="S2473">
        <v>3672</v>
      </c>
      <c r="T2473" s="4">
        <v>45769.460231481484</v>
      </c>
      <c r="U2473" s="4"/>
      <c r="V2473"/>
      <c r="W2473">
        <v>3672</v>
      </c>
      <c r="X2473"/>
      <c r="Y2473" t="inlineStr">
        <is>
          <t>Pending Appointment</t>
        </is>
      </c>
      <c r="Z2473" t="inlineStr">
        <is>
          <t>Hiring Now</t>
        </is>
      </c>
      <c r="AA2473">
        <v>1</v>
      </c>
      <c r="AB2473" t="inlineStr">
        <is>
          <t>No Appointment Made</t>
        </is>
      </c>
      <c r="AC2473"/>
      <c r="AD2473" t="inlineStr">
        <is>
          <t xml:space="preserve">Renewal - hiring for sales coordinator </t>
        </is>
      </c>
      <c r="AE2473"/>
      <c r="AF2473"/>
      <c r="AG2473" s="4"/>
      <c r="AH2473" s="4"/>
      <c r="AI2473"/>
      <c r="AJ2473"/>
      <c r="AK2473" t="inlineStr">
        <is>
          <t>No, I don't need at all</t>
        </is>
      </c>
      <c r="AL2473"/>
      <c r="AM2473" t="inlineStr">
        <is>
          <t>No, I don't need at all</t>
        </is>
      </c>
      <c r="AN2473"/>
      <c r="AO2473" t="inlineStr">
        <is>
          <t>No, I don't need at all</t>
        </is>
      </c>
      <c r="AP2473" t="inlineStr">
        <is>
          <t>Once per quarter (75%)</t>
        </is>
      </c>
      <c r="AQ2473"/>
      <c r="AR2473" t="inlineStr">
        <is>
          <t>Jobstreet</t>
        </is>
      </c>
      <c r="AS2473" t="inlineStr">
        <is>
          <t>- Headcount: 1
- Hiring Job Details: Renewal - hiring for sales coordinator
- Hiring Urgency: Hiring Now
- Number of outlets: N/A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2473">
        <v>75</v>
      </c>
      <c r="AU2473" t="inlineStr">
        <is>
          <t>0.75</t>
        </is>
      </c>
      <c r="AV2473" t="inlineStr">
        <is>
          <t>5</t>
        </is>
      </c>
      <c r="AW2473" t="inlineStr">
        <is>
          <t>0</t>
        </is>
      </c>
      <c r="AX2473" t="inlineStr">
        <is>
          <t>Not Qualified</t>
        </is>
      </c>
      <c r="AY2473" s="4"/>
      <c r="AZ2473"/>
      <c r="BA2473"/>
      <c r="BB2473"/>
      <c r="BC2473" t="inlineStr">
        <is>
          <t>No answer, text her ask she's back to work</t>
        </is>
      </c>
      <c r="BD2473" s="4">
        <v>46134.74162037037</v>
      </c>
      <c r="BE2473" t="inlineStr">
        <is>
          <t>paid</t>
        </is>
      </c>
      <c r="BF2473"/>
      <c r="BG2473" t="inlineStr">
        <is>
          <t>Reschedule</t>
        </is>
      </c>
      <c r="BH2473" t="inlineStr">
        <is>
          <t>Reagen</t>
        </is>
      </c>
      <c r="BI2473" t="inlineStr">
        <is>
          <t>General / Wholesale Trading</t>
        </is>
      </c>
      <c r="BJ2473" s="4">
        <v>46144.75074074074</v>
      </c>
      <c r="BK2473" s="4">
        <v>44530.61298611111</v>
      </c>
      <c r="BL2473" t="inlineStr">
        <is>
          <t>0.0</t>
        </is>
      </c>
      <c r="BM2473" t="inlineStr">
        <is>
          <t>0.0</t>
        </is>
      </c>
      <c r="BN2473" t="inlineStr">
        <is>
          <t>View Company Page</t>
        </is>
      </c>
      <c r="BO2473" s="4">
        <v>46122.47450231481</v>
      </c>
      <c r="BP2473">
        <v>166262</v>
      </c>
      <c r="BQ2473">
        <v>78665</v>
      </c>
      <c r="BR2473" t="inlineStr">
        <is>
          <t>Online</t>
        </is>
      </c>
      <c r="BS2473"/>
      <c r="BT2473">
        <v>78665</v>
      </c>
      <c r="BU2473"/>
      <c r="BV2473">
        <v>2721992</v>
      </c>
      <c r="BW2473" t="inlineStr">
        <is>
          <t>No Answer : Voicemail - WA sent to customer</t>
        </is>
      </c>
      <c r="BX2473"/>
      <c r="BY2473"/>
      <c r="BZ2473" s="4"/>
      <c r="CA2473"/>
      <c r="CB2473"/>
      <c r="CC2473" s="4"/>
      <c r="CD2473" t="inlineStr">
        <is>
          <t>5</t>
        </is>
      </c>
      <c r="CE2473" t="inlineStr">
        <is>
          <t>0</t>
        </is>
      </c>
      <c r="CF2473" t="inlineStr">
        <is>
          <t>Q2-W01</t>
        </is>
      </c>
      <c r="CG2473"/>
      <c r="CH2473"/>
      <c r="CI2473"/>
      <c r="CJ2473" t="inlineStr">
        <is>
          <t>Paid</t>
        </is>
      </c>
      <c r="CK2473" t="inlineStr">
        <is>
          <t>Not Eligible</t>
        </is>
      </c>
      <c r="CL2473"/>
      <c r="CM2473"/>
    </row>
    <row r="2474" ht="25.5" customHeight="1">
      <c r="A2474" t="inlineStr">
        <is>
          <t>154590</t>
        </is>
      </c>
      <c r="B2474" s="2"/>
      <c r="C2474"/>
      <c r="D2474" s="3">
        <v>46121.686377314814</v>
      </c>
      <c r="E2474" t="inlineStr">
        <is>
          <t>Q2-W01</t>
        </is>
      </c>
      <c r="F2474" t="inlineStr">
        <is>
          <t>Ratha</t>
        </is>
      </c>
      <c r="G2474" t="inlineStr">
        <is>
          <t>Customer</t>
        </is>
      </c>
      <c r="H2474" s="2" t="str">
        <f>=HYPERLINK("https://upbox.ajobthing.my/customer/154590", "https://upbox.ajobthing.my/customer/154590")</f>
        <v>https://upbox.ajobthing.my/customer/154590</v>
      </c>
      <c r="I2474" t="inlineStr">
        <is>
          <t>Grats Management Sdn Bhd</t>
        </is>
      </c>
      <c r="J2474" t="inlineStr">
        <is>
          <t>Dolphin</t>
        </is>
      </c>
      <c r="K2474" t="inlineStr">
        <is>
          <t>Ratha</t>
        </is>
      </c>
      <c r="L2474" s="4"/>
      <c r="M2474" s="4">
        <v>46121.68685185185</v>
      </c>
      <c r="N2474"/>
      <c r="O2474">
        <v>3672</v>
      </c>
      <c r="P2474" s="4"/>
      <c r="Q2474" s="4">
        <v>46126.59327546296</v>
      </c>
      <c r="R2474"/>
      <c r="S2474">
        <v>864</v>
      </c>
      <c r="T2474" s="4">
        <v>46126.59327546296</v>
      </c>
      <c r="U2474" s="4"/>
      <c r="V2474"/>
      <c r="W2474">
        <v>864</v>
      </c>
      <c r="X2474"/>
      <c r="Y2474" t="inlineStr">
        <is>
          <t>Pending Appointment</t>
        </is>
      </c>
      <c r="Z2474" t="inlineStr">
        <is>
          <t>Hiring Now</t>
        </is>
      </c>
      <c r="AA2474">
        <v>1</v>
      </c>
      <c r="AB2474" t="inlineStr">
        <is>
          <t>No Appointment Made</t>
        </is>
      </c>
      <c r="AC2474"/>
      <c r="AD2474" t="inlineStr">
        <is>
          <t>Account : 1
Location : Mont Kiara</t>
        </is>
      </c>
      <c r="AE2474"/>
      <c r="AF2474"/>
      <c r="AG2474" s="4"/>
      <c r="AH2474" s="4"/>
      <c r="AI2474">
        <v>0</v>
      </c>
      <c r="AJ2474">
        <v>1</v>
      </c>
      <c r="AK2474" t="inlineStr">
        <is>
          <t>Yes, I have</t>
        </is>
      </c>
      <c r="AL2474">
        <v>2</v>
      </c>
      <c r="AM2474" t="inlineStr">
        <is>
          <t>No, I don't need at all</t>
        </is>
      </c>
      <c r="AN2474"/>
      <c r="AO2474" t="inlineStr">
        <is>
          <t>No, I don't need at all</t>
        </is>
      </c>
      <c r="AP2474" t="inlineStr">
        <is>
          <t>Once per quarter (75%)</t>
        </is>
      </c>
      <c r="AQ2474">
        <v>0</v>
      </c>
      <c r="AR2474" t="inlineStr">
        <is>
          <t>Did not use any job portal</t>
        </is>
      </c>
      <c r="AS2474" t="inlineStr">
        <is>
          <t>- Headcount: 1
- Hiring Job Details: 1 Account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Did not use any job portal</t>
        </is>
      </c>
      <c r="AT2474">
        <v>90</v>
      </c>
      <c r="AU2474" t="inlineStr">
        <is>
          <t>0.90</t>
        </is>
      </c>
      <c r="AV2474" t="inlineStr">
        <is>
          <t>5</t>
        </is>
      </c>
      <c r="AW2474" t="inlineStr">
        <is>
          <t>0</t>
        </is>
      </c>
      <c r="AX2474" t="inlineStr">
        <is>
          <t>Not Qualified</t>
        </is>
      </c>
      <c r="AY2474" s="4"/>
      <c r="AZ2474"/>
      <c r="BA2474"/>
      <c r="BB2474"/>
      <c r="BC2474" t="inlineStr">
        <is>
          <t>still prefer 1 job cause too much to pay at once. so stick with 1 ad but want to post next month</t>
        </is>
      </c>
      <c r="BD2474" s="4">
        <v>46126.49146990741</v>
      </c>
      <c r="BE2474" t="inlineStr">
        <is>
          <t>paid</t>
        </is>
      </c>
      <c r="BF2474" t="inlineStr">
        <is>
          <t>Q2-W02</t>
        </is>
      </c>
      <c r="BG2474" t="inlineStr">
        <is>
          <t>Reschedule</t>
        </is>
      </c>
      <c r="BH2474" t="inlineStr">
        <is>
          <t>Fauziah Maharan</t>
        </is>
      </c>
      <c r="BI2474" t="inlineStr">
        <is>
          <t>Accounting / Tax Services</t>
        </is>
      </c>
      <c r="BJ2474" s="4">
        <v>46144.75096064815</v>
      </c>
      <c r="BK2474" s="4">
        <v>44706.41611111111</v>
      </c>
      <c r="BL2474" t="inlineStr">
        <is>
          <t>3186.0</t>
        </is>
      </c>
      <c r="BM2474" t="inlineStr">
        <is>
          <t>0.0</t>
        </is>
      </c>
      <c r="BN2474" t="inlineStr">
        <is>
          <t>View Company Page</t>
        </is>
      </c>
      <c r="BO2474" s="4">
        <v>46141.43587962963</v>
      </c>
      <c r="BP2474">
        <v>166264</v>
      </c>
      <c r="BQ2474">
        <v>93389</v>
      </c>
      <c r="BR2474" t="inlineStr">
        <is>
          <t>Online</t>
        </is>
      </c>
      <c r="BS2474"/>
      <c r="BT2474">
        <v>93389</v>
      </c>
      <c r="BU2474"/>
      <c r="BV2474">
        <v>2703152</v>
      </c>
      <c r="BW2474" t="inlineStr">
        <is>
          <t>Follow Up : Budget Concern</t>
        </is>
      </c>
      <c r="BX2474">
        <v>1</v>
      </c>
      <c r="BY2474">
        <v>0</v>
      </c>
      <c r="BZ2474" s="4">
        <v>46126.59328703704</v>
      </c>
      <c r="CA2474">
        <v>10</v>
      </c>
      <c r="CB2474">
        <v>10</v>
      </c>
      <c r="CC2474" s="4"/>
      <c r="CD2474" t="inlineStr">
        <is>
          <t>5</t>
        </is>
      </c>
      <c r="CE2474" t="inlineStr">
        <is>
          <t>0</t>
        </is>
      </c>
      <c r="CF2474" t="inlineStr">
        <is>
          <t>Q2-W01</t>
        </is>
      </c>
      <c r="CG2474" t="inlineStr">
        <is>
          <t>Q2-W02</t>
        </is>
      </c>
      <c r="CH2474" t="inlineStr">
        <is>
          <t>Q2-W02</t>
        </is>
      </c>
      <c r="CI2474"/>
      <c r="CJ2474" t="inlineStr">
        <is>
          <t>Paid</t>
        </is>
      </c>
      <c r="CK2474" t="inlineStr">
        <is>
          <t>Not Eligible</t>
        </is>
      </c>
      <c r="CL2474"/>
      <c r="CM2474"/>
    </row>
    <row r="2475" ht="25.5" customHeight="1">
      <c r="A2475" t="inlineStr">
        <is>
          <t>203061</t>
        </is>
      </c>
      <c r="B2475" s="2"/>
      <c r="C2475"/>
      <c r="D2475" s="3">
        <v>46121.68835648148</v>
      </c>
      <c r="E2475" t="inlineStr">
        <is>
          <t>Q2-W01</t>
        </is>
      </c>
      <c r="F2475" t="inlineStr">
        <is>
          <t>Clover</t>
        </is>
      </c>
      <c r="G2475" t="inlineStr">
        <is>
          <t>Customer</t>
        </is>
      </c>
      <c r="H2475" s="2" t="str">
        <f>=HYPERLINK("https://upbox.ajobthing.my/customer/203061", "https://upbox.ajobthing.my/customer/203061")</f>
        <v>https://upbox.ajobthing.my/customer/203061</v>
      </c>
      <c r="I2475" t="inlineStr">
        <is>
          <t>81maxlend sdn.bhd</t>
        </is>
      </c>
      <c r="J2475" t="inlineStr">
        <is>
          <t>Dolphin</t>
        </is>
      </c>
      <c r="K2475" t="inlineStr">
        <is>
          <t>Clover</t>
        </is>
      </c>
      <c r="L2475" s="4"/>
      <c r="M2475" s="4">
        <v>46121.68869212963</v>
      </c>
      <c r="N2475"/>
      <c r="O2475">
        <v>3888</v>
      </c>
      <c r="P2475" s="4"/>
      <c r="Q2475" s="4"/>
      <c r="R2475"/>
      <c r="S2475"/>
      <c r="T2475" s="4"/>
      <c r="U2475" s="4"/>
      <c r="V2475"/>
      <c r="W2475"/>
      <c r="X2475"/>
      <c r="Y2475" t="inlineStr">
        <is>
          <t>Pending Appointment</t>
        </is>
      </c>
      <c r="Z2475" t="inlineStr">
        <is>
          <t>Hiring Now</t>
        </is>
      </c>
      <c r="AA2475">
        <v>3</v>
      </c>
      <c r="AB2475" t="inlineStr">
        <is>
          <t>No Appointment Made</t>
        </is>
      </c>
      <c r="AC2475"/>
      <c r="AD2475" t="inlineStr">
        <is>
          <t>PIC Ms Aimpha , admin exec x1, account exec x2 basic SQL, all races, min 1 year exp, money laundry selagor, future hiring maybe year end, previous post FB, Indeed cheaper, suggest stand</t>
        </is>
      </c>
      <c r="AE2475"/>
      <c r="AF2475">
        <v>3000</v>
      </c>
      <c r="AG2475" s="4"/>
      <c r="AH2475" s="4"/>
      <c r="AI2475">
        <v>3000</v>
      </c>
      <c r="AJ2475">
        <v>1</v>
      </c>
      <c r="AK2475" t="inlineStr">
        <is>
          <t>No, but I want in future</t>
        </is>
      </c>
      <c r="AL2475">
        <v>1</v>
      </c>
      <c r="AM2475" t="inlineStr">
        <is>
          <t>No, but I want in future</t>
        </is>
      </c>
      <c r="AN2475"/>
      <c r="AO2475" t="inlineStr">
        <is>
          <t>No, but I want in future</t>
        </is>
      </c>
      <c r="AP2475" t="inlineStr">
        <is>
          <t>Twice a year (50%)</t>
        </is>
      </c>
      <c r="AQ2475">
        <v>2</v>
      </c>
      <c r="AR2475" t="inlineStr">
        <is>
          <t>Did not use any job portal</t>
        </is>
      </c>
      <c r="AS2475" t="inlineStr">
        <is>
          <t>- Headcount: 3
- Hiring Job Details: PIC Ms Aimpha, 1 admin exec, 2 account execs (basic SQL, all races, min 1 year exp, money laundry Selangor; future hiring maybe year end, previous post FB, Indeed cheaper,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is>
      </c>
      <c r="AT2475">
        <v>100</v>
      </c>
      <c r="AU2475" t="inlineStr">
        <is>
          <t>1.00</t>
        </is>
      </c>
      <c r="AV2475" t="inlineStr">
        <is>
          <t>15</t>
        </is>
      </c>
      <c r="AW2475" t="inlineStr">
        <is>
          <t>0</t>
        </is>
      </c>
      <c r="AX2475" t="inlineStr">
        <is>
          <t>Not Qualified</t>
        </is>
      </c>
      <c r="AY2475" s="4"/>
      <c r="AZ2475"/>
      <c r="BA2475"/>
      <c r="BB2475"/>
      <c r="BC2475" t="inlineStr">
        <is>
          <t>WA inform job filled</t>
        </is>
      </c>
      <c r="BD2475" s="4">
        <v>46136.71701388889</v>
      </c>
      <c r="BE2475"/>
      <c r="BF2475"/>
      <c r="BG2475" t="inlineStr">
        <is>
          <t>Reschedule</t>
        </is>
      </c>
      <c r="BH2475" t="inlineStr">
        <is>
          <t>Reagen</t>
        </is>
      </c>
      <c r="BI2475"/>
      <c r="BJ2475" s="4">
        <v>46144.75418981481</v>
      </c>
      <c r="BK2475" s="4">
        <v>46121.68174768519</v>
      </c>
      <c r="BL2475" t="inlineStr">
        <is>
          <t>0.0</t>
        </is>
      </c>
      <c r="BM2475" t="inlineStr">
        <is>
          <t>0.0</t>
        </is>
      </c>
      <c r="BN2475"/>
      <c r="BO2475" s="4"/>
      <c r="BP2475">
        <v>166265</v>
      </c>
      <c r="BQ2475"/>
      <c r="BR2475"/>
      <c r="BS2475"/>
      <c r="BT2475"/>
      <c r="BU2475"/>
      <c r="BV2475">
        <v>2727262</v>
      </c>
      <c r="BW2475" t="inlineStr">
        <is>
          <t>Follow Up : Lost - Free Portal</t>
        </is>
      </c>
      <c r="BX2475"/>
      <c r="BY2475"/>
      <c r="BZ2475" s="4"/>
      <c r="CA2475"/>
      <c r="CB2475"/>
      <c r="CC2475" s="4"/>
      <c r="CD2475" t="inlineStr">
        <is>
          <t>20</t>
        </is>
      </c>
      <c r="CE2475" t="inlineStr">
        <is>
          <t>0</t>
        </is>
      </c>
      <c r="CF2475" t="inlineStr">
        <is>
          <t>Q2-W01</t>
        </is>
      </c>
      <c r="CG2475"/>
      <c r="CH2475"/>
      <c r="CI2475"/>
      <c r="CJ2475" t="inlineStr">
        <is>
          <t>No Paid</t>
        </is>
      </c>
      <c r="CK2475" t="inlineStr">
        <is>
          <t>Not Eligible</t>
        </is>
      </c>
      <c r="CL2475"/>
      <c r="CM2475"/>
    </row>
    <row r="2476" ht="25.5" customHeight="1">
      <c r="A2476" t="inlineStr">
        <is>
          <t>154501</t>
        </is>
      </c>
      <c r="B2476" s="2"/>
      <c r="C2476"/>
      <c r="D2476" s="3">
        <v>46121.70041666667</v>
      </c>
      <c r="E2476" t="inlineStr">
        <is>
          <t>Q2-W01</t>
        </is>
      </c>
      <c r="F2476" t="inlineStr">
        <is>
          <t>Clover</t>
        </is>
      </c>
      <c r="G2476" t="inlineStr">
        <is>
          <t>Customer</t>
        </is>
      </c>
      <c r="H2476" s="2" t="str">
        <f>=HYPERLINK("https://upbox.ajobthing.my/customer/154501", "https://upbox.ajobthing.my/customer/154501")</f>
        <v>https://upbox.ajobthing.my/customer/154501</v>
      </c>
      <c r="I2476" t="inlineStr">
        <is>
          <t>CTN Interior Solutions Sdn Bhd</t>
        </is>
      </c>
      <c r="J2476" t="inlineStr">
        <is>
          <t>Dolphin</t>
        </is>
      </c>
      <c r="K2476" t="inlineStr">
        <is>
          <t>Clover</t>
        </is>
      </c>
      <c r="L2476" s="4"/>
      <c r="M2476" s="4">
        <v>46121.700578703705</v>
      </c>
      <c r="N2476"/>
      <c r="O2476">
        <v>3888</v>
      </c>
      <c r="P2476" s="4"/>
      <c r="Q2476" s="4"/>
      <c r="R2476"/>
      <c r="S2476"/>
      <c r="T2476" s="4"/>
      <c r="U2476" s="4"/>
      <c r="V2476"/>
      <c r="W2476"/>
      <c r="X2476"/>
      <c r="Y2476" t="inlineStr">
        <is>
          <t>Pending Appointment</t>
        </is>
      </c>
      <c r="Z2476" t="inlineStr">
        <is>
          <t>Hiring Now</t>
        </is>
      </c>
      <c r="AA2476">
        <v>1</v>
      </c>
      <c r="AB2476" t="inlineStr">
        <is>
          <t>No Appointment Made</t>
        </is>
      </c>
      <c r="AC2476"/>
      <c r="AD2476" t="inlineStr">
        <is>
          <t>Want to hire QS x1,  chi/malay, interior industry, PJ,  prefer try free, suggest stand</t>
        </is>
      </c>
      <c r="AE2476"/>
      <c r="AF2476">
        <v>3000</v>
      </c>
      <c r="AG2476" s="4"/>
      <c r="AH2476" s="4"/>
      <c r="AI2476">
        <v>3000</v>
      </c>
      <c r="AJ2476">
        <v>1</v>
      </c>
      <c r="AK2476" t="inlineStr">
        <is>
          <t>No, but I want in future</t>
        </is>
      </c>
      <c r="AL2476">
        <v>1</v>
      </c>
      <c r="AM2476" t="inlineStr">
        <is>
          <t>No, but I want in future</t>
        </is>
      </c>
      <c r="AN2476"/>
      <c r="AO2476" t="inlineStr">
        <is>
          <t>No, but I want in future</t>
        </is>
      </c>
      <c r="AP2476" t="inlineStr">
        <is>
          <t>Twice a year (50%)</t>
        </is>
      </c>
      <c r="AQ2476">
        <v>2</v>
      </c>
      <c r="AR2476" t="inlineStr">
        <is>
          <t>Did not use any job portal</t>
        </is>
      </c>
      <c r="AS2476" t="inlineStr">
        <is>
          <t>- Headcount: 1
- Hiring Job Details: 1 QS (chi/malay, interior industry, PJ, prefer free trial,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476">
        <v>115</v>
      </c>
      <c r="AU2476" t="inlineStr">
        <is>
          <t>1.15</t>
        </is>
      </c>
      <c r="AV2476" t="inlineStr">
        <is>
          <t>15</t>
        </is>
      </c>
      <c r="AW2476" t="inlineStr">
        <is>
          <t>0</t>
        </is>
      </c>
      <c r="AX2476" t="inlineStr">
        <is>
          <t>Not Qualified</t>
        </is>
      </c>
      <c r="AY2476" s="4"/>
      <c r="AZ2476"/>
      <c r="BA2476"/>
      <c r="BB2476"/>
      <c r="BC2476" t="inlineStr">
        <is>
          <t>PIC Ms Tan +60 18-916 5337 ,  on hold first</t>
        </is>
      </c>
      <c r="BD2476" s="4">
        <v>46125.74332175926</v>
      </c>
      <c r="BE2476"/>
      <c r="BF2476"/>
      <c r="BG2476" t="inlineStr">
        <is>
          <t>Reschedule</t>
        </is>
      </c>
      <c r="BH2476" t="inlineStr">
        <is>
          <t>Reagen</t>
        </is>
      </c>
      <c r="BI2476" t="inlineStr">
        <is>
          <t>Construction / Building</t>
        </is>
      </c>
      <c r="BJ2476" s="4">
        <v>46144.7509375</v>
      </c>
      <c r="BK2476" s="4">
        <v>44704.664039351854</v>
      </c>
      <c r="BL2476" t="inlineStr">
        <is>
          <t>0.0</t>
        </is>
      </c>
      <c r="BM2476" t="inlineStr">
        <is>
          <t>1800.0</t>
        </is>
      </c>
      <c r="BN2476" t="inlineStr">
        <is>
          <t>View Create Job Page V4</t>
        </is>
      </c>
      <c r="BO2476" s="4">
        <v>46121.67321759259</v>
      </c>
      <c r="BP2476">
        <v>166271</v>
      </c>
      <c r="BQ2476"/>
      <c r="BR2476"/>
      <c r="BS2476"/>
      <c r="BT2476"/>
      <c r="BU2476"/>
      <c r="BV2476">
        <v>2702181</v>
      </c>
      <c r="BW2476" t="inlineStr">
        <is>
          <t>Follow Up : Lost - Free Portal</t>
        </is>
      </c>
      <c r="BX2476"/>
      <c r="BY2476"/>
      <c r="BZ2476" s="4"/>
      <c r="CA2476"/>
      <c r="CB2476"/>
      <c r="CC2476" s="4"/>
      <c r="CD2476" t="inlineStr">
        <is>
          <t>20</t>
        </is>
      </c>
      <c r="CE2476" t="inlineStr">
        <is>
          <t>0</t>
        </is>
      </c>
      <c r="CF2476" t="inlineStr">
        <is>
          <t>Q2-W01</t>
        </is>
      </c>
      <c r="CG2476"/>
      <c r="CH2476"/>
      <c r="CI2476"/>
      <c r="CJ2476" t="inlineStr">
        <is>
          <t>No Paid</t>
        </is>
      </c>
      <c r="CK2476" t="inlineStr">
        <is>
          <t>Not Eligible</t>
        </is>
      </c>
      <c r="CL2476"/>
      <c r="CM2476"/>
    </row>
    <row r="2477" ht="25.5" customHeight="1">
      <c r="A2477" t="inlineStr">
        <is>
          <t>175555</t>
        </is>
      </c>
      <c r="B2477" s="2"/>
      <c r="C2477"/>
      <c r="D2477" s="3">
        <v>46121.708344907405</v>
      </c>
      <c r="E2477" t="inlineStr">
        <is>
          <t>Q2-W01</t>
        </is>
      </c>
      <c r="F2477" t="inlineStr">
        <is>
          <t>Chia Yee</t>
        </is>
      </c>
      <c r="G2477" t="inlineStr">
        <is>
          <t>Customer</t>
        </is>
      </c>
      <c r="H2477" s="2" t="str">
        <f>=HYPERLINK("https://upbox.ajobthing.my/customer/175555", "https://upbox.ajobthing.my/customer/175555")</f>
        <v>https://upbox.ajobthing.my/customer/175555</v>
      </c>
      <c r="I2477" t="inlineStr">
        <is>
          <t>PWA, Tan &amp; Partners</t>
        </is>
      </c>
      <c r="J2477" t="inlineStr">
        <is>
          <t>Dolphin</t>
        </is>
      </c>
      <c r="K2477" t="inlineStr">
        <is>
          <t>Chia Yee</t>
        </is>
      </c>
      <c r="L2477" s="4"/>
      <c r="M2477" s="4">
        <v>46121.70980324074</v>
      </c>
      <c r="N2477"/>
      <c r="O2477">
        <v>6048</v>
      </c>
      <c r="P2477" s="4"/>
      <c r="Q2477" s="4">
        <v>45834.59475694445</v>
      </c>
      <c r="R2477"/>
      <c r="S2477">
        <v>324</v>
      </c>
      <c r="T2477" s="4">
        <v>45834.59475694445</v>
      </c>
      <c r="U2477" s="4"/>
      <c r="V2477"/>
      <c r="W2477">
        <v>324</v>
      </c>
      <c r="X2477"/>
      <c r="Y2477" t="inlineStr">
        <is>
          <t>Pending Appointment</t>
        </is>
      </c>
      <c r="Z2477" t="inlineStr">
        <is>
          <t>Hiring Now</t>
        </is>
      </c>
      <c r="AA2477">
        <v>1</v>
      </c>
      <c r="AB2477" t="inlineStr">
        <is>
          <t>No Appointment Made</t>
        </is>
      </c>
      <c r="AC2477"/>
      <c r="AD2477" t="inlineStr">
        <is>
          <t xml:space="preserve">1 Junior accounting </t>
        </is>
      </c>
      <c r="AE2477"/>
      <c r="AF2477">
        <v>0</v>
      </c>
      <c r="AG2477" s="4"/>
      <c r="AH2477" s="4"/>
      <c r="AI2477">
        <v>0</v>
      </c>
      <c r="AJ2477">
        <v>1</v>
      </c>
      <c r="AK2477" t="inlineStr">
        <is>
          <t>No, I don't need at all</t>
        </is>
      </c>
      <c r="AL2477">
        <v>1</v>
      </c>
      <c r="AM2477" t="inlineStr">
        <is>
          <t>No, I don't need at all</t>
        </is>
      </c>
      <c r="AN2477"/>
      <c r="AO2477" t="inlineStr">
        <is>
          <t>No, I don't need at all</t>
        </is>
      </c>
      <c r="AP2477" t="inlineStr">
        <is>
          <t>Once a year (25%)</t>
        </is>
      </c>
      <c r="AQ2477">
        <v>1</v>
      </c>
      <c r="AR2477" t="inlineStr">
        <is>
          <t>Did not use any job portal</t>
        </is>
      </c>
      <c r="AS2477" t="inlineStr">
        <is>
          <t>- Headcount: 1
- Hiring Job Details: 1 Junior accounting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477">
        <v>110</v>
      </c>
      <c r="AU2477" t="inlineStr">
        <is>
          <t>1.10</t>
        </is>
      </c>
      <c r="AV2477" t="inlineStr">
        <is>
          <t>15</t>
        </is>
      </c>
      <c r="AW2477" t="inlineStr">
        <is>
          <t>0</t>
        </is>
      </c>
      <c r="AX2477" t="inlineStr">
        <is>
          <t>Not Qualified</t>
        </is>
      </c>
      <c r="AY2477" s="4"/>
      <c r="AZ2477"/>
      <c r="BA2477"/>
      <c r="BB2477"/>
      <c r="BC2477" t="inlineStr">
        <is>
          <t>Called, no ans.</t>
        </is>
      </c>
      <c r="BD2477" s="4">
        <v>46134.73185185185</v>
      </c>
      <c r="BE2477" t="inlineStr">
        <is>
          <t>paid</t>
        </is>
      </c>
      <c r="BF2477"/>
      <c r="BG2477" t="inlineStr">
        <is>
          <t>Reschedule</t>
        </is>
      </c>
      <c r="BH2477" t="inlineStr">
        <is>
          <t>Reagen</t>
        </is>
      </c>
      <c r="BI2477" t="inlineStr">
        <is>
          <t>Accounting / Tax Services</t>
        </is>
      </c>
      <c r="BJ2477" s="4">
        <v>46144.751608796294</v>
      </c>
      <c r="BK2477" s="4">
        <v>45342.67585648148</v>
      </c>
      <c r="BL2477" t="inlineStr">
        <is>
          <t>972.0</t>
        </is>
      </c>
      <c r="BM2477" t="inlineStr">
        <is>
          <t>1950.0</t>
        </is>
      </c>
      <c r="BN2477" t="inlineStr">
        <is>
          <t>View Jobmanager Page</t>
        </is>
      </c>
      <c r="BO2477" s="4">
        <v>45887.500439814816</v>
      </c>
      <c r="BP2477">
        <v>166274</v>
      </c>
      <c r="BQ2477">
        <v>80395</v>
      </c>
      <c r="BR2477" t="inlineStr">
        <is>
          <t>Online</t>
        </is>
      </c>
      <c r="BS2477"/>
      <c r="BT2477">
        <v>80395</v>
      </c>
      <c r="BU2477"/>
      <c r="BV2477">
        <v>2721909</v>
      </c>
      <c r="BW2477" t="inlineStr">
        <is>
          <t>No Answer : Voicemail - WA sent to customer</t>
        </is>
      </c>
      <c r="BX2477"/>
      <c r="BY2477"/>
      <c r="BZ2477" s="4"/>
      <c r="CA2477"/>
      <c r="CB2477"/>
      <c r="CC2477" s="4"/>
      <c r="CD2477" t="inlineStr">
        <is>
          <t>20</t>
        </is>
      </c>
      <c r="CE2477" t="inlineStr">
        <is>
          <t>0</t>
        </is>
      </c>
      <c r="CF2477" t="inlineStr">
        <is>
          <t>Q2-W01</t>
        </is>
      </c>
      <c r="CG2477"/>
      <c r="CH2477"/>
      <c r="CI2477"/>
      <c r="CJ2477" t="inlineStr">
        <is>
          <t>Paid</t>
        </is>
      </c>
      <c r="CK2477" t="inlineStr">
        <is>
          <t>Not Eligible</t>
        </is>
      </c>
      <c r="CL2477"/>
      <c r="CM2477"/>
    </row>
    <row r="2478" ht="25.5" customHeight="1">
      <c r="A2478" t="inlineStr">
        <is>
          <t>162249</t>
        </is>
      </c>
      <c r="B2478" s="2"/>
      <c r="C2478"/>
      <c r="D2478" s="3">
        <v>46121.70958333334</v>
      </c>
      <c r="E2478" t="inlineStr">
        <is>
          <t>Q2-W01</t>
        </is>
      </c>
      <c r="F2478" t="inlineStr">
        <is>
          <t>Clover</t>
        </is>
      </c>
      <c r="G2478" t="inlineStr">
        <is>
          <t>Customer</t>
        </is>
      </c>
      <c r="H2478" s="2" t="str">
        <f>=HYPERLINK("https://upbox.ajobthing.my/customer/162249", "https://upbox.ajobthing.my/customer/162249")</f>
        <v>https://upbox.ajobthing.my/customer/162249</v>
      </c>
      <c r="I2478" t="inlineStr">
        <is>
          <t>Nulatex Sdn Bhd</t>
        </is>
      </c>
      <c r="J2478" t="inlineStr">
        <is>
          <t>Dolphin</t>
        </is>
      </c>
      <c r="K2478" t="inlineStr">
        <is>
          <t>Clover</t>
        </is>
      </c>
      <c r="L2478" s="4"/>
      <c r="M2478" s="4">
        <v>46136.71271990741</v>
      </c>
      <c r="N2478"/>
      <c r="O2478">
        <v>3888</v>
      </c>
      <c r="P2478" s="4"/>
      <c r="Q2478" s="4"/>
      <c r="R2478"/>
      <c r="S2478"/>
      <c r="T2478" s="4"/>
      <c r="U2478" s="4"/>
      <c r="V2478"/>
      <c r="W2478"/>
      <c r="X2478"/>
      <c r="Y2478" t="inlineStr">
        <is>
          <t>Pending Appointment</t>
        </is>
      </c>
      <c r="Z2478" t="inlineStr">
        <is>
          <t>Hiring Now</t>
        </is>
      </c>
      <c r="AA2478">
        <v>20</v>
      </c>
      <c r="AB2478" t="inlineStr">
        <is>
          <t>No Appointment Made</t>
        </is>
      </c>
      <c r="AC2478"/>
      <c r="AD2478" t="inlineStr">
        <is>
          <t xml:space="preserve"> Call office 07 777 1801, new PIC Mr Andy,  hire operator x20, all races, contract based, manufacturer, kluag Johor, WA 01165167219  Mr Andy, pending appointment</t>
        </is>
      </c>
      <c r="AE2478"/>
      <c r="AF2478">
        <v>5000</v>
      </c>
      <c r="AG2478" s="4"/>
      <c r="AH2478" s="4"/>
      <c r="AI2478">
        <v>5000</v>
      </c>
      <c r="AJ2478">
        <v>1</v>
      </c>
      <c r="AK2478" t="inlineStr">
        <is>
          <t>No, but I want in future</t>
        </is>
      </c>
      <c r="AL2478">
        <v>1</v>
      </c>
      <c r="AM2478" t="inlineStr">
        <is>
          <t>No, but I want in future</t>
        </is>
      </c>
      <c r="AN2478"/>
      <c r="AO2478" t="inlineStr">
        <is>
          <t>No, but I want in future</t>
        </is>
      </c>
      <c r="AP2478" t="inlineStr">
        <is>
          <t>Once per quarter (75%)</t>
        </is>
      </c>
      <c r="AQ2478">
        <v>20</v>
      </c>
      <c r="AR2478" t="inlineStr">
        <is>
          <t>Did not use any job portal</t>
        </is>
      </c>
      <c r="AS2478" t="inlineStr">
        <is>
          <t>- Headcount: 20
- Hiring Job Details: Call office 07 777 1801, new PIC Mr Andy, hire operator x20, all races, contract based, manufacturer, kluag Johor, WA 01165167219 Mr Andy, pending appointment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20
- Hiring frequency: Once per quarter (75%)
- External job portal: Did not use any</t>
        </is>
      </c>
      <c r="AT2478">
        <v>115</v>
      </c>
      <c r="AU2478" t="inlineStr">
        <is>
          <t>1.15</t>
        </is>
      </c>
      <c r="AV2478" t="inlineStr">
        <is>
          <t>25</t>
        </is>
      </c>
      <c r="AW2478" t="inlineStr">
        <is>
          <t>0</t>
        </is>
      </c>
      <c r="AX2478" t="inlineStr">
        <is>
          <t>Not Qualified</t>
        </is>
      </c>
      <c r="AY2478" s="4"/>
      <c r="AZ2478"/>
      <c r="BA2478"/>
      <c r="BB2478"/>
      <c r="BC2478" t="inlineStr">
        <is>
          <t>lost</t>
        </is>
      </c>
      <c r="BD2478" s="4">
        <v>46142.595405092594</v>
      </c>
      <c r="BE2478"/>
      <c r="BF2478"/>
      <c r="BG2478" t="inlineStr">
        <is>
          <t>Reschedule</t>
        </is>
      </c>
      <c r="BH2478" t="inlineStr">
        <is>
          <t>Reagen</t>
        </is>
      </c>
      <c r="BI2478" t="inlineStr">
        <is>
          <t>Manufacturing / Production</t>
        </is>
      </c>
      <c r="BJ2478" s="4">
        <v>46144.75115740741</v>
      </c>
      <c r="BK2478" s="4">
        <v>44886.68171296296</v>
      </c>
      <c r="BL2478" t="inlineStr">
        <is>
          <t>0.0</t>
        </is>
      </c>
      <c r="BM2478" t="inlineStr">
        <is>
          <t>0.0</t>
        </is>
      </c>
      <c r="BN2478" t="inlineStr">
        <is>
          <t>View Company Page</t>
        </is>
      </c>
      <c r="BO2478" s="4">
        <v>44886.70445601852</v>
      </c>
      <c r="BP2478">
        <v>168883</v>
      </c>
      <c r="BQ2478"/>
      <c r="BR2478"/>
      <c r="BS2478"/>
      <c r="BT2478"/>
      <c r="BU2478"/>
      <c r="BV2478">
        <v>2737661</v>
      </c>
      <c r="BW2478" t="inlineStr">
        <is>
          <t>Follow Up : Lost - Free Portal</t>
        </is>
      </c>
      <c r="BX2478"/>
      <c r="BY2478"/>
      <c r="BZ2478" s="4"/>
      <c r="CA2478"/>
      <c r="CB2478"/>
      <c r="CC2478" s="4"/>
      <c r="CD2478" t="inlineStr">
        <is>
          <t>35</t>
        </is>
      </c>
      <c r="CE2478" t="inlineStr">
        <is>
          <t>0</t>
        </is>
      </c>
      <c r="CF2478" t="inlineStr">
        <is>
          <t>Q2-W04</t>
        </is>
      </c>
      <c r="CG2478"/>
      <c r="CH2478"/>
      <c r="CI2478"/>
      <c r="CJ2478" t="inlineStr">
        <is>
          <t>No Paid</t>
        </is>
      </c>
      <c r="CK2478" t="inlineStr">
        <is>
          <t>Eligible</t>
        </is>
      </c>
      <c r="CL2478"/>
      <c r="CM2478"/>
    </row>
    <row r="2479" ht="25.5" customHeight="1">
      <c r="A2479" t="inlineStr">
        <is>
          <t>162249</t>
        </is>
      </c>
      <c r="B2479" s="2"/>
      <c r="C2479"/>
      <c r="D2479" s="3">
        <v>46121.716875</v>
      </c>
      <c r="E2479" t="inlineStr">
        <is>
          <t>Q2-W01</t>
        </is>
      </c>
      <c r="F2479" t="inlineStr">
        <is>
          <t>Clover</t>
        </is>
      </c>
      <c r="G2479" t="inlineStr">
        <is>
          <t>Customer</t>
        </is>
      </c>
      <c r="H2479" s="2" t="str">
        <f>=HYPERLINK("https://upbox.ajobthing.my/customer/162249", "https://upbox.ajobthing.my/customer/162249")</f>
        <v>https://upbox.ajobthing.my/customer/162249</v>
      </c>
      <c r="I2479" t="inlineStr">
        <is>
          <t>Nulatex Sdn Bhd</t>
        </is>
      </c>
      <c r="J2479" t="inlineStr">
        <is>
          <t>Dolphin</t>
        </is>
      </c>
      <c r="K2479" t="inlineStr">
        <is>
          <t>Clover</t>
        </is>
      </c>
      <c r="L2479" s="4"/>
      <c r="M2479" s="4">
        <v>46136.71271990741</v>
      </c>
      <c r="N2479"/>
      <c r="O2479">
        <v>3888</v>
      </c>
      <c r="P2479" s="4"/>
      <c r="Q2479" s="4"/>
      <c r="R2479"/>
      <c r="S2479"/>
      <c r="T2479" s="4"/>
      <c r="U2479" s="4"/>
      <c r="V2479"/>
      <c r="W2479"/>
      <c r="X2479" t="inlineStr">
        <is>
          <t>Dandy Liu</t>
        </is>
      </c>
      <c r="Y2479" t="inlineStr">
        <is>
          <t>Done Appointment</t>
        </is>
      </c>
      <c r="Z2479" t="inlineStr">
        <is>
          <t>Hiring Now</t>
        </is>
      </c>
      <c r="AA2479">
        <v>20</v>
      </c>
      <c r="AB2479" t="inlineStr">
        <is>
          <t>Appointment Made</t>
        </is>
      </c>
      <c r="AC2479" t="inlineStr">
        <is>
          <t>Mid-size (50-100 employees)</t>
        </is>
      </c>
      <c r="AD2479" t="inlineStr">
        <is>
          <t>Call office 07 777 1801, new PIC Mr Andy, hire operator x20, all races, contract based, high turnover, condom manufacturer, kluag Johor, WA 01165167219 Mr Andy</t>
        </is>
      </c>
      <c r="AE2479" t="inlineStr">
        <is>
          <t>HR Manager / Talent Manager</t>
        </is>
      </c>
      <c r="AF2479">
        <v>5000</v>
      </c>
      <c r="AG2479" s="4">
        <v>46122.583333333336</v>
      </c>
      <c r="AH2479" s="4">
        <v>46122.625</v>
      </c>
      <c r="AI2479">
        <v>5000</v>
      </c>
      <c r="AJ2479">
        <v>1</v>
      </c>
      <c r="AK2479" t="inlineStr">
        <is>
          <t>No, but I want in future</t>
        </is>
      </c>
      <c r="AL2479">
        <v>1</v>
      </c>
      <c r="AM2479" t="inlineStr">
        <is>
          <t>No, but I want in future</t>
        </is>
      </c>
      <c r="AN2479"/>
      <c r="AO2479" t="inlineStr">
        <is>
          <t>No, but I want in future</t>
        </is>
      </c>
      <c r="AP2479" t="inlineStr">
        <is>
          <t>Once per quarter (75%)</t>
        </is>
      </c>
      <c r="AQ2479">
        <v>20</v>
      </c>
      <c r="AR2479" t="inlineStr">
        <is>
          <t>Did not use any job portal</t>
        </is>
      </c>
      <c r="AS2479" t="inlineStr">
        <is>
          <t>- Headcount: 20
- Hiring Job Details: Call office 07 777 1801, new PIC Mr Andy, hire operator x20, all races, contract based, high turnover, condom manufacturer, kluag Johor, WA 01165167219 Mr Andy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20
- Hiring frequency: Once per quarter (75%)
- External job portal: Did not use any</t>
        </is>
      </c>
      <c r="AT2479">
        <v>115</v>
      </c>
      <c r="AU2479" t="inlineStr">
        <is>
          <t>1.15</t>
        </is>
      </c>
      <c r="AV2479" t="inlineStr">
        <is>
          <t>45</t>
        </is>
      </c>
      <c r="AW2479" t="inlineStr">
        <is>
          <t>0.5</t>
        </is>
      </c>
      <c r="AX2479" t="inlineStr">
        <is>
          <t>Not Qualified</t>
        </is>
      </c>
      <c r="AY2479" s="4">
        <v>46122.65267361111</v>
      </c>
      <c r="AZ2479" t="inlineStr">
        <is>
          <t>Base Assistant</t>
        </is>
      </c>
      <c r="BA2479"/>
      <c r="BB2479"/>
      <c r="BC2479" t="inlineStr">
        <is>
          <t>lost</t>
        </is>
      </c>
      <c r="BD2479" s="4">
        <v>46142.595405092594</v>
      </c>
      <c r="BE2479"/>
      <c r="BF2479"/>
      <c r="BG2479" t="inlineStr">
        <is>
          <t>Reschedule</t>
        </is>
      </c>
      <c r="BH2479" t="inlineStr">
        <is>
          <t>Reagen</t>
        </is>
      </c>
      <c r="BI2479" t="inlineStr">
        <is>
          <t>Manufacturing / Production</t>
        </is>
      </c>
      <c r="BJ2479" s="4">
        <v>46144.75115740741</v>
      </c>
      <c r="BK2479" s="4">
        <v>44886.68171296296</v>
      </c>
      <c r="BL2479" t="inlineStr">
        <is>
          <t>0.0</t>
        </is>
      </c>
      <c r="BM2479" t="inlineStr">
        <is>
          <t>0.0</t>
        </is>
      </c>
      <c r="BN2479" t="inlineStr">
        <is>
          <t>View Company Page</t>
        </is>
      </c>
      <c r="BO2479" s="4">
        <v>44886.70445601852</v>
      </c>
      <c r="BP2479">
        <v>168883</v>
      </c>
      <c r="BQ2479"/>
      <c r="BR2479"/>
      <c r="BS2479"/>
      <c r="BT2479"/>
      <c r="BU2479"/>
      <c r="BV2479">
        <v>2737661</v>
      </c>
      <c r="BW2479" t="inlineStr">
        <is>
          <t>Follow Up : Lost - Free Portal</t>
        </is>
      </c>
      <c r="BX2479"/>
      <c r="BY2479"/>
      <c r="BZ2479" s="4"/>
      <c r="CA2479"/>
      <c r="CB2479"/>
      <c r="CC2479" s="4"/>
      <c r="CD2479" t="inlineStr">
        <is>
          <t>65</t>
        </is>
      </c>
      <c r="CE2479" t="inlineStr">
        <is>
          <t>0.8</t>
        </is>
      </c>
      <c r="CF2479" t="inlineStr">
        <is>
          <t>Q2-W04</t>
        </is>
      </c>
      <c r="CG2479"/>
      <c r="CH2479"/>
      <c r="CI2479" t="inlineStr">
        <is>
          <t>Q2-W02</t>
        </is>
      </c>
      <c r="CJ2479" t="inlineStr">
        <is>
          <t>No Paid</t>
        </is>
      </c>
      <c r="CK2479" t="inlineStr">
        <is>
          <t>Eligible</t>
        </is>
      </c>
      <c r="CL2479"/>
      <c r="CM2479" t="inlineStr">
        <is>
          <t>Q2-W02</t>
        </is>
      </c>
    </row>
    <row r="2480" ht="25.5" customHeight="1">
      <c r="A2480" t="inlineStr">
        <is>
          <t>168980</t>
        </is>
      </c>
      <c r="B2480" s="2"/>
      <c r="C2480"/>
      <c r="D2480" s="3">
        <v>46121.72226851852</v>
      </c>
      <c r="E2480" t="inlineStr">
        <is>
          <t>Q2-W01</t>
        </is>
      </c>
      <c r="F2480" t="inlineStr">
        <is>
          <t>Ken Yi</t>
        </is>
      </c>
      <c r="G2480" t="inlineStr">
        <is>
          <t>Customer</t>
        </is>
      </c>
      <c r="H2480" s="2" t="str">
        <f>=HYPERLINK("https://upbox.ajobthing.my/customer/168980", "https://upbox.ajobthing.my/customer/168980")</f>
        <v>https://upbox.ajobthing.my/customer/168980</v>
      </c>
      <c r="I2480" t="inlineStr">
        <is>
          <t>Coffex Coffee (M) Sdn Bhd</t>
        </is>
      </c>
      <c r="J2480" t="inlineStr">
        <is>
          <t>Dolphin</t>
        </is>
      </c>
      <c r="K2480" t="inlineStr">
        <is>
          <t>Kenyi</t>
        </is>
      </c>
      <c r="L2480" s="4"/>
      <c r="M2480" s="4">
        <v>46121.72462962963</v>
      </c>
      <c r="N2480"/>
      <c r="O2480">
        <v>3888</v>
      </c>
      <c r="P2480" s="4"/>
      <c r="Q2480" s="4">
        <v>45118.59337962963</v>
      </c>
      <c r="R2480"/>
      <c r="S2480">
        <v>2671.2</v>
      </c>
      <c r="T2480" s="4">
        <v>45118.59337962963</v>
      </c>
      <c r="U2480" s="4"/>
      <c r="V2480"/>
      <c r="W2480">
        <v>2671.2</v>
      </c>
      <c r="X2480"/>
      <c r="Y2480" t="inlineStr">
        <is>
          <t>Pending Appointment</t>
        </is>
      </c>
      <c r="Z2480" t="inlineStr">
        <is>
          <t>Hiring Now</t>
        </is>
      </c>
      <c r="AA2480">
        <v>1</v>
      </c>
      <c r="AB2480" t="inlineStr">
        <is>
          <t>No Appointment Made</t>
        </is>
      </c>
      <c r="AC2480"/>
      <c r="AD2480" t="inlineStr">
        <is>
          <t>Marketing 1</t>
        </is>
      </c>
      <c r="AE2480"/>
      <c r="AF2480">
        <v>0</v>
      </c>
      <c r="AG2480" s="4"/>
      <c r="AH2480" s="4"/>
      <c r="AI2480">
        <v>0</v>
      </c>
      <c r="AJ2480">
        <v>1</v>
      </c>
      <c r="AK2480" t="inlineStr">
        <is>
          <t>No, I don't need at all</t>
        </is>
      </c>
      <c r="AL2480">
        <v>0</v>
      </c>
      <c r="AM2480" t="inlineStr">
        <is>
          <t>No, I don't need at all</t>
        </is>
      </c>
      <c r="AN2480"/>
      <c r="AO2480" t="inlineStr">
        <is>
          <t>No, I don't need at all</t>
        </is>
      </c>
      <c r="AP2480" t="inlineStr">
        <is>
          <t>Every month (100%)</t>
        </is>
      </c>
      <c r="AQ2480">
        <v>1</v>
      </c>
      <c r="AR2480" t="inlineStr">
        <is>
          <t>Jobstreet, Free Job Portal</t>
        </is>
      </c>
      <c r="AS2480" t="inlineStr">
        <is>
          <t>- Headcount: 1
- Hiring Job Details: 1 Marketing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Jobstreet, Free Job Portal</t>
        </is>
      </c>
      <c r="AT2480">
        <v>110</v>
      </c>
      <c r="AU2480" t="inlineStr">
        <is>
          <t>1.10</t>
        </is>
      </c>
      <c r="AV2480" t="inlineStr">
        <is>
          <t>15</t>
        </is>
      </c>
      <c r="AW2480" t="inlineStr">
        <is>
          <t>0</t>
        </is>
      </c>
      <c r="AX2480" t="inlineStr">
        <is>
          <t>Not Qualified</t>
        </is>
      </c>
      <c r="AY2480" s="4"/>
      <c r="AZ2480"/>
      <c r="BA2480"/>
      <c r="BB2480"/>
      <c r="BC2480" t="inlineStr">
        <is>
          <t>- Headcount: 1
- Hiring Job Details: 1 Marketing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Every month (100%)
- External job portal: Jobstreet, Free Job Portal</t>
        </is>
      </c>
      <c r="BD2480" s="4">
        <v>46121.750081018516</v>
      </c>
      <c r="BE2480" t="inlineStr">
        <is>
          <t>paid</t>
        </is>
      </c>
      <c r="BF2480"/>
      <c r="BG2480" t="inlineStr">
        <is>
          <t>Reschedule</t>
        </is>
      </c>
      <c r="BH2480" t="inlineStr">
        <is>
          <t>Fauziah Maharan</t>
        </is>
      </c>
      <c r="BI2480" t="inlineStr">
        <is>
          <t>Manufacturing / Production</t>
        </is>
      </c>
      <c r="BJ2480" s="4">
        <v>46144.75136574074</v>
      </c>
      <c r="BK2480" s="4">
        <v>45114.68989583333</v>
      </c>
      <c r="BL2480" t="inlineStr">
        <is>
          <t>0.0</t>
        </is>
      </c>
      <c r="BM2480" t="inlineStr">
        <is>
          <t>3000.0</t>
        </is>
      </c>
      <c r="BN2480" t="inlineStr">
        <is>
          <t>User Visit(Logged In)</t>
        </is>
      </c>
      <c r="BO2480" s="4">
        <v>45329.68140046296</v>
      </c>
      <c r="BP2480">
        <v>166289</v>
      </c>
      <c r="BQ2480">
        <v>60420</v>
      </c>
      <c r="BR2480" t="inlineStr">
        <is>
          <t>Online</t>
        </is>
      </c>
      <c r="BS2480"/>
      <c r="BT2480">
        <v>60420</v>
      </c>
      <c r="BU2480"/>
      <c r="BV2480">
        <v>2697010</v>
      </c>
      <c r="BW2480" t="inlineStr">
        <is>
          <t>Customer Inquiry</t>
        </is>
      </c>
      <c r="BX2480"/>
      <c r="BY2480"/>
      <c r="BZ2480" s="4"/>
      <c r="CA2480"/>
      <c r="CB2480"/>
      <c r="CC2480" s="4"/>
      <c r="CD2480" t="inlineStr">
        <is>
          <t>20</t>
        </is>
      </c>
      <c r="CE2480" t="inlineStr">
        <is>
          <t>0</t>
        </is>
      </c>
      <c r="CF2480" t="inlineStr">
        <is>
          <t>Q2-W01</t>
        </is>
      </c>
      <c r="CG2480"/>
      <c r="CH2480"/>
      <c r="CI2480"/>
      <c r="CJ2480" t="inlineStr">
        <is>
          <t>Paid</t>
        </is>
      </c>
      <c r="CK2480" t="inlineStr">
        <is>
          <t>Not Eligible</t>
        </is>
      </c>
      <c r="CL2480"/>
      <c r="CM2480"/>
    </row>
    <row r="2481" ht="25.5" customHeight="1">
      <c r="A2481" t="inlineStr">
        <is>
          <t>117157</t>
        </is>
      </c>
      <c r="B2481" s="2"/>
      <c r="C2481"/>
      <c r="D2481" s="3">
        <v>46121.72856481482</v>
      </c>
      <c r="E2481" t="inlineStr">
        <is>
          <t>Q2-W01</t>
        </is>
      </c>
      <c r="F2481" t="inlineStr">
        <is>
          <t>Carmen</t>
        </is>
      </c>
      <c r="G2481" t="inlineStr">
        <is>
          <t>Customer</t>
        </is>
      </c>
      <c r="H2481" s="2" t="str">
        <f>=HYPERLINK("https://upbox.ajobthing.my/customer/117157", "https://upbox.ajobthing.my/customer/117157")</f>
        <v>https://upbox.ajobthing.my/customer/117157</v>
      </c>
      <c r="I2481" t="inlineStr">
        <is>
          <t>Ritma Armada Sdn Bhd</t>
        </is>
      </c>
      <c r="J2481" t="inlineStr">
        <is>
          <t>Dolphin</t>
        </is>
      </c>
      <c r="K2481" t="inlineStr">
        <is>
          <t>Carmen</t>
        </is>
      </c>
      <c r="L2481" s="4"/>
      <c r="M2481" s="4">
        <v>46121.72869212963</v>
      </c>
      <c r="N2481"/>
      <c r="O2481">
        <v>6048</v>
      </c>
      <c r="P2481" s="4"/>
      <c r="Q2481" s="4"/>
      <c r="R2481"/>
      <c r="S2481"/>
      <c r="T2481" s="4"/>
      <c r="U2481" s="4"/>
      <c r="V2481"/>
      <c r="W2481"/>
      <c r="X2481"/>
      <c r="Y2481" t="inlineStr">
        <is>
          <t>Pending Appointment</t>
        </is>
      </c>
      <c r="Z2481" t="inlineStr">
        <is>
          <t>Hiring Now</t>
        </is>
      </c>
      <c r="AA2481">
        <v>10</v>
      </c>
      <c r="AB2481" t="inlineStr">
        <is>
          <t>No Appointment Made</t>
        </is>
      </c>
      <c r="AC2481"/>
      <c r="AD2481" t="inlineStr">
        <is>
          <t>10 call center</t>
        </is>
      </c>
      <c r="AE2481"/>
      <c r="AF2481">
        <v>0</v>
      </c>
      <c r="AG2481" s="4"/>
      <c r="AH2481" s="4"/>
      <c r="AI2481"/>
      <c r="AJ2481"/>
      <c r="AK2481"/>
      <c r="AL2481"/>
      <c r="AM2481"/>
      <c r="AN2481"/>
      <c r="AO2481"/>
      <c r="AP2481" t="inlineStr">
        <is>
          <t>Twice a year (50%)</t>
        </is>
      </c>
      <c r="AQ2481"/>
      <c r="AR2481"/>
      <c r="AS2481" t="inlineStr">
        <is>
          <t>- Headcount: 10
- Hiring Job Details: 10 call center
- Hiring Urgency: Hiring Now
- Number of outlets: Not specified
- Have recruiter team: Not specified
- Number of recruiter in company: Not specified
- Have ATS system: Not specified
- Have career website: Not specified
- Current hiring budget: RM0.00
- Whole year budget: Not specified
- Whole year number of vacancies: Not specified
- Hiring frequency: Twice a year (50%)
- External job portal: Not specified</t>
        </is>
      </c>
      <c r="AT2481">
        <v>70</v>
      </c>
      <c r="AU2481" t="inlineStr">
        <is>
          <t>0.70</t>
        </is>
      </c>
      <c r="AV2481" t="inlineStr">
        <is>
          <t>20</t>
        </is>
      </c>
      <c r="AW2481" t="inlineStr">
        <is>
          <t>0</t>
        </is>
      </c>
      <c r="AX2481" t="inlineStr">
        <is>
          <t>Not Qualified</t>
        </is>
      </c>
      <c r="AY2481" s="4"/>
      <c r="AZ2481"/>
      <c r="BA2481"/>
      <c r="BB2481"/>
      <c r="BC2481" t="inlineStr">
        <is>
          <t>he now said penuh</t>
        </is>
      </c>
      <c r="BD2481" s="4">
        <v>46134.72484953704</v>
      </c>
      <c r="BE2481"/>
      <c r="BF2481"/>
      <c r="BG2481" t="inlineStr">
        <is>
          <t>Reschedule</t>
        </is>
      </c>
      <c r="BH2481" t="inlineStr">
        <is>
          <t>Reagen</t>
        </is>
      </c>
      <c r="BI2481" t="inlineStr">
        <is>
          <t>Call Center / BPO</t>
        </is>
      </c>
      <c r="BJ2481" s="4">
        <v>46144.75019675926</v>
      </c>
      <c r="BK2481" s="4">
        <v>43552.4474537037</v>
      </c>
      <c r="BL2481" t="inlineStr">
        <is>
          <t>0.0</t>
        </is>
      </c>
      <c r="BM2481" t="inlineStr">
        <is>
          <t>0.0</t>
        </is>
      </c>
      <c r="BN2481" t="inlineStr">
        <is>
          <t>View Create Job Page</t>
        </is>
      </c>
      <c r="BO2481" s="4">
        <v>43552.45408564815</v>
      </c>
      <c r="BP2481">
        <v>166295</v>
      </c>
      <c r="BQ2481"/>
      <c r="BR2481"/>
      <c r="BS2481"/>
      <c r="BT2481"/>
      <c r="BU2481"/>
      <c r="BV2481">
        <v>2721778</v>
      </c>
      <c r="BW2481" t="inlineStr">
        <is>
          <t>Follow Up : Budget Concern</t>
        </is>
      </c>
      <c r="BX2481"/>
      <c r="BY2481"/>
      <c r="BZ2481" s="4"/>
      <c r="CA2481"/>
      <c r="CB2481"/>
      <c r="CC2481" s="4"/>
      <c r="CD2481" t="inlineStr">
        <is>
          <t>30</t>
        </is>
      </c>
      <c r="CE2481" t="inlineStr">
        <is>
          <t>0</t>
        </is>
      </c>
      <c r="CF2481" t="inlineStr">
        <is>
          <t>Q2-W01</t>
        </is>
      </c>
      <c r="CG2481"/>
      <c r="CH2481"/>
      <c r="CI2481"/>
      <c r="CJ2481" t="inlineStr">
        <is>
          <t>No Paid</t>
        </is>
      </c>
      <c r="CK2481" t="inlineStr">
        <is>
          <t>Eligible</t>
        </is>
      </c>
      <c r="CL2481"/>
      <c r="CM2481"/>
    </row>
    <row r="2482" ht="25.5" customHeight="1">
      <c r="A2482" t="inlineStr">
        <is>
          <t>174687</t>
        </is>
      </c>
      <c r="B2482" s="2"/>
      <c r="C2482"/>
      <c r="D2482" s="3">
        <v>46121.72974537037</v>
      </c>
      <c r="E2482" t="inlineStr">
        <is>
          <t>Q2-W01</t>
        </is>
      </c>
      <c r="F2482" t="inlineStr">
        <is>
          <t>Chia Yee</t>
        </is>
      </c>
      <c r="G2482" t="inlineStr">
        <is>
          <t>Customer</t>
        </is>
      </c>
      <c r="H2482" s="2" t="str">
        <f>=HYPERLINK("https://upbox.ajobthing.my/customer/174687", "https://upbox.ajobthing.my/customer/174687")</f>
        <v>https://upbox.ajobthing.my/customer/174687</v>
      </c>
      <c r="I2482" t="inlineStr">
        <is>
          <t>Yang Chun Enterprise Sdn Bhd</t>
        </is>
      </c>
      <c r="J2482" t="inlineStr">
        <is>
          <t>Dolphin</t>
        </is>
      </c>
      <c r="K2482" t="inlineStr">
        <is>
          <t>Chia Yee</t>
        </is>
      </c>
      <c r="L2482" s="4"/>
      <c r="M2482" s="4">
        <v>46121.72993055556</v>
      </c>
      <c r="N2482"/>
      <c r="O2482">
        <v>1296</v>
      </c>
      <c r="P2482" s="4"/>
      <c r="Q2482" s="4">
        <v>45988.56898148148</v>
      </c>
      <c r="R2482"/>
      <c r="S2482">
        <v>3672</v>
      </c>
      <c r="T2482" s="4"/>
      <c r="U2482" s="4"/>
      <c r="V2482"/>
      <c r="W2482"/>
      <c r="X2482"/>
      <c r="Y2482" t="inlineStr">
        <is>
          <t>Pending Appointment</t>
        </is>
      </c>
      <c r="Z2482" t="inlineStr">
        <is>
          <t>Hiring Now</t>
        </is>
      </c>
      <c r="AA2482">
        <v>1</v>
      </c>
      <c r="AB2482" t="inlineStr">
        <is>
          <t>No Appointment Made</t>
        </is>
      </c>
      <c r="AC2482"/>
      <c r="AD2482" t="inlineStr">
        <is>
          <t>1 Admin cum account</t>
        </is>
      </c>
      <c r="AE2482"/>
      <c r="AF2482">
        <v>0</v>
      </c>
      <c r="AG2482" s="4"/>
      <c r="AH2482" s="4"/>
      <c r="AI2482">
        <v>0</v>
      </c>
      <c r="AJ2482">
        <v>0</v>
      </c>
      <c r="AK2482" t="inlineStr">
        <is>
          <t>No, I don't need at all</t>
        </is>
      </c>
      <c r="AL2482">
        <v>1</v>
      </c>
      <c r="AM2482" t="inlineStr">
        <is>
          <t>No, I don't need at all</t>
        </is>
      </c>
      <c r="AN2482"/>
      <c r="AO2482" t="inlineStr">
        <is>
          <t>No, I don't need at all</t>
        </is>
      </c>
      <c r="AP2482" t="inlineStr">
        <is>
          <t>Once a year (25%)</t>
        </is>
      </c>
      <c r="AQ2482">
        <v>1</v>
      </c>
      <c r="AR2482" t="inlineStr">
        <is>
          <t>Did not use any job portal</t>
        </is>
      </c>
      <c r="AS2482" t="inlineStr">
        <is>
          <t>- Headcount: 1
- Hiring Job Details: 1 Admin cum account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2482">
        <v>105</v>
      </c>
      <c r="AU2482" t="inlineStr">
        <is>
          <t>1.05</t>
        </is>
      </c>
      <c r="AV2482" t="inlineStr">
        <is>
          <t>15</t>
        </is>
      </c>
      <c r="AW2482" t="inlineStr">
        <is>
          <t>0</t>
        </is>
      </c>
      <c r="AX2482" t="inlineStr">
        <is>
          <t>Not Qualified</t>
        </is>
      </c>
      <c r="AY2482" s="4"/>
      <c r="AZ2482"/>
      <c r="BA2482"/>
      <c r="BB2482"/>
      <c r="BC2482" t="inlineStr">
        <is>
          <t>Called, not for now. Budget</t>
        </is>
      </c>
      <c r="BD2482" s="4">
        <v>46129.513506944444</v>
      </c>
      <c r="BE2482" t="inlineStr">
        <is>
          <t>pending</t>
        </is>
      </c>
      <c r="BF2482"/>
      <c r="BG2482" t="inlineStr">
        <is>
          <t>Reschedule</t>
        </is>
      </c>
      <c r="BH2482" t="inlineStr">
        <is>
          <t>Reagen</t>
        </is>
      </c>
      <c r="BI2482"/>
      <c r="BJ2482" s="4">
        <v>46144.75158564815</v>
      </c>
      <c r="BK2482" s="4">
        <v>45308.48123842593</v>
      </c>
      <c r="BL2482" t="inlineStr">
        <is>
          <t>0.0</t>
        </is>
      </c>
      <c r="BM2482" t="inlineStr">
        <is>
          <t>0.0</t>
        </is>
      </c>
      <c r="BN2482" t="inlineStr">
        <is>
          <t>View Company Page</t>
        </is>
      </c>
      <c r="BO2482" s="4">
        <v>45595.44222222222</v>
      </c>
      <c r="BP2482">
        <v>166297</v>
      </c>
      <c r="BQ2482">
        <v>112400</v>
      </c>
      <c r="BR2482" t="inlineStr">
        <is>
          <t>Proforma</t>
        </is>
      </c>
      <c r="BS2482" t="inlineStr">
        <is>
          <t>AI Yearly Standard Plan (Year End Promo 25)</t>
        </is>
      </c>
      <c r="BT2482"/>
      <c r="BU2482"/>
      <c r="BV2482">
        <v>2711815</v>
      </c>
      <c r="BW2482" t="inlineStr">
        <is>
          <t>Follow Up : Budget Concern</t>
        </is>
      </c>
      <c r="BX2482"/>
      <c r="BY2482"/>
      <c r="BZ2482" s="4"/>
      <c r="CA2482"/>
      <c r="CB2482"/>
      <c r="CC2482" s="4"/>
      <c r="CD2482" t="inlineStr">
        <is>
          <t>20</t>
        </is>
      </c>
      <c r="CE2482" t="inlineStr">
        <is>
          <t>0</t>
        </is>
      </c>
      <c r="CF2482" t="inlineStr">
        <is>
          <t>Q2-W01</t>
        </is>
      </c>
      <c r="CG2482"/>
      <c r="CH2482"/>
      <c r="CI2482"/>
      <c r="CJ2482" t="inlineStr">
        <is>
          <t>No Paid</t>
        </is>
      </c>
      <c r="CK2482" t="inlineStr">
        <is>
          <t>Not Eligible</t>
        </is>
      </c>
      <c r="CL2482"/>
      <c r="CM2482"/>
    </row>
    <row r="2483" ht="25.5" customHeight="1">
      <c r="A2483" t="inlineStr">
        <is>
          <t>193567</t>
        </is>
      </c>
      <c r="B2483" s="2"/>
      <c r="C2483"/>
      <c r="D2483" s="3">
        <v>46121.7322337963</v>
      </c>
      <c r="E2483" t="inlineStr">
        <is>
          <t>Q2-W01</t>
        </is>
      </c>
      <c r="F2483" t="inlineStr">
        <is>
          <t>Chia Yee</t>
        </is>
      </c>
      <c r="G2483" t="inlineStr">
        <is>
          <t>Customer</t>
        </is>
      </c>
      <c r="H2483" s="2" t="str">
        <f>=HYPERLINK("https://upbox.ajobthing.my/customer/193567", "https://upbox.ajobthing.my/customer/193567")</f>
        <v>https://upbox.ajobthing.my/customer/193567</v>
      </c>
      <c r="I2483" t="inlineStr">
        <is>
          <t>Exquisite Partners Sdn Bhd</t>
        </is>
      </c>
      <c r="J2483" t="inlineStr">
        <is>
          <t>Dolphin</t>
        </is>
      </c>
      <c r="K2483" t="inlineStr">
        <is>
          <t>Chia Yee</t>
        </is>
      </c>
      <c r="L2483" s="4"/>
      <c r="M2483" s="4">
        <v>46121.732453703706</v>
      </c>
      <c r="N2483"/>
      <c r="O2483">
        <v>6048</v>
      </c>
      <c r="P2483" s="4"/>
      <c r="Q2483" s="4">
        <v>46142.517743055556</v>
      </c>
      <c r="R2483"/>
      <c r="S2483">
        <v>1296</v>
      </c>
      <c r="T2483" s="4">
        <v>46142.517743055556</v>
      </c>
      <c r="U2483" s="4"/>
      <c r="V2483"/>
      <c r="W2483">
        <v>1296</v>
      </c>
      <c r="X2483"/>
      <c r="Y2483" t="inlineStr">
        <is>
          <t>Pending Appointment</t>
        </is>
      </c>
      <c r="Z2483" t="inlineStr">
        <is>
          <t>Hiring Now</t>
        </is>
      </c>
      <c r="AA2483">
        <v>2</v>
      </c>
      <c r="AB2483" t="inlineStr">
        <is>
          <t>No Appointment Made</t>
        </is>
      </c>
      <c r="AC2483"/>
      <c r="AD2483" t="inlineStr">
        <is>
          <t xml:space="preserve">1 Qs or 1 assists QS </t>
        </is>
      </c>
      <c r="AE2483"/>
      <c r="AF2483">
        <v>0</v>
      </c>
      <c r="AG2483" s="4"/>
      <c r="AH2483" s="4"/>
      <c r="AI2483">
        <v>0</v>
      </c>
      <c r="AJ2483">
        <v>0</v>
      </c>
      <c r="AK2483" t="inlineStr">
        <is>
          <t>Yes, I have</t>
        </is>
      </c>
      <c r="AL2483">
        <v>1</v>
      </c>
      <c r="AM2483" t="inlineStr">
        <is>
          <t>No, I don't need at all</t>
        </is>
      </c>
      <c r="AN2483"/>
      <c r="AO2483" t="inlineStr">
        <is>
          <t>No, I don't need at all</t>
        </is>
      </c>
      <c r="AP2483" t="inlineStr">
        <is>
          <t>Once a year (25%)</t>
        </is>
      </c>
      <c r="AQ2483">
        <v>2</v>
      </c>
      <c r="AR2483" t="inlineStr">
        <is>
          <t>Did not use any job portal</t>
        </is>
      </c>
      <c r="AS2483" t="inlineStr">
        <is>
          <t>- Headcount: 2
- Hiring Job Details: 1 Qs or 1 assists QS
- Hiring Urgency: Hiring Now
- Number of outlets: 0
- Have recruiter team: Yes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2483">
        <v>75</v>
      </c>
      <c r="AU2483" t="inlineStr">
        <is>
          <t>0.75</t>
        </is>
      </c>
      <c r="AV2483" t="inlineStr">
        <is>
          <t>15</t>
        </is>
      </c>
      <c r="AW2483" t="inlineStr">
        <is>
          <t>0</t>
        </is>
      </c>
      <c r="AX2483" t="inlineStr">
        <is>
          <t>Not Qualified</t>
        </is>
      </c>
      <c r="AY2483" s="4"/>
      <c r="AZ2483"/>
      <c r="BA2483"/>
      <c r="BB2483"/>
      <c r="BC2483" t="inlineStr">
        <is>
          <t>WA. Replied: will post soon</t>
        </is>
      </c>
      <c r="BD2483" s="4">
        <v>46142.420949074076</v>
      </c>
      <c r="BE2483" t="inlineStr">
        <is>
          <t>paid</t>
        </is>
      </c>
      <c r="BF2483" t="inlineStr">
        <is>
          <t>Q2-W04</t>
        </is>
      </c>
      <c r="BG2483" t="inlineStr">
        <is>
          <t>Reschedule</t>
        </is>
      </c>
      <c r="BH2483" t="inlineStr">
        <is>
          <t>Reagen</t>
        </is>
      </c>
      <c r="BI2483" t="inlineStr">
        <is>
          <t>Construction / Building</t>
        </is>
      </c>
      <c r="BJ2483" s="4">
        <v>46144.75263888889</v>
      </c>
      <c r="BK2483" s="4">
        <v>45847.69631944445</v>
      </c>
      <c r="BL2483" t="inlineStr">
        <is>
          <t>1944.0</t>
        </is>
      </c>
      <c r="BM2483" t="inlineStr">
        <is>
          <t>0.0</t>
        </is>
      </c>
      <c r="BN2483" t="inlineStr">
        <is>
          <t>View Company Page</t>
        </is>
      </c>
      <c r="BO2483" s="4">
        <v>46142.53009259259</v>
      </c>
      <c r="BP2483">
        <v>166301</v>
      </c>
      <c r="BQ2483">
        <v>95192</v>
      </c>
      <c r="BR2483" t="inlineStr">
        <is>
          <t>Online</t>
        </is>
      </c>
      <c r="BS2483"/>
      <c r="BT2483">
        <v>95192</v>
      </c>
      <c r="BU2483"/>
      <c r="BV2483">
        <v>2736656</v>
      </c>
      <c r="BW2483" t="inlineStr">
        <is>
          <t>Follow Up : Decision Pending</t>
        </is>
      </c>
      <c r="BX2483">
        <v>2</v>
      </c>
      <c r="BY2483">
        <v>1</v>
      </c>
      <c r="BZ2483" s="4">
        <v>46142.51775462963</v>
      </c>
      <c r="CA2483">
        <v>10</v>
      </c>
      <c r="CB2483">
        <v>10</v>
      </c>
      <c r="CC2483" s="4"/>
      <c r="CD2483" t="inlineStr">
        <is>
          <t>20</t>
        </is>
      </c>
      <c r="CE2483" t="inlineStr">
        <is>
          <t>0</t>
        </is>
      </c>
      <c r="CF2483" t="inlineStr">
        <is>
          <t>Q2-W01</t>
        </is>
      </c>
      <c r="CG2483" t="inlineStr">
        <is>
          <t>Q2-W04</t>
        </is>
      </c>
      <c r="CH2483" t="inlineStr">
        <is>
          <t>Q2-W04</t>
        </is>
      </c>
      <c r="CI2483"/>
      <c r="CJ2483" t="inlineStr">
        <is>
          <t>Paid</t>
        </is>
      </c>
      <c r="CK2483" t="inlineStr">
        <is>
          <t>Not Eligible</t>
        </is>
      </c>
      <c r="CL2483"/>
      <c r="CM2483"/>
    </row>
    <row r="2484" ht="25.5" customHeight="1">
      <c r="A2484" t="inlineStr">
        <is>
          <t>26855</t>
        </is>
      </c>
      <c r="B2484" s="2"/>
      <c r="C2484"/>
      <c r="D2484" s="3">
        <v>46121.73578703704</v>
      </c>
      <c r="E2484" t="inlineStr">
        <is>
          <t>Q2-W01</t>
        </is>
      </c>
      <c r="F2484" t="inlineStr">
        <is>
          <t>Alan KY</t>
        </is>
      </c>
      <c r="G2484" t="inlineStr">
        <is>
          <t>Customer</t>
        </is>
      </c>
      <c r="H2484" s="2" t="str">
        <f>=HYPERLINK("https://upbox.ajobthing.my/customer/26855", "https://upbox.ajobthing.my/customer/26855")</f>
        <v>https://upbox.ajobthing.my/customer/26855</v>
      </c>
      <c r="I2484" t="inlineStr">
        <is>
          <t>Meriendas Empire</t>
        </is>
      </c>
      <c r="J2484" t="inlineStr">
        <is>
          <t>Dolphin</t>
        </is>
      </c>
      <c r="K2484" t="inlineStr">
        <is>
          <t>Alan KY</t>
        </is>
      </c>
      <c r="L2484" s="4"/>
      <c r="M2484" s="4">
        <v>46121.73353009259</v>
      </c>
      <c r="N2484"/>
      <c r="O2484">
        <v>6048</v>
      </c>
      <c r="P2484" s="4"/>
      <c r="Q2484" s="4">
        <v>46112.70422453704</v>
      </c>
      <c r="R2484"/>
      <c r="S2484">
        <v>864</v>
      </c>
      <c r="T2484" s="4">
        <v>46112.70422453704</v>
      </c>
      <c r="U2484" s="4"/>
      <c r="V2484"/>
      <c r="W2484">
        <v>864</v>
      </c>
      <c r="X2484"/>
      <c r="Y2484" t="inlineStr">
        <is>
          <t>Pending Appointment</t>
        </is>
      </c>
      <c r="Z2484" t="inlineStr">
        <is>
          <t>Hiring Now</t>
        </is>
      </c>
      <c r="AA2484">
        <v>2</v>
      </c>
      <c r="AB2484" t="inlineStr">
        <is>
          <t>No Appointment Made</t>
        </is>
      </c>
      <c r="AC2484"/>
      <c r="AD2484" t="inlineStr">
        <is>
          <t xml:space="preserve">PA , admin based in KL </t>
        </is>
      </c>
      <c r="AE2484"/>
      <c r="AF2484"/>
      <c r="AG2484" s="4"/>
      <c r="AH2484" s="4"/>
      <c r="AI2484"/>
      <c r="AJ2484"/>
      <c r="AK2484"/>
      <c r="AL2484"/>
      <c r="AM2484"/>
      <c r="AN2484"/>
      <c r="AO2484" t="inlineStr">
        <is>
          <t>No, I don't need at all</t>
        </is>
      </c>
      <c r="AP2484" t="inlineStr">
        <is>
          <t>Once per quarter (75%)</t>
        </is>
      </c>
      <c r="AQ2484"/>
      <c r="AR2484" t="inlineStr">
        <is>
          <t>Jobstreet, Indeed (Paid)</t>
        </is>
      </c>
      <c r="AS2484" t="inlineStr">
        <is>
          <t>- Headcount: 2
- Hiring Job Details: PA, admin based in KL
- Hiring Urgency: Hiring Now
- Number of outlets: Not provided
- Have recruiter team: Not provided
- Number of recruiter in company: Not provided
- Have ATS system: Not provided
- Have career website: No, I don't need at all
- Current hiring budget: Not provided
- Whole year budget: Not provided
- Whole year number of vacancies: Not provided
- Hiring frequency: Once per quarter (75%)
- External job portal: Jobstreet, Indeed (Paid)</t>
        </is>
      </c>
      <c r="AT2484">
        <v>80</v>
      </c>
      <c r="AU2484" t="inlineStr">
        <is>
          <t>0.80</t>
        </is>
      </c>
      <c r="AV2484" t="inlineStr">
        <is>
          <t>5</t>
        </is>
      </c>
      <c r="AW2484" t="inlineStr">
        <is>
          <t>0</t>
        </is>
      </c>
      <c r="AX2484" t="inlineStr">
        <is>
          <t>Not Qualified</t>
        </is>
      </c>
      <c r="AY2484" s="4"/>
      <c r="AZ2484"/>
      <c r="BA2484"/>
      <c r="BB2484"/>
      <c r="BC2484" t="inlineStr">
        <is>
          <t>- Headcount: 2
- Hiring Job Details: PA, admin based in KL
- Hiring Urgency: Hiring Now
- Number of outlets: Not provided
- Have recruiter team: Not provided
- Number of recruiter in company: Not provided
- Have ATS system: Not provided
- Have career website: No, I don't need at all
- Current hiring budget: Not provided
- Whole year budget: Not provided
- Whole year number of vacancies: Not provided
- Hiring frequency: Once per quarter (75%)
- External job portal: Jobstreet, Indeed (Paid)</t>
        </is>
      </c>
      <c r="BD2484" s="4">
        <v>46121.75041666667</v>
      </c>
      <c r="BE2484" t="inlineStr">
        <is>
          <t>paid</t>
        </is>
      </c>
      <c r="BF2484" t="inlineStr">
        <is>
          <t>Q1-W13</t>
        </is>
      </c>
      <c r="BG2484" t="inlineStr">
        <is>
          <t>Reschedule</t>
        </is>
      </c>
      <c r="BH2484" t="inlineStr">
        <is>
          <t>Reagen</t>
        </is>
      </c>
      <c r="BI2484" t="inlineStr">
        <is>
          <t>Customer Service / Helpdesk</t>
        </is>
      </c>
      <c r="BJ2484" s="4">
        <v>46144.75449074074</v>
      </c>
      <c r="BK2484" s="4">
        <v>42590.984143518515</v>
      </c>
      <c r="BL2484" t="inlineStr">
        <is>
          <t>4536.0</t>
        </is>
      </c>
      <c r="BM2484" t="inlineStr">
        <is>
          <t>0.0</t>
        </is>
      </c>
      <c r="BN2484" t="inlineStr">
        <is>
          <t>User Visit(Logged In)</t>
        </is>
      </c>
      <c r="BO2484" s="4">
        <v>46134.51349537037</v>
      </c>
      <c r="BP2484">
        <v>166303</v>
      </c>
      <c r="BQ2484">
        <v>90291</v>
      </c>
      <c r="BR2484" t="inlineStr">
        <is>
          <t>Online</t>
        </is>
      </c>
      <c r="BS2484"/>
      <c r="BT2484">
        <v>90291</v>
      </c>
      <c r="BU2484"/>
      <c r="BV2484">
        <v>2697024</v>
      </c>
      <c r="BW2484" t="inlineStr">
        <is>
          <t>Customer Inquiry</t>
        </is>
      </c>
      <c r="BX2484"/>
      <c r="BY2484"/>
      <c r="BZ2484" s="4"/>
      <c r="CA2484">
        <v>10</v>
      </c>
      <c r="CB2484">
        <v>10</v>
      </c>
      <c r="CC2484" s="4"/>
      <c r="CD2484" t="inlineStr">
        <is>
          <t>5</t>
        </is>
      </c>
      <c r="CE2484" t="inlineStr">
        <is>
          <t>0</t>
        </is>
      </c>
      <c r="CF2484" t="inlineStr">
        <is>
          <t>Q2-W01</t>
        </is>
      </c>
      <c r="CG2484" t="inlineStr">
        <is>
          <t>Q1-W13</t>
        </is>
      </c>
      <c r="CH2484" t="inlineStr">
        <is>
          <t>Q1-W13</t>
        </is>
      </c>
      <c r="CI2484"/>
      <c r="CJ2484" t="inlineStr">
        <is>
          <t>Paid</t>
        </is>
      </c>
      <c r="CK2484" t="inlineStr">
        <is>
          <t>Not Eligible</t>
        </is>
      </c>
      <c r="CL2484"/>
      <c r="CM2484"/>
    </row>
    <row r="2485" ht="25.5" customHeight="1">
      <c r="A2485" t="inlineStr">
        <is>
          <t>4265708</t>
        </is>
      </c>
      <c r="B2485" s="2"/>
      <c r="C2485"/>
      <c r="D2485" s="3">
        <v>46121.74333333333</v>
      </c>
      <c r="E2485" t="inlineStr">
        <is>
          <t>Q2-W01</t>
        </is>
      </c>
      <c r="F2485" t="inlineStr">
        <is>
          <t>Derek Lim</t>
        </is>
      </c>
      <c r="G2485" t="inlineStr">
        <is>
          <t>Lead</t>
        </is>
      </c>
      <c r="H2485" s="2" t="str">
        <f>=HYPERLINK("https://upbox.ajobthing.my/leads/4265708", "https://upbox.ajobthing.my/leads/4265708")</f>
        <v>https://upbox.ajobthing.my/leads/4265708</v>
      </c>
      <c r="I2485" t="inlineStr">
        <is>
          <t>Suria Hospitality Group Sdn Bhd</t>
        </is>
      </c>
      <c r="J2485" t="inlineStr">
        <is>
          <t>Dolphin</t>
        </is>
      </c>
      <c r="K2485" t="inlineStr">
        <is>
          <t>Derek Lim</t>
        </is>
      </c>
      <c r="L2485" s="4"/>
      <c r="M2485" s="4">
        <v>46121.74369212963</v>
      </c>
      <c r="N2485"/>
      <c r="O2485">
        <v>6048</v>
      </c>
      <c r="P2485" s="4"/>
      <c r="Q2485" s="4"/>
      <c r="R2485"/>
      <c r="S2485"/>
      <c r="T2485" s="4"/>
      <c r="U2485" s="4"/>
      <c r="V2485"/>
      <c r="W2485"/>
      <c r="X2485"/>
      <c r="Y2485" t="inlineStr">
        <is>
          <t>Pending Appointment</t>
        </is>
      </c>
      <c r="Z2485" t="inlineStr">
        <is>
          <t>Hiring Now</t>
        </is>
      </c>
      <c r="AA2485">
        <v>3</v>
      </c>
      <c r="AB2485" t="inlineStr">
        <is>
          <t>No Appointment Made</t>
        </is>
      </c>
      <c r="AC2485"/>
      <c r="AD2485" t="inlineStr">
        <is>
          <t>kitchen crew - 2, barista - 1</t>
        </is>
      </c>
      <c r="AE2485"/>
      <c r="AF2485">
        <v>0</v>
      </c>
      <c r="AG2485" s="4"/>
      <c r="AH2485" s="4"/>
      <c r="AI2485">
        <v>0</v>
      </c>
      <c r="AJ2485">
        <v>4</v>
      </c>
      <c r="AK2485" t="inlineStr">
        <is>
          <t>No, I don't need at all</t>
        </is>
      </c>
      <c r="AL2485">
        <v>0</v>
      </c>
      <c r="AM2485" t="inlineStr">
        <is>
          <t>No, I don't need at all</t>
        </is>
      </c>
      <c r="AN2485"/>
      <c r="AO2485" t="inlineStr">
        <is>
          <t>No, I don't need at all</t>
        </is>
      </c>
      <c r="AP2485" t="inlineStr">
        <is>
          <t>Once a year (25%)</t>
        </is>
      </c>
      <c r="AQ2485">
        <v>3</v>
      </c>
      <c r="AR2485" t="inlineStr">
        <is>
          <t>Free Job Portal</t>
        </is>
      </c>
      <c r="AS2485" t="inlineStr">
        <is>
          <t>- Headcount: 3
- Hiring Job Details: 2 kitchen crew, 1 barista
- Hiring Urgency: Hiring Now
- Number of outlets: 4
- Have recruiter team: No, I don't need at all
- Number of recruiter in company: 0
- Have ATS system: No, I don't need at all
- Have career website: No, I don't need at all
- Current hiring budget: RM0
- Whole year budget: RM0.00
- Whole year number of vacancies: 3
- Hiring frequency: Once a year (25%)
- External job portal: Free Job Portal</t>
        </is>
      </c>
      <c r="AT2485">
        <v>110</v>
      </c>
      <c r="AU2485" t="inlineStr">
        <is>
          <t>1.10</t>
        </is>
      </c>
      <c r="AV2485" t="inlineStr">
        <is>
          <t>15</t>
        </is>
      </c>
      <c r="AW2485" t="inlineStr">
        <is>
          <t>0</t>
        </is>
      </c>
      <c r="AX2485" t="inlineStr">
        <is>
          <t>Not Qualified</t>
        </is>
      </c>
      <c r="AY2485" s="4"/>
      <c r="AZ2485"/>
      <c r="BA2485"/>
      <c r="BB2485"/>
      <c r="BC2485"/>
      <c r="BD2485" s="4"/>
      <c r="BE2485"/>
      <c r="BF2485"/>
      <c r="BG2485" t="inlineStr">
        <is>
          <t>Reschedule</t>
        </is>
      </c>
      <c r="BH2485" t="inlineStr">
        <is>
          <t>Edward Hoo</t>
        </is>
      </c>
      <c r="BI2485"/>
      <c r="BJ2485" s="4">
        <v>46144.75578703704</v>
      </c>
      <c r="BK2485" s="4">
        <v>46121.72954861111</v>
      </c>
      <c r="BL2485" t="inlineStr">
        <is>
          <t>0.0</t>
        </is>
      </c>
      <c r="BM2485" t="inlineStr">
        <is>
          <t>0.0</t>
        </is>
      </c>
      <c r="BN2485"/>
      <c r="BO2485" s="4"/>
      <c r="BP2485">
        <v>166308</v>
      </c>
      <c r="BQ2485"/>
      <c r="BR2485"/>
      <c r="BS2485"/>
      <c r="BT2485"/>
      <c r="BU2485"/>
      <c r="BV2485"/>
      <c r="BW2485"/>
      <c r="BX2485"/>
      <c r="BY2485"/>
      <c r="BZ2485" s="4"/>
      <c r="CA2485"/>
      <c r="CB2485"/>
      <c r="CC2485" s="4"/>
      <c r="CD2485" t="inlineStr">
        <is>
          <t>20</t>
        </is>
      </c>
      <c r="CE2485" t="inlineStr">
        <is>
          <t>0</t>
        </is>
      </c>
      <c r="CF2485" t="inlineStr">
        <is>
          <t>Q2-W01</t>
        </is>
      </c>
      <c r="CG2485"/>
      <c r="CH2485"/>
      <c r="CI2485"/>
      <c r="CJ2485" t="inlineStr">
        <is>
          <t>No Paid</t>
        </is>
      </c>
      <c r="CK2485" t="inlineStr">
        <is>
          <t>Not Eligible</t>
        </is>
      </c>
      <c r="CL2485"/>
      <c r="CM2485"/>
    </row>
    <row r="2486" ht="25.5" customHeight="1">
      <c r="A2486" t="inlineStr">
        <is>
          <t>4265591</t>
        </is>
      </c>
      <c r="B2486" s="2"/>
      <c r="C2486"/>
      <c r="D2486" s="3">
        <v>46121.746875</v>
      </c>
      <c r="E2486" t="inlineStr">
        <is>
          <t>Q2-W01</t>
        </is>
      </c>
      <c r="F2486" t="inlineStr">
        <is>
          <t>Jia Hui</t>
        </is>
      </c>
      <c r="G2486" t="inlineStr">
        <is>
          <t>Lead</t>
        </is>
      </c>
      <c r="H2486" s="2" t="str">
        <f>=HYPERLINK("https://upbox.ajobthing.my/leads/4265591", "https://upbox.ajobthing.my/leads/4265591")</f>
        <v>https://upbox.ajobthing.my/leads/4265591</v>
      </c>
      <c r="I2486" t="inlineStr">
        <is>
          <t>Securiforce Logistics Sdn Bhd</t>
        </is>
      </c>
      <c r="J2486" t="inlineStr">
        <is>
          <t>Dolphin</t>
        </is>
      </c>
      <c r="K2486" t="inlineStr">
        <is>
          <t>Jia Hui</t>
        </is>
      </c>
      <c r="L2486" s="4"/>
      <c r="M2486" s="4">
        <v>46121.74760416667</v>
      </c>
      <c r="N2486"/>
      <c r="O2486">
        <v>3888</v>
      </c>
      <c r="P2486" s="4"/>
      <c r="Q2486" s="4"/>
      <c r="R2486"/>
      <c r="S2486"/>
      <c r="T2486" s="4"/>
      <c r="U2486" s="4"/>
      <c r="V2486"/>
      <c r="W2486"/>
      <c r="X2486"/>
      <c r="Y2486" t="inlineStr">
        <is>
          <t>Pending Appointment</t>
        </is>
      </c>
      <c r="Z2486" t="inlineStr">
        <is>
          <t>Hiring Now</t>
        </is>
      </c>
      <c r="AA2486">
        <v>1</v>
      </c>
      <c r="AB2486" t="inlineStr">
        <is>
          <t>No Appointment Made</t>
        </is>
      </c>
      <c r="AC2486"/>
      <c r="AD2486" t="inlineStr">
        <is>
          <t xml:space="preserve">1 warehouse assistant </t>
        </is>
      </c>
      <c r="AE2486"/>
      <c r="AF2486">
        <v>300</v>
      </c>
      <c r="AG2486" s="4"/>
      <c r="AH2486" s="4"/>
      <c r="AI2486"/>
      <c r="AJ2486"/>
      <c r="AK2486" t="inlineStr">
        <is>
          <t>No, but I want in future</t>
        </is>
      </c>
      <c r="AL2486"/>
      <c r="AM2486"/>
      <c r="AN2486"/>
      <c r="AO2486"/>
      <c r="AP2486" t="inlineStr">
        <is>
          <t>Once a year (25%)</t>
        </is>
      </c>
      <c r="AQ2486"/>
      <c r="AR2486"/>
      <c r="AS2486" t="inlineStr">
        <is>
          <t>- Headcount: 1
- Hiring Job Details: 1 warehouse assistant
- Hiring Urgency: Hiring Now
- Number of outlets: N/A
- Have recruiter team: No, but I want in future
- Number of recruiter in company: N/A
- Have ATS system: N/A
- Have career website: N/A
- Current hiring budget: RM300.00
- Whole year budget: N/A
- Whole year number of vacancies: N/A
- Hiring frequency: Once a year (25%)
- External job portal: N/A</t>
        </is>
      </c>
      <c r="AT2486">
        <v>75</v>
      </c>
      <c r="AU2486" t="inlineStr">
        <is>
          <t>0.75</t>
        </is>
      </c>
      <c r="AV2486" t="inlineStr">
        <is>
          <t>15</t>
        </is>
      </c>
      <c r="AW2486" t="inlineStr">
        <is>
          <t>0</t>
        </is>
      </c>
      <c r="AX2486" t="inlineStr">
        <is>
          <t>Not Qualified</t>
        </is>
      </c>
      <c r="AY2486" s="4"/>
      <c r="AZ2486"/>
      <c r="BA2486"/>
      <c r="BB2486"/>
      <c r="BC2486"/>
      <c r="BD2486" s="4"/>
      <c r="BE2486"/>
      <c r="BF2486"/>
      <c r="BG2486" t="inlineStr">
        <is>
          <t>Reschedule</t>
        </is>
      </c>
      <c r="BH2486" t="inlineStr">
        <is>
          <t>Reagen</t>
        </is>
      </c>
      <c r="BI2486"/>
      <c r="BJ2486" s="4">
        <v>46144.75578703704</v>
      </c>
      <c r="BK2486" s="4">
        <v>46121.710173611114</v>
      </c>
      <c r="BL2486" t="inlineStr">
        <is>
          <t>0.0</t>
        </is>
      </c>
      <c r="BM2486" t="inlineStr">
        <is>
          <t>8400.0</t>
        </is>
      </c>
      <c r="BN2486"/>
      <c r="BO2486" s="4"/>
      <c r="BP2486">
        <v>166309</v>
      </c>
      <c r="BQ2486"/>
      <c r="BR2486"/>
      <c r="BS2486"/>
      <c r="BT2486"/>
      <c r="BU2486"/>
      <c r="BV2486"/>
      <c r="BW2486"/>
      <c r="BX2486"/>
      <c r="BY2486"/>
      <c r="BZ2486" s="4"/>
      <c r="CA2486"/>
      <c r="CB2486"/>
      <c r="CC2486" s="4"/>
      <c r="CD2486" t="inlineStr">
        <is>
          <t>20</t>
        </is>
      </c>
      <c r="CE2486" t="inlineStr">
        <is>
          <t>0</t>
        </is>
      </c>
      <c r="CF2486" t="inlineStr">
        <is>
          <t>Q2-W01</t>
        </is>
      </c>
      <c r="CG2486"/>
      <c r="CH2486"/>
      <c r="CI2486"/>
      <c r="CJ2486" t="inlineStr">
        <is>
          <t>No Paid</t>
        </is>
      </c>
      <c r="CK2486" t="inlineStr">
        <is>
          <t>Not Eligible</t>
        </is>
      </c>
      <c r="CL2486"/>
      <c r="CM2486"/>
    </row>
    <row r="2487" ht="25.5" customHeight="1">
      <c r="A2487" t="inlineStr">
        <is>
          <t>175555</t>
        </is>
      </c>
      <c r="B2487" s="2"/>
      <c r="C2487"/>
      <c r="D2487" s="3">
        <v>46121.748877314814</v>
      </c>
      <c r="E2487" t="inlineStr">
        <is>
          <t>Q2-W01</t>
        </is>
      </c>
      <c r="F2487" t="inlineStr">
        <is>
          <t>Chia Yee</t>
        </is>
      </c>
      <c r="G2487" t="inlineStr">
        <is>
          <t>Customer</t>
        </is>
      </c>
      <c r="H2487" s="2" t="str">
        <f>=HYPERLINK("https://upbox.ajobthing.my/customer/175555", "https://upbox.ajobthing.my/customer/175555")</f>
        <v>https://upbox.ajobthing.my/customer/175555</v>
      </c>
      <c r="I2487" t="inlineStr">
        <is>
          <t>PWA, Tan &amp; Partners</t>
        </is>
      </c>
      <c r="J2487" t="inlineStr">
        <is>
          <t>Dolphin</t>
        </is>
      </c>
      <c r="K2487" t="inlineStr">
        <is>
          <t>Chia Yee</t>
        </is>
      </c>
      <c r="L2487" s="4"/>
      <c r="M2487" s="4">
        <v>46121.70980324074</v>
      </c>
      <c r="N2487"/>
      <c r="O2487">
        <v>6048</v>
      </c>
      <c r="P2487" s="4"/>
      <c r="Q2487" s="4">
        <v>45834.59475694445</v>
      </c>
      <c r="R2487"/>
      <c r="S2487">
        <v>324</v>
      </c>
      <c r="T2487" s="4">
        <v>45834.59475694445</v>
      </c>
      <c r="U2487" s="4"/>
      <c r="V2487"/>
      <c r="W2487">
        <v>324</v>
      </c>
      <c r="X2487"/>
      <c r="Y2487" t="inlineStr">
        <is>
          <t>Pending Appointment</t>
        </is>
      </c>
      <c r="Z2487" t="inlineStr">
        <is>
          <t>Hiring Now</t>
        </is>
      </c>
      <c r="AA2487">
        <v>1</v>
      </c>
      <c r="AB2487" t="inlineStr">
        <is>
          <t>No Appointment Made</t>
        </is>
      </c>
      <c r="AC2487"/>
      <c r="AD2487" t="inlineStr">
        <is>
          <t>1 Junior accounting</t>
        </is>
      </c>
      <c r="AE2487"/>
      <c r="AF2487">
        <v>0</v>
      </c>
      <c r="AG2487" s="4"/>
      <c r="AH2487" s="4"/>
      <c r="AI2487">
        <v>0</v>
      </c>
      <c r="AJ2487">
        <v>0</v>
      </c>
      <c r="AK2487" t="inlineStr">
        <is>
          <t>No, I don't need at all</t>
        </is>
      </c>
      <c r="AL2487">
        <v>1</v>
      </c>
      <c r="AM2487" t="inlineStr">
        <is>
          <t>No, I don't need at all</t>
        </is>
      </c>
      <c r="AN2487"/>
      <c r="AO2487" t="inlineStr">
        <is>
          <t>No, I don't need at all</t>
        </is>
      </c>
      <c r="AP2487" t="inlineStr">
        <is>
          <t>Once a year (25%)</t>
        </is>
      </c>
      <c r="AQ2487">
        <v>1</v>
      </c>
      <c r="AR2487" t="inlineStr">
        <is>
          <t>Did not use any job portal</t>
        </is>
      </c>
      <c r="AS2487" t="inlineStr">
        <is>
          <t>- Headcount: 1
- Hiring Job Details: 1 Junior accounting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2487">
        <v>110</v>
      </c>
      <c r="AU2487" t="inlineStr">
        <is>
          <t>1.10</t>
        </is>
      </c>
      <c r="AV2487" t="inlineStr">
        <is>
          <t>15</t>
        </is>
      </c>
      <c r="AW2487" t="inlineStr">
        <is>
          <t>0</t>
        </is>
      </c>
      <c r="AX2487" t="inlineStr">
        <is>
          <t>Not Qualified</t>
        </is>
      </c>
      <c r="AY2487" s="4"/>
      <c r="AZ2487"/>
      <c r="BA2487"/>
      <c r="BB2487"/>
      <c r="BC2487" t="inlineStr">
        <is>
          <t>Called, no ans.</t>
        </is>
      </c>
      <c r="BD2487" s="4">
        <v>46134.73185185185</v>
      </c>
      <c r="BE2487" t="inlineStr">
        <is>
          <t>paid</t>
        </is>
      </c>
      <c r="BF2487"/>
      <c r="BG2487" t="inlineStr">
        <is>
          <t>Reschedule</t>
        </is>
      </c>
      <c r="BH2487" t="inlineStr">
        <is>
          <t>Reagen</t>
        </is>
      </c>
      <c r="BI2487" t="inlineStr">
        <is>
          <t>Accounting / Tax Services</t>
        </is>
      </c>
      <c r="BJ2487" s="4">
        <v>46144.751608796294</v>
      </c>
      <c r="BK2487" s="4">
        <v>45342.67585648148</v>
      </c>
      <c r="BL2487" t="inlineStr">
        <is>
          <t>972.0</t>
        </is>
      </c>
      <c r="BM2487" t="inlineStr">
        <is>
          <t>1950.0</t>
        </is>
      </c>
      <c r="BN2487" t="inlineStr">
        <is>
          <t>View Jobmanager Page</t>
        </is>
      </c>
      <c r="BO2487" s="4">
        <v>45887.500439814816</v>
      </c>
      <c r="BP2487">
        <v>166274</v>
      </c>
      <c r="BQ2487">
        <v>80395</v>
      </c>
      <c r="BR2487" t="inlineStr">
        <is>
          <t>Online</t>
        </is>
      </c>
      <c r="BS2487"/>
      <c r="BT2487">
        <v>80395</v>
      </c>
      <c r="BU2487"/>
      <c r="BV2487">
        <v>2721909</v>
      </c>
      <c r="BW2487" t="inlineStr">
        <is>
          <t>No Answer : Voicemail - WA sent to customer</t>
        </is>
      </c>
      <c r="BX2487"/>
      <c r="BY2487"/>
      <c r="BZ2487" s="4"/>
      <c r="CA2487"/>
      <c r="CB2487"/>
      <c r="CC2487" s="4"/>
      <c r="CD2487" t="inlineStr">
        <is>
          <t>20</t>
        </is>
      </c>
      <c r="CE2487" t="inlineStr">
        <is>
          <t>0</t>
        </is>
      </c>
      <c r="CF2487" t="inlineStr">
        <is>
          <t>Q2-W01</t>
        </is>
      </c>
      <c r="CG2487"/>
      <c r="CH2487"/>
      <c r="CI2487"/>
      <c r="CJ2487" t="inlineStr">
        <is>
          <t>Paid</t>
        </is>
      </c>
      <c r="CK2487" t="inlineStr">
        <is>
          <t>Not Eligible</t>
        </is>
      </c>
      <c r="CL2487"/>
      <c r="CM2487"/>
    </row>
    <row r="2488" ht="25.5" customHeight="1">
      <c r="A2488" t="inlineStr">
        <is>
          <t>30161</t>
        </is>
      </c>
      <c r="B2488" s="2"/>
      <c r="C2488"/>
      <c r="D2488" s="3">
        <v>46121.763136574074</v>
      </c>
      <c r="E2488" t="inlineStr">
        <is>
          <t>Q2-W01</t>
        </is>
      </c>
      <c r="F2488" t="inlineStr">
        <is>
          <t>Eugene</t>
        </is>
      </c>
      <c r="G2488" t="inlineStr">
        <is>
          <t>Customer</t>
        </is>
      </c>
      <c r="H2488" s="2" t="str">
        <f>=HYPERLINK("https://upbox.ajobthing.my/customer/30161", "https://upbox.ajobthing.my/customer/30161")</f>
        <v>https://upbox.ajobthing.my/customer/30161</v>
      </c>
      <c r="I2488" t="inlineStr">
        <is>
          <t>Saujana Feedmill &amp; Agro Tech</t>
        </is>
      </c>
      <c r="J2488" t="inlineStr">
        <is>
          <t>Dolphin</t>
        </is>
      </c>
      <c r="K2488" t="inlineStr">
        <is>
          <t>Eugene</t>
        </is>
      </c>
      <c r="L2488" s="4"/>
      <c r="M2488" s="4">
        <v>46121.74251157408</v>
      </c>
      <c r="N2488"/>
      <c r="O2488">
        <v>3888</v>
      </c>
      <c r="P2488" s="4"/>
      <c r="Q2488" s="4">
        <v>46121.77920138889</v>
      </c>
      <c r="R2488"/>
      <c r="S2488">
        <v>3888</v>
      </c>
      <c r="T2488" s="4">
        <v>46121.77920138889</v>
      </c>
      <c r="U2488" s="4"/>
      <c r="V2488"/>
      <c r="W2488">
        <v>3888</v>
      </c>
      <c r="X2488" t="inlineStr">
        <is>
          <t>Eugene</t>
        </is>
      </c>
      <c r="Y2488" t="inlineStr">
        <is>
          <t>Done Appointment</t>
        </is>
      </c>
      <c r="Z2488" t="inlineStr">
        <is>
          <t>Hiring Now</t>
        </is>
      </c>
      <c r="AA2488">
        <v>1</v>
      </c>
      <c r="AB2488" t="inlineStr">
        <is>
          <t>Appointment Made</t>
        </is>
      </c>
      <c r="AC2488" t="inlineStr">
        <is>
          <t>Mid-size (50-100 employees)</t>
        </is>
      </c>
      <c r="AD2488" t="inlineStr">
        <is>
          <t>1 admin, based in Johor</t>
        </is>
      </c>
      <c r="AE2488" t="inlineStr">
        <is>
          <t>C-Suite (CHR / COO / CEO)</t>
        </is>
      </c>
      <c r="AF2488">
        <v>5000</v>
      </c>
      <c r="AG2488" s="4">
        <v>46121.708333333336</v>
      </c>
      <c r="AH2488" s="4">
        <v>46121.75</v>
      </c>
      <c r="AI2488">
        <v>5000</v>
      </c>
      <c r="AJ2488">
        <v>3</v>
      </c>
      <c r="AK2488" t="inlineStr">
        <is>
          <t>No, I don't need at all</t>
        </is>
      </c>
      <c r="AL2488">
        <v>1</v>
      </c>
      <c r="AM2488" t="inlineStr">
        <is>
          <t>No, I don't need at all</t>
        </is>
      </c>
      <c r="AN2488"/>
      <c r="AO2488" t="inlineStr">
        <is>
          <t>No, I don't need at all</t>
        </is>
      </c>
      <c r="AP2488" t="inlineStr">
        <is>
          <t>Twice a year (50%)</t>
        </is>
      </c>
      <c r="AQ2488">
        <v>3</v>
      </c>
      <c r="AR2488" t="inlineStr">
        <is>
          <t>Did not use any job portal</t>
        </is>
      </c>
      <c r="AS2488" t="inlineStr">
        <is>
          <t>- Headcount: 1
- Hiring Job Details: 1 admin, based in Johor
- Hiring Urgency: Hiring Now
- Number of outlets: 3
- Have recruiter team: No, I don't need at all
- Number of recruiter in company: 1
- Have ATS system: No, I don't need at all
- Have career website: No, I don't need at all
- Current hiring budget: RM5,000
- Whole year budget: RM5,000.00
- Whole year number of vacancies: 3
- Hiring frequency: Twice a year (50%)
- External job portal: Did not use any job portal</t>
        </is>
      </c>
      <c r="AT2488">
        <v>115</v>
      </c>
      <c r="AU2488" t="inlineStr">
        <is>
          <t>1.15</t>
        </is>
      </c>
      <c r="AV2488" t="inlineStr">
        <is>
          <t>50</t>
        </is>
      </c>
      <c r="AW2488" t="inlineStr">
        <is>
          <t>0.5</t>
        </is>
      </c>
      <c r="AX2488" t="inlineStr">
        <is>
          <t>Not Qualified</t>
        </is>
      </c>
      <c r="AY2488" s="4">
        <v>46121.76342592593</v>
      </c>
      <c r="AZ2488" t="inlineStr">
        <is>
          <t>Edward Hoo</t>
        </is>
      </c>
      <c r="BA2488"/>
      <c r="BB2488"/>
      <c r="BC2488" t="inlineStr">
        <is>
          <t>servicing</t>
        </is>
      </c>
      <c r="BD2488" s="4">
        <v>46129.420902777776</v>
      </c>
      <c r="BE2488" t="inlineStr">
        <is>
          <t>paid</t>
        </is>
      </c>
      <c r="BF2488" t="inlineStr">
        <is>
          <t>Q2-W01</t>
        </is>
      </c>
      <c r="BG2488" t="inlineStr">
        <is>
          <t>Reschedule</t>
        </is>
      </c>
      <c r="BH2488" t="inlineStr">
        <is>
          <t>Edward Hoo</t>
        </is>
      </c>
      <c r="BI2488"/>
      <c r="BJ2488" s="4">
        <v>46144.75454861111</v>
      </c>
      <c r="BK2488" s="4">
        <v>42662.51920138889</v>
      </c>
      <c r="BL2488" t="inlineStr">
        <is>
          <t>3888.0</t>
        </is>
      </c>
      <c r="BM2488" t="inlineStr">
        <is>
          <t>0.0</t>
        </is>
      </c>
      <c r="BN2488" t="inlineStr">
        <is>
          <t>User Visit(Logged In)</t>
        </is>
      </c>
      <c r="BO2488" s="4">
        <v>46138.51039351852</v>
      </c>
      <c r="BP2488">
        <v>166307</v>
      </c>
      <c r="BQ2488">
        <v>7605</v>
      </c>
      <c r="BR2488" t="inlineStr">
        <is>
          <t>Manual (Paid)</t>
        </is>
      </c>
      <c r="BS2488"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488">
        <v>7605</v>
      </c>
      <c r="BU2488"/>
      <c r="BV2488">
        <v>2711047</v>
      </c>
      <c r="BW2488" t="inlineStr">
        <is>
          <t>Service / Technical : Help To Post Job</t>
        </is>
      </c>
      <c r="BX2488">
        <v>6</v>
      </c>
      <c r="BY2488">
        <v>5</v>
      </c>
      <c r="BZ2488" s="4">
        <v>46128.731261574074</v>
      </c>
      <c r="CA2488">
        <v>60</v>
      </c>
      <c r="CB2488">
        <v>60</v>
      </c>
      <c r="CC2488" s="4"/>
      <c r="CD2488" t="inlineStr">
        <is>
          <t>70</t>
        </is>
      </c>
      <c r="CE2488" t="inlineStr">
        <is>
          <t>0.8</t>
        </is>
      </c>
      <c r="CF2488" t="inlineStr">
        <is>
          <t>Q2-W01</t>
        </is>
      </c>
      <c r="CG2488" t="inlineStr">
        <is>
          <t>Q2-W01</t>
        </is>
      </c>
      <c r="CH2488" t="inlineStr">
        <is>
          <t>Q2-W01</t>
        </is>
      </c>
      <c r="CI2488" t="inlineStr">
        <is>
          <t>Q2-W01</t>
        </is>
      </c>
      <c r="CJ2488" t="inlineStr">
        <is>
          <t>Paid</t>
        </is>
      </c>
      <c r="CK2488" t="inlineStr">
        <is>
          <t>Not Eligible</t>
        </is>
      </c>
      <c r="CL2488"/>
      <c r="CM2488" t="inlineStr">
        <is>
          <t>Q2-W01</t>
        </is>
      </c>
    </row>
    <row r="2489" ht="25.5" customHeight="1">
      <c r="A2489" t="inlineStr">
        <is>
          <t>181606</t>
        </is>
      </c>
      <c r="B2489" s="2"/>
      <c r="C2489"/>
      <c r="D2489" s="3">
        <v>46115.39958333333</v>
      </c>
      <c r="E2489" t="inlineStr">
        <is>
          <t>Q2-W01</t>
        </is>
      </c>
      <c r="F2489" t="inlineStr">
        <is>
          <t>Jia Hui</t>
        </is>
      </c>
      <c r="G2489" t="inlineStr">
        <is>
          <t>Customer</t>
        </is>
      </c>
      <c r="H2489" s="2" t="str">
        <f>=HYPERLINK("https://upbox.ajobthing.my/customer/181606", "https://upbox.ajobthing.my/customer/181606")</f>
        <v>https://upbox.ajobthing.my/customer/181606</v>
      </c>
      <c r="I2489" t="inlineStr">
        <is>
          <t>Lone Line Design &amp; Construction Sdn Bhd</t>
        </is>
      </c>
      <c r="J2489" t="inlineStr">
        <is>
          <t>Small Fish</t>
        </is>
      </c>
      <c r="K2489" t="inlineStr">
        <is>
          <t>Jia Hui</t>
        </is>
      </c>
      <c r="L2489" s="4"/>
      <c r="M2489" s="4">
        <v>46115.39230324074</v>
      </c>
      <c r="N2489"/>
      <c r="O2489">
        <v>1296</v>
      </c>
      <c r="P2489" s="4"/>
      <c r="Q2489" s="4">
        <v>45518.57481481481</v>
      </c>
      <c r="R2489"/>
      <c r="S2489">
        <v>972</v>
      </c>
      <c r="T2489" s="4">
        <v>45518.57481481481</v>
      </c>
      <c r="U2489" s="4"/>
      <c r="V2489"/>
      <c r="W2489">
        <v>972</v>
      </c>
      <c r="X2489"/>
      <c r="Y2489" t="inlineStr">
        <is>
          <t>Pending Appointment</t>
        </is>
      </c>
      <c r="Z2489" t="inlineStr">
        <is>
          <t>Hiring Now</t>
        </is>
      </c>
      <c r="AA2489">
        <v>2</v>
      </c>
      <c r="AB2489" t="inlineStr">
        <is>
          <t>No Appointment Made</t>
        </is>
      </c>
      <c r="AC2489"/>
      <c r="AD2489" t="inlineStr">
        <is>
          <t>1x interior designer, 1x HR ADMIN assistant</t>
        </is>
      </c>
      <c r="AE2489"/>
      <c r="AF2489">
        <v>1000</v>
      </c>
      <c r="AG2489" s="4"/>
      <c r="AH2489" s="4"/>
      <c r="AI2489"/>
      <c r="AJ2489"/>
      <c r="AK2489" t="inlineStr">
        <is>
          <t>No, but I want in future</t>
        </is>
      </c>
      <c r="AL2489"/>
      <c r="AM2489"/>
      <c r="AN2489"/>
      <c r="AO2489"/>
      <c r="AP2489" t="inlineStr">
        <is>
          <t>Once a year (25%)</t>
        </is>
      </c>
      <c r="AQ2489"/>
      <c r="AR2489"/>
      <c r="AS2489" t="inlineStr">
        <is>
          <t>- Headcount: 2
- Hiring Job Details: 1x interior designer, 1x HR ADMIN assistant
- Hiring Urgency: Hiring Now
- Number of outlets: Not available
- Have recruiter team: No, but want in future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489">
        <v>95</v>
      </c>
      <c r="AU2489" t="inlineStr">
        <is>
          <t>0.95</t>
        </is>
      </c>
      <c r="AV2489" t="inlineStr">
        <is>
          <t>15</t>
        </is>
      </c>
      <c r="AW2489" t="inlineStr">
        <is>
          <t>0</t>
        </is>
      </c>
      <c r="AX2489" t="inlineStr">
        <is>
          <t>Not Qualified</t>
        </is>
      </c>
      <c r="AY2489" s="4"/>
      <c r="AZ2489"/>
      <c r="BA2489"/>
      <c r="BB2489"/>
      <c r="BC2489" t="inlineStr">
        <is>
          <t>budget concern, feel expensive</t>
        </is>
      </c>
      <c r="BD2489" s="4">
        <v>46120.69650462963</v>
      </c>
      <c r="BE2489" t="inlineStr">
        <is>
          <t>paid</t>
        </is>
      </c>
      <c r="BF2489"/>
      <c r="BG2489" t="inlineStr">
        <is>
          <t>Reschedule</t>
        </is>
      </c>
      <c r="BH2489" t="inlineStr">
        <is>
          <t>Reagen</t>
        </is>
      </c>
      <c r="BI2489" t="inlineStr">
        <is>
          <t>Architecture / Interior Design</t>
        </is>
      </c>
      <c r="BJ2489" s="4">
        <v>46144.751863425925</v>
      </c>
      <c r="BK2489" s="4">
        <v>45518.451203703706</v>
      </c>
      <c r="BL2489" t="inlineStr">
        <is>
          <t>0.0</t>
        </is>
      </c>
      <c r="BM2489" t="inlineStr">
        <is>
          <t>0.0</t>
        </is>
      </c>
      <c r="BN2489" t="inlineStr">
        <is>
          <t>User Visit(Logged In)</t>
        </is>
      </c>
      <c r="BO2489" s="4">
        <v>45833.49774305556</v>
      </c>
      <c r="BP2489">
        <v>165081</v>
      </c>
      <c r="BQ2489">
        <v>72050</v>
      </c>
      <c r="BR2489" t="inlineStr">
        <is>
          <t>Online</t>
        </is>
      </c>
      <c r="BS2489"/>
      <c r="BT2489">
        <v>72050</v>
      </c>
      <c r="BU2489"/>
      <c r="BV2489">
        <v>2693600</v>
      </c>
      <c r="BW2489" t="inlineStr">
        <is>
          <t>Follow Up : Budget Concern</t>
        </is>
      </c>
      <c r="BX2489"/>
      <c r="BY2489"/>
      <c r="BZ2489" s="4"/>
      <c r="CA2489"/>
      <c r="CB2489"/>
      <c r="CC2489" s="4"/>
      <c r="CD2489" t="inlineStr">
        <is>
          <t>20</t>
        </is>
      </c>
      <c r="CE2489" t="inlineStr">
        <is>
          <t>0</t>
        </is>
      </c>
      <c r="CF2489" t="inlineStr">
        <is>
          <t>Q2-W01</t>
        </is>
      </c>
      <c r="CG2489"/>
      <c r="CH2489"/>
      <c r="CI2489"/>
      <c r="CJ2489" t="inlineStr">
        <is>
          <t>Paid</t>
        </is>
      </c>
      <c r="CK2489" t="inlineStr">
        <is>
          <t>Not Eligible</t>
        </is>
      </c>
      <c r="CL2489"/>
      <c r="CM2489"/>
    </row>
    <row r="2490" ht="25.5" customHeight="1">
      <c r="A2490" t="inlineStr">
        <is>
          <t>4230604</t>
        </is>
      </c>
      <c r="B2490" s="2"/>
      <c r="C2490"/>
      <c r="D2490" s="3">
        <v>46115.40425925926</v>
      </c>
      <c r="E2490" t="inlineStr">
        <is>
          <t>Q2-W01</t>
        </is>
      </c>
      <c r="F2490" t="inlineStr">
        <is>
          <t>Chia Yee</t>
        </is>
      </c>
      <c r="G2490" t="inlineStr">
        <is>
          <t>Lead</t>
        </is>
      </c>
      <c r="H2490" s="2" t="str">
        <f>=HYPERLINK("https://upbox.ajobthing.my/leads/4230604", "https://upbox.ajobthing.my/leads/4230604")</f>
        <v>https://upbox.ajobthing.my/leads/4230604</v>
      </c>
      <c r="I2490" t="inlineStr">
        <is>
          <t>Ossismed Resources</t>
        </is>
      </c>
      <c r="J2490" t="inlineStr">
        <is>
          <t>Small Fish</t>
        </is>
      </c>
      <c r="K2490" t="inlineStr">
        <is>
          <t>Chia Yee</t>
        </is>
      </c>
      <c r="L2490" s="4"/>
      <c r="M2490" s="4">
        <v>46115.405636574076</v>
      </c>
      <c r="N2490"/>
      <c r="O2490">
        <v>1296</v>
      </c>
      <c r="P2490" s="4"/>
      <c r="Q2490" s="4"/>
      <c r="R2490"/>
      <c r="S2490"/>
      <c r="T2490" s="4"/>
      <c r="U2490" s="4"/>
      <c r="V2490"/>
      <c r="W2490"/>
      <c r="X2490"/>
      <c r="Y2490" t="inlineStr">
        <is>
          <t>Pending Appointment</t>
        </is>
      </c>
      <c r="Z2490" t="inlineStr">
        <is>
          <t>Hiring Now</t>
        </is>
      </c>
      <c r="AA2490">
        <v>1</v>
      </c>
      <c r="AB2490" t="inlineStr">
        <is>
          <t>No Appointment Made</t>
        </is>
      </c>
      <c r="AC2490"/>
      <c r="AD2490" t="inlineStr">
        <is>
          <t>1 Runner dispatch</t>
        </is>
      </c>
      <c r="AE2490"/>
      <c r="AF2490">
        <v>0</v>
      </c>
      <c r="AG2490" s="4"/>
      <c r="AH2490" s="4"/>
      <c r="AI2490">
        <v>0</v>
      </c>
      <c r="AJ2490">
        <v>0</v>
      </c>
      <c r="AK2490" t="inlineStr">
        <is>
          <t>No, I don't need at all</t>
        </is>
      </c>
      <c r="AL2490">
        <v>1</v>
      </c>
      <c r="AM2490" t="inlineStr">
        <is>
          <t>No, I don't need at all</t>
        </is>
      </c>
      <c r="AN2490"/>
      <c r="AO2490" t="inlineStr">
        <is>
          <t>Yes, I have</t>
        </is>
      </c>
      <c r="AP2490" t="inlineStr">
        <is>
          <t>Once a year (25%)</t>
        </is>
      </c>
      <c r="AQ2490">
        <v>1</v>
      </c>
      <c r="AR2490" t="inlineStr">
        <is>
          <t>Did not use any job portal</t>
        </is>
      </c>
      <c r="AS2490" t="inlineStr">
        <is>
          <t>- Headcount: 1
- Hiring Job Details: 1 Runner dispatch
- Hiring Urgency: Hiring Now
- Number of outlets: 0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2490">
        <v>105</v>
      </c>
      <c r="AU2490" t="inlineStr">
        <is>
          <t>1.05</t>
        </is>
      </c>
      <c r="AV2490" t="inlineStr">
        <is>
          <t>15</t>
        </is>
      </c>
      <c r="AW2490" t="inlineStr">
        <is>
          <t>0</t>
        </is>
      </c>
      <c r="AX2490" t="inlineStr">
        <is>
          <t>Not Qualified</t>
        </is>
      </c>
      <c r="AY2490" s="4"/>
      <c r="AZ2490"/>
      <c r="BA2490"/>
      <c r="BB2490"/>
      <c r="BC2490"/>
      <c r="BD2490" s="4"/>
      <c r="BE2490"/>
      <c r="BF2490"/>
      <c r="BG2490" t="inlineStr">
        <is>
          <t>Reschedule</t>
        </is>
      </c>
      <c r="BH2490" t="inlineStr">
        <is>
          <t>Reagen</t>
        </is>
      </c>
      <c r="BI2490"/>
      <c r="BJ2490" s="4">
        <v>46144.755694444444</v>
      </c>
      <c r="BK2490" s="4">
        <v>46114.64152777778</v>
      </c>
      <c r="BL2490" t="inlineStr">
        <is>
          <t>0.0</t>
        </is>
      </c>
      <c r="BM2490" t="inlineStr">
        <is>
          <t>0.0</t>
        </is>
      </c>
      <c r="BN2490"/>
      <c r="BO2490" s="4"/>
      <c r="BP2490">
        <v>165085</v>
      </c>
      <c r="BQ2490"/>
      <c r="BR2490"/>
      <c r="BS2490"/>
      <c r="BT2490"/>
      <c r="BU2490"/>
      <c r="BV2490"/>
      <c r="BW2490"/>
      <c r="BX2490"/>
      <c r="BY2490"/>
      <c r="BZ2490" s="4"/>
      <c r="CA2490"/>
      <c r="CB2490"/>
      <c r="CC2490" s="4"/>
      <c r="CD2490" t="inlineStr">
        <is>
          <t>20</t>
        </is>
      </c>
      <c r="CE2490" t="inlineStr">
        <is>
          <t>0</t>
        </is>
      </c>
      <c r="CF2490" t="inlineStr">
        <is>
          <t>Q2-W01</t>
        </is>
      </c>
      <c r="CG2490"/>
      <c r="CH2490"/>
      <c r="CI2490"/>
      <c r="CJ2490" t="inlineStr">
        <is>
          <t>No Paid</t>
        </is>
      </c>
      <c r="CK2490" t="inlineStr">
        <is>
          <t>Not Eligible</t>
        </is>
      </c>
      <c r="CL2490"/>
      <c r="CM2490"/>
    </row>
    <row r="2491" ht="25.5" customHeight="1">
      <c r="A2491" t="inlineStr">
        <is>
          <t>156026</t>
        </is>
      </c>
      <c r="B2491" s="2"/>
      <c r="C2491"/>
      <c r="D2491" s="3">
        <v>46115.416354166664</v>
      </c>
      <c r="E2491" t="inlineStr">
        <is>
          <t>Q2-W01</t>
        </is>
      </c>
      <c r="F2491" t="inlineStr">
        <is>
          <t>Carmen</t>
        </is>
      </c>
      <c r="G2491" t="inlineStr">
        <is>
          <t>Customer</t>
        </is>
      </c>
      <c r="H2491" s="2" t="str">
        <f>=HYPERLINK("https://upbox.ajobthing.my/customer/156026", "https://upbox.ajobthing.my/customer/156026")</f>
        <v>https://upbox.ajobthing.my/customer/156026</v>
      </c>
      <c r="I2491" t="inlineStr">
        <is>
          <t>Jihad Biz Marketing</t>
        </is>
      </c>
      <c r="J2491" t="inlineStr">
        <is>
          <t>Small Fish</t>
        </is>
      </c>
      <c r="K2491" t="inlineStr">
        <is>
          <t>Carmen</t>
        </is>
      </c>
      <c r="L2491" s="4"/>
      <c r="M2491" s="4">
        <v>46115.42234953704</v>
      </c>
      <c r="N2491"/>
      <c r="O2491">
        <v>3888</v>
      </c>
      <c r="P2491" s="4"/>
      <c r="Q2491" s="4"/>
      <c r="R2491"/>
      <c r="S2491"/>
      <c r="T2491" s="4"/>
      <c r="U2491" s="4"/>
      <c r="V2491"/>
      <c r="W2491"/>
      <c r="X2491"/>
      <c r="Y2491" t="inlineStr">
        <is>
          <t>Pending Appointment</t>
        </is>
      </c>
      <c r="Z2491" t="inlineStr">
        <is>
          <t>Hiring Now</t>
        </is>
      </c>
      <c r="AA2491">
        <v>3</v>
      </c>
      <c r="AB2491" t="inlineStr">
        <is>
          <t>No Appointment Made</t>
        </is>
      </c>
      <c r="AC2491"/>
      <c r="AD2491" t="inlineStr">
        <is>
          <t>1 cashier, 1 communicator, 1 manager</t>
        </is>
      </c>
      <c r="AE2491"/>
      <c r="AF2491">
        <v>0</v>
      </c>
      <c r="AG2491" s="4"/>
      <c r="AH2491" s="4"/>
      <c r="AI2491"/>
      <c r="AJ2491"/>
      <c r="AK2491" t="inlineStr">
        <is>
          <t>No, I don't need at all</t>
        </is>
      </c>
      <c r="AL2491">
        <v>0</v>
      </c>
      <c r="AM2491"/>
      <c r="AN2491"/>
      <c r="AO2491"/>
      <c r="AP2491" t="inlineStr">
        <is>
          <t>Once a year (25%)</t>
        </is>
      </c>
      <c r="AQ2491"/>
      <c r="AR2491"/>
      <c r="AS2491" t="inlineStr">
        <is>
          <t>- Headcount: 3
- Hiring Job Details: 1 cashier, 1 communicator, 1 manager
- Hiring Urgency: Hiring Now
- Number of outlets: Not available
- Have recruiter team: No, I don't need at all
- Number of recruiter in company: 0
- Have ATS system: Not available
- Have career website: Not available
- Current hiring budget: RM0.00
- Whole year budget: Not available
- Whole year number of vacancies: Not available
- Hiring frequency: Once a year (25%)
- External job portal: Not available</t>
        </is>
      </c>
      <c r="AT2491">
        <v>90</v>
      </c>
      <c r="AU2491" t="inlineStr">
        <is>
          <t>0.90</t>
        </is>
      </c>
      <c r="AV2491" t="inlineStr">
        <is>
          <t>15</t>
        </is>
      </c>
      <c r="AW2491" t="inlineStr">
        <is>
          <t>0</t>
        </is>
      </c>
      <c r="AX2491" t="inlineStr">
        <is>
          <t>Not Qualified</t>
        </is>
      </c>
      <c r="AY2491" s="4"/>
      <c r="AZ2491"/>
      <c r="BA2491"/>
      <c r="BB2491"/>
      <c r="BC2491" t="inlineStr">
        <is>
          <t>out of budget</t>
        </is>
      </c>
      <c r="BD2491" s="4">
        <v>46129.740219907406</v>
      </c>
      <c r="BE2491"/>
      <c r="BF2491"/>
      <c r="BG2491" t="inlineStr">
        <is>
          <t>Reschedule</t>
        </is>
      </c>
      <c r="BH2491" t="inlineStr">
        <is>
          <t>Reagen</t>
        </is>
      </c>
      <c r="BI2491"/>
      <c r="BJ2491" s="4">
        <v>46144.75099537037</v>
      </c>
      <c r="BK2491" s="4">
        <v>44733.80298611111</v>
      </c>
      <c r="BL2491" t="inlineStr">
        <is>
          <t>0.0</t>
        </is>
      </c>
      <c r="BM2491" t="inlineStr">
        <is>
          <t>0.0</t>
        </is>
      </c>
      <c r="BN2491" t="inlineStr">
        <is>
          <t>View Create Job Page</t>
        </is>
      </c>
      <c r="BO2491" s="4">
        <v>44733.97074074074</v>
      </c>
      <c r="BP2491">
        <v>165095</v>
      </c>
      <c r="BQ2491"/>
      <c r="BR2491"/>
      <c r="BS2491"/>
      <c r="BT2491"/>
      <c r="BU2491"/>
      <c r="BV2491">
        <v>2713775</v>
      </c>
      <c r="BW2491" t="inlineStr">
        <is>
          <t>Follow Up : Budget Concern</t>
        </is>
      </c>
      <c r="BX2491"/>
      <c r="BY2491"/>
      <c r="BZ2491" s="4"/>
      <c r="CA2491"/>
      <c r="CB2491"/>
      <c r="CC2491" s="4"/>
      <c r="CD2491" t="inlineStr">
        <is>
          <t>20</t>
        </is>
      </c>
      <c r="CE2491" t="inlineStr">
        <is>
          <t>0</t>
        </is>
      </c>
      <c r="CF2491" t="inlineStr">
        <is>
          <t>Q2-W01</t>
        </is>
      </c>
      <c r="CG2491"/>
      <c r="CH2491"/>
      <c r="CI2491"/>
      <c r="CJ2491" t="inlineStr">
        <is>
          <t>No Paid</t>
        </is>
      </c>
      <c r="CK2491" t="inlineStr">
        <is>
          <t>Not Eligible</t>
        </is>
      </c>
      <c r="CL2491"/>
      <c r="CM2491"/>
    </row>
    <row r="2492" ht="25.5" customHeight="1">
      <c r="A2492" t="inlineStr">
        <is>
          <t>194293</t>
        </is>
      </c>
      <c r="B2492" s="2"/>
      <c r="C2492"/>
      <c r="D2492" s="3">
        <v>46115.420960648145</v>
      </c>
      <c r="E2492" t="inlineStr">
        <is>
          <t>Q2-W01</t>
        </is>
      </c>
      <c r="F2492" t="inlineStr">
        <is>
          <t>Xin Quan</t>
        </is>
      </c>
      <c r="G2492" t="inlineStr">
        <is>
          <t>Customer</t>
        </is>
      </c>
      <c r="H2492" s="2" t="str">
        <f>=HYPERLINK("https://upbox.ajobthing.my/customer/194293", "https://upbox.ajobthing.my/customer/194293")</f>
        <v>https://upbox.ajobthing.my/customer/194293</v>
      </c>
      <c r="I2492" t="inlineStr">
        <is>
          <t>Kuantan Moto Garage</t>
        </is>
      </c>
      <c r="J2492" t="inlineStr">
        <is>
          <t>Small Fish</t>
        </is>
      </c>
      <c r="K2492" t="inlineStr">
        <is>
          <t>Xin Quan</t>
        </is>
      </c>
      <c r="L2492" s="4"/>
      <c r="M2492" s="4">
        <v>46115.42107638889</v>
      </c>
      <c r="N2492"/>
      <c r="O2492">
        <v>3888</v>
      </c>
      <c r="P2492" s="4"/>
      <c r="Q2492" s="4"/>
      <c r="R2492"/>
      <c r="S2492"/>
      <c r="T2492" s="4"/>
      <c r="U2492" s="4"/>
      <c r="V2492"/>
      <c r="W2492"/>
      <c r="X2492"/>
      <c r="Y2492" t="inlineStr">
        <is>
          <t>Pending Appointment</t>
        </is>
      </c>
      <c r="Z2492" t="inlineStr">
        <is>
          <t>Hiring Now</t>
        </is>
      </c>
      <c r="AA2492">
        <v>2</v>
      </c>
      <c r="AB2492" t="inlineStr">
        <is>
          <t>No Appointment Made</t>
        </is>
      </c>
      <c r="AC2492"/>
      <c r="AD2492" t="inlineStr">
        <is>
          <t>1 HR 1 Techincian , Base in PAHANG</t>
        </is>
      </c>
      <c r="AE2492"/>
      <c r="AF2492">
        <v>4000</v>
      </c>
      <c r="AG2492" s="4"/>
      <c r="AH2492" s="4"/>
      <c r="AI2492">
        <v>48000</v>
      </c>
      <c r="AJ2492">
        <v>1</v>
      </c>
      <c r="AK2492"/>
      <c r="AL2492"/>
      <c r="AM2492"/>
      <c r="AN2492"/>
      <c r="AO2492"/>
      <c r="AP2492"/>
      <c r="AQ2492">
        <v>2</v>
      </c>
      <c r="AR2492"/>
      <c r="AS2492" t="inlineStr">
        <is>
          <t>- Headcount: 2
- Hiring Job Details: 1 HR, 1 Technician, Base in PAHANG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2492">
        <v>95</v>
      </c>
      <c r="AU2492" t="inlineStr">
        <is>
          <t>0.95</t>
        </is>
      </c>
      <c r="AV2492" t="inlineStr">
        <is>
          <t>15</t>
        </is>
      </c>
      <c r="AW2492" t="inlineStr">
        <is>
          <t>0</t>
        </is>
      </c>
      <c r="AX2492" t="inlineStr">
        <is>
          <t>Not Qualified</t>
        </is>
      </c>
      <c r="AY2492" s="4"/>
      <c r="AZ2492"/>
      <c r="BA2492"/>
      <c r="BB2492"/>
      <c r="BC2492" t="inlineStr">
        <is>
          <t>0107772996 RTT , NH</t>
        </is>
      </c>
      <c r="BD2492" s="4">
        <v>46120.58804398148</v>
      </c>
      <c r="BE2492"/>
      <c r="BF2492"/>
      <c r="BG2492" t="inlineStr">
        <is>
          <t>Reschedule</t>
        </is>
      </c>
      <c r="BH2492" t="inlineStr">
        <is>
          <t>Edward Hoo</t>
        </is>
      </c>
      <c r="BI2492"/>
      <c r="BJ2492" s="4">
        <v>46144.75269675926</v>
      </c>
      <c r="BK2492" s="4">
        <v>45866.601018518515</v>
      </c>
      <c r="BL2492" t="inlineStr">
        <is>
          <t>0.0</t>
        </is>
      </c>
      <c r="BM2492" t="inlineStr">
        <is>
          <t>600.0</t>
        </is>
      </c>
      <c r="BN2492" t="inlineStr">
        <is>
          <t>View Create Job Page</t>
        </is>
      </c>
      <c r="BO2492" s="4">
        <v>45866.635613425926</v>
      </c>
      <c r="BP2492">
        <v>165094</v>
      </c>
      <c r="BQ2492"/>
      <c r="BR2492"/>
      <c r="BS2492"/>
      <c r="BT2492"/>
      <c r="BU2492"/>
      <c r="BV2492">
        <v>2692441</v>
      </c>
      <c r="BW2492" t="inlineStr">
        <is>
          <t>Inquire for Hiring Needs : No Hiring</t>
        </is>
      </c>
      <c r="BX2492"/>
      <c r="BY2492"/>
      <c r="BZ2492" s="4"/>
      <c r="CA2492"/>
      <c r="CB2492"/>
      <c r="CC2492" s="4"/>
      <c r="CD2492" t="inlineStr">
        <is>
          <t>20</t>
        </is>
      </c>
      <c r="CE2492" t="inlineStr">
        <is>
          <t>0</t>
        </is>
      </c>
      <c r="CF2492" t="inlineStr">
        <is>
          <t>Q2-W01</t>
        </is>
      </c>
      <c r="CG2492"/>
      <c r="CH2492"/>
      <c r="CI2492"/>
      <c r="CJ2492" t="inlineStr">
        <is>
          <t>No Paid</t>
        </is>
      </c>
      <c r="CK2492" t="inlineStr">
        <is>
          <t>Not Eligible</t>
        </is>
      </c>
      <c r="CL2492"/>
      <c r="CM2492"/>
    </row>
    <row r="2493" ht="25.5" customHeight="1">
      <c r="A2493" t="inlineStr">
        <is>
          <t>194056</t>
        </is>
      </c>
      <c r="B2493" s="2"/>
      <c r="C2493"/>
      <c r="D2493" s="3">
        <v>46115.430497685185</v>
      </c>
      <c r="E2493" t="inlineStr">
        <is>
          <t>Q2-W01</t>
        </is>
      </c>
      <c r="F2493" t="inlineStr">
        <is>
          <t>Keegan</t>
        </is>
      </c>
      <c r="G2493" t="inlineStr">
        <is>
          <t>Customer</t>
        </is>
      </c>
      <c r="H2493" s="2" t="str">
        <f>=HYPERLINK("https://upbox.ajobthing.my/customer/194056", "https://upbox.ajobthing.my/customer/194056")</f>
        <v>https://upbox.ajobthing.my/customer/194056</v>
      </c>
      <c r="I2493" t="inlineStr">
        <is>
          <t>Zen Vision Group Sdn. Bhd.</t>
        </is>
      </c>
      <c r="J2493" t="inlineStr">
        <is>
          <t>Small Fish</t>
        </is>
      </c>
      <c r="K2493" t="inlineStr">
        <is>
          <t>Keegan</t>
        </is>
      </c>
      <c r="L2493" s="4"/>
      <c r="M2493" s="4">
        <v>46115.43059027778</v>
      </c>
      <c r="N2493"/>
      <c r="O2493">
        <v>3672</v>
      </c>
      <c r="P2493" s="4"/>
      <c r="Q2493" s="4"/>
      <c r="R2493"/>
      <c r="S2493"/>
      <c r="T2493" s="4"/>
      <c r="U2493" s="4"/>
      <c r="V2493"/>
      <c r="W2493"/>
      <c r="X2493"/>
      <c r="Y2493" t="inlineStr">
        <is>
          <t>Pending Appointment</t>
        </is>
      </c>
      <c r="Z2493" t="inlineStr">
        <is>
          <t>Hiring Now</t>
        </is>
      </c>
      <c r="AA2493">
        <v>1</v>
      </c>
      <c r="AB2493" t="inlineStr">
        <is>
          <t>No Appointment Made</t>
        </is>
      </c>
      <c r="AC2493"/>
      <c r="AD2493" t="inlineStr">
        <is>
          <t xml:space="preserve">1. Senior Interior Designer </t>
        </is>
      </c>
      <c r="AE2493"/>
      <c r="AF2493"/>
      <c r="AG2493" s="4"/>
      <c r="AH2493" s="4"/>
      <c r="AI2493"/>
      <c r="AJ2493">
        <v>1</v>
      </c>
      <c r="AK2493" t="inlineStr">
        <is>
          <t>No, I don't need at all</t>
        </is>
      </c>
      <c r="AL2493">
        <v>0</v>
      </c>
      <c r="AM2493" t="inlineStr">
        <is>
          <t>No, I don't need at all</t>
        </is>
      </c>
      <c r="AN2493"/>
      <c r="AO2493" t="inlineStr">
        <is>
          <t>No, I don't need at all</t>
        </is>
      </c>
      <c r="AP2493" t="inlineStr">
        <is>
          <t>Once per quarter (75%)</t>
        </is>
      </c>
      <c r="AQ2493"/>
      <c r="AR2493" t="inlineStr">
        <is>
          <t>Did not use any job portal</t>
        </is>
      </c>
      <c r="AS2493" t="inlineStr">
        <is>
          <t>- Headcount: 1
- Hiring Job Details: 1 Senior Interior Designer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493">
        <v>105</v>
      </c>
      <c r="AU2493" t="inlineStr">
        <is>
          <t>1.05</t>
        </is>
      </c>
      <c r="AV2493" t="inlineStr">
        <is>
          <t>5</t>
        </is>
      </c>
      <c r="AW2493" t="inlineStr">
        <is>
          <t>0</t>
        </is>
      </c>
      <c r="AX2493" t="inlineStr">
        <is>
          <t>Not Qualified</t>
        </is>
      </c>
      <c r="AY2493" s="4"/>
      <c r="AZ2493"/>
      <c r="BA2493"/>
      <c r="BB2493"/>
      <c r="BC2493" t="inlineStr">
        <is>
          <t>Will try free posting first</t>
        </is>
      </c>
      <c r="BD2493" s="4">
        <v>46120.67350694445</v>
      </c>
      <c r="BE2493"/>
      <c r="BF2493"/>
      <c r="BG2493" t="inlineStr">
        <is>
          <t>Reschedule</t>
        </is>
      </c>
      <c r="BH2493" t="inlineStr">
        <is>
          <t>Edward Hoo</t>
        </is>
      </c>
      <c r="BI2493"/>
      <c r="BJ2493" s="4">
        <v>46144.75267361111</v>
      </c>
      <c r="BK2493" s="4">
        <v>45860.39465277778</v>
      </c>
      <c r="BL2493" t="inlineStr">
        <is>
          <t>0.0</t>
        </is>
      </c>
      <c r="BM2493" t="inlineStr">
        <is>
          <t>0.0</t>
        </is>
      </c>
      <c r="BN2493" t="inlineStr">
        <is>
          <t>View Company Page</t>
        </is>
      </c>
      <c r="BO2493" s="4">
        <v>46119.515231481484</v>
      </c>
      <c r="BP2493">
        <v>165098</v>
      </c>
      <c r="BQ2493"/>
      <c r="BR2493"/>
      <c r="BS2493"/>
      <c r="BT2493"/>
      <c r="BU2493"/>
      <c r="BV2493">
        <v>2693345</v>
      </c>
      <c r="BW2493" t="inlineStr">
        <is>
          <t>Follow Up : Lost - Free Portal</t>
        </is>
      </c>
      <c r="BX2493"/>
      <c r="BY2493"/>
      <c r="BZ2493" s="4"/>
      <c r="CA2493"/>
      <c r="CB2493"/>
      <c r="CC2493" s="4"/>
      <c r="CD2493" t="inlineStr">
        <is>
          <t>5</t>
        </is>
      </c>
      <c r="CE2493" t="inlineStr">
        <is>
          <t>0</t>
        </is>
      </c>
      <c r="CF2493" t="inlineStr">
        <is>
          <t>Q2-W01</t>
        </is>
      </c>
      <c r="CG2493"/>
      <c r="CH2493"/>
      <c r="CI2493"/>
      <c r="CJ2493" t="inlineStr">
        <is>
          <t>No Paid</t>
        </is>
      </c>
      <c r="CK2493" t="inlineStr">
        <is>
          <t>Not Eligible</t>
        </is>
      </c>
      <c r="CL2493"/>
      <c r="CM2493"/>
    </row>
    <row r="2494" ht="25.5" customHeight="1">
      <c r="A2494" t="inlineStr">
        <is>
          <t>202758</t>
        </is>
      </c>
      <c r="B2494" s="2"/>
      <c r="C2494"/>
      <c r="D2494" s="3">
        <v>46115.43342592593</v>
      </c>
      <c r="E2494" t="inlineStr">
        <is>
          <t>Q2-W01</t>
        </is>
      </c>
      <c r="F2494" t="inlineStr">
        <is>
          <t>Jia Hui</t>
        </is>
      </c>
      <c r="G2494" t="inlineStr">
        <is>
          <t>Customer</t>
        </is>
      </c>
      <c r="H2494" s="2" t="str">
        <f>=HYPERLINK("https://upbox.ajobthing.my/customer/202758", "https://upbox.ajobthing.my/customer/202758")</f>
        <v>https://upbox.ajobthing.my/customer/202758</v>
      </c>
      <c r="I2494" t="inlineStr">
        <is>
          <t>Rangup Waffles Enterprise</t>
        </is>
      </c>
      <c r="J2494" t="inlineStr">
        <is>
          <t>Small Fish</t>
        </is>
      </c>
      <c r="K2494" t="inlineStr">
        <is>
          <t>Jia Hui</t>
        </is>
      </c>
      <c r="L2494" s="4"/>
      <c r="M2494" s="4">
        <v>46115.41909722222</v>
      </c>
      <c r="N2494"/>
      <c r="O2494">
        <v>3672</v>
      </c>
      <c r="P2494" s="4"/>
      <c r="Q2494" s="4">
        <v>46114.74633101852</v>
      </c>
      <c r="R2494"/>
      <c r="S2494">
        <v>0</v>
      </c>
      <c r="T2494" s="4"/>
      <c r="U2494" s="4"/>
      <c r="V2494"/>
      <c r="W2494"/>
      <c r="X2494"/>
      <c r="Y2494" t="inlineStr">
        <is>
          <t>Pending Appointment</t>
        </is>
      </c>
      <c r="Z2494" t="inlineStr">
        <is>
          <t>Hiring Now</t>
        </is>
      </c>
      <c r="AA2494">
        <v>1</v>
      </c>
      <c r="AB2494" t="inlineStr">
        <is>
          <t>No Appointment Made</t>
        </is>
      </c>
      <c r="AC2494"/>
      <c r="AD2494" t="inlineStr">
        <is>
          <t xml:space="preserve">1 retail assistant </t>
        </is>
      </c>
      <c r="AE2494"/>
      <c r="AF2494">
        <v>500</v>
      </c>
      <c r="AG2494" s="4"/>
      <c r="AH2494" s="4"/>
      <c r="AI2494"/>
      <c r="AJ2494"/>
      <c r="AK2494" t="inlineStr">
        <is>
          <t>No, but I want in future</t>
        </is>
      </c>
      <c r="AL2494"/>
      <c r="AM2494"/>
      <c r="AN2494"/>
      <c r="AO2494"/>
      <c r="AP2494" t="inlineStr">
        <is>
          <t>Once a year (25%)</t>
        </is>
      </c>
      <c r="AQ2494"/>
      <c r="AR2494"/>
      <c r="AS2494" t="inlineStr">
        <is>
          <t>- Headcount: 1
- Hiring Job Details: 1 retail assistant
- Hiring Urgency: Hiring Now
- Number of outlets: Not available
- Have recruiter team: No, but I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494">
        <v>75</v>
      </c>
      <c r="AU2494" t="inlineStr">
        <is>
          <t>0.75</t>
        </is>
      </c>
      <c r="AV2494" t="inlineStr">
        <is>
          <t>15</t>
        </is>
      </c>
      <c r="AW2494" t="inlineStr">
        <is>
          <t>0</t>
        </is>
      </c>
      <c r="AX2494" t="inlineStr">
        <is>
          <t>Not Qualified</t>
        </is>
      </c>
      <c r="AY2494" s="4"/>
      <c r="AZ2494"/>
      <c r="BA2494"/>
      <c r="BB2494"/>
      <c r="BC2494" t="inlineStr">
        <is>
          <t>no budget, feel expensive</t>
        </is>
      </c>
      <c r="BD2494" s="4">
        <v>46119.674155092594</v>
      </c>
      <c r="BE2494" t="inlineStr">
        <is>
          <t>paid</t>
        </is>
      </c>
      <c r="BF2494"/>
      <c r="BG2494" t="inlineStr">
        <is>
          <t>Reschedule</t>
        </is>
      </c>
      <c r="BH2494" t="inlineStr">
        <is>
          <t>Reagen</t>
        </is>
      </c>
      <c r="BI2494" t="inlineStr">
        <is>
          <t>Retail / Merchandise</t>
        </is>
      </c>
      <c r="BJ2494" s="4">
        <v>46144.75412037037</v>
      </c>
      <c r="BK2494" s="4">
        <v>46114.746087962965</v>
      </c>
      <c r="BL2494" t="inlineStr">
        <is>
          <t>0.0</t>
        </is>
      </c>
      <c r="BM2494" t="inlineStr">
        <is>
          <t>0.0</t>
        </is>
      </c>
      <c r="BN2494" t="inlineStr">
        <is>
          <t>View Company Page</t>
        </is>
      </c>
      <c r="BO2494" s="4">
        <v>46114.7515625</v>
      </c>
      <c r="BP2494">
        <v>165092</v>
      </c>
      <c r="BQ2494">
        <v>119717</v>
      </c>
      <c r="BR2494" t="inlineStr">
        <is>
          <t>Proforma</t>
        </is>
      </c>
      <c r="BS2494" t="inlineStr">
        <is>
          <t>Free Freelance Job</t>
        </is>
      </c>
      <c r="BT2494"/>
      <c r="BU2494"/>
      <c r="BV2494">
        <v>2690059</v>
      </c>
      <c r="BW2494" t="inlineStr">
        <is>
          <t>Follow Up : Budget Concern</t>
        </is>
      </c>
      <c r="BX2494"/>
      <c r="BY2494"/>
      <c r="BZ2494" s="4"/>
      <c r="CA2494"/>
      <c r="CB2494"/>
      <c r="CC2494" s="4"/>
      <c r="CD2494" t="inlineStr">
        <is>
          <t>20</t>
        </is>
      </c>
      <c r="CE2494" t="inlineStr">
        <is>
          <t>0</t>
        </is>
      </c>
      <c r="CF2494" t="inlineStr">
        <is>
          <t>Q2-W01</t>
        </is>
      </c>
      <c r="CG2494" t="inlineStr">
        <is>
          <t>Q1-W13</t>
        </is>
      </c>
      <c r="CH2494"/>
      <c r="CI2494"/>
      <c r="CJ2494" t="inlineStr">
        <is>
          <t>No Paid</t>
        </is>
      </c>
      <c r="CK2494" t="inlineStr">
        <is>
          <t>Not Eligible</t>
        </is>
      </c>
      <c r="CL2494"/>
      <c r="CM2494"/>
    </row>
    <row r="2495" ht="25.5" customHeight="1">
      <c r="A2495" t="inlineStr">
        <is>
          <t>4233700</t>
        </is>
      </c>
      <c r="B2495" s="2"/>
      <c r="C2495"/>
      <c r="D2495" s="3">
        <v>46115.436631944445</v>
      </c>
      <c r="E2495" t="inlineStr">
        <is>
          <t>Q2-W01</t>
        </is>
      </c>
      <c r="F2495" t="inlineStr">
        <is>
          <t>Luqman</t>
        </is>
      </c>
      <c r="G2495" t="inlineStr">
        <is>
          <t>Lead</t>
        </is>
      </c>
      <c r="H2495" s="2" t="str">
        <f>=HYPERLINK("https://upbox.ajobthing.my/leads/4233700", "https://upbox.ajobthing.my/leads/4233700")</f>
        <v>https://upbox.ajobthing.my/leads/4233700</v>
      </c>
      <c r="I2495" t="inlineStr">
        <is>
          <t>Aina Beauty Shop</t>
        </is>
      </c>
      <c r="J2495" t="inlineStr">
        <is>
          <t>Small Fish</t>
        </is>
      </c>
      <c r="K2495" t="inlineStr">
        <is>
          <t>Luqman</t>
        </is>
      </c>
      <c r="L2495" s="4"/>
      <c r="M2495" s="4">
        <v>46115.43769675926</v>
      </c>
      <c r="N2495"/>
      <c r="O2495">
        <v>3888</v>
      </c>
      <c r="P2495" s="4"/>
      <c r="Q2495" s="4"/>
      <c r="R2495"/>
      <c r="S2495"/>
      <c r="T2495" s="4"/>
      <c r="U2495" s="4"/>
      <c r="V2495"/>
      <c r="W2495"/>
      <c r="X2495"/>
      <c r="Y2495" t="inlineStr">
        <is>
          <t>Pending Appointment</t>
        </is>
      </c>
      <c r="Z2495" t="inlineStr">
        <is>
          <t>Hiring Later</t>
        </is>
      </c>
      <c r="AA2495">
        <v>1</v>
      </c>
      <c r="AB2495" t="inlineStr">
        <is>
          <t>No Appointment Made</t>
        </is>
      </c>
      <c r="AC2495"/>
      <c r="AD2495" t="inlineStr">
        <is>
          <t xml:space="preserve">1. Marketing Assistant </t>
        </is>
      </c>
      <c r="AE2495"/>
      <c r="AF2495">
        <v>1200</v>
      </c>
      <c r="AG2495" s="4"/>
      <c r="AH2495" s="4"/>
      <c r="AI2495">
        <v>1200</v>
      </c>
      <c r="AJ2495"/>
      <c r="AK2495"/>
      <c r="AL2495"/>
      <c r="AM2495"/>
      <c r="AN2495"/>
      <c r="AO2495"/>
      <c r="AP2495" t="inlineStr">
        <is>
          <t>Once a year (25%)</t>
        </is>
      </c>
      <c r="AQ2495">
        <v>1</v>
      </c>
      <c r="AR2495" t="inlineStr">
        <is>
          <t>Free Job Portal</t>
        </is>
      </c>
      <c r="AS2495" t="inlineStr">
        <is>
          <t>- Headcount: 1
- Hiring Job Details: 1 Marketing Assistant
- Hiring Urgency: Hiring Later
- Number of outlets: Not provided
- Have recruiter team: Not provided
- Number of recruiter in company: Not provided
- Have ATS system: Not provided
- Have career website: Not provided
- Current hiring budget: RM1,200
- Whole year budget: RM1,200.00
- Whole year number of vacancies: 1
- Hiring frequency: Once a year (25%)
- External job portal: Free Job Portal</t>
        </is>
      </c>
      <c r="AT2495">
        <v>110</v>
      </c>
      <c r="AU2495" t="inlineStr">
        <is>
          <t>1.10</t>
        </is>
      </c>
      <c r="AV2495" t="inlineStr">
        <is>
          <t>15</t>
        </is>
      </c>
      <c r="AW2495" t="inlineStr">
        <is>
          <t>0</t>
        </is>
      </c>
      <c r="AX2495" t="inlineStr">
        <is>
          <t>Not Qualified</t>
        </is>
      </c>
      <c r="AY2495" s="4"/>
      <c r="AZ2495"/>
      <c r="BA2495"/>
      <c r="BB2495"/>
      <c r="BC2495"/>
      <c r="BD2495" s="4"/>
      <c r="BE2495"/>
      <c r="BF2495"/>
      <c r="BG2495" t="inlineStr">
        <is>
          <t>Reschedule</t>
        </is>
      </c>
      <c r="BH2495" t="inlineStr">
        <is>
          <t>Edward Hoo</t>
        </is>
      </c>
      <c r="BI2495"/>
      <c r="BJ2495" s="4">
        <v>46144.755694444444</v>
      </c>
      <c r="BK2495" s="4">
        <v>46114.97087962963</v>
      </c>
      <c r="BL2495" t="inlineStr">
        <is>
          <t>0.0</t>
        </is>
      </c>
      <c r="BM2495" t="inlineStr">
        <is>
          <t>0.0</t>
        </is>
      </c>
      <c r="BN2495"/>
      <c r="BO2495" s="4"/>
      <c r="BP2495">
        <v>165104</v>
      </c>
      <c r="BQ2495"/>
      <c r="BR2495"/>
      <c r="BS2495"/>
      <c r="BT2495"/>
      <c r="BU2495"/>
      <c r="BV2495"/>
      <c r="BW2495"/>
      <c r="BX2495"/>
      <c r="BY2495"/>
      <c r="BZ2495" s="4"/>
      <c r="CA2495"/>
      <c r="CB2495"/>
      <c r="CC2495" s="4"/>
      <c r="CD2495" t="inlineStr">
        <is>
          <t>20</t>
        </is>
      </c>
      <c r="CE2495" t="inlineStr">
        <is>
          <t>0</t>
        </is>
      </c>
      <c r="CF2495" t="inlineStr">
        <is>
          <t>Q2-W01</t>
        </is>
      </c>
      <c r="CG2495"/>
      <c r="CH2495"/>
      <c r="CI2495"/>
      <c r="CJ2495" t="inlineStr">
        <is>
          <t>No Paid</t>
        </is>
      </c>
      <c r="CK2495" t="inlineStr">
        <is>
          <t>Not Eligible</t>
        </is>
      </c>
      <c r="CL2495"/>
      <c r="CM2495"/>
    </row>
    <row r="2496" ht="25.5" customHeight="1">
      <c r="A2496" t="inlineStr">
        <is>
          <t>4231236</t>
        </is>
      </c>
      <c r="B2496" s="2"/>
      <c r="C2496"/>
      <c r="D2496" s="3">
        <v>46115.440150462964</v>
      </c>
      <c r="E2496" t="inlineStr">
        <is>
          <t>Q2-W01</t>
        </is>
      </c>
      <c r="F2496" t="inlineStr">
        <is>
          <t>Josh</t>
        </is>
      </c>
      <c r="G2496" t="inlineStr">
        <is>
          <t>Lead</t>
        </is>
      </c>
      <c r="H2496" s="2" t="str">
        <f>=HYPERLINK("https://upbox.ajobthing.my/leads/4231236", "https://upbox.ajobthing.my/leads/4231236")</f>
        <v>https://upbox.ajobthing.my/leads/4231236</v>
      </c>
      <c r="I2496" t="inlineStr">
        <is>
          <t>MEDICLINK SYSTEMS (M) SDN BHD</t>
        </is>
      </c>
      <c r="J2496" t="inlineStr">
        <is>
          <t>Small Fish</t>
        </is>
      </c>
      <c r="K2496" t="inlineStr">
        <is>
          <t>Josh</t>
        </is>
      </c>
      <c r="L2496" s="4"/>
      <c r="M2496" s="4">
        <v>46115.44150462963</v>
      </c>
      <c r="N2496"/>
      <c r="O2496">
        <v>3672</v>
      </c>
      <c r="P2496" s="4"/>
      <c r="Q2496" s="4"/>
      <c r="R2496"/>
      <c r="S2496"/>
      <c r="T2496" s="4"/>
      <c r="U2496" s="4"/>
      <c r="V2496"/>
      <c r="W2496"/>
      <c r="X2496"/>
      <c r="Y2496" t="inlineStr">
        <is>
          <t>Pending Appointment</t>
        </is>
      </c>
      <c r="Z2496" t="inlineStr">
        <is>
          <t>Hiring Now</t>
        </is>
      </c>
      <c r="AA2496">
        <v>1</v>
      </c>
      <c r="AB2496" t="inlineStr">
        <is>
          <t>No Appointment Made</t>
        </is>
      </c>
      <c r="AC2496"/>
      <c r="AD2496" t="inlineStr">
        <is>
          <t>1 IT Programmer</t>
        </is>
      </c>
      <c r="AE2496"/>
      <c r="AF2496">
        <v>3000</v>
      </c>
      <c r="AG2496" s="4"/>
      <c r="AH2496" s="4"/>
      <c r="AI2496"/>
      <c r="AJ2496"/>
      <c r="AK2496" t="inlineStr">
        <is>
          <t>Yes, I have</t>
        </is>
      </c>
      <c r="AL2496">
        <v>1</v>
      </c>
      <c r="AM2496"/>
      <c r="AN2496"/>
      <c r="AO2496"/>
      <c r="AP2496" t="inlineStr">
        <is>
          <t>Once a year (25%)</t>
        </is>
      </c>
      <c r="AQ2496"/>
      <c r="AR2496"/>
      <c r="AS2496" t="inlineStr">
        <is>
          <t>- Headcount: 1
- Hiring Job Details: 1 IT Programmer
- Hiring Urgency: Hiring Now
- Number of outlets: Not specified
- Have recruiter team: Yes
- Number of recruiter in company: 1
- Have ATS system: Not specified
- Have career website: Not specified
- Current hiring budget: RM3,000.00
- Whole year budget: Not specified
- Whole year number of vacancies: Not specified
- Hiring frequency: Once a year (25%)
- External job portal: Not specified</t>
        </is>
      </c>
      <c r="AT2496">
        <v>95</v>
      </c>
      <c r="AU2496" t="inlineStr">
        <is>
          <t>0.95</t>
        </is>
      </c>
      <c r="AV2496" t="inlineStr">
        <is>
          <t>15</t>
        </is>
      </c>
      <c r="AW2496" t="inlineStr">
        <is>
          <t>0</t>
        </is>
      </c>
      <c r="AX2496" t="inlineStr">
        <is>
          <t>Not Qualified</t>
        </is>
      </c>
      <c r="AY2496" s="4"/>
      <c r="AZ2496"/>
      <c r="BA2496"/>
      <c r="BB2496"/>
      <c r="BC2496"/>
      <c r="BD2496" s="4"/>
      <c r="BE2496"/>
      <c r="BF2496"/>
      <c r="BG2496" t="inlineStr">
        <is>
          <t>Reschedule</t>
        </is>
      </c>
      <c r="BH2496" t="inlineStr">
        <is>
          <t>Fauziah Maharan</t>
        </is>
      </c>
      <c r="BI2496"/>
      <c r="BJ2496" s="4">
        <v>46144.755694444444</v>
      </c>
      <c r="BK2496" s="4">
        <v>46114.71717592593</v>
      </c>
      <c r="BL2496" t="inlineStr">
        <is>
          <t>0.0</t>
        </is>
      </c>
      <c r="BM2496" t="inlineStr">
        <is>
          <t>0.0</t>
        </is>
      </c>
      <c r="BN2496"/>
      <c r="BO2496" s="4"/>
      <c r="BP2496">
        <v>165107</v>
      </c>
      <c r="BQ2496"/>
      <c r="BR2496"/>
      <c r="BS2496"/>
      <c r="BT2496"/>
      <c r="BU2496"/>
      <c r="BV2496"/>
      <c r="BW2496"/>
      <c r="BX2496"/>
      <c r="BY2496"/>
      <c r="BZ2496" s="4"/>
      <c r="CA2496"/>
      <c r="CB2496"/>
      <c r="CC2496" s="4"/>
      <c r="CD2496" t="inlineStr">
        <is>
          <t>20</t>
        </is>
      </c>
      <c r="CE2496" t="inlineStr">
        <is>
          <t>0</t>
        </is>
      </c>
      <c r="CF2496" t="inlineStr">
        <is>
          <t>Q2-W01</t>
        </is>
      </c>
      <c r="CG2496"/>
      <c r="CH2496"/>
      <c r="CI2496"/>
      <c r="CJ2496" t="inlineStr">
        <is>
          <t>No Paid</t>
        </is>
      </c>
      <c r="CK2496" t="inlineStr">
        <is>
          <t>Not Eligible</t>
        </is>
      </c>
      <c r="CL2496"/>
      <c r="CM2496"/>
    </row>
    <row r="2497" ht="25.5" customHeight="1">
      <c r="A2497" t="inlineStr">
        <is>
          <t>202755</t>
        </is>
      </c>
      <c r="B2497" s="2"/>
      <c r="C2497"/>
      <c r="D2497" s="3">
        <v>46115.4453125</v>
      </c>
      <c r="E2497" t="inlineStr">
        <is>
          <t>Q2-W01</t>
        </is>
      </c>
      <c r="F2497" t="inlineStr">
        <is>
          <t>Chia Yee</t>
        </is>
      </c>
      <c r="G2497" t="inlineStr">
        <is>
          <t>Customer</t>
        </is>
      </c>
      <c r="H2497" s="2" t="str">
        <f>=HYPERLINK("https://upbox.ajobthing.my/customer/202755", "https://upbox.ajobthing.my/customer/202755")</f>
        <v>https://upbox.ajobthing.my/customer/202755</v>
      </c>
      <c r="I2497" t="inlineStr">
        <is>
          <t>Sepang Bay 13</t>
        </is>
      </c>
      <c r="J2497" t="inlineStr">
        <is>
          <t>Small Fish</t>
        </is>
      </c>
      <c r="K2497" t="inlineStr">
        <is>
          <t>Chia Yee</t>
        </is>
      </c>
      <c r="L2497" s="4"/>
      <c r="M2497" s="4">
        <v>46115.44540509259</v>
      </c>
      <c r="N2497"/>
      <c r="O2497">
        <v>1296</v>
      </c>
      <c r="P2497" s="4"/>
      <c r="Q2497" s="4"/>
      <c r="R2497"/>
      <c r="S2497"/>
      <c r="T2497" s="4"/>
      <c r="U2497" s="4"/>
      <c r="V2497"/>
      <c r="W2497"/>
      <c r="X2497"/>
      <c r="Y2497" t="inlineStr">
        <is>
          <t>Pending Appointment</t>
        </is>
      </c>
      <c r="Z2497" t="inlineStr">
        <is>
          <t>Hiring Now</t>
        </is>
      </c>
      <c r="AA2497">
        <v>1</v>
      </c>
      <c r="AB2497" t="inlineStr">
        <is>
          <t>No Appointment Made</t>
        </is>
      </c>
      <c r="AC2497"/>
      <c r="AD2497" t="inlineStr">
        <is>
          <t xml:space="preserve">1 x foreman / mechanic </t>
        </is>
      </c>
      <c r="AE2497"/>
      <c r="AF2497">
        <v>0</v>
      </c>
      <c r="AG2497" s="4"/>
      <c r="AH2497" s="4"/>
      <c r="AI2497">
        <v>0</v>
      </c>
      <c r="AJ2497">
        <v>1</v>
      </c>
      <c r="AK2497" t="inlineStr">
        <is>
          <t>No, I don't need at all</t>
        </is>
      </c>
      <c r="AL2497">
        <v>1</v>
      </c>
      <c r="AM2497" t="inlineStr">
        <is>
          <t>No, I don't need at all</t>
        </is>
      </c>
      <c r="AN2497"/>
      <c r="AO2497" t="inlineStr">
        <is>
          <t>No, I don't need at all</t>
        </is>
      </c>
      <c r="AP2497" t="inlineStr">
        <is>
          <t>Once a year (25%)</t>
        </is>
      </c>
      <c r="AQ2497">
        <v>1</v>
      </c>
      <c r="AR2497" t="inlineStr">
        <is>
          <t>Did not use any job portal</t>
        </is>
      </c>
      <c r="AS2497" t="inlineStr">
        <is>
          <t>- Headcount: 1
- Hiring Job Details: 1 x foreman / mechanic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497">
        <v>110</v>
      </c>
      <c r="AU2497" t="inlineStr">
        <is>
          <t>1.10</t>
        </is>
      </c>
      <c r="AV2497" t="inlineStr">
        <is>
          <t>15</t>
        </is>
      </c>
      <c r="AW2497" t="inlineStr">
        <is>
          <t>0</t>
        </is>
      </c>
      <c r="AX2497" t="inlineStr">
        <is>
          <t>Not Qualified</t>
        </is>
      </c>
      <c r="AY2497" s="4"/>
      <c r="AZ2497"/>
      <c r="BA2497"/>
      <c r="BB2497"/>
      <c r="BC2497" t="inlineStr">
        <is>
          <t>Replied: skip for now</t>
        </is>
      </c>
      <c r="BD2497" s="4">
        <v>46121.53640046297</v>
      </c>
      <c r="BE2497"/>
      <c r="BF2497"/>
      <c r="BG2497" t="inlineStr">
        <is>
          <t>Reschedule</t>
        </is>
      </c>
      <c r="BH2497" t="inlineStr">
        <is>
          <t>Reagen</t>
        </is>
      </c>
      <c r="BI2497"/>
      <c r="BJ2497" s="4">
        <v>46144.75412037037</v>
      </c>
      <c r="BK2497" s="4">
        <v>46114.73405092592</v>
      </c>
      <c r="BL2497" t="inlineStr">
        <is>
          <t>0.0</t>
        </is>
      </c>
      <c r="BM2497" t="inlineStr">
        <is>
          <t>0.0</t>
        </is>
      </c>
      <c r="BN2497" t="inlineStr">
        <is>
          <t>User Visit(Logged In)</t>
        </is>
      </c>
      <c r="BO2497" s="4">
        <v>46114.84719907407</v>
      </c>
      <c r="BP2497">
        <v>165110</v>
      </c>
      <c r="BQ2497"/>
      <c r="BR2497"/>
      <c r="BS2497"/>
      <c r="BT2497"/>
      <c r="BU2497"/>
      <c r="BV2497">
        <v>2695766</v>
      </c>
      <c r="BW2497" t="inlineStr">
        <is>
          <t>Follow Up : Budget Concern</t>
        </is>
      </c>
      <c r="BX2497"/>
      <c r="BY2497"/>
      <c r="BZ2497" s="4"/>
      <c r="CA2497"/>
      <c r="CB2497"/>
      <c r="CC2497" s="4"/>
      <c r="CD2497" t="inlineStr">
        <is>
          <t>20</t>
        </is>
      </c>
      <c r="CE2497" t="inlineStr">
        <is>
          <t>0</t>
        </is>
      </c>
      <c r="CF2497" t="inlineStr">
        <is>
          <t>Q2-W01</t>
        </is>
      </c>
      <c r="CG2497"/>
      <c r="CH2497"/>
      <c r="CI2497"/>
      <c r="CJ2497" t="inlineStr">
        <is>
          <t>No Paid</t>
        </is>
      </c>
      <c r="CK2497" t="inlineStr">
        <is>
          <t>Not Eligible</t>
        </is>
      </c>
      <c r="CL2497"/>
      <c r="CM2497"/>
    </row>
    <row r="2498" ht="25.5" customHeight="1">
      <c r="A2498" t="inlineStr">
        <is>
          <t>4233500</t>
        </is>
      </c>
      <c r="B2498" s="2"/>
      <c r="C2498"/>
      <c r="D2498" s="3">
        <v>46115.452685185184</v>
      </c>
      <c r="E2498" t="inlineStr">
        <is>
          <t>Q2-W01</t>
        </is>
      </c>
      <c r="F2498" t="inlineStr">
        <is>
          <t>Luqman</t>
        </is>
      </c>
      <c r="G2498" t="inlineStr">
        <is>
          <t>Lead</t>
        </is>
      </c>
      <c r="H2498" s="2" t="str">
        <f>=HYPERLINK("https://upbox.ajobthing.my/leads/4233500", "https://upbox.ajobthing.my/leads/4233500")</f>
        <v>https://upbox.ajobthing.my/leads/4233500</v>
      </c>
      <c r="I2498" t="inlineStr">
        <is>
          <t>Hong Leong Trading</t>
        </is>
      </c>
      <c r="J2498" t="inlineStr">
        <is>
          <t>Small Fish</t>
        </is>
      </c>
      <c r="K2498" t="inlineStr">
        <is>
          <t>Luqman</t>
        </is>
      </c>
      <c r="L2498" s="4"/>
      <c r="M2498" s="4">
        <v>46115.45292824074</v>
      </c>
      <c r="N2498"/>
      <c r="O2498">
        <v>3888</v>
      </c>
      <c r="P2498" s="4"/>
      <c r="Q2498" s="4"/>
      <c r="R2498"/>
      <c r="S2498"/>
      <c r="T2498" s="4"/>
      <c r="U2498" s="4"/>
      <c r="V2498"/>
      <c r="W2498"/>
      <c r="X2498"/>
      <c r="Y2498" t="inlineStr">
        <is>
          <t>Pending Appointment</t>
        </is>
      </c>
      <c r="Z2498" t="inlineStr">
        <is>
          <t>Hiring Later</t>
        </is>
      </c>
      <c r="AA2498">
        <v>0</v>
      </c>
      <c r="AB2498" t="inlineStr">
        <is>
          <t>No Appointment Made</t>
        </is>
      </c>
      <c r="AC2498"/>
      <c r="AD2498" t="inlineStr">
        <is>
          <t xml:space="preserve">- </t>
        </is>
      </c>
      <c r="AE2498"/>
      <c r="AF2498">
        <v>1200</v>
      </c>
      <c r="AG2498" s="4"/>
      <c r="AH2498" s="4"/>
      <c r="AI2498">
        <v>1200</v>
      </c>
      <c r="AJ2498"/>
      <c r="AK2498" t="inlineStr">
        <is>
          <t>No, I don't need at all</t>
        </is>
      </c>
      <c r="AL2498"/>
      <c r="AM2498"/>
      <c r="AN2498"/>
      <c r="AO2498"/>
      <c r="AP2498" t="inlineStr">
        <is>
          <t>Once a year (25%)</t>
        </is>
      </c>
      <c r="AQ2498"/>
      <c r="AR2498" t="inlineStr">
        <is>
          <t>Free Job Portal</t>
        </is>
      </c>
      <c r="AS2498" t="inlineStr">
        <is>
          <t>- Headcount: 0
- Hiring Job Details: -
- Hiring Urgency: Hiring Later
- Number of outlets: 
- Have recruiter team: No, I don't need at all
- Number of recruiter in company: 
- Have ATS system: 
- Have career website: 
- Current hiring budget: RM1,200
- Whole year budget: RM1,200.00
- Whole year number of vacancies: 
- Hiring frequency: Once a year (25%)
- External job portal: Free Job Portal</t>
        </is>
      </c>
      <c r="AT2498">
        <v>55</v>
      </c>
      <c r="AU2498" t="inlineStr">
        <is>
          <t>0.55</t>
        </is>
      </c>
      <c r="AV2498" t="inlineStr">
        <is>
          <t>15</t>
        </is>
      </c>
      <c r="AW2498" t="inlineStr">
        <is>
          <t>0</t>
        </is>
      </c>
      <c r="AX2498" t="inlineStr">
        <is>
          <t>Not Qualified</t>
        </is>
      </c>
      <c r="AY2498" s="4"/>
      <c r="AZ2498"/>
      <c r="BA2498"/>
      <c r="BB2498"/>
      <c r="BC2498"/>
      <c r="BD2498" s="4"/>
      <c r="BE2498"/>
      <c r="BF2498"/>
      <c r="BG2498" t="inlineStr">
        <is>
          <t>Reschedule</t>
        </is>
      </c>
      <c r="BH2498" t="inlineStr">
        <is>
          <t>Edward Hoo</t>
        </is>
      </c>
      <c r="BI2498"/>
      <c r="BJ2498" s="4">
        <v>46144.755694444444</v>
      </c>
      <c r="BK2498" s="4">
        <v>46114.97016203704</v>
      </c>
      <c r="BL2498" t="inlineStr">
        <is>
          <t>0.0</t>
        </is>
      </c>
      <c r="BM2498" t="inlineStr">
        <is>
          <t>0.0</t>
        </is>
      </c>
      <c r="BN2498"/>
      <c r="BO2498" s="4"/>
      <c r="BP2498">
        <v>165117</v>
      </c>
      <c r="BQ2498"/>
      <c r="BR2498"/>
      <c r="BS2498"/>
      <c r="BT2498"/>
      <c r="BU2498"/>
      <c r="BV2498"/>
      <c r="BW2498"/>
      <c r="BX2498"/>
      <c r="BY2498"/>
      <c r="BZ2498" s="4"/>
      <c r="CA2498"/>
      <c r="CB2498"/>
      <c r="CC2498" s="4"/>
      <c r="CD2498" t="inlineStr">
        <is>
          <t>20</t>
        </is>
      </c>
      <c r="CE2498" t="inlineStr">
        <is>
          <t>0</t>
        </is>
      </c>
      <c r="CF2498" t="inlineStr">
        <is>
          <t>Q2-W01</t>
        </is>
      </c>
      <c r="CG2498"/>
      <c r="CH2498"/>
      <c r="CI2498"/>
      <c r="CJ2498" t="inlineStr">
        <is>
          <t>No Paid</t>
        </is>
      </c>
      <c r="CK2498" t="inlineStr">
        <is>
          <t>Not Eligible</t>
        </is>
      </c>
      <c r="CL2498"/>
      <c r="CM2498"/>
    </row>
    <row r="2499" ht="25.5" customHeight="1">
      <c r="A2499" t="inlineStr">
        <is>
          <t>200620</t>
        </is>
      </c>
      <c r="B2499" s="2"/>
      <c r="C2499"/>
      <c r="D2499" s="3">
        <v>46115.45829861111</v>
      </c>
      <c r="E2499" t="inlineStr">
        <is>
          <t>Q2-W01</t>
        </is>
      </c>
      <c r="F2499" t="inlineStr">
        <is>
          <t>Luqman</t>
        </is>
      </c>
      <c r="G2499" t="inlineStr">
        <is>
          <t>Customer</t>
        </is>
      </c>
      <c r="H2499" s="2" t="str">
        <f>=HYPERLINK("https://upbox.ajobthing.my/customer/200620", "https://upbox.ajobthing.my/customer/200620")</f>
        <v>https://upbox.ajobthing.my/customer/200620</v>
      </c>
      <c r="I2499" t="inlineStr">
        <is>
          <t>Aurerio Plt</t>
        </is>
      </c>
      <c r="J2499" t="inlineStr">
        <is>
          <t>Small Fish</t>
        </is>
      </c>
      <c r="K2499" t="inlineStr">
        <is>
          <t>Luqman</t>
        </is>
      </c>
      <c r="L2499" s="4"/>
      <c r="M2499" s="4">
        <v>46115.457870370374</v>
      </c>
      <c r="N2499"/>
      <c r="O2499">
        <v>1512</v>
      </c>
      <c r="P2499" s="4"/>
      <c r="Q2499" s="4">
        <v>46086.77033564815</v>
      </c>
      <c r="R2499"/>
      <c r="S2499">
        <v>0</v>
      </c>
      <c r="T2499" s="4">
        <v>46045.73608796296</v>
      </c>
      <c r="U2499" s="4"/>
      <c r="V2499"/>
      <c r="W2499">
        <v>864</v>
      </c>
      <c r="X2499"/>
      <c r="Y2499" t="inlineStr">
        <is>
          <t>Pending Appointment</t>
        </is>
      </c>
      <c r="Z2499" t="inlineStr">
        <is>
          <t>Hiring Later</t>
        </is>
      </c>
      <c r="AA2499">
        <v>1</v>
      </c>
      <c r="AB2499" t="inlineStr">
        <is>
          <t>No Appointment Made</t>
        </is>
      </c>
      <c r="AC2499"/>
      <c r="AD2499" t="inlineStr">
        <is>
          <t>1. Teacher</t>
        </is>
      </c>
      <c r="AE2499"/>
      <c r="AF2499">
        <v>1200</v>
      </c>
      <c r="AG2499" s="4"/>
      <c r="AH2499" s="4"/>
      <c r="AI2499">
        <v>1200</v>
      </c>
      <c r="AJ2499"/>
      <c r="AK2499"/>
      <c r="AL2499"/>
      <c r="AM2499"/>
      <c r="AN2499"/>
      <c r="AO2499"/>
      <c r="AP2499" t="inlineStr">
        <is>
          <t>Once a year (25%)</t>
        </is>
      </c>
      <c r="AQ2499">
        <v>1</v>
      </c>
      <c r="AR2499" t="inlineStr">
        <is>
          <t>Free Job Portal</t>
        </is>
      </c>
      <c r="AS2499" t="inlineStr">
        <is>
          <t>- Headcount: 1
- Hiring Job Details: 1 Teacher
- Hiring Urgency: Hiring Later
- Number of outlets: Not specified
- Have recruiter team: Not specified
- Number of recruiter in company: Not specified
- Have ATS system: Not specified
- Have career website: Not specified
- Current hiring budget: RM1,200
- Whole year budget: RM1,200.00
- Whole year number of vacancies: 1
- Hiring frequency: Once a year (25%)
- External job portal: Free Job Portal</t>
        </is>
      </c>
      <c r="AT2499">
        <v>95</v>
      </c>
      <c r="AU2499" t="inlineStr">
        <is>
          <t>0.95</t>
        </is>
      </c>
      <c r="AV2499" t="inlineStr">
        <is>
          <t>15</t>
        </is>
      </c>
      <c r="AW2499" t="inlineStr">
        <is>
          <t>0</t>
        </is>
      </c>
      <c r="AX2499" t="inlineStr">
        <is>
          <t>Not Qualified</t>
        </is>
      </c>
      <c r="AY2499" s="4"/>
      <c r="AZ2499"/>
      <c r="BA2499"/>
      <c r="BB2499"/>
      <c r="BC2499" t="inlineStr">
        <is>
          <t>Business utilize free portal - Unresponsive and unlikely to proceed</t>
        </is>
      </c>
      <c r="BD2499" s="4">
        <v>46126.602800925924</v>
      </c>
      <c r="BE2499" t="inlineStr">
        <is>
          <t>paid</t>
        </is>
      </c>
      <c r="BF2499" t="inlineStr">
        <is>
          <t>Q1-W04</t>
        </is>
      </c>
      <c r="BG2499" t="inlineStr">
        <is>
          <t>Reschedule</t>
        </is>
      </c>
      <c r="BH2499" t="inlineStr">
        <is>
          <t>Edward Hoo</t>
        </is>
      </c>
      <c r="BI2499" t="inlineStr">
        <is>
          <t>Education / Training</t>
        </is>
      </c>
      <c r="BJ2499" s="4">
        <v>46144.75361111111</v>
      </c>
      <c r="BK2499" s="4">
        <v>46045.64945601852</v>
      </c>
      <c r="BL2499" t="inlineStr">
        <is>
          <t>864.0</t>
        </is>
      </c>
      <c r="BM2499" t="inlineStr">
        <is>
          <t>0.0</t>
        </is>
      </c>
      <c r="BN2499" t="inlineStr">
        <is>
          <t>View Jobmanager Page</t>
        </is>
      </c>
      <c r="BO2499" s="4">
        <v>46097.42469907407</v>
      </c>
      <c r="BP2499">
        <v>165120</v>
      </c>
      <c r="BQ2499">
        <v>116139</v>
      </c>
      <c r="BR2499" t="inlineStr">
        <is>
          <t>Proforma</t>
        </is>
      </c>
      <c r="BS2499" t="inlineStr">
        <is>
          <t>Free Part-Time Job</t>
        </is>
      </c>
      <c r="BT2499">
        <v>86019</v>
      </c>
      <c r="BU2499"/>
      <c r="BV2499">
        <v>2703644</v>
      </c>
      <c r="BW2499" t="inlineStr">
        <is>
          <t>Follow Up : Lost - Free Portal</t>
        </is>
      </c>
      <c r="BX2499"/>
      <c r="BY2499"/>
      <c r="BZ2499" s="4"/>
      <c r="CA2499"/>
      <c r="CB2499"/>
      <c r="CC2499" s="4"/>
      <c r="CD2499" t="inlineStr">
        <is>
          <t>20</t>
        </is>
      </c>
      <c r="CE2499" t="inlineStr">
        <is>
          <t>0</t>
        </is>
      </c>
      <c r="CF2499" t="inlineStr">
        <is>
          <t>Q2-W01</t>
        </is>
      </c>
      <c r="CG2499" t="inlineStr">
        <is>
          <t>Q1-W09</t>
        </is>
      </c>
      <c r="CH2499" t="inlineStr">
        <is>
          <t>Q1-W04</t>
        </is>
      </c>
      <c r="CI2499"/>
      <c r="CJ2499" t="inlineStr">
        <is>
          <t>Paid</t>
        </is>
      </c>
      <c r="CK2499" t="inlineStr">
        <is>
          <t>Not Eligible</t>
        </is>
      </c>
      <c r="CL2499"/>
      <c r="CM2499"/>
    </row>
    <row r="2500" ht="25.5" customHeight="1">
      <c r="A2500" t="inlineStr">
        <is>
          <t>199049</t>
        </is>
      </c>
      <c r="B2500" s="2"/>
      <c r="C2500"/>
      <c r="D2500" s="3">
        <v>46115.46030092592</v>
      </c>
      <c r="E2500" t="inlineStr">
        <is>
          <t>Q2-W01</t>
        </is>
      </c>
      <c r="F2500" t="inlineStr">
        <is>
          <t>Xin Quan</t>
        </is>
      </c>
      <c r="G2500" t="inlineStr">
        <is>
          <t>Customer</t>
        </is>
      </c>
      <c r="H2500" s="2" t="str">
        <f>=HYPERLINK("https://upbox.ajobthing.my/customer/199049", "https://upbox.ajobthing.my/customer/199049")</f>
        <v>https://upbox.ajobthing.my/customer/199049</v>
      </c>
      <c r="I2500" t="inlineStr">
        <is>
          <t>Blue Ocean Holiday Sdn Bhd</t>
        </is>
      </c>
      <c r="J2500" t="inlineStr">
        <is>
          <t>Small Fish</t>
        </is>
      </c>
      <c r="K2500" t="inlineStr">
        <is>
          <t>Xin Quan</t>
        </is>
      </c>
      <c r="L2500" s="4"/>
      <c r="M2500" s="4">
        <v>46115.45990740741</v>
      </c>
      <c r="N2500"/>
      <c r="O2500">
        <v>864</v>
      </c>
      <c r="P2500" s="4"/>
      <c r="Q2500" s="4"/>
      <c r="R2500"/>
      <c r="S2500"/>
      <c r="T2500" s="4"/>
      <c r="U2500" s="4"/>
      <c r="V2500"/>
      <c r="W2500"/>
      <c r="X2500"/>
      <c r="Y2500" t="inlineStr">
        <is>
          <t>Pending Appointment</t>
        </is>
      </c>
      <c r="Z2500" t="inlineStr">
        <is>
          <t>Hiring Now</t>
        </is>
      </c>
      <c r="AA2500">
        <v>1</v>
      </c>
      <c r="AB2500" t="inlineStr">
        <is>
          <t>No Appointment Made</t>
        </is>
      </c>
      <c r="AC2500"/>
      <c r="AD2500" t="inlineStr">
        <is>
          <t>1 Sales , Base in KL</t>
        </is>
      </c>
      <c r="AE2500"/>
      <c r="AF2500">
        <v>2000</v>
      </c>
      <c r="AG2500" s="4"/>
      <c r="AH2500" s="4"/>
      <c r="AI2500">
        <v>24000</v>
      </c>
      <c r="AJ2500">
        <v>1</v>
      </c>
      <c r="AK2500"/>
      <c r="AL2500"/>
      <c r="AM2500"/>
      <c r="AN2500"/>
      <c r="AO2500"/>
      <c r="AP2500"/>
      <c r="AQ2500">
        <v>1</v>
      </c>
      <c r="AR2500"/>
      <c r="AS2500" t="inlineStr">
        <is>
          <t>- Headcount: 1
- Hiring Job Details: 1 Sales,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2500">
        <v>100</v>
      </c>
      <c r="AU2500" t="inlineStr">
        <is>
          <t>1.00</t>
        </is>
      </c>
      <c r="AV2500" t="inlineStr">
        <is>
          <t>15</t>
        </is>
      </c>
      <c r="AW2500" t="inlineStr">
        <is>
          <t>0</t>
        </is>
      </c>
      <c r="AX2500" t="inlineStr">
        <is>
          <t>Not Qualified</t>
        </is>
      </c>
      <c r="AY2500" s="4"/>
      <c r="AZ2500"/>
      <c r="BA2500"/>
      <c r="BB2500"/>
      <c r="BC2500" t="inlineStr">
        <is>
          <t>Done hire use FREE , NH + 800 also Expensive</t>
        </is>
      </c>
      <c r="BD2500" s="4">
        <v>46126.650185185186</v>
      </c>
      <c r="BE2500"/>
      <c r="BF2500"/>
      <c r="BG2500" t="inlineStr">
        <is>
          <t>Reschedule</t>
        </is>
      </c>
      <c r="BH2500" t="inlineStr">
        <is>
          <t>Edward Hoo</t>
        </is>
      </c>
      <c r="BI2500" t="inlineStr">
        <is>
          <t>Travel / Tourism</t>
        </is>
      </c>
      <c r="BJ2500" s="4">
        <v>46144.753229166665</v>
      </c>
      <c r="BK2500" s="4">
        <v>45995.67190972222</v>
      </c>
      <c r="BL2500" t="inlineStr">
        <is>
          <t>0.0</t>
        </is>
      </c>
      <c r="BM2500" t="inlineStr">
        <is>
          <t>0.0</t>
        </is>
      </c>
      <c r="BN2500" t="inlineStr">
        <is>
          <t>User Visit(Logged In)</t>
        </is>
      </c>
      <c r="BO2500" s="4">
        <v>46129.433703703704</v>
      </c>
      <c r="BP2500">
        <v>165125</v>
      </c>
      <c r="BQ2500"/>
      <c r="BR2500"/>
      <c r="BS2500"/>
      <c r="BT2500"/>
      <c r="BU2500"/>
      <c r="BV2500">
        <v>2703951</v>
      </c>
      <c r="BW2500" t="inlineStr">
        <is>
          <t>Inquire for Hiring Needs : Budget Concern</t>
        </is>
      </c>
      <c r="BX2500"/>
      <c r="BY2500"/>
      <c r="BZ2500" s="4"/>
      <c r="CA2500"/>
      <c r="CB2500"/>
      <c r="CC2500" s="4"/>
      <c r="CD2500" t="inlineStr">
        <is>
          <t>20</t>
        </is>
      </c>
      <c r="CE2500" t="inlineStr">
        <is>
          <t>0</t>
        </is>
      </c>
      <c r="CF2500" t="inlineStr">
        <is>
          <t>Q2-W01</t>
        </is>
      </c>
      <c r="CG2500"/>
      <c r="CH2500"/>
      <c r="CI2500"/>
      <c r="CJ2500" t="inlineStr">
        <is>
          <t>No Paid</t>
        </is>
      </c>
      <c r="CK2500" t="inlineStr">
        <is>
          <t>Not Eligible</t>
        </is>
      </c>
      <c r="CL2500"/>
      <c r="CM2500"/>
    </row>
    <row r="2501" ht="25.5" customHeight="1">
      <c r="A2501" t="inlineStr">
        <is>
          <t>202345</t>
        </is>
      </c>
      <c r="B2501" s="2"/>
      <c r="C2501"/>
      <c r="D2501" s="3">
        <v>46115.46366898148</v>
      </c>
      <c r="E2501" t="inlineStr">
        <is>
          <t>Q2-W01</t>
        </is>
      </c>
      <c r="F2501" t="inlineStr">
        <is>
          <t>Lucas</t>
        </is>
      </c>
      <c r="G2501" t="inlineStr">
        <is>
          <t>Customer</t>
        </is>
      </c>
      <c r="H2501" s="2" t="str">
        <f>=HYPERLINK("https://upbox.ajobthing.my/customer/202345", "https://upbox.ajobthing.my/customer/202345")</f>
        <v>https://upbox.ajobthing.my/customer/202345</v>
      </c>
      <c r="I2501" t="inlineStr">
        <is>
          <t xml:space="preserve">Inch Graphics (M) Sdn Bhd </t>
        </is>
      </c>
      <c r="J2501" t="inlineStr">
        <is>
          <t>Small Fish</t>
        </is>
      </c>
      <c r="K2501" t="inlineStr">
        <is>
          <t>Lucas</t>
        </is>
      </c>
      <c r="L2501" s="4"/>
      <c r="M2501" s="4">
        <v>46141.622615740744</v>
      </c>
      <c r="N2501"/>
      <c r="O2501">
        <v>3576.96</v>
      </c>
      <c r="P2501" s="4"/>
      <c r="Q2501" s="4"/>
      <c r="R2501"/>
      <c r="S2501"/>
      <c r="T2501" s="4"/>
      <c r="U2501" s="4"/>
      <c r="V2501"/>
      <c r="W2501"/>
      <c r="X2501"/>
      <c r="Y2501" t="inlineStr">
        <is>
          <t>Pending Appointment</t>
        </is>
      </c>
      <c r="Z2501" t="inlineStr">
        <is>
          <t>Hiring Now</t>
        </is>
      </c>
      <c r="AA2501">
        <v>1</v>
      </c>
      <c r="AB2501" t="inlineStr">
        <is>
          <t>No Appointment Made</t>
        </is>
      </c>
      <c r="AC2501"/>
      <c r="AD2501" t="inlineStr">
        <is>
          <t xml:space="preserve">1 designer </t>
        </is>
      </c>
      <c r="AE2501"/>
      <c r="AF2501">
        <v>0</v>
      </c>
      <c r="AG2501" s="4"/>
      <c r="AH2501" s="4"/>
      <c r="AI2501">
        <v>0</v>
      </c>
      <c r="AJ2501">
        <v>0</v>
      </c>
      <c r="AK2501" t="inlineStr">
        <is>
          <t>No, I don't need at all</t>
        </is>
      </c>
      <c r="AL2501">
        <v>0</v>
      </c>
      <c r="AM2501" t="inlineStr">
        <is>
          <t>No, I don't need at all</t>
        </is>
      </c>
      <c r="AN2501"/>
      <c r="AO2501" t="inlineStr">
        <is>
          <t>No, I don't need at all</t>
        </is>
      </c>
      <c r="AP2501" t="inlineStr">
        <is>
          <t>Once a year (25%)</t>
        </is>
      </c>
      <c r="AQ2501">
        <v>1</v>
      </c>
      <c r="AR2501" t="inlineStr">
        <is>
          <t>Did not use any job portal</t>
        </is>
      </c>
      <c r="AS2501" t="inlineStr">
        <is>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01">
        <v>110</v>
      </c>
      <c r="AU2501" t="inlineStr">
        <is>
          <t>1.10</t>
        </is>
      </c>
      <c r="AV2501" t="inlineStr">
        <is>
          <t>15</t>
        </is>
      </c>
      <c r="AW2501" t="inlineStr">
        <is>
          <t>0</t>
        </is>
      </c>
      <c r="AX2501" t="inlineStr">
        <is>
          <t>Not Qualified</t>
        </is>
      </c>
      <c r="AY2501" s="4"/>
      <c r="AZ2501"/>
      <c r="BA2501"/>
      <c r="BB2501"/>
      <c r="BC2501" t="inlineStr">
        <is>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BD2501" s="4">
        <v>46141.6250462963</v>
      </c>
      <c r="BE2501"/>
      <c r="BF2501"/>
      <c r="BG2501" t="inlineStr">
        <is>
          <t>Reschedule</t>
        </is>
      </c>
      <c r="BH2501" t="inlineStr">
        <is>
          <t>Yee Hang</t>
        </is>
      </c>
      <c r="BI2501"/>
      <c r="BJ2501" s="4">
        <v>46144.75400462963</v>
      </c>
      <c r="BK2501" s="4">
        <v>46104.6459375</v>
      </c>
      <c r="BL2501" t="inlineStr">
        <is>
          <t>0.0</t>
        </is>
      </c>
      <c r="BM2501" t="inlineStr">
        <is>
          <t>0.0</t>
        </is>
      </c>
      <c r="BN2501" t="inlineStr">
        <is>
          <t>View Company Page</t>
        </is>
      </c>
      <c r="BO2501" s="4">
        <v>46104.79980324074</v>
      </c>
      <c r="BP2501">
        <v>169526</v>
      </c>
      <c r="BQ2501"/>
      <c r="BR2501"/>
      <c r="BS2501"/>
      <c r="BT2501"/>
      <c r="BU2501"/>
      <c r="BV2501">
        <v>2735498</v>
      </c>
      <c r="BW2501" t="inlineStr">
        <is>
          <t>Customer Inquiry</t>
        </is>
      </c>
      <c r="BX2501"/>
      <c r="BY2501"/>
      <c r="BZ2501" s="4"/>
      <c r="CA2501"/>
      <c r="CB2501"/>
      <c r="CC2501" s="4"/>
      <c r="CD2501" t="inlineStr">
        <is>
          <t>20</t>
        </is>
      </c>
      <c r="CE2501" t="inlineStr">
        <is>
          <t>0</t>
        </is>
      </c>
      <c r="CF2501" t="inlineStr">
        <is>
          <t>Q2-W04</t>
        </is>
      </c>
      <c r="CG2501"/>
      <c r="CH2501"/>
      <c r="CI2501"/>
      <c r="CJ2501" t="inlineStr">
        <is>
          <t>No Paid</t>
        </is>
      </c>
      <c r="CK2501" t="inlineStr">
        <is>
          <t>Not Eligible</t>
        </is>
      </c>
      <c r="CL2501"/>
      <c r="CM2501"/>
    </row>
    <row r="2502" ht="25.5" customHeight="1">
      <c r="A2502" t="inlineStr">
        <is>
          <t>4236209</t>
        </is>
      </c>
      <c r="B2502" s="2"/>
      <c r="C2502"/>
      <c r="D2502" s="3">
        <v>46115.46740740741</v>
      </c>
      <c r="E2502" t="inlineStr">
        <is>
          <t>Q2-W01</t>
        </is>
      </c>
      <c r="F2502" t="inlineStr">
        <is>
          <t>Luqman</t>
        </is>
      </c>
      <c r="G2502" t="inlineStr">
        <is>
          <t>Lead</t>
        </is>
      </c>
      <c r="H2502" s="2" t="str">
        <f>=HYPERLINK("https://upbox.ajobthing.my/leads/4236209", "https://upbox.ajobthing.my/leads/4236209")</f>
        <v>https://upbox.ajobthing.my/leads/4236209</v>
      </c>
      <c r="I2502" t="inlineStr">
        <is>
          <t>COMPANY</t>
        </is>
      </c>
      <c r="J2502" t="inlineStr">
        <is>
          <t>Small Fish</t>
        </is>
      </c>
      <c r="K2502" t="inlineStr">
        <is>
          <t>Luqman</t>
        </is>
      </c>
      <c r="L2502" s="4"/>
      <c r="M2502" s="4">
        <v>46115.469722222224</v>
      </c>
      <c r="N2502"/>
      <c r="O2502">
        <v>3888</v>
      </c>
      <c r="P2502" s="4"/>
      <c r="Q2502" s="4"/>
      <c r="R2502"/>
      <c r="S2502"/>
      <c r="T2502" s="4"/>
      <c r="U2502" s="4"/>
      <c r="V2502"/>
      <c r="W2502"/>
      <c r="X2502"/>
      <c r="Y2502" t="inlineStr">
        <is>
          <t>Pending Appointment</t>
        </is>
      </c>
      <c r="Z2502" t="inlineStr">
        <is>
          <t>Hiring Later</t>
        </is>
      </c>
      <c r="AA2502">
        <v>3</v>
      </c>
      <c r="AB2502" t="inlineStr">
        <is>
          <t>No Appointment Made</t>
        </is>
      </c>
      <c r="AC2502"/>
      <c r="AD2502" t="inlineStr">
        <is>
          <t>1. Cleaner 2. Production 3. Admin</t>
        </is>
      </c>
      <c r="AE2502"/>
      <c r="AF2502">
        <v>800</v>
      </c>
      <c r="AG2502" s="4"/>
      <c r="AH2502" s="4"/>
      <c r="AI2502">
        <v>600</v>
      </c>
      <c r="AJ2502"/>
      <c r="AK2502" t="inlineStr">
        <is>
          <t>No, I don't need at all</t>
        </is>
      </c>
      <c r="AL2502"/>
      <c r="AM2502"/>
      <c r="AN2502"/>
      <c r="AO2502"/>
      <c r="AP2502" t="inlineStr">
        <is>
          <t>Once a year (25%)</t>
        </is>
      </c>
      <c r="AQ2502">
        <v>3</v>
      </c>
      <c r="AR2502" t="inlineStr">
        <is>
          <t>Free Job Portal</t>
        </is>
      </c>
      <c r="AS2502" t="inlineStr">
        <is>
          <t>- Headcount: 3
- Hiring Job Details: 1. Cleaner 2. Production 3. Admin
- Hiring Urgency: Hiring Later
- Number of outlets: Not available
- Have recruiter team: No, I don't need at all
- Number of recruiter in company: Not available
- Have ATS system: Not available
- Have career website: Not available
- Current hiring budget: RM800
- Whole year budget: RM600.00
- Whole year number of vacancies: 3
- Hiring frequency: Once a year (25%)
- External job portal: Free Job Portal</t>
        </is>
      </c>
      <c r="AT2502">
        <v>75</v>
      </c>
      <c r="AU2502" t="inlineStr">
        <is>
          <t>0.75</t>
        </is>
      </c>
      <c r="AV2502" t="inlineStr">
        <is>
          <t>15</t>
        </is>
      </c>
      <c r="AW2502" t="inlineStr">
        <is>
          <t>0</t>
        </is>
      </c>
      <c r="AX2502" t="inlineStr">
        <is>
          <t>Not Qualified</t>
        </is>
      </c>
      <c r="AY2502" s="4"/>
      <c r="AZ2502"/>
      <c r="BA2502"/>
      <c r="BB2502"/>
      <c r="BC2502"/>
      <c r="BD2502" s="4"/>
      <c r="BE2502"/>
      <c r="BF2502"/>
      <c r="BG2502" t="inlineStr">
        <is>
          <t>Reschedule</t>
        </is>
      </c>
      <c r="BH2502" t="inlineStr">
        <is>
          <t>Edward Hoo</t>
        </is>
      </c>
      <c r="BI2502"/>
      <c r="BJ2502" s="4">
        <v>46144.755694444444</v>
      </c>
      <c r="BK2502" s="4">
        <v>46115.35734953704</v>
      </c>
      <c r="BL2502" t="inlineStr">
        <is>
          <t>0.0</t>
        </is>
      </c>
      <c r="BM2502" t="inlineStr">
        <is>
          <t>0.0</t>
        </is>
      </c>
      <c r="BN2502"/>
      <c r="BO2502" s="4"/>
      <c r="BP2502">
        <v>165137</v>
      </c>
      <c r="BQ2502"/>
      <c r="BR2502"/>
      <c r="BS2502"/>
      <c r="BT2502"/>
      <c r="BU2502"/>
      <c r="BV2502"/>
      <c r="BW2502"/>
      <c r="BX2502"/>
      <c r="BY2502"/>
      <c r="BZ2502" s="4"/>
      <c r="CA2502"/>
      <c r="CB2502"/>
      <c r="CC2502" s="4"/>
      <c r="CD2502" t="inlineStr">
        <is>
          <t>20</t>
        </is>
      </c>
      <c r="CE2502" t="inlineStr">
        <is>
          <t>0</t>
        </is>
      </c>
      <c r="CF2502" t="inlineStr">
        <is>
          <t>Q2-W01</t>
        </is>
      </c>
      <c r="CG2502"/>
      <c r="CH2502"/>
      <c r="CI2502"/>
      <c r="CJ2502" t="inlineStr">
        <is>
          <t>No Paid</t>
        </is>
      </c>
      <c r="CK2502" t="inlineStr">
        <is>
          <t>Not Eligible</t>
        </is>
      </c>
      <c r="CL2502"/>
      <c r="CM2502"/>
    </row>
    <row r="2503" ht="25.5" customHeight="1">
      <c r="A2503" t="inlineStr">
        <is>
          <t>4237172</t>
        </is>
      </c>
      <c r="B2503" s="2"/>
      <c r="C2503"/>
      <c r="D2503" s="3">
        <v>46115.47219907407</v>
      </c>
      <c r="E2503" t="inlineStr">
        <is>
          <t>Q2-W01</t>
        </is>
      </c>
      <c r="F2503" t="inlineStr">
        <is>
          <t>Eugene</t>
        </is>
      </c>
      <c r="G2503" t="inlineStr">
        <is>
          <t>Lead</t>
        </is>
      </c>
      <c r="H2503" s="2" t="str">
        <f>=HYPERLINK("https://upbox.ajobthing.my/leads/4237172", "https://upbox.ajobthing.my/leads/4237172")</f>
        <v>https://upbox.ajobthing.my/leads/4237172</v>
      </c>
      <c r="I2503" t="inlineStr">
        <is>
          <t>FELLAS FOOD &amp; BEVERAGE SDN. BHD.</t>
        </is>
      </c>
      <c r="J2503" t="inlineStr">
        <is>
          <t>Small Fish</t>
        </is>
      </c>
      <c r="K2503" t="inlineStr">
        <is>
          <t>Eugene</t>
        </is>
      </c>
      <c r="L2503" s="4"/>
      <c r="M2503" s="4">
        <v>46115.471030092594</v>
      </c>
      <c r="N2503"/>
      <c r="O2503">
        <v>1296</v>
      </c>
      <c r="P2503" s="4"/>
      <c r="Q2503" s="4"/>
      <c r="R2503"/>
      <c r="S2503"/>
      <c r="T2503" s="4"/>
      <c r="U2503" s="4"/>
      <c r="V2503"/>
      <c r="W2503"/>
      <c r="X2503"/>
      <c r="Y2503" t="inlineStr">
        <is>
          <t>Pending Appointment</t>
        </is>
      </c>
      <c r="Z2503" t="inlineStr">
        <is>
          <t>Hiring Now</t>
        </is>
      </c>
      <c r="AA2503">
        <v>2</v>
      </c>
      <c r="AB2503" t="inlineStr">
        <is>
          <t>No Appointment Made</t>
        </is>
      </c>
      <c r="AC2503"/>
      <c r="AD2503" t="inlineStr">
        <is>
          <t>2 service crew, based in Shah Alam</t>
        </is>
      </c>
      <c r="AE2503"/>
      <c r="AF2503">
        <v>1200</v>
      </c>
      <c r="AG2503" s="4"/>
      <c r="AH2503" s="4"/>
      <c r="AI2503">
        <v>1200</v>
      </c>
      <c r="AJ2503">
        <v>4</v>
      </c>
      <c r="AK2503" t="inlineStr">
        <is>
          <t>No, I don't need at all</t>
        </is>
      </c>
      <c r="AL2503">
        <v>0</v>
      </c>
      <c r="AM2503" t="inlineStr">
        <is>
          <t>No, I don't need at all</t>
        </is>
      </c>
      <c r="AN2503"/>
      <c r="AO2503" t="inlineStr">
        <is>
          <t>No, I don't need at all</t>
        </is>
      </c>
      <c r="AP2503" t="inlineStr">
        <is>
          <t>Once a year (25%)</t>
        </is>
      </c>
      <c r="AQ2503">
        <v>2</v>
      </c>
      <c r="AR2503" t="inlineStr">
        <is>
          <t>Did not use any job portal</t>
        </is>
      </c>
      <c r="AS2503" t="inlineStr">
        <is>
          <t>- Headcount: 2
- Hiring Job Details: 2 service crew, based in Shah Alam
- Hiring Urgency: Hiring Now
- Number of outlets: 4
- Have recruiter team: No, I don't need at all
- Number of recruiter in company: 0
- Have ATS system: No, I don't need at all
- Have career website: No, I don't need at all
- Current hiring budget: RM1,200
- Whole year budget: RM1,200.00
- Whole year number of vacancies: 2
- Hiring frequency: Once a year (25%)
- External job portal: Did not use any job portal</t>
        </is>
      </c>
      <c r="AT2503">
        <v>115</v>
      </c>
      <c r="AU2503" t="inlineStr">
        <is>
          <t>1.15</t>
        </is>
      </c>
      <c r="AV2503" t="inlineStr">
        <is>
          <t>15</t>
        </is>
      </c>
      <c r="AW2503" t="inlineStr">
        <is>
          <t>0</t>
        </is>
      </c>
      <c r="AX2503" t="inlineStr">
        <is>
          <t>Not Qualified</t>
        </is>
      </c>
      <c r="AY2503" s="4"/>
      <c r="AZ2503"/>
      <c r="BA2503"/>
      <c r="BB2503"/>
      <c r="BC2503"/>
      <c r="BD2503" s="4"/>
      <c r="BE2503"/>
      <c r="BF2503"/>
      <c r="BG2503" t="inlineStr">
        <is>
          <t>Reschedule</t>
        </is>
      </c>
      <c r="BH2503" t="inlineStr">
        <is>
          <t>Edward Hoo</t>
        </is>
      </c>
      <c r="BI2503"/>
      <c r="BJ2503" s="4">
        <v>46144.75571759259</v>
      </c>
      <c r="BK2503" s="4">
        <v>46115.4565625</v>
      </c>
      <c r="BL2503" t="inlineStr">
        <is>
          <t>0.0</t>
        </is>
      </c>
      <c r="BM2503" t="inlineStr">
        <is>
          <t>0.0</t>
        </is>
      </c>
      <c r="BN2503"/>
      <c r="BO2503" s="4"/>
      <c r="BP2503">
        <v>165138</v>
      </c>
      <c r="BQ2503"/>
      <c r="BR2503"/>
      <c r="BS2503"/>
      <c r="BT2503"/>
      <c r="BU2503"/>
      <c r="BV2503"/>
      <c r="BW2503"/>
      <c r="BX2503"/>
      <c r="BY2503"/>
      <c r="BZ2503" s="4"/>
      <c r="CA2503"/>
      <c r="CB2503"/>
      <c r="CC2503" s="4"/>
      <c r="CD2503" t="inlineStr">
        <is>
          <t>20</t>
        </is>
      </c>
      <c r="CE2503" t="inlineStr">
        <is>
          <t>0</t>
        </is>
      </c>
      <c r="CF2503" t="inlineStr">
        <is>
          <t>Q2-W01</t>
        </is>
      </c>
      <c r="CG2503"/>
      <c r="CH2503"/>
      <c r="CI2503"/>
      <c r="CJ2503" t="inlineStr">
        <is>
          <t>No Paid</t>
        </is>
      </c>
      <c r="CK2503" t="inlineStr">
        <is>
          <t>Not Eligible</t>
        </is>
      </c>
      <c r="CL2503"/>
      <c r="CM2503"/>
    </row>
    <row r="2504" ht="25.5" customHeight="1">
      <c r="A2504" t="inlineStr">
        <is>
          <t>196720</t>
        </is>
      </c>
      <c r="B2504" s="2"/>
      <c r="C2504"/>
      <c r="D2504" s="3">
        <v>46115.4853125</v>
      </c>
      <c r="E2504" t="inlineStr">
        <is>
          <t>Q2-W01</t>
        </is>
      </c>
      <c r="F2504" t="inlineStr">
        <is>
          <t>Luqman</t>
        </is>
      </c>
      <c r="G2504" t="inlineStr">
        <is>
          <t>Customer</t>
        </is>
      </c>
      <c r="H2504" s="2" t="str">
        <f>=HYPERLINK("https://upbox.ajobthing.my/customer/196720", "https://upbox.ajobthing.my/customer/196720")</f>
        <v>https://upbox.ajobthing.my/customer/196720</v>
      </c>
      <c r="I2504" t="inlineStr">
        <is>
          <t xml:space="preserve">Jm Advanced Technology Sdn Bhd </t>
        </is>
      </c>
      <c r="J2504" t="inlineStr">
        <is>
          <t>Small Fish</t>
        </is>
      </c>
      <c r="K2504" t="inlineStr">
        <is>
          <t>Luqman</t>
        </is>
      </c>
      <c r="L2504" s="4"/>
      <c r="M2504" s="4">
        <v>46115.48541666667</v>
      </c>
      <c r="N2504"/>
      <c r="O2504">
        <v>3888</v>
      </c>
      <c r="P2504" s="4"/>
      <c r="Q2504" s="4">
        <v>46066.91074074074</v>
      </c>
      <c r="R2504"/>
      <c r="S2504">
        <v>0</v>
      </c>
      <c r="T2504" s="4"/>
      <c r="U2504" s="4"/>
      <c r="V2504"/>
      <c r="W2504"/>
      <c r="X2504"/>
      <c r="Y2504" t="inlineStr">
        <is>
          <t>Pending Appointment</t>
        </is>
      </c>
      <c r="Z2504" t="inlineStr">
        <is>
          <t>Hiring Later</t>
        </is>
      </c>
      <c r="AA2504">
        <v>1</v>
      </c>
      <c r="AB2504" t="inlineStr">
        <is>
          <t>No Appointment Made</t>
        </is>
      </c>
      <c r="AC2504"/>
      <c r="AD2504" t="inlineStr">
        <is>
          <t>1. Admin</t>
        </is>
      </c>
      <c r="AE2504"/>
      <c r="AF2504">
        <v>800</v>
      </c>
      <c r="AG2504" s="4"/>
      <c r="AH2504" s="4"/>
      <c r="AI2504">
        <v>800</v>
      </c>
      <c r="AJ2504"/>
      <c r="AK2504" t="inlineStr">
        <is>
          <t>No, but I want in future</t>
        </is>
      </c>
      <c r="AL2504"/>
      <c r="AM2504"/>
      <c r="AN2504"/>
      <c r="AO2504"/>
      <c r="AP2504" t="inlineStr">
        <is>
          <t>Once a year (25%)</t>
        </is>
      </c>
      <c r="AQ2504">
        <v>1</v>
      </c>
      <c r="AR2504" t="inlineStr">
        <is>
          <t>Free Job Portal</t>
        </is>
      </c>
      <c r="AS2504" t="inlineStr">
        <is>
          <t>- Headcount: 1
- Hiring Job Details: 1 Admin
- Hiring Urgency: Hiring Later
- Number of outlets: Not available
- Have recruiter team: No, but I want in future
- Number of recruiter in company: Not available
- Have ATS system: Not available
- Have career website: Not available
- Current hiring budget: RM800
- Whole year budget: RM800.00
- Whole year number of vacancies: 1
- Hiring frequency: Once a year (25%)
- External job portal: Free Job Portal</t>
        </is>
      </c>
      <c r="AT2504">
        <v>105</v>
      </c>
      <c r="AU2504" t="inlineStr">
        <is>
          <t>1.05</t>
        </is>
      </c>
      <c r="AV2504" t="inlineStr">
        <is>
          <t>15</t>
        </is>
      </c>
      <c r="AW2504" t="inlineStr">
        <is>
          <t>0</t>
        </is>
      </c>
      <c r="AX2504" t="inlineStr">
        <is>
          <t>Not Qualified</t>
        </is>
      </c>
      <c r="AY2504" s="4"/>
      <c r="AZ2504"/>
      <c r="BA2504"/>
      <c r="BB2504"/>
      <c r="BC2504" t="inlineStr">
        <is>
          <t>- Headcount: 1
- Hiring Job Details: 1 Admin
- Hiring Urgency: Hiring Later
- Number of outlets: Not available
- Have recruiter team: No, but I want in future
- Number of recruiter in company: Not available
- Have ATS system: Not available
- Have career website: Not available
- Current hiring budget: RM800
- Whole year budget: RM800.00
- Whole year number of vacancies: 1
- Hiring frequency: Once a year (25%)
- External job portal: Free Job Portal</t>
        </is>
      </c>
      <c r="BD2504" s="4">
        <v>46115.5000462963</v>
      </c>
      <c r="BE2504" t="inlineStr">
        <is>
          <t>paid</t>
        </is>
      </c>
      <c r="BF2504"/>
      <c r="BG2504" t="inlineStr">
        <is>
          <t>Reschedule</t>
        </is>
      </c>
      <c r="BH2504" t="inlineStr">
        <is>
          <t>Edward Hoo</t>
        </is>
      </c>
      <c r="BI2504"/>
      <c r="BJ2504" s="4">
        <v>46144.752858796295</v>
      </c>
      <c r="BK2504" s="4">
        <v>45930.733402777776</v>
      </c>
      <c r="BL2504" t="inlineStr">
        <is>
          <t>0.0</t>
        </is>
      </c>
      <c r="BM2504" t="inlineStr">
        <is>
          <t>0.0</t>
        </is>
      </c>
      <c r="BN2504" t="inlineStr">
        <is>
          <t>View Create Job Page</t>
        </is>
      </c>
      <c r="BO2504" s="4">
        <v>45931.74732638889</v>
      </c>
      <c r="BP2504">
        <v>165152</v>
      </c>
      <c r="BQ2504">
        <v>115432</v>
      </c>
      <c r="BR2504" t="inlineStr">
        <is>
          <t>Proforma</t>
        </is>
      </c>
      <c r="BS2504" t="inlineStr">
        <is>
          <t>Free Internship Job</t>
        </is>
      </c>
      <c r="BT2504"/>
      <c r="BU2504"/>
      <c r="BV2504">
        <v>2682453</v>
      </c>
      <c r="BW2504" t="inlineStr">
        <is>
          <t>Customer Inquiry</t>
        </is>
      </c>
      <c r="BX2504"/>
      <c r="BY2504"/>
      <c r="BZ2504" s="4"/>
      <c r="CA2504"/>
      <c r="CB2504"/>
      <c r="CC2504" s="4"/>
      <c r="CD2504" t="inlineStr">
        <is>
          <t>20</t>
        </is>
      </c>
      <c r="CE2504" t="inlineStr">
        <is>
          <t>0</t>
        </is>
      </c>
      <c r="CF2504" t="inlineStr">
        <is>
          <t>Q2-W01</t>
        </is>
      </c>
      <c r="CG2504" t="inlineStr">
        <is>
          <t>Q1-W07</t>
        </is>
      </c>
      <c r="CH2504"/>
      <c r="CI2504"/>
      <c r="CJ2504" t="inlineStr">
        <is>
          <t>No Paid</t>
        </is>
      </c>
      <c r="CK2504" t="inlineStr">
        <is>
          <t>Not Eligible</t>
        </is>
      </c>
      <c r="CL2504"/>
      <c r="CM2504"/>
    </row>
    <row r="2505" ht="25.5" customHeight="1">
      <c r="A2505" t="inlineStr">
        <is>
          <t>195334</t>
        </is>
      </c>
      <c r="B2505" s="2"/>
      <c r="C2505"/>
      <c r="D2505" s="3">
        <v>46115.49574074074</v>
      </c>
      <c r="E2505" t="inlineStr">
        <is>
          <t>Q2-W01</t>
        </is>
      </c>
      <c r="F2505" t="inlineStr">
        <is>
          <t>Luqman</t>
        </is>
      </c>
      <c r="G2505" t="inlineStr">
        <is>
          <t>Customer</t>
        </is>
      </c>
      <c r="H2505" s="2" t="str">
        <f>=HYPERLINK("https://upbox.ajobthing.my/customer/195334", "https://upbox.ajobthing.my/customer/195334")</f>
        <v>https://upbox.ajobthing.my/customer/195334</v>
      </c>
      <c r="I2505" t="inlineStr">
        <is>
          <t>Double Joy Thai House</t>
        </is>
      </c>
      <c r="J2505" t="inlineStr">
        <is>
          <t>Small Fish</t>
        </is>
      </c>
      <c r="K2505" t="inlineStr">
        <is>
          <t>Luqman</t>
        </is>
      </c>
      <c r="L2505" s="4"/>
      <c r="M2505" s="4">
        <v>46115.49582175926</v>
      </c>
      <c r="N2505"/>
      <c r="O2505">
        <v>3888</v>
      </c>
      <c r="P2505" s="4"/>
      <c r="Q2505" s="4">
        <v>46066.7553587963</v>
      </c>
      <c r="R2505"/>
      <c r="S2505">
        <v>0</v>
      </c>
      <c r="T2505" s="4"/>
      <c r="U2505" s="4"/>
      <c r="V2505"/>
      <c r="W2505"/>
      <c r="X2505"/>
      <c r="Y2505" t="inlineStr">
        <is>
          <t>Pending Appointment</t>
        </is>
      </c>
      <c r="Z2505" t="inlineStr">
        <is>
          <t>Hiring Later</t>
        </is>
      </c>
      <c r="AA2505">
        <v>2</v>
      </c>
      <c r="AB2505" t="inlineStr">
        <is>
          <t>No Appointment Made</t>
        </is>
      </c>
      <c r="AC2505"/>
      <c r="AD2505" t="inlineStr">
        <is>
          <t xml:space="preserve">1. Waitress 2. Kitchen Crew </t>
        </is>
      </c>
      <c r="AE2505"/>
      <c r="AF2505">
        <v>1200</v>
      </c>
      <c r="AG2505" s="4"/>
      <c r="AH2505" s="4"/>
      <c r="AI2505">
        <v>1200</v>
      </c>
      <c r="AJ2505"/>
      <c r="AK2505"/>
      <c r="AL2505"/>
      <c r="AM2505"/>
      <c r="AN2505"/>
      <c r="AO2505"/>
      <c r="AP2505" t="inlineStr">
        <is>
          <t>Once a year (25%)</t>
        </is>
      </c>
      <c r="AQ2505">
        <v>2</v>
      </c>
      <c r="AR2505" t="inlineStr">
        <is>
          <t>Free Job Portal</t>
        </is>
      </c>
      <c r="AS2505" t="inlineStr">
        <is>
          <t>- Headcount: 2
- Hiring Job Details: 1. Waitress 2. Kitchen Crew
- Hiring Urgency: Hiring Later
- Number of outlets: Not specified
- Have recruiter team: Not specified
- Number of recruiter in company: Not specified
- Have ATS system: Not specified
- Have career website: Not specified
- Current hiring budget: RM1,200
- Whole year budget: RM1,200.00
- Whole year number of vacancies: 2
- Hiring frequency: Once a year (25%)
- External job portal: Free Job Portal</t>
        </is>
      </c>
      <c r="AT2505">
        <v>65</v>
      </c>
      <c r="AU2505" t="inlineStr">
        <is>
          <t>0.65</t>
        </is>
      </c>
      <c r="AV2505" t="inlineStr">
        <is>
          <t>15</t>
        </is>
      </c>
      <c r="AW2505" t="inlineStr">
        <is>
          <t>0</t>
        </is>
      </c>
      <c r="AX2505" t="inlineStr">
        <is>
          <t>Not Qualified</t>
        </is>
      </c>
      <c r="AY2505" s="4"/>
      <c r="AZ2505"/>
      <c r="BA2505"/>
      <c r="BB2505"/>
      <c r="BC2505" t="inlineStr">
        <is>
          <t>- Headcount: 2
- Hiring Job Details: 1. Waitress 2. Kitchen Crew
- Hiring Urgency: Hiring Later
- Number of outlets: Not specified
- Have recruiter team: Not specified
- Number of recruiter in company: Not specified
- Have ATS system: Not specified
- Have career website: Not specified
- Current hiring budget: RM1,200
- Whole year budget: RM1,200.00
- Whole year number of vacancies: 2
- Hiring frequency: Once a year (25%)
- External job portal: Free Job Portal</t>
        </is>
      </c>
      <c r="BD2505" s="4">
        <v>46115.5000462963</v>
      </c>
      <c r="BE2505" t="inlineStr">
        <is>
          <t>paid</t>
        </is>
      </c>
      <c r="BF2505"/>
      <c r="BG2505" t="inlineStr">
        <is>
          <t>Reschedule</t>
        </is>
      </c>
      <c r="BH2505" t="inlineStr">
        <is>
          <t>Edward Hoo</t>
        </is>
      </c>
      <c r="BI2505"/>
      <c r="BJ2505" s="4">
        <v>46144.7527662037</v>
      </c>
      <c r="BK2505" s="4">
        <v>45893.62400462963</v>
      </c>
      <c r="BL2505" t="inlineStr">
        <is>
          <t>0.0</t>
        </is>
      </c>
      <c r="BM2505" t="inlineStr">
        <is>
          <t>0.0</t>
        </is>
      </c>
      <c r="BN2505" t="inlineStr">
        <is>
          <t>View Company Page</t>
        </is>
      </c>
      <c r="BO2505" s="4">
        <v>45893.64256944445</v>
      </c>
      <c r="BP2505">
        <v>165158</v>
      </c>
      <c r="BQ2505">
        <v>115113</v>
      </c>
      <c r="BR2505" t="inlineStr">
        <is>
          <t>Proforma</t>
        </is>
      </c>
      <c r="BS2505" t="inlineStr">
        <is>
          <t>Free Internship Job</t>
        </is>
      </c>
      <c r="BT2505"/>
      <c r="BU2505"/>
      <c r="BV2505">
        <v>2682454</v>
      </c>
      <c r="BW2505" t="inlineStr">
        <is>
          <t>Customer Inquiry</t>
        </is>
      </c>
      <c r="BX2505"/>
      <c r="BY2505"/>
      <c r="BZ2505" s="4"/>
      <c r="CA2505"/>
      <c r="CB2505"/>
      <c r="CC2505" s="4"/>
      <c r="CD2505" t="inlineStr">
        <is>
          <t>20</t>
        </is>
      </c>
      <c r="CE2505" t="inlineStr">
        <is>
          <t>0</t>
        </is>
      </c>
      <c r="CF2505" t="inlineStr">
        <is>
          <t>Q2-W01</t>
        </is>
      </c>
      <c r="CG2505" t="inlineStr">
        <is>
          <t>Q1-W07</t>
        </is>
      </c>
      <c r="CH2505"/>
      <c r="CI2505"/>
      <c r="CJ2505" t="inlineStr">
        <is>
          <t>No Paid</t>
        </is>
      </c>
      <c r="CK2505" t="inlineStr">
        <is>
          <t>Not Eligible</t>
        </is>
      </c>
      <c r="CL2505"/>
      <c r="CM2505"/>
    </row>
    <row r="2506" ht="25.5" customHeight="1">
      <c r="A2506" t="inlineStr">
        <is>
          <t>170599</t>
        </is>
      </c>
      <c r="B2506" s="2"/>
      <c r="C2506"/>
      <c r="D2506" s="3">
        <v>46115.49884259259</v>
      </c>
      <c r="E2506" t="inlineStr">
        <is>
          <t>Q2-W01</t>
        </is>
      </c>
      <c r="F2506" t="inlineStr">
        <is>
          <t>Eugene</t>
        </is>
      </c>
      <c r="G2506" t="inlineStr">
        <is>
          <t>Customer</t>
        </is>
      </c>
      <c r="H2506" s="2" t="str">
        <f>=HYPERLINK("https://upbox.ajobthing.my/customer/170599", "https://upbox.ajobthing.my/customer/170599")</f>
        <v>https://upbox.ajobthing.my/customer/170599</v>
      </c>
      <c r="I2506" t="inlineStr">
        <is>
          <t>Pure 51 Plt</t>
        </is>
      </c>
      <c r="J2506" t="inlineStr">
        <is>
          <t>Small Fish</t>
        </is>
      </c>
      <c r="K2506" t="inlineStr">
        <is>
          <t>Eugene</t>
        </is>
      </c>
      <c r="L2506" s="4"/>
      <c r="M2506" s="4">
        <v>46115.498402777775</v>
      </c>
      <c r="N2506"/>
      <c r="O2506">
        <v>6048</v>
      </c>
      <c r="P2506" s="4"/>
      <c r="Q2506" s="4"/>
      <c r="R2506"/>
      <c r="S2506"/>
      <c r="T2506" s="4"/>
      <c r="U2506" s="4"/>
      <c r="V2506"/>
      <c r="W2506"/>
      <c r="X2506"/>
      <c r="Y2506" t="inlineStr">
        <is>
          <t>Pending Appointment</t>
        </is>
      </c>
      <c r="Z2506" t="inlineStr">
        <is>
          <t>Hiring Later</t>
        </is>
      </c>
      <c r="AA2506">
        <v>3</v>
      </c>
      <c r="AB2506" t="inlineStr">
        <is>
          <t>No Appointment Made</t>
        </is>
      </c>
      <c r="AC2506"/>
      <c r="AD2506" t="inlineStr">
        <is>
          <t>3 positions, based in KL</t>
        </is>
      </c>
      <c r="AE2506"/>
      <c r="AF2506">
        <v>5000</v>
      </c>
      <c r="AG2506" s="4"/>
      <c r="AH2506" s="4"/>
      <c r="AI2506">
        <v>5000</v>
      </c>
      <c r="AJ2506">
        <v>1</v>
      </c>
      <c r="AK2506" t="inlineStr">
        <is>
          <t>No, I don't need at all</t>
        </is>
      </c>
      <c r="AL2506">
        <v>0</v>
      </c>
      <c r="AM2506" t="inlineStr">
        <is>
          <t>No, I don't need at all</t>
        </is>
      </c>
      <c r="AN2506"/>
      <c r="AO2506" t="inlineStr">
        <is>
          <t>No, I don't need at all</t>
        </is>
      </c>
      <c r="AP2506" t="inlineStr">
        <is>
          <t>Once per quarter (75%)</t>
        </is>
      </c>
      <c r="AQ2506">
        <v>4</v>
      </c>
      <c r="AR2506" t="inlineStr">
        <is>
          <t>Did not use any job portal</t>
        </is>
      </c>
      <c r="AS2506" t="inlineStr">
        <is>
          <t>- Headcount: 3
- Hiring Job Details: 3 positions, based in KL
- Hiring Urgency: Hiring Later
- Number of outlets: 1
- Have recruiter team: No, I don't need at all
- Number of recruiter in company: 0
- Have ATS system: No, I don't need at all
- Have career website: No, I don't need at all
- Current hiring budget: RM5,000
- Whole year budget: RM5,000.00
- Whole year number of vacancies: 4
- Hiring frequency: Once per quarter (75%)
- External job portal: Did not use any job portal</t>
        </is>
      </c>
      <c r="AT2506">
        <v>65</v>
      </c>
      <c r="AU2506" t="inlineStr">
        <is>
          <t>0.65</t>
        </is>
      </c>
      <c r="AV2506" t="inlineStr">
        <is>
          <t>15</t>
        </is>
      </c>
      <c r="AW2506" t="inlineStr">
        <is>
          <t>0</t>
        </is>
      </c>
      <c r="AX2506" t="inlineStr">
        <is>
          <t>Not Qualified</t>
        </is>
      </c>
      <c r="AY2506" s="4"/>
      <c r="AZ2506"/>
      <c r="BA2506"/>
      <c r="BB2506"/>
      <c r="BC2506" t="inlineStr">
        <is>
          <t>proof</t>
        </is>
      </c>
      <c r="BD2506" s="4">
        <v>46115.500185185185</v>
      </c>
      <c r="BE2506"/>
      <c r="BF2506"/>
      <c r="BG2506" t="inlineStr">
        <is>
          <t>Reschedule</t>
        </is>
      </c>
      <c r="BH2506" t="inlineStr">
        <is>
          <t>Edward Hoo</t>
        </is>
      </c>
      <c r="BI2506" t="inlineStr">
        <is>
          <t>Retail / Merchandise</t>
        </is>
      </c>
      <c r="BJ2506" s="4">
        <v>46144.75142361111</v>
      </c>
      <c r="BK2506" s="4">
        <v>45167.60050925926</v>
      </c>
      <c r="BL2506" t="inlineStr">
        <is>
          <t>0.0</t>
        </is>
      </c>
      <c r="BM2506" t="inlineStr">
        <is>
          <t>0.0</t>
        </is>
      </c>
      <c r="BN2506" t="inlineStr">
        <is>
          <t>View Jobmanager Page</t>
        </is>
      </c>
      <c r="BO2506" s="4">
        <v>45896.968206018515</v>
      </c>
      <c r="BP2506">
        <v>165160</v>
      </c>
      <c r="BQ2506"/>
      <c r="BR2506"/>
      <c r="BS2506"/>
      <c r="BT2506"/>
      <c r="BU2506"/>
      <c r="BV2506">
        <v>2682464</v>
      </c>
      <c r="BW2506" t="inlineStr">
        <is>
          <t>Customer Inquiry</t>
        </is>
      </c>
      <c r="BX2506"/>
      <c r="BY2506"/>
      <c r="BZ2506" s="4"/>
      <c r="CA2506"/>
      <c r="CB2506"/>
      <c r="CC2506" s="4"/>
      <c r="CD2506" t="inlineStr">
        <is>
          <t>20</t>
        </is>
      </c>
      <c r="CE2506" t="inlineStr">
        <is>
          <t>0</t>
        </is>
      </c>
      <c r="CF2506" t="inlineStr">
        <is>
          <t>Q2-W01</t>
        </is>
      </c>
      <c r="CG2506"/>
      <c r="CH2506"/>
      <c r="CI2506"/>
      <c r="CJ2506" t="inlineStr">
        <is>
          <t>No Paid</t>
        </is>
      </c>
      <c r="CK2506" t="inlineStr">
        <is>
          <t>Not Eligible</t>
        </is>
      </c>
      <c r="CL2506"/>
      <c r="CM2506"/>
    </row>
    <row r="2507" ht="25.5" customHeight="1">
      <c r="A2507" t="inlineStr">
        <is>
          <t>202781</t>
        </is>
      </c>
      <c r="B2507" s="2"/>
      <c r="C2507"/>
      <c r="D2507" s="3">
        <v>46115.50170138889</v>
      </c>
      <c r="E2507" t="inlineStr">
        <is>
          <t>Q2-W01</t>
        </is>
      </c>
      <c r="F2507" t="inlineStr">
        <is>
          <t>Clover</t>
        </is>
      </c>
      <c r="G2507" t="inlineStr">
        <is>
          <t>Customer</t>
        </is>
      </c>
      <c r="H2507" s="2" t="str">
        <f>=HYPERLINK("https://upbox.ajobthing.my/customer/202781", "https://upbox.ajobthing.my/customer/202781")</f>
        <v>https://upbox.ajobthing.my/customer/202781</v>
      </c>
      <c r="I2507" t="inlineStr">
        <is>
          <t>NAG ENGINEERING</t>
        </is>
      </c>
      <c r="J2507" t="inlineStr">
        <is>
          <t>Small Fish</t>
        </is>
      </c>
      <c r="K2507" t="inlineStr">
        <is>
          <t>Clover</t>
        </is>
      </c>
      <c r="L2507" s="4"/>
      <c r="M2507" s="4">
        <v>46115.49920138889</v>
      </c>
      <c r="N2507"/>
      <c r="O2507">
        <v>3672</v>
      </c>
      <c r="P2507" s="4"/>
      <c r="Q2507" s="4"/>
      <c r="R2507"/>
      <c r="S2507"/>
      <c r="T2507" s="4"/>
      <c r="U2507" s="4"/>
      <c r="V2507"/>
      <c r="W2507"/>
      <c r="X2507"/>
      <c r="Y2507" t="inlineStr">
        <is>
          <t>Pending Appointment</t>
        </is>
      </c>
      <c r="Z2507" t="inlineStr">
        <is>
          <t>Hiring Now</t>
        </is>
      </c>
      <c r="AA2507">
        <v>1</v>
      </c>
      <c r="AB2507" t="inlineStr">
        <is>
          <t>No Appointment Made</t>
        </is>
      </c>
      <c r="AC2507"/>
      <c r="AD2507" t="inlineStr">
        <is>
          <t xml:space="preserve">mechanical x1, all races, min &gt;1  year, automation, melaka, future hire freelance account, suggest stand dis 200  </t>
        </is>
      </c>
      <c r="AE2507"/>
      <c r="AF2507">
        <v>3000</v>
      </c>
      <c r="AG2507" s="4"/>
      <c r="AH2507" s="4"/>
      <c r="AI2507">
        <v>3000</v>
      </c>
      <c r="AJ2507">
        <v>1</v>
      </c>
      <c r="AK2507" t="inlineStr">
        <is>
          <t>No, but I want in future</t>
        </is>
      </c>
      <c r="AL2507">
        <v>1</v>
      </c>
      <c r="AM2507" t="inlineStr">
        <is>
          <t>No, but I want in future</t>
        </is>
      </c>
      <c r="AN2507"/>
      <c r="AO2507" t="inlineStr">
        <is>
          <t>No, but I want in future</t>
        </is>
      </c>
      <c r="AP2507" t="inlineStr">
        <is>
          <t>Twice a year (50%)</t>
        </is>
      </c>
      <c r="AQ2507">
        <v>2</v>
      </c>
      <c r="AR2507" t="inlineStr">
        <is>
          <t>Did not use any job portal</t>
        </is>
      </c>
      <c r="AS2507" t="inlineStr">
        <is>
          <t>- Headcount: 1
- Hiring Job Details: 1 mechanical, all races, min &gt;1 year, automation, melaka, future hire freelance account, suggest stand dis 200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507">
        <v>110</v>
      </c>
      <c r="AU2507" t="inlineStr">
        <is>
          <t>1.10</t>
        </is>
      </c>
      <c r="AV2507" t="inlineStr">
        <is>
          <t>15</t>
        </is>
      </c>
      <c r="AW2507" t="inlineStr">
        <is>
          <t>0</t>
        </is>
      </c>
      <c r="AX2507" t="inlineStr">
        <is>
          <t>Not Qualified</t>
        </is>
      </c>
      <c r="AY2507" s="4"/>
      <c r="AZ2507"/>
      <c r="BA2507"/>
      <c r="BB2507"/>
      <c r="BC2507" t="inlineStr">
        <is>
          <t>Call office 014-664 6333, PIC hang up, lost</t>
        </is>
      </c>
      <c r="BD2507" s="4">
        <v>46135.57697916667</v>
      </c>
      <c r="BE2507"/>
      <c r="BF2507"/>
      <c r="BG2507" t="inlineStr">
        <is>
          <t>Reschedule</t>
        </is>
      </c>
      <c r="BH2507" t="inlineStr">
        <is>
          <t>Reagen</t>
        </is>
      </c>
      <c r="BI2507"/>
      <c r="BJ2507" s="4">
        <v>46144.75412037037</v>
      </c>
      <c r="BK2507" s="4">
        <v>46115.490266203706</v>
      </c>
      <c r="BL2507" t="inlineStr">
        <is>
          <t>0.0</t>
        </is>
      </c>
      <c r="BM2507" t="inlineStr">
        <is>
          <t>0.0</t>
        </is>
      </c>
      <c r="BN2507"/>
      <c r="BO2507" s="4"/>
      <c r="BP2507">
        <v>165162</v>
      </c>
      <c r="BQ2507"/>
      <c r="BR2507"/>
      <c r="BS2507"/>
      <c r="BT2507"/>
      <c r="BU2507"/>
      <c r="BV2507">
        <v>2723294</v>
      </c>
      <c r="BW2507" t="inlineStr">
        <is>
          <t>Follow Up : Lost - Paid Portal</t>
        </is>
      </c>
      <c r="BX2507"/>
      <c r="BY2507"/>
      <c r="BZ2507" s="4"/>
      <c r="CA2507"/>
      <c r="CB2507"/>
      <c r="CC2507" s="4"/>
      <c r="CD2507" t="inlineStr">
        <is>
          <t>20</t>
        </is>
      </c>
      <c r="CE2507" t="inlineStr">
        <is>
          <t>0</t>
        </is>
      </c>
      <c r="CF2507" t="inlineStr">
        <is>
          <t>Q2-W01</t>
        </is>
      </c>
      <c r="CG2507"/>
      <c r="CH2507"/>
      <c r="CI2507"/>
      <c r="CJ2507" t="inlineStr">
        <is>
          <t>No Paid</t>
        </is>
      </c>
      <c r="CK2507" t="inlineStr">
        <is>
          <t>Not Eligible</t>
        </is>
      </c>
      <c r="CL2507"/>
      <c r="CM2507"/>
    </row>
    <row r="2508" ht="25.5" customHeight="1">
      <c r="A2508" t="inlineStr">
        <is>
          <t>194766</t>
        </is>
      </c>
      <c r="B2508" s="2"/>
      <c r="C2508"/>
      <c r="D2508" s="3">
        <v>46115.50444444444</v>
      </c>
      <c r="E2508" t="inlineStr">
        <is>
          <t>Q2-W01</t>
        </is>
      </c>
      <c r="F2508" t="inlineStr">
        <is>
          <t>Lucas</t>
        </is>
      </c>
      <c r="G2508" t="inlineStr">
        <is>
          <t>Customer</t>
        </is>
      </c>
      <c r="H2508" s="2" t="str">
        <f>=HYPERLINK("https://upbox.ajobthing.my/customer/194766", "https://upbox.ajobthing.my/customer/194766")</f>
        <v>https://upbox.ajobthing.my/customer/194766</v>
      </c>
      <c r="I2508" t="inlineStr">
        <is>
          <t xml:space="preserve">Dhajjah Brand Ventures </t>
        </is>
      </c>
      <c r="J2508" t="inlineStr">
        <is>
          <t>Small Fish</t>
        </is>
      </c>
      <c r="K2508" t="inlineStr">
        <is>
          <t>Lucas</t>
        </is>
      </c>
      <c r="L2508" s="4"/>
      <c r="M2508" s="4">
        <v>46115.50202546296</v>
      </c>
      <c r="N2508"/>
      <c r="O2508">
        <v>3888</v>
      </c>
      <c r="P2508" s="4"/>
      <c r="Q2508" s="4"/>
      <c r="R2508"/>
      <c r="S2508"/>
      <c r="T2508" s="4"/>
      <c r="U2508" s="4"/>
      <c r="V2508"/>
      <c r="W2508"/>
      <c r="X2508"/>
      <c r="Y2508" t="inlineStr">
        <is>
          <t>Pending Appointment</t>
        </is>
      </c>
      <c r="Z2508" t="inlineStr">
        <is>
          <t>Hiring Now</t>
        </is>
      </c>
      <c r="AA2508">
        <v>1</v>
      </c>
      <c r="AB2508" t="inlineStr">
        <is>
          <t>No Appointment Made</t>
        </is>
      </c>
      <c r="AC2508"/>
      <c r="AD2508" t="inlineStr">
        <is>
          <t xml:space="preserve">1 content creator </t>
        </is>
      </c>
      <c r="AE2508"/>
      <c r="AF2508">
        <v>0</v>
      </c>
      <c r="AG2508" s="4"/>
      <c r="AH2508" s="4"/>
      <c r="AI2508">
        <v>0</v>
      </c>
      <c r="AJ2508">
        <v>0</v>
      </c>
      <c r="AK2508" t="inlineStr">
        <is>
          <t>No, I don't need at all</t>
        </is>
      </c>
      <c r="AL2508">
        <v>0</v>
      </c>
      <c r="AM2508" t="inlineStr">
        <is>
          <t>No, I don't need at all</t>
        </is>
      </c>
      <c r="AN2508"/>
      <c r="AO2508" t="inlineStr">
        <is>
          <t>No, I don't need at all</t>
        </is>
      </c>
      <c r="AP2508" t="inlineStr">
        <is>
          <t>Once a year (25%)</t>
        </is>
      </c>
      <c r="AQ2508">
        <v>1</v>
      </c>
      <c r="AR2508" t="inlineStr">
        <is>
          <t>Did not use any job portal</t>
        </is>
      </c>
      <c r="AS2508" t="inlineStr">
        <is>
          <t>- Headcount: 1
- Hiring Job Details: 1 content creator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08">
        <v>110</v>
      </c>
      <c r="AU2508" t="inlineStr">
        <is>
          <t>1.10</t>
        </is>
      </c>
      <c r="AV2508" t="inlineStr">
        <is>
          <t>15</t>
        </is>
      </c>
      <c r="AW2508" t="inlineStr">
        <is>
          <t>0</t>
        </is>
      </c>
      <c r="AX2508" t="inlineStr">
        <is>
          <t>Not Qualified</t>
        </is>
      </c>
      <c r="AY2508" s="4"/>
      <c r="AZ2508"/>
      <c r="BA2508"/>
      <c r="BB2508"/>
      <c r="BC2508" t="inlineStr">
        <is>
          <t>na</t>
        </is>
      </c>
      <c r="BD2508" s="4">
        <v>46122.60695601852</v>
      </c>
      <c r="BE2508"/>
      <c r="BF2508"/>
      <c r="BG2508" t="inlineStr">
        <is>
          <t>Reschedule</t>
        </is>
      </c>
      <c r="BH2508" t="inlineStr">
        <is>
          <t>Yee Hang</t>
        </is>
      </c>
      <c r="BI2508"/>
      <c r="BJ2508" s="4">
        <v>46144.75271990741</v>
      </c>
      <c r="BK2508" s="4">
        <v>45877.756736111114</v>
      </c>
      <c r="BL2508" t="inlineStr">
        <is>
          <t>0.0</t>
        </is>
      </c>
      <c r="BM2508" t="inlineStr">
        <is>
          <t>0.0</t>
        </is>
      </c>
      <c r="BN2508" t="inlineStr">
        <is>
          <t>View Create Job Page</t>
        </is>
      </c>
      <c r="BO2508" s="4">
        <v>45877.75697916667</v>
      </c>
      <c r="BP2508">
        <v>165164</v>
      </c>
      <c r="BQ2508"/>
      <c r="BR2508"/>
      <c r="BS2508"/>
      <c r="BT2508"/>
      <c r="BU2508"/>
      <c r="BV2508">
        <v>2698197</v>
      </c>
      <c r="BW2508" t="inlineStr">
        <is>
          <t>Follow Up : Budget Concern</t>
        </is>
      </c>
      <c r="BX2508"/>
      <c r="BY2508"/>
      <c r="BZ2508" s="4"/>
      <c r="CA2508"/>
      <c r="CB2508"/>
      <c r="CC2508" s="4"/>
      <c r="CD2508" t="inlineStr">
        <is>
          <t>20</t>
        </is>
      </c>
      <c r="CE2508" t="inlineStr">
        <is>
          <t>0</t>
        </is>
      </c>
      <c r="CF2508" t="inlineStr">
        <is>
          <t>Q2-W01</t>
        </is>
      </c>
      <c r="CG2508"/>
      <c r="CH2508"/>
      <c r="CI2508"/>
      <c r="CJ2508" t="inlineStr">
        <is>
          <t>No Paid</t>
        </is>
      </c>
      <c r="CK2508" t="inlineStr">
        <is>
          <t>Not Eligible</t>
        </is>
      </c>
      <c r="CL2508"/>
      <c r="CM2508"/>
    </row>
    <row r="2509" ht="25.5" customHeight="1">
      <c r="A2509" t="inlineStr">
        <is>
          <t>185056</t>
        </is>
      </c>
      <c r="B2509" s="2"/>
      <c r="C2509"/>
      <c r="D2509" s="3">
        <v>46115.50467592593</v>
      </c>
      <c r="E2509" t="inlineStr">
        <is>
          <t>Q2-W01</t>
        </is>
      </c>
      <c r="F2509" t="inlineStr">
        <is>
          <t>Carmen</t>
        </is>
      </c>
      <c r="G2509" t="inlineStr">
        <is>
          <t>Customer</t>
        </is>
      </c>
      <c r="H2509" s="2" t="str">
        <f>=HYPERLINK("https://upbox.ajobthing.my/customer/185056", "https://upbox.ajobthing.my/customer/185056")</f>
        <v>https://upbox.ajobthing.my/customer/185056</v>
      </c>
      <c r="I2509" t="inlineStr">
        <is>
          <t>City Kiosk (Petron Jalan Pahang)</t>
        </is>
      </c>
      <c r="J2509" t="inlineStr">
        <is>
          <t>Small Fish</t>
        </is>
      </c>
      <c r="K2509" t="inlineStr">
        <is>
          <t>Carmen</t>
        </is>
      </c>
      <c r="L2509" s="4"/>
      <c r="M2509" s="4">
        <v>46115.50424768519</v>
      </c>
      <c r="N2509"/>
      <c r="O2509">
        <v>864</v>
      </c>
      <c r="P2509" s="4"/>
      <c r="Q2509" s="4">
        <v>45726.42329861111</v>
      </c>
      <c r="R2509"/>
      <c r="S2509">
        <v>648</v>
      </c>
      <c r="T2509" s="4">
        <v>45726.42329861111</v>
      </c>
      <c r="U2509" s="4"/>
      <c r="V2509"/>
      <c r="W2509">
        <v>648</v>
      </c>
      <c r="X2509"/>
      <c r="Y2509" t="inlineStr">
        <is>
          <t>Pending Appointment</t>
        </is>
      </c>
      <c r="Z2509" t="inlineStr">
        <is>
          <t>Hiring Now</t>
        </is>
      </c>
      <c r="AA2509">
        <v>1</v>
      </c>
      <c r="AB2509" t="inlineStr">
        <is>
          <t>No Appointment Made</t>
        </is>
      </c>
      <c r="AC2509"/>
      <c r="AD2509" t="inlineStr">
        <is>
          <t>1 cashier</t>
        </is>
      </c>
      <c r="AE2509"/>
      <c r="AF2509">
        <v>0</v>
      </c>
      <c r="AG2509" s="4"/>
      <c r="AH2509" s="4"/>
      <c r="AI2509">
        <v>0</v>
      </c>
      <c r="AJ2509">
        <v>0</v>
      </c>
      <c r="AK2509" t="inlineStr">
        <is>
          <t>No, I don't need at all</t>
        </is>
      </c>
      <c r="AL2509">
        <v>0</v>
      </c>
      <c r="AM2509" t="inlineStr">
        <is>
          <t>No, I don't need at all</t>
        </is>
      </c>
      <c r="AN2509"/>
      <c r="AO2509" t="inlineStr">
        <is>
          <t>No, I don't need at all</t>
        </is>
      </c>
      <c r="AP2509" t="inlineStr">
        <is>
          <t>Once a year (25%)</t>
        </is>
      </c>
      <c r="AQ2509">
        <v>1</v>
      </c>
      <c r="AR2509" t="inlineStr">
        <is>
          <t>Free Job Portal</t>
        </is>
      </c>
      <c r="AS2509" t="inlineStr">
        <is>
          <t>- Headcount: 1
- Hiring Job Details: 1 cashier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2509">
        <v>95</v>
      </c>
      <c r="AU2509" t="inlineStr">
        <is>
          <t>0.95</t>
        </is>
      </c>
      <c r="AV2509" t="inlineStr">
        <is>
          <t>15</t>
        </is>
      </c>
      <c r="AW2509" t="inlineStr">
        <is>
          <t>0</t>
        </is>
      </c>
      <c r="AX2509" t="inlineStr">
        <is>
          <t>Not Qualified</t>
        </is>
      </c>
      <c r="AY2509" s="4"/>
      <c r="AZ2509"/>
      <c r="BA2509"/>
      <c r="BB2509"/>
      <c r="BC2509" t="inlineStr">
        <is>
          <t>- Headcount: 1
- Hiring Job Details: 1 cashier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BD2509" s="4">
        <v>46115.541817129626</v>
      </c>
      <c r="BE2509" t="inlineStr">
        <is>
          <t>paid</t>
        </is>
      </c>
      <c r="BF2509"/>
      <c r="BG2509" t="inlineStr">
        <is>
          <t>Reschedule</t>
        </is>
      </c>
      <c r="BH2509" t="inlineStr">
        <is>
          <t>Reagen</t>
        </is>
      </c>
      <c r="BI2509" t="inlineStr">
        <is>
          <t>Retail / Merchandise</t>
        </is>
      </c>
      <c r="BJ2509" s="4">
        <v>46144.75204861111</v>
      </c>
      <c r="BK2509" s="4">
        <v>45617.586875</v>
      </c>
      <c r="BL2509" t="inlineStr">
        <is>
          <t>0.0</t>
        </is>
      </c>
      <c r="BM2509" t="inlineStr">
        <is>
          <t>0.0</t>
        </is>
      </c>
      <c r="BN2509" t="inlineStr">
        <is>
          <t>User Visit(Logged In)</t>
        </is>
      </c>
      <c r="BO2509" s="4">
        <v>45824.59716435185</v>
      </c>
      <c r="BP2509">
        <v>165165</v>
      </c>
      <c r="BQ2509">
        <v>77497</v>
      </c>
      <c r="BR2509" t="inlineStr">
        <is>
          <t>Online</t>
        </is>
      </c>
      <c r="BS2509"/>
      <c r="BT2509">
        <v>77497</v>
      </c>
      <c r="BU2509"/>
      <c r="BV2509">
        <v>2682637</v>
      </c>
      <c r="BW2509" t="inlineStr">
        <is>
          <t>Customer Inquiry</t>
        </is>
      </c>
      <c r="BX2509"/>
      <c r="BY2509"/>
      <c r="BZ2509" s="4"/>
      <c r="CA2509"/>
      <c r="CB2509"/>
      <c r="CC2509" s="4"/>
      <c r="CD2509" t="inlineStr">
        <is>
          <t>20</t>
        </is>
      </c>
      <c r="CE2509" t="inlineStr">
        <is>
          <t>0</t>
        </is>
      </c>
      <c r="CF2509" t="inlineStr">
        <is>
          <t>Q2-W01</t>
        </is>
      </c>
      <c r="CG2509"/>
      <c r="CH2509"/>
      <c r="CI2509"/>
      <c r="CJ2509" t="inlineStr">
        <is>
          <t>Paid</t>
        </is>
      </c>
      <c r="CK2509" t="inlineStr">
        <is>
          <t>Not Eligible</t>
        </is>
      </c>
      <c r="CL2509"/>
      <c r="CM2509"/>
    </row>
    <row r="2510" ht="25.5" customHeight="1">
      <c r="A2510" t="inlineStr">
        <is>
          <t>4237485</t>
        </is>
      </c>
      <c r="B2510" s="2"/>
      <c r="C2510"/>
      <c r="D2510" s="3">
        <v>46115.51579861111</v>
      </c>
      <c r="E2510" t="inlineStr">
        <is>
          <t>Q2-W01</t>
        </is>
      </c>
      <c r="F2510" t="inlineStr">
        <is>
          <t>Jess</t>
        </is>
      </c>
      <c r="G2510" t="inlineStr">
        <is>
          <t>Lead</t>
        </is>
      </c>
      <c r="H2510" s="2" t="str">
        <f>=HYPERLINK("https://upbox.ajobthing.my/leads/4237485", "https://upbox.ajobthing.my/leads/4237485")</f>
        <v>https://upbox.ajobthing.my/leads/4237485</v>
      </c>
      <c r="I2510" t="inlineStr">
        <is>
          <t>HQDP (M) SDN BHD</t>
        </is>
      </c>
      <c r="J2510" t="inlineStr">
        <is>
          <t>Small Fish</t>
        </is>
      </c>
      <c r="K2510" t="inlineStr">
        <is>
          <t>Jess Lim</t>
        </is>
      </c>
      <c r="L2510" s="4"/>
      <c r="M2510" s="4">
        <v>46115.5803125</v>
      </c>
      <c r="N2510"/>
      <c r="O2510">
        <v>3888</v>
      </c>
      <c r="P2510" s="4"/>
      <c r="Q2510" s="4"/>
      <c r="R2510"/>
      <c r="S2510"/>
      <c r="T2510" s="4"/>
      <c r="U2510" s="4"/>
      <c r="V2510"/>
      <c r="W2510"/>
      <c r="X2510"/>
      <c r="Y2510" t="inlineStr">
        <is>
          <t>Pending Appointment</t>
        </is>
      </c>
      <c r="Z2510" t="inlineStr">
        <is>
          <t>Hiring Now</t>
        </is>
      </c>
      <c r="AA2510">
        <v>1</v>
      </c>
      <c r="AB2510" t="inlineStr">
        <is>
          <t>No Appointment Made</t>
        </is>
      </c>
      <c r="AC2510"/>
      <c r="AD2510" t="inlineStr">
        <is>
          <t>technicain</t>
        </is>
      </c>
      <c r="AE2510"/>
      <c r="AF2510">
        <v>500</v>
      </c>
      <c r="AG2510" s="4"/>
      <c r="AH2510" s="4"/>
      <c r="AI2510"/>
      <c r="AJ2510">
        <v>1</v>
      </c>
      <c r="AK2510" t="inlineStr">
        <is>
          <t>No, I don't need at all</t>
        </is>
      </c>
      <c r="AL2510">
        <v>0</v>
      </c>
      <c r="AM2510" t="inlineStr">
        <is>
          <t>No, I don't need at all</t>
        </is>
      </c>
      <c r="AN2510"/>
      <c r="AO2510" t="inlineStr">
        <is>
          <t>No, I don't need at all</t>
        </is>
      </c>
      <c r="AP2510" t="inlineStr">
        <is>
          <t>Once a year (25%)</t>
        </is>
      </c>
      <c r="AQ2510"/>
      <c r="AR2510" t="inlineStr">
        <is>
          <t>Jobstreet</t>
        </is>
      </c>
      <c r="AS2510" t="inlineStr">
        <is>
          <t>- Headcount: 1
- Hiring Job Details: technician
- Hiring Urgency: Hiring Now
- Number of outlets: 1
- Have recruiter team: No, I don't need at all
- Number of recruiter in company: 0
- Have ATS system: No, I don't need at all
- Have career website: No, I don't need at all
- Current hiring budget: RM500.00
- Whole year budget: 
- Whole year number of vacancies: 
- Hiring frequency: Once a year (25%)
- External job portal: Jobstreet</t>
        </is>
      </c>
      <c r="AT2510">
        <v>100</v>
      </c>
      <c r="AU2510" t="inlineStr">
        <is>
          <t>1.00</t>
        </is>
      </c>
      <c r="AV2510" t="inlineStr">
        <is>
          <t>15</t>
        </is>
      </c>
      <c r="AW2510" t="inlineStr">
        <is>
          <t>0</t>
        </is>
      </c>
      <c r="AX2510" t="inlineStr">
        <is>
          <t>Not Qualified</t>
        </is>
      </c>
      <c r="AY2510" s="4"/>
      <c r="AZ2510"/>
      <c r="BA2510"/>
      <c r="BB2510"/>
      <c r="BC2510"/>
      <c r="BD2510" s="4"/>
      <c r="BE2510"/>
      <c r="BF2510"/>
      <c r="BG2510" t="inlineStr">
        <is>
          <t>Reschedule</t>
        </is>
      </c>
      <c r="BH2510" t="inlineStr">
        <is>
          <t>Fauziah Maharan</t>
        </is>
      </c>
      <c r="BI2510"/>
      <c r="BJ2510" s="4">
        <v>46144.75571759259</v>
      </c>
      <c r="BK2510" s="4">
        <v>46115.48142361111</v>
      </c>
      <c r="BL2510" t="inlineStr">
        <is>
          <t>0.0</t>
        </is>
      </c>
      <c r="BM2510" t="inlineStr">
        <is>
          <t>0.0</t>
        </is>
      </c>
      <c r="BN2510"/>
      <c r="BO2510" s="4"/>
      <c r="BP2510">
        <v>165180</v>
      </c>
      <c r="BQ2510"/>
      <c r="BR2510"/>
      <c r="BS2510"/>
      <c r="BT2510"/>
      <c r="BU2510"/>
      <c r="BV2510"/>
      <c r="BW2510"/>
      <c r="BX2510"/>
      <c r="BY2510"/>
      <c r="BZ2510" s="4"/>
      <c r="CA2510"/>
      <c r="CB2510"/>
      <c r="CC2510" s="4"/>
      <c r="CD2510" t="inlineStr">
        <is>
          <t>20</t>
        </is>
      </c>
      <c r="CE2510" t="inlineStr">
        <is>
          <t>0</t>
        </is>
      </c>
      <c r="CF2510" t="inlineStr">
        <is>
          <t>Q2-W01</t>
        </is>
      </c>
      <c r="CG2510"/>
      <c r="CH2510"/>
      <c r="CI2510"/>
      <c r="CJ2510" t="inlineStr">
        <is>
          <t>No Paid</t>
        </is>
      </c>
      <c r="CK2510" t="inlineStr">
        <is>
          <t>Not Eligible</t>
        </is>
      </c>
      <c r="CL2510"/>
      <c r="CM2510"/>
    </row>
    <row r="2511" ht="25.5" customHeight="1">
      <c r="A2511" t="inlineStr">
        <is>
          <t>120766</t>
        </is>
      </c>
      <c r="B2511" s="2"/>
      <c r="C2511"/>
      <c r="D2511" s="3">
        <v>46115.51590277778</v>
      </c>
      <c r="E2511" t="inlineStr">
        <is>
          <t>Q2-W01</t>
        </is>
      </c>
      <c r="F2511" t="inlineStr">
        <is>
          <t>Chia Yee</t>
        </is>
      </c>
      <c r="G2511" t="inlineStr">
        <is>
          <t>Customer</t>
        </is>
      </c>
      <c r="H2511" s="2" t="str">
        <f>=HYPERLINK("https://upbox.ajobthing.my/customer/120766", "https://upbox.ajobthing.my/customer/120766")</f>
        <v>https://upbox.ajobthing.my/customer/120766</v>
      </c>
      <c r="I2511" t="inlineStr">
        <is>
          <t>Caring Signatures &amp; Associates</t>
        </is>
      </c>
      <c r="J2511" t="inlineStr">
        <is>
          <t>Small Fish</t>
        </is>
      </c>
      <c r="K2511" t="inlineStr">
        <is>
          <t>Chia Yee</t>
        </is>
      </c>
      <c r="L2511" s="4"/>
      <c r="M2511" s="4">
        <v>46115.51600694445</v>
      </c>
      <c r="N2511"/>
      <c r="O2511">
        <v>6048</v>
      </c>
      <c r="P2511" s="4"/>
      <c r="Q2511" s="4"/>
      <c r="R2511"/>
      <c r="S2511"/>
      <c r="T2511" s="4"/>
      <c r="U2511" s="4"/>
      <c r="V2511"/>
      <c r="W2511"/>
      <c r="X2511"/>
      <c r="Y2511" t="inlineStr">
        <is>
          <t>Pending Appointment</t>
        </is>
      </c>
      <c r="Z2511" t="inlineStr">
        <is>
          <t>Hiring Now</t>
        </is>
      </c>
      <c r="AA2511">
        <v>3</v>
      </c>
      <c r="AB2511" t="inlineStr">
        <is>
          <t>No Appointment Made</t>
        </is>
      </c>
      <c r="AC2511"/>
      <c r="AD2511" t="inlineStr">
        <is>
          <t xml:space="preserve"> 3-5 Admin, Social media marketing.</t>
        </is>
      </c>
      <c r="AE2511"/>
      <c r="AF2511">
        <v>0</v>
      </c>
      <c r="AG2511" s="4"/>
      <c r="AH2511" s="4"/>
      <c r="AI2511">
        <v>0</v>
      </c>
      <c r="AJ2511">
        <v>1</v>
      </c>
      <c r="AK2511" t="inlineStr">
        <is>
          <t>No, I don't need at all</t>
        </is>
      </c>
      <c r="AL2511">
        <v>1</v>
      </c>
      <c r="AM2511" t="inlineStr">
        <is>
          <t>No, I don't need at all</t>
        </is>
      </c>
      <c r="AN2511"/>
      <c r="AO2511" t="inlineStr">
        <is>
          <t>No, I don't need at all</t>
        </is>
      </c>
      <c r="AP2511" t="inlineStr">
        <is>
          <t>Once a year (25%)</t>
        </is>
      </c>
      <c r="AQ2511">
        <v>5</v>
      </c>
      <c r="AR2511" t="inlineStr">
        <is>
          <t>Did not use any job portal</t>
        </is>
      </c>
      <c r="AS2511" t="inlineStr">
        <is>
          <t>- Headcount: 3
- Hiring Job Details: 3-5 Admin, Social media marketing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is>
      </c>
      <c r="AT2511">
        <v>85</v>
      </c>
      <c r="AU2511" t="inlineStr">
        <is>
          <t>0.85</t>
        </is>
      </c>
      <c r="AV2511" t="inlineStr">
        <is>
          <t>15</t>
        </is>
      </c>
      <c r="AW2511" t="inlineStr">
        <is>
          <t>0</t>
        </is>
      </c>
      <c r="AX2511" t="inlineStr">
        <is>
          <t>Not Qualified</t>
        </is>
      </c>
      <c r="AY2511" s="4"/>
      <c r="AZ2511"/>
      <c r="BA2511"/>
      <c r="BB2511"/>
      <c r="BC2511" t="inlineStr">
        <is>
          <t>Our of budget. Offer 200 discount</t>
        </is>
      </c>
      <c r="BD2511" s="4">
        <v>46121.56364583333</v>
      </c>
      <c r="BE2511"/>
      <c r="BF2511"/>
      <c r="BG2511" t="inlineStr">
        <is>
          <t>Reschedule</t>
        </is>
      </c>
      <c r="BH2511" t="inlineStr">
        <is>
          <t>Reagen</t>
        </is>
      </c>
      <c r="BI2511" t="inlineStr">
        <is>
          <t>Insurance</t>
        </is>
      </c>
      <c r="BJ2511" s="4">
        <v>46144.75025462963</v>
      </c>
      <c r="BK2511" s="4">
        <v>43685.71697916667</v>
      </c>
      <c r="BL2511" t="inlineStr">
        <is>
          <t>0.0</t>
        </is>
      </c>
      <c r="BM2511" t="inlineStr">
        <is>
          <t>0.0</t>
        </is>
      </c>
      <c r="BN2511" t="inlineStr">
        <is>
          <t>User Login</t>
        </is>
      </c>
      <c r="BO2511" s="4">
        <v>44690.4765162037</v>
      </c>
      <c r="BP2511">
        <v>165168</v>
      </c>
      <c r="BQ2511"/>
      <c r="BR2511"/>
      <c r="BS2511"/>
      <c r="BT2511"/>
      <c r="BU2511"/>
      <c r="BV2511">
        <v>2695833</v>
      </c>
      <c r="BW2511" t="inlineStr">
        <is>
          <t>Follow Up : Budget Concern</t>
        </is>
      </c>
      <c r="BX2511"/>
      <c r="BY2511"/>
      <c r="BZ2511" s="4"/>
      <c r="CA2511"/>
      <c r="CB2511"/>
      <c r="CC2511" s="4"/>
      <c r="CD2511" t="inlineStr">
        <is>
          <t>20</t>
        </is>
      </c>
      <c r="CE2511" t="inlineStr">
        <is>
          <t>0</t>
        </is>
      </c>
      <c r="CF2511" t="inlineStr">
        <is>
          <t>Q2-W01</t>
        </is>
      </c>
      <c r="CG2511"/>
      <c r="CH2511"/>
      <c r="CI2511"/>
      <c r="CJ2511" t="inlineStr">
        <is>
          <t>No Paid</t>
        </is>
      </c>
      <c r="CK2511" t="inlineStr">
        <is>
          <t>Not Eligible</t>
        </is>
      </c>
      <c r="CL2511"/>
      <c r="CM2511"/>
    </row>
    <row r="2512" ht="25.5" customHeight="1">
      <c r="A2512" t="inlineStr">
        <is>
          <t>194333</t>
        </is>
      </c>
      <c r="B2512" s="2"/>
      <c r="C2512"/>
      <c r="D2512" s="3">
        <v>46115.55318287037</v>
      </c>
      <c r="E2512" t="inlineStr">
        <is>
          <t>Q2-W01</t>
        </is>
      </c>
      <c r="F2512" t="inlineStr">
        <is>
          <t>Lucas</t>
        </is>
      </c>
      <c r="G2512" t="inlineStr">
        <is>
          <t>Customer</t>
        </is>
      </c>
      <c r="H2512" s="2" t="str">
        <f>=HYPERLINK("https://upbox.ajobthing.my/customer/194333", "https://upbox.ajobthing.my/customer/194333")</f>
        <v>https://upbox.ajobthing.my/customer/194333</v>
      </c>
      <c r="I2512" t="inlineStr">
        <is>
          <t>Maxwide Logistics Malaysia Sdn Bhd</t>
        </is>
      </c>
      <c r="J2512" t="inlineStr">
        <is>
          <t>Small Fish</t>
        </is>
      </c>
      <c r="K2512" t="inlineStr">
        <is>
          <t>Lucas</t>
        </is>
      </c>
      <c r="L2512" s="4"/>
      <c r="M2512" s="4">
        <v>46115.551875</v>
      </c>
      <c r="N2512"/>
      <c r="O2512">
        <v>3888</v>
      </c>
      <c r="P2512" s="4"/>
      <c r="Q2512" s="4">
        <v>46114.41699074074</v>
      </c>
      <c r="R2512"/>
      <c r="S2512">
        <v>0</v>
      </c>
      <c r="T2512" s="4"/>
      <c r="U2512" s="4"/>
      <c r="V2512"/>
      <c r="W2512"/>
      <c r="X2512"/>
      <c r="Y2512" t="inlineStr">
        <is>
          <t>Pending Appointment</t>
        </is>
      </c>
      <c r="Z2512" t="inlineStr">
        <is>
          <t>Hiring Later</t>
        </is>
      </c>
      <c r="AA2512">
        <v>1</v>
      </c>
      <c r="AB2512" t="inlineStr">
        <is>
          <t>No Appointment Made</t>
        </is>
      </c>
      <c r="AC2512"/>
      <c r="AD2512" t="inlineStr">
        <is>
          <t xml:space="preserve">1 intern only </t>
        </is>
      </c>
      <c r="AE2512"/>
      <c r="AF2512">
        <v>0</v>
      </c>
      <c r="AG2512" s="4"/>
      <c r="AH2512" s="4"/>
      <c r="AI2512">
        <v>0</v>
      </c>
      <c r="AJ2512"/>
      <c r="AK2512" t="inlineStr">
        <is>
          <t>No, I don't need at all</t>
        </is>
      </c>
      <c r="AL2512">
        <v>0</v>
      </c>
      <c r="AM2512" t="inlineStr">
        <is>
          <t>No, I don't need at all</t>
        </is>
      </c>
      <c r="AN2512"/>
      <c r="AO2512" t="inlineStr">
        <is>
          <t>No, I don't need at all</t>
        </is>
      </c>
      <c r="AP2512" t="inlineStr">
        <is>
          <t>Once a year (25%)</t>
        </is>
      </c>
      <c r="AQ2512">
        <v>1</v>
      </c>
      <c r="AR2512" t="inlineStr">
        <is>
          <t>Did not use any job portal</t>
        </is>
      </c>
      <c r="AS2512" t="inlineStr">
        <is>
          <t>- Headcount: 1
- Hiring Job Details: 1 intern only
- Hiring Urgency: Hiring Later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12">
        <v>95</v>
      </c>
      <c r="AU2512" t="inlineStr">
        <is>
          <t>0.95</t>
        </is>
      </c>
      <c r="AV2512" t="inlineStr">
        <is>
          <t>15</t>
        </is>
      </c>
      <c r="AW2512" t="inlineStr">
        <is>
          <t>0</t>
        </is>
      </c>
      <c r="AX2512" t="inlineStr">
        <is>
          <t>Not Qualified</t>
        </is>
      </c>
      <c r="AY2512" s="4"/>
      <c r="AZ2512"/>
      <c r="BA2512"/>
      <c r="BB2512"/>
      <c r="BC2512" t="inlineStr">
        <is>
          <t>she resign from this company already</t>
        </is>
      </c>
      <c r="BD2512" s="4">
        <v>46133.59409722222</v>
      </c>
      <c r="BE2512" t="inlineStr">
        <is>
          <t>paid</t>
        </is>
      </c>
      <c r="BF2512"/>
      <c r="BG2512" t="inlineStr">
        <is>
          <t>Reschedule</t>
        </is>
      </c>
      <c r="BH2512" t="inlineStr">
        <is>
          <t>Yee Hang</t>
        </is>
      </c>
      <c r="BI2512"/>
      <c r="BJ2512" s="4">
        <v>46144.75269675926</v>
      </c>
      <c r="BK2512" s="4">
        <v>45867.437106481484</v>
      </c>
      <c r="BL2512" t="inlineStr">
        <is>
          <t>0.0</t>
        </is>
      </c>
      <c r="BM2512" t="inlineStr">
        <is>
          <t>0.0</t>
        </is>
      </c>
      <c r="BN2512" t="inlineStr">
        <is>
          <t>View Company Page</t>
        </is>
      </c>
      <c r="BO2512" s="4">
        <v>45867.49261574074</v>
      </c>
      <c r="BP2512">
        <v>165171</v>
      </c>
      <c r="BQ2512">
        <v>119450</v>
      </c>
      <c r="BR2512" t="inlineStr">
        <is>
          <t>Proforma</t>
        </is>
      </c>
      <c r="BS2512" t="inlineStr">
        <is>
          <t>Free Part-Time Job</t>
        </is>
      </c>
      <c r="BT2512"/>
      <c r="BU2512"/>
      <c r="BV2512">
        <v>2718215</v>
      </c>
      <c r="BW2512" t="inlineStr">
        <is>
          <t>Follow Up : Budget Concern</t>
        </is>
      </c>
      <c r="BX2512"/>
      <c r="BY2512"/>
      <c r="BZ2512" s="4"/>
      <c r="CA2512"/>
      <c r="CB2512"/>
      <c r="CC2512" s="4"/>
      <c r="CD2512" t="inlineStr">
        <is>
          <t>20</t>
        </is>
      </c>
      <c r="CE2512" t="inlineStr">
        <is>
          <t>0</t>
        </is>
      </c>
      <c r="CF2512" t="inlineStr">
        <is>
          <t>Q2-W01</t>
        </is>
      </c>
      <c r="CG2512" t="inlineStr">
        <is>
          <t>Q1-W13</t>
        </is>
      </c>
      <c r="CH2512"/>
      <c r="CI2512"/>
      <c r="CJ2512" t="inlineStr">
        <is>
          <t>No Paid</t>
        </is>
      </c>
      <c r="CK2512" t="inlineStr">
        <is>
          <t>Not Eligible</t>
        </is>
      </c>
      <c r="CL2512"/>
      <c r="CM2512"/>
    </row>
    <row r="2513" ht="25.5" customHeight="1">
      <c r="A2513" t="inlineStr">
        <is>
          <t>20218</t>
        </is>
      </c>
      <c r="B2513" s="2"/>
      <c r="C2513"/>
      <c r="D2513" s="3">
        <v>46115.55793981482</v>
      </c>
      <c r="E2513" t="inlineStr">
        <is>
          <t>Q2-W01</t>
        </is>
      </c>
      <c r="F2513" t="inlineStr">
        <is>
          <t>Eugene</t>
        </is>
      </c>
      <c r="G2513" t="inlineStr">
        <is>
          <t>Customer</t>
        </is>
      </c>
      <c r="H2513" s="2" t="str">
        <f>=HYPERLINK("https://upbox.ajobthing.my/customer/20218", "https://upbox.ajobthing.my/customer/20218")</f>
        <v>https://upbox.ajobthing.my/customer/20218</v>
      </c>
      <c r="I2513" t="inlineStr">
        <is>
          <t>Vision Business Advisory Sdn Bhd</t>
        </is>
      </c>
      <c r="J2513" t="inlineStr">
        <is>
          <t>Small Fish</t>
        </is>
      </c>
      <c r="K2513" t="inlineStr">
        <is>
          <t>Eugene</t>
        </is>
      </c>
      <c r="L2513" s="4"/>
      <c r="M2513" s="4">
        <v>46115.55809027778</v>
      </c>
      <c r="N2513"/>
      <c r="O2513">
        <v>3888</v>
      </c>
      <c r="P2513" s="4"/>
      <c r="Q2513" s="4">
        <v>46122.73773148148</v>
      </c>
      <c r="R2513"/>
      <c r="S2513">
        <v>864</v>
      </c>
      <c r="T2513" s="4">
        <v>46122.73773148148</v>
      </c>
      <c r="U2513" s="4"/>
      <c r="V2513"/>
      <c r="W2513">
        <v>864</v>
      </c>
      <c r="X2513"/>
      <c r="Y2513" t="inlineStr">
        <is>
          <t>Pending Appointment</t>
        </is>
      </c>
      <c r="Z2513" t="inlineStr">
        <is>
          <t>Hiring Now</t>
        </is>
      </c>
      <c r="AA2513">
        <v>2</v>
      </c>
      <c r="AB2513" t="inlineStr">
        <is>
          <t>No Appointment Made</t>
        </is>
      </c>
      <c r="AC2513"/>
      <c r="AD2513" t="inlineStr">
        <is>
          <t>2 account exec, based in Skudai</t>
        </is>
      </c>
      <c r="AE2513"/>
      <c r="AF2513">
        <v>3000</v>
      </c>
      <c r="AG2513" s="4"/>
      <c r="AH2513" s="4"/>
      <c r="AI2513">
        <v>3000</v>
      </c>
      <c r="AJ2513">
        <v>1</v>
      </c>
      <c r="AK2513" t="inlineStr">
        <is>
          <t>No, I don't need at all</t>
        </is>
      </c>
      <c r="AL2513">
        <v>0</v>
      </c>
      <c r="AM2513" t="inlineStr">
        <is>
          <t>No, I don't need at all</t>
        </is>
      </c>
      <c r="AN2513"/>
      <c r="AO2513" t="inlineStr">
        <is>
          <t>No, I don't need at all</t>
        </is>
      </c>
      <c r="AP2513" t="inlineStr">
        <is>
          <t>Once a year (25%)</t>
        </is>
      </c>
      <c r="AQ2513">
        <v>4</v>
      </c>
      <c r="AR2513" t="inlineStr">
        <is>
          <t>Did not use any job portal</t>
        </is>
      </c>
      <c r="AS2513" t="inlineStr">
        <is>
          <t>- Headcount: 2
- Hiring Job Details: 2 account exec, based in Skudai
- Hiring Urgency: Hiring Now
- Number of outlets: 1
- Have recruiter team: No, I don't need at all
- Number of recruiter in company: 0
- Have ATS system: No, I don't need at all
- Have career website: No, I don't need at all
- Current hiring budget: RM3,000
- Whole year budget: RM3,000.00
- Whole year number of vacancies: 4
- Hiring frequency: Once a year (25%)
- External job portal: Did not use any job portal</t>
        </is>
      </c>
      <c r="AT2513">
        <v>110</v>
      </c>
      <c r="AU2513" t="inlineStr">
        <is>
          <t>1.10</t>
        </is>
      </c>
      <c r="AV2513" t="inlineStr">
        <is>
          <t>15</t>
        </is>
      </c>
      <c r="AW2513" t="inlineStr">
        <is>
          <t>0</t>
        </is>
      </c>
      <c r="AX2513" t="inlineStr">
        <is>
          <t>Not Qualified</t>
        </is>
      </c>
      <c r="AY2513" s="4"/>
      <c r="AZ2513"/>
      <c r="BA2513"/>
      <c r="BB2513"/>
      <c r="BC2513" t="inlineStr">
        <is>
          <t>sfsg</t>
        </is>
      </c>
      <c r="BD2513" s="4">
        <v>46127.655173611114</v>
      </c>
      <c r="BE2513" t="inlineStr">
        <is>
          <t>paid</t>
        </is>
      </c>
      <c r="BF2513" t="inlineStr">
        <is>
          <t>Q2-W02</t>
        </is>
      </c>
      <c r="BG2513" t="inlineStr">
        <is>
          <t>Reschedule</t>
        </is>
      </c>
      <c r="BH2513" t="inlineStr">
        <is>
          <t>Edward Hoo</t>
        </is>
      </c>
      <c r="BI2513"/>
      <c r="BJ2513" s="4">
        <v>46144.75398148148</v>
      </c>
      <c r="BK2513" s="4">
        <v>42478.85665509259</v>
      </c>
      <c r="BL2513" t="inlineStr">
        <is>
          <t>864.0</t>
        </is>
      </c>
      <c r="BM2513" t="inlineStr">
        <is>
          <t>0.0</t>
        </is>
      </c>
      <c r="BN2513" t="inlineStr">
        <is>
          <t>View Company Page</t>
        </is>
      </c>
      <c r="BO2513" s="4">
        <v>46140.420011574075</v>
      </c>
      <c r="BP2513">
        <v>165173</v>
      </c>
      <c r="BQ2513">
        <v>7607</v>
      </c>
      <c r="BR2513" t="inlineStr">
        <is>
          <t>Manual (Paid)</t>
        </is>
      </c>
      <c r="BS2513" t="inlineStr">
        <is>
          <t>AI Ala Carte
- A la carte for 1 AI Job Ad
- 1 AI Job Ad will be published on Maukerja, Ricebowl and our partner platforms
- 1 AI Job Ad will be published for 45 days
- 10 Free Candidates Profiles Unlock
- 3 Free Job Ad for any type of Intern / High Pay / Part-time / Volunteer / Freelance / Singapore Job
- Package valid for 1 month
- AI Capability
- AI Instant Match for 30 profiles
- AI Daily Talent Recommendation for 2 profiles daily for 45 days
- AI "Open to Work" Detector for 2 profiles for 10 days
- AI Smart Filter
- AI Post Job Assistant
- Ajobthing CARE</t>
        </is>
      </c>
      <c r="BT2513">
        <v>7607</v>
      </c>
      <c r="BU2513"/>
      <c r="BV2513">
        <v>2706316</v>
      </c>
      <c r="BW2513" t="inlineStr">
        <is>
          <t>Service / Technical : Job Outcome Enquiry</t>
        </is>
      </c>
      <c r="BX2513">
        <v>1</v>
      </c>
      <c r="BY2513">
        <v>0</v>
      </c>
      <c r="BZ2513" s="4">
        <v>46123.58081018519</v>
      </c>
      <c r="CA2513">
        <v>23</v>
      </c>
      <c r="CB2513">
        <v>19</v>
      </c>
      <c r="CC2513" s="4">
        <v>46134.34196759259</v>
      </c>
      <c r="CD2513" t="inlineStr">
        <is>
          <t>20</t>
        </is>
      </c>
      <c r="CE2513" t="inlineStr">
        <is>
          <t>0</t>
        </is>
      </c>
      <c r="CF2513" t="inlineStr">
        <is>
          <t>Q2-W01</t>
        </is>
      </c>
      <c r="CG2513" t="inlineStr">
        <is>
          <t>Q2-W02</t>
        </is>
      </c>
      <c r="CH2513" t="inlineStr">
        <is>
          <t>Q2-W02</t>
        </is>
      </c>
      <c r="CI2513"/>
      <c r="CJ2513" t="inlineStr">
        <is>
          <t>Paid</t>
        </is>
      </c>
      <c r="CK2513" t="inlineStr">
        <is>
          <t>Not Eligible</t>
        </is>
      </c>
      <c r="CL2513"/>
      <c r="CM2513"/>
    </row>
    <row r="2514" ht="25.5" customHeight="1">
      <c r="A2514" t="inlineStr">
        <is>
          <t>178417</t>
        </is>
      </c>
      <c r="B2514" s="2"/>
      <c r="C2514"/>
      <c r="D2514" s="3">
        <v>46115.56704861111</v>
      </c>
      <c r="E2514" t="inlineStr">
        <is>
          <t>Q2-W01</t>
        </is>
      </c>
      <c r="F2514" t="inlineStr">
        <is>
          <t>Dickson</t>
        </is>
      </c>
      <c r="G2514" t="inlineStr">
        <is>
          <t>Customer</t>
        </is>
      </c>
      <c r="H2514" s="2" t="str">
        <f>=HYPERLINK("https://upbox.ajobthing.my/customer/178417", "https://upbox.ajobthing.my/customer/178417")</f>
        <v>https://upbox.ajobthing.my/customer/178417</v>
      </c>
      <c r="I2514" t="inlineStr">
        <is>
          <t>Kasui Techno  sdn Bhd</t>
        </is>
      </c>
      <c r="J2514" t="inlineStr">
        <is>
          <t>Small Fish</t>
        </is>
      </c>
      <c r="K2514" t="inlineStr">
        <is>
          <t>Dickson</t>
        </is>
      </c>
      <c r="L2514" s="4"/>
      <c r="M2514" s="4">
        <v>46115.567141203705</v>
      </c>
      <c r="N2514"/>
      <c r="O2514">
        <v>1296</v>
      </c>
      <c r="P2514" s="4"/>
      <c r="Q2514" s="4">
        <v>45440.65027777778</v>
      </c>
      <c r="R2514"/>
      <c r="S2514">
        <v>972</v>
      </c>
      <c r="T2514" s="4">
        <v>45440.65027777778</v>
      </c>
      <c r="U2514" s="4"/>
      <c r="V2514"/>
      <c r="W2514">
        <v>972</v>
      </c>
      <c r="X2514"/>
      <c r="Y2514" t="inlineStr">
        <is>
          <t>Pending Appointment</t>
        </is>
      </c>
      <c r="Z2514" t="inlineStr">
        <is>
          <t>Hiring Now</t>
        </is>
      </c>
      <c r="AA2514">
        <v>1</v>
      </c>
      <c r="AB2514" t="inlineStr">
        <is>
          <t>No Appointment Made</t>
        </is>
      </c>
      <c r="AC2514"/>
      <c r="AD2514" t="inlineStr">
        <is>
          <t>1 project engineer</t>
        </is>
      </c>
      <c r="AE2514"/>
      <c r="AF2514"/>
      <c r="AG2514" s="4"/>
      <c r="AH2514" s="4"/>
      <c r="AI2514"/>
      <c r="AJ2514">
        <v>1</v>
      </c>
      <c r="AK2514" t="inlineStr">
        <is>
          <t>No, I don't need at all</t>
        </is>
      </c>
      <c r="AL2514"/>
      <c r="AM2514" t="inlineStr">
        <is>
          <t>No, I don't need at all</t>
        </is>
      </c>
      <c r="AN2514"/>
      <c r="AO2514" t="inlineStr">
        <is>
          <t>No, I don't need at all</t>
        </is>
      </c>
      <c r="AP2514" t="inlineStr">
        <is>
          <t>Once per quarter (75%)</t>
        </is>
      </c>
      <c r="AQ2514"/>
      <c r="AR2514" t="inlineStr">
        <is>
          <t>Jobstreet</t>
        </is>
      </c>
      <c r="AS2514" t="inlineStr">
        <is>
          <t>- Headcount: 1
- Hiring Job Details: 1 project engineer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Jobstreet</t>
        </is>
      </c>
      <c r="AT2514">
        <v>95</v>
      </c>
      <c r="AU2514" t="inlineStr">
        <is>
          <t>0.95</t>
        </is>
      </c>
      <c r="AV2514" t="inlineStr">
        <is>
          <t>5</t>
        </is>
      </c>
      <c r="AW2514" t="inlineStr">
        <is>
          <t>0</t>
        </is>
      </c>
      <c r="AX2514" t="inlineStr">
        <is>
          <t>Not Qualified</t>
        </is>
      </c>
      <c r="AY2514" s="4"/>
      <c r="AZ2514"/>
      <c r="BA2514"/>
      <c r="BB2514"/>
      <c r="BC2514" t="inlineStr">
        <is>
          <t>monitoring performance from JS</t>
        </is>
      </c>
      <c r="BD2514" s="4">
        <v>46133.65429398148</v>
      </c>
      <c r="BE2514" t="inlineStr">
        <is>
          <t>paid</t>
        </is>
      </c>
      <c r="BF2514"/>
      <c r="BG2514" t="inlineStr">
        <is>
          <t>Reschedule</t>
        </is>
      </c>
      <c r="BH2514" t="inlineStr">
        <is>
          <t>Edward Hoo</t>
        </is>
      </c>
      <c r="BI2514" t="inlineStr">
        <is>
          <t>Engineering / Technical Consulting</t>
        </is>
      </c>
      <c r="BJ2514" s="4">
        <v>46144.75173611111</v>
      </c>
      <c r="BK2514" s="4">
        <v>45427.436944444446</v>
      </c>
      <c r="BL2514" t="inlineStr">
        <is>
          <t>0.0</t>
        </is>
      </c>
      <c r="BM2514" t="inlineStr">
        <is>
          <t>600.0</t>
        </is>
      </c>
      <c r="BN2514" t="inlineStr">
        <is>
          <t>View Company Page</t>
        </is>
      </c>
      <c r="BO2514" s="4">
        <v>45698.75212962963</v>
      </c>
      <c r="BP2514">
        <v>165176</v>
      </c>
      <c r="BQ2514">
        <v>69558</v>
      </c>
      <c r="BR2514" t="inlineStr">
        <is>
          <t>Online</t>
        </is>
      </c>
      <c r="BS2514"/>
      <c r="BT2514">
        <v>69558</v>
      </c>
      <c r="BU2514"/>
      <c r="BV2514">
        <v>2718604</v>
      </c>
      <c r="BW2514" t="inlineStr">
        <is>
          <t>Follow Up : Decision Pending</t>
        </is>
      </c>
      <c r="BX2514"/>
      <c r="BY2514"/>
      <c r="BZ2514" s="4"/>
      <c r="CA2514"/>
      <c r="CB2514"/>
      <c r="CC2514" s="4"/>
      <c r="CD2514" t="inlineStr">
        <is>
          <t>5</t>
        </is>
      </c>
      <c r="CE2514" t="inlineStr">
        <is>
          <t>0</t>
        </is>
      </c>
      <c r="CF2514" t="inlineStr">
        <is>
          <t>Q2-W01</t>
        </is>
      </c>
      <c r="CG2514"/>
      <c r="CH2514"/>
      <c r="CI2514"/>
      <c r="CJ2514" t="inlineStr">
        <is>
          <t>Paid</t>
        </is>
      </c>
      <c r="CK2514" t="inlineStr">
        <is>
          <t>Not Eligible</t>
        </is>
      </c>
      <c r="CL2514"/>
      <c r="CM2514"/>
    </row>
    <row r="2515" ht="25.5" customHeight="1">
      <c r="A2515" t="inlineStr">
        <is>
          <t>193522</t>
        </is>
      </c>
      <c r="B2515" s="2"/>
      <c r="C2515"/>
      <c r="D2515" s="3">
        <v>46115.567824074074</v>
      </c>
      <c r="E2515" t="inlineStr">
        <is>
          <t>Q2-W01</t>
        </is>
      </c>
      <c r="F2515" t="inlineStr">
        <is>
          <t>Lucas</t>
        </is>
      </c>
      <c r="G2515" t="inlineStr">
        <is>
          <t>Customer</t>
        </is>
      </c>
      <c r="H2515" s="2" t="str">
        <f>=HYPERLINK("https://upbox.ajobthing.my/customer/193522", "https://upbox.ajobthing.my/customer/193522")</f>
        <v>https://upbox.ajobthing.my/customer/193522</v>
      </c>
      <c r="I2515" t="inlineStr">
        <is>
          <t>Jwe Premium Home Tiling Sdn Bhd</t>
        </is>
      </c>
      <c r="J2515" t="inlineStr">
        <is>
          <t>Small Fish</t>
        </is>
      </c>
      <c r="K2515" t="inlineStr">
        <is>
          <t>Lucas</t>
        </is>
      </c>
      <c r="L2515" s="4"/>
      <c r="M2515" s="4">
        <v>46115.56625</v>
      </c>
      <c r="N2515"/>
      <c r="O2515">
        <v>3888</v>
      </c>
      <c r="P2515" s="4"/>
      <c r="Q2515" s="4"/>
      <c r="R2515"/>
      <c r="S2515"/>
      <c r="T2515" s="4"/>
      <c r="U2515" s="4"/>
      <c r="V2515"/>
      <c r="W2515"/>
      <c r="X2515"/>
      <c r="Y2515" t="inlineStr">
        <is>
          <t>Pending Appointment</t>
        </is>
      </c>
      <c r="Z2515" t="inlineStr">
        <is>
          <t>Hiring Now</t>
        </is>
      </c>
      <c r="AA2515">
        <v>1</v>
      </c>
      <c r="AB2515" t="inlineStr">
        <is>
          <t>No Appointment Made</t>
        </is>
      </c>
      <c r="AC2515"/>
      <c r="AD2515" t="inlineStr">
        <is>
          <t>1 hr (intern)</t>
        </is>
      </c>
      <c r="AE2515"/>
      <c r="AF2515">
        <v>0</v>
      </c>
      <c r="AG2515" s="4"/>
      <c r="AH2515" s="4"/>
      <c r="AI2515">
        <v>0</v>
      </c>
      <c r="AJ2515">
        <v>0</v>
      </c>
      <c r="AK2515" t="inlineStr">
        <is>
          <t>No, I don't need at all</t>
        </is>
      </c>
      <c r="AL2515">
        <v>0</v>
      </c>
      <c r="AM2515" t="inlineStr">
        <is>
          <t>No, I don't need at all</t>
        </is>
      </c>
      <c r="AN2515"/>
      <c r="AO2515" t="inlineStr">
        <is>
          <t>No, I don't need at all</t>
        </is>
      </c>
      <c r="AP2515" t="inlineStr">
        <is>
          <t>Once a year (25%)</t>
        </is>
      </c>
      <c r="AQ2515">
        <v>1</v>
      </c>
      <c r="AR2515" t="inlineStr">
        <is>
          <t>Did not use any job portal</t>
        </is>
      </c>
      <c r="AS2515" t="inlineStr">
        <is>
          <t>- Headcount: 1
- Hiring Job Details: 1 hr (intern)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15">
        <v>85</v>
      </c>
      <c r="AU2515" t="inlineStr">
        <is>
          <t>0.85</t>
        </is>
      </c>
      <c r="AV2515" t="inlineStr">
        <is>
          <t>15</t>
        </is>
      </c>
      <c r="AW2515" t="inlineStr">
        <is>
          <t>0</t>
        </is>
      </c>
      <c r="AX2515" t="inlineStr">
        <is>
          <t>Not Qualified</t>
        </is>
      </c>
      <c r="AY2515" s="4"/>
      <c r="AZ2515"/>
      <c r="BA2515"/>
      <c r="BB2515"/>
      <c r="BC2515" t="inlineStr">
        <is>
          <t>FU2</t>
        </is>
      </c>
      <c r="BD2515" s="4">
        <v>46133.59511574074</v>
      </c>
      <c r="BE2515"/>
      <c r="BF2515"/>
      <c r="BG2515" t="inlineStr">
        <is>
          <t>Reschedule</t>
        </is>
      </c>
      <c r="BH2515" t="inlineStr">
        <is>
          <t>Yee Hang</t>
        </is>
      </c>
      <c r="BI2515" t="inlineStr">
        <is>
          <t>General / Wholesale Trading</t>
        </is>
      </c>
      <c r="BJ2515" s="4">
        <v>46144.75263888889</v>
      </c>
      <c r="BK2515" s="4">
        <v>45846.67040509259</v>
      </c>
      <c r="BL2515" t="inlineStr">
        <is>
          <t>0.0</t>
        </is>
      </c>
      <c r="BM2515" t="inlineStr">
        <is>
          <t>0.0</t>
        </is>
      </c>
      <c r="BN2515" t="inlineStr">
        <is>
          <t>View Account User</t>
        </is>
      </c>
      <c r="BO2515" s="4">
        <v>46114.40079861111</v>
      </c>
      <c r="BP2515">
        <v>165175</v>
      </c>
      <c r="BQ2515"/>
      <c r="BR2515"/>
      <c r="BS2515"/>
      <c r="BT2515"/>
      <c r="BU2515"/>
      <c r="BV2515">
        <v>2718225</v>
      </c>
      <c r="BW2515" t="inlineStr">
        <is>
          <t>No Answer : Voicemail - WA sent to customer</t>
        </is>
      </c>
      <c r="BX2515"/>
      <c r="BY2515"/>
      <c r="BZ2515" s="4"/>
      <c r="CA2515"/>
      <c r="CB2515"/>
      <c r="CC2515" s="4"/>
      <c r="CD2515" t="inlineStr">
        <is>
          <t>20</t>
        </is>
      </c>
      <c r="CE2515" t="inlineStr">
        <is>
          <t>0</t>
        </is>
      </c>
      <c r="CF2515" t="inlineStr">
        <is>
          <t>Q2-W01</t>
        </is>
      </c>
      <c r="CG2515"/>
      <c r="CH2515"/>
      <c r="CI2515"/>
      <c r="CJ2515" t="inlineStr">
        <is>
          <t>No Paid</t>
        </is>
      </c>
      <c r="CK2515" t="inlineStr">
        <is>
          <t>Not Eligible</t>
        </is>
      </c>
      <c r="CL2515"/>
      <c r="CM2515"/>
    </row>
    <row r="2516" ht="25.5" customHeight="1">
      <c r="A2516" t="inlineStr">
        <is>
          <t>4232876</t>
        </is>
      </c>
      <c r="B2516" s="2"/>
      <c r="C2516"/>
      <c r="D2516" s="3">
        <v>46115.573969907404</v>
      </c>
      <c r="E2516" t="inlineStr">
        <is>
          <t>Q2-W01</t>
        </is>
      </c>
      <c r="F2516" t="inlineStr">
        <is>
          <t>Chia Yee</t>
        </is>
      </c>
      <c r="G2516" t="inlineStr">
        <is>
          <t>Lead</t>
        </is>
      </c>
      <c r="H2516" s="2" t="str">
        <f>=HYPERLINK("https://upbox.ajobthing.my/leads/4232876", "https://upbox.ajobthing.my/leads/4232876")</f>
        <v>https://upbox.ajobthing.my/leads/4232876</v>
      </c>
      <c r="I2516" t="inlineStr">
        <is>
          <t>June Ng</t>
        </is>
      </c>
      <c r="J2516" t="inlineStr">
        <is>
          <t>Small Fish</t>
        </is>
      </c>
      <c r="K2516" t="inlineStr">
        <is>
          <t>Chia Yee</t>
        </is>
      </c>
      <c r="L2516" s="4"/>
      <c r="M2516" s="4">
        <v>46115.574849537035</v>
      </c>
      <c r="N2516"/>
      <c r="O2516">
        <v>1296</v>
      </c>
      <c r="P2516" s="4"/>
      <c r="Q2516" s="4"/>
      <c r="R2516"/>
      <c r="S2516"/>
      <c r="T2516" s="4"/>
      <c r="U2516" s="4"/>
      <c r="V2516"/>
      <c r="W2516"/>
      <c r="X2516"/>
      <c r="Y2516" t="inlineStr">
        <is>
          <t>Pending Appointment</t>
        </is>
      </c>
      <c r="Z2516" t="inlineStr">
        <is>
          <t>Hiring Now</t>
        </is>
      </c>
      <c r="AA2516">
        <v>1</v>
      </c>
      <c r="AB2516" t="inlineStr">
        <is>
          <t>No Appointment Made</t>
        </is>
      </c>
      <c r="AC2516"/>
      <c r="AD2516" t="inlineStr">
        <is>
          <t xml:space="preserve"> 1 HC for warehouse supervisor</t>
        </is>
      </c>
      <c r="AE2516"/>
      <c r="AF2516">
        <v>0</v>
      </c>
      <c r="AG2516" s="4"/>
      <c r="AH2516" s="4"/>
      <c r="AI2516">
        <v>0</v>
      </c>
      <c r="AJ2516">
        <v>0</v>
      </c>
      <c r="AK2516" t="inlineStr">
        <is>
          <t>No, I don't need at all</t>
        </is>
      </c>
      <c r="AL2516">
        <v>1</v>
      </c>
      <c r="AM2516" t="inlineStr">
        <is>
          <t>No, I don't need at all</t>
        </is>
      </c>
      <c r="AN2516"/>
      <c r="AO2516" t="inlineStr">
        <is>
          <t>No, I don't need at all</t>
        </is>
      </c>
      <c r="AP2516" t="inlineStr">
        <is>
          <t>Once a year (25%)</t>
        </is>
      </c>
      <c r="AQ2516">
        <v>1</v>
      </c>
      <c r="AR2516" t="inlineStr">
        <is>
          <t>Did not use any job portal</t>
        </is>
      </c>
      <c r="AS2516" t="inlineStr">
        <is>
          <t>- Headcount: 1
- Hiring Job Details: 1 HC for warehouse supervisor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516">
        <v>115</v>
      </c>
      <c r="AU2516" t="inlineStr">
        <is>
          <t>1.15</t>
        </is>
      </c>
      <c r="AV2516" t="inlineStr">
        <is>
          <t>15</t>
        </is>
      </c>
      <c r="AW2516" t="inlineStr">
        <is>
          <t>0</t>
        </is>
      </c>
      <c r="AX2516" t="inlineStr">
        <is>
          <t>Not Qualified</t>
        </is>
      </c>
      <c r="AY2516" s="4"/>
      <c r="AZ2516"/>
      <c r="BA2516"/>
      <c r="BB2516"/>
      <c r="BC2516"/>
      <c r="BD2516" s="4"/>
      <c r="BE2516"/>
      <c r="BF2516"/>
      <c r="BG2516" t="inlineStr">
        <is>
          <t>Reschedule</t>
        </is>
      </c>
      <c r="BH2516" t="inlineStr">
        <is>
          <t>Reagen</t>
        </is>
      </c>
      <c r="BI2516"/>
      <c r="BJ2516" s="4">
        <v>46144.755694444444</v>
      </c>
      <c r="BK2516" s="4">
        <v>46114.90011574074</v>
      </c>
      <c r="BL2516" t="inlineStr">
        <is>
          <t>0.0</t>
        </is>
      </c>
      <c r="BM2516" t="inlineStr">
        <is>
          <t>0.0</t>
        </is>
      </c>
      <c r="BN2516"/>
      <c r="BO2516" s="4"/>
      <c r="BP2516">
        <v>165178</v>
      </c>
      <c r="BQ2516"/>
      <c r="BR2516"/>
      <c r="BS2516"/>
      <c r="BT2516"/>
      <c r="BU2516"/>
      <c r="BV2516"/>
      <c r="BW2516"/>
      <c r="BX2516"/>
      <c r="BY2516"/>
      <c r="BZ2516" s="4"/>
      <c r="CA2516"/>
      <c r="CB2516"/>
      <c r="CC2516" s="4"/>
      <c r="CD2516" t="inlineStr">
        <is>
          <t>20</t>
        </is>
      </c>
      <c r="CE2516" t="inlineStr">
        <is>
          <t>0</t>
        </is>
      </c>
      <c r="CF2516" t="inlineStr">
        <is>
          <t>Q2-W01</t>
        </is>
      </c>
      <c r="CG2516"/>
      <c r="CH2516"/>
      <c r="CI2516"/>
      <c r="CJ2516" t="inlineStr">
        <is>
          <t>No Paid</t>
        </is>
      </c>
      <c r="CK2516" t="inlineStr">
        <is>
          <t>Not Eligible</t>
        </is>
      </c>
      <c r="CL2516"/>
      <c r="CM2516"/>
    </row>
    <row r="2517" ht="25.5" customHeight="1">
      <c r="A2517" t="inlineStr">
        <is>
          <t>202788</t>
        </is>
      </c>
      <c r="B2517" s="2"/>
      <c r="C2517"/>
      <c r="D2517" s="3">
        <v>46115.58466435185</v>
      </c>
      <c r="E2517" t="inlineStr">
        <is>
          <t>Q2-W01</t>
        </is>
      </c>
      <c r="F2517" t="inlineStr">
        <is>
          <t>Keegan</t>
        </is>
      </c>
      <c r="G2517" t="inlineStr">
        <is>
          <t>Customer</t>
        </is>
      </c>
      <c r="H2517" s="2" t="str">
        <f>=HYPERLINK("https://upbox.ajobthing.my/customer/202788", "https://upbox.ajobthing.my/customer/202788")</f>
        <v>https://upbox.ajobthing.my/customer/202788</v>
      </c>
      <c r="I2517" t="inlineStr">
        <is>
          <t>ASB Welding Machinery Sdn Bhd</t>
        </is>
      </c>
      <c r="J2517" t="inlineStr">
        <is>
          <t>Small Fish</t>
        </is>
      </c>
      <c r="K2517" t="inlineStr">
        <is>
          <t>Keegan</t>
        </is>
      </c>
      <c r="L2517" s="4"/>
      <c r="M2517" s="4">
        <v>46115.58479166667</v>
      </c>
      <c r="N2517"/>
      <c r="O2517">
        <v>3672</v>
      </c>
      <c r="P2517" s="4"/>
      <c r="Q2517" s="4"/>
      <c r="R2517"/>
      <c r="S2517"/>
      <c r="T2517" s="4"/>
      <c r="U2517" s="4"/>
      <c r="V2517"/>
      <c r="W2517"/>
      <c r="X2517"/>
      <c r="Y2517" t="inlineStr">
        <is>
          <t>Pending Appointment</t>
        </is>
      </c>
      <c r="Z2517" t="inlineStr">
        <is>
          <t>Hiring Now</t>
        </is>
      </c>
      <c r="AA2517">
        <v>1</v>
      </c>
      <c r="AB2517" t="inlineStr">
        <is>
          <t>No Appointment Made</t>
        </is>
      </c>
      <c r="AC2517"/>
      <c r="AD2517" t="inlineStr">
        <is>
          <t xml:space="preserve">1. Technician  </t>
        </is>
      </c>
      <c r="AE2517"/>
      <c r="AF2517"/>
      <c r="AG2517" s="4"/>
      <c r="AH2517" s="4"/>
      <c r="AI2517"/>
      <c r="AJ2517">
        <v>1</v>
      </c>
      <c r="AK2517" t="inlineStr">
        <is>
          <t>No, I don't need at all</t>
        </is>
      </c>
      <c r="AL2517">
        <v>0</v>
      </c>
      <c r="AM2517" t="inlineStr">
        <is>
          <t>No, I don't need at all</t>
        </is>
      </c>
      <c r="AN2517"/>
      <c r="AO2517" t="inlineStr">
        <is>
          <t>No, I don't need at all</t>
        </is>
      </c>
      <c r="AP2517" t="inlineStr">
        <is>
          <t>Once per quarter (75%)</t>
        </is>
      </c>
      <c r="AQ2517"/>
      <c r="AR2517" t="inlineStr">
        <is>
          <t>Did not use any job portal</t>
        </is>
      </c>
      <c r="AS2517" t="inlineStr">
        <is>
          <t>- Headcount: 1
- Hiring Job Details: 1 Technician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17">
        <v>100</v>
      </c>
      <c r="AU2517" t="inlineStr">
        <is>
          <t>1.00</t>
        </is>
      </c>
      <c r="AV2517" t="inlineStr">
        <is>
          <t>5</t>
        </is>
      </c>
      <c r="AW2517" t="inlineStr">
        <is>
          <t>0</t>
        </is>
      </c>
      <c r="AX2517" t="inlineStr">
        <is>
          <t>Not Qualified</t>
        </is>
      </c>
      <c r="AY2517" s="4"/>
      <c r="AZ2517"/>
      <c r="BA2517"/>
      <c r="BB2517"/>
      <c r="BC2517" t="inlineStr">
        <is>
          <t>- Headcount: 1
- Hiring Job Details: 1 Technician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517" s="4">
        <v>46115.625023148146</v>
      </c>
      <c r="BE2517"/>
      <c r="BF2517"/>
      <c r="BG2517" t="inlineStr">
        <is>
          <t>Reschedule</t>
        </is>
      </c>
      <c r="BH2517" t="inlineStr">
        <is>
          <t>Edward Hoo</t>
        </is>
      </c>
      <c r="BI2517"/>
      <c r="BJ2517" s="4">
        <v>46144.75412037037</v>
      </c>
      <c r="BK2517" s="4">
        <v>46115.58383101852</v>
      </c>
      <c r="BL2517" t="inlineStr">
        <is>
          <t>0.0</t>
        </is>
      </c>
      <c r="BM2517" t="inlineStr">
        <is>
          <t>0.0</t>
        </is>
      </c>
      <c r="BN2517"/>
      <c r="BO2517" s="4"/>
      <c r="BP2517">
        <v>165183</v>
      </c>
      <c r="BQ2517"/>
      <c r="BR2517"/>
      <c r="BS2517"/>
      <c r="BT2517"/>
      <c r="BU2517"/>
      <c r="BV2517">
        <v>2683098</v>
      </c>
      <c r="BW2517" t="inlineStr">
        <is>
          <t>Customer Inquiry</t>
        </is>
      </c>
      <c r="BX2517"/>
      <c r="BY2517"/>
      <c r="BZ2517" s="4"/>
      <c r="CA2517"/>
      <c r="CB2517"/>
      <c r="CC2517" s="4"/>
      <c r="CD2517" t="inlineStr">
        <is>
          <t>5</t>
        </is>
      </c>
      <c r="CE2517" t="inlineStr">
        <is>
          <t>0</t>
        </is>
      </c>
      <c r="CF2517" t="inlineStr">
        <is>
          <t>Q2-W01</t>
        </is>
      </c>
      <c r="CG2517"/>
      <c r="CH2517"/>
      <c r="CI2517"/>
      <c r="CJ2517" t="inlineStr">
        <is>
          <t>No Paid</t>
        </is>
      </c>
      <c r="CK2517" t="inlineStr">
        <is>
          <t>Not Eligible</t>
        </is>
      </c>
      <c r="CL2517"/>
      <c r="CM2517"/>
    </row>
    <row r="2518" ht="25.5" customHeight="1">
      <c r="A2518" t="inlineStr">
        <is>
          <t>202778</t>
        </is>
      </c>
      <c r="B2518" s="2"/>
      <c r="C2518"/>
      <c r="D2518" s="3">
        <v>46115.58627314815</v>
      </c>
      <c r="E2518" t="inlineStr">
        <is>
          <t>Q2-W01</t>
        </is>
      </c>
      <c r="F2518" t="inlineStr">
        <is>
          <t>Evan</t>
        </is>
      </c>
      <c r="G2518" t="inlineStr">
        <is>
          <t>Customer</t>
        </is>
      </c>
      <c r="H2518" s="2" t="str">
        <f>=HYPERLINK("https://upbox.ajobthing.my/customer/202778", "https://upbox.ajobthing.my/customer/202778")</f>
        <v>https://upbox.ajobthing.my/customer/202778</v>
      </c>
      <c r="I2518" t="inlineStr">
        <is>
          <t xml:space="preserve">Penerbit Mybuku Sdn Bhd </t>
        </is>
      </c>
      <c r="J2518" t="inlineStr">
        <is>
          <t>Small Fish</t>
        </is>
      </c>
      <c r="K2518" t="inlineStr">
        <is>
          <t>Evan</t>
        </is>
      </c>
      <c r="L2518" s="4"/>
      <c r="M2518" s="4">
        <v>46115.58497685185</v>
      </c>
      <c r="N2518"/>
      <c r="O2518">
        <v>3888</v>
      </c>
      <c r="P2518" s="4"/>
      <c r="Q2518" s="4">
        <v>46115.48564814815</v>
      </c>
      <c r="R2518"/>
      <c r="S2518">
        <v>0</v>
      </c>
      <c r="T2518" s="4"/>
      <c r="U2518" s="4"/>
      <c r="V2518"/>
      <c r="W2518"/>
      <c r="X2518"/>
      <c r="Y2518" t="inlineStr">
        <is>
          <t>Pending Appointment</t>
        </is>
      </c>
      <c r="Z2518" t="inlineStr">
        <is>
          <t>Hiring Now</t>
        </is>
      </c>
      <c r="AA2518">
        <v>1</v>
      </c>
      <c r="AB2518" t="inlineStr">
        <is>
          <t>No Appointment Made</t>
        </is>
      </c>
      <c r="AC2518"/>
      <c r="AD2518" t="inlineStr">
        <is>
          <t>1 admin, all base in KL</t>
        </is>
      </c>
      <c r="AE2518"/>
      <c r="AF2518">
        <v>1</v>
      </c>
      <c r="AG2518" s="4"/>
      <c r="AH2518" s="4"/>
      <c r="AI2518">
        <v>1</v>
      </c>
      <c r="AJ2518">
        <v>1</v>
      </c>
      <c r="AK2518" t="inlineStr">
        <is>
          <t>No, I don't need at all</t>
        </is>
      </c>
      <c r="AL2518">
        <v>0</v>
      </c>
      <c r="AM2518" t="inlineStr">
        <is>
          <t>No, I don't need at all</t>
        </is>
      </c>
      <c r="AN2518"/>
      <c r="AO2518" t="inlineStr">
        <is>
          <t>No, I don't need at all</t>
        </is>
      </c>
      <c r="AP2518" t="inlineStr">
        <is>
          <t>Once a year (25%)</t>
        </is>
      </c>
      <c r="AQ2518">
        <v>1</v>
      </c>
      <c r="AR2518" t="inlineStr">
        <is>
          <t>Jobstreet</t>
        </is>
      </c>
      <c r="AS2518"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AT2518">
        <v>115</v>
      </c>
      <c r="AU2518" t="inlineStr">
        <is>
          <t>1.15</t>
        </is>
      </c>
      <c r="AV2518" t="inlineStr">
        <is>
          <t>15</t>
        </is>
      </c>
      <c r="AW2518" t="inlineStr">
        <is>
          <t>0</t>
        </is>
      </c>
      <c r="AX2518" t="inlineStr">
        <is>
          <t>Not Qualified</t>
        </is>
      </c>
      <c r="AY2518" s="4"/>
      <c r="AZ2518"/>
      <c r="BA2518"/>
      <c r="BB2518"/>
      <c r="BC2518"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Jobstreet</t>
        </is>
      </c>
      <c r="BD2518" s="4">
        <v>46115.625023148146</v>
      </c>
      <c r="BE2518" t="inlineStr">
        <is>
          <t>paid</t>
        </is>
      </c>
      <c r="BF2518"/>
      <c r="BG2518" t="inlineStr">
        <is>
          <t>Reschedule</t>
        </is>
      </c>
      <c r="BH2518" t="inlineStr">
        <is>
          <t>Edward Hoo</t>
        </is>
      </c>
      <c r="BI2518"/>
      <c r="BJ2518" s="4">
        <v>46144.75412037037</v>
      </c>
      <c r="BK2518" s="4">
        <v>46115.48532407408</v>
      </c>
      <c r="BL2518" t="inlineStr">
        <is>
          <t>0.0</t>
        </is>
      </c>
      <c r="BM2518" t="inlineStr">
        <is>
          <t>600.0</t>
        </is>
      </c>
      <c r="BN2518" t="inlineStr">
        <is>
          <t>View Company Page</t>
        </is>
      </c>
      <c r="BO2518" s="4">
        <v>46115.49717592593</v>
      </c>
      <c r="BP2518">
        <v>165184</v>
      </c>
      <c r="BQ2518">
        <v>119786</v>
      </c>
      <c r="BR2518" t="inlineStr">
        <is>
          <t>Proforma</t>
        </is>
      </c>
      <c r="BS2518" t="inlineStr">
        <is>
          <t>Free Freelance Job</t>
        </is>
      </c>
      <c r="BT2518"/>
      <c r="BU2518"/>
      <c r="BV2518">
        <v>2683099</v>
      </c>
      <c r="BW2518" t="inlineStr">
        <is>
          <t>Customer Inquiry</t>
        </is>
      </c>
      <c r="BX2518"/>
      <c r="BY2518"/>
      <c r="BZ2518" s="4"/>
      <c r="CA2518"/>
      <c r="CB2518"/>
      <c r="CC2518" s="4"/>
      <c r="CD2518" t="inlineStr">
        <is>
          <t>20</t>
        </is>
      </c>
      <c r="CE2518" t="inlineStr">
        <is>
          <t>0</t>
        </is>
      </c>
      <c r="CF2518" t="inlineStr">
        <is>
          <t>Q2-W01</t>
        </is>
      </c>
      <c r="CG2518" t="inlineStr">
        <is>
          <t>Q2-W01</t>
        </is>
      </c>
      <c r="CH2518"/>
      <c r="CI2518"/>
      <c r="CJ2518" t="inlineStr">
        <is>
          <t>No Paid</t>
        </is>
      </c>
      <c r="CK2518" t="inlineStr">
        <is>
          <t>Not Eligible</t>
        </is>
      </c>
      <c r="CL2518"/>
      <c r="CM2518"/>
    </row>
    <row r="2519" ht="25.5" customHeight="1">
      <c r="A2519" t="inlineStr">
        <is>
          <t>57873</t>
        </is>
      </c>
      <c r="B2519" s="2"/>
      <c r="C2519"/>
      <c r="D2519" s="3">
        <v>46115.59275462963</v>
      </c>
      <c r="E2519" t="inlineStr">
        <is>
          <t>Q2-W01</t>
        </is>
      </c>
      <c r="F2519" t="inlineStr">
        <is>
          <t>Eugene</t>
        </is>
      </c>
      <c r="G2519" t="inlineStr">
        <is>
          <t>Customer</t>
        </is>
      </c>
      <c r="H2519" s="2" t="str">
        <f>=HYPERLINK("https://upbox.ajobthing.my/customer/57873", "https://upbox.ajobthing.my/customer/57873")</f>
        <v>https://upbox.ajobthing.my/customer/57873</v>
      </c>
      <c r="I2519" t="inlineStr">
        <is>
          <t>HBM Mechanical Services Sdn Bhd</t>
        </is>
      </c>
      <c r="J2519" t="inlineStr">
        <is>
          <t>Small Fish</t>
        </is>
      </c>
      <c r="K2519" t="inlineStr">
        <is>
          <t>Eugene</t>
        </is>
      </c>
      <c r="L2519" s="4"/>
      <c r="M2519" s="4">
        <v>46115.5928587963</v>
      </c>
      <c r="N2519"/>
      <c r="O2519">
        <v>6048</v>
      </c>
      <c r="P2519" s="4"/>
      <c r="Q2519" s="4"/>
      <c r="R2519"/>
      <c r="S2519"/>
      <c r="T2519" s="4"/>
      <c r="U2519" s="4"/>
      <c r="V2519"/>
      <c r="W2519"/>
      <c r="X2519"/>
      <c r="Y2519" t="inlineStr">
        <is>
          <t>Pending Appointment</t>
        </is>
      </c>
      <c r="Z2519" t="inlineStr">
        <is>
          <t>Hiring Later</t>
        </is>
      </c>
      <c r="AA2519">
        <v>3</v>
      </c>
      <c r="AB2519" t="inlineStr">
        <is>
          <t>No Appointment Made</t>
        </is>
      </c>
      <c r="AC2519"/>
      <c r="AD2519" t="inlineStr">
        <is>
          <t>3 positions, based in KL</t>
        </is>
      </c>
      <c r="AE2519"/>
      <c r="AF2519">
        <v>3000</v>
      </c>
      <c r="AG2519" s="4"/>
      <c r="AH2519" s="4"/>
      <c r="AI2519">
        <v>3000</v>
      </c>
      <c r="AJ2519">
        <v>2</v>
      </c>
      <c r="AK2519" t="inlineStr">
        <is>
          <t>No, I don't need at all</t>
        </is>
      </c>
      <c r="AL2519">
        <v>0</v>
      </c>
      <c r="AM2519" t="inlineStr">
        <is>
          <t>No, I don't need at all</t>
        </is>
      </c>
      <c r="AN2519"/>
      <c r="AO2519" t="inlineStr">
        <is>
          <t>No, I don't need at all</t>
        </is>
      </c>
      <c r="AP2519" t="inlineStr">
        <is>
          <t>Once a year (25%)</t>
        </is>
      </c>
      <c r="AQ2519">
        <v>3</v>
      </c>
      <c r="AR2519" t="inlineStr">
        <is>
          <t>Did not use any job portal</t>
        </is>
      </c>
      <c r="AS2519" t="inlineStr">
        <is>
          <t>- Headcount: 3
- Hiring Job Details: 3 positions, based in KL
- Hiring Urgency: Hiring Later
- Number of outlets: 2
- Have recruiter team: No, I don't need at all
- Number of recruiter in company: 0
- Have ATS system: No, I don't need at all
- Have career website: No, I don't need at all
- Current hiring budget: RM3,000
- Whole year budget: RM3,000.00
- Whole year number of vacancies: 3
- Hiring frequency: Once a year (25%)
- External job portal: Did not use any job portal</t>
        </is>
      </c>
      <c r="AT2519">
        <v>85</v>
      </c>
      <c r="AU2519" t="inlineStr">
        <is>
          <t>0.85</t>
        </is>
      </c>
      <c r="AV2519" t="inlineStr">
        <is>
          <t>15</t>
        </is>
      </c>
      <c r="AW2519" t="inlineStr">
        <is>
          <t>0</t>
        </is>
      </c>
      <c r="AX2519" t="inlineStr">
        <is>
          <t>Not Qualified</t>
        </is>
      </c>
      <c r="AY2519" s="4"/>
      <c r="AZ2519"/>
      <c r="BA2519"/>
      <c r="BB2519"/>
      <c r="BC2519" t="inlineStr">
        <is>
          <t>- Headcount: 3
- Hiring Job Details: 3 positions, based in KL
- Hiring Urgency: Hiring Later
- Number of outlets: 2
- Have recruiter team: No, I don't need at all
- Number of recruiter in company: 0
- Have ATS system: No, I don't need at all
- Have career website: No, I don't need at all
- Current hiring budget: RM3,000
- Whole year budget: RM3,000.00
- Whole year number of vacancies: 3
- Hiring frequency: Once a year (25%)
- External job portal: Did not use any job portal</t>
        </is>
      </c>
      <c r="BD2519" s="4">
        <v>46115.625023148146</v>
      </c>
      <c r="BE2519"/>
      <c r="BF2519"/>
      <c r="BG2519" t="inlineStr">
        <is>
          <t>Reschedule</t>
        </is>
      </c>
      <c r="BH2519" t="inlineStr">
        <is>
          <t>Edward Hoo</t>
        </is>
      </c>
      <c r="BI2519" t="inlineStr">
        <is>
          <t>Construction / Building</t>
        </is>
      </c>
      <c r="BJ2519" s="4">
        <v>46144.75609953704</v>
      </c>
      <c r="BK2519" s="4">
        <v>43355.41525462963</v>
      </c>
      <c r="BL2519" t="inlineStr">
        <is>
          <t>0.0</t>
        </is>
      </c>
      <c r="BM2519" t="inlineStr">
        <is>
          <t>0.0</t>
        </is>
      </c>
      <c r="BN2519" t="inlineStr">
        <is>
          <t>View Shop</t>
        </is>
      </c>
      <c r="BO2519" s="4">
        <v>43355.43748842592</v>
      </c>
      <c r="BP2519">
        <v>165186</v>
      </c>
      <c r="BQ2519"/>
      <c r="BR2519"/>
      <c r="BS2519"/>
      <c r="BT2519"/>
      <c r="BU2519"/>
      <c r="BV2519">
        <v>2683101</v>
      </c>
      <c r="BW2519" t="inlineStr">
        <is>
          <t>Customer Inquiry</t>
        </is>
      </c>
      <c r="BX2519"/>
      <c r="BY2519"/>
      <c r="BZ2519" s="4"/>
      <c r="CA2519"/>
      <c r="CB2519"/>
      <c r="CC2519" s="4"/>
      <c r="CD2519" t="inlineStr">
        <is>
          <t>20</t>
        </is>
      </c>
      <c r="CE2519" t="inlineStr">
        <is>
          <t>0</t>
        </is>
      </c>
      <c r="CF2519" t="inlineStr">
        <is>
          <t>Q2-W01</t>
        </is>
      </c>
      <c r="CG2519"/>
      <c r="CH2519"/>
      <c r="CI2519"/>
      <c r="CJ2519" t="inlineStr">
        <is>
          <t>No Paid</t>
        </is>
      </c>
      <c r="CK2519" t="inlineStr">
        <is>
          <t>Not Eligible</t>
        </is>
      </c>
      <c r="CL2519"/>
      <c r="CM2519"/>
    </row>
    <row r="2520" ht="25.5" customHeight="1">
      <c r="A2520" t="inlineStr">
        <is>
          <t>4238352</t>
        </is>
      </c>
      <c r="B2520" s="2"/>
      <c r="C2520"/>
      <c r="D2520" s="3">
        <v>46115.59909722222</v>
      </c>
      <c r="E2520" t="inlineStr">
        <is>
          <t>Q2-W01</t>
        </is>
      </c>
      <c r="F2520" t="inlineStr">
        <is>
          <t>Jia Hui</t>
        </is>
      </c>
      <c r="G2520" t="inlineStr">
        <is>
          <t>Lead</t>
        </is>
      </c>
      <c r="H2520" s="2" t="str">
        <f>=HYPERLINK("https://upbox.ajobthing.my/leads/4238352", "https://upbox.ajobthing.my/leads/4238352")</f>
        <v>https://upbox.ajobthing.my/leads/4238352</v>
      </c>
      <c r="I2520" t="inlineStr">
        <is>
          <t>WEPUSH CREATIVE STUDIO</t>
        </is>
      </c>
      <c r="J2520" t="inlineStr">
        <is>
          <t>Small Fish</t>
        </is>
      </c>
      <c r="K2520" t="inlineStr">
        <is>
          <t>Jia Hui</t>
        </is>
      </c>
      <c r="L2520" s="4"/>
      <c r="M2520" s="4">
        <v>46115.60271990741</v>
      </c>
      <c r="N2520"/>
      <c r="O2520">
        <v>3672</v>
      </c>
      <c r="P2520" s="4"/>
      <c r="Q2520" s="4"/>
      <c r="R2520"/>
      <c r="S2520"/>
      <c r="T2520" s="4"/>
      <c r="U2520" s="4"/>
      <c r="V2520"/>
      <c r="W2520"/>
      <c r="X2520"/>
      <c r="Y2520" t="inlineStr">
        <is>
          <t>Pending Appointment</t>
        </is>
      </c>
      <c r="Z2520" t="inlineStr">
        <is>
          <t>Hiring Now</t>
        </is>
      </c>
      <c r="AA2520">
        <v>3</v>
      </c>
      <c r="AB2520" t="inlineStr">
        <is>
          <t>No Appointment Made</t>
        </is>
      </c>
      <c r="AC2520"/>
      <c r="AD2520" t="inlineStr">
        <is>
          <t>1 designer, 1 creative executive, 1 intern</t>
        </is>
      </c>
      <c r="AE2520"/>
      <c r="AF2520">
        <v>500</v>
      </c>
      <c r="AG2520" s="4"/>
      <c r="AH2520" s="4"/>
      <c r="AI2520"/>
      <c r="AJ2520"/>
      <c r="AK2520" t="inlineStr">
        <is>
          <t>No, but I want in future</t>
        </is>
      </c>
      <c r="AL2520"/>
      <c r="AM2520"/>
      <c r="AN2520"/>
      <c r="AO2520"/>
      <c r="AP2520" t="inlineStr">
        <is>
          <t>Once a year (25%)</t>
        </is>
      </c>
      <c r="AQ2520"/>
      <c r="AR2520"/>
      <c r="AS2520" t="inlineStr">
        <is>
          <t>- Headcount: 3
- Hiring Job Details: 1 designer, 1 creative executive, 1 intern
- Hiring Urgency: Hiring Now
- Number of outlets: N/A
- Have recruiter team: No, but want in future
- Number of recruiter in company: N/A
- Have ATS system: N/A
- Have career website: N/A
- Current hiring budget: RM500.00
- Whole year budget: N/A
- Whole year number of vacancies: N/A
- Hiring frequency: Once a year (25%)
- External job portal: N/A</t>
        </is>
      </c>
      <c r="AT2520">
        <v>75</v>
      </c>
      <c r="AU2520" t="inlineStr">
        <is>
          <t>0.75</t>
        </is>
      </c>
      <c r="AV2520" t="inlineStr">
        <is>
          <t>15</t>
        </is>
      </c>
      <c r="AW2520" t="inlineStr">
        <is>
          <t>0</t>
        </is>
      </c>
      <c r="AX2520" t="inlineStr">
        <is>
          <t>Not Qualified</t>
        </is>
      </c>
      <c r="AY2520" s="4"/>
      <c r="AZ2520"/>
      <c r="BA2520"/>
      <c r="BB2520"/>
      <c r="BC2520"/>
      <c r="BD2520" s="4"/>
      <c r="BE2520"/>
      <c r="BF2520"/>
      <c r="BG2520" t="inlineStr">
        <is>
          <t>Reschedule</t>
        </is>
      </c>
      <c r="BH2520" t="inlineStr">
        <is>
          <t>Reagen</t>
        </is>
      </c>
      <c r="BI2520"/>
      <c r="BJ2520" s="4">
        <v>46144.75571759259</v>
      </c>
      <c r="BK2520" s="4">
        <v>46115.5616087963</v>
      </c>
      <c r="BL2520" t="inlineStr">
        <is>
          <t>0.0</t>
        </is>
      </c>
      <c r="BM2520" t="inlineStr">
        <is>
          <t>0.0</t>
        </is>
      </c>
      <c r="BN2520"/>
      <c r="BO2520" s="4"/>
      <c r="BP2520">
        <v>165188</v>
      </c>
      <c r="BQ2520"/>
      <c r="BR2520"/>
      <c r="BS2520"/>
      <c r="BT2520"/>
      <c r="BU2520"/>
      <c r="BV2520"/>
      <c r="BW2520"/>
      <c r="BX2520"/>
      <c r="BY2520"/>
      <c r="BZ2520" s="4"/>
      <c r="CA2520"/>
      <c r="CB2520"/>
      <c r="CC2520" s="4"/>
      <c r="CD2520" t="inlineStr">
        <is>
          <t>20</t>
        </is>
      </c>
      <c r="CE2520" t="inlineStr">
        <is>
          <t>0</t>
        </is>
      </c>
      <c r="CF2520" t="inlineStr">
        <is>
          <t>Q2-W01</t>
        </is>
      </c>
      <c r="CG2520"/>
      <c r="CH2520"/>
      <c r="CI2520"/>
      <c r="CJ2520" t="inlineStr">
        <is>
          <t>No Paid</t>
        </is>
      </c>
      <c r="CK2520" t="inlineStr">
        <is>
          <t>Not Eligible</t>
        </is>
      </c>
      <c r="CL2520"/>
      <c r="CM2520"/>
    </row>
    <row r="2521" ht="25.5" customHeight="1">
      <c r="A2521" t="inlineStr">
        <is>
          <t>198405</t>
        </is>
      </c>
      <c r="B2521" s="2"/>
      <c r="C2521"/>
      <c r="D2521" s="3">
        <v>46115.59940972222</v>
      </c>
      <c r="E2521" t="inlineStr">
        <is>
          <t>Q2-W01</t>
        </is>
      </c>
      <c r="F2521" t="inlineStr">
        <is>
          <t>Xin Quan</t>
        </is>
      </c>
      <c r="G2521" t="inlineStr">
        <is>
          <t>Customer</t>
        </is>
      </c>
      <c r="H2521" s="2" t="str">
        <f>=HYPERLINK("https://upbox.ajobthing.my/customer/198405", "https://upbox.ajobthing.my/customer/198405")</f>
        <v>https://upbox.ajobthing.my/customer/198405</v>
      </c>
      <c r="I2521" t="inlineStr">
        <is>
          <t>Jge Empire Group Sdn Bhd</t>
        </is>
      </c>
      <c r="J2521" t="inlineStr">
        <is>
          <t>Small Fish</t>
        </is>
      </c>
      <c r="K2521" t="inlineStr">
        <is>
          <t>Xin Quan</t>
        </is>
      </c>
      <c r="L2521" s="4"/>
      <c r="M2521" s="4">
        <v>46115.59952546296</v>
      </c>
      <c r="N2521"/>
      <c r="O2521">
        <v>864</v>
      </c>
      <c r="P2521" s="4"/>
      <c r="Q2521" s="4"/>
      <c r="R2521"/>
      <c r="S2521"/>
      <c r="T2521" s="4"/>
      <c r="U2521" s="4"/>
      <c r="V2521"/>
      <c r="W2521"/>
      <c r="X2521"/>
      <c r="Y2521" t="inlineStr">
        <is>
          <t>Pending Appointment</t>
        </is>
      </c>
      <c r="Z2521" t="inlineStr">
        <is>
          <t>Hiring Now</t>
        </is>
      </c>
      <c r="AA2521">
        <v>1</v>
      </c>
      <c r="AB2521" t="inlineStr">
        <is>
          <t>No Appointment Made</t>
        </is>
      </c>
      <c r="AC2521"/>
      <c r="AD2521" t="inlineStr">
        <is>
          <t>1 CS , Base in Tanjung Malim</t>
        </is>
      </c>
      <c r="AE2521"/>
      <c r="AF2521">
        <v>2000</v>
      </c>
      <c r="AG2521" s="4"/>
      <c r="AH2521" s="4"/>
      <c r="AI2521">
        <v>24000</v>
      </c>
      <c r="AJ2521">
        <v>1</v>
      </c>
      <c r="AK2521"/>
      <c r="AL2521"/>
      <c r="AM2521"/>
      <c r="AN2521"/>
      <c r="AO2521"/>
      <c r="AP2521"/>
      <c r="AQ2521">
        <v>1</v>
      </c>
      <c r="AR2521"/>
      <c r="AS2521" t="inlineStr">
        <is>
          <t>- Headcount: 1
- Hiring Job Details: 1 CS, Base in Tanjung Malim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2521">
        <v>100</v>
      </c>
      <c r="AU2521" t="inlineStr">
        <is>
          <t>1.00</t>
        </is>
      </c>
      <c r="AV2521" t="inlineStr">
        <is>
          <t>15</t>
        </is>
      </c>
      <c r="AW2521" t="inlineStr">
        <is>
          <t>0</t>
        </is>
      </c>
      <c r="AX2521" t="inlineStr">
        <is>
          <t>Not Qualified</t>
        </is>
      </c>
      <c r="AY2521" s="4"/>
      <c r="AZ2521"/>
      <c r="BA2521"/>
      <c r="BB2521"/>
      <c r="BC2521" t="inlineStr">
        <is>
          <t>800 Also x mao</t>
        </is>
      </c>
      <c r="BD2521" s="4">
        <v>46132.61604166667</v>
      </c>
      <c r="BE2521"/>
      <c r="BF2521"/>
      <c r="BG2521" t="inlineStr">
        <is>
          <t>Reschedule</t>
        </is>
      </c>
      <c r="BH2521" t="inlineStr">
        <is>
          <t>Edward Hoo</t>
        </is>
      </c>
      <c r="BI2521" t="inlineStr">
        <is>
          <t>Automobile / Automotive</t>
        </is>
      </c>
      <c r="BJ2521" s="4">
        <v>46142.81553240741</v>
      </c>
      <c r="BK2521" s="4">
        <v>45980.41701388889</v>
      </c>
      <c r="BL2521" t="inlineStr">
        <is>
          <t>0.0</t>
        </is>
      </c>
      <c r="BM2521" t="inlineStr">
        <is>
          <t>0.0</t>
        </is>
      </c>
      <c r="BN2521" t="inlineStr">
        <is>
          <t>View Company Page</t>
        </is>
      </c>
      <c r="BO2521" s="4">
        <v>45980.44773148148</v>
      </c>
      <c r="BP2521">
        <v>165187</v>
      </c>
      <c r="BQ2521"/>
      <c r="BR2521"/>
      <c r="BS2521"/>
      <c r="BT2521"/>
      <c r="BU2521"/>
      <c r="BV2521">
        <v>2715827</v>
      </c>
      <c r="BW2521" t="inlineStr">
        <is>
          <t>Inquire for Hiring Needs : Budget Concern</t>
        </is>
      </c>
      <c r="BX2521"/>
      <c r="BY2521"/>
      <c r="BZ2521" s="4"/>
      <c r="CA2521"/>
      <c r="CB2521"/>
      <c r="CC2521" s="4"/>
      <c r="CD2521" t="inlineStr">
        <is>
          <t>20</t>
        </is>
      </c>
      <c r="CE2521" t="inlineStr">
        <is>
          <t>0</t>
        </is>
      </c>
      <c r="CF2521" t="inlineStr">
        <is>
          <t>Q2-W01</t>
        </is>
      </c>
      <c r="CG2521"/>
      <c r="CH2521"/>
      <c r="CI2521"/>
      <c r="CJ2521" t="inlineStr">
        <is>
          <t>No Paid</t>
        </is>
      </c>
      <c r="CK2521" t="inlineStr">
        <is>
          <t>Not Eligible</t>
        </is>
      </c>
      <c r="CL2521"/>
      <c r="CM2521"/>
    </row>
    <row r="2522" ht="25.5" customHeight="1">
      <c r="A2522" t="inlineStr">
        <is>
          <t>4204917</t>
        </is>
      </c>
      <c r="B2522" s="2"/>
      <c r="C2522"/>
      <c r="D2522" s="3">
        <v>46115.61869212963</v>
      </c>
      <c r="E2522" t="inlineStr">
        <is>
          <t>Q2-W01</t>
        </is>
      </c>
      <c r="F2522" t="inlineStr">
        <is>
          <t>Lucas</t>
        </is>
      </c>
      <c r="G2522" t="inlineStr">
        <is>
          <t>Lead</t>
        </is>
      </c>
      <c r="H2522" s="2" t="str">
        <f>=HYPERLINK("https://upbox.ajobthing.my/leads/4204917", "https://upbox.ajobthing.my/leads/4204917")</f>
        <v>https://upbox.ajobthing.my/leads/4204917</v>
      </c>
      <c r="I2522" t="inlineStr">
        <is>
          <t>Sonica Sdn Bhd</t>
        </is>
      </c>
      <c r="J2522" t="inlineStr">
        <is>
          <t>Small Fish</t>
        </is>
      </c>
      <c r="K2522" t="inlineStr">
        <is>
          <t>Lucas</t>
        </is>
      </c>
      <c r="L2522" s="4"/>
      <c r="M2522" s="4">
        <v>46115.616006944445</v>
      </c>
      <c r="N2522"/>
      <c r="O2522">
        <v>3888</v>
      </c>
      <c r="P2522" s="4"/>
      <c r="Q2522" s="4"/>
      <c r="R2522"/>
      <c r="S2522"/>
      <c r="T2522" s="4"/>
      <c r="U2522" s="4"/>
      <c r="V2522"/>
      <c r="W2522"/>
      <c r="X2522"/>
      <c r="Y2522" t="inlineStr">
        <is>
          <t>Pending Appointment</t>
        </is>
      </c>
      <c r="Z2522" t="inlineStr">
        <is>
          <t>Hiring Now</t>
        </is>
      </c>
      <c r="AA2522">
        <v>1</v>
      </c>
      <c r="AB2522" t="inlineStr">
        <is>
          <t>No Appointment Made</t>
        </is>
      </c>
      <c r="AC2522"/>
      <c r="AD2522" t="inlineStr">
        <is>
          <t>1 admin cum account</t>
        </is>
      </c>
      <c r="AE2522"/>
      <c r="AF2522">
        <v>0</v>
      </c>
      <c r="AG2522" s="4"/>
      <c r="AH2522" s="4"/>
      <c r="AI2522">
        <v>0</v>
      </c>
      <c r="AJ2522">
        <v>0</v>
      </c>
      <c r="AK2522" t="inlineStr">
        <is>
          <t>No, I don't need at all</t>
        </is>
      </c>
      <c r="AL2522">
        <v>0</v>
      </c>
      <c r="AM2522" t="inlineStr">
        <is>
          <t>No, I don't need at all</t>
        </is>
      </c>
      <c r="AN2522"/>
      <c r="AO2522" t="inlineStr">
        <is>
          <t>No, I don't need at all</t>
        </is>
      </c>
      <c r="AP2522" t="inlineStr">
        <is>
          <t>Once a year (25%)</t>
        </is>
      </c>
      <c r="AQ2522">
        <v>1</v>
      </c>
      <c r="AR2522" t="inlineStr">
        <is>
          <t>Did not use any job portal</t>
        </is>
      </c>
      <c r="AS2522" t="inlineStr">
        <is>
          <t>- Headcount: 1
- Hiring Job Details: 1 admin cum account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22">
        <v>105</v>
      </c>
      <c r="AU2522" t="inlineStr">
        <is>
          <t>1.05</t>
        </is>
      </c>
      <c r="AV2522" t="inlineStr">
        <is>
          <t>15</t>
        </is>
      </c>
      <c r="AW2522" t="inlineStr">
        <is>
          <t>0</t>
        </is>
      </c>
      <c r="AX2522" t="inlineStr">
        <is>
          <t>Not Qualified</t>
        </is>
      </c>
      <c r="AY2522" s="4"/>
      <c r="AZ2522"/>
      <c r="BA2522"/>
      <c r="BB2522"/>
      <c r="BC2522"/>
      <c r="BD2522" s="4"/>
      <c r="BE2522"/>
      <c r="BF2522"/>
      <c r="BG2522" t="inlineStr">
        <is>
          <t>Reschedule</t>
        </is>
      </c>
      <c r="BH2522" t="inlineStr">
        <is>
          <t>Yee Hang</t>
        </is>
      </c>
      <c r="BI2522"/>
      <c r="BJ2522" s="4">
        <v>46144.75564814815</v>
      </c>
      <c r="BK2522" s="4">
        <v>46108.86944444444</v>
      </c>
      <c r="BL2522" t="inlineStr">
        <is>
          <t>0.0</t>
        </is>
      </c>
      <c r="BM2522" t="inlineStr">
        <is>
          <t>0.0</t>
        </is>
      </c>
      <c r="BN2522"/>
      <c r="BO2522" s="4"/>
      <c r="BP2522">
        <v>165193</v>
      </c>
      <c r="BQ2522"/>
      <c r="BR2522"/>
      <c r="BS2522"/>
      <c r="BT2522"/>
      <c r="BU2522"/>
      <c r="BV2522"/>
      <c r="BW2522"/>
      <c r="BX2522"/>
      <c r="BY2522"/>
      <c r="BZ2522" s="4"/>
      <c r="CA2522"/>
      <c r="CB2522"/>
      <c r="CC2522" s="4"/>
      <c r="CD2522" t="inlineStr">
        <is>
          <t>20</t>
        </is>
      </c>
      <c r="CE2522" t="inlineStr">
        <is>
          <t>0</t>
        </is>
      </c>
      <c r="CF2522" t="inlineStr">
        <is>
          <t>Q2-W01</t>
        </is>
      </c>
      <c r="CG2522"/>
      <c r="CH2522"/>
      <c r="CI2522"/>
      <c r="CJ2522" t="inlineStr">
        <is>
          <t>No Paid</t>
        </is>
      </c>
      <c r="CK2522" t="inlineStr">
        <is>
          <t>Not Eligible</t>
        </is>
      </c>
      <c r="CL2522"/>
      <c r="CM2522"/>
    </row>
    <row r="2523" ht="25.5" customHeight="1">
      <c r="A2523" t="inlineStr">
        <is>
          <t>200976</t>
        </is>
      </c>
      <c r="B2523" s="2"/>
      <c r="C2523"/>
      <c r="D2523" s="3">
        <v>46115.62238425926</v>
      </c>
      <c r="E2523" t="inlineStr">
        <is>
          <t>Q2-W01</t>
        </is>
      </c>
      <c r="F2523" t="inlineStr">
        <is>
          <t>Chia Yee</t>
        </is>
      </c>
      <c r="G2523" t="inlineStr">
        <is>
          <t>Customer</t>
        </is>
      </c>
      <c r="H2523" s="2" t="str">
        <f>=HYPERLINK("https://upbox.ajobthing.my/customer/200976", "https://upbox.ajobthing.my/customer/200976")</f>
        <v>https://upbox.ajobthing.my/customer/200976</v>
      </c>
      <c r="I2523" t="inlineStr">
        <is>
          <t>Revenue Management Services Sdn Bhd</t>
        </is>
      </c>
      <c r="J2523" t="inlineStr">
        <is>
          <t>Small Fish</t>
        </is>
      </c>
      <c r="K2523" t="inlineStr">
        <is>
          <t>Chia Yee</t>
        </is>
      </c>
      <c r="L2523" s="4"/>
      <c r="M2523" s="4">
        <v>46115.62269675926</v>
      </c>
      <c r="N2523"/>
      <c r="O2523">
        <v>6048</v>
      </c>
      <c r="P2523" s="4"/>
      <c r="Q2523" s="4">
        <v>46058.693761574075</v>
      </c>
      <c r="R2523"/>
      <c r="S2523">
        <v>864</v>
      </c>
      <c r="T2523" s="4">
        <v>46058.693761574075</v>
      </c>
      <c r="U2523" s="4"/>
      <c r="V2523"/>
      <c r="W2523">
        <v>864</v>
      </c>
      <c r="X2523"/>
      <c r="Y2523" t="inlineStr">
        <is>
          <t>Pending Appointment</t>
        </is>
      </c>
      <c r="Z2523" t="inlineStr">
        <is>
          <t>Hiring Now</t>
        </is>
      </c>
      <c r="AA2523">
        <v>2</v>
      </c>
      <c r="AB2523" t="inlineStr">
        <is>
          <t>No Appointment Made</t>
        </is>
      </c>
      <c r="AC2523"/>
      <c r="AD2523" t="inlineStr">
        <is>
          <t>1 Tax, 1 Auditor</t>
        </is>
      </c>
      <c r="AE2523"/>
      <c r="AF2523">
        <v>0</v>
      </c>
      <c r="AG2523" s="4"/>
      <c r="AH2523" s="4"/>
      <c r="AI2523">
        <v>0</v>
      </c>
      <c r="AJ2523">
        <v>0</v>
      </c>
      <c r="AK2523" t="inlineStr">
        <is>
          <t>Yes, I have</t>
        </is>
      </c>
      <c r="AL2523">
        <v>1</v>
      </c>
      <c r="AM2523" t="inlineStr">
        <is>
          <t>No, I don't need at all</t>
        </is>
      </c>
      <c r="AN2523"/>
      <c r="AO2523" t="inlineStr">
        <is>
          <t>Yes, I have</t>
        </is>
      </c>
      <c r="AP2523" t="inlineStr">
        <is>
          <t>Once a year (25%)</t>
        </is>
      </c>
      <c r="AQ2523">
        <v>2</v>
      </c>
      <c r="AR2523" t="inlineStr">
        <is>
          <t>Did not use any job portal</t>
        </is>
      </c>
      <c r="AS2523" t="inlineStr">
        <is>
          <t>- Headcount: 2
- Hiring Job Details: 1 Tax, 1 Auditor
- Hiring Urgency: Hiring Now
- Number of outlets: 0
- Have recruiter team: Yes
- Number of recruiter in company: 1
- Have ATS system: No, I don't need at all
- Have career website: Yes
- Current hiring budget: RM0.00
- Whole year budget: RM0.00
- Whole year number of vacancies: 2
- Hiring frequency: Once a year (25%)
- External job portal: Did not use any job portal</t>
        </is>
      </c>
      <c r="AT2523">
        <v>110</v>
      </c>
      <c r="AU2523" t="inlineStr">
        <is>
          <t>1.10</t>
        </is>
      </c>
      <c r="AV2523" t="inlineStr">
        <is>
          <t>15</t>
        </is>
      </c>
      <c r="AW2523" t="inlineStr">
        <is>
          <t>0</t>
        </is>
      </c>
      <c r="AX2523" t="inlineStr">
        <is>
          <t>Not Qualified</t>
        </is>
      </c>
      <c r="AY2523" s="4"/>
      <c r="AZ2523"/>
      <c r="BA2523"/>
      <c r="BB2523"/>
      <c r="BC2523" t="inlineStr">
        <is>
          <t>Called Miss Yap, might not for now. Then she ask for another department under different boss. Explain</t>
        </is>
      </c>
      <c r="BD2523" s="4">
        <v>46120.47584490741</v>
      </c>
      <c r="BE2523" t="inlineStr">
        <is>
          <t>paid</t>
        </is>
      </c>
      <c r="BF2523" t="inlineStr">
        <is>
          <t>Q1-W05</t>
        </is>
      </c>
      <c r="BG2523" t="inlineStr">
        <is>
          <t>Reschedule</t>
        </is>
      </c>
      <c r="BH2523" t="inlineStr">
        <is>
          <t>Reagen</t>
        </is>
      </c>
      <c r="BI2523" t="inlineStr">
        <is>
          <t>Accounting / Tax Services</t>
        </is>
      </c>
      <c r="BJ2523" s="4">
        <v>46144.753703703704</v>
      </c>
      <c r="BK2523" s="4">
        <v>46058.37478009259</v>
      </c>
      <c r="BL2523" t="inlineStr">
        <is>
          <t>864.0</t>
        </is>
      </c>
      <c r="BM2523" t="inlineStr">
        <is>
          <t>0.0</t>
        </is>
      </c>
      <c r="BN2523" t="inlineStr">
        <is>
          <t>PA Email CTA Click</t>
        </is>
      </c>
      <c r="BO2523" s="4">
        <v>46115.62225694444</v>
      </c>
      <c r="BP2523">
        <v>165196</v>
      </c>
      <c r="BQ2523">
        <v>86411</v>
      </c>
      <c r="BR2523" t="inlineStr">
        <is>
          <t>Online</t>
        </is>
      </c>
      <c r="BS2523"/>
      <c r="BT2523">
        <v>86411</v>
      </c>
      <c r="BU2523"/>
      <c r="BV2523">
        <v>2691727</v>
      </c>
      <c r="BW2523" t="inlineStr">
        <is>
          <t>Follow Up : Budget Concern</t>
        </is>
      </c>
      <c r="BX2523"/>
      <c r="BY2523"/>
      <c r="BZ2523" s="4"/>
      <c r="CA2523"/>
      <c r="CB2523"/>
      <c r="CC2523" s="4"/>
      <c r="CD2523" t="inlineStr">
        <is>
          <t>20</t>
        </is>
      </c>
      <c r="CE2523" t="inlineStr">
        <is>
          <t>0</t>
        </is>
      </c>
      <c r="CF2523" t="inlineStr">
        <is>
          <t>Q2-W01</t>
        </is>
      </c>
      <c r="CG2523" t="inlineStr">
        <is>
          <t>Q1-W05</t>
        </is>
      </c>
      <c r="CH2523" t="inlineStr">
        <is>
          <t>Q1-W05</t>
        </is>
      </c>
      <c r="CI2523"/>
      <c r="CJ2523" t="inlineStr">
        <is>
          <t>Paid</t>
        </is>
      </c>
      <c r="CK2523" t="inlineStr">
        <is>
          <t>Not Eligible</t>
        </is>
      </c>
      <c r="CL2523"/>
      <c r="CM2523"/>
    </row>
    <row r="2524" ht="25.5" customHeight="1">
      <c r="A2524" t="inlineStr">
        <is>
          <t>162177</t>
        </is>
      </c>
      <c r="B2524" s="2"/>
      <c r="C2524"/>
      <c r="D2524" s="3">
        <v>46115.62601851852</v>
      </c>
      <c r="E2524" t="inlineStr">
        <is>
          <t>Q2-W01</t>
        </is>
      </c>
      <c r="F2524" t="inlineStr">
        <is>
          <t>Keegan</t>
        </is>
      </c>
      <c r="G2524" t="inlineStr">
        <is>
          <t>Customer</t>
        </is>
      </c>
      <c r="H2524" s="2" t="str">
        <f>=HYPERLINK("https://upbox.ajobthing.my/customer/162177", "https://upbox.ajobthing.my/customer/162177")</f>
        <v>https://upbox.ajobthing.my/customer/162177</v>
      </c>
      <c r="I2524" t="inlineStr">
        <is>
          <t>Mepoh Hair Weaving Salon</t>
        </is>
      </c>
      <c r="J2524" t="inlineStr">
        <is>
          <t>Small Fish</t>
        </is>
      </c>
      <c r="K2524" t="inlineStr">
        <is>
          <t>Keegan</t>
        </is>
      </c>
      <c r="L2524" s="4"/>
      <c r="M2524" s="4">
        <v>46115.62611111111</v>
      </c>
      <c r="N2524"/>
      <c r="O2524">
        <v>864</v>
      </c>
      <c r="P2524" s="4"/>
      <c r="Q2524" s="4">
        <v>46115.61398148148</v>
      </c>
      <c r="R2524"/>
      <c r="S2524">
        <v>0</v>
      </c>
      <c r="T2524" s="4"/>
      <c r="U2524" s="4"/>
      <c r="V2524"/>
      <c r="W2524"/>
      <c r="X2524"/>
      <c r="Y2524" t="inlineStr">
        <is>
          <t>Pending Appointment</t>
        </is>
      </c>
      <c r="Z2524" t="inlineStr">
        <is>
          <t>Hiring Now</t>
        </is>
      </c>
      <c r="AA2524">
        <v>1</v>
      </c>
      <c r="AB2524" t="inlineStr">
        <is>
          <t>No Appointment Made</t>
        </is>
      </c>
      <c r="AC2524"/>
      <c r="AD2524" t="inlineStr">
        <is>
          <t>1. Junior Stylist</t>
        </is>
      </c>
      <c r="AE2524"/>
      <c r="AF2524"/>
      <c r="AG2524" s="4"/>
      <c r="AH2524" s="4"/>
      <c r="AI2524"/>
      <c r="AJ2524">
        <v>1</v>
      </c>
      <c r="AK2524" t="inlineStr">
        <is>
          <t>No, I don't need at all</t>
        </is>
      </c>
      <c r="AL2524">
        <v>0</v>
      </c>
      <c r="AM2524" t="inlineStr">
        <is>
          <t>No, I don't need at all</t>
        </is>
      </c>
      <c r="AN2524"/>
      <c r="AO2524" t="inlineStr">
        <is>
          <t>No, I don't need at all</t>
        </is>
      </c>
      <c r="AP2524" t="inlineStr">
        <is>
          <t>Once per quarter (75%)</t>
        </is>
      </c>
      <c r="AQ2524"/>
      <c r="AR2524" t="inlineStr">
        <is>
          <t>Did not use any job portal</t>
        </is>
      </c>
      <c r="AS2524" t="inlineStr">
        <is>
          <t>- Headcount: 1
- Hiring Job Details: 1 Junior Stylist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24">
        <v>100</v>
      </c>
      <c r="AU2524" t="inlineStr">
        <is>
          <t>1.00</t>
        </is>
      </c>
      <c r="AV2524" t="inlineStr">
        <is>
          <t>5</t>
        </is>
      </c>
      <c r="AW2524" t="inlineStr">
        <is>
          <t>0</t>
        </is>
      </c>
      <c r="AX2524" t="inlineStr">
        <is>
          <t>Not Qualified</t>
        </is>
      </c>
      <c r="AY2524" s="4"/>
      <c r="AZ2524"/>
      <c r="BA2524"/>
      <c r="BB2524"/>
      <c r="BC2524" t="inlineStr">
        <is>
          <t>- Headcount: 1
- Hiring Job Details: 1 Junior Stylist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524" s="4">
        <v>46115.66670138889</v>
      </c>
      <c r="BE2524" t="inlineStr">
        <is>
          <t>paid</t>
        </is>
      </c>
      <c r="BF2524"/>
      <c r="BG2524" t="inlineStr">
        <is>
          <t>Reschedule</t>
        </is>
      </c>
      <c r="BH2524" t="inlineStr">
        <is>
          <t>Edward Hoo</t>
        </is>
      </c>
      <c r="BI2524"/>
      <c r="BJ2524" s="4">
        <v>46144.75115740741</v>
      </c>
      <c r="BK2524" s="4">
        <v>44882.666238425925</v>
      </c>
      <c r="BL2524" t="inlineStr">
        <is>
          <t>0.0</t>
        </is>
      </c>
      <c r="BM2524" t="inlineStr">
        <is>
          <t>0.0</t>
        </is>
      </c>
      <c r="BN2524" t="inlineStr">
        <is>
          <t>View Company Page</t>
        </is>
      </c>
      <c r="BO2524" s="4">
        <v>46115.614849537036</v>
      </c>
      <c r="BP2524">
        <v>165197</v>
      </c>
      <c r="BQ2524">
        <v>119881</v>
      </c>
      <c r="BR2524" t="inlineStr">
        <is>
          <t>Proforma</t>
        </is>
      </c>
      <c r="BS2524" t="inlineStr">
        <is>
          <t>Free Volunteer Job</t>
        </is>
      </c>
      <c r="BT2524"/>
      <c r="BU2524"/>
      <c r="BV2524">
        <v>2683403</v>
      </c>
      <c r="BW2524" t="inlineStr">
        <is>
          <t>Customer Inquiry</t>
        </is>
      </c>
      <c r="BX2524"/>
      <c r="BY2524"/>
      <c r="BZ2524" s="4"/>
      <c r="CA2524"/>
      <c r="CB2524"/>
      <c r="CC2524" s="4"/>
      <c r="CD2524" t="inlineStr">
        <is>
          <t>5</t>
        </is>
      </c>
      <c r="CE2524" t="inlineStr">
        <is>
          <t>0</t>
        </is>
      </c>
      <c r="CF2524" t="inlineStr">
        <is>
          <t>Q2-W01</t>
        </is>
      </c>
      <c r="CG2524" t="inlineStr">
        <is>
          <t>Q2-W01</t>
        </is>
      </c>
      <c r="CH2524"/>
      <c r="CI2524"/>
      <c r="CJ2524" t="inlineStr">
        <is>
          <t>No Paid</t>
        </is>
      </c>
      <c r="CK2524" t="inlineStr">
        <is>
          <t>Not Eligible</t>
        </is>
      </c>
      <c r="CL2524"/>
      <c r="CM2524"/>
    </row>
    <row r="2525" ht="25.5" customHeight="1">
      <c r="A2525" t="inlineStr">
        <is>
          <t>201588</t>
        </is>
      </c>
      <c r="B2525" s="2"/>
      <c r="C2525"/>
      <c r="D2525" s="3">
        <v>46115.62846064815</v>
      </c>
      <c r="E2525" t="inlineStr">
        <is>
          <t>Q2-W01</t>
        </is>
      </c>
      <c r="F2525" t="inlineStr">
        <is>
          <t>Carmen</t>
        </is>
      </c>
      <c r="G2525" t="inlineStr">
        <is>
          <t>Customer</t>
        </is>
      </c>
      <c r="H2525" s="2" t="str">
        <f>=HYPERLINK("https://upbox.ajobthing.my/customer/201588", "https://upbox.ajobthing.my/customer/201588")</f>
        <v>https://upbox.ajobthing.my/customer/201588</v>
      </c>
      <c r="I2525" t="inlineStr">
        <is>
          <t xml:space="preserve">Ck Enterprise </t>
        </is>
      </c>
      <c r="J2525" t="inlineStr">
        <is>
          <t>Small Fish</t>
        </is>
      </c>
      <c r="K2525" t="inlineStr">
        <is>
          <t>Carmen</t>
        </is>
      </c>
      <c r="L2525" s="4"/>
      <c r="M2525" s="4">
        <v>46115.628541666665</v>
      </c>
      <c r="N2525"/>
      <c r="O2525">
        <v>3888</v>
      </c>
      <c r="P2525" s="4"/>
      <c r="Q2525" s="4"/>
      <c r="R2525"/>
      <c r="S2525"/>
      <c r="T2525" s="4"/>
      <c r="U2525" s="4"/>
      <c r="V2525"/>
      <c r="W2525"/>
      <c r="X2525"/>
      <c r="Y2525" t="inlineStr">
        <is>
          <t>Pending Appointment</t>
        </is>
      </c>
      <c r="Z2525" t="inlineStr">
        <is>
          <t>Hiring Now</t>
        </is>
      </c>
      <c r="AA2525">
        <v>1</v>
      </c>
      <c r="AB2525" t="inlineStr">
        <is>
          <t>No Appointment Made</t>
        </is>
      </c>
      <c r="AC2525"/>
      <c r="AD2525" t="inlineStr">
        <is>
          <t>1 car test specialist</t>
        </is>
      </c>
      <c r="AE2525"/>
      <c r="AF2525">
        <v>0</v>
      </c>
      <c r="AG2525" s="4"/>
      <c r="AH2525" s="4"/>
      <c r="AI2525">
        <v>0</v>
      </c>
      <c r="AJ2525">
        <v>0</v>
      </c>
      <c r="AK2525" t="inlineStr">
        <is>
          <t>No, I don't need at all</t>
        </is>
      </c>
      <c r="AL2525">
        <v>0</v>
      </c>
      <c r="AM2525" t="inlineStr">
        <is>
          <t>No, I don't need at all</t>
        </is>
      </c>
      <c r="AN2525"/>
      <c r="AO2525" t="inlineStr">
        <is>
          <t>No, I don't need at all</t>
        </is>
      </c>
      <c r="AP2525" t="inlineStr">
        <is>
          <t>Once a year (25%)</t>
        </is>
      </c>
      <c r="AQ2525">
        <v>1</v>
      </c>
      <c r="AR2525" t="inlineStr">
        <is>
          <t>Jobstreet</t>
        </is>
      </c>
      <c r="AS2525" t="inlineStr">
        <is>
          <t>- Headcount: 1
- Hiring Job Details: 1 car test specialist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525">
        <v>105</v>
      </c>
      <c r="AU2525" t="inlineStr">
        <is>
          <t>1.05</t>
        </is>
      </c>
      <c r="AV2525" t="inlineStr">
        <is>
          <t>15</t>
        </is>
      </c>
      <c r="AW2525" t="inlineStr">
        <is>
          <t>0</t>
        </is>
      </c>
      <c r="AX2525" t="inlineStr">
        <is>
          <t>Not Qualified</t>
        </is>
      </c>
      <c r="AY2525" s="4"/>
      <c r="AZ2525"/>
      <c r="BA2525"/>
      <c r="BB2525"/>
      <c r="BC2525" t="inlineStr">
        <is>
          <t>he said he found</t>
        </is>
      </c>
      <c r="BD2525" s="4">
        <v>46129.74381944445</v>
      </c>
      <c r="BE2525"/>
      <c r="BF2525"/>
      <c r="BG2525" t="inlineStr">
        <is>
          <t>Reschedule</t>
        </is>
      </c>
      <c r="BH2525" t="inlineStr">
        <is>
          <t>Reagen</t>
        </is>
      </c>
      <c r="BI2525"/>
      <c r="BJ2525" s="4">
        <v>46144.75383101852</v>
      </c>
      <c r="BK2525" s="4">
        <v>46083.71258101852</v>
      </c>
      <c r="BL2525" t="inlineStr">
        <is>
          <t>0.0</t>
        </is>
      </c>
      <c r="BM2525" t="inlineStr">
        <is>
          <t>0.0</t>
        </is>
      </c>
      <c r="BN2525" t="inlineStr">
        <is>
          <t>View Create Job Page V4</t>
        </is>
      </c>
      <c r="BO2525" s="4">
        <v>46083.71849537037</v>
      </c>
      <c r="BP2525">
        <v>165198</v>
      </c>
      <c r="BQ2525"/>
      <c r="BR2525"/>
      <c r="BS2525"/>
      <c r="BT2525"/>
      <c r="BU2525"/>
      <c r="BV2525">
        <v>2713836</v>
      </c>
      <c r="BW2525" t="inlineStr">
        <is>
          <t>Follow Up : Budget Concern</t>
        </is>
      </c>
      <c r="BX2525"/>
      <c r="BY2525"/>
      <c r="BZ2525" s="4"/>
      <c r="CA2525"/>
      <c r="CB2525"/>
      <c r="CC2525" s="4"/>
      <c r="CD2525" t="inlineStr">
        <is>
          <t>20</t>
        </is>
      </c>
      <c r="CE2525" t="inlineStr">
        <is>
          <t>0</t>
        </is>
      </c>
      <c r="CF2525" t="inlineStr">
        <is>
          <t>Q2-W01</t>
        </is>
      </c>
      <c r="CG2525"/>
      <c r="CH2525"/>
      <c r="CI2525"/>
      <c r="CJ2525" t="inlineStr">
        <is>
          <t>No Paid</t>
        </is>
      </c>
      <c r="CK2525" t="inlineStr">
        <is>
          <t>Not Eligible</t>
        </is>
      </c>
      <c r="CL2525"/>
      <c r="CM2525"/>
    </row>
    <row r="2526" ht="25.5" customHeight="1">
      <c r="A2526" t="inlineStr">
        <is>
          <t>202790</t>
        </is>
      </c>
      <c r="B2526" s="2"/>
      <c r="C2526"/>
      <c r="D2526" s="3">
        <v>46115.62873842593</v>
      </c>
      <c r="E2526" t="inlineStr">
        <is>
          <t>Q2-W01</t>
        </is>
      </c>
      <c r="F2526" t="inlineStr">
        <is>
          <t>Keegan</t>
        </is>
      </c>
      <c r="G2526" t="inlineStr">
        <is>
          <t>Customer</t>
        </is>
      </c>
      <c r="H2526" s="2" t="str">
        <f>=HYPERLINK("https://upbox.ajobthing.my/customer/202790", "https://upbox.ajobthing.my/customer/202790")</f>
        <v>https://upbox.ajobthing.my/customer/202790</v>
      </c>
      <c r="I2526" t="inlineStr">
        <is>
          <t>Dynamic life Agency</t>
        </is>
      </c>
      <c r="J2526" t="inlineStr">
        <is>
          <t>Small Fish</t>
        </is>
      </c>
      <c r="K2526" t="inlineStr">
        <is>
          <t>Keegan</t>
        </is>
      </c>
      <c r="L2526" s="4"/>
      <c r="M2526" s="4">
        <v>46115.628958333335</v>
      </c>
      <c r="N2526"/>
      <c r="O2526">
        <v>3672</v>
      </c>
      <c r="P2526" s="4"/>
      <c r="Q2526" s="4">
        <v>46141.49611111111</v>
      </c>
      <c r="R2526"/>
      <c r="S2526">
        <v>3576.96</v>
      </c>
      <c r="T2526" s="4"/>
      <c r="U2526" s="4"/>
      <c r="V2526"/>
      <c r="W2526"/>
      <c r="X2526"/>
      <c r="Y2526" t="inlineStr">
        <is>
          <t>Pending Appointment</t>
        </is>
      </c>
      <c r="Z2526" t="inlineStr">
        <is>
          <t>Hiring Now</t>
        </is>
      </c>
      <c r="AA2526">
        <v>1</v>
      </c>
      <c r="AB2526" t="inlineStr">
        <is>
          <t>No Appointment Made</t>
        </is>
      </c>
      <c r="AC2526"/>
      <c r="AD2526" t="inlineStr">
        <is>
          <t xml:space="preserve">1. Sales </t>
        </is>
      </c>
      <c r="AE2526"/>
      <c r="AF2526"/>
      <c r="AG2526" s="4"/>
      <c r="AH2526" s="4"/>
      <c r="AI2526"/>
      <c r="AJ2526">
        <v>1</v>
      </c>
      <c r="AK2526" t="inlineStr">
        <is>
          <t>No, I don't need at all</t>
        </is>
      </c>
      <c r="AL2526">
        <v>0</v>
      </c>
      <c r="AM2526" t="inlineStr">
        <is>
          <t>No, I don't need at all</t>
        </is>
      </c>
      <c r="AN2526"/>
      <c r="AO2526" t="inlineStr">
        <is>
          <t>No, I don't need at all</t>
        </is>
      </c>
      <c r="AP2526" t="inlineStr">
        <is>
          <t>Once per quarter (75%)</t>
        </is>
      </c>
      <c r="AQ2526"/>
      <c r="AR2526" t="inlineStr">
        <is>
          <t>Did not use any job portal</t>
        </is>
      </c>
      <c r="AS2526"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26">
        <v>100</v>
      </c>
      <c r="AU2526" t="inlineStr">
        <is>
          <t>1.00</t>
        </is>
      </c>
      <c r="AV2526" t="inlineStr">
        <is>
          <t>5</t>
        </is>
      </c>
      <c r="AW2526" t="inlineStr">
        <is>
          <t>0</t>
        </is>
      </c>
      <c r="AX2526" t="inlineStr">
        <is>
          <t>Not Qualified</t>
        </is>
      </c>
      <c r="AY2526" s="4"/>
      <c r="AZ2526"/>
      <c r="BA2526"/>
      <c r="BB2526"/>
      <c r="BC2526" t="inlineStr">
        <is>
          <t>Invoice sent as per request</t>
        </is>
      </c>
      <c r="BD2526" s="4">
        <v>46141.396828703706</v>
      </c>
      <c r="BE2526" t="inlineStr">
        <is>
          <t>pending</t>
        </is>
      </c>
      <c r="BF2526"/>
      <c r="BG2526" t="inlineStr">
        <is>
          <t>Reschedule</t>
        </is>
      </c>
      <c r="BH2526" t="inlineStr">
        <is>
          <t>Edward Hoo</t>
        </is>
      </c>
      <c r="BI2526"/>
      <c r="BJ2526" s="4">
        <v>46144.75412037037</v>
      </c>
      <c r="BK2526" s="4">
        <v>46115.62777777778</v>
      </c>
      <c r="BL2526" t="inlineStr">
        <is>
          <t>0.0</t>
        </is>
      </c>
      <c r="BM2526" t="inlineStr">
        <is>
          <t>0.0</t>
        </is>
      </c>
      <c r="BN2526"/>
      <c r="BO2526" s="4"/>
      <c r="BP2526">
        <v>165199</v>
      </c>
      <c r="BQ2526">
        <v>7748</v>
      </c>
      <c r="BR2526" t="inlineStr">
        <is>
          <t>Manual</t>
        </is>
      </c>
      <c r="BS2526"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526"/>
      <c r="BU2526"/>
      <c r="BV2526">
        <v>2734116</v>
      </c>
      <c r="BW2526" t="inlineStr">
        <is>
          <t>Follow Up : Invoice Sent 75%</t>
        </is>
      </c>
      <c r="BX2526"/>
      <c r="BY2526"/>
      <c r="BZ2526" s="4"/>
      <c r="CA2526"/>
      <c r="CB2526"/>
      <c r="CC2526" s="4"/>
      <c r="CD2526" t="inlineStr">
        <is>
          <t>5</t>
        </is>
      </c>
      <c r="CE2526" t="inlineStr">
        <is>
          <t>0</t>
        </is>
      </c>
      <c r="CF2526" t="inlineStr">
        <is>
          <t>Q2-W01</t>
        </is>
      </c>
      <c r="CG2526" t="inlineStr">
        <is>
          <t>Q2-W04</t>
        </is>
      </c>
      <c r="CH2526"/>
      <c r="CI2526"/>
      <c r="CJ2526" t="inlineStr">
        <is>
          <t>No Paid</t>
        </is>
      </c>
      <c r="CK2526" t="inlineStr">
        <is>
          <t>Not Eligible</t>
        </is>
      </c>
      <c r="CL2526"/>
      <c r="CM2526"/>
    </row>
    <row r="2527" ht="25.5" customHeight="1">
      <c r="A2527" t="inlineStr">
        <is>
          <t>151956</t>
        </is>
      </c>
      <c r="B2527" s="2"/>
      <c r="C2527"/>
      <c r="D2527" s="3">
        <v>46115.63087962963</v>
      </c>
      <c r="E2527" t="inlineStr">
        <is>
          <t>Q2-W01</t>
        </is>
      </c>
      <c r="F2527" t="inlineStr">
        <is>
          <t>Josh</t>
        </is>
      </c>
      <c r="G2527" t="inlineStr">
        <is>
          <t>Customer</t>
        </is>
      </c>
      <c r="H2527" s="2" t="str">
        <f>=HYPERLINK("https://upbox.ajobthing.my/customer/151956", "https://upbox.ajobthing.my/customer/151956")</f>
        <v>https://upbox.ajobthing.my/customer/151956</v>
      </c>
      <c r="I2527" t="inlineStr">
        <is>
          <t>Profound Axis Sdn Bhd</t>
        </is>
      </c>
      <c r="J2527" t="inlineStr">
        <is>
          <t>Small Fish</t>
        </is>
      </c>
      <c r="K2527" t="inlineStr">
        <is>
          <t>Josh</t>
        </is>
      </c>
      <c r="L2527" s="4"/>
      <c r="M2527" s="4">
        <v>46115.63484953704</v>
      </c>
      <c r="N2527"/>
      <c r="O2527">
        <v>2592</v>
      </c>
      <c r="P2527" s="4"/>
      <c r="Q2527" s="4">
        <v>44659.738287037035</v>
      </c>
      <c r="R2527"/>
      <c r="S2527">
        <v>530</v>
      </c>
      <c r="T2527" s="4">
        <v>44659.738287037035</v>
      </c>
      <c r="U2527" s="4"/>
      <c r="V2527"/>
      <c r="W2527">
        <v>530</v>
      </c>
      <c r="X2527"/>
      <c r="Y2527" t="inlineStr">
        <is>
          <t>Pending Appointment</t>
        </is>
      </c>
      <c r="Z2527" t="inlineStr">
        <is>
          <t>Hiring Now</t>
        </is>
      </c>
      <c r="AA2527">
        <v>1</v>
      </c>
      <c r="AB2527" t="inlineStr">
        <is>
          <t>No Appointment Made</t>
        </is>
      </c>
      <c r="AC2527"/>
      <c r="AD2527" t="inlineStr">
        <is>
          <t>1 sales executive</t>
        </is>
      </c>
      <c r="AE2527"/>
      <c r="AF2527">
        <v>2000</v>
      </c>
      <c r="AG2527" s="4"/>
      <c r="AH2527" s="4"/>
      <c r="AI2527"/>
      <c r="AJ2527"/>
      <c r="AK2527" t="inlineStr">
        <is>
          <t>Yes, I have</t>
        </is>
      </c>
      <c r="AL2527">
        <v>1</v>
      </c>
      <c r="AM2527"/>
      <c r="AN2527"/>
      <c r="AO2527"/>
      <c r="AP2527" t="inlineStr">
        <is>
          <t>Once a year (25%)</t>
        </is>
      </c>
      <c r="AQ2527"/>
      <c r="AR2527"/>
      <c r="AS2527" t="inlineStr">
        <is>
          <t>- Headcount: 1
- Hiring Job Details: 1 sales executive
- Hiring Urgency: Hiring Now
- Number of outlets: Not specified
- Have recruiter team: Yes
- Number of recruiter in company: 1
- Have ATS system: Not specified
- Have career website: Not specified
- Current hiring budget: RM2,000.00
- Whole year budget: Not specified
- Whole year number of vacancies: Not specified
- Hiring frequency: Once a year (25%)
- External job portal: Not specified</t>
        </is>
      </c>
      <c r="AT2527">
        <v>95</v>
      </c>
      <c r="AU2527" t="inlineStr">
        <is>
          <t>0.95</t>
        </is>
      </c>
      <c r="AV2527" t="inlineStr">
        <is>
          <t>15</t>
        </is>
      </c>
      <c r="AW2527" t="inlineStr">
        <is>
          <t>0</t>
        </is>
      </c>
      <c r="AX2527" t="inlineStr">
        <is>
          <t>Not Qualified</t>
        </is>
      </c>
      <c r="AY2527" s="4"/>
      <c r="AZ2527"/>
      <c r="BA2527"/>
      <c r="BB2527"/>
      <c r="BC2527" t="inlineStr">
        <is>
          <t>npu</t>
        </is>
      </c>
      <c r="BD2527" s="4">
        <v>46126.729212962964</v>
      </c>
      <c r="BE2527" t="inlineStr">
        <is>
          <t>paid</t>
        </is>
      </c>
      <c r="BF2527"/>
      <c r="BG2527" t="inlineStr">
        <is>
          <t>Reschedule</t>
        </is>
      </c>
      <c r="BH2527" t="inlineStr">
        <is>
          <t>Fauziah Maharan</t>
        </is>
      </c>
      <c r="BI2527" t="inlineStr">
        <is>
          <t>Architecture / Interior Design</t>
        </is>
      </c>
      <c r="BJ2527" s="4">
        <v>46144.75087962963</v>
      </c>
      <c r="BK2527" s="4">
        <v>44659.72767361111</v>
      </c>
      <c r="BL2527" t="inlineStr">
        <is>
          <t>0.0</t>
        </is>
      </c>
      <c r="BM2527" t="inlineStr">
        <is>
          <t>0.0</t>
        </is>
      </c>
      <c r="BN2527" t="inlineStr">
        <is>
          <t>View Jobmanager Page</t>
        </is>
      </c>
      <c r="BO2527" s="4">
        <v>44673.54119212963</v>
      </c>
      <c r="BP2527">
        <v>165207</v>
      </c>
      <c r="BQ2527">
        <v>43312</v>
      </c>
      <c r="BR2527" t="inlineStr">
        <is>
          <t>Online</t>
        </is>
      </c>
      <c r="BS2527"/>
      <c r="BT2527">
        <v>43312</v>
      </c>
      <c r="BU2527"/>
      <c r="BV2527">
        <v>2704575</v>
      </c>
      <c r="BW2527" t="inlineStr">
        <is>
          <t>No Answer : Voicemail - WA sent to customer</t>
        </is>
      </c>
      <c r="BX2527"/>
      <c r="BY2527"/>
      <c r="BZ2527" s="4"/>
      <c r="CA2527"/>
      <c r="CB2527"/>
      <c r="CC2527" s="4"/>
      <c r="CD2527" t="inlineStr">
        <is>
          <t>20</t>
        </is>
      </c>
      <c r="CE2527" t="inlineStr">
        <is>
          <t>0</t>
        </is>
      </c>
      <c r="CF2527" t="inlineStr">
        <is>
          <t>Q2-W01</t>
        </is>
      </c>
      <c r="CG2527"/>
      <c r="CH2527"/>
      <c r="CI2527"/>
      <c r="CJ2527" t="inlineStr">
        <is>
          <t>Paid</t>
        </is>
      </c>
      <c r="CK2527" t="inlineStr">
        <is>
          <t>Not Eligible</t>
        </is>
      </c>
      <c r="CL2527"/>
      <c r="CM2527"/>
    </row>
    <row r="2528" ht="25.5" customHeight="1">
      <c r="A2528" t="inlineStr">
        <is>
          <t>4236825</t>
        </is>
      </c>
      <c r="B2528" s="2"/>
      <c r="C2528"/>
      <c r="D2528" s="3">
        <v>46115.63313657408</v>
      </c>
      <c r="E2528" t="inlineStr">
        <is>
          <t>Q2-W01</t>
        </is>
      </c>
      <c r="F2528" t="inlineStr">
        <is>
          <t>Ken Yi</t>
        </is>
      </c>
      <c r="G2528" t="inlineStr">
        <is>
          <t>Lead</t>
        </is>
      </c>
      <c r="H2528" s="2" t="str">
        <f>=HYPERLINK("https://upbox.ajobthing.my/leads/4236825", "https://upbox.ajobthing.my/leads/4236825")</f>
        <v>https://upbox.ajobthing.my/leads/4236825</v>
      </c>
      <c r="I2528" t="inlineStr">
        <is>
          <t>Bata Studio Development Sdn Bhd</t>
        </is>
      </c>
      <c r="J2528" t="inlineStr">
        <is>
          <t>Small Fish</t>
        </is>
      </c>
      <c r="K2528" t="inlineStr">
        <is>
          <t>Kenyi</t>
        </is>
      </c>
      <c r="L2528" s="4"/>
      <c r="M2528" s="4">
        <v>46115.631516203706</v>
      </c>
      <c r="N2528"/>
      <c r="O2528">
        <v>3888</v>
      </c>
      <c r="P2528" s="4"/>
      <c r="Q2528" s="4"/>
      <c r="R2528"/>
      <c r="S2528"/>
      <c r="T2528" s="4"/>
      <c r="U2528" s="4"/>
      <c r="V2528"/>
      <c r="W2528"/>
      <c r="X2528"/>
      <c r="Y2528" t="inlineStr">
        <is>
          <t>Pending Appointment</t>
        </is>
      </c>
      <c r="Z2528" t="inlineStr">
        <is>
          <t>Hiring Now</t>
        </is>
      </c>
      <c r="AA2528">
        <v>2</v>
      </c>
      <c r="AB2528" t="inlineStr">
        <is>
          <t>No Appointment Made</t>
        </is>
      </c>
      <c r="AC2528"/>
      <c r="AD2528" t="inlineStr">
        <is>
          <t xml:space="preserve">2 Admin </t>
        </is>
      </c>
      <c r="AE2528"/>
      <c r="AF2528">
        <v>0</v>
      </c>
      <c r="AG2528" s="4"/>
      <c r="AH2528" s="4"/>
      <c r="AI2528">
        <v>0</v>
      </c>
      <c r="AJ2528">
        <v>1</v>
      </c>
      <c r="AK2528" t="inlineStr">
        <is>
          <t>Yes, I have</t>
        </is>
      </c>
      <c r="AL2528">
        <v>1</v>
      </c>
      <c r="AM2528" t="inlineStr">
        <is>
          <t>No, I don't need at all</t>
        </is>
      </c>
      <c r="AN2528"/>
      <c r="AO2528" t="inlineStr">
        <is>
          <t>No, I don't need at all</t>
        </is>
      </c>
      <c r="AP2528" t="inlineStr">
        <is>
          <t>Every month (100%)</t>
        </is>
      </c>
      <c r="AQ2528">
        <v>1</v>
      </c>
      <c r="AR2528" t="inlineStr">
        <is>
          <t>Did not use any job portal</t>
        </is>
      </c>
      <c r="AS2528" t="inlineStr">
        <is>
          <t>- Headcount: 2
- Hiring Job Details: 2 Admin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Every month (100%)
- External job portal: Did not use any job portal</t>
        </is>
      </c>
      <c r="AT2528">
        <v>115</v>
      </c>
      <c r="AU2528" t="inlineStr">
        <is>
          <t>1.15</t>
        </is>
      </c>
      <c r="AV2528" t="inlineStr">
        <is>
          <t>15</t>
        </is>
      </c>
      <c r="AW2528" t="inlineStr">
        <is>
          <t>0</t>
        </is>
      </c>
      <c r="AX2528" t="inlineStr">
        <is>
          <t>Not Qualified</t>
        </is>
      </c>
      <c r="AY2528" s="4"/>
      <c r="AZ2528"/>
      <c r="BA2528"/>
      <c r="BB2528"/>
      <c r="BC2528"/>
      <c r="BD2528" s="4"/>
      <c r="BE2528"/>
      <c r="BF2528"/>
      <c r="BG2528" t="inlineStr">
        <is>
          <t>Reschedule</t>
        </is>
      </c>
      <c r="BH2528" t="inlineStr">
        <is>
          <t>Fauziah Maharan</t>
        </is>
      </c>
      <c r="BI2528"/>
      <c r="BJ2528" s="4">
        <v>46144.755694444444</v>
      </c>
      <c r="BK2528" s="4">
        <v>46115.42030092593</v>
      </c>
      <c r="BL2528" t="inlineStr">
        <is>
          <t>0.0</t>
        </is>
      </c>
      <c r="BM2528" t="inlineStr">
        <is>
          <t>0.0</t>
        </is>
      </c>
      <c r="BN2528"/>
      <c r="BO2528" s="4"/>
      <c r="BP2528">
        <v>165202</v>
      </c>
      <c r="BQ2528"/>
      <c r="BR2528"/>
      <c r="BS2528"/>
      <c r="BT2528"/>
      <c r="BU2528"/>
      <c r="BV2528"/>
      <c r="BW2528"/>
      <c r="BX2528"/>
      <c r="BY2528"/>
      <c r="BZ2528" s="4"/>
      <c r="CA2528"/>
      <c r="CB2528"/>
      <c r="CC2528" s="4"/>
      <c r="CD2528" t="inlineStr">
        <is>
          <t>20</t>
        </is>
      </c>
      <c r="CE2528" t="inlineStr">
        <is>
          <t>0</t>
        </is>
      </c>
      <c r="CF2528" t="inlineStr">
        <is>
          <t>Q2-W01</t>
        </is>
      </c>
      <c r="CG2528"/>
      <c r="CH2528"/>
      <c r="CI2528"/>
      <c r="CJ2528" t="inlineStr">
        <is>
          <t>No Paid</t>
        </is>
      </c>
      <c r="CK2528" t="inlineStr">
        <is>
          <t>Not Eligible</t>
        </is>
      </c>
      <c r="CL2528"/>
      <c r="CM2528"/>
    </row>
    <row r="2529" ht="25.5" customHeight="1">
      <c r="A2529" t="inlineStr">
        <is>
          <t>202787</t>
        </is>
      </c>
      <c r="B2529" s="2"/>
      <c r="C2529"/>
      <c r="D2529" s="3">
        <v>46115.64121527778</v>
      </c>
      <c r="E2529" t="inlineStr">
        <is>
          <t>Q2-W01</t>
        </is>
      </c>
      <c r="F2529" t="inlineStr">
        <is>
          <t>Clover</t>
        </is>
      </c>
      <c r="G2529" t="inlineStr">
        <is>
          <t>Customer</t>
        </is>
      </c>
      <c r="H2529" s="2" t="str">
        <f>=HYPERLINK("https://upbox.ajobthing.my/customer/202787", "https://upbox.ajobthing.my/customer/202787")</f>
        <v>https://upbox.ajobthing.my/customer/202787</v>
      </c>
      <c r="I2529" t="inlineStr">
        <is>
          <t>Grasp Software Solutions</t>
        </is>
      </c>
      <c r="J2529" t="inlineStr">
        <is>
          <t>Small Fish</t>
        </is>
      </c>
      <c r="K2529" t="inlineStr">
        <is>
          <t>Clover</t>
        </is>
      </c>
      <c r="L2529" s="4"/>
      <c r="M2529" s="4">
        <v>46115.63836805556</v>
      </c>
      <c r="N2529"/>
      <c r="O2529">
        <v>3888</v>
      </c>
      <c r="P2529" s="4"/>
      <c r="Q2529" s="4"/>
      <c r="R2529"/>
      <c r="S2529"/>
      <c r="T2529" s="4"/>
      <c r="U2529" s="4"/>
      <c r="V2529"/>
      <c r="W2529"/>
      <c r="X2529"/>
      <c r="Y2529" t="inlineStr">
        <is>
          <t>Pending Appointment</t>
        </is>
      </c>
      <c r="Z2529" t="inlineStr">
        <is>
          <t>Hiring Now</t>
        </is>
      </c>
      <c r="AA2529">
        <v>10</v>
      </c>
      <c r="AB2529" t="inlineStr">
        <is>
          <t>No Appointment Made</t>
        </is>
      </c>
      <c r="AC2529"/>
      <c r="AD2529" t="inlineStr">
        <is>
          <t>Outdoor sales exec x10 full time, software solution, batu cave museum tickets, tourist, basic + comm, future have hiring x1-2, suggest stand dis 200</t>
        </is>
      </c>
      <c r="AE2529"/>
      <c r="AF2529">
        <v>3000</v>
      </c>
      <c r="AG2529" s="4"/>
      <c r="AH2529" s="4"/>
      <c r="AI2529">
        <v>3000</v>
      </c>
      <c r="AJ2529">
        <v>1</v>
      </c>
      <c r="AK2529" t="inlineStr">
        <is>
          <t>No, but I want in future</t>
        </is>
      </c>
      <c r="AL2529">
        <v>1</v>
      </c>
      <c r="AM2529" t="inlineStr">
        <is>
          <t>No, but I want in future</t>
        </is>
      </c>
      <c r="AN2529"/>
      <c r="AO2529" t="inlineStr">
        <is>
          <t>No, but I want in future</t>
        </is>
      </c>
      <c r="AP2529" t="inlineStr">
        <is>
          <t>Twice a year (50%)</t>
        </is>
      </c>
      <c r="AQ2529">
        <v>10</v>
      </c>
      <c r="AR2529" t="inlineStr">
        <is>
          <t>Did not use any job portal</t>
        </is>
      </c>
      <c r="AS2529" t="inlineStr">
        <is>
          <t>- Headcount: 10
- Hiring Job Details: Outdoor sales exec x10 full time, software solution, batu cave museum tickets, tourist, basic + comm, future have hiring x1-2, suggest stand dis 200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10
- Hiring frequency: Twice a year (50%)
- External job portal: Did not use any</t>
        </is>
      </c>
      <c r="AT2529">
        <v>105</v>
      </c>
      <c r="AU2529" t="inlineStr">
        <is>
          <t>1.05</t>
        </is>
      </c>
      <c r="AV2529" t="inlineStr">
        <is>
          <t>20</t>
        </is>
      </c>
      <c r="AW2529" t="inlineStr">
        <is>
          <t>0</t>
        </is>
      </c>
      <c r="AX2529" t="inlineStr">
        <is>
          <t>Not Qualified</t>
        </is>
      </c>
      <c r="AY2529" s="4"/>
      <c r="AZ2529"/>
      <c r="BA2529"/>
      <c r="BB2529"/>
      <c r="BC2529" t="inlineStr">
        <is>
          <t>Always busy when fu, wa again</t>
        </is>
      </c>
      <c r="BD2529" s="4">
        <v>46135.585960648146</v>
      </c>
      <c r="BE2529"/>
      <c r="BF2529"/>
      <c r="BG2529" t="inlineStr">
        <is>
          <t>Reschedule</t>
        </is>
      </c>
      <c r="BH2529" t="inlineStr">
        <is>
          <t>Reagen</t>
        </is>
      </c>
      <c r="BI2529"/>
      <c r="BJ2529" s="4">
        <v>46144.75412037037</v>
      </c>
      <c r="BK2529" s="4">
        <v>46115.52005787037</v>
      </c>
      <c r="BL2529" t="inlineStr">
        <is>
          <t>0.0</t>
        </is>
      </c>
      <c r="BM2529" t="inlineStr">
        <is>
          <t>0.0</t>
        </is>
      </c>
      <c r="BN2529" t="inlineStr">
        <is>
          <t>View Company Page</t>
        </is>
      </c>
      <c r="BO2529" s="4">
        <v>46115.52018518518</v>
      </c>
      <c r="BP2529">
        <v>165212</v>
      </c>
      <c r="BQ2529"/>
      <c r="BR2529"/>
      <c r="BS2529"/>
      <c r="BT2529"/>
      <c r="BU2529"/>
      <c r="BV2529">
        <v>2723344</v>
      </c>
      <c r="BW2529" t="inlineStr">
        <is>
          <t>Follow Up : Decision Pending</t>
        </is>
      </c>
      <c r="BX2529"/>
      <c r="BY2529"/>
      <c r="BZ2529" s="4"/>
      <c r="CA2529"/>
      <c r="CB2529"/>
      <c r="CC2529" s="4"/>
      <c r="CD2529" t="inlineStr">
        <is>
          <t>30</t>
        </is>
      </c>
      <c r="CE2529" t="inlineStr">
        <is>
          <t>0</t>
        </is>
      </c>
      <c r="CF2529" t="inlineStr">
        <is>
          <t>Q2-W01</t>
        </is>
      </c>
      <c r="CG2529"/>
      <c r="CH2529"/>
      <c r="CI2529"/>
      <c r="CJ2529" t="inlineStr">
        <is>
          <t>No Paid</t>
        </is>
      </c>
      <c r="CK2529" t="inlineStr">
        <is>
          <t>Eligible</t>
        </is>
      </c>
      <c r="CL2529"/>
      <c r="CM2529"/>
    </row>
    <row r="2530" ht="25.5" customHeight="1">
      <c r="A2530" t="inlineStr">
        <is>
          <t>202756</t>
        </is>
      </c>
      <c r="B2530" s="2"/>
      <c r="C2530"/>
      <c r="D2530" s="3">
        <v>46115.651724537034</v>
      </c>
      <c r="E2530" t="inlineStr">
        <is>
          <t>Q2-W01</t>
        </is>
      </c>
      <c r="F2530" t="inlineStr">
        <is>
          <t>Evan</t>
        </is>
      </c>
      <c r="G2530" t="inlineStr">
        <is>
          <t>Customer</t>
        </is>
      </c>
      <c r="H2530" s="2" t="str">
        <f>=HYPERLINK("https://upbox.ajobthing.my/customer/202756", "https://upbox.ajobthing.my/customer/202756")</f>
        <v>https://upbox.ajobthing.my/customer/202756</v>
      </c>
      <c r="I2530" t="inlineStr">
        <is>
          <t>Yan yu</t>
        </is>
      </c>
      <c r="J2530" t="inlineStr">
        <is>
          <t>Small Fish</t>
        </is>
      </c>
      <c r="K2530" t="inlineStr">
        <is>
          <t>Evan</t>
        </is>
      </c>
      <c r="L2530" s="4"/>
      <c r="M2530" s="4">
        <v>46115.65136574074</v>
      </c>
      <c r="N2530"/>
      <c r="O2530">
        <v>3888</v>
      </c>
      <c r="P2530" s="4"/>
      <c r="Q2530" s="4"/>
      <c r="R2530"/>
      <c r="S2530"/>
      <c r="T2530" s="4"/>
      <c r="U2530" s="4"/>
      <c r="V2530"/>
      <c r="W2530"/>
      <c r="X2530"/>
      <c r="Y2530" t="inlineStr">
        <is>
          <t>Pending Appointment</t>
        </is>
      </c>
      <c r="Z2530" t="inlineStr">
        <is>
          <t>Hiring Now</t>
        </is>
      </c>
      <c r="AA2530">
        <v>2</v>
      </c>
      <c r="AB2530" t="inlineStr">
        <is>
          <t>No Appointment Made</t>
        </is>
      </c>
      <c r="AC2530"/>
      <c r="AD2530" t="inlineStr">
        <is>
          <t>2 sales, all base in KL</t>
        </is>
      </c>
      <c r="AE2530"/>
      <c r="AF2530">
        <v>1</v>
      </c>
      <c r="AG2530" s="4"/>
      <c r="AH2530" s="4"/>
      <c r="AI2530">
        <v>1</v>
      </c>
      <c r="AJ2530">
        <v>1</v>
      </c>
      <c r="AK2530" t="inlineStr">
        <is>
          <t>No, I don't need at all</t>
        </is>
      </c>
      <c r="AL2530">
        <v>0</v>
      </c>
      <c r="AM2530" t="inlineStr">
        <is>
          <t>No, I don't need at all</t>
        </is>
      </c>
      <c r="AN2530"/>
      <c r="AO2530" t="inlineStr">
        <is>
          <t>No, I don't need at all</t>
        </is>
      </c>
      <c r="AP2530" t="inlineStr">
        <is>
          <t>Once a year (25%)</t>
        </is>
      </c>
      <c r="AQ2530">
        <v>2</v>
      </c>
      <c r="AR2530" t="inlineStr">
        <is>
          <t>Did not use any job portal</t>
        </is>
      </c>
      <c r="AS2530" t="inlineStr">
        <is>
          <t>- Headcount: 2
- Hiring Job Details: 2 sales,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is>
      </c>
      <c r="AT2530">
        <v>115</v>
      </c>
      <c r="AU2530" t="inlineStr">
        <is>
          <t>1.15</t>
        </is>
      </c>
      <c r="AV2530" t="inlineStr">
        <is>
          <t>15</t>
        </is>
      </c>
      <c r="AW2530" t="inlineStr">
        <is>
          <t>0</t>
        </is>
      </c>
      <c r="AX2530" t="inlineStr">
        <is>
          <t>Not Qualified</t>
        </is>
      </c>
      <c r="AY2530" s="4"/>
      <c r="AZ2530"/>
      <c r="BA2530"/>
      <c r="BB2530"/>
      <c r="BC2530" t="inlineStr">
        <is>
          <t>- Headcount: 2
- Hiring Job Details: 2 sales,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is>
      </c>
      <c r="BD2530" s="4">
        <v>46115.66670138889</v>
      </c>
      <c r="BE2530"/>
      <c r="BF2530"/>
      <c r="BG2530" t="inlineStr">
        <is>
          <t>Reschedule</t>
        </is>
      </c>
      <c r="BH2530" t="inlineStr">
        <is>
          <t>Edward Hoo</t>
        </is>
      </c>
      <c r="BI2530"/>
      <c r="BJ2530" s="4">
        <v>46144.75412037037</v>
      </c>
      <c r="BK2530" s="4">
        <v>46114.74203703704</v>
      </c>
      <c r="BL2530" t="inlineStr">
        <is>
          <t>0.0</t>
        </is>
      </c>
      <c r="BM2530" t="inlineStr">
        <is>
          <t>0.0</t>
        </is>
      </c>
      <c r="BN2530" t="inlineStr">
        <is>
          <t>View Company Page</t>
        </is>
      </c>
      <c r="BO2530" s="4">
        <v>46114.76980324074</v>
      </c>
      <c r="BP2530">
        <v>165219</v>
      </c>
      <c r="BQ2530"/>
      <c r="BR2530"/>
      <c r="BS2530"/>
      <c r="BT2530"/>
      <c r="BU2530"/>
      <c r="BV2530">
        <v>2683414</v>
      </c>
      <c r="BW2530" t="inlineStr">
        <is>
          <t>Customer Inquiry</t>
        </is>
      </c>
      <c r="BX2530"/>
      <c r="BY2530"/>
      <c r="BZ2530" s="4"/>
      <c r="CA2530"/>
      <c r="CB2530"/>
      <c r="CC2530" s="4"/>
      <c r="CD2530" t="inlineStr">
        <is>
          <t>20</t>
        </is>
      </c>
      <c r="CE2530" t="inlineStr">
        <is>
          <t>0</t>
        </is>
      </c>
      <c r="CF2530" t="inlineStr">
        <is>
          <t>Q2-W01</t>
        </is>
      </c>
      <c r="CG2530"/>
      <c r="CH2530"/>
      <c r="CI2530"/>
      <c r="CJ2530" t="inlineStr">
        <is>
          <t>No Paid</t>
        </is>
      </c>
      <c r="CK2530" t="inlineStr">
        <is>
          <t>Not Eligible</t>
        </is>
      </c>
      <c r="CL2530"/>
      <c r="CM2530"/>
    </row>
    <row r="2531" ht="25.5" customHeight="1">
      <c r="A2531" t="inlineStr">
        <is>
          <t>202632</t>
        </is>
      </c>
      <c r="B2531" s="2"/>
      <c r="C2531"/>
      <c r="D2531" s="3">
        <v>46115.657372685186</v>
      </c>
      <c r="E2531" t="inlineStr">
        <is>
          <t>Q2-W01</t>
        </is>
      </c>
      <c r="F2531" t="inlineStr">
        <is>
          <t>Evan</t>
        </is>
      </c>
      <c r="G2531" t="inlineStr">
        <is>
          <t>Customer</t>
        </is>
      </c>
      <c r="H2531" s="2" t="str">
        <f>=HYPERLINK("https://upbox.ajobthing.my/customer/202632", "https://upbox.ajobthing.my/customer/202632")</f>
        <v>https://upbox.ajobthing.my/customer/202632</v>
      </c>
      <c r="I2531" t="inlineStr">
        <is>
          <t>No 27 Petaling Street</t>
        </is>
      </c>
      <c r="J2531" t="inlineStr">
        <is>
          <t>Small Fish</t>
        </is>
      </c>
      <c r="K2531" t="inlineStr">
        <is>
          <t>Evan</t>
        </is>
      </c>
      <c r="L2531" s="4"/>
      <c r="M2531" s="4">
        <v>46115.656909722224</v>
      </c>
      <c r="N2531"/>
      <c r="O2531">
        <v>3888</v>
      </c>
      <c r="P2531" s="4"/>
      <c r="Q2531" s="4">
        <v>46121.750625</v>
      </c>
      <c r="R2531"/>
      <c r="S2531">
        <v>0</v>
      </c>
      <c r="T2531" s="4"/>
      <c r="U2531" s="4"/>
      <c r="V2531"/>
      <c r="W2531"/>
      <c r="X2531"/>
      <c r="Y2531" t="inlineStr">
        <is>
          <t>Pending Appointment</t>
        </is>
      </c>
      <c r="Z2531" t="inlineStr">
        <is>
          <t>Hiring Now</t>
        </is>
      </c>
      <c r="AA2531">
        <v>2</v>
      </c>
      <c r="AB2531" t="inlineStr">
        <is>
          <t>No Appointment Made</t>
        </is>
      </c>
      <c r="AC2531"/>
      <c r="AD2531" t="inlineStr">
        <is>
          <t>2 service crew, all base in PJ</t>
        </is>
      </c>
      <c r="AE2531"/>
      <c r="AF2531">
        <v>1</v>
      </c>
      <c r="AG2531" s="4"/>
      <c r="AH2531" s="4"/>
      <c r="AI2531">
        <v>1</v>
      </c>
      <c r="AJ2531">
        <v>1</v>
      </c>
      <c r="AK2531" t="inlineStr">
        <is>
          <t>No, I don't need at all</t>
        </is>
      </c>
      <c r="AL2531">
        <v>0</v>
      </c>
      <c r="AM2531" t="inlineStr">
        <is>
          <t>No, I don't need at all</t>
        </is>
      </c>
      <c r="AN2531"/>
      <c r="AO2531" t="inlineStr">
        <is>
          <t>No, I don't need at all</t>
        </is>
      </c>
      <c r="AP2531" t="inlineStr">
        <is>
          <t>Once a year (25%)</t>
        </is>
      </c>
      <c r="AQ2531">
        <v>2</v>
      </c>
      <c r="AR2531" t="inlineStr">
        <is>
          <t>Did not use any job portal</t>
        </is>
      </c>
      <c r="AS2531" t="inlineStr">
        <is>
          <t>- Headcount: 2
- Hiring Job Details: 2 service crew, all base in PJ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2
- Hiring frequency: Once a year (25%)
- External job portal: Did not use any job portal</t>
        </is>
      </c>
      <c r="AT2531">
        <v>115</v>
      </c>
      <c r="AU2531" t="inlineStr">
        <is>
          <t>1.15</t>
        </is>
      </c>
      <c r="AV2531" t="inlineStr">
        <is>
          <t>15</t>
        </is>
      </c>
      <c r="AW2531" t="inlineStr">
        <is>
          <t>0</t>
        </is>
      </c>
      <c r="AX2531" t="inlineStr">
        <is>
          <t>Not Qualified</t>
        </is>
      </c>
      <c r="AY2531" s="4"/>
      <c r="AZ2531"/>
      <c r="BA2531"/>
      <c r="BB2531"/>
      <c r="BC2531" t="inlineStr">
        <is>
          <t>pending</t>
        </is>
      </c>
      <c r="BD2531" s="4">
        <v>46126.477060185185</v>
      </c>
      <c r="BE2531" t="inlineStr">
        <is>
          <t>paid</t>
        </is>
      </c>
      <c r="BF2531"/>
      <c r="BG2531" t="inlineStr">
        <is>
          <t>Reschedule</t>
        </is>
      </c>
      <c r="BH2531" t="inlineStr">
        <is>
          <t>Edward Hoo</t>
        </is>
      </c>
      <c r="BI2531" t="inlineStr">
        <is>
          <t>Food / Beverage</t>
        </is>
      </c>
      <c r="BJ2531" s="4">
        <v>46144.75407407407</v>
      </c>
      <c r="BK2531" s="4">
        <v>46112.61724537037</v>
      </c>
      <c r="BL2531" t="inlineStr">
        <is>
          <t>0.0</t>
        </is>
      </c>
      <c r="BM2531" t="inlineStr">
        <is>
          <t>0.0</t>
        </is>
      </c>
      <c r="BN2531" t="inlineStr">
        <is>
          <t>View Company Page</t>
        </is>
      </c>
      <c r="BO2531" s="4">
        <v>46112.791817129626</v>
      </c>
      <c r="BP2531">
        <v>165222</v>
      </c>
      <c r="BQ2531">
        <v>121412</v>
      </c>
      <c r="BR2531" t="inlineStr">
        <is>
          <t>Proforma</t>
        </is>
      </c>
      <c r="BS2531" t="inlineStr">
        <is>
          <t>Free Internship Job</t>
        </is>
      </c>
      <c r="BT2531"/>
      <c r="BU2531"/>
      <c r="BV2531">
        <v>2703049</v>
      </c>
      <c r="BW2531" t="inlineStr">
        <is>
          <t>Follow Up : Decision Pending</t>
        </is>
      </c>
      <c r="BX2531"/>
      <c r="BY2531"/>
      <c r="BZ2531" s="4"/>
      <c r="CA2531"/>
      <c r="CB2531"/>
      <c r="CC2531" s="4"/>
      <c r="CD2531" t="inlineStr">
        <is>
          <t>20</t>
        </is>
      </c>
      <c r="CE2531" t="inlineStr">
        <is>
          <t>0</t>
        </is>
      </c>
      <c r="CF2531" t="inlineStr">
        <is>
          <t>Q2-W01</t>
        </is>
      </c>
      <c r="CG2531" t="inlineStr">
        <is>
          <t>Q2-W01</t>
        </is>
      </c>
      <c r="CH2531"/>
      <c r="CI2531"/>
      <c r="CJ2531" t="inlineStr">
        <is>
          <t>No Paid</t>
        </is>
      </c>
      <c r="CK2531" t="inlineStr">
        <is>
          <t>Not Eligible</t>
        </is>
      </c>
      <c r="CL2531"/>
      <c r="CM2531"/>
    </row>
    <row r="2532" ht="25.5" customHeight="1">
      <c r="A2532" t="inlineStr">
        <is>
          <t>134244</t>
        </is>
      </c>
      <c r="B2532" s="2"/>
      <c r="C2532"/>
      <c r="D2532" s="3">
        <v>46115.67084490741</v>
      </c>
      <c r="E2532" t="inlineStr">
        <is>
          <t>Q2-W01</t>
        </is>
      </c>
      <c r="F2532" t="inlineStr">
        <is>
          <t>Clover</t>
        </is>
      </c>
      <c r="G2532" t="inlineStr">
        <is>
          <t>Customer</t>
        </is>
      </c>
      <c r="H2532" s="2" t="str">
        <f>=HYPERLINK("https://upbox.ajobthing.my/customer/134244", "https://upbox.ajobthing.my/customer/134244")</f>
        <v>https://upbox.ajobthing.my/customer/134244</v>
      </c>
      <c r="I2532" t="inlineStr">
        <is>
          <t>SS Beayouthiful</t>
        </is>
      </c>
      <c r="J2532" t="inlineStr">
        <is>
          <t>Small Fish</t>
        </is>
      </c>
      <c r="K2532" t="inlineStr">
        <is>
          <t>Clover</t>
        </is>
      </c>
      <c r="L2532" s="4"/>
      <c r="M2532" s="4">
        <v>46115.67199074074</v>
      </c>
      <c r="N2532"/>
      <c r="O2532">
        <v>6048</v>
      </c>
      <c r="P2532" s="4"/>
      <c r="Q2532" s="4">
        <v>46115.66862268518</v>
      </c>
      <c r="R2532"/>
      <c r="S2532">
        <v>0</v>
      </c>
      <c r="T2532" s="4"/>
      <c r="U2532" s="4"/>
      <c r="V2532"/>
      <c r="W2532"/>
      <c r="X2532"/>
      <c r="Y2532" t="inlineStr">
        <is>
          <t>Pending Appointment</t>
        </is>
      </c>
      <c r="Z2532" t="inlineStr">
        <is>
          <t>Hiring Now</t>
        </is>
      </c>
      <c r="AA2532">
        <v>6</v>
      </c>
      <c r="AB2532" t="inlineStr">
        <is>
          <t>No Appointment Made</t>
        </is>
      </c>
      <c r="AC2532"/>
      <c r="AD2532" t="inlineStr">
        <is>
          <t>hire beautician x2, hair stylist x2, nail stylist x2, beauty centre, 18 months contract, suggest stand dis 200</t>
        </is>
      </c>
      <c r="AE2532"/>
      <c r="AF2532">
        <v>3000</v>
      </c>
      <c r="AG2532" s="4"/>
      <c r="AH2532" s="4"/>
      <c r="AI2532">
        <v>3000</v>
      </c>
      <c r="AJ2532">
        <v>1</v>
      </c>
      <c r="AK2532" t="inlineStr">
        <is>
          <t>No, but I want in future</t>
        </is>
      </c>
      <c r="AL2532">
        <v>1</v>
      </c>
      <c r="AM2532" t="inlineStr">
        <is>
          <t>No, but I want in future</t>
        </is>
      </c>
      <c r="AN2532"/>
      <c r="AO2532" t="inlineStr">
        <is>
          <t>No, but I want in future</t>
        </is>
      </c>
      <c r="AP2532" t="inlineStr">
        <is>
          <t>Twice a year (50%)</t>
        </is>
      </c>
      <c r="AQ2532">
        <v>6</v>
      </c>
      <c r="AR2532" t="inlineStr">
        <is>
          <t>Did not use any job portal</t>
        </is>
      </c>
      <c r="AS2532" t="inlineStr">
        <is>
          <t>- Headcount: 6
- Hiring Job Details: hire beautician x2, hair stylist x2, nail stylist x2, beauty centre, 18 months contract, suggest stand dis 200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6
- Hiring frequency: Twice a year (50%)
- External job portal: Did not use any</t>
        </is>
      </c>
      <c r="AT2532">
        <v>110</v>
      </c>
      <c r="AU2532" t="inlineStr">
        <is>
          <t>1.10</t>
        </is>
      </c>
      <c r="AV2532" t="inlineStr">
        <is>
          <t>20</t>
        </is>
      </c>
      <c r="AW2532" t="inlineStr">
        <is>
          <t>0</t>
        </is>
      </c>
      <c r="AX2532" t="inlineStr">
        <is>
          <t>Not Qualified</t>
        </is>
      </c>
      <c r="AY2532" s="4"/>
      <c r="AZ2532"/>
      <c r="BA2532"/>
      <c r="BB2532"/>
      <c r="BC2532" t="inlineStr">
        <is>
          <t>On hold, pending management</t>
        </is>
      </c>
      <c r="BD2532" s="4">
        <v>46135.606944444444</v>
      </c>
      <c r="BE2532" t="inlineStr">
        <is>
          <t>paid</t>
        </is>
      </c>
      <c r="BF2532"/>
      <c r="BG2532" t="inlineStr">
        <is>
          <t>Reschedule</t>
        </is>
      </c>
      <c r="BH2532" t="inlineStr">
        <is>
          <t>Reagen</t>
        </is>
      </c>
      <c r="BI2532"/>
      <c r="BJ2532" s="4">
        <v>46144.75053240741</v>
      </c>
      <c r="BK2532" s="4">
        <v>44238.00974537037</v>
      </c>
      <c r="BL2532" t="inlineStr">
        <is>
          <t>0.0</t>
        </is>
      </c>
      <c r="BM2532" t="inlineStr">
        <is>
          <t>0.0</t>
        </is>
      </c>
      <c r="BN2532" t="inlineStr">
        <is>
          <t>View Company Page</t>
        </is>
      </c>
      <c r="BO2532" s="4">
        <v>44816.65907407407</v>
      </c>
      <c r="BP2532">
        <v>165226</v>
      </c>
      <c r="BQ2532">
        <v>119915</v>
      </c>
      <c r="BR2532" t="inlineStr">
        <is>
          <t>Proforma</t>
        </is>
      </c>
      <c r="BS2532" t="inlineStr">
        <is>
          <t>Free High Pay Job</t>
        </is>
      </c>
      <c r="BT2532"/>
      <c r="BU2532"/>
      <c r="BV2532">
        <v>2723434</v>
      </c>
      <c r="BW2532" t="inlineStr">
        <is>
          <t>Follow Up : Decision Pending</t>
        </is>
      </c>
      <c r="BX2532"/>
      <c r="BY2532"/>
      <c r="BZ2532" s="4"/>
      <c r="CA2532"/>
      <c r="CB2532"/>
      <c r="CC2532" s="4"/>
      <c r="CD2532" t="inlineStr">
        <is>
          <t>30</t>
        </is>
      </c>
      <c r="CE2532" t="inlineStr">
        <is>
          <t>0</t>
        </is>
      </c>
      <c r="CF2532" t="inlineStr">
        <is>
          <t>Q2-W01</t>
        </is>
      </c>
      <c r="CG2532" t="inlineStr">
        <is>
          <t>Q2-W01</t>
        </is>
      </c>
      <c r="CH2532"/>
      <c r="CI2532"/>
      <c r="CJ2532" t="inlineStr">
        <is>
          <t>No Paid</t>
        </is>
      </c>
      <c r="CK2532" t="inlineStr">
        <is>
          <t>Not Eligible</t>
        </is>
      </c>
      <c r="CL2532"/>
      <c r="CM2532"/>
    </row>
    <row r="2533" ht="25.5" customHeight="1">
      <c r="A2533" t="inlineStr">
        <is>
          <t>4239107</t>
        </is>
      </c>
      <c r="B2533" s="2"/>
      <c r="C2533"/>
      <c r="D2533" s="3">
        <v>46115.67107638889</v>
      </c>
      <c r="E2533" t="inlineStr">
        <is>
          <t>Q2-W01</t>
        </is>
      </c>
      <c r="F2533" t="inlineStr">
        <is>
          <t>Angel  Low</t>
        </is>
      </c>
      <c r="G2533" t="inlineStr">
        <is>
          <t>Lead</t>
        </is>
      </c>
      <c r="H2533" s="2" t="str">
        <f>=HYPERLINK("https://upbox.ajobthing.my/leads/4239107", "https://upbox.ajobthing.my/leads/4239107")</f>
        <v>https://upbox.ajobthing.my/leads/4239107</v>
      </c>
      <c r="I2533" t="inlineStr">
        <is>
          <t>Lechler Spray Technology Sdn Bhd</t>
        </is>
      </c>
      <c r="J2533" t="inlineStr">
        <is>
          <t>Small Fish</t>
        </is>
      </c>
      <c r="K2533" t="inlineStr">
        <is>
          <t>Angel Low</t>
        </is>
      </c>
      <c r="L2533" s="4"/>
      <c r="M2533" s="4">
        <v>46115.673159722224</v>
      </c>
      <c r="N2533"/>
      <c r="O2533">
        <v>3672</v>
      </c>
      <c r="P2533" s="4"/>
      <c r="Q2533" s="4"/>
      <c r="R2533"/>
      <c r="S2533"/>
      <c r="T2533" s="4"/>
      <c r="U2533" s="4"/>
      <c r="V2533"/>
      <c r="W2533"/>
      <c r="X2533"/>
      <c r="Y2533" t="inlineStr">
        <is>
          <t>Pending Appointment</t>
        </is>
      </c>
      <c r="Z2533" t="inlineStr">
        <is>
          <t>Hiring Now</t>
        </is>
      </c>
      <c r="AA2533">
        <v>1</v>
      </c>
      <c r="AB2533" t="inlineStr">
        <is>
          <t>No Appointment Made</t>
        </is>
      </c>
      <c r="AC2533"/>
      <c r="AD2533" t="inlineStr">
        <is>
          <t>sales engineer</t>
        </is>
      </c>
      <c r="AE2533"/>
      <c r="AF2533"/>
      <c r="AG2533" s="4"/>
      <c r="AH2533" s="4"/>
      <c r="AI2533"/>
      <c r="AJ2533"/>
      <c r="AK2533" t="inlineStr">
        <is>
          <t>No, I don't need at all</t>
        </is>
      </c>
      <c r="AL2533"/>
      <c r="AM2533" t="inlineStr">
        <is>
          <t>No, I don't need at all</t>
        </is>
      </c>
      <c r="AN2533"/>
      <c r="AO2533" t="inlineStr">
        <is>
          <t>No, I don't need at all</t>
        </is>
      </c>
      <c r="AP2533" t="inlineStr">
        <is>
          <t>Once a year (25%)</t>
        </is>
      </c>
      <c r="AQ2533"/>
      <c r="AR2533"/>
      <c r="AS2533" t="inlineStr">
        <is>
          <t>- Headcount: 1
- Hiring Job Details: sales engineer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a year (25%)
- External job portal: Not provided</t>
        </is>
      </c>
      <c r="AT2533">
        <v>75</v>
      </c>
      <c r="AU2533" t="inlineStr">
        <is>
          <t>0.75</t>
        </is>
      </c>
      <c r="AV2533" t="inlineStr">
        <is>
          <t>5</t>
        </is>
      </c>
      <c r="AW2533" t="inlineStr">
        <is>
          <t>0</t>
        </is>
      </c>
      <c r="AX2533" t="inlineStr">
        <is>
          <t>Not Qualified</t>
        </is>
      </c>
      <c r="AY2533" s="4"/>
      <c r="AZ2533"/>
      <c r="BA2533"/>
      <c r="BB2533"/>
      <c r="BC2533"/>
      <c r="BD2533" s="4"/>
      <c r="BE2533"/>
      <c r="BF2533"/>
      <c r="BG2533" t="inlineStr">
        <is>
          <t>Reschedule</t>
        </is>
      </c>
      <c r="BH2533" t="inlineStr">
        <is>
          <t>Fauziah Maharan</t>
        </is>
      </c>
      <c r="BI2533"/>
      <c r="BJ2533" s="4">
        <v>46144.75571759259</v>
      </c>
      <c r="BK2533" s="4">
        <v>46115.63381944445</v>
      </c>
      <c r="BL2533" t="inlineStr">
        <is>
          <t>0.0</t>
        </is>
      </c>
      <c r="BM2533" t="inlineStr">
        <is>
          <t>600.0</t>
        </is>
      </c>
      <c r="BN2533"/>
      <c r="BO2533" s="4"/>
      <c r="BP2533">
        <v>165228</v>
      </c>
      <c r="BQ2533"/>
      <c r="BR2533"/>
      <c r="BS2533"/>
      <c r="BT2533"/>
      <c r="BU2533"/>
      <c r="BV2533"/>
      <c r="BW2533"/>
      <c r="BX2533"/>
      <c r="BY2533"/>
      <c r="BZ2533" s="4"/>
      <c r="CA2533"/>
      <c r="CB2533"/>
      <c r="CC2533" s="4"/>
      <c r="CD2533" t="inlineStr">
        <is>
          <t>5</t>
        </is>
      </c>
      <c r="CE2533" t="inlineStr">
        <is>
          <t>0</t>
        </is>
      </c>
      <c r="CF2533" t="inlineStr">
        <is>
          <t>Q2-W01</t>
        </is>
      </c>
      <c r="CG2533"/>
      <c r="CH2533"/>
      <c r="CI2533"/>
      <c r="CJ2533" t="inlineStr">
        <is>
          <t>No Paid</t>
        </is>
      </c>
      <c r="CK2533" t="inlineStr">
        <is>
          <t>Not Eligible</t>
        </is>
      </c>
      <c r="CL2533"/>
      <c r="CM2533"/>
    </row>
    <row r="2534" ht="25.5" customHeight="1">
      <c r="A2534" t="inlineStr">
        <is>
          <t>202797</t>
        </is>
      </c>
      <c r="B2534" s="2"/>
      <c r="C2534"/>
      <c r="D2534" s="3">
        <v>46115.673530092594</v>
      </c>
      <c r="E2534" t="inlineStr">
        <is>
          <t>Q2-W01</t>
        </is>
      </c>
      <c r="F2534" t="inlineStr">
        <is>
          <t>Luqman</t>
        </is>
      </c>
      <c r="G2534" t="inlineStr">
        <is>
          <t>Customer</t>
        </is>
      </c>
      <c r="H2534" s="2" t="str">
        <f>=HYPERLINK("https://upbox.ajobthing.my/customer/202797", "https://upbox.ajobthing.my/customer/202797")</f>
        <v>https://upbox.ajobthing.my/customer/202797</v>
      </c>
      <c r="I2534" t="inlineStr">
        <is>
          <t>PERNIAGAAN KACA HUP AET</t>
        </is>
      </c>
      <c r="J2534" t="inlineStr">
        <is>
          <t>Small Fish</t>
        </is>
      </c>
      <c r="K2534" t="inlineStr">
        <is>
          <t>Luqman</t>
        </is>
      </c>
      <c r="L2534" s="4"/>
      <c r="M2534" s="4">
        <v>46118.65509259259</v>
      </c>
      <c r="N2534"/>
      <c r="O2534">
        <v>864</v>
      </c>
      <c r="P2534" s="4"/>
      <c r="Q2534" s="4"/>
      <c r="R2534"/>
      <c r="S2534"/>
      <c r="T2534" s="4"/>
      <c r="U2534" s="4"/>
      <c r="V2534"/>
      <c r="W2534"/>
      <c r="X2534"/>
      <c r="Y2534" t="inlineStr">
        <is>
          <t>Pending Appointment</t>
        </is>
      </c>
      <c r="Z2534" t="inlineStr">
        <is>
          <t>Hiring Later</t>
        </is>
      </c>
      <c r="AA2534">
        <v>1</v>
      </c>
      <c r="AB2534" t="inlineStr">
        <is>
          <t>No Appointment Made</t>
        </is>
      </c>
      <c r="AC2534"/>
      <c r="AD2534" t="inlineStr">
        <is>
          <t xml:space="preserve">1. Site Engineer </t>
        </is>
      </c>
      <c r="AE2534"/>
      <c r="AF2534">
        <v>1200</v>
      </c>
      <c r="AG2534" s="4"/>
      <c r="AH2534" s="4"/>
      <c r="AI2534">
        <v>1200</v>
      </c>
      <c r="AJ2534"/>
      <c r="AK2534" t="inlineStr">
        <is>
          <t>No, I don't need at all</t>
        </is>
      </c>
      <c r="AL2534"/>
      <c r="AM2534" t="inlineStr">
        <is>
          <t>No, I don't need at all</t>
        </is>
      </c>
      <c r="AN2534"/>
      <c r="AO2534" t="inlineStr">
        <is>
          <t>No, I don't need at all</t>
        </is>
      </c>
      <c r="AP2534" t="inlineStr">
        <is>
          <t>Once a year (25%)</t>
        </is>
      </c>
      <c r="AQ2534">
        <v>2</v>
      </c>
      <c r="AR2534"/>
      <c r="AS2534" t="inlineStr">
        <is>
          <t>- Headcount: 1
- Hiring Job Details: 1 Site Engineer
- Hiring Urgency: Hiring Later
- Number of outlets: Not specified
- Have recruiter team: No, I don't need at all
- Number of recruiter in company: Not specified
- Have ATS system: No, I don't need at all
- Have career website: No, I don't need at all
- Current hiring budget: RM1,200
- Whole year budget: RM1,200.00
- Whole year number of vacancies: 2
- Hiring frequency: Once a year (25%)
- External job portal: Not specified</t>
        </is>
      </c>
      <c r="AT2534">
        <v>105</v>
      </c>
      <c r="AU2534" t="inlineStr">
        <is>
          <t>1.05</t>
        </is>
      </c>
      <c r="AV2534" t="inlineStr">
        <is>
          <t>15</t>
        </is>
      </c>
      <c r="AW2534" t="inlineStr">
        <is>
          <t>0</t>
        </is>
      </c>
      <c r="AX2534" t="inlineStr">
        <is>
          <t>Not Qualified</t>
        </is>
      </c>
      <c r="AY2534" s="4"/>
      <c r="AZ2534"/>
      <c r="BA2534"/>
      <c r="BB2534"/>
      <c r="BC2534" t="inlineStr">
        <is>
          <t>Budget concern.</t>
        </is>
      </c>
      <c r="BD2534" s="4">
        <v>46141.60949074074</v>
      </c>
      <c r="BE2534"/>
      <c r="BF2534"/>
      <c r="BG2534" t="inlineStr">
        <is>
          <t>Reschedule</t>
        </is>
      </c>
      <c r="BH2534" t="inlineStr">
        <is>
          <t>Edward Hoo</t>
        </is>
      </c>
      <c r="BI2534"/>
      <c r="BJ2534" s="4">
        <v>46144.75412037037</v>
      </c>
      <c r="BK2534" s="4">
        <v>46115.67153935185</v>
      </c>
      <c r="BL2534" t="inlineStr">
        <is>
          <t>0.0</t>
        </is>
      </c>
      <c r="BM2534" t="inlineStr">
        <is>
          <t>0.0</t>
        </is>
      </c>
      <c r="BN2534" t="inlineStr">
        <is>
          <t>User Visit(Logged In)</t>
        </is>
      </c>
      <c r="BO2534" s="4">
        <v>46115.675150462965</v>
      </c>
      <c r="BP2534">
        <v>165453</v>
      </c>
      <c r="BQ2534"/>
      <c r="BR2534"/>
      <c r="BS2534"/>
      <c r="BT2534"/>
      <c r="BU2534"/>
      <c r="BV2534">
        <v>2735360</v>
      </c>
      <c r="BW2534" t="inlineStr">
        <is>
          <t>Follow Up : Lost - Free Portal</t>
        </is>
      </c>
      <c r="BX2534"/>
      <c r="BY2534"/>
      <c r="BZ2534" s="4"/>
      <c r="CA2534"/>
      <c r="CB2534"/>
      <c r="CC2534" s="4"/>
      <c r="CD2534" t="inlineStr">
        <is>
          <t>20</t>
        </is>
      </c>
      <c r="CE2534" t="inlineStr">
        <is>
          <t>0</t>
        </is>
      </c>
      <c r="CF2534" t="inlineStr">
        <is>
          <t>Q2-W01</t>
        </is>
      </c>
      <c r="CG2534"/>
      <c r="CH2534"/>
      <c r="CI2534"/>
      <c r="CJ2534" t="inlineStr">
        <is>
          <t>No Paid</t>
        </is>
      </c>
      <c r="CK2534" t="inlineStr">
        <is>
          <t>Not Eligible</t>
        </is>
      </c>
      <c r="CL2534"/>
      <c r="CM2534"/>
    </row>
    <row r="2535" ht="25.5" customHeight="1">
      <c r="A2535" t="inlineStr">
        <is>
          <t>134244</t>
        </is>
      </c>
      <c r="B2535" s="2"/>
      <c r="C2535"/>
      <c r="D2535" s="3">
        <v>46115.67475694444</v>
      </c>
      <c r="E2535" t="inlineStr">
        <is>
          <t>Q2-W01</t>
        </is>
      </c>
      <c r="F2535" t="inlineStr">
        <is>
          <t>Clover</t>
        </is>
      </c>
      <c r="G2535" t="inlineStr">
        <is>
          <t>Customer</t>
        </is>
      </c>
      <c r="H2535" s="2" t="str">
        <f>=HYPERLINK("https://upbox.ajobthing.my/customer/134244", "https://upbox.ajobthing.my/customer/134244")</f>
        <v>https://upbox.ajobthing.my/customer/134244</v>
      </c>
      <c r="I2535" t="inlineStr">
        <is>
          <t>SS Beayouthiful</t>
        </is>
      </c>
      <c r="J2535" t="inlineStr">
        <is>
          <t>Small Fish</t>
        </is>
      </c>
      <c r="K2535" t="inlineStr">
        <is>
          <t>Clover</t>
        </is>
      </c>
      <c r="L2535" s="4"/>
      <c r="M2535" s="4">
        <v>46115.67199074074</v>
      </c>
      <c r="N2535"/>
      <c r="O2535">
        <v>6048</v>
      </c>
      <c r="P2535" s="4"/>
      <c r="Q2535" s="4">
        <v>46115.66862268518</v>
      </c>
      <c r="R2535"/>
      <c r="S2535">
        <v>0</v>
      </c>
      <c r="T2535" s="4"/>
      <c r="U2535" s="4"/>
      <c r="V2535"/>
      <c r="W2535"/>
      <c r="X2535"/>
      <c r="Y2535" t="inlineStr">
        <is>
          <t>Pending Appointment</t>
        </is>
      </c>
      <c r="Z2535" t="inlineStr">
        <is>
          <t>Hiring Now</t>
        </is>
      </c>
      <c r="AA2535">
        <v>6</v>
      </c>
      <c r="AB2535" t="inlineStr">
        <is>
          <t>No Appointment Made</t>
        </is>
      </c>
      <c r="AC2535"/>
      <c r="AD2535" t="inlineStr">
        <is>
          <t>hire beautician x2, hair stylist x2, nail stylist x2, beauty centre, 18 months contract, kl, suggest stand dis 200</t>
        </is>
      </c>
      <c r="AE2535"/>
      <c r="AF2535">
        <v>5000</v>
      </c>
      <c r="AG2535" s="4"/>
      <c r="AH2535" s="4"/>
      <c r="AI2535">
        <v>5000</v>
      </c>
      <c r="AJ2535">
        <v>1</v>
      </c>
      <c r="AK2535" t="inlineStr">
        <is>
          <t>No, but I want in future</t>
        </is>
      </c>
      <c r="AL2535">
        <v>1</v>
      </c>
      <c r="AM2535" t="inlineStr">
        <is>
          <t>No, but I want in future</t>
        </is>
      </c>
      <c r="AN2535"/>
      <c r="AO2535" t="inlineStr">
        <is>
          <t>No, but I want in future</t>
        </is>
      </c>
      <c r="AP2535" t="inlineStr">
        <is>
          <t>Once per quarter (75%)</t>
        </is>
      </c>
      <c r="AQ2535">
        <v>6</v>
      </c>
      <c r="AR2535" t="inlineStr">
        <is>
          <t>Did not use any job portal</t>
        </is>
      </c>
      <c r="AS2535" t="inlineStr">
        <is>
          <t>- Headcount: 6
- Hiring Job Details: hire beautician x2, hair stylist x2, nail stylist x2, beauty centre, 18 months contract, kl, suggest stand dis 200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6
- Hiring frequency: Once per quarter (75%)
- External job portal: Did not use any job portal</t>
        </is>
      </c>
      <c r="AT2535">
        <v>115</v>
      </c>
      <c r="AU2535" t="inlineStr">
        <is>
          <t>1.15</t>
        </is>
      </c>
      <c r="AV2535" t="inlineStr">
        <is>
          <t>20</t>
        </is>
      </c>
      <c r="AW2535" t="inlineStr">
        <is>
          <t>0</t>
        </is>
      </c>
      <c r="AX2535" t="inlineStr">
        <is>
          <t>Not Qualified</t>
        </is>
      </c>
      <c r="AY2535" s="4"/>
      <c r="AZ2535"/>
      <c r="BA2535"/>
      <c r="BB2535"/>
      <c r="BC2535" t="inlineStr">
        <is>
          <t>On hold, pending management</t>
        </is>
      </c>
      <c r="BD2535" s="4">
        <v>46135.606944444444</v>
      </c>
      <c r="BE2535" t="inlineStr">
        <is>
          <t>paid</t>
        </is>
      </c>
      <c r="BF2535"/>
      <c r="BG2535" t="inlineStr">
        <is>
          <t>Reschedule</t>
        </is>
      </c>
      <c r="BH2535" t="inlineStr">
        <is>
          <t>Reagen</t>
        </is>
      </c>
      <c r="BI2535"/>
      <c r="BJ2535" s="4">
        <v>46144.75053240741</v>
      </c>
      <c r="BK2535" s="4">
        <v>44238.00974537037</v>
      </c>
      <c r="BL2535" t="inlineStr">
        <is>
          <t>0.0</t>
        </is>
      </c>
      <c r="BM2535" t="inlineStr">
        <is>
          <t>0.0</t>
        </is>
      </c>
      <c r="BN2535" t="inlineStr">
        <is>
          <t>View Company Page</t>
        </is>
      </c>
      <c r="BO2535" s="4">
        <v>44816.65907407407</v>
      </c>
      <c r="BP2535">
        <v>165226</v>
      </c>
      <c r="BQ2535">
        <v>119915</v>
      </c>
      <c r="BR2535" t="inlineStr">
        <is>
          <t>Proforma</t>
        </is>
      </c>
      <c r="BS2535" t="inlineStr">
        <is>
          <t>Free High Pay Job</t>
        </is>
      </c>
      <c r="BT2535"/>
      <c r="BU2535"/>
      <c r="BV2535">
        <v>2723434</v>
      </c>
      <c r="BW2535" t="inlineStr">
        <is>
          <t>Follow Up : Decision Pending</t>
        </is>
      </c>
      <c r="BX2535"/>
      <c r="BY2535"/>
      <c r="BZ2535" s="4"/>
      <c r="CA2535"/>
      <c r="CB2535"/>
      <c r="CC2535" s="4"/>
      <c r="CD2535" t="inlineStr">
        <is>
          <t>30</t>
        </is>
      </c>
      <c r="CE2535" t="inlineStr">
        <is>
          <t>0</t>
        </is>
      </c>
      <c r="CF2535" t="inlineStr">
        <is>
          <t>Q2-W01</t>
        </is>
      </c>
      <c r="CG2535" t="inlineStr">
        <is>
          <t>Q2-W01</t>
        </is>
      </c>
      <c r="CH2535"/>
      <c r="CI2535"/>
      <c r="CJ2535" t="inlineStr">
        <is>
          <t>No Paid</t>
        </is>
      </c>
      <c r="CK2535" t="inlineStr">
        <is>
          <t>Not Eligible</t>
        </is>
      </c>
      <c r="CL2535"/>
      <c r="CM2535"/>
    </row>
    <row r="2536" ht="25.5" customHeight="1">
      <c r="A2536" t="inlineStr">
        <is>
          <t>202793</t>
        </is>
      </c>
      <c r="B2536" s="2"/>
      <c r="C2536"/>
      <c r="D2536" s="3">
        <v>46115.6846875</v>
      </c>
      <c r="E2536" t="inlineStr">
        <is>
          <t>Q2-W01</t>
        </is>
      </c>
      <c r="F2536" t="inlineStr">
        <is>
          <t>Clover</t>
        </is>
      </c>
      <c r="G2536" t="inlineStr">
        <is>
          <t>Customer</t>
        </is>
      </c>
      <c r="H2536" s="2" t="str">
        <f>=HYPERLINK("https://upbox.ajobthing.my/customer/202793", "https://upbox.ajobthing.my/customer/202793")</f>
        <v>https://upbox.ajobthing.my/customer/202793</v>
      </c>
      <c r="I2536" t="inlineStr">
        <is>
          <t>Bkay Nair Resources</t>
        </is>
      </c>
      <c r="J2536" t="inlineStr">
        <is>
          <t>Small Fish</t>
        </is>
      </c>
      <c r="K2536" t="inlineStr">
        <is>
          <t>Clover</t>
        </is>
      </c>
      <c r="L2536" s="4"/>
      <c r="M2536" s="4">
        <v>46115.68210648148</v>
      </c>
      <c r="N2536"/>
      <c r="O2536">
        <v>3888</v>
      </c>
      <c r="P2536" s="4"/>
      <c r="Q2536" s="4"/>
      <c r="R2536"/>
      <c r="S2536"/>
      <c r="T2536" s="4"/>
      <c r="U2536" s="4"/>
      <c r="V2536"/>
      <c r="W2536"/>
      <c r="X2536"/>
      <c r="Y2536" t="inlineStr">
        <is>
          <t>Pending Appointment</t>
        </is>
      </c>
      <c r="Z2536" t="inlineStr">
        <is>
          <t>Hiring Later</t>
        </is>
      </c>
      <c r="AA2536">
        <v>4</v>
      </c>
      <c r="AB2536" t="inlineStr">
        <is>
          <t>No Appointment Made</t>
        </is>
      </c>
      <c r="AC2536"/>
      <c r="AD2536" t="inlineStr">
        <is>
          <t>Hire event crew x1-2, CS x1-2, all races, event management, puchong, suggest stand</t>
        </is>
      </c>
      <c r="AE2536"/>
      <c r="AF2536">
        <v>3000</v>
      </c>
      <c r="AG2536" s="4"/>
      <c r="AH2536" s="4"/>
      <c r="AI2536">
        <v>3000</v>
      </c>
      <c r="AJ2536">
        <v>1</v>
      </c>
      <c r="AK2536" t="inlineStr">
        <is>
          <t>No, but I want in future</t>
        </is>
      </c>
      <c r="AL2536">
        <v>1</v>
      </c>
      <c r="AM2536" t="inlineStr">
        <is>
          <t>No, but I want in future</t>
        </is>
      </c>
      <c r="AN2536"/>
      <c r="AO2536" t="inlineStr">
        <is>
          <t>No, but I want in future</t>
        </is>
      </c>
      <c r="AP2536" t="inlineStr">
        <is>
          <t>Twice a year (50%)</t>
        </is>
      </c>
      <c r="AQ2536">
        <v>2</v>
      </c>
      <c r="AR2536" t="inlineStr">
        <is>
          <t>Did not use any job portal</t>
        </is>
      </c>
      <c r="AS2536" t="inlineStr">
        <is>
          <t>- Headcount: 4
- Hiring Job Details: Hire event crew x1-2, CS x1-2, all races, event management, puchong,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 job portal</t>
        </is>
      </c>
      <c r="AT2536">
        <v>85</v>
      </c>
      <c r="AU2536" t="inlineStr">
        <is>
          <t>0.85</t>
        </is>
      </c>
      <c r="AV2536" t="inlineStr">
        <is>
          <t>15</t>
        </is>
      </c>
      <c r="AW2536" t="inlineStr">
        <is>
          <t>0</t>
        </is>
      </c>
      <c r="AX2536" t="inlineStr">
        <is>
          <t>Not Qualified</t>
        </is>
      </c>
      <c r="AY2536" s="4"/>
      <c r="AZ2536"/>
      <c r="BA2536"/>
      <c r="BB2536"/>
      <c r="BC2536" t="inlineStr">
        <is>
          <t>On hold, pending management update</t>
        </is>
      </c>
      <c r="BD2536" s="4">
        <v>46135.63594907407</v>
      </c>
      <c r="BE2536"/>
      <c r="BF2536"/>
      <c r="BG2536" t="inlineStr">
        <is>
          <t>Reschedule</t>
        </is>
      </c>
      <c r="BH2536" t="inlineStr">
        <is>
          <t>Reagen</t>
        </is>
      </c>
      <c r="BI2536"/>
      <c r="BJ2536" s="4">
        <v>46144.75412037037</v>
      </c>
      <c r="BK2536" s="4">
        <v>46115.642916666664</v>
      </c>
      <c r="BL2536" t="inlineStr">
        <is>
          <t>0.0</t>
        </is>
      </c>
      <c r="BM2536" t="inlineStr">
        <is>
          <t>0.0</t>
        </is>
      </c>
      <c r="BN2536"/>
      <c r="BO2536" s="4"/>
      <c r="BP2536">
        <v>165236</v>
      </c>
      <c r="BQ2536"/>
      <c r="BR2536"/>
      <c r="BS2536"/>
      <c r="BT2536"/>
      <c r="BU2536"/>
      <c r="BV2536">
        <v>2723873</v>
      </c>
      <c r="BW2536" t="inlineStr">
        <is>
          <t>Follow Up : Decision Pending</t>
        </is>
      </c>
      <c r="BX2536"/>
      <c r="BY2536"/>
      <c r="BZ2536" s="4"/>
      <c r="CA2536"/>
      <c r="CB2536"/>
      <c r="CC2536" s="4"/>
      <c r="CD2536" t="inlineStr">
        <is>
          <t>20</t>
        </is>
      </c>
      <c r="CE2536" t="inlineStr">
        <is>
          <t>0</t>
        </is>
      </c>
      <c r="CF2536" t="inlineStr">
        <is>
          <t>Q2-W01</t>
        </is>
      </c>
      <c r="CG2536"/>
      <c r="CH2536"/>
      <c r="CI2536"/>
      <c r="CJ2536" t="inlineStr">
        <is>
          <t>No Paid</t>
        </is>
      </c>
      <c r="CK2536" t="inlineStr">
        <is>
          <t>Not Eligible</t>
        </is>
      </c>
      <c r="CL2536"/>
      <c r="CM2536"/>
    </row>
    <row r="2537" ht="25.5" customHeight="1">
      <c r="A2537" t="inlineStr">
        <is>
          <t>202798</t>
        </is>
      </c>
      <c r="B2537" s="2"/>
      <c r="C2537"/>
      <c r="D2537" s="3">
        <v>46115.69175925926</v>
      </c>
      <c r="E2537" t="inlineStr">
        <is>
          <t>Q2-W01</t>
        </is>
      </c>
      <c r="F2537" t="inlineStr">
        <is>
          <t>Keegan</t>
        </is>
      </c>
      <c r="G2537" t="inlineStr">
        <is>
          <t>Customer</t>
        </is>
      </c>
      <c r="H2537" s="2" t="str">
        <f>=HYPERLINK("https://upbox.ajobthing.my/customer/202798", "https://upbox.ajobthing.my/customer/202798")</f>
        <v>https://upbox.ajobthing.my/customer/202798</v>
      </c>
      <c r="I2537" t="inlineStr">
        <is>
          <t>Aura Tropika Sdn. Bhd.</t>
        </is>
      </c>
      <c r="J2537" t="inlineStr">
        <is>
          <t>Small Fish</t>
        </is>
      </c>
      <c r="K2537" t="inlineStr">
        <is>
          <t>Keegan</t>
        </is>
      </c>
      <c r="L2537" s="4"/>
      <c r="M2537" s="4">
        <v>46115.69212962963</v>
      </c>
      <c r="N2537"/>
      <c r="O2537">
        <v>3672</v>
      </c>
      <c r="P2537" s="4"/>
      <c r="Q2537" s="4"/>
      <c r="R2537"/>
      <c r="S2537"/>
      <c r="T2537" s="4"/>
      <c r="U2537" s="4"/>
      <c r="V2537"/>
      <c r="W2537"/>
      <c r="X2537"/>
      <c r="Y2537" t="inlineStr">
        <is>
          <t>Pending Appointment</t>
        </is>
      </c>
      <c r="Z2537" t="inlineStr">
        <is>
          <t>Hiring Now</t>
        </is>
      </c>
      <c r="AA2537">
        <v>2</v>
      </c>
      <c r="AB2537" t="inlineStr">
        <is>
          <t>No Appointment Made</t>
        </is>
      </c>
      <c r="AC2537"/>
      <c r="AD2537" t="inlineStr">
        <is>
          <t xml:space="preserve">1. Supervisor 
2. Site Manager
  </t>
        </is>
      </c>
      <c r="AE2537"/>
      <c r="AF2537"/>
      <c r="AG2537" s="4"/>
      <c r="AH2537" s="4"/>
      <c r="AI2537"/>
      <c r="AJ2537">
        <v>1</v>
      </c>
      <c r="AK2537" t="inlineStr">
        <is>
          <t>No, I don't need at all</t>
        </is>
      </c>
      <c r="AL2537">
        <v>0</v>
      </c>
      <c r="AM2537" t="inlineStr">
        <is>
          <t>No, I don't need at all</t>
        </is>
      </c>
      <c r="AN2537"/>
      <c r="AO2537" t="inlineStr">
        <is>
          <t>No, I don't need at all</t>
        </is>
      </c>
      <c r="AP2537" t="inlineStr">
        <is>
          <t>Once per quarter (75%)</t>
        </is>
      </c>
      <c r="AQ2537"/>
      <c r="AR2537" t="inlineStr">
        <is>
          <t>Did not use any job portal</t>
        </is>
      </c>
      <c r="AS2537" t="inlineStr">
        <is>
          <t>- Headcount: 2
- Hiring Job Details: 1. Supervisor 2. Site Manager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37">
        <v>75</v>
      </c>
      <c r="AU2537" t="inlineStr">
        <is>
          <t>0.75</t>
        </is>
      </c>
      <c r="AV2537" t="inlineStr">
        <is>
          <t>5</t>
        </is>
      </c>
      <c r="AW2537" t="inlineStr">
        <is>
          <t>0</t>
        </is>
      </c>
      <c r="AX2537" t="inlineStr">
        <is>
          <t>Not Qualified</t>
        </is>
      </c>
      <c r="AY2537" s="4"/>
      <c r="AZ2537"/>
      <c r="BA2537"/>
      <c r="BB2537"/>
      <c r="BC2537" t="inlineStr">
        <is>
          <t>Hiring plan on hold</t>
        </is>
      </c>
      <c r="BD2537" s="4">
        <v>46120.661631944444</v>
      </c>
      <c r="BE2537"/>
      <c r="BF2537"/>
      <c r="BG2537" t="inlineStr">
        <is>
          <t>Reschedule</t>
        </is>
      </c>
      <c r="BH2537" t="inlineStr">
        <is>
          <t>Edward Hoo</t>
        </is>
      </c>
      <c r="BI2537" t="inlineStr">
        <is>
          <t>Agriculture / Poultry / Fisheries</t>
        </is>
      </c>
      <c r="BJ2537" s="4">
        <v>46144.75412037037</v>
      </c>
      <c r="BK2537" s="4">
        <v>46115.671689814815</v>
      </c>
      <c r="BL2537" t="inlineStr">
        <is>
          <t>0.0</t>
        </is>
      </c>
      <c r="BM2537" t="inlineStr">
        <is>
          <t>0.0</t>
        </is>
      </c>
      <c r="BN2537" t="inlineStr">
        <is>
          <t>View Create Job Page V4</t>
        </is>
      </c>
      <c r="BO2537" s="4">
        <v>46115.72582175926</v>
      </c>
      <c r="BP2537">
        <v>165239</v>
      </c>
      <c r="BQ2537"/>
      <c r="BR2537"/>
      <c r="BS2537"/>
      <c r="BT2537"/>
      <c r="BU2537"/>
      <c r="BV2537">
        <v>2693245</v>
      </c>
      <c r="BW2537" t="inlineStr">
        <is>
          <t>Follow Up : Lost - Free Portal</t>
        </is>
      </c>
      <c r="BX2537"/>
      <c r="BY2537"/>
      <c r="BZ2537" s="4"/>
      <c r="CA2537"/>
      <c r="CB2537"/>
      <c r="CC2537" s="4"/>
      <c r="CD2537" t="inlineStr">
        <is>
          <t>5</t>
        </is>
      </c>
      <c r="CE2537" t="inlineStr">
        <is>
          <t>0</t>
        </is>
      </c>
      <c r="CF2537" t="inlineStr">
        <is>
          <t>Q2-W01</t>
        </is>
      </c>
      <c r="CG2537"/>
      <c r="CH2537"/>
      <c r="CI2537"/>
      <c r="CJ2537" t="inlineStr">
        <is>
          <t>No Paid</t>
        </is>
      </c>
      <c r="CK2537" t="inlineStr">
        <is>
          <t>Not Eligible</t>
        </is>
      </c>
      <c r="CL2537"/>
      <c r="CM2537"/>
    </row>
    <row r="2538" ht="25.5" customHeight="1">
      <c r="A2538" t="inlineStr">
        <is>
          <t>202794</t>
        </is>
      </c>
      <c r="B2538" s="2"/>
      <c r="C2538"/>
      <c r="D2538" s="3">
        <v>46115.694756944446</v>
      </c>
      <c r="E2538" t="inlineStr">
        <is>
          <t>Q2-W01</t>
        </is>
      </c>
      <c r="F2538" t="inlineStr">
        <is>
          <t>Keegan</t>
        </is>
      </c>
      <c r="G2538" t="inlineStr">
        <is>
          <t>Customer</t>
        </is>
      </c>
      <c r="H2538" s="2" t="str">
        <f>=HYPERLINK("https://upbox.ajobthing.my/customer/202794", "https://upbox.ajobthing.my/customer/202794")</f>
        <v>https://upbox.ajobthing.my/customer/202794</v>
      </c>
      <c r="I2538" t="inlineStr">
        <is>
          <t>Ams Wellness</t>
        </is>
      </c>
      <c r="J2538" t="inlineStr">
        <is>
          <t>Small Fish</t>
        </is>
      </c>
      <c r="K2538" t="inlineStr">
        <is>
          <t>Keegan</t>
        </is>
      </c>
      <c r="L2538" s="4"/>
      <c r="M2538" s="4">
        <v>46115.694814814815</v>
      </c>
      <c r="N2538"/>
      <c r="O2538">
        <v>864</v>
      </c>
      <c r="P2538" s="4"/>
      <c r="Q2538" s="4">
        <v>46119.62792824074</v>
      </c>
      <c r="R2538"/>
      <c r="S2538">
        <v>0</v>
      </c>
      <c r="T2538" s="4"/>
      <c r="U2538" s="4"/>
      <c r="V2538"/>
      <c r="W2538"/>
      <c r="X2538"/>
      <c r="Y2538" t="inlineStr">
        <is>
          <t>Pending Appointment</t>
        </is>
      </c>
      <c r="Z2538" t="inlineStr">
        <is>
          <t>Hiring Now</t>
        </is>
      </c>
      <c r="AA2538">
        <v>1</v>
      </c>
      <c r="AB2538" t="inlineStr">
        <is>
          <t>No Appointment Made</t>
        </is>
      </c>
      <c r="AC2538"/>
      <c r="AD2538" t="inlineStr">
        <is>
          <t xml:space="preserve">1. Marketing </t>
        </is>
      </c>
      <c r="AE2538"/>
      <c r="AF2538"/>
      <c r="AG2538" s="4"/>
      <c r="AH2538" s="4"/>
      <c r="AI2538"/>
      <c r="AJ2538">
        <v>1</v>
      </c>
      <c r="AK2538" t="inlineStr">
        <is>
          <t>No, I don't need at all</t>
        </is>
      </c>
      <c r="AL2538">
        <v>0</v>
      </c>
      <c r="AM2538" t="inlineStr">
        <is>
          <t>No, I don't need at all</t>
        </is>
      </c>
      <c r="AN2538"/>
      <c r="AO2538" t="inlineStr">
        <is>
          <t>No, I don't need at all</t>
        </is>
      </c>
      <c r="AP2538" t="inlineStr">
        <is>
          <t>Once per quarter (75%)</t>
        </is>
      </c>
      <c r="AQ2538"/>
      <c r="AR2538" t="inlineStr">
        <is>
          <t>Did not use any job portal</t>
        </is>
      </c>
      <c r="AS2538" t="inlineStr">
        <is>
          <t>- Headcount: 1
- Hiring Job Details: 1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38">
        <v>100</v>
      </c>
      <c r="AU2538" t="inlineStr">
        <is>
          <t>1.00</t>
        </is>
      </c>
      <c r="AV2538" t="inlineStr">
        <is>
          <t>5</t>
        </is>
      </c>
      <c r="AW2538" t="inlineStr">
        <is>
          <t>0</t>
        </is>
      </c>
      <c r="AX2538" t="inlineStr">
        <is>
          <t>Not Qualified</t>
        </is>
      </c>
      <c r="AY2538" s="4"/>
      <c r="AZ2538"/>
      <c r="BA2538"/>
      <c r="BB2538"/>
      <c r="BC2538" t="inlineStr">
        <is>
          <t>Hiring plan postponed first</t>
        </is>
      </c>
      <c r="BD2538" s="4">
        <v>46119.69789351852</v>
      </c>
      <c r="BE2538" t="inlineStr">
        <is>
          <t>paid</t>
        </is>
      </c>
      <c r="BF2538"/>
      <c r="BG2538" t="inlineStr">
        <is>
          <t>Reschedule</t>
        </is>
      </c>
      <c r="BH2538" t="inlineStr">
        <is>
          <t>Edward Hoo</t>
        </is>
      </c>
      <c r="BI2538" t="inlineStr">
        <is>
          <t>Healthcare / Medical</t>
        </is>
      </c>
      <c r="BJ2538" s="4">
        <v>46144.75412037037</v>
      </c>
      <c r="BK2538" s="4">
        <v>46115.643599537034</v>
      </c>
      <c r="BL2538" t="inlineStr">
        <is>
          <t>0.0</t>
        </is>
      </c>
      <c r="BM2538" t="inlineStr">
        <is>
          <t>0.0</t>
        </is>
      </c>
      <c r="BN2538" t="inlineStr">
        <is>
          <t>User Login</t>
        </is>
      </c>
      <c r="BO2538" s="4">
        <v>46115.64616898148</v>
      </c>
      <c r="BP2538">
        <v>165240</v>
      </c>
      <c r="BQ2538">
        <v>120482</v>
      </c>
      <c r="BR2538" t="inlineStr">
        <is>
          <t>Proforma</t>
        </is>
      </c>
      <c r="BS2538" t="inlineStr">
        <is>
          <t>Free Internship Job</t>
        </is>
      </c>
      <c r="BT2538"/>
      <c r="BU2538"/>
      <c r="BV2538">
        <v>2690206</v>
      </c>
      <c r="BW2538" t="inlineStr">
        <is>
          <t>Follow Up : Lost - Free Portal</t>
        </is>
      </c>
      <c r="BX2538"/>
      <c r="BY2538"/>
      <c r="BZ2538" s="4"/>
      <c r="CA2538"/>
      <c r="CB2538"/>
      <c r="CC2538" s="4"/>
      <c r="CD2538" t="inlineStr">
        <is>
          <t>5</t>
        </is>
      </c>
      <c r="CE2538" t="inlineStr">
        <is>
          <t>0</t>
        </is>
      </c>
      <c r="CF2538" t="inlineStr">
        <is>
          <t>Q2-W01</t>
        </is>
      </c>
      <c r="CG2538" t="inlineStr">
        <is>
          <t>Q2-W01</t>
        </is>
      </c>
      <c r="CH2538"/>
      <c r="CI2538"/>
      <c r="CJ2538" t="inlineStr">
        <is>
          <t>No Paid</t>
        </is>
      </c>
      <c r="CK2538" t="inlineStr">
        <is>
          <t>Not Eligible</t>
        </is>
      </c>
      <c r="CL2538"/>
      <c r="CM2538"/>
    </row>
    <row r="2539" ht="25.5" customHeight="1">
      <c r="A2539" t="inlineStr">
        <is>
          <t>4239483</t>
        </is>
      </c>
      <c r="B2539" s="2"/>
      <c r="C2539"/>
      <c r="D2539" s="3">
        <v>46115.6968287037</v>
      </c>
      <c r="E2539" t="inlineStr">
        <is>
          <t>Q2-W01</t>
        </is>
      </c>
      <c r="F2539" t="inlineStr">
        <is>
          <t>Josh</t>
        </is>
      </c>
      <c r="G2539" t="inlineStr">
        <is>
          <t>Lead</t>
        </is>
      </c>
      <c r="H2539" s="2" t="str">
        <f>=HYPERLINK("https://upbox.ajobthing.my/leads/4239483", "https://upbox.ajobthing.my/leads/4239483")</f>
        <v>https://upbox.ajobthing.my/leads/4239483</v>
      </c>
      <c r="I2539" t="inlineStr">
        <is>
          <t>Little Eden Child Specialist Clinic</t>
        </is>
      </c>
      <c r="J2539" t="inlineStr">
        <is>
          <t>Small Fish</t>
        </is>
      </c>
      <c r="K2539" t="inlineStr">
        <is>
          <t>Josh</t>
        </is>
      </c>
      <c r="L2539" s="4"/>
      <c r="M2539" s="4">
        <v>46115.76561342592</v>
      </c>
      <c r="N2539"/>
      <c r="O2539">
        <v>3672</v>
      </c>
      <c r="P2539" s="4"/>
      <c r="Q2539" s="4"/>
      <c r="R2539"/>
      <c r="S2539"/>
      <c r="T2539" s="4"/>
      <c r="U2539" s="4"/>
      <c r="V2539"/>
      <c r="W2539"/>
      <c r="X2539"/>
      <c r="Y2539" t="inlineStr">
        <is>
          <t>Pending Appointment</t>
        </is>
      </c>
      <c r="Z2539" t="inlineStr">
        <is>
          <t>Hiring Now</t>
        </is>
      </c>
      <c r="AA2539">
        <v>2</v>
      </c>
      <c r="AB2539" t="inlineStr">
        <is>
          <t>No Appointment Made</t>
        </is>
      </c>
      <c r="AC2539"/>
      <c r="AD2539" t="inlineStr">
        <is>
          <t>2 clinic assistant</t>
        </is>
      </c>
      <c r="AE2539"/>
      <c r="AF2539">
        <v>1000</v>
      </c>
      <c r="AG2539" s="4"/>
      <c r="AH2539" s="4"/>
      <c r="AI2539"/>
      <c r="AJ2539"/>
      <c r="AK2539" t="inlineStr">
        <is>
          <t>Yes, I have</t>
        </is>
      </c>
      <c r="AL2539">
        <v>1</v>
      </c>
      <c r="AM2539"/>
      <c r="AN2539"/>
      <c r="AO2539"/>
      <c r="AP2539" t="inlineStr">
        <is>
          <t>Once a year (25%)</t>
        </is>
      </c>
      <c r="AQ2539"/>
      <c r="AR2539"/>
      <c r="AS2539" t="inlineStr">
        <is>
          <t>- Headcount: 2
- Hiring Job Details: 2 clinic assistant
- Hiring Urgency: Hiring Now
- Number of outlets: Not provided
- Have recruiter team: Yes
- Number of recruiter in company: 1
- Have ATS system: Not provided
- Have career website: Not provided
- Current hiring budget: RM1,000.00
- Whole year budget: Not provided
- Whole year number of vacancies: Not provided
- Hiring frequency: Once a year (25%)
- External job portal: Not provided</t>
        </is>
      </c>
      <c r="AT2539">
        <v>95</v>
      </c>
      <c r="AU2539" t="inlineStr">
        <is>
          <t>0.95</t>
        </is>
      </c>
      <c r="AV2539" t="inlineStr">
        <is>
          <t>15</t>
        </is>
      </c>
      <c r="AW2539" t="inlineStr">
        <is>
          <t>0</t>
        </is>
      </c>
      <c r="AX2539" t="inlineStr">
        <is>
          <t>Not Qualified</t>
        </is>
      </c>
      <c r="AY2539" s="4"/>
      <c r="AZ2539"/>
      <c r="BA2539"/>
      <c r="BB2539"/>
      <c r="BC2539"/>
      <c r="BD2539" s="4"/>
      <c r="BE2539"/>
      <c r="BF2539"/>
      <c r="BG2539" t="inlineStr">
        <is>
          <t>Reschedule</t>
        </is>
      </c>
      <c r="BH2539" t="inlineStr">
        <is>
          <t>Fauziah Maharan</t>
        </is>
      </c>
      <c r="BI2539"/>
      <c r="BJ2539" s="4">
        <v>46144.75571759259</v>
      </c>
      <c r="BK2539" s="4">
        <v>46115.67018518518</v>
      </c>
      <c r="BL2539" t="inlineStr">
        <is>
          <t>0.0</t>
        </is>
      </c>
      <c r="BM2539" t="inlineStr">
        <is>
          <t>0.0</t>
        </is>
      </c>
      <c r="BN2539"/>
      <c r="BO2539" s="4"/>
      <c r="BP2539">
        <v>165248</v>
      </c>
      <c r="BQ2539"/>
      <c r="BR2539"/>
      <c r="BS2539"/>
      <c r="BT2539"/>
      <c r="BU2539"/>
      <c r="BV2539"/>
      <c r="BW2539"/>
      <c r="BX2539"/>
      <c r="BY2539"/>
      <c r="BZ2539" s="4"/>
      <c r="CA2539"/>
      <c r="CB2539"/>
      <c r="CC2539" s="4"/>
      <c r="CD2539" t="inlineStr">
        <is>
          <t>20</t>
        </is>
      </c>
      <c r="CE2539" t="inlineStr">
        <is>
          <t>0</t>
        </is>
      </c>
      <c r="CF2539" t="inlineStr">
        <is>
          <t>Q2-W01</t>
        </is>
      </c>
      <c r="CG2539"/>
      <c r="CH2539"/>
      <c r="CI2539"/>
      <c r="CJ2539" t="inlineStr">
        <is>
          <t>No Paid</t>
        </is>
      </c>
      <c r="CK2539" t="inlineStr">
        <is>
          <t>Not Eligible</t>
        </is>
      </c>
      <c r="CL2539"/>
      <c r="CM2539"/>
    </row>
    <row r="2540" ht="25.5" customHeight="1">
      <c r="A2540" t="inlineStr">
        <is>
          <t>4239483</t>
        </is>
      </c>
      <c r="B2540" s="2"/>
      <c r="C2540"/>
      <c r="D2540" s="3">
        <v>46115.69888888889</v>
      </c>
      <c r="E2540" t="inlineStr">
        <is>
          <t>Q2-W01</t>
        </is>
      </c>
      <c r="F2540" t="inlineStr">
        <is>
          <t>Josh</t>
        </is>
      </c>
      <c r="G2540" t="inlineStr">
        <is>
          <t>Lead</t>
        </is>
      </c>
      <c r="H2540" s="2" t="str">
        <f>=HYPERLINK("https://upbox.ajobthing.my/leads/4239483", "https://upbox.ajobthing.my/leads/4239483")</f>
        <v>https://upbox.ajobthing.my/leads/4239483</v>
      </c>
      <c r="I2540" t="inlineStr">
        <is>
          <t>Little Eden Child Specialist Clinic</t>
        </is>
      </c>
      <c r="J2540" t="inlineStr">
        <is>
          <t>Small Fish</t>
        </is>
      </c>
      <c r="K2540" t="inlineStr">
        <is>
          <t>Josh</t>
        </is>
      </c>
      <c r="L2540" s="4"/>
      <c r="M2540" s="4">
        <v>46115.76561342592</v>
      </c>
      <c r="N2540"/>
      <c r="O2540">
        <v>3672</v>
      </c>
      <c r="P2540" s="4"/>
      <c r="Q2540" s="4"/>
      <c r="R2540"/>
      <c r="S2540"/>
      <c r="T2540" s="4"/>
      <c r="U2540" s="4"/>
      <c r="V2540"/>
      <c r="W2540"/>
      <c r="X2540"/>
      <c r="Y2540" t="inlineStr">
        <is>
          <t>Pending Appointment</t>
        </is>
      </c>
      <c r="Z2540" t="inlineStr">
        <is>
          <t>Hiring Now</t>
        </is>
      </c>
      <c r="AA2540">
        <v>2</v>
      </c>
      <c r="AB2540" t="inlineStr">
        <is>
          <t>No Appointment Made</t>
        </is>
      </c>
      <c r="AC2540"/>
      <c r="AD2540" t="inlineStr">
        <is>
          <t>2 clinic assistant</t>
        </is>
      </c>
      <c r="AE2540"/>
      <c r="AF2540">
        <v>2000</v>
      </c>
      <c r="AG2540" s="4"/>
      <c r="AH2540" s="4"/>
      <c r="AI2540"/>
      <c r="AJ2540"/>
      <c r="AK2540" t="inlineStr">
        <is>
          <t>Yes, I have</t>
        </is>
      </c>
      <c r="AL2540">
        <v>1</v>
      </c>
      <c r="AM2540" t="inlineStr">
        <is>
          <t>Yes, I have</t>
        </is>
      </c>
      <c r="AN2540"/>
      <c r="AO2540"/>
      <c r="AP2540" t="inlineStr">
        <is>
          <t>Once a year (25%)</t>
        </is>
      </c>
      <c r="AQ2540"/>
      <c r="AR2540"/>
      <c r="AS2540" t="inlineStr">
        <is>
          <t>- Headcount: 2
- Hiring Job Details: 2 clinic assistant
- Hiring Urgency: Hiring Now
- Number of outlets: Not available
- Have recruiter team: Yes
- Number of recruiter in company: 1
- Have ATS system: Yes
- Have career website: Not available
- Current hiring budget: RM2,000.00
- Whole year budget: Not available
- Whole year number of vacancies: Not available
- Hiring frequency: Once a year (25%)
- External job portal: Not available</t>
        </is>
      </c>
      <c r="AT2540">
        <v>100</v>
      </c>
      <c r="AU2540" t="inlineStr">
        <is>
          <t>1.00</t>
        </is>
      </c>
      <c r="AV2540" t="inlineStr">
        <is>
          <t>15</t>
        </is>
      </c>
      <c r="AW2540" t="inlineStr">
        <is>
          <t>0</t>
        </is>
      </c>
      <c r="AX2540" t="inlineStr">
        <is>
          <t>Not Qualified</t>
        </is>
      </c>
      <c r="AY2540" s="4"/>
      <c r="AZ2540"/>
      <c r="BA2540"/>
      <c r="BB2540"/>
      <c r="BC2540"/>
      <c r="BD2540" s="4"/>
      <c r="BE2540"/>
      <c r="BF2540"/>
      <c r="BG2540" t="inlineStr">
        <is>
          <t>Reschedule</t>
        </is>
      </c>
      <c r="BH2540" t="inlineStr">
        <is>
          <t>Fauziah Maharan</t>
        </is>
      </c>
      <c r="BI2540"/>
      <c r="BJ2540" s="4">
        <v>46144.75571759259</v>
      </c>
      <c r="BK2540" s="4">
        <v>46115.67018518518</v>
      </c>
      <c r="BL2540" t="inlineStr">
        <is>
          <t>0.0</t>
        </is>
      </c>
      <c r="BM2540" t="inlineStr">
        <is>
          <t>0.0</t>
        </is>
      </c>
      <c r="BN2540"/>
      <c r="BO2540" s="4"/>
      <c r="BP2540">
        <v>165248</v>
      </c>
      <c r="BQ2540"/>
      <c r="BR2540"/>
      <c r="BS2540"/>
      <c r="BT2540"/>
      <c r="BU2540"/>
      <c r="BV2540"/>
      <c r="BW2540"/>
      <c r="BX2540"/>
      <c r="BY2540"/>
      <c r="BZ2540" s="4"/>
      <c r="CA2540"/>
      <c r="CB2540"/>
      <c r="CC2540" s="4"/>
      <c r="CD2540" t="inlineStr">
        <is>
          <t>20</t>
        </is>
      </c>
      <c r="CE2540" t="inlineStr">
        <is>
          <t>0</t>
        </is>
      </c>
      <c r="CF2540" t="inlineStr">
        <is>
          <t>Q2-W01</t>
        </is>
      </c>
      <c r="CG2540"/>
      <c r="CH2540"/>
      <c r="CI2540"/>
      <c r="CJ2540" t="inlineStr">
        <is>
          <t>No Paid</t>
        </is>
      </c>
      <c r="CK2540" t="inlineStr">
        <is>
          <t>Not Eligible</t>
        </is>
      </c>
      <c r="CL2540"/>
      <c r="CM2540"/>
    </row>
    <row r="2541" ht="25.5" customHeight="1">
      <c r="A2541" t="inlineStr">
        <is>
          <t>4239971</t>
        </is>
      </c>
      <c r="B2541" s="2"/>
      <c r="C2541"/>
      <c r="D2541" s="3">
        <v>46115.76300925926</v>
      </c>
      <c r="E2541" t="inlineStr">
        <is>
          <t>Q2-W01</t>
        </is>
      </c>
      <c r="F2541" t="inlineStr">
        <is>
          <t>Chia Yee</t>
        </is>
      </c>
      <c r="G2541" t="inlineStr">
        <is>
          <t>Lead</t>
        </is>
      </c>
      <c r="H2541" s="2" t="str">
        <f>=HYPERLINK("https://upbox.ajobthing.my/leads/4239971", "https://upbox.ajobthing.my/leads/4239971")</f>
        <v>https://upbox.ajobthing.my/leads/4239971</v>
      </c>
      <c r="I2541" t="inlineStr">
        <is>
          <t>Jmr Sphere Asia Sdn Bhd</t>
        </is>
      </c>
      <c r="J2541" t="inlineStr">
        <is>
          <t>Small Fish</t>
        </is>
      </c>
      <c r="K2541" t="inlineStr">
        <is>
          <t>Chia Yee</t>
        </is>
      </c>
      <c r="L2541" s="4"/>
      <c r="M2541" s="4">
        <v>46115.76217592593</v>
      </c>
      <c r="N2541"/>
      <c r="O2541">
        <v>1296</v>
      </c>
      <c r="P2541" s="4"/>
      <c r="Q2541" s="4"/>
      <c r="R2541"/>
      <c r="S2541"/>
      <c r="T2541" s="4"/>
      <c r="U2541" s="4"/>
      <c r="V2541"/>
      <c r="W2541"/>
      <c r="X2541"/>
      <c r="Y2541" t="inlineStr">
        <is>
          <t>Pending Appointment</t>
        </is>
      </c>
      <c r="Z2541" t="inlineStr">
        <is>
          <t>Hiring Now</t>
        </is>
      </c>
      <c r="AA2541">
        <v>1</v>
      </c>
      <c r="AB2541" t="inlineStr">
        <is>
          <t>No Appointment Made</t>
        </is>
      </c>
      <c r="AC2541"/>
      <c r="AD2541" t="inlineStr">
        <is>
          <t>1 General worker</t>
        </is>
      </c>
      <c r="AE2541"/>
      <c r="AF2541">
        <v>0</v>
      </c>
      <c r="AG2541" s="4"/>
      <c r="AH2541" s="4"/>
      <c r="AI2541">
        <v>0</v>
      </c>
      <c r="AJ2541">
        <v>0</v>
      </c>
      <c r="AK2541" t="inlineStr">
        <is>
          <t>No, I don't need at all</t>
        </is>
      </c>
      <c r="AL2541">
        <v>1</v>
      </c>
      <c r="AM2541" t="inlineStr">
        <is>
          <t>No, I don't need at all</t>
        </is>
      </c>
      <c r="AN2541"/>
      <c r="AO2541" t="inlineStr">
        <is>
          <t>No, I don't need at all</t>
        </is>
      </c>
      <c r="AP2541" t="inlineStr">
        <is>
          <t>Once a year (25%)</t>
        </is>
      </c>
      <c r="AQ2541">
        <v>1</v>
      </c>
      <c r="AR2541" t="inlineStr">
        <is>
          <t>Did not use any job portal</t>
        </is>
      </c>
      <c r="AS2541" t="inlineStr">
        <is>
          <t>- Headcount: 1
- Hiring Job Details: 1 General worker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541">
        <v>110</v>
      </c>
      <c r="AU2541" t="inlineStr">
        <is>
          <t>1.10</t>
        </is>
      </c>
      <c r="AV2541" t="inlineStr">
        <is>
          <t>15</t>
        </is>
      </c>
      <c r="AW2541" t="inlineStr">
        <is>
          <t>0</t>
        </is>
      </c>
      <c r="AX2541" t="inlineStr">
        <is>
          <t>Not Qualified</t>
        </is>
      </c>
      <c r="AY2541" s="4"/>
      <c r="AZ2541"/>
      <c r="BA2541"/>
      <c r="BB2541"/>
      <c r="BC2541"/>
      <c r="BD2541" s="4"/>
      <c r="BE2541"/>
      <c r="BF2541"/>
      <c r="BG2541" t="inlineStr">
        <is>
          <t>Reschedule</t>
        </is>
      </c>
      <c r="BH2541" t="inlineStr">
        <is>
          <t>Reagen</t>
        </is>
      </c>
      <c r="BI2541"/>
      <c r="BJ2541" s="4">
        <v>46144.75571759259</v>
      </c>
      <c r="BK2541" s="4">
        <v>46115.716782407406</v>
      </c>
      <c r="BL2541" t="inlineStr">
        <is>
          <t>0.0</t>
        </is>
      </c>
      <c r="BM2541" t="inlineStr">
        <is>
          <t>0.0</t>
        </is>
      </c>
      <c r="BN2541"/>
      <c r="BO2541" s="4"/>
      <c r="BP2541">
        <v>165247</v>
      </c>
      <c r="BQ2541"/>
      <c r="BR2541"/>
      <c r="BS2541"/>
      <c r="BT2541"/>
      <c r="BU2541"/>
      <c r="BV2541"/>
      <c r="BW2541"/>
      <c r="BX2541"/>
      <c r="BY2541"/>
      <c r="BZ2541" s="4"/>
      <c r="CA2541"/>
      <c r="CB2541"/>
      <c r="CC2541" s="4"/>
      <c r="CD2541" t="inlineStr">
        <is>
          <t>20</t>
        </is>
      </c>
      <c r="CE2541" t="inlineStr">
        <is>
          <t>0</t>
        </is>
      </c>
      <c r="CF2541" t="inlineStr">
        <is>
          <t>Q2-W01</t>
        </is>
      </c>
      <c r="CG2541"/>
      <c r="CH2541"/>
      <c r="CI2541"/>
      <c r="CJ2541" t="inlineStr">
        <is>
          <t>No Paid</t>
        </is>
      </c>
      <c r="CK2541" t="inlineStr">
        <is>
          <t>Not Eligible</t>
        </is>
      </c>
      <c r="CL2541"/>
      <c r="CM2541"/>
    </row>
    <row r="2542" ht="25.5" customHeight="1">
      <c r="A2542" t="inlineStr">
        <is>
          <t>4239815</t>
        </is>
      </c>
      <c r="B2542" s="2"/>
      <c r="C2542"/>
      <c r="D2542" s="3">
        <v>46115.76996527778</v>
      </c>
      <c r="E2542" t="inlineStr">
        <is>
          <t>Q2-W01</t>
        </is>
      </c>
      <c r="F2542" t="inlineStr">
        <is>
          <t>Eugene</t>
        </is>
      </c>
      <c r="G2542" t="inlineStr">
        <is>
          <t>Lead</t>
        </is>
      </c>
      <c r="H2542" s="2" t="str">
        <f>=HYPERLINK("https://upbox.ajobthing.my/leads/4239815", "https://upbox.ajobthing.my/leads/4239815")</f>
        <v>https://upbox.ajobthing.my/leads/4239815</v>
      </c>
      <c r="I2542" t="inlineStr">
        <is>
          <t>Startups Corporate Consulting Sdn Bhd</t>
        </is>
      </c>
      <c r="J2542" t="inlineStr">
        <is>
          <t>Small Fish</t>
        </is>
      </c>
      <c r="K2542" t="inlineStr">
        <is>
          <t>Eugene</t>
        </is>
      </c>
      <c r="L2542" s="4"/>
      <c r="M2542" s="4">
        <v>46115.77025462963</v>
      </c>
      <c r="N2542"/>
      <c r="O2542">
        <v>3888</v>
      </c>
      <c r="P2542" s="4"/>
      <c r="Q2542" s="4"/>
      <c r="R2542"/>
      <c r="S2542"/>
      <c r="T2542" s="4"/>
      <c r="U2542" s="4"/>
      <c r="V2542"/>
      <c r="W2542"/>
      <c r="X2542"/>
      <c r="Y2542" t="inlineStr">
        <is>
          <t>Pending Appointment</t>
        </is>
      </c>
      <c r="Z2542" t="inlineStr">
        <is>
          <t>Hiring Now</t>
        </is>
      </c>
      <c r="AA2542">
        <v>2</v>
      </c>
      <c r="AB2542" t="inlineStr">
        <is>
          <t>No Appointment Made</t>
        </is>
      </c>
      <c r="AC2542"/>
      <c r="AD2542" t="inlineStr">
        <is>
          <t>2 auditor exec, based in KL</t>
        </is>
      </c>
      <c r="AE2542"/>
      <c r="AF2542">
        <v>3000</v>
      </c>
      <c r="AG2542" s="4"/>
      <c r="AH2542" s="4"/>
      <c r="AI2542">
        <v>3000</v>
      </c>
      <c r="AJ2542">
        <v>1</v>
      </c>
      <c r="AK2542" t="inlineStr">
        <is>
          <t>No, I don't need at all</t>
        </is>
      </c>
      <c r="AL2542">
        <v>0</v>
      </c>
      <c r="AM2542" t="inlineStr">
        <is>
          <t>No, I don't need at all</t>
        </is>
      </c>
      <c r="AN2542"/>
      <c r="AO2542" t="inlineStr">
        <is>
          <t>No, I don't need at all</t>
        </is>
      </c>
      <c r="AP2542" t="inlineStr">
        <is>
          <t>Once a year (25%)</t>
        </is>
      </c>
      <c r="AQ2542">
        <v>3</v>
      </c>
      <c r="AR2542" t="inlineStr">
        <is>
          <t>Did not use any job portal</t>
        </is>
      </c>
      <c r="AS2542" t="inlineStr">
        <is>
          <t>- Headcount: 2
- Hiring Job Details: 2 auditor exec, based in KL
- Hiring Urgency: Hiring Now
- Number of outlets: 1
- Have recruiter team: No, I don't need at all
- Number of recruiter in company: 0
- Have ATS system: No, I don't need at all
- Have career website: No, I don't need at all
- Current hiring budget: RM3,000
- Whole year budget: RM3,000.00
- Whole year number of vacancies: 3
- Hiring frequency: Once a year (25%)
- External job portal: Did not use any job portal</t>
        </is>
      </c>
      <c r="AT2542">
        <v>115</v>
      </c>
      <c r="AU2542" t="inlineStr">
        <is>
          <t>1.15</t>
        </is>
      </c>
      <c r="AV2542" t="inlineStr">
        <is>
          <t>15</t>
        </is>
      </c>
      <c r="AW2542" t="inlineStr">
        <is>
          <t>0</t>
        </is>
      </c>
      <c r="AX2542" t="inlineStr">
        <is>
          <t>Not Qualified</t>
        </is>
      </c>
      <c r="AY2542" s="4"/>
      <c r="AZ2542"/>
      <c r="BA2542"/>
      <c r="BB2542"/>
      <c r="BC2542"/>
      <c r="BD2542" s="4"/>
      <c r="BE2542"/>
      <c r="BF2542"/>
      <c r="BG2542" t="inlineStr">
        <is>
          <t>Reschedule</t>
        </is>
      </c>
      <c r="BH2542" t="inlineStr">
        <is>
          <t>Edward Hoo</t>
        </is>
      </c>
      <c r="BI2542"/>
      <c r="BJ2542" s="4">
        <v>46144.75571759259</v>
      </c>
      <c r="BK2542" s="4">
        <v>46115.70143518518</v>
      </c>
      <c r="BL2542" t="inlineStr">
        <is>
          <t>0.0</t>
        </is>
      </c>
      <c r="BM2542" t="inlineStr">
        <is>
          <t>0.0</t>
        </is>
      </c>
      <c r="BN2542"/>
      <c r="BO2542" s="4"/>
      <c r="BP2542">
        <v>165249</v>
      </c>
      <c r="BQ2542"/>
      <c r="BR2542"/>
      <c r="BS2542"/>
      <c r="BT2542"/>
      <c r="BU2542"/>
      <c r="BV2542"/>
      <c r="BW2542"/>
      <c r="BX2542"/>
      <c r="BY2542"/>
      <c r="BZ2542" s="4"/>
      <c r="CA2542"/>
      <c r="CB2542"/>
      <c r="CC2542" s="4"/>
      <c r="CD2542" t="inlineStr">
        <is>
          <t>20</t>
        </is>
      </c>
      <c r="CE2542" t="inlineStr">
        <is>
          <t>0</t>
        </is>
      </c>
      <c r="CF2542" t="inlineStr">
        <is>
          <t>Q2-W01</t>
        </is>
      </c>
      <c r="CG2542"/>
      <c r="CH2542"/>
      <c r="CI2542"/>
      <c r="CJ2542" t="inlineStr">
        <is>
          <t>No Paid</t>
        </is>
      </c>
      <c r="CK2542" t="inlineStr">
        <is>
          <t>Not Eligible</t>
        </is>
      </c>
      <c r="CL2542"/>
      <c r="CM2542"/>
    </row>
    <row r="2543" ht="25.5" customHeight="1">
      <c r="A2543" t="inlineStr">
        <is>
          <t>4218074</t>
        </is>
      </c>
      <c r="B2543" s="2"/>
      <c r="C2543"/>
      <c r="D2543" s="3">
        <v>46118.407326388886</v>
      </c>
      <c r="E2543" t="inlineStr">
        <is>
          <t>Q2-W01</t>
        </is>
      </c>
      <c r="F2543" t="inlineStr">
        <is>
          <t>Derek Lim</t>
        </is>
      </c>
      <c r="G2543" t="inlineStr">
        <is>
          <t>Lead</t>
        </is>
      </c>
      <c r="H2543" s="2" t="str">
        <f>=HYPERLINK("https://upbox.ajobthing.my/leads/4218074", "https://upbox.ajobthing.my/leads/4218074")</f>
        <v>https://upbox.ajobthing.my/leads/4218074</v>
      </c>
      <c r="I2543" t="inlineStr">
        <is>
          <t>Singgahsana Holidays sdn bhd</t>
        </is>
      </c>
      <c r="J2543" t="inlineStr">
        <is>
          <t>Small Fish</t>
        </is>
      </c>
      <c r="K2543" t="inlineStr">
        <is>
          <t>Derek Lim</t>
        </is>
      </c>
      <c r="L2543" s="4"/>
      <c r="M2543" s="4">
        <v>46118.409363425926</v>
      </c>
      <c r="N2543"/>
      <c r="O2543">
        <v>6048</v>
      </c>
      <c r="P2543" s="4"/>
      <c r="Q2543" s="4"/>
      <c r="R2543"/>
      <c r="S2543"/>
      <c r="T2543" s="4"/>
      <c r="U2543" s="4"/>
      <c r="V2543"/>
      <c r="W2543"/>
      <c r="X2543"/>
      <c r="Y2543" t="inlineStr">
        <is>
          <t>Pending Appointment</t>
        </is>
      </c>
      <c r="Z2543" t="inlineStr">
        <is>
          <t>Hiring Now</t>
        </is>
      </c>
      <c r="AA2543">
        <v>1</v>
      </c>
      <c r="AB2543" t="inlineStr">
        <is>
          <t>No Appointment Made</t>
        </is>
      </c>
      <c r="AC2543"/>
      <c r="AD2543" t="inlineStr">
        <is>
          <t>tour operator cum admin - 1</t>
        </is>
      </c>
      <c r="AE2543"/>
      <c r="AF2543">
        <v>1000</v>
      </c>
      <c r="AG2543" s="4"/>
      <c r="AH2543" s="4"/>
      <c r="AI2543">
        <v>0</v>
      </c>
      <c r="AJ2543">
        <v>1</v>
      </c>
      <c r="AK2543" t="inlineStr">
        <is>
          <t>No, I don't need at all</t>
        </is>
      </c>
      <c r="AL2543">
        <v>0</v>
      </c>
      <c r="AM2543" t="inlineStr">
        <is>
          <t>No, I don't need at all</t>
        </is>
      </c>
      <c r="AN2543"/>
      <c r="AO2543" t="inlineStr">
        <is>
          <t>No, I don't need at all</t>
        </is>
      </c>
      <c r="AP2543" t="inlineStr">
        <is>
          <t>Once a year (25%)</t>
        </is>
      </c>
      <c r="AQ2543">
        <v>1</v>
      </c>
      <c r="AR2543" t="inlineStr">
        <is>
          <t>Jobstreet</t>
        </is>
      </c>
      <c r="AS2543" t="inlineStr">
        <is>
          <t>- Headcount: 1
- Hiring Job Details: 1 tour operator cum admin
- Hiring Urgency: Hiring Now
- Number of outlets: 1
- Have recruiter team: No, I don't need at all
- Number of recruiter in company: 0
- Have ATS system: No, I don't need at all
- Have career website: No, I don't need at all
- Current hiring budget: RM1,000
- Whole year budget: RM0.00
- Whole year number of vacancies: 1
- Hiring frequency: Once a year (25%)
- External job portal: Jobstreet</t>
        </is>
      </c>
      <c r="AT2543">
        <v>115</v>
      </c>
      <c r="AU2543" t="inlineStr">
        <is>
          <t>1.15</t>
        </is>
      </c>
      <c r="AV2543" t="inlineStr">
        <is>
          <t>15</t>
        </is>
      </c>
      <c r="AW2543" t="inlineStr">
        <is>
          <t>0</t>
        </is>
      </c>
      <c r="AX2543" t="inlineStr">
        <is>
          <t>Not Qualified</t>
        </is>
      </c>
      <c r="AY2543" s="4"/>
      <c r="AZ2543"/>
      <c r="BA2543"/>
      <c r="BB2543"/>
      <c r="BC2543"/>
      <c r="BD2543" s="4"/>
      <c r="BE2543"/>
      <c r="BF2543"/>
      <c r="BG2543" t="inlineStr">
        <is>
          <t>Reschedule</t>
        </is>
      </c>
      <c r="BH2543" t="inlineStr">
        <is>
          <t>Edward Hoo</t>
        </is>
      </c>
      <c r="BI2543"/>
      <c r="BJ2543" s="4">
        <v>46144.7556712963</v>
      </c>
      <c r="BK2543" s="4">
        <v>46111.48642361111</v>
      </c>
      <c r="BL2543" t="inlineStr">
        <is>
          <t>0.0</t>
        </is>
      </c>
      <c r="BM2543" t="inlineStr">
        <is>
          <t>0.0</t>
        </is>
      </c>
      <c r="BN2543"/>
      <c r="BO2543" s="4"/>
      <c r="BP2543">
        <v>165279</v>
      </c>
      <c r="BQ2543"/>
      <c r="BR2543"/>
      <c r="BS2543"/>
      <c r="BT2543"/>
      <c r="BU2543"/>
      <c r="BV2543"/>
      <c r="BW2543"/>
      <c r="BX2543"/>
      <c r="BY2543"/>
      <c r="BZ2543" s="4"/>
      <c r="CA2543"/>
      <c r="CB2543"/>
      <c r="CC2543" s="4"/>
      <c r="CD2543" t="inlineStr">
        <is>
          <t>20</t>
        </is>
      </c>
      <c r="CE2543" t="inlineStr">
        <is>
          <t>0</t>
        </is>
      </c>
      <c r="CF2543" t="inlineStr">
        <is>
          <t>Q2-W01</t>
        </is>
      </c>
      <c r="CG2543"/>
      <c r="CH2543"/>
      <c r="CI2543"/>
      <c r="CJ2543" t="inlineStr">
        <is>
          <t>No Paid</t>
        </is>
      </c>
      <c r="CK2543" t="inlineStr">
        <is>
          <t>Not Eligible</t>
        </is>
      </c>
      <c r="CL2543"/>
      <c r="CM2543"/>
    </row>
    <row r="2544" ht="25.5" customHeight="1">
      <c r="A2544" t="inlineStr">
        <is>
          <t>202800</t>
        </is>
      </c>
      <c r="B2544" s="2"/>
      <c r="C2544"/>
      <c r="D2544" s="3">
        <v>46118.41505787037</v>
      </c>
      <c r="E2544" t="inlineStr">
        <is>
          <t>Q2-W01</t>
        </is>
      </c>
      <c r="F2544" t="inlineStr">
        <is>
          <t>Eugene</t>
        </is>
      </c>
      <c r="G2544" t="inlineStr">
        <is>
          <t>Customer</t>
        </is>
      </c>
      <c r="H2544" s="2" t="str">
        <f>=HYPERLINK("https://upbox.ajobthing.my/customer/202800", "https://upbox.ajobthing.my/customer/202800")</f>
        <v>https://upbox.ajobthing.my/customer/202800</v>
      </c>
      <c r="I2544" t="inlineStr">
        <is>
          <t>Zento Hope Enterprise</t>
        </is>
      </c>
      <c r="J2544" t="inlineStr">
        <is>
          <t>Small Fish</t>
        </is>
      </c>
      <c r="K2544" t="inlineStr">
        <is>
          <t>Eugene</t>
        </is>
      </c>
      <c r="L2544" s="4"/>
      <c r="M2544" s="4">
        <v>46118.41515046296</v>
      </c>
      <c r="N2544"/>
      <c r="O2544">
        <v>3888</v>
      </c>
      <c r="P2544" s="4"/>
      <c r="Q2544" s="4"/>
      <c r="R2544"/>
      <c r="S2544"/>
      <c r="T2544" s="4"/>
      <c r="U2544" s="4"/>
      <c r="V2544"/>
      <c r="W2544"/>
      <c r="X2544"/>
      <c r="Y2544" t="inlineStr">
        <is>
          <t>Pending Appointment</t>
        </is>
      </c>
      <c r="Z2544" t="inlineStr">
        <is>
          <t>Hiring Now</t>
        </is>
      </c>
      <c r="AA2544">
        <v>2</v>
      </c>
      <c r="AB2544" t="inlineStr">
        <is>
          <t>No Appointment Made</t>
        </is>
      </c>
      <c r="AC2544"/>
      <c r="AD2544" t="inlineStr">
        <is>
          <t>1 social media, 1 admin, based in KL</t>
        </is>
      </c>
      <c r="AE2544"/>
      <c r="AF2544">
        <v>3000</v>
      </c>
      <c r="AG2544" s="4"/>
      <c r="AH2544" s="4"/>
      <c r="AI2544">
        <v>3000</v>
      </c>
      <c r="AJ2544">
        <v>1</v>
      </c>
      <c r="AK2544" t="inlineStr">
        <is>
          <t>No, I don't need at all</t>
        </is>
      </c>
      <c r="AL2544">
        <v>0</v>
      </c>
      <c r="AM2544" t="inlineStr">
        <is>
          <t>No, I don't need at all</t>
        </is>
      </c>
      <c r="AN2544"/>
      <c r="AO2544" t="inlineStr">
        <is>
          <t>No, I don't need at all</t>
        </is>
      </c>
      <c r="AP2544" t="inlineStr">
        <is>
          <t>Once a year (25%)</t>
        </is>
      </c>
      <c r="AQ2544">
        <v>4</v>
      </c>
      <c r="AR2544" t="inlineStr">
        <is>
          <t>Did not use any job portal</t>
        </is>
      </c>
      <c r="AS2544" t="inlineStr">
        <is>
          <t>- Headcount: 2
- Hiring Job Details: 1 social media, 1 admin, based in KL
- Hiring Urgency: Hiring Now
- Number of outlets: 1
- Have recruiter team: No, I don't need at all
- Number of recruiter in company: 0
- Have ATS system: No, I don't need at all
- Have career website: No, I don't need at all
- Current hiring budget: RM3,000
- Whole year budget: RM3,000.00
- Whole year number of vacancies: 4
- Hiring frequency: Once a year (25%)
- External job portal: Did not use any job portal</t>
        </is>
      </c>
      <c r="AT2544">
        <v>110</v>
      </c>
      <c r="AU2544" t="inlineStr">
        <is>
          <t>1.10</t>
        </is>
      </c>
      <c r="AV2544" t="inlineStr">
        <is>
          <t>15</t>
        </is>
      </c>
      <c r="AW2544" t="inlineStr">
        <is>
          <t>0</t>
        </is>
      </c>
      <c r="AX2544" t="inlineStr">
        <is>
          <t>Not Qualified</t>
        </is>
      </c>
      <c r="AY2544" s="4"/>
      <c r="AZ2544"/>
      <c r="BA2544"/>
      <c r="BB2544"/>
      <c r="BC2544" t="inlineStr">
        <is>
          <t>pending busy now</t>
        </is>
      </c>
      <c r="BD2544" s="4">
        <v>46120.744409722225</v>
      </c>
      <c r="BE2544"/>
      <c r="BF2544"/>
      <c r="BG2544" t="inlineStr">
        <is>
          <t>Reschedule</t>
        </is>
      </c>
      <c r="BH2544" t="inlineStr">
        <is>
          <t>Edward Hoo</t>
        </is>
      </c>
      <c r="BI2544"/>
      <c r="BJ2544" s="4">
        <v>46144.75412037037</v>
      </c>
      <c r="BK2544" s="4">
        <v>46115.67965277778</v>
      </c>
      <c r="BL2544" t="inlineStr">
        <is>
          <t>0.0</t>
        </is>
      </c>
      <c r="BM2544" t="inlineStr">
        <is>
          <t>0.0</t>
        </is>
      </c>
      <c r="BN2544" t="inlineStr">
        <is>
          <t>User Visit(Logged In)</t>
        </is>
      </c>
      <c r="BO2544" s="4">
        <v>46115.67969907408</v>
      </c>
      <c r="BP2544">
        <v>165282</v>
      </c>
      <c r="BQ2544"/>
      <c r="BR2544"/>
      <c r="BS2544"/>
      <c r="BT2544"/>
      <c r="BU2544"/>
      <c r="BV2544">
        <v>2693915</v>
      </c>
      <c r="BW2544" t="inlineStr">
        <is>
          <t>Follow Up : Decision Pending</t>
        </is>
      </c>
      <c r="BX2544"/>
      <c r="BY2544"/>
      <c r="BZ2544" s="4"/>
      <c r="CA2544"/>
      <c r="CB2544"/>
      <c r="CC2544" s="4"/>
      <c r="CD2544" t="inlineStr">
        <is>
          <t>20</t>
        </is>
      </c>
      <c r="CE2544" t="inlineStr">
        <is>
          <t>0</t>
        </is>
      </c>
      <c r="CF2544" t="inlineStr">
        <is>
          <t>Q2-W01</t>
        </is>
      </c>
      <c r="CG2544"/>
      <c r="CH2544"/>
      <c r="CI2544"/>
      <c r="CJ2544" t="inlineStr">
        <is>
          <t>No Paid</t>
        </is>
      </c>
      <c r="CK2544" t="inlineStr">
        <is>
          <t>Not Eligible</t>
        </is>
      </c>
      <c r="CL2544"/>
      <c r="CM2544"/>
    </row>
    <row r="2545" ht="25.5" customHeight="1">
      <c r="A2545" t="inlineStr">
        <is>
          <t>202720</t>
        </is>
      </c>
      <c r="B2545" s="2"/>
      <c r="C2545"/>
      <c r="D2545" s="3">
        <v>46118.41577546296</v>
      </c>
      <c r="E2545" t="inlineStr">
        <is>
          <t>Q2-W01</t>
        </is>
      </c>
      <c r="F2545" t="inlineStr">
        <is>
          <t>Jess</t>
        </is>
      </c>
      <c r="G2545" t="inlineStr">
        <is>
          <t>Customer</t>
        </is>
      </c>
      <c r="H2545" s="2" t="str">
        <f>=HYPERLINK("https://upbox.ajobthing.my/customer/202720", "https://upbox.ajobthing.my/customer/202720")</f>
        <v>https://upbox.ajobthing.my/customer/202720</v>
      </c>
      <c r="I2545" t="inlineStr">
        <is>
          <t xml:space="preserve">Yl Business Services </t>
        </is>
      </c>
      <c r="J2545" t="inlineStr">
        <is>
          <t>Small Fish</t>
        </is>
      </c>
      <c r="K2545" t="inlineStr">
        <is>
          <t>Jess Lim</t>
        </is>
      </c>
      <c r="L2545" s="4"/>
      <c r="M2545" s="4">
        <v>46118.416180555556</v>
      </c>
      <c r="N2545"/>
      <c r="O2545">
        <v>864</v>
      </c>
      <c r="P2545" s="4"/>
      <c r="Q2545" s="4">
        <v>46114.43232638889</v>
      </c>
      <c r="R2545"/>
      <c r="S2545">
        <v>0</v>
      </c>
      <c r="T2545" s="4"/>
      <c r="U2545" s="4"/>
      <c r="V2545"/>
      <c r="W2545"/>
      <c r="X2545"/>
      <c r="Y2545" t="inlineStr">
        <is>
          <t>Pending Appointment</t>
        </is>
      </c>
      <c r="Z2545" t="inlineStr">
        <is>
          <t>Hiring Now</t>
        </is>
      </c>
      <c r="AA2545">
        <v>1</v>
      </c>
      <c r="AB2545" t="inlineStr">
        <is>
          <t>No Appointment Made</t>
        </is>
      </c>
      <c r="AC2545"/>
      <c r="AD2545" t="inlineStr">
        <is>
          <t>account executive</t>
        </is>
      </c>
      <c r="AE2545"/>
      <c r="AF2545">
        <v>700</v>
      </c>
      <c r="AG2545" s="4"/>
      <c r="AH2545" s="4"/>
      <c r="AI2545"/>
      <c r="AJ2545">
        <v>1</v>
      </c>
      <c r="AK2545" t="inlineStr">
        <is>
          <t>No, I don't need at all</t>
        </is>
      </c>
      <c r="AL2545">
        <v>1</v>
      </c>
      <c r="AM2545" t="inlineStr">
        <is>
          <t>No, I don't need at all</t>
        </is>
      </c>
      <c r="AN2545"/>
      <c r="AO2545" t="inlineStr">
        <is>
          <t>No, I don't need at all</t>
        </is>
      </c>
      <c r="AP2545" t="inlineStr">
        <is>
          <t>Once a year (25%)</t>
        </is>
      </c>
      <c r="AQ2545"/>
      <c r="AR2545" t="inlineStr">
        <is>
          <t>Free Job Portal</t>
        </is>
      </c>
      <c r="AS2545" t="inlineStr">
        <is>
          <t>- Headcount: 1
- Hiring Job Details: account executive
- Hiring Urgency: Hiring Now
- Number of outlets: 1
- Have recruiter team: No, I don't need at all
- Number of recruiter in company: 1
- Have ATS system: No, I don't need at all
- Have career website: No, I don't need at all
- Current hiring budget: RM700.00
- Whole year budget: 
- Whole year number of vacancies: 
- Hiring frequency: Once a year (25%)
- External job portal: Free Job Portal</t>
        </is>
      </c>
      <c r="AT2545">
        <v>100</v>
      </c>
      <c r="AU2545" t="inlineStr">
        <is>
          <t>1.00</t>
        </is>
      </c>
      <c r="AV2545" t="inlineStr">
        <is>
          <t>15</t>
        </is>
      </c>
      <c r="AW2545" t="inlineStr">
        <is>
          <t>0</t>
        </is>
      </c>
      <c r="AX2545" t="inlineStr">
        <is>
          <t>Not Qualified</t>
        </is>
      </c>
      <c r="AY2545" s="4"/>
      <c r="AZ2545"/>
      <c r="BA2545"/>
      <c r="BB2545"/>
      <c r="BC2545" t="inlineStr">
        <is>
          <t>free portal</t>
        </is>
      </c>
      <c r="BD2545" s="4">
        <v>46125.47667824074</v>
      </c>
      <c r="BE2545" t="inlineStr">
        <is>
          <t>paid</t>
        </is>
      </c>
      <c r="BF2545"/>
      <c r="BG2545" t="inlineStr">
        <is>
          <t>Reschedule</t>
        </is>
      </c>
      <c r="BH2545" t="inlineStr">
        <is>
          <t>Fauziah Maharan</t>
        </is>
      </c>
      <c r="BI2545"/>
      <c r="BJ2545" s="4">
        <v>46144.75409722222</v>
      </c>
      <c r="BK2545" s="4">
        <v>46114.43204861111</v>
      </c>
      <c r="BL2545" t="inlineStr">
        <is>
          <t>0.0</t>
        </is>
      </c>
      <c r="BM2545" t="inlineStr">
        <is>
          <t>0.0</t>
        </is>
      </c>
      <c r="BN2545" t="inlineStr">
        <is>
          <t>View Account User</t>
        </is>
      </c>
      <c r="BO2545" s="4">
        <v>46125.46019675926</v>
      </c>
      <c r="BP2545">
        <v>165284</v>
      </c>
      <c r="BQ2545">
        <v>119462</v>
      </c>
      <c r="BR2545" t="inlineStr">
        <is>
          <t>Proforma</t>
        </is>
      </c>
      <c r="BS2545" t="inlineStr">
        <is>
          <t>Free Singapore Job</t>
        </is>
      </c>
      <c r="BT2545"/>
      <c r="BU2545"/>
      <c r="BV2545">
        <v>2700390</v>
      </c>
      <c r="BW2545" t="inlineStr">
        <is>
          <t>Follow Up : Lost - Free Portal</t>
        </is>
      </c>
      <c r="BX2545"/>
      <c r="BY2545"/>
      <c r="BZ2545" s="4"/>
      <c r="CA2545"/>
      <c r="CB2545"/>
      <c r="CC2545" s="4"/>
      <c r="CD2545" t="inlineStr">
        <is>
          <t>20</t>
        </is>
      </c>
      <c r="CE2545" t="inlineStr">
        <is>
          <t>0</t>
        </is>
      </c>
      <c r="CF2545" t="inlineStr">
        <is>
          <t>Q2-W01</t>
        </is>
      </c>
      <c r="CG2545" t="inlineStr">
        <is>
          <t>Q1-W13</t>
        </is>
      </c>
      <c r="CH2545"/>
      <c r="CI2545"/>
      <c r="CJ2545" t="inlineStr">
        <is>
          <t>No Paid</t>
        </is>
      </c>
      <c r="CK2545" t="inlineStr">
        <is>
          <t>Not Eligible</t>
        </is>
      </c>
      <c r="CL2545"/>
      <c r="CM2545"/>
    </row>
    <row r="2546" ht="25.5" customHeight="1">
      <c r="A2546" t="inlineStr">
        <is>
          <t>4251140</t>
        </is>
      </c>
      <c r="B2546" s="2"/>
      <c r="C2546"/>
      <c r="D2546" s="3">
        <v>46118.4165162037</v>
      </c>
      <c r="E2546" t="inlineStr">
        <is>
          <t>Q2-W01</t>
        </is>
      </c>
      <c r="F2546" t="inlineStr">
        <is>
          <t>Derek Lim</t>
        </is>
      </c>
      <c r="G2546" t="inlineStr">
        <is>
          <t>Lead</t>
        </is>
      </c>
      <c r="H2546" s="2" t="str">
        <f>=HYPERLINK("https://upbox.ajobthing.my/leads/4251140", "https://upbox.ajobthing.my/leads/4251140")</f>
        <v>https://upbox.ajobthing.my/leads/4251140</v>
      </c>
      <c r="I2546" t="inlineStr">
        <is>
          <t>CRYOTECH SDN BHD</t>
        </is>
      </c>
      <c r="J2546" t="inlineStr">
        <is>
          <t>Small Fish</t>
        </is>
      </c>
      <c r="K2546" t="inlineStr">
        <is>
          <t>Derek Lim</t>
        </is>
      </c>
      <c r="L2546" s="4"/>
      <c r="M2546" s="4">
        <v>46118.4168287037</v>
      </c>
      <c r="N2546"/>
      <c r="O2546">
        <v>6048</v>
      </c>
      <c r="P2546" s="4"/>
      <c r="Q2546" s="4"/>
      <c r="R2546"/>
      <c r="S2546"/>
      <c r="T2546" s="4"/>
      <c r="U2546" s="4"/>
      <c r="V2546"/>
      <c r="W2546"/>
      <c r="X2546"/>
      <c r="Y2546" t="inlineStr">
        <is>
          <t>Pending Appointment</t>
        </is>
      </c>
      <c r="Z2546" t="inlineStr">
        <is>
          <t>Hiring Now</t>
        </is>
      </c>
      <c r="AA2546">
        <v>1</v>
      </c>
      <c r="AB2546" t="inlineStr">
        <is>
          <t>No Appointment Made</t>
        </is>
      </c>
      <c r="AC2546"/>
      <c r="AD2546" t="inlineStr">
        <is>
          <t>admin assistant - 1</t>
        </is>
      </c>
      <c r="AE2546"/>
      <c r="AF2546">
        <v>0</v>
      </c>
      <c r="AG2546" s="4"/>
      <c r="AH2546" s="4"/>
      <c r="AI2546">
        <v>0</v>
      </c>
      <c r="AJ2546">
        <v>1</v>
      </c>
      <c r="AK2546" t="inlineStr">
        <is>
          <t>No, I don't need at all</t>
        </is>
      </c>
      <c r="AL2546">
        <v>0</v>
      </c>
      <c r="AM2546" t="inlineStr">
        <is>
          <t>No, I don't need at all</t>
        </is>
      </c>
      <c r="AN2546"/>
      <c r="AO2546" t="inlineStr">
        <is>
          <t>No, I don't need at all</t>
        </is>
      </c>
      <c r="AP2546" t="inlineStr">
        <is>
          <t>Once a year (25%)</t>
        </is>
      </c>
      <c r="AQ2546">
        <v>1</v>
      </c>
      <c r="AR2546" t="inlineStr">
        <is>
          <t>Did not use any job portal</t>
        </is>
      </c>
      <c r="AS2546" t="inlineStr">
        <is>
          <t>- Headcount: 1
- Hiring Job Details: 1 admin assistant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46">
        <v>110</v>
      </c>
      <c r="AU2546" t="inlineStr">
        <is>
          <t>1.10</t>
        </is>
      </c>
      <c r="AV2546" t="inlineStr">
        <is>
          <t>15</t>
        </is>
      </c>
      <c r="AW2546" t="inlineStr">
        <is>
          <t>0</t>
        </is>
      </c>
      <c r="AX2546" t="inlineStr">
        <is>
          <t>Not Qualified</t>
        </is>
      </c>
      <c r="AY2546" s="4"/>
      <c r="AZ2546"/>
      <c r="BA2546"/>
      <c r="BB2546"/>
      <c r="BC2546"/>
      <c r="BD2546" s="4"/>
      <c r="BE2546"/>
      <c r="BF2546"/>
      <c r="BG2546" t="inlineStr">
        <is>
          <t>Reschedule</t>
        </is>
      </c>
      <c r="BH2546" t="inlineStr">
        <is>
          <t>Edward Hoo</t>
        </is>
      </c>
      <c r="BI2546"/>
      <c r="BJ2546" s="4">
        <v>46144.75571759259</v>
      </c>
      <c r="BK2546" s="4">
        <v>46118.3778125</v>
      </c>
      <c r="BL2546" t="inlineStr">
        <is>
          <t>0.0</t>
        </is>
      </c>
      <c r="BM2546" t="inlineStr">
        <is>
          <t>0.0</t>
        </is>
      </c>
      <c r="BN2546"/>
      <c r="BO2546" s="4"/>
      <c r="BP2546">
        <v>165285</v>
      </c>
      <c r="BQ2546"/>
      <c r="BR2546"/>
      <c r="BS2546"/>
      <c r="BT2546"/>
      <c r="BU2546"/>
      <c r="BV2546"/>
      <c r="BW2546"/>
      <c r="BX2546"/>
      <c r="BY2546"/>
      <c r="BZ2546" s="4"/>
      <c r="CA2546"/>
      <c r="CB2546"/>
      <c r="CC2546" s="4"/>
      <c r="CD2546" t="inlineStr">
        <is>
          <t>20</t>
        </is>
      </c>
      <c r="CE2546" t="inlineStr">
        <is>
          <t>0</t>
        </is>
      </c>
      <c r="CF2546" t="inlineStr">
        <is>
          <t>Q2-W01</t>
        </is>
      </c>
      <c r="CG2546"/>
      <c r="CH2546"/>
      <c r="CI2546"/>
      <c r="CJ2546" t="inlineStr">
        <is>
          <t>No Paid</t>
        </is>
      </c>
      <c r="CK2546" t="inlineStr">
        <is>
          <t>Not Eligible</t>
        </is>
      </c>
      <c r="CL2546"/>
      <c r="CM2546"/>
    </row>
    <row r="2547" ht="25.5" customHeight="1">
      <c r="A2547" t="inlineStr">
        <is>
          <t>200807</t>
        </is>
      </c>
      <c r="B2547" s="2"/>
      <c r="C2547"/>
      <c r="D2547" s="3">
        <v>46118.42563657407</v>
      </c>
      <c r="E2547" t="inlineStr">
        <is>
          <t>Q2-W01</t>
        </is>
      </c>
      <c r="F2547" t="inlineStr">
        <is>
          <t>Keegan</t>
        </is>
      </c>
      <c r="G2547" t="inlineStr">
        <is>
          <t>Customer</t>
        </is>
      </c>
      <c r="H2547" s="2" t="str">
        <f>=HYPERLINK("https://upbox.ajobthing.my/customer/200807", "https://upbox.ajobthing.my/customer/200807")</f>
        <v>https://upbox.ajobthing.my/customer/200807</v>
      </c>
      <c r="I2547" t="inlineStr">
        <is>
          <t>UU Management Sdn Bhd</t>
        </is>
      </c>
      <c r="J2547" t="inlineStr">
        <is>
          <t>Small Fish</t>
        </is>
      </c>
      <c r="K2547" t="inlineStr">
        <is>
          <t>Keegan</t>
        </is>
      </c>
      <c r="L2547" s="4"/>
      <c r="M2547" s="4">
        <v>46118.425833333335</v>
      </c>
      <c r="N2547"/>
      <c r="O2547">
        <v>3672</v>
      </c>
      <c r="P2547" s="4"/>
      <c r="Q2547" s="4">
        <v>46115.876979166664</v>
      </c>
      <c r="R2547"/>
      <c r="S2547">
        <v>0</v>
      </c>
      <c r="T2547" s="4"/>
      <c r="U2547" s="4"/>
      <c r="V2547"/>
      <c r="W2547"/>
      <c r="X2547"/>
      <c r="Y2547" t="inlineStr">
        <is>
          <t>Pending Appointment</t>
        </is>
      </c>
      <c r="Z2547" t="inlineStr">
        <is>
          <t>Hiring Now</t>
        </is>
      </c>
      <c r="AA2547">
        <v>1</v>
      </c>
      <c r="AB2547" t="inlineStr">
        <is>
          <t>No Appointment Made</t>
        </is>
      </c>
      <c r="AC2547"/>
      <c r="AD2547" t="inlineStr">
        <is>
          <t xml:space="preserve">1. Live Host </t>
        </is>
      </c>
      <c r="AE2547"/>
      <c r="AF2547"/>
      <c r="AG2547" s="4"/>
      <c r="AH2547" s="4"/>
      <c r="AI2547"/>
      <c r="AJ2547">
        <v>1</v>
      </c>
      <c r="AK2547" t="inlineStr">
        <is>
          <t>No, I don't need at all</t>
        </is>
      </c>
      <c r="AL2547">
        <v>0</v>
      </c>
      <c r="AM2547" t="inlineStr">
        <is>
          <t>No, I don't need at all</t>
        </is>
      </c>
      <c r="AN2547"/>
      <c r="AO2547" t="inlineStr">
        <is>
          <t>No, I don't need at all</t>
        </is>
      </c>
      <c r="AP2547" t="inlineStr">
        <is>
          <t>Once per quarter (75%)</t>
        </is>
      </c>
      <c r="AQ2547"/>
      <c r="AR2547" t="inlineStr">
        <is>
          <t>Did not use any job portal</t>
        </is>
      </c>
      <c r="AS2547" t="inlineStr">
        <is>
          <t>- Headcount: 1
- Hiring Job Details: 1 Live Host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47">
        <v>100</v>
      </c>
      <c r="AU2547" t="inlineStr">
        <is>
          <t>1.00</t>
        </is>
      </c>
      <c r="AV2547" t="inlineStr">
        <is>
          <t>5</t>
        </is>
      </c>
      <c r="AW2547" t="inlineStr">
        <is>
          <t>0</t>
        </is>
      </c>
      <c r="AX2547" t="inlineStr">
        <is>
          <t>Not Qualified</t>
        </is>
      </c>
      <c r="AY2547" s="4"/>
      <c r="AZ2547"/>
      <c r="BA2547"/>
      <c r="BB2547"/>
      <c r="BC2547" t="inlineStr">
        <is>
          <t>Pending decision from boss side</t>
        </is>
      </c>
      <c r="BD2547" s="4">
        <v>46120.74207175926</v>
      </c>
      <c r="BE2547" t="inlineStr">
        <is>
          <t>paid</t>
        </is>
      </c>
      <c r="BF2547"/>
      <c r="BG2547" t="inlineStr">
        <is>
          <t>Reschedule</t>
        </is>
      </c>
      <c r="BH2547" t="inlineStr">
        <is>
          <t>Edward Hoo</t>
        </is>
      </c>
      <c r="BI2547"/>
      <c r="BJ2547" s="4">
        <v>46144.753657407404</v>
      </c>
      <c r="BK2547" s="4">
        <v>46051.66303240741</v>
      </c>
      <c r="BL2547" t="inlineStr">
        <is>
          <t>0.0</t>
        </is>
      </c>
      <c r="BM2547" t="inlineStr">
        <is>
          <t>150.0</t>
        </is>
      </c>
      <c r="BN2547"/>
      <c r="BO2547" s="4"/>
      <c r="BP2547">
        <v>165288</v>
      </c>
      <c r="BQ2547">
        <v>120000</v>
      </c>
      <c r="BR2547" t="inlineStr">
        <is>
          <t>Proforma</t>
        </is>
      </c>
      <c r="BS2547" t="inlineStr">
        <is>
          <t>Free High Pay Job</t>
        </is>
      </c>
      <c r="BT2547"/>
      <c r="BU2547"/>
      <c r="BV2547">
        <v>2693900</v>
      </c>
      <c r="BW2547" t="inlineStr">
        <is>
          <t>Follow Up : Decision Pending</t>
        </is>
      </c>
      <c r="BX2547"/>
      <c r="BY2547"/>
      <c r="BZ2547" s="4"/>
      <c r="CA2547"/>
      <c r="CB2547"/>
      <c r="CC2547" s="4"/>
      <c r="CD2547" t="inlineStr">
        <is>
          <t>5</t>
        </is>
      </c>
      <c r="CE2547" t="inlineStr">
        <is>
          <t>0</t>
        </is>
      </c>
      <c r="CF2547" t="inlineStr">
        <is>
          <t>Q2-W01</t>
        </is>
      </c>
      <c r="CG2547" t="inlineStr">
        <is>
          <t>Q2-W01</t>
        </is>
      </c>
      <c r="CH2547"/>
      <c r="CI2547"/>
      <c r="CJ2547" t="inlineStr">
        <is>
          <t>No Paid</t>
        </is>
      </c>
      <c r="CK2547" t="inlineStr">
        <is>
          <t>Not Eligible</t>
        </is>
      </c>
      <c r="CL2547"/>
      <c r="CM2547"/>
    </row>
    <row r="2548" ht="25.5" customHeight="1">
      <c r="A2548" t="inlineStr">
        <is>
          <t>200651</t>
        </is>
      </c>
      <c r="B2548" s="2"/>
      <c r="C2548"/>
      <c r="D2548" s="3">
        <v>46118.42885416667</v>
      </c>
      <c r="E2548" t="inlineStr">
        <is>
          <t>Q2-W01</t>
        </is>
      </c>
      <c r="F2548" t="inlineStr">
        <is>
          <t>Keegan</t>
        </is>
      </c>
      <c r="G2548" t="inlineStr">
        <is>
          <t>Customer</t>
        </is>
      </c>
      <c r="H2548" s="2" t="str">
        <f>=HYPERLINK("https://upbox.ajobthing.my/customer/200651", "https://upbox.ajobthing.my/customer/200651")</f>
        <v>https://upbox.ajobthing.my/customer/200651</v>
      </c>
      <c r="I2548" t="inlineStr">
        <is>
          <t>Melemore Beauty Studio</t>
        </is>
      </c>
      <c r="J2548" t="inlineStr">
        <is>
          <t>Small Fish</t>
        </is>
      </c>
      <c r="K2548" t="inlineStr">
        <is>
          <t>Keegan</t>
        </is>
      </c>
      <c r="L2548" s="4"/>
      <c r="M2548" s="4">
        <v>46118.428981481484</v>
      </c>
      <c r="N2548"/>
      <c r="O2548">
        <v>3672</v>
      </c>
      <c r="P2548" s="4"/>
      <c r="Q2548" s="4">
        <v>46047.80993055556</v>
      </c>
      <c r="R2548"/>
      <c r="S2548">
        <v>0</v>
      </c>
      <c r="T2548" s="4"/>
      <c r="U2548" s="4"/>
      <c r="V2548"/>
      <c r="W2548"/>
      <c r="X2548"/>
      <c r="Y2548" t="inlineStr">
        <is>
          <t>Pending Appointment</t>
        </is>
      </c>
      <c r="Z2548" t="inlineStr">
        <is>
          <t>Hiring Now</t>
        </is>
      </c>
      <c r="AA2548">
        <v>1</v>
      </c>
      <c r="AB2548" t="inlineStr">
        <is>
          <t>No Appointment Made</t>
        </is>
      </c>
      <c r="AC2548"/>
      <c r="AD2548" t="inlineStr">
        <is>
          <t xml:space="preserve">1. Beautician </t>
        </is>
      </c>
      <c r="AE2548"/>
      <c r="AF2548"/>
      <c r="AG2548" s="4"/>
      <c r="AH2548" s="4"/>
      <c r="AI2548"/>
      <c r="AJ2548">
        <v>1</v>
      </c>
      <c r="AK2548" t="inlineStr">
        <is>
          <t>No, I don't need at all</t>
        </is>
      </c>
      <c r="AL2548">
        <v>0</v>
      </c>
      <c r="AM2548" t="inlineStr">
        <is>
          <t>No, I don't need at all</t>
        </is>
      </c>
      <c r="AN2548"/>
      <c r="AO2548" t="inlineStr">
        <is>
          <t>No, I don't need at all</t>
        </is>
      </c>
      <c r="AP2548" t="inlineStr">
        <is>
          <t>Once per quarter (75%)</t>
        </is>
      </c>
      <c r="AQ2548"/>
      <c r="AR2548" t="inlineStr">
        <is>
          <t>Did not use any job portal</t>
        </is>
      </c>
      <c r="AS2548" t="inlineStr">
        <is>
          <t>- Headcount: 1
- Hiring Job Details: 1 Beautician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48">
        <v>105</v>
      </c>
      <c r="AU2548" t="inlineStr">
        <is>
          <t>1.05</t>
        </is>
      </c>
      <c r="AV2548" t="inlineStr">
        <is>
          <t>5</t>
        </is>
      </c>
      <c r="AW2548" t="inlineStr">
        <is>
          <t>0</t>
        </is>
      </c>
      <c r="AX2548" t="inlineStr">
        <is>
          <t>Not Qualified</t>
        </is>
      </c>
      <c r="AY2548" s="4"/>
      <c r="AZ2548"/>
      <c r="BA2548"/>
      <c r="BB2548"/>
      <c r="BC2548" t="inlineStr">
        <is>
          <t>No decision yet</t>
        </is>
      </c>
      <c r="BD2548" s="4">
        <v>46141.62918981481</v>
      </c>
      <c r="BE2548" t="inlineStr">
        <is>
          <t>paid</t>
        </is>
      </c>
      <c r="BF2548"/>
      <c r="BG2548" t="inlineStr">
        <is>
          <t>Reschedule</t>
        </is>
      </c>
      <c r="BH2548" t="inlineStr">
        <is>
          <t>Edward Hoo</t>
        </is>
      </c>
      <c r="BI2548" t="inlineStr">
        <is>
          <t>Beauty / Fitness</t>
        </is>
      </c>
      <c r="BJ2548" s="4">
        <v>46144.75361111111</v>
      </c>
      <c r="BK2548" s="4">
        <v>46047.80966435185</v>
      </c>
      <c r="BL2548" t="inlineStr">
        <is>
          <t>0.0</t>
        </is>
      </c>
      <c r="BM2548" t="inlineStr">
        <is>
          <t>0.0</t>
        </is>
      </c>
      <c r="BN2548" t="inlineStr">
        <is>
          <t>View Company Page</t>
        </is>
      </c>
      <c r="BO2548" s="4">
        <v>46047.87142361111</v>
      </c>
      <c r="BP2548">
        <v>165292</v>
      </c>
      <c r="BQ2548">
        <v>114398</v>
      </c>
      <c r="BR2548" t="inlineStr">
        <is>
          <t>Proforma</t>
        </is>
      </c>
      <c r="BS2548" t="inlineStr">
        <is>
          <t>Free Internship Job</t>
        </is>
      </c>
      <c r="BT2548"/>
      <c r="BU2548"/>
      <c r="BV2548">
        <v>2735532</v>
      </c>
      <c r="BW2548" t="inlineStr">
        <is>
          <t>Follow Up : Decision Pending</t>
        </is>
      </c>
      <c r="BX2548"/>
      <c r="BY2548"/>
      <c r="BZ2548" s="4"/>
      <c r="CA2548"/>
      <c r="CB2548"/>
      <c r="CC2548" s="4"/>
      <c r="CD2548" t="inlineStr">
        <is>
          <t>5</t>
        </is>
      </c>
      <c r="CE2548" t="inlineStr">
        <is>
          <t>0</t>
        </is>
      </c>
      <c r="CF2548" t="inlineStr">
        <is>
          <t>Q2-W01</t>
        </is>
      </c>
      <c r="CG2548" t="inlineStr">
        <is>
          <t>Q1-W04</t>
        </is>
      </c>
      <c r="CH2548"/>
      <c r="CI2548"/>
      <c r="CJ2548" t="inlineStr">
        <is>
          <t>No Paid</t>
        </is>
      </c>
      <c r="CK2548" t="inlineStr">
        <is>
          <t>Not Eligible</t>
        </is>
      </c>
      <c r="CL2548"/>
      <c r="CM2548"/>
    </row>
    <row r="2549" ht="25.5" customHeight="1">
      <c r="A2549" t="inlineStr">
        <is>
          <t>75946</t>
        </is>
      </c>
      <c r="B2549" s="2"/>
      <c r="C2549"/>
      <c r="D2549" s="3">
        <v>46118.42903935185</v>
      </c>
      <c r="E2549" t="inlineStr">
        <is>
          <t>Q2-W01</t>
        </is>
      </c>
      <c r="F2549" t="inlineStr">
        <is>
          <t>Clover</t>
        </is>
      </c>
      <c r="G2549" t="inlineStr">
        <is>
          <t>Lead</t>
        </is>
      </c>
      <c r="H2549" s="2" t="str">
        <f>=HYPERLINK("https://upbox.ajobthing.my/leads/75946", "https://upbox.ajobthing.my/leads/75946")</f>
        <v>https://upbox.ajobthing.my/leads/75946</v>
      </c>
      <c r="I2549" t="inlineStr">
        <is>
          <t>PUSAT JAGAAN WARGATUA PARIT BILAL</t>
        </is>
      </c>
      <c r="J2549" t="inlineStr">
        <is>
          <t>Small Fish</t>
        </is>
      </c>
      <c r="K2549" t="inlineStr">
        <is>
          <t>Clover</t>
        </is>
      </c>
      <c r="L2549" s="4"/>
      <c r="M2549" s="4">
        <v>46118.429502314815</v>
      </c>
      <c r="N2549"/>
      <c r="O2549">
        <v>3888</v>
      </c>
      <c r="P2549" s="4"/>
      <c r="Q2549" s="4"/>
      <c r="R2549"/>
      <c r="S2549"/>
      <c r="T2549" s="4"/>
      <c r="U2549" s="4"/>
      <c r="V2549"/>
      <c r="W2549"/>
      <c r="X2549"/>
      <c r="Y2549" t="inlineStr">
        <is>
          <t>Pending Appointment</t>
        </is>
      </c>
      <c r="Z2549" t="inlineStr">
        <is>
          <t>Hiring Later</t>
        </is>
      </c>
      <c r="AA2549">
        <v>2</v>
      </c>
      <c r="AB2549" t="inlineStr">
        <is>
          <t>No Appointment Made</t>
        </is>
      </c>
      <c r="AC2549"/>
      <c r="AD2549" t="inlineStr">
        <is>
          <t>Ms Teoh, so far no plan yet, maybe future hire helper x1, admin x1, prefer mandarin speaker, batu pahat, suggest stand</t>
        </is>
      </c>
      <c r="AE2549"/>
      <c r="AF2549">
        <v>3000</v>
      </c>
      <c r="AG2549" s="4"/>
      <c r="AH2549" s="4"/>
      <c r="AI2549">
        <v>3000</v>
      </c>
      <c r="AJ2549">
        <v>1</v>
      </c>
      <c r="AK2549" t="inlineStr">
        <is>
          <t>No, but I want in future</t>
        </is>
      </c>
      <c r="AL2549">
        <v>1</v>
      </c>
      <c r="AM2549" t="inlineStr">
        <is>
          <t>No, but I want in future</t>
        </is>
      </c>
      <c r="AN2549"/>
      <c r="AO2549" t="inlineStr">
        <is>
          <t>No, but I want in future</t>
        </is>
      </c>
      <c r="AP2549" t="inlineStr">
        <is>
          <t>Twice a year (50%)</t>
        </is>
      </c>
      <c r="AQ2549">
        <v>3</v>
      </c>
      <c r="AR2549" t="inlineStr">
        <is>
          <t>Did not use any job portal</t>
        </is>
      </c>
      <c r="AS2549" t="inlineStr">
        <is>
          <t>- Headcount: 2
- Hiring Job Details: No current plan, potential future hires (1 helper, 1 admin; prefers Mandarin speakers, Batu Pahat location, suggests stand)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3
- Hiring frequency: Twice a year (50%)
- External job portal: Did not use any</t>
        </is>
      </c>
      <c r="AT2549">
        <v>95</v>
      </c>
      <c r="AU2549" t="inlineStr">
        <is>
          <t>0.95</t>
        </is>
      </c>
      <c r="AV2549" t="inlineStr">
        <is>
          <t>15</t>
        </is>
      </c>
      <c r="AW2549" t="inlineStr">
        <is>
          <t>0</t>
        </is>
      </c>
      <c r="AX2549" t="inlineStr">
        <is>
          <t>Not Qualified</t>
        </is>
      </c>
      <c r="AY2549" s="4"/>
      <c r="AZ2549"/>
      <c r="BA2549"/>
      <c r="BB2549"/>
      <c r="BC2549"/>
      <c r="BD2549" s="4"/>
      <c r="BE2549"/>
      <c r="BF2549"/>
      <c r="BG2549" t="inlineStr">
        <is>
          <t>Reschedule</t>
        </is>
      </c>
      <c r="BH2549" t="inlineStr">
        <is>
          <t>Reagen</t>
        </is>
      </c>
      <c r="BI2549"/>
      <c r="BJ2549" s="4">
        <v>46144.75612268518</v>
      </c>
      <c r="BK2549" s="4">
        <v>44036.43681712963</v>
      </c>
      <c r="BL2549" t="inlineStr">
        <is>
          <t>0.0</t>
        </is>
      </c>
      <c r="BM2549" t="inlineStr">
        <is>
          <t>0.0</t>
        </is>
      </c>
      <c r="BN2549"/>
      <c r="BO2549" s="4"/>
      <c r="BP2549">
        <v>165293</v>
      </c>
      <c r="BQ2549"/>
      <c r="BR2549"/>
      <c r="BS2549"/>
      <c r="BT2549"/>
      <c r="BU2549"/>
      <c r="BV2549"/>
      <c r="BW2549"/>
      <c r="BX2549"/>
      <c r="BY2549"/>
      <c r="BZ2549" s="4"/>
      <c r="CA2549"/>
      <c r="CB2549"/>
      <c r="CC2549" s="4"/>
      <c r="CD2549" t="inlineStr">
        <is>
          <t>20</t>
        </is>
      </c>
      <c r="CE2549" t="inlineStr">
        <is>
          <t>0</t>
        </is>
      </c>
      <c r="CF2549" t="inlineStr">
        <is>
          <t>Q2-W01</t>
        </is>
      </c>
      <c r="CG2549"/>
      <c r="CH2549"/>
      <c r="CI2549"/>
      <c r="CJ2549" t="inlineStr">
        <is>
          <t>No Paid</t>
        </is>
      </c>
      <c r="CK2549" t="inlineStr">
        <is>
          <t>Not Eligible</t>
        </is>
      </c>
      <c r="CL2549"/>
      <c r="CM2549"/>
    </row>
    <row r="2550" ht="25.5" customHeight="1">
      <c r="A2550" t="inlineStr">
        <is>
          <t>157158</t>
        </is>
      </c>
      <c r="B2550" s="2"/>
      <c r="C2550"/>
      <c r="D2550" s="3">
        <v>46118.43033564815</v>
      </c>
      <c r="E2550" t="inlineStr">
        <is>
          <t>Q2-W01</t>
        </is>
      </c>
      <c r="F2550" t="inlineStr">
        <is>
          <t>Carmen</t>
        </is>
      </c>
      <c r="G2550" t="inlineStr">
        <is>
          <t>Customer</t>
        </is>
      </c>
      <c r="H2550" s="2" t="str">
        <f>=HYPERLINK("https://upbox.ajobthing.my/customer/157158", "https://upbox.ajobthing.my/customer/157158")</f>
        <v>https://upbox.ajobthing.my/customer/157158</v>
      </c>
      <c r="I2550" t="inlineStr">
        <is>
          <t>Decagon Lab &amp; Analytical Testing Sdn Bhd</t>
        </is>
      </c>
      <c r="J2550" t="inlineStr">
        <is>
          <t>Small Fish</t>
        </is>
      </c>
      <c r="K2550" t="inlineStr">
        <is>
          <t>Carmen</t>
        </is>
      </c>
      <c r="L2550" s="4"/>
      <c r="M2550" s="4">
        <v>46118.43067129629</v>
      </c>
      <c r="N2550"/>
      <c r="O2550">
        <v>3888</v>
      </c>
      <c r="P2550" s="4"/>
      <c r="Q2550" s="4">
        <v>46114.72267361111</v>
      </c>
      <c r="R2550"/>
      <c r="S2550">
        <v>0</v>
      </c>
      <c r="T2550" s="4"/>
      <c r="U2550" s="4"/>
      <c r="V2550"/>
      <c r="W2550"/>
      <c r="X2550"/>
      <c r="Y2550" t="inlineStr">
        <is>
          <t>Pending Appointment</t>
        </is>
      </c>
      <c r="Z2550" t="inlineStr">
        <is>
          <t>Hiring Later</t>
        </is>
      </c>
      <c r="AA2550">
        <v>1</v>
      </c>
      <c r="AB2550" t="inlineStr">
        <is>
          <t>No Appointment Made</t>
        </is>
      </c>
      <c r="AC2550"/>
      <c r="AD2550" t="inlineStr">
        <is>
          <t>1 chemist</t>
        </is>
      </c>
      <c r="AE2550"/>
      <c r="AF2550">
        <v>0</v>
      </c>
      <c r="AG2550" s="4"/>
      <c r="AH2550" s="4"/>
      <c r="AI2550">
        <v>0</v>
      </c>
      <c r="AJ2550">
        <v>0</v>
      </c>
      <c r="AK2550" t="inlineStr">
        <is>
          <t>No, I don't need at all</t>
        </is>
      </c>
      <c r="AL2550">
        <v>1</v>
      </c>
      <c r="AM2550" t="inlineStr">
        <is>
          <t>No, I don't need at all</t>
        </is>
      </c>
      <c r="AN2550"/>
      <c r="AO2550" t="inlineStr">
        <is>
          <t>No, I don't need at all</t>
        </is>
      </c>
      <c r="AP2550" t="inlineStr">
        <is>
          <t>Once a year (25%)</t>
        </is>
      </c>
      <c r="AQ2550">
        <v>1</v>
      </c>
      <c r="AR2550" t="inlineStr">
        <is>
          <t>Free Job Portal</t>
        </is>
      </c>
      <c r="AS2550" t="inlineStr">
        <is>
          <t>- Headcount: 1
- Hiring Job Details: 1 chemist
- Hiring Urgency: Hiring Later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Free Job Portal</t>
        </is>
      </c>
      <c r="AT2550">
        <v>100</v>
      </c>
      <c r="AU2550" t="inlineStr">
        <is>
          <t>1.00</t>
        </is>
      </c>
      <c r="AV2550" t="inlineStr">
        <is>
          <t>15</t>
        </is>
      </c>
      <c r="AW2550" t="inlineStr">
        <is>
          <t>0</t>
        </is>
      </c>
      <c r="AX2550" t="inlineStr">
        <is>
          <t>Not Qualified</t>
        </is>
      </c>
      <c r="AY2550" s="4"/>
      <c r="AZ2550"/>
      <c r="BA2550"/>
      <c r="BB2550"/>
      <c r="BC2550" t="inlineStr">
        <is>
          <t>- Headcount: 1
- Hiring Job Details: 1 chemist
- Hiring Urgency: Hiring Later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Free Job Portal</t>
        </is>
      </c>
      <c r="BD2550" s="4">
        <v>46118.45884259259</v>
      </c>
      <c r="BE2550" t="inlineStr">
        <is>
          <t>paid</t>
        </is>
      </c>
      <c r="BF2550"/>
      <c r="BG2550" t="inlineStr">
        <is>
          <t>Reschedule</t>
        </is>
      </c>
      <c r="BH2550" t="inlineStr">
        <is>
          <t>Reagen</t>
        </is>
      </c>
      <c r="BI2550"/>
      <c r="BJ2550" s="4">
        <v>46144.75101851852</v>
      </c>
      <c r="BK2550" s="4">
        <v>44757.473703703705</v>
      </c>
      <c r="BL2550" t="inlineStr">
        <is>
          <t>0.0</t>
        </is>
      </c>
      <c r="BM2550" t="inlineStr">
        <is>
          <t>0.0</t>
        </is>
      </c>
      <c r="BN2550" t="inlineStr">
        <is>
          <t>View Create Job Page V4</t>
        </is>
      </c>
      <c r="BO2550" s="4">
        <v>46114.72765046296</v>
      </c>
      <c r="BP2550">
        <v>165294</v>
      </c>
      <c r="BQ2550">
        <v>119706</v>
      </c>
      <c r="BR2550" t="inlineStr">
        <is>
          <t>Proforma</t>
        </is>
      </c>
      <c r="BS2550" t="inlineStr">
        <is>
          <t>Free Freelance Job</t>
        </is>
      </c>
      <c r="BT2550"/>
      <c r="BU2550"/>
      <c r="BV2550">
        <v>2685461</v>
      </c>
      <c r="BW2550" t="inlineStr">
        <is>
          <t>Customer Inquiry</t>
        </is>
      </c>
      <c r="BX2550"/>
      <c r="BY2550"/>
      <c r="BZ2550" s="4"/>
      <c r="CA2550"/>
      <c r="CB2550"/>
      <c r="CC2550" s="4"/>
      <c r="CD2550" t="inlineStr">
        <is>
          <t>20</t>
        </is>
      </c>
      <c r="CE2550" t="inlineStr">
        <is>
          <t>0</t>
        </is>
      </c>
      <c r="CF2550" t="inlineStr">
        <is>
          <t>Q2-W01</t>
        </is>
      </c>
      <c r="CG2550" t="inlineStr">
        <is>
          <t>Q1-W13</t>
        </is>
      </c>
      <c r="CH2550"/>
      <c r="CI2550"/>
      <c r="CJ2550" t="inlineStr">
        <is>
          <t>No Paid</t>
        </is>
      </c>
      <c r="CK2550" t="inlineStr">
        <is>
          <t>Not Eligible</t>
        </is>
      </c>
      <c r="CL2550"/>
      <c r="CM2550"/>
    </row>
    <row r="2551" ht="25.5" customHeight="1">
      <c r="A2551" t="inlineStr">
        <is>
          <t>192415</t>
        </is>
      </c>
      <c r="B2551" s="2"/>
      <c r="C2551"/>
      <c r="D2551" s="3">
        <v>46118.432534722226</v>
      </c>
      <c r="E2551" t="inlineStr">
        <is>
          <t>Q2-W01</t>
        </is>
      </c>
      <c r="F2551" t="inlineStr">
        <is>
          <t>Dickson</t>
        </is>
      </c>
      <c r="G2551" t="inlineStr">
        <is>
          <t>Customer</t>
        </is>
      </c>
      <c r="H2551" s="2" t="str">
        <f>=HYPERLINK("https://upbox.ajobthing.my/customer/192415", "https://upbox.ajobthing.my/customer/192415")</f>
        <v>https://upbox.ajobthing.my/customer/192415</v>
      </c>
      <c r="I2551" t="inlineStr">
        <is>
          <t>Lkm Furniture Malaysia</t>
        </is>
      </c>
      <c r="J2551" t="inlineStr">
        <is>
          <t>Small Fish</t>
        </is>
      </c>
      <c r="K2551" t="inlineStr">
        <is>
          <t>Dickson</t>
        </is>
      </c>
      <c r="L2551" s="4"/>
      <c r="M2551" s="4">
        <v>46118.43309027778</v>
      </c>
      <c r="N2551"/>
      <c r="O2551">
        <v>3888</v>
      </c>
      <c r="P2551" s="4"/>
      <c r="Q2551" s="4"/>
      <c r="R2551"/>
      <c r="S2551"/>
      <c r="T2551" s="4"/>
      <c r="U2551" s="4"/>
      <c r="V2551"/>
      <c r="W2551"/>
      <c r="X2551"/>
      <c r="Y2551" t="inlineStr">
        <is>
          <t>Pending Appointment</t>
        </is>
      </c>
      <c r="Z2551" t="inlineStr">
        <is>
          <t>Hiring Now</t>
        </is>
      </c>
      <c r="AA2551">
        <v>4</v>
      </c>
      <c r="AB2551" t="inlineStr">
        <is>
          <t>No Appointment Made</t>
        </is>
      </c>
      <c r="AC2551"/>
      <c r="AD2551" t="inlineStr">
        <is>
          <t>1 admin, 3 live hosts</t>
        </is>
      </c>
      <c r="AE2551"/>
      <c r="AF2551"/>
      <c r="AG2551" s="4"/>
      <c r="AH2551" s="4"/>
      <c r="AI2551"/>
      <c r="AJ2551">
        <v>1</v>
      </c>
      <c r="AK2551" t="inlineStr">
        <is>
          <t>No, I don't need at all</t>
        </is>
      </c>
      <c r="AL2551"/>
      <c r="AM2551" t="inlineStr">
        <is>
          <t>No, I don't need at all</t>
        </is>
      </c>
      <c r="AN2551"/>
      <c r="AO2551" t="inlineStr">
        <is>
          <t>No, I don't need at all</t>
        </is>
      </c>
      <c r="AP2551" t="inlineStr">
        <is>
          <t>Once per quarter (75%)</t>
        </is>
      </c>
      <c r="AQ2551"/>
      <c r="AR2551"/>
      <c r="AS2551" t="inlineStr">
        <is>
          <t>- Headcount: 4
- Hiring Job Details: 1 admin, 3 live hosts
- Number of outlets: 1
- Have recruiter team: No, I don't need at all
- Number of recruiter in company: N/A
- Have ATS system: No, I don't need at all
- Have career website: No, I don't need at all
- Current hiring budget: N/A
- Hiring frequency: Once per quarter (75%)
- Whole year budget: N/A
- Whole year number of vacancies: N/A
- External job portal: N/A
- Hiring Urgency: Hiring Now</t>
        </is>
      </c>
      <c r="AT2551">
        <v>95</v>
      </c>
      <c r="AU2551" t="inlineStr">
        <is>
          <t>0.95</t>
        </is>
      </c>
      <c r="AV2551" t="inlineStr">
        <is>
          <t>5</t>
        </is>
      </c>
      <c r="AW2551" t="inlineStr">
        <is>
          <t>0</t>
        </is>
      </c>
      <c r="AX2551" t="inlineStr">
        <is>
          <t>Not Qualified</t>
        </is>
      </c>
      <c r="AY2551" s="4"/>
      <c r="AZ2551"/>
      <c r="BA2551"/>
      <c r="BB2551"/>
      <c r="BC2551" t="inlineStr">
        <is>
          <t>decision pending
will be overseas for the next 2 weeks</t>
        </is>
      </c>
      <c r="BD2551" s="4">
        <v>46125.805972222224</v>
      </c>
      <c r="BE2551"/>
      <c r="BF2551"/>
      <c r="BG2551" t="inlineStr">
        <is>
          <t>Reschedule</t>
        </is>
      </c>
      <c r="BH2551" t="inlineStr">
        <is>
          <t>Edward Hoo</t>
        </is>
      </c>
      <c r="BI2551"/>
      <c r="BJ2551" s="4">
        <v>46144.75256944444</v>
      </c>
      <c r="BK2551" s="4">
        <v>45819.00056712963</v>
      </c>
      <c r="BL2551" t="inlineStr">
        <is>
          <t>0.0</t>
        </is>
      </c>
      <c r="BM2551" t="inlineStr">
        <is>
          <t>0.0</t>
        </is>
      </c>
      <c r="BN2551" t="inlineStr">
        <is>
          <t>View Create Job Page</t>
        </is>
      </c>
      <c r="BO2551" s="4">
        <v>45819.00965277778</v>
      </c>
      <c r="BP2551">
        <v>165300</v>
      </c>
      <c r="BQ2551"/>
      <c r="BR2551"/>
      <c r="BS2551"/>
      <c r="BT2551"/>
      <c r="BU2551"/>
      <c r="BV2551">
        <v>2702339</v>
      </c>
      <c r="BW2551" t="inlineStr">
        <is>
          <t>Follow Up : Decision Pending</t>
        </is>
      </c>
      <c r="BX2551"/>
      <c r="BY2551"/>
      <c r="BZ2551" s="4"/>
      <c r="CA2551"/>
      <c r="CB2551"/>
      <c r="CC2551" s="4"/>
      <c r="CD2551" t="inlineStr">
        <is>
          <t>5</t>
        </is>
      </c>
      <c r="CE2551" t="inlineStr">
        <is>
          <t>0</t>
        </is>
      </c>
      <c r="CF2551" t="inlineStr">
        <is>
          <t>Q2-W01</t>
        </is>
      </c>
      <c r="CG2551"/>
      <c r="CH2551"/>
      <c r="CI2551"/>
      <c r="CJ2551" t="inlineStr">
        <is>
          <t>No Paid</t>
        </is>
      </c>
      <c r="CK2551" t="inlineStr">
        <is>
          <t>Not Eligible</t>
        </is>
      </c>
      <c r="CL2551"/>
      <c r="CM2551"/>
    </row>
    <row r="2552" ht="25.5" customHeight="1">
      <c r="A2552" t="inlineStr">
        <is>
          <t>202840</t>
        </is>
      </c>
      <c r="B2552" s="2"/>
      <c r="C2552"/>
      <c r="D2552" s="3">
        <v>46118.43361111111</v>
      </c>
      <c r="E2552" t="inlineStr">
        <is>
          <t>Q2-W01</t>
        </is>
      </c>
      <c r="F2552" t="inlineStr">
        <is>
          <t>Keegan</t>
        </is>
      </c>
      <c r="G2552" t="inlineStr">
        <is>
          <t>Customer</t>
        </is>
      </c>
      <c r="H2552" s="2" t="str">
        <f>=HYPERLINK("https://upbox.ajobthing.my/customer/202840", "https://upbox.ajobthing.my/customer/202840")</f>
        <v>https://upbox.ajobthing.my/customer/202840</v>
      </c>
      <c r="I2552" t="inlineStr">
        <is>
          <t>The Haiwan Enterprise</t>
        </is>
      </c>
      <c r="J2552" t="inlineStr">
        <is>
          <t>Small Fish</t>
        </is>
      </c>
      <c r="K2552" t="inlineStr">
        <is>
          <t>Keegan</t>
        </is>
      </c>
      <c r="L2552" s="4"/>
      <c r="M2552" s="4">
        <v>46118.433703703704</v>
      </c>
      <c r="N2552"/>
      <c r="O2552">
        <v>3672</v>
      </c>
      <c r="P2552" s="4"/>
      <c r="Q2552" s="4"/>
      <c r="R2552"/>
      <c r="S2552"/>
      <c r="T2552" s="4"/>
      <c r="U2552" s="4"/>
      <c r="V2552"/>
      <c r="W2552"/>
      <c r="X2552"/>
      <c r="Y2552" t="inlineStr">
        <is>
          <t>Pending Appointment</t>
        </is>
      </c>
      <c r="Z2552" t="inlineStr">
        <is>
          <t>Hiring Now</t>
        </is>
      </c>
      <c r="AA2552">
        <v>1</v>
      </c>
      <c r="AB2552" t="inlineStr">
        <is>
          <t>No Appointment Made</t>
        </is>
      </c>
      <c r="AC2552"/>
      <c r="AD2552" t="inlineStr">
        <is>
          <t xml:space="preserve">1. Nurse </t>
        </is>
      </c>
      <c r="AE2552"/>
      <c r="AF2552"/>
      <c r="AG2552" s="4"/>
      <c r="AH2552" s="4"/>
      <c r="AI2552"/>
      <c r="AJ2552">
        <v>1</v>
      </c>
      <c r="AK2552" t="inlineStr">
        <is>
          <t>No, I don't need at all</t>
        </is>
      </c>
      <c r="AL2552">
        <v>0</v>
      </c>
      <c r="AM2552" t="inlineStr">
        <is>
          <t>No, I don't need at all</t>
        </is>
      </c>
      <c r="AN2552"/>
      <c r="AO2552" t="inlineStr">
        <is>
          <t>No, I don't need at all</t>
        </is>
      </c>
      <c r="AP2552" t="inlineStr">
        <is>
          <t>Once per quarter (75%)</t>
        </is>
      </c>
      <c r="AQ2552"/>
      <c r="AR2552" t="inlineStr">
        <is>
          <t>Did not use any job portal</t>
        </is>
      </c>
      <c r="AS2552" t="inlineStr">
        <is>
          <t>- Headcount: 1
- Hiring Job Details: 1 Nurse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52">
        <v>100</v>
      </c>
      <c r="AU2552" t="inlineStr">
        <is>
          <t>1.00</t>
        </is>
      </c>
      <c r="AV2552" t="inlineStr">
        <is>
          <t>5</t>
        </is>
      </c>
      <c r="AW2552" t="inlineStr">
        <is>
          <t>0</t>
        </is>
      </c>
      <c r="AX2552" t="inlineStr">
        <is>
          <t>Not Qualified</t>
        </is>
      </c>
      <c r="AY2552" s="4"/>
      <c r="AZ2552"/>
      <c r="BA2552"/>
      <c r="BB2552"/>
      <c r="BC2552" t="inlineStr">
        <is>
          <t>lost due to hiring plan on hold</t>
        </is>
      </c>
      <c r="BD2552" s="4">
        <v>46121.67931712963</v>
      </c>
      <c r="BE2552"/>
      <c r="BF2552"/>
      <c r="BG2552" t="inlineStr">
        <is>
          <t>Reschedule</t>
        </is>
      </c>
      <c r="BH2552" t="inlineStr">
        <is>
          <t>Edward Hoo</t>
        </is>
      </c>
      <c r="BI2552"/>
      <c r="BJ2552" s="4">
        <v>46144.75414351852</v>
      </c>
      <c r="BK2552" s="4">
        <v>46118.10590277778</v>
      </c>
      <c r="BL2552" t="inlineStr">
        <is>
          <t>0.0</t>
        </is>
      </c>
      <c r="BM2552" t="inlineStr">
        <is>
          <t>0.0</t>
        </is>
      </c>
      <c r="BN2552" t="inlineStr">
        <is>
          <t>View Company Page</t>
        </is>
      </c>
      <c r="BO2552" s="4">
        <v>46139.624710648146</v>
      </c>
      <c r="BP2552">
        <v>165302</v>
      </c>
      <c r="BQ2552"/>
      <c r="BR2552"/>
      <c r="BS2552"/>
      <c r="BT2552"/>
      <c r="BU2552"/>
      <c r="BV2552">
        <v>2696600</v>
      </c>
      <c r="BW2552" t="inlineStr">
        <is>
          <t>Follow Up : Lost - Free Portal</t>
        </is>
      </c>
      <c r="BX2552"/>
      <c r="BY2552"/>
      <c r="BZ2552" s="4"/>
      <c r="CA2552"/>
      <c r="CB2552"/>
      <c r="CC2552" s="4"/>
      <c r="CD2552" t="inlineStr">
        <is>
          <t>5</t>
        </is>
      </c>
      <c r="CE2552" t="inlineStr">
        <is>
          <t>0</t>
        </is>
      </c>
      <c r="CF2552" t="inlineStr">
        <is>
          <t>Q2-W01</t>
        </is>
      </c>
      <c r="CG2552"/>
      <c r="CH2552"/>
      <c r="CI2552"/>
      <c r="CJ2552" t="inlineStr">
        <is>
          <t>No Paid</t>
        </is>
      </c>
      <c r="CK2552" t="inlineStr">
        <is>
          <t>Not Eligible</t>
        </is>
      </c>
      <c r="CL2552"/>
      <c r="CM2552"/>
    </row>
    <row r="2553" ht="25.5" customHeight="1">
      <c r="A2553" t="inlineStr">
        <is>
          <t>202464</t>
        </is>
      </c>
      <c r="B2553" s="2"/>
      <c r="C2553"/>
      <c r="D2553" s="3">
        <v>46118.43817129629</v>
      </c>
      <c r="E2553" t="inlineStr">
        <is>
          <t>Q2-W01</t>
        </is>
      </c>
      <c r="F2553" t="inlineStr">
        <is>
          <t>Janice Yap</t>
        </is>
      </c>
      <c r="G2553" t="inlineStr">
        <is>
          <t>Customer</t>
        </is>
      </c>
      <c r="H2553" s="2" t="str">
        <f>=HYPERLINK("https://upbox.ajobthing.my/customer/202464", "https://upbox.ajobthing.my/customer/202464")</f>
        <v>https://upbox.ajobthing.my/customer/202464</v>
      </c>
      <c r="I2553" t="inlineStr">
        <is>
          <t>Pusat Tuisyen Aspirasi Cahaya</t>
        </is>
      </c>
      <c r="J2553" t="inlineStr">
        <is>
          <t>Small Fish</t>
        </is>
      </c>
      <c r="K2553" t="inlineStr">
        <is>
          <t>Janice</t>
        </is>
      </c>
      <c r="L2553" s="4"/>
      <c r="M2553" s="4">
        <v>46118.43311342593</v>
      </c>
      <c r="N2553"/>
      <c r="O2553">
        <v>3672</v>
      </c>
      <c r="P2553" s="4"/>
      <c r="Q2553" s="4"/>
      <c r="R2553"/>
      <c r="S2553"/>
      <c r="T2553" s="4"/>
      <c r="U2553" s="4"/>
      <c r="V2553"/>
      <c r="W2553"/>
      <c r="X2553"/>
      <c r="Y2553" t="inlineStr">
        <is>
          <t>Pending Appointment</t>
        </is>
      </c>
      <c r="Z2553" t="inlineStr">
        <is>
          <t>Hiring Now</t>
        </is>
      </c>
      <c r="AA2553">
        <v>1</v>
      </c>
      <c r="AB2553" t="inlineStr">
        <is>
          <t>No Appointment Made</t>
        </is>
      </c>
      <c r="AC2553"/>
      <c r="AD2553" t="inlineStr">
        <is>
          <t>1 tuisyen teacher</t>
        </is>
      </c>
      <c r="AE2553"/>
      <c r="AF2553">
        <v>0</v>
      </c>
      <c r="AG2553" s="4"/>
      <c r="AH2553" s="4"/>
      <c r="AI2553">
        <v>0</v>
      </c>
      <c r="AJ2553"/>
      <c r="AK2553" t="inlineStr">
        <is>
          <t>No, I don't need at all</t>
        </is>
      </c>
      <c r="AL2553">
        <v>0</v>
      </c>
      <c r="AM2553" t="inlineStr">
        <is>
          <t>No, I don't need at all</t>
        </is>
      </c>
      <c r="AN2553"/>
      <c r="AO2553" t="inlineStr">
        <is>
          <t>No, I don't need at all</t>
        </is>
      </c>
      <c r="AP2553" t="inlineStr">
        <is>
          <t>Once a year (25%)</t>
        </is>
      </c>
      <c r="AQ2553">
        <v>1</v>
      </c>
      <c r="AR2553" t="inlineStr">
        <is>
          <t>Did not use any job portal</t>
        </is>
      </c>
      <c r="AS2553" t="inlineStr">
        <is>
          <t>- Headcount: 1
- Hiring Job Details: 1 tuisyen teacher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53">
        <v>105</v>
      </c>
      <c r="AU2553" t="inlineStr">
        <is>
          <t>1.05</t>
        </is>
      </c>
      <c r="AV2553" t="inlineStr">
        <is>
          <t>15</t>
        </is>
      </c>
      <c r="AW2553" t="inlineStr">
        <is>
          <t>0</t>
        </is>
      </c>
      <c r="AX2553" t="inlineStr">
        <is>
          <t>Not Qualified</t>
        </is>
      </c>
      <c r="AY2553" s="4"/>
      <c r="AZ2553"/>
      <c r="BA2553"/>
      <c r="BB2553"/>
      <c r="BC2553" t="inlineStr">
        <is>
          <t>No need // if need will apply on website</t>
        </is>
      </c>
      <c r="BD2553" s="4">
        <v>46120.44222222222</v>
      </c>
      <c r="BE2553"/>
      <c r="BF2553"/>
      <c r="BG2553" t="inlineStr">
        <is>
          <t>Reschedule</t>
        </is>
      </c>
      <c r="BH2553" t="inlineStr">
        <is>
          <t>Yee Hang</t>
        </is>
      </c>
      <c r="BI2553" t="inlineStr">
        <is>
          <t>Education / Training</t>
        </is>
      </c>
      <c r="BJ2553" s="4">
        <v>46144.75405092593</v>
      </c>
      <c r="BK2553" s="4">
        <v>46107.722546296296</v>
      </c>
      <c r="BL2553" t="inlineStr">
        <is>
          <t>0.0</t>
        </is>
      </c>
      <c r="BM2553" t="inlineStr">
        <is>
          <t>0.0</t>
        </is>
      </c>
      <c r="BN2553" t="inlineStr">
        <is>
          <t>View Company Page</t>
        </is>
      </c>
      <c r="BO2553" s="4">
        <v>46118.429768518516</v>
      </c>
      <c r="BP2553">
        <v>165301</v>
      </c>
      <c r="BQ2553"/>
      <c r="BR2553"/>
      <c r="BS2553"/>
      <c r="BT2553"/>
      <c r="BU2553"/>
      <c r="BV2553">
        <v>2691472</v>
      </c>
      <c r="BW2553" t="inlineStr">
        <is>
          <t>Follow Up : Budget Concern</t>
        </is>
      </c>
      <c r="BX2553"/>
      <c r="BY2553"/>
      <c r="BZ2553" s="4"/>
      <c r="CA2553"/>
      <c r="CB2553"/>
      <c r="CC2553" s="4"/>
      <c r="CD2553" t="inlineStr">
        <is>
          <t>20</t>
        </is>
      </c>
      <c r="CE2553" t="inlineStr">
        <is>
          <t>0</t>
        </is>
      </c>
      <c r="CF2553" t="inlineStr">
        <is>
          <t>Q2-W01</t>
        </is>
      </c>
      <c r="CG2553"/>
      <c r="CH2553"/>
      <c r="CI2553"/>
      <c r="CJ2553" t="inlineStr">
        <is>
          <t>No Paid</t>
        </is>
      </c>
      <c r="CK2553" t="inlineStr">
        <is>
          <t>Not Eligible</t>
        </is>
      </c>
      <c r="CL2553"/>
      <c r="CM2553"/>
    </row>
    <row r="2554" ht="25.5" customHeight="1">
      <c r="A2554" t="inlineStr">
        <is>
          <t>202837</t>
        </is>
      </c>
      <c r="B2554" s="2"/>
      <c r="C2554"/>
      <c r="D2554" s="3">
        <v>46118.44181712963</v>
      </c>
      <c r="E2554" t="inlineStr">
        <is>
          <t>Q2-W01</t>
        </is>
      </c>
      <c r="F2554" t="inlineStr">
        <is>
          <t>Evan</t>
        </is>
      </c>
      <c r="G2554" t="inlineStr">
        <is>
          <t>Customer</t>
        </is>
      </c>
      <c r="H2554" s="2" t="str">
        <f>=HYPERLINK("https://upbox.ajobthing.my/customer/202837", "https://upbox.ajobthing.my/customer/202837")</f>
        <v>https://upbox.ajobthing.my/customer/202837</v>
      </c>
      <c r="I2554" t="inlineStr">
        <is>
          <t>Dctx Group Sdn Bhd</t>
        </is>
      </c>
      <c r="J2554" t="inlineStr">
        <is>
          <t>Small Fish</t>
        </is>
      </c>
      <c r="K2554" t="inlineStr">
        <is>
          <t>Evan</t>
        </is>
      </c>
      <c r="L2554" s="4"/>
      <c r="M2554" s="4">
        <v>46118.441296296296</v>
      </c>
      <c r="N2554"/>
      <c r="O2554">
        <v>3888</v>
      </c>
      <c r="P2554" s="4"/>
      <c r="Q2554" s="4"/>
      <c r="R2554"/>
      <c r="S2554"/>
      <c r="T2554" s="4"/>
      <c r="U2554" s="4"/>
      <c r="V2554"/>
      <c r="W2554"/>
      <c r="X2554"/>
      <c r="Y2554" t="inlineStr">
        <is>
          <t>Pending Appointment</t>
        </is>
      </c>
      <c r="Z2554" t="inlineStr">
        <is>
          <t>Hiring Now</t>
        </is>
      </c>
      <c r="AA2554">
        <v>1</v>
      </c>
      <c r="AB2554" t="inlineStr">
        <is>
          <t>No Appointment Made</t>
        </is>
      </c>
      <c r="AC2554"/>
      <c r="AD2554" t="inlineStr">
        <is>
          <t>1 chef, all base in Puncak Alam</t>
        </is>
      </c>
      <c r="AE2554"/>
      <c r="AF2554">
        <v>1</v>
      </c>
      <c r="AG2554" s="4"/>
      <c r="AH2554" s="4"/>
      <c r="AI2554">
        <v>1</v>
      </c>
      <c r="AJ2554">
        <v>1</v>
      </c>
      <c r="AK2554" t="inlineStr">
        <is>
          <t>No, I don't need at all</t>
        </is>
      </c>
      <c r="AL2554">
        <v>0</v>
      </c>
      <c r="AM2554" t="inlineStr">
        <is>
          <t>No, I don't need at all</t>
        </is>
      </c>
      <c r="AN2554"/>
      <c r="AO2554" t="inlineStr">
        <is>
          <t>No, I don't need at all</t>
        </is>
      </c>
      <c r="AP2554" t="inlineStr">
        <is>
          <t>Once a year (25%)</t>
        </is>
      </c>
      <c r="AQ2554">
        <v>1</v>
      </c>
      <c r="AR2554" t="inlineStr">
        <is>
          <t>Did not use any job portal</t>
        </is>
      </c>
      <c r="AS2554" t="inlineStr">
        <is>
          <t>- Headcount: 1
- Hiring Job Details: 1 chef, all based in Puncak Alam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2554">
        <v>115</v>
      </c>
      <c r="AU2554" t="inlineStr">
        <is>
          <t>1.15</t>
        </is>
      </c>
      <c r="AV2554" t="inlineStr">
        <is>
          <t>15</t>
        </is>
      </c>
      <c r="AW2554" t="inlineStr">
        <is>
          <t>0</t>
        </is>
      </c>
      <c r="AX2554" t="inlineStr">
        <is>
          <t>Not Qualified</t>
        </is>
      </c>
      <c r="AY2554" s="4"/>
      <c r="AZ2554"/>
      <c r="BA2554"/>
      <c r="BB2554"/>
      <c r="BC2554" t="inlineStr">
        <is>
          <t>will go thru ref</t>
        </is>
      </c>
      <c r="BD2554" s="4">
        <v>46120.63875</v>
      </c>
      <c r="BE2554"/>
      <c r="BF2554"/>
      <c r="BG2554" t="inlineStr">
        <is>
          <t>Reschedule</t>
        </is>
      </c>
      <c r="BH2554" t="inlineStr">
        <is>
          <t>Edward Hoo</t>
        </is>
      </c>
      <c r="BI2554"/>
      <c r="BJ2554" s="4">
        <v>46144.75414351852</v>
      </c>
      <c r="BK2554" s="4">
        <v>46117.9065162037</v>
      </c>
      <c r="BL2554" t="inlineStr">
        <is>
          <t>0.0</t>
        </is>
      </c>
      <c r="BM2554" t="inlineStr">
        <is>
          <t>0.0</t>
        </is>
      </c>
      <c r="BN2554" t="inlineStr">
        <is>
          <t>User Visit(Logged In)</t>
        </is>
      </c>
      <c r="BO2554" s="4">
        <v>46117.906539351854</v>
      </c>
      <c r="BP2554">
        <v>165303</v>
      </c>
      <c r="BQ2554"/>
      <c r="BR2554"/>
      <c r="BS2554"/>
      <c r="BT2554"/>
      <c r="BU2554"/>
      <c r="BV2554">
        <v>2693023</v>
      </c>
      <c r="BW2554" t="inlineStr">
        <is>
          <t>Follow Up : Budget Concern</t>
        </is>
      </c>
      <c r="BX2554"/>
      <c r="BY2554"/>
      <c r="BZ2554" s="4"/>
      <c r="CA2554"/>
      <c r="CB2554"/>
      <c r="CC2554" s="4"/>
      <c r="CD2554" t="inlineStr">
        <is>
          <t>20</t>
        </is>
      </c>
      <c r="CE2554" t="inlineStr">
        <is>
          <t>0</t>
        </is>
      </c>
      <c r="CF2554" t="inlineStr">
        <is>
          <t>Q2-W01</t>
        </is>
      </c>
      <c r="CG2554"/>
      <c r="CH2554"/>
      <c r="CI2554"/>
      <c r="CJ2554" t="inlineStr">
        <is>
          <t>No Paid</t>
        </is>
      </c>
      <c r="CK2554" t="inlineStr">
        <is>
          <t>Not Eligible</t>
        </is>
      </c>
      <c r="CL2554"/>
      <c r="CM2554"/>
    </row>
    <row r="2555" ht="25.5" customHeight="1">
      <c r="A2555" t="inlineStr">
        <is>
          <t>4251430</t>
        </is>
      </c>
      <c r="B2555" s="2"/>
      <c r="C2555"/>
      <c r="D2555" s="3">
        <v>46118.445914351854</v>
      </c>
      <c r="E2555" t="inlineStr">
        <is>
          <t>Q2-W01</t>
        </is>
      </c>
      <c r="F2555" t="inlineStr">
        <is>
          <t>Lucas</t>
        </is>
      </c>
      <c r="G2555" t="inlineStr">
        <is>
          <t>Lead</t>
        </is>
      </c>
      <c r="H2555" s="2" t="str">
        <f>=HYPERLINK("https://upbox.ajobthing.my/leads/4251430", "https://upbox.ajobthing.my/leads/4251430")</f>
        <v>https://upbox.ajobthing.my/leads/4251430</v>
      </c>
      <c r="I2555" t="inlineStr">
        <is>
          <t>KT HOME MART SDN BHD</t>
        </is>
      </c>
      <c r="J2555" t="inlineStr">
        <is>
          <t>Small Fish</t>
        </is>
      </c>
      <c r="K2555" t="inlineStr">
        <is>
          <t>Lucas</t>
        </is>
      </c>
      <c r="L2555" s="4"/>
      <c r="M2555" s="4">
        <v>46118.44503472222</v>
      </c>
      <c r="N2555"/>
      <c r="O2555">
        <v>3888</v>
      </c>
      <c r="P2555" s="4"/>
      <c r="Q2555" s="4"/>
      <c r="R2555"/>
      <c r="S2555"/>
      <c r="T2555" s="4"/>
      <c r="U2555" s="4"/>
      <c r="V2555"/>
      <c r="W2555"/>
      <c r="X2555"/>
      <c r="Y2555" t="inlineStr">
        <is>
          <t>Pending Appointment</t>
        </is>
      </c>
      <c r="Z2555" t="inlineStr">
        <is>
          <t>Hiring Now</t>
        </is>
      </c>
      <c r="AA2555">
        <v>1</v>
      </c>
      <c r="AB2555" t="inlineStr">
        <is>
          <t>No Appointment Made</t>
        </is>
      </c>
      <c r="AC2555"/>
      <c r="AD2555" t="inlineStr">
        <is>
          <t>1 purchaser</t>
        </is>
      </c>
      <c r="AE2555"/>
      <c r="AF2555">
        <v>0</v>
      </c>
      <c r="AG2555" s="4"/>
      <c r="AH2555" s="4"/>
      <c r="AI2555">
        <v>0</v>
      </c>
      <c r="AJ2555">
        <v>0</v>
      </c>
      <c r="AK2555" t="inlineStr">
        <is>
          <t>No, I don't need at all</t>
        </is>
      </c>
      <c r="AL2555">
        <v>0</v>
      </c>
      <c r="AM2555" t="inlineStr">
        <is>
          <t>No, I don't need at all</t>
        </is>
      </c>
      <c r="AN2555"/>
      <c r="AO2555" t="inlineStr">
        <is>
          <t>No, I don't need at all</t>
        </is>
      </c>
      <c r="AP2555" t="inlineStr">
        <is>
          <t>Once a year (25%)</t>
        </is>
      </c>
      <c r="AQ2555">
        <v>1</v>
      </c>
      <c r="AR2555" t="inlineStr">
        <is>
          <t>Did not use any job portal</t>
        </is>
      </c>
      <c r="AS2555" t="inlineStr">
        <is>
          <t>- Headcount: 1
- Hiring Job Details: 1 purchaser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55">
        <v>115</v>
      </c>
      <c r="AU2555" t="inlineStr">
        <is>
          <t>1.15</t>
        </is>
      </c>
      <c r="AV2555" t="inlineStr">
        <is>
          <t>15</t>
        </is>
      </c>
      <c r="AW2555" t="inlineStr">
        <is>
          <t>0</t>
        </is>
      </c>
      <c r="AX2555" t="inlineStr">
        <is>
          <t>Not Qualified</t>
        </is>
      </c>
      <c r="AY2555" s="4"/>
      <c r="AZ2555"/>
      <c r="BA2555"/>
      <c r="BB2555"/>
      <c r="BC2555"/>
      <c r="BD2555" s="4"/>
      <c r="BE2555"/>
      <c r="BF2555"/>
      <c r="BG2555" t="inlineStr">
        <is>
          <t>Reschedule</t>
        </is>
      </c>
      <c r="BH2555" t="inlineStr">
        <is>
          <t>Yee Hang</t>
        </is>
      </c>
      <c r="BI2555"/>
      <c r="BJ2555" s="4">
        <v>46144.75571759259</v>
      </c>
      <c r="BK2555" s="4">
        <v>46118.42934027778</v>
      </c>
      <c r="BL2555" t="inlineStr">
        <is>
          <t>0.0</t>
        </is>
      </c>
      <c r="BM2555" t="inlineStr">
        <is>
          <t>0.0</t>
        </is>
      </c>
      <c r="BN2555"/>
      <c r="BO2555" s="4"/>
      <c r="BP2555">
        <v>165306</v>
      </c>
      <c r="BQ2555"/>
      <c r="BR2555"/>
      <c r="BS2555"/>
      <c r="BT2555"/>
      <c r="BU2555"/>
      <c r="BV2555"/>
      <c r="BW2555"/>
      <c r="BX2555"/>
      <c r="BY2555"/>
      <c r="BZ2555" s="4"/>
      <c r="CA2555"/>
      <c r="CB2555"/>
      <c r="CC2555" s="4"/>
      <c r="CD2555" t="inlineStr">
        <is>
          <t>20</t>
        </is>
      </c>
      <c r="CE2555" t="inlineStr">
        <is>
          <t>0</t>
        </is>
      </c>
      <c r="CF2555" t="inlineStr">
        <is>
          <t>Q2-W01</t>
        </is>
      </c>
      <c r="CG2555"/>
      <c r="CH2555"/>
      <c r="CI2555"/>
      <c r="CJ2555" t="inlineStr">
        <is>
          <t>No Paid</t>
        </is>
      </c>
      <c r="CK2555" t="inlineStr">
        <is>
          <t>Not Eligible</t>
        </is>
      </c>
      <c r="CL2555"/>
      <c r="CM2555"/>
    </row>
    <row r="2556" ht="25.5" customHeight="1">
      <c r="A2556" t="inlineStr">
        <is>
          <t>202808</t>
        </is>
      </c>
      <c r="B2556" s="2"/>
      <c r="C2556"/>
      <c r="D2556" s="3">
        <v>46118.447604166664</v>
      </c>
      <c r="E2556" t="inlineStr">
        <is>
          <t>Q2-W01</t>
        </is>
      </c>
      <c r="F2556" t="inlineStr">
        <is>
          <t>Chia Yee</t>
        </is>
      </c>
      <c r="G2556" t="inlineStr">
        <is>
          <t>Customer</t>
        </is>
      </c>
      <c r="H2556" s="2" t="str">
        <f>=HYPERLINK("https://upbox.ajobthing.my/customer/202808", "https://upbox.ajobthing.my/customer/202808")</f>
        <v>https://upbox.ajobthing.my/customer/202808</v>
      </c>
      <c r="I2556" t="inlineStr">
        <is>
          <t>Cloverstyle Home Mart Sdn. Bhd.</t>
        </is>
      </c>
      <c r="J2556" t="inlineStr">
        <is>
          <t>Small Fish</t>
        </is>
      </c>
      <c r="K2556" t="inlineStr">
        <is>
          <t>Chia Yee</t>
        </is>
      </c>
      <c r="L2556" s="4"/>
      <c r="M2556" s="4">
        <v>46118.4477662037</v>
      </c>
      <c r="N2556"/>
      <c r="O2556">
        <v>4968</v>
      </c>
      <c r="P2556" s="4"/>
      <c r="Q2556" s="4">
        <v>46115.797106481485</v>
      </c>
      <c r="R2556"/>
      <c r="S2556">
        <v>0</v>
      </c>
      <c r="T2556" s="4"/>
      <c r="U2556" s="4"/>
      <c r="V2556"/>
      <c r="W2556"/>
      <c r="X2556"/>
      <c r="Y2556" t="inlineStr">
        <is>
          <t>Pending Appointment</t>
        </is>
      </c>
      <c r="Z2556" t="inlineStr">
        <is>
          <t>Continuous Hiring</t>
        </is>
      </c>
      <c r="AA2556">
        <v>5</v>
      </c>
      <c r="AB2556" t="inlineStr">
        <is>
          <t>No Appointment Made</t>
        </is>
      </c>
      <c r="AC2556"/>
      <c r="AD2556" t="inlineStr">
        <is>
          <t>5 Live host</t>
        </is>
      </c>
      <c r="AE2556"/>
      <c r="AF2556">
        <v>9</v>
      </c>
      <c r="AG2556" s="4"/>
      <c r="AH2556" s="4"/>
      <c r="AI2556">
        <v>0</v>
      </c>
      <c r="AJ2556">
        <v>0</v>
      </c>
      <c r="AK2556" t="inlineStr">
        <is>
          <t>No, I don't need at all</t>
        </is>
      </c>
      <c r="AL2556">
        <v>1</v>
      </c>
      <c r="AM2556" t="inlineStr">
        <is>
          <t>No, I don't need at all</t>
        </is>
      </c>
      <c r="AN2556"/>
      <c r="AO2556" t="inlineStr">
        <is>
          <t>No, I don't need at all</t>
        </is>
      </c>
      <c r="AP2556" t="inlineStr">
        <is>
          <t>Once a year (25%)</t>
        </is>
      </c>
      <c r="AQ2556">
        <v>5</v>
      </c>
      <c r="AR2556" t="inlineStr">
        <is>
          <t>Did not use any job portal</t>
        </is>
      </c>
      <c r="AS2556" t="inlineStr">
        <is>
          <t>- Headcount: 5
- Hiring Job Details: 5 Live host
- Hiring Urgency: Continuous Hiring
- Number of outlets: 0
- Have recruiter team: No, I don't need at all
- Number of recruiter in company: 1
- Have ATS system: No, I don't need at all
- Have career website: No, I don't need at all
- Current hiring budget: RM9
- Whole year budget: RM0.00
- Whole year number of vacancies: 5
- Hiring frequency: Once a year (25%)
- External job portal: Did not use any job portal</t>
        </is>
      </c>
      <c r="AT2556">
        <v>105</v>
      </c>
      <c r="AU2556" t="inlineStr">
        <is>
          <t>1.05</t>
        </is>
      </c>
      <c r="AV2556" t="inlineStr">
        <is>
          <t>20</t>
        </is>
      </c>
      <c r="AW2556" t="inlineStr">
        <is>
          <t>0</t>
        </is>
      </c>
      <c r="AX2556" t="inlineStr">
        <is>
          <t>Not Qualified</t>
        </is>
      </c>
      <c r="AY2556" s="4"/>
      <c r="AZ2556"/>
      <c r="BA2556"/>
      <c r="BB2556"/>
      <c r="BC2556" t="inlineStr">
        <is>
          <t>Called, no ans. WA</t>
        </is>
      </c>
      <c r="BD2556" s="4">
        <v>46119.42422453704</v>
      </c>
      <c r="BE2556" t="inlineStr">
        <is>
          <t>paid</t>
        </is>
      </c>
      <c r="BF2556"/>
      <c r="BG2556" t="inlineStr">
        <is>
          <t>Reschedule</t>
        </is>
      </c>
      <c r="BH2556" t="inlineStr">
        <is>
          <t>Reagen</t>
        </is>
      </c>
      <c r="BI2556" t="inlineStr">
        <is>
          <t>Retail / Merchandise</t>
        </is>
      </c>
      <c r="BJ2556" s="4">
        <v>46144.75412037037</v>
      </c>
      <c r="BK2556" s="4">
        <v>46115.7966087963</v>
      </c>
      <c r="BL2556" t="inlineStr">
        <is>
          <t>0.0</t>
        </is>
      </c>
      <c r="BM2556" t="inlineStr">
        <is>
          <t>0.0</t>
        </is>
      </c>
      <c r="BN2556" t="inlineStr">
        <is>
          <t>User Login</t>
        </is>
      </c>
      <c r="BO2556" s="4">
        <v>46116.84908564815</v>
      </c>
      <c r="BP2556">
        <v>165310</v>
      </c>
      <c r="BQ2556">
        <v>119975</v>
      </c>
      <c r="BR2556" t="inlineStr">
        <is>
          <t>Proforma</t>
        </is>
      </c>
      <c r="BS2556" t="inlineStr">
        <is>
          <t>Free Freelance Job</t>
        </is>
      </c>
      <c r="BT2556"/>
      <c r="BU2556"/>
      <c r="BV2556">
        <v>2688102</v>
      </c>
      <c r="BW2556" t="inlineStr">
        <is>
          <t>No Answer : Voicemail - WA sent to customer</t>
        </is>
      </c>
      <c r="BX2556"/>
      <c r="BY2556"/>
      <c r="BZ2556" s="4"/>
      <c r="CA2556"/>
      <c r="CB2556"/>
      <c r="CC2556" s="4"/>
      <c r="CD2556" t="inlineStr">
        <is>
          <t>30</t>
        </is>
      </c>
      <c r="CE2556" t="inlineStr">
        <is>
          <t>0</t>
        </is>
      </c>
      <c r="CF2556" t="inlineStr">
        <is>
          <t>Q2-W01</t>
        </is>
      </c>
      <c r="CG2556" t="inlineStr">
        <is>
          <t>Q2-W01</t>
        </is>
      </c>
      <c r="CH2556"/>
      <c r="CI2556"/>
      <c r="CJ2556" t="inlineStr">
        <is>
          <t>No Paid</t>
        </is>
      </c>
      <c r="CK2556" t="inlineStr">
        <is>
          <t>Not Eligible</t>
        </is>
      </c>
      <c r="CL2556"/>
      <c r="CM2556"/>
    </row>
    <row r="2557" ht="25.5" customHeight="1">
      <c r="A2557" t="inlineStr">
        <is>
          <t>4251425</t>
        </is>
      </c>
      <c r="B2557" s="2"/>
      <c r="C2557"/>
      <c r="D2557" s="3">
        <v>46118.45261574074</v>
      </c>
      <c r="E2557" t="inlineStr">
        <is>
          <t>Q2-W01</t>
        </is>
      </c>
      <c r="F2557" t="inlineStr">
        <is>
          <t>Luqman</t>
        </is>
      </c>
      <c r="G2557" t="inlineStr">
        <is>
          <t>Lead</t>
        </is>
      </c>
      <c r="H2557" s="2" t="str">
        <f>=HYPERLINK("https://upbox.ajobthing.my/leads/4251425", "https://upbox.ajobthing.my/leads/4251425")</f>
        <v>https://upbox.ajobthing.my/leads/4251425</v>
      </c>
      <c r="I2557" t="inlineStr">
        <is>
          <t>Johor Bahru</t>
        </is>
      </c>
      <c r="J2557" t="inlineStr">
        <is>
          <t>Small Fish</t>
        </is>
      </c>
      <c r="K2557" t="inlineStr">
        <is>
          <t>Luqman</t>
        </is>
      </c>
      <c r="L2557" s="4"/>
      <c r="M2557" s="4">
        <v>46118.452997685185</v>
      </c>
      <c r="N2557"/>
      <c r="O2557">
        <v>1296</v>
      </c>
      <c r="P2557" s="4"/>
      <c r="Q2557" s="4"/>
      <c r="R2557"/>
      <c r="S2557"/>
      <c r="T2557" s="4"/>
      <c r="U2557" s="4"/>
      <c r="V2557"/>
      <c r="W2557"/>
      <c r="X2557"/>
      <c r="Y2557" t="inlineStr">
        <is>
          <t>Pending Appointment</t>
        </is>
      </c>
      <c r="Z2557" t="inlineStr">
        <is>
          <t>Hiring Later</t>
        </is>
      </c>
      <c r="AA2557">
        <v>1</v>
      </c>
      <c r="AB2557" t="inlineStr">
        <is>
          <t>No Appointment Made</t>
        </is>
      </c>
      <c r="AC2557"/>
      <c r="AD2557" t="inlineStr">
        <is>
          <t>1. Marketing Executive</t>
        </is>
      </c>
      <c r="AE2557"/>
      <c r="AF2557">
        <v>1200</v>
      </c>
      <c r="AG2557" s="4"/>
      <c r="AH2557" s="4"/>
      <c r="AI2557">
        <v>1200</v>
      </c>
      <c r="AJ2557"/>
      <c r="AK2557" t="inlineStr">
        <is>
          <t>Yes, I have</t>
        </is>
      </c>
      <c r="AL2557">
        <v>1</v>
      </c>
      <c r="AM2557" t="inlineStr">
        <is>
          <t>No, I don't need at all</t>
        </is>
      </c>
      <c r="AN2557"/>
      <c r="AO2557" t="inlineStr">
        <is>
          <t>Yes, I have</t>
        </is>
      </c>
      <c r="AP2557" t="inlineStr">
        <is>
          <t>Once a year (25%)</t>
        </is>
      </c>
      <c r="AQ2557">
        <v>1</v>
      </c>
      <c r="AR2557" t="inlineStr">
        <is>
          <t>Free Job Portal</t>
        </is>
      </c>
      <c r="AS2557" t="inlineStr">
        <is>
          <t>- Headcount: 1
- Hiring Job Details: 1 Marketing Executive
- Hiring Urgency: Hiring Later
- Number of outlets: None
- Have recruiter team: Yes
- Number of recruiter in company: 1
- Have ATS system: No, I don't need at all
- Have career website: Yes
- Current hiring budget: RM1,200
- Whole year budget: RM1,200.00
- Whole year number of vacancies: 1
- Hiring frequency: Once a year (25%)
- External job portal: Free Job Portal</t>
        </is>
      </c>
      <c r="AT2557">
        <v>115</v>
      </c>
      <c r="AU2557" t="inlineStr">
        <is>
          <t>1.15</t>
        </is>
      </c>
      <c r="AV2557" t="inlineStr">
        <is>
          <t>15</t>
        </is>
      </c>
      <c r="AW2557" t="inlineStr">
        <is>
          <t>0</t>
        </is>
      </c>
      <c r="AX2557" t="inlineStr">
        <is>
          <t>Not Qualified</t>
        </is>
      </c>
      <c r="AY2557" s="4"/>
      <c r="AZ2557"/>
      <c r="BA2557"/>
      <c r="BB2557"/>
      <c r="BC2557"/>
      <c r="BD2557" s="4"/>
      <c r="BE2557"/>
      <c r="BF2557"/>
      <c r="BG2557" t="inlineStr">
        <is>
          <t>Reschedule</t>
        </is>
      </c>
      <c r="BH2557" t="inlineStr">
        <is>
          <t>Edward Hoo</t>
        </is>
      </c>
      <c r="BI2557"/>
      <c r="BJ2557" s="4">
        <v>46144.75571759259</v>
      </c>
      <c r="BK2557" s="4">
        <v>46118.42932870371</v>
      </c>
      <c r="BL2557" t="inlineStr">
        <is>
          <t>0.0</t>
        </is>
      </c>
      <c r="BM2557" t="inlineStr">
        <is>
          <t>0.0</t>
        </is>
      </c>
      <c r="BN2557"/>
      <c r="BO2557" s="4"/>
      <c r="BP2557">
        <v>165314</v>
      </c>
      <c r="BQ2557"/>
      <c r="BR2557"/>
      <c r="BS2557"/>
      <c r="BT2557"/>
      <c r="BU2557"/>
      <c r="BV2557"/>
      <c r="BW2557"/>
      <c r="BX2557"/>
      <c r="BY2557"/>
      <c r="BZ2557" s="4"/>
      <c r="CA2557"/>
      <c r="CB2557"/>
      <c r="CC2557" s="4"/>
      <c r="CD2557" t="inlineStr">
        <is>
          <t>20</t>
        </is>
      </c>
      <c r="CE2557" t="inlineStr">
        <is>
          <t>0</t>
        </is>
      </c>
      <c r="CF2557" t="inlineStr">
        <is>
          <t>Q2-W01</t>
        </is>
      </c>
      <c r="CG2557"/>
      <c r="CH2557"/>
      <c r="CI2557"/>
      <c r="CJ2557" t="inlineStr">
        <is>
          <t>No Paid</t>
        </is>
      </c>
      <c r="CK2557" t="inlineStr">
        <is>
          <t>Not Eligible</t>
        </is>
      </c>
      <c r="CL2557"/>
      <c r="CM2557"/>
    </row>
    <row r="2558" ht="25.5" customHeight="1">
      <c r="A2558" t="inlineStr">
        <is>
          <t>4241310</t>
        </is>
      </c>
      <c r="B2558" s="2"/>
      <c r="C2558"/>
      <c r="D2558" s="3">
        <v>46118.452997685185</v>
      </c>
      <c r="E2558" t="inlineStr">
        <is>
          <t>Q2-W01</t>
        </is>
      </c>
      <c r="F2558" t="inlineStr">
        <is>
          <t>Chia Yee</t>
        </is>
      </c>
      <c r="G2558" t="inlineStr">
        <is>
          <t>Lead</t>
        </is>
      </c>
      <c r="H2558" s="2" t="str">
        <f>=HYPERLINK("https://upbox.ajobthing.my/leads/4241310", "https://upbox.ajobthing.my/leads/4241310")</f>
        <v>https://upbox.ajobthing.my/leads/4241310</v>
      </c>
      <c r="I2558" t="inlineStr">
        <is>
          <t>Envirtech Air Conditioner Industries Sdn Bhd</t>
        </is>
      </c>
      <c r="J2558" t="inlineStr">
        <is>
          <t>Small Fish</t>
        </is>
      </c>
      <c r="K2558" t="inlineStr">
        <is>
          <t>Chia Yee</t>
        </is>
      </c>
      <c r="L2558" s="4"/>
      <c r="M2558" s="4">
        <v>46118.45353009259</v>
      </c>
      <c r="N2558"/>
      <c r="O2558">
        <v>1296</v>
      </c>
      <c r="P2558" s="4"/>
      <c r="Q2558" s="4"/>
      <c r="R2558"/>
      <c r="S2558"/>
      <c r="T2558" s="4"/>
      <c r="U2558" s="4"/>
      <c r="V2558"/>
      <c r="W2558"/>
      <c r="X2558"/>
      <c r="Y2558" t="inlineStr">
        <is>
          <t>Pending Appointment</t>
        </is>
      </c>
      <c r="Z2558" t="inlineStr">
        <is>
          <t>Hiring Now</t>
        </is>
      </c>
      <c r="AA2558">
        <v>1</v>
      </c>
      <c r="AB2558" t="inlineStr">
        <is>
          <t>No Appointment Made</t>
        </is>
      </c>
      <c r="AC2558"/>
      <c r="AD2558" t="inlineStr">
        <is>
          <t xml:space="preserve">1 Account admin clerk </t>
        </is>
      </c>
      <c r="AE2558"/>
      <c r="AF2558">
        <v>0</v>
      </c>
      <c r="AG2558" s="4"/>
      <c r="AH2558" s="4"/>
      <c r="AI2558">
        <v>0</v>
      </c>
      <c r="AJ2558">
        <v>0</v>
      </c>
      <c r="AK2558" t="inlineStr">
        <is>
          <t>No, I don't need at all</t>
        </is>
      </c>
      <c r="AL2558">
        <v>1</v>
      </c>
      <c r="AM2558" t="inlineStr">
        <is>
          <t>No, I don't need at all</t>
        </is>
      </c>
      <c r="AN2558"/>
      <c r="AO2558" t="inlineStr">
        <is>
          <t>No, I don't need at all</t>
        </is>
      </c>
      <c r="AP2558" t="inlineStr">
        <is>
          <t>Once a year (25%)</t>
        </is>
      </c>
      <c r="AQ2558">
        <v>1</v>
      </c>
      <c r="AR2558" t="inlineStr">
        <is>
          <t>Did not use any job portal</t>
        </is>
      </c>
      <c r="AS2558" t="inlineStr">
        <is>
          <t>- Headcount: 1
- Hiring Job Details: 1 Account admin clerk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2558">
        <v>110</v>
      </c>
      <c r="AU2558" t="inlineStr">
        <is>
          <t>1.10</t>
        </is>
      </c>
      <c r="AV2558" t="inlineStr">
        <is>
          <t>15</t>
        </is>
      </c>
      <c r="AW2558" t="inlineStr">
        <is>
          <t>0</t>
        </is>
      </c>
      <c r="AX2558" t="inlineStr">
        <is>
          <t>Not Qualified</t>
        </is>
      </c>
      <c r="AY2558" s="4"/>
      <c r="AZ2558"/>
      <c r="BA2558"/>
      <c r="BB2558"/>
      <c r="BC2558"/>
      <c r="BD2558" s="4"/>
      <c r="BE2558"/>
      <c r="BF2558"/>
      <c r="BG2558" t="inlineStr">
        <is>
          <t>Reschedule</t>
        </is>
      </c>
      <c r="BH2558" t="inlineStr">
        <is>
          <t>Reagen</t>
        </is>
      </c>
      <c r="BI2558"/>
      <c r="BJ2558" s="4">
        <v>46144.75571759259</v>
      </c>
      <c r="BK2558" s="4">
        <v>46115.82053240741</v>
      </c>
      <c r="BL2558" t="inlineStr">
        <is>
          <t>0.0</t>
        </is>
      </c>
      <c r="BM2558" t="inlineStr">
        <is>
          <t>0.0</t>
        </is>
      </c>
      <c r="BN2558"/>
      <c r="BO2558" s="4"/>
      <c r="BP2558">
        <v>165317</v>
      </c>
      <c r="BQ2558"/>
      <c r="BR2558"/>
      <c r="BS2558"/>
      <c r="BT2558"/>
      <c r="BU2558"/>
      <c r="BV2558"/>
      <c r="BW2558"/>
      <c r="BX2558"/>
      <c r="BY2558"/>
      <c r="BZ2558" s="4"/>
      <c r="CA2558"/>
      <c r="CB2558"/>
      <c r="CC2558" s="4"/>
      <c r="CD2558" t="inlineStr">
        <is>
          <t>20</t>
        </is>
      </c>
      <c r="CE2558" t="inlineStr">
        <is>
          <t>0</t>
        </is>
      </c>
      <c r="CF2558" t="inlineStr">
        <is>
          <t>Q2-W01</t>
        </is>
      </c>
      <c r="CG2558"/>
      <c r="CH2558"/>
      <c r="CI2558"/>
      <c r="CJ2558" t="inlineStr">
        <is>
          <t>No Paid</t>
        </is>
      </c>
      <c r="CK2558" t="inlineStr">
        <is>
          <t>Not Eligible</t>
        </is>
      </c>
      <c r="CL2558"/>
      <c r="CM2558"/>
    </row>
    <row r="2559" ht="25.5" customHeight="1">
      <c r="A2559" t="inlineStr">
        <is>
          <t>4251556</t>
        </is>
      </c>
      <c r="B2559" s="2"/>
      <c r="C2559"/>
      <c r="D2559" s="3">
        <v>46118.46024305555</v>
      </c>
      <c r="E2559" t="inlineStr">
        <is>
          <t>Q2-W01</t>
        </is>
      </c>
      <c r="F2559" t="inlineStr">
        <is>
          <t>Lucas</t>
        </is>
      </c>
      <c r="G2559" t="inlineStr">
        <is>
          <t>Lead</t>
        </is>
      </c>
      <c r="H2559" s="2" t="str">
        <f>=HYPERLINK("https://upbox.ajobthing.my/leads/4251556", "https://upbox.ajobthing.my/leads/4251556")</f>
        <v>https://upbox.ajobthing.my/leads/4251556</v>
      </c>
      <c r="I2559" t="inlineStr">
        <is>
          <t>NOVAFLOW ENGINEERING SDN BHD</t>
        </is>
      </c>
      <c r="J2559" t="inlineStr">
        <is>
          <t>Small Fish</t>
        </is>
      </c>
      <c r="K2559" t="inlineStr">
        <is>
          <t>Lucas</t>
        </is>
      </c>
      <c r="L2559" s="4"/>
      <c r="M2559" s="4">
        <v>46118.45824074074</v>
      </c>
      <c r="N2559"/>
      <c r="O2559">
        <v>3888</v>
      </c>
      <c r="P2559" s="4"/>
      <c r="Q2559" s="4"/>
      <c r="R2559"/>
      <c r="S2559"/>
      <c r="T2559" s="4"/>
      <c r="U2559" s="4"/>
      <c r="V2559"/>
      <c r="W2559"/>
      <c r="X2559"/>
      <c r="Y2559" t="inlineStr">
        <is>
          <t>Pending Appointment</t>
        </is>
      </c>
      <c r="Z2559" t="inlineStr">
        <is>
          <t>Hiring Now</t>
        </is>
      </c>
      <c r="AA2559">
        <v>1</v>
      </c>
      <c r="AB2559" t="inlineStr">
        <is>
          <t>No Appointment Made</t>
        </is>
      </c>
      <c r="AC2559"/>
      <c r="AD2559" t="inlineStr">
        <is>
          <t>1 account manager</t>
        </is>
      </c>
      <c r="AE2559"/>
      <c r="AF2559">
        <v>0</v>
      </c>
      <c r="AG2559" s="4"/>
      <c r="AH2559" s="4"/>
      <c r="AI2559">
        <v>0</v>
      </c>
      <c r="AJ2559">
        <v>0</v>
      </c>
      <c r="AK2559" t="inlineStr">
        <is>
          <t>No, I don't need at all</t>
        </is>
      </c>
      <c r="AL2559">
        <v>0</v>
      </c>
      <c r="AM2559" t="inlineStr">
        <is>
          <t>No, I don't need at all</t>
        </is>
      </c>
      <c r="AN2559"/>
      <c r="AO2559" t="inlineStr">
        <is>
          <t>No, I don't need at all</t>
        </is>
      </c>
      <c r="AP2559" t="inlineStr">
        <is>
          <t>Once a year (25%)</t>
        </is>
      </c>
      <c r="AQ2559">
        <v>1</v>
      </c>
      <c r="AR2559" t="inlineStr">
        <is>
          <t>Did not use any job portal</t>
        </is>
      </c>
      <c r="AS2559" t="inlineStr">
        <is>
          <t>- Headcount: 1
- Hiring Job Details: 1 account manager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59">
        <v>105</v>
      </c>
      <c r="AU2559" t="inlineStr">
        <is>
          <t>1.05</t>
        </is>
      </c>
      <c r="AV2559" t="inlineStr">
        <is>
          <t>15</t>
        </is>
      </c>
      <c r="AW2559" t="inlineStr">
        <is>
          <t>0</t>
        </is>
      </c>
      <c r="AX2559" t="inlineStr">
        <is>
          <t>Not Qualified</t>
        </is>
      </c>
      <c r="AY2559" s="4"/>
      <c r="AZ2559"/>
      <c r="BA2559"/>
      <c r="BB2559"/>
      <c r="BC2559"/>
      <c r="BD2559" s="4"/>
      <c r="BE2559"/>
      <c r="BF2559"/>
      <c r="BG2559" t="inlineStr">
        <is>
          <t>Reschedule</t>
        </is>
      </c>
      <c r="BH2559" t="inlineStr">
        <is>
          <t>Yee Hang</t>
        </is>
      </c>
      <c r="BI2559"/>
      <c r="BJ2559" s="4">
        <v>46144.75571759259</v>
      </c>
      <c r="BK2559" s="4">
        <v>46118.44730324074</v>
      </c>
      <c r="BL2559" t="inlineStr">
        <is>
          <t>0.0</t>
        </is>
      </c>
      <c r="BM2559" t="inlineStr">
        <is>
          <t>0.0</t>
        </is>
      </c>
      <c r="BN2559"/>
      <c r="BO2559" s="4"/>
      <c r="BP2559">
        <v>165321</v>
      </c>
      <c r="BQ2559"/>
      <c r="BR2559"/>
      <c r="BS2559"/>
      <c r="BT2559"/>
      <c r="BU2559"/>
      <c r="BV2559"/>
      <c r="BW2559"/>
      <c r="BX2559"/>
      <c r="BY2559"/>
      <c r="BZ2559" s="4"/>
      <c r="CA2559"/>
      <c r="CB2559"/>
      <c r="CC2559" s="4"/>
      <c r="CD2559" t="inlineStr">
        <is>
          <t>20</t>
        </is>
      </c>
      <c r="CE2559" t="inlineStr">
        <is>
          <t>0</t>
        </is>
      </c>
      <c r="CF2559" t="inlineStr">
        <is>
          <t>Q2-W01</t>
        </is>
      </c>
      <c r="CG2559"/>
      <c r="CH2559"/>
      <c r="CI2559"/>
      <c r="CJ2559" t="inlineStr">
        <is>
          <t>No Paid</t>
        </is>
      </c>
      <c r="CK2559" t="inlineStr">
        <is>
          <t>Not Eligible</t>
        </is>
      </c>
      <c r="CL2559"/>
      <c r="CM2559"/>
    </row>
    <row r="2560" ht="25.5" customHeight="1">
      <c r="A2560" t="inlineStr">
        <is>
          <t>175500</t>
        </is>
      </c>
      <c r="B2560" s="2"/>
      <c r="C2560"/>
      <c r="D2560" s="3">
        <v>46118.46040509259</v>
      </c>
      <c r="E2560" t="inlineStr">
        <is>
          <t>Q2-W01</t>
        </is>
      </c>
      <c r="F2560" t="inlineStr">
        <is>
          <t>Luqman</t>
        </is>
      </c>
      <c r="G2560" t="inlineStr">
        <is>
          <t>Customer</t>
        </is>
      </c>
      <c r="H2560" s="2" t="str">
        <f>=HYPERLINK("https://upbox.ajobthing.my/customer/175500", "https://upbox.ajobthing.my/customer/175500")</f>
        <v>https://upbox.ajobthing.my/customer/175500</v>
      </c>
      <c r="I2560" t="inlineStr">
        <is>
          <t>UNF. Engineering &amp; Coating Sdn Bhd</t>
        </is>
      </c>
      <c r="J2560" t="inlineStr">
        <is>
          <t>Small Fish</t>
        </is>
      </c>
      <c r="K2560" t="inlineStr">
        <is>
          <t>Luqman</t>
        </is>
      </c>
      <c r="L2560" s="4"/>
      <c r="M2560" s="4">
        <v>46118.4606712963</v>
      </c>
      <c r="N2560"/>
      <c r="O2560">
        <v>3888</v>
      </c>
      <c r="P2560" s="4"/>
      <c r="Q2560" s="4"/>
      <c r="R2560"/>
      <c r="S2560"/>
      <c r="T2560" s="4"/>
      <c r="U2560" s="4"/>
      <c r="V2560"/>
      <c r="W2560"/>
      <c r="X2560"/>
      <c r="Y2560" t="inlineStr">
        <is>
          <t>Pending Appointment</t>
        </is>
      </c>
      <c r="Z2560" t="inlineStr">
        <is>
          <t>Hiring Later</t>
        </is>
      </c>
      <c r="AA2560">
        <v>1</v>
      </c>
      <c r="AB2560" t="inlineStr">
        <is>
          <t>No Appointment Made</t>
        </is>
      </c>
      <c r="AC2560"/>
      <c r="AD2560" t="inlineStr">
        <is>
          <t>1. Admin Assistant</t>
        </is>
      </c>
      <c r="AE2560"/>
      <c r="AF2560">
        <v>1200</v>
      </c>
      <c r="AG2560" s="4"/>
      <c r="AH2560" s="4"/>
      <c r="AI2560">
        <v>1200</v>
      </c>
      <c r="AJ2560"/>
      <c r="AK2560" t="inlineStr">
        <is>
          <t>No, I don't need at all</t>
        </is>
      </c>
      <c r="AL2560">
        <v>1</v>
      </c>
      <c r="AM2560" t="inlineStr">
        <is>
          <t>No, I don't need at all</t>
        </is>
      </c>
      <c r="AN2560"/>
      <c r="AO2560" t="inlineStr">
        <is>
          <t>No, I don't need at all</t>
        </is>
      </c>
      <c r="AP2560" t="inlineStr">
        <is>
          <t>Once a year (25%)</t>
        </is>
      </c>
      <c r="AQ2560">
        <v>2</v>
      </c>
      <c r="AR2560" t="inlineStr">
        <is>
          <t>Free Job Portal</t>
        </is>
      </c>
      <c r="AS2560" t="inlineStr">
        <is>
          <t>- Headcount: 1
- Hiring Job Details: 1 Admin Assistant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is>
      </c>
      <c r="AT2560">
        <v>110</v>
      </c>
      <c r="AU2560" t="inlineStr">
        <is>
          <t>1.10</t>
        </is>
      </c>
      <c r="AV2560" t="inlineStr">
        <is>
          <t>15</t>
        </is>
      </c>
      <c r="AW2560" t="inlineStr">
        <is>
          <t>0</t>
        </is>
      </c>
      <c r="AX2560" t="inlineStr">
        <is>
          <t>Not Qualified</t>
        </is>
      </c>
      <c r="AY2560" s="4"/>
      <c r="AZ2560"/>
      <c r="BA2560"/>
      <c r="BB2560"/>
      <c r="BC2560" t="inlineStr">
        <is>
          <t>Lost</t>
        </is>
      </c>
      <c r="BD2560" s="4">
        <v>46125.70931712963</v>
      </c>
      <c r="BE2560"/>
      <c r="BF2560"/>
      <c r="BG2560" t="inlineStr">
        <is>
          <t>Reschedule</t>
        </is>
      </c>
      <c r="BH2560" t="inlineStr">
        <is>
          <t>Edward Hoo</t>
        </is>
      </c>
      <c r="BI2560"/>
      <c r="BJ2560" s="4">
        <v>46144.751608796294</v>
      </c>
      <c r="BK2560" s="4">
        <v>45341.66280092593</v>
      </c>
      <c r="BL2560" t="inlineStr">
        <is>
          <t>0.0</t>
        </is>
      </c>
      <c r="BM2560" t="inlineStr">
        <is>
          <t>0.0</t>
        </is>
      </c>
      <c r="BN2560" t="inlineStr">
        <is>
          <t>View Create Job Page</t>
        </is>
      </c>
      <c r="BO2560" s="4">
        <v>45341.68840277778</v>
      </c>
      <c r="BP2560">
        <v>165323</v>
      </c>
      <c r="BQ2560"/>
      <c r="BR2560"/>
      <c r="BS2560"/>
      <c r="BT2560"/>
      <c r="BU2560"/>
      <c r="BV2560">
        <v>2701920</v>
      </c>
      <c r="BW2560" t="inlineStr">
        <is>
          <t>Follow Up : Budget Concern</t>
        </is>
      </c>
      <c r="BX2560"/>
      <c r="BY2560"/>
      <c r="BZ2560" s="4"/>
      <c r="CA2560"/>
      <c r="CB2560"/>
      <c r="CC2560" s="4"/>
      <c r="CD2560" t="inlineStr">
        <is>
          <t>20</t>
        </is>
      </c>
      <c r="CE2560" t="inlineStr">
        <is>
          <t>0</t>
        </is>
      </c>
      <c r="CF2560" t="inlineStr">
        <is>
          <t>Q2-W01</t>
        </is>
      </c>
      <c r="CG2560"/>
      <c r="CH2560"/>
      <c r="CI2560"/>
      <c r="CJ2560" t="inlineStr">
        <is>
          <t>No Paid</t>
        </is>
      </c>
      <c r="CK2560" t="inlineStr">
        <is>
          <t>Not Eligible</t>
        </is>
      </c>
      <c r="CL2560"/>
      <c r="CM2560"/>
    </row>
    <row r="2561" ht="25.5" customHeight="1">
      <c r="A2561" t="inlineStr">
        <is>
          <t>4250059</t>
        </is>
      </c>
      <c r="B2561" s="2"/>
      <c r="C2561"/>
      <c r="D2561" s="3">
        <v>46118.462233796294</v>
      </c>
      <c r="E2561" t="inlineStr">
        <is>
          <t>Q2-W01</t>
        </is>
      </c>
      <c r="F2561" t="inlineStr">
        <is>
          <t>Keegan</t>
        </is>
      </c>
      <c r="G2561" t="inlineStr">
        <is>
          <t>Lead</t>
        </is>
      </c>
      <c r="H2561" s="2" t="str">
        <f>=HYPERLINK("https://upbox.ajobthing.my/leads/4250059", "https://upbox.ajobthing.my/leads/4250059")</f>
        <v>https://upbox.ajobthing.my/leads/4250059</v>
      </c>
      <c r="I2561" t="inlineStr">
        <is>
          <t>teckseong</t>
        </is>
      </c>
      <c r="J2561" t="inlineStr">
        <is>
          <t>Small Fish</t>
        </is>
      </c>
      <c r="K2561" t="inlineStr">
        <is>
          <t>Keegan</t>
        </is>
      </c>
      <c r="L2561" s="4"/>
      <c r="M2561" s="4">
        <v>46118.46163194445</v>
      </c>
      <c r="N2561"/>
      <c r="O2561">
        <v>3888</v>
      </c>
      <c r="P2561" s="4"/>
      <c r="Q2561" s="4"/>
      <c r="R2561"/>
      <c r="S2561"/>
      <c r="T2561" s="4"/>
      <c r="U2561" s="4"/>
      <c r="V2561"/>
      <c r="W2561"/>
      <c r="X2561"/>
      <c r="Y2561" t="inlineStr">
        <is>
          <t>Pending Appointment</t>
        </is>
      </c>
      <c r="Z2561" t="inlineStr">
        <is>
          <t>Hiring Now</t>
        </is>
      </c>
      <c r="AA2561">
        <v>1</v>
      </c>
      <c r="AB2561" t="inlineStr">
        <is>
          <t>No Appointment Made</t>
        </is>
      </c>
      <c r="AC2561"/>
      <c r="AD2561" t="inlineStr">
        <is>
          <t xml:space="preserve">1. Sales </t>
        </is>
      </c>
      <c r="AE2561"/>
      <c r="AF2561"/>
      <c r="AG2561" s="4"/>
      <c r="AH2561" s="4"/>
      <c r="AI2561"/>
      <c r="AJ2561">
        <v>1</v>
      </c>
      <c r="AK2561" t="inlineStr">
        <is>
          <t>No, I don't need at all</t>
        </is>
      </c>
      <c r="AL2561">
        <v>0</v>
      </c>
      <c r="AM2561" t="inlineStr">
        <is>
          <t>No, I don't need at all</t>
        </is>
      </c>
      <c r="AN2561"/>
      <c r="AO2561" t="inlineStr">
        <is>
          <t>No, I don't need at all</t>
        </is>
      </c>
      <c r="AP2561" t="inlineStr">
        <is>
          <t>Once per quarter (75%)</t>
        </is>
      </c>
      <c r="AQ2561"/>
      <c r="AR2561" t="inlineStr">
        <is>
          <t>Did not use any job portal</t>
        </is>
      </c>
      <c r="AS2561" t="inlineStr">
        <is>
          <t>- Headcount: 1
- Hiring Job Details: 1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61">
        <v>95</v>
      </c>
      <c r="AU2561" t="inlineStr">
        <is>
          <t>0.95</t>
        </is>
      </c>
      <c r="AV2561" t="inlineStr">
        <is>
          <t>5</t>
        </is>
      </c>
      <c r="AW2561" t="inlineStr">
        <is>
          <t>0</t>
        </is>
      </c>
      <c r="AX2561" t="inlineStr">
        <is>
          <t>Not Qualified</t>
        </is>
      </c>
      <c r="AY2561" s="4"/>
      <c r="AZ2561"/>
      <c r="BA2561"/>
      <c r="BB2561"/>
      <c r="BC2561"/>
      <c r="BD2561" s="4"/>
      <c r="BE2561"/>
      <c r="BF2561"/>
      <c r="BG2561" t="inlineStr">
        <is>
          <t>Reschedule</t>
        </is>
      </c>
      <c r="BH2561" t="inlineStr">
        <is>
          <t>Edward Hoo</t>
        </is>
      </c>
      <c r="BI2561"/>
      <c r="BJ2561" s="4">
        <v>46144.75571759259</v>
      </c>
      <c r="BK2561" s="4">
        <v>46117.74599537037</v>
      </c>
      <c r="BL2561" t="inlineStr">
        <is>
          <t>0.0</t>
        </is>
      </c>
      <c r="BM2561" t="inlineStr">
        <is>
          <t>0.0</t>
        </is>
      </c>
      <c r="BN2561"/>
      <c r="BO2561" s="4"/>
      <c r="BP2561">
        <v>165327</v>
      </c>
      <c r="BQ2561"/>
      <c r="BR2561"/>
      <c r="BS2561"/>
      <c r="BT2561"/>
      <c r="BU2561"/>
      <c r="BV2561"/>
      <c r="BW2561"/>
      <c r="BX2561"/>
      <c r="BY2561"/>
      <c r="BZ2561" s="4"/>
      <c r="CA2561"/>
      <c r="CB2561"/>
      <c r="CC2561" s="4"/>
      <c r="CD2561" t="inlineStr">
        <is>
          <t>5</t>
        </is>
      </c>
      <c r="CE2561" t="inlineStr">
        <is>
          <t>0</t>
        </is>
      </c>
      <c r="CF2561" t="inlineStr">
        <is>
          <t>Q2-W01</t>
        </is>
      </c>
      <c r="CG2561"/>
      <c r="CH2561"/>
      <c r="CI2561"/>
      <c r="CJ2561" t="inlineStr">
        <is>
          <t>No Paid</t>
        </is>
      </c>
      <c r="CK2561" t="inlineStr">
        <is>
          <t>Not Eligible</t>
        </is>
      </c>
      <c r="CL2561"/>
      <c r="CM2561"/>
    </row>
    <row r="2562" ht="25.5" customHeight="1">
      <c r="A2562" t="inlineStr">
        <is>
          <t>4239124</t>
        </is>
      </c>
      <c r="B2562" s="2"/>
      <c r="C2562"/>
      <c r="D2562" s="3">
        <v>46118.46892361111</v>
      </c>
      <c r="E2562" t="inlineStr">
        <is>
          <t>Q2-W01</t>
        </is>
      </c>
      <c r="F2562" t="inlineStr">
        <is>
          <t>Luqman</t>
        </is>
      </c>
      <c r="G2562" t="inlineStr">
        <is>
          <t>Lead</t>
        </is>
      </c>
      <c r="H2562" s="2" t="str">
        <f>=HYPERLINK("https://upbox.ajobthing.my/leads/4239124", "https://upbox.ajobthing.my/leads/4239124")</f>
        <v>https://upbox.ajobthing.my/leads/4239124</v>
      </c>
      <c r="I2562" t="inlineStr">
        <is>
          <t>DUDORA Early Childhood Development Center</t>
        </is>
      </c>
      <c r="J2562" t="inlineStr">
        <is>
          <t>Small Fish</t>
        </is>
      </c>
      <c r="K2562" t="inlineStr">
        <is>
          <t>Luqman</t>
        </is>
      </c>
      <c r="L2562" s="4"/>
      <c r="M2562" s="4">
        <v>46118.47025462963</v>
      </c>
      <c r="N2562"/>
      <c r="O2562">
        <v>1512</v>
      </c>
      <c r="P2562" s="4"/>
      <c r="Q2562" s="4"/>
      <c r="R2562"/>
      <c r="S2562"/>
      <c r="T2562" s="4"/>
      <c r="U2562" s="4"/>
      <c r="V2562"/>
      <c r="W2562"/>
      <c r="X2562"/>
      <c r="Y2562" t="inlineStr">
        <is>
          <t>Pending Appointment</t>
        </is>
      </c>
      <c r="Z2562" t="inlineStr">
        <is>
          <t>Hiring Now</t>
        </is>
      </c>
      <c r="AA2562">
        <v>1</v>
      </c>
      <c r="AB2562" t="inlineStr">
        <is>
          <t>No Appointment Made</t>
        </is>
      </c>
      <c r="AC2562"/>
      <c r="AD2562" t="inlineStr">
        <is>
          <t xml:space="preserve">1. Teacher </t>
        </is>
      </c>
      <c r="AE2562"/>
      <c r="AF2562">
        <v>1500</v>
      </c>
      <c r="AG2562" s="4"/>
      <c r="AH2562" s="4"/>
      <c r="AI2562">
        <v>1500</v>
      </c>
      <c r="AJ2562"/>
      <c r="AK2562" t="inlineStr">
        <is>
          <t>No, I don't need at all</t>
        </is>
      </c>
      <c r="AL2562">
        <v>1</v>
      </c>
      <c r="AM2562" t="inlineStr">
        <is>
          <t>No, I don't need at all</t>
        </is>
      </c>
      <c r="AN2562"/>
      <c r="AO2562" t="inlineStr">
        <is>
          <t>No, I don't need at all</t>
        </is>
      </c>
      <c r="AP2562" t="inlineStr">
        <is>
          <t>Once a year (25%)</t>
        </is>
      </c>
      <c r="AQ2562">
        <v>1</v>
      </c>
      <c r="AR2562" t="inlineStr">
        <is>
          <t>Free Job Portal</t>
        </is>
      </c>
      <c r="AS2562" t="inlineStr">
        <is>
          <t>- Headcount: 1
- Hiring Job Details: 1 Teacher
- Hiring Urgency: Hiring Now
- Number of outlets: N/A
- Have recruiter team: No, I don't need at all
- Number of recruiter in company: 1
- Have ATS system: No, I don't need at all
- Have career website: No, I don't need at all
- Current hiring budget: RM1,500
- Whole year budget: RM1,500.00
- Whole year number of vacancies: 1
- Hiring frequency: Once a year (25%)
- External job portal: Free Job Portal</t>
        </is>
      </c>
      <c r="AT2562">
        <v>120</v>
      </c>
      <c r="AU2562" t="inlineStr">
        <is>
          <t>1.20</t>
        </is>
      </c>
      <c r="AV2562" t="inlineStr">
        <is>
          <t>15</t>
        </is>
      </c>
      <c r="AW2562" t="inlineStr">
        <is>
          <t>0</t>
        </is>
      </c>
      <c r="AX2562" t="inlineStr">
        <is>
          <t>Not Qualified</t>
        </is>
      </c>
      <c r="AY2562" s="4"/>
      <c r="AZ2562"/>
      <c r="BA2562"/>
      <c r="BB2562"/>
      <c r="BC2562"/>
      <c r="BD2562" s="4"/>
      <c r="BE2562"/>
      <c r="BF2562"/>
      <c r="BG2562" t="inlineStr">
        <is>
          <t>Reschedule</t>
        </is>
      </c>
      <c r="BH2562" t="inlineStr">
        <is>
          <t>Edward Hoo</t>
        </is>
      </c>
      <c r="BI2562"/>
      <c r="BJ2562" s="4">
        <v>46144.75571759259</v>
      </c>
      <c r="BK2562" s="4">
        <v>46115.63582175926</v>
      </c>
      <c r="BL2562" t="inlineStr">
        <is>
          <t>0.0</t>
        </is>
      </c>
      <c r="BM2562" t="inlineStr">
        <is>
          <t>0.0</t>
        </is>
      </c>
      <c r="BN2562"/>
      <c r="BO2562" s="4"/>
      <c r="BP2562">
        <v>165333</v>
      </c>
      <c r="BQ2562"/>
      <c r="BR2562"/>
      <c r="BS2562"/>
      <c r="BT2562"/>
      <c r="BU2562"/>
      <c r="BV2562"/>
      <c r="BW2562"/>
      <c r="BX2562"/>
      <c r="BY2562"/>
      <c r="BZ2562" s="4"/>
      <c r="CA2562"/>
      <c r="CB2562"/>
      <c r="CC2562" s="4"/>
      <c r="CD2562" t="inlineStr">
        <is>
          <t>20</t>
        </is>
      </c>
      <c r="CE2562" t="inlineStr">
        <is>
          <t>0</t>
        </is>
      </c>
      <c r="CF2562" t="inlineStr">
        <is>
          <t>Q2-W01</t>
        </is>
      </c>
      <c r="CG2562"/>
      <c r="CH2562"/>
      <c r="CI2562"/>
      <c r="CJ2562" t="inlineStr">
        <is>
          <t>No Paid</t>
        </is>
      </c>
      <c r="CK2562" t="inlineStr">
        <is>
          <t>Not Eligible</t>
        </is>
      </c>
      <c r="CL2562"/>
      <c r="CM2562"/>
    </row>
    <row r="2563" ht="25.5" customHeight="1">
      <c r="A2563" t="inlineStr">
        <is>
          <t>4251599</t>
        </is>
      </c>
      <c r="B2563" s="2"/>
      <c r="C2563"/>
      <c r="D2563" s="3">
        <v>46118.47295138889</v>
      </c>
      <c r="E2563" t="inlineStr">
        <is>
          <t>Q2-W01</t>
        </is>
      </c>
      <c r="F2563" t="inlineStr">
        <is>
          <t>Eugene</t>
        </is>
      </c>
      <c r="G2563" t="inlineStr">
        <is>
          <t>Lead</t>
        </is>
      </c>
      <c r="H2563" s="2" t="str">
        <f>=HYPERLINK("https://upbox.ajobthing.my/leads/4251599", "https://upbox.ajobthing.my/leads/4251599")</f>
        <v>https://upbox.ajobthing.my/leads/4251599</v>
      </c>
      <c r="I2563" t="inlineStr">
        <is>
          <t>One Syntech Resources</t>
        </is>
      </c>
      <c r="J2563" t="inlineStr">
        <is>
          <t>Small Fish</t>
        </is>
      </c>
      <c r="K2563" t="inlineStr">
        <is>
          <t>Eugene</t>
        </is>
      </c>
      <c r="L2563" s="4"/>
      <c r="M2563" s="4">
        <v>46118.47320601852</v>
      </c>
      <c r="N2563"/>
      <c r="O2563">
        <v>864</v>
      </c>
      <c r="P2563" s="4"/>
      <c r="Q2563" s="4"/>
      <c r="R2563"/>
      <c r="S2563"/>
      <c r="T2563" s="4"/>
      <c r="U2563" s="4"/>
      <c r="V2563"/>
      <c r="W2563"/>
      <c r="X2563"/>
      <c r="Y2563" t="inlineStr">
        <is>
          <t>Pending Appointment</t>
        </is>
      </c>
      <c r="Z2563" t="inlineStr">
        <is>
          <t>Hiring Now</t>
        </is>
      </c>
      <c r="AA2563">
        <v>1</v>
      </c>
      <c r="AB2563" t="inlineStr">
        <is>
          <t>No Appointment Made</t>
        </is>
      </c>
      <c r="AC2563"/>
      <c r="AD2563" t="inlineStr">
        <is>
          <t>1 admin, based in KL</t>
        </is>
      </c>
      <c r="AE2563"/>
      <c r="AF2563">
        <v>1200</v>
      </c>
      <c r="AG2563" s="4"/>
      <c r="AH2563" s="4"/>
      <c r="AI2563">
        <v>1200</v>
      </c>
      <c r="AJ2563">
        <v>1</v>
      </c>
      <c r="AK2563" t="inlineStr">
        <is>
          <t>No, I don't need at all</t>
        </is>
      </c>
      <c r="AL2563">
        <v>0</v>
      </c>
      <c r="AM2563" t="inlineStr">
        <is>
          <t>No, I don't need at all</t>
        </is>
      </c>
      <c r="AN2563"/>
      <c r="AO2563" t="inlineStr">
        <is>
          <t>No, I don't need at all</t>
        </is>
      </c>
      <c r="AP2563" t="inlineStr">
        <is>
          <t>Once a year (25%)</t>
        </is>
      </c>
      <c r="AQ2563">
        <v>1</v>
      </c>
      <c r="AR2563" t="inlineStr">
        <is>
          <t>Did not use any job portal</t>
        </is>
      </c>
      <c r="AS2563" t="inlineStr">
        <is>
          <t>- Headcount: 1
- Hiring Job Details: 1 admin, based in KL
- Hiring Urgency: Hiring Now
- Number of outlets: 1
- Have recruiter team: No, I don't need at all
- Number of recruiter in company: 0
- Have ATS system: No, I don't need at all
- Have career website: No, I don't need at all
- Current hiring budget: RM1,200
- Whole year budget: RM1,200.00
- Whole year number of vacancies: 1
- Hiring frequency: Once a year (25%)
- External job portal: Did not use any job portal</t>
        </is>
      </c>
      <c r="AT2563">
        <v>115</v>
      </c>
      <c r="AU2563" t="inlineStr">
        <is>
          <t>1.15</t>
        </is>
      </c>
      <c r="AV2563" t="inlineStr">
        <is>
          <t>15</t>
        </is>
      </c>
      <c r="AW2563" t="inlineStr">
        <is>
          <t>0</t>
        </is>
      </c>
      <c r="AX2563" t="inlineStr">
        <is>
          <t>Not Qualified</t>
        </is>
      </c>
      <c r="AY2563" s="4"/>
      <c r="AZ2563"/>
      <c r="BA2563"/>
      <c r="BB2563"/>
      <c r="BC2563"/>
      <c r="BD2563" s="4"/>
      <c r="BE2563"/>
      <c r="BF2563"/>
      <c r="BG2563" t="inlineStr">
        <is>
          <t>Reschedule</t>
        </is>
      </c>
      <c r="BH2563" t="inlineStr">
        <is>
          <t>Edward Hoo</t>
        </is>
      </c>
      <c r="BI2563"/>
      <c r="BJ2563" s="4">
        <v>46144.75571759259</v>
      </c>
      <c r="BK2563" s="4">
        <v>46118.45303240741</v>
      </c>
      <c r="BL2563" t="inlineStr">
        <is>
          <t>0.0</t>
        </is>
      </c>
      <c r="BM2563" t="inlineStr">
        <is>
          <t>0.0</t>
        </is>
      </c>
      <c r="BN2563"/>
      <c r="BO2563" s="4"/>
      <c r="BP2563">
        <v>165336</v>
      </c>
      <c r="BQ2563"/>
      <c r="BR2563"/>
      <c r="BS2563"/>
      <c r="BT2563"/>
      <c r="BU2563"/>
      <c r="BV2563"/>
      <c r="BW2563"/>
      <c r="BX2563"/>
      <c r="BY2563"/>
      <c r="BZ2563" s="4"/>
      <c r="CA2563"/>
      <c r="CB2563"/>
      <c r="CC2563" s="4"/>
      <c r="CD2563" t="inlineStr">
        <is>
          <t>20</t>
        </is>
      </c>
      <c r="CE2563" t="inlineStr">
        <is>
          <t>0</t>
        </is>
      </c>
      <c r="CF2563" t="inlineStr">
        <is>
          <t>Q2-W01</t>
        </is>
      </c>
      <c r="CG2563"/>
      <c r="CH2563"/>
      <c r="CI2563"/>
      <c r="CJ2563" t="inlineStr">
        <is>
          <t>No Paid</t>
        </is>
      </c>
      <c r="CK2563" t="inlineStr">
        <is>
          <t>Not Eligible</t>
        </is>
      </c>
      <c r="CL2563"/>
      <c r="CM2563"/>
    </row>
    <row r="2564" ht="25.5" customHeight="1">
      <c r="A2564" t="inlineStr">
        <is>
          <t>4200406</t>
        </is>
      </c>
      <c r="B2564" s="2"/>
      <c r="C2564"/>
      <c r="D2564" s="3">
        <v>46118.47525462963</v>
      </c>
      <c r="E2564" t="inlineStr">
        <is>
          <t>Q2-W01</t>
        </is>
      </c>
      <c r="F2564" t="inlineStr">
        <is>
          <t>Janice Yap</t>
        </is>
      </c>
      <c r="G2564" t="inlineStr">
        <is>
          <t>Lead</t>
        </is>
      </c>
      <c r="H2564" s="2" t="str">
        <f>=HYPERLINK("https://upbox.ajobthing.my/leads/4200406", "https://upbox.ajobthing.my/leads/4200406")</f>
        <v>https://upbox.ajobthing.my/leads/4200406</v>
      </c>
      <c r="I2564" t="inlineStr">
        <is>
          <t>Frances Beauty Clinic</t>
        </is>
      </c>
      <c r="J2564" t="inlineStr">
        <is>
          <t>Small Fish</t>
        </is>
      </c>
      <c r="K2564" t="inlineStr">
        <is>
          <t>Janice</t>
        </is>
      </c>
      <c r="L2564" s="4"/>
      <c r="M2564" s="4">
        <v>46118.455983796295</v>
      </c>
      <c r="N2564"/>
      <c r="O2564">
        <v>3888</v>
      </c>
      <c r="P2564" s="4"/>
      <c r="Q2564" s="4"/>
      <c r="R2564"/>
      <c r="S2564"/>
      <c r="T2564" s="4"/>
      <c r="U2564" s="4"/>
      <c r="V2564"/>
      <c r="W2564"/>
      <c r="X2564"/>
      <c r="Y2564" t="inlineStr">
        <is>
          <t>Pending Appointment</t>
        </is>
      </c>
      <c r="Z2564" t="inlineStr">
        <is>
          <t>Hiring Now</t>
        </is>
      </c>
      <c r="AA2564">
        <v>2</v>
      </c>
      <c r="AB2564" t="inlineStr">
        <is>
          <t>No Appointment Made</t>
        </is>
      </c>
      <c r="AC2564"/>
      <c r="AD2564" t="inlineStr">
        <is>
          <t xml:space="preserve">1 PA and marketing executive </t>
        </is>
      </c>
      <c r="AE2564"/>
      <c r="AF2564">
        <v>0</v>
      </c>
      <c r="AG2564" s="4"/>
      <c r="AH2564" s="4"/>
      <c r="AI2564">
        <v>0</v>
      </c>
      <c r="AJ2564"/>
      <c r="AK2564" t="inlineStr">
        <is>
          <t>No, I don't need at all</t>
        </is>
      </c>
      <c r="AL2564">
        <v>0</v>
      </c>
      <c r="AM2564" t="inlineStr">
        <is>
          <t>No, I don't need at all</t>
        </is>
      </c>
      <c r="AN2564"/>
      <c r="AO2564" t="inlineStr">
        <is>
          <t>No, I don't need at all</t>
        </is>
      </c>
      <c r="AP2564" t="inlineStr">
        <is>
          <t>Once a year (25%)</t>
        </is>
      </c>
      <c r="AQ2564">
        <v>1</v>
      </c>
      <c r="AR2564" t="inlineStr">
        <is>
          <t>Did not use any job portal</t>
        </is>
      </c>
      <c r="AS2564" t="inlineStr">
        <is>
          <t>- Headcount: 2
- Hiring Job Details: 1 PA and marketing executive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64">
        <v>95</v>
      </c>
      <c r="AU2564" t="inlineStr">
        <is>
          <t>0.95</t>
        </is>
      </c>
      <c r="AV2564" t="inlineStr">
        <is>
          <t>15</t>
        </is>
      </c>
      <c r="AW2564" t="inlineStr">
        <is>
          <t>0</t>
        </is>
      </c>
      <c r="AX2564" t="inlineStr">
        <is>
          <t>Not Qualified</t>
        </is>
      </c>
      <c r="AY2564" s="4"/>
      <c r="AZ2564"/>
      <c r="BA2564"/>
      <c r="BB2564"/>
      <c r="BC2564"/>
      <c r="BD2564" s="4"/>
      <c r="BE2564"/>
      <c r="BF2564"/>
      <c r="BG2564" t="inlineStr">
        <is>
          <t>Reschedule</t>
        </is>
      </c>
      <c r="BH2564" t="inlineStr">
        <is>
          <t>Yee Hang</t>
        </is>
      </c>
      <c r="BI2564"/>
      <c r="BJ2564" s="4">
        <v>46144.75564814815</v>
      </c>
      <c r="BK2564" s="4">
        <v>46107.49737268518</v>
      </c>
      <c r="BL2564" t="inlineStr">
        <is>
          <t>0.0</t>
        </is>
      </c>
      <c r="BM2564" t="inlineStr">
        <is>
          <t>0.0</t>
        </is>
      </c>
      <c r="BN2564"/>
      <c r="BO2564" s="4"/>
      <c r="BP2564">
        <v>165320</v>
      </c>
      <c r="BQ2564"/>
      <c r="BR2564"/>
      <c r="BS2564"/>
      <c r="BT2564"/>
      <c r="BU2564"/>
      <c r="BV2564"/>
      <c r="BW2564"/>
      <c r="BX2564"/>
      <c r="BY2564"/>
      <c r="BZ2564" s="4"/>
      <c r="CA2564"/>
      <c r="CB2564"/>
      <c r="CC2564" s="4"/>
      <c r="CD2564" t="inlineStr">
        <is>
          <t>20</t>
        </is>
      </c>
      <c r="CE2564" t="inlineStr">
        <is>
          <t>0</t>
        </is>
      </c>
      <c r="CF2564" t="inlineStr">
        <is>
          <t>Q2-W01</t>
        </is>
      </c>
      <c r="CG2564"/>
      <c r="CH2564"/>
      <c r="CI2564"/>
      <c r="CJ2564" t="inlineStr">
        <is>
          <t>No Paid</t>
        </is>
      </c>
      <c r="CK2564" t="inlineStr">
        <is>
          <t>Not Eligible</t>
        </is>
      </c>
      <c r="CL2564"/>
      <c r="CM2564"/>
    </row>
    <row r="2565" ht="25.5" customHeight="1">
      <c r="A2565" t="inlineStr">
        <is>
          <t>4251432</t>
        </is>
      </c>
      <c r="B2565" s="2"/>
      <c r="C2565"/>
      <c r="D2565" s="3">
        <v>46118.47922453703</v>
      </c>
      <c r="E2565" t="inlineStr">
        <is>
          <t>Q2-W01</t>
        </is>
      </c>
      <c r="F2565" t="inlineStr">
        <is>
          <t>Josh</t>
        </is>
      </c>
      <c r="G2565" t="inlineStr">
        <is>
          <t>Lead</t>
        </is>
      </c>
      <c r="H2565" s="2" t="str">
        <f>=HYPERLINK("https://upbox.ajobthing.my/leads/4251432", "https://upbox.ajobthing.my/leads/4251432")</f>
        <v>https://upbox.ajobthing.my/leads/4251432</v>
      </c>
      <c r="I2565" t="inlineStr">
        <is>
          <t>Phoenixdarts Malaysia</t>
        </is>
      </c>
      <c r="J2565" t="inlineStr">
        <is>
          <t>Small Fish</t>
        </is>
      </c>
      <c r="K2565" t="inlineStr">
        <is>
          <t>Josh</t>
        </is>
      </c>
      <c r="L2565" s="4"/>
      <c r="M2565" s="4">
        <v>46118.48042824074</v>
      </c>
      <c r="N2565"/>
      <c r="O2565">
        <v>5832</v>
      </c>
      <c r="P2565" s="4"/>
      <c r="Q2565" s="4"/>
      <c r="R2565"/>
      <c r="S2565"/>
      <c r="T2565" s="4"/>
      <c r="U2565" s="4"/>
      <c r="V2565"/>
      <c r="W2565"/>
      <c r="X2565"/>
      <c r="Y2565" t="inlineStr">
        <is>
          <t>Pending Appointment</t>
        </is>
      </c>
      <c r="Z2565" t="inlineStr">
        <is>
          <t>Hiring Now</t>
        </is>
      </c>
      <c r="AA2565">
        <v>2</v>
      </c>
      <c r="AB2565" t="inlineStr">
        <is>
          <t>No Appointment Made</t>
        </is>
      </c>
      <c r="AC2565"/>
      <c r="AD2565" t="inlineStr">
        <is>
          <t>1 Maintenance, 1 Operator</t>
        </is>
      </c>
      <c r="AE2565"/>
      <c r="AF2565">
        <v>3000</v>
      </c>
      <c r="AG2565" s="4"/>
      <c r="AH2565" s="4"/>
      <c r="AI2565"/>
      <c r="AJ2565"/>
      <c r="AK2565" t="inlineStr">
        <is>
          <t>Yes, I have</t>
        </is>
      </c>
      <c r="AL2565"/>
      <c r="AM2565"/>
      <c r="AN2565"/>
      <c r="AO2565"/>
      <c r="AP2565" t="inlineStr">
        <is>
          <t>Twice a year (50%)</t>
        </is>
      </c>
      <c r="AQ2565"/>
      <c r="AR2565"/>
      <c r="AS2565" t="inlineStr">
        <is>
          <t>- Headcount: 2
- Hiring Job Details: 1 Maintenance, 1 Operator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Twice a year (50%)
- External job portal: Not specified</t>
        </is>
      </c>
      <c r="AT2565">
        <v>95</v>
      </c>
      <c r="AU2565" t="inlineStr">
        <is>
          <t>0.95</t>
        </is>
      </c>
      <c r="AV2565" t="inlineStr">
        <is>
          <t>15</t>
        </is>
      </c>
      <c r="AW2565" t="inlineStr">
        <is>
          <t>0</t>
        </is>
      </c>
      <c r="AX2565" t="inlineStr">
        <is>
          <t>Not Qualified</t>
        </is>
      </c>
      <c r="AY2565" s="4"/>
      <c r="AZ2565"/>
      <c r="BA2565"/>
      <c r="BB2565"/>
      <c r="BC2565"/>
      <c r="BD2565" s="4"/>
      <c r="BE2565"/>
      <c r="BF2565"/>
      <c r="BG2565" t="inlineStr">
        <is>
          <t>Reschedule</t>
        </is>
      </c>
      <c r="BH2565" t="inlineStr">
        <is>
          <t>Fauziah Maharan</t>
        </is>
      </c>
      <c r="BI2565"/>
      <c r="BJ2565" s="4">
        <v>46144.75571759259</v>
      </c>
      <c r="BK2565" s="4">
        <v>46118.42934027778</v>
      </c>
      <c r="BL2565" t="inlineStr">
        <is>
          <t>0.0</t>
        </is>
      </c>
      <c r="BM2565" t="inlineStr">
        <is>
          <t>0.0</t>
        </is>
      </c>
      <c r="BN2565"/>
      <c r="BO2565" s="4"/>
      <c r="BP2565">
        <v>165341</v>
      </c>
      <c r="BQ2565"/>
      <c r="BR2565"/>
      <c r="BS2565"/>
      <c r="BT2565"/>
      <c r="BU2565"/>
      <c r="BV2565"/>
      <c r="BW2565"/>
      <c r="BX2565"/>
      <c r="BY2565"/>
      <c r="BZ2565" s="4"/>
      <c r="CA2565"/>
      <c r="CB2565"/>
      <c r="CC2565" s="4"/>
      <c r="CD2565" t="inlineStr">
        <is>
          <t>20</t>
        </is>
      </c>
      <c r="CE2565" t="inlineStr">
        <is>
          <t>0</t>
        </is>
      </c>
      <c r="CF2565" t="inlineStr">
        <is>
          <t>Q2-W01</t>
        </is>
      </c>
      <c r="CG2565"/>
      <c r="CH2565"/>
      <c r="CI2565"/>
      <c r="CJ2565" t="inlineStr">
        <is>
          <t>No Paid</t>
        </is>
      </c>
      <c r="CK2565" t="inlineStr">
        <is>
          <t>Not Eligible</t>
        </is>
      </c>
      <c r="CL2565"/>
      <c r="CM2565"/>
    </row>
    <row r="2566" ht="25.5" customHeight="1">
      <c r="A2566" t="inlineStr">
        <is>
          <t>202843</t>
        </is>
      </c>
      <c r="B2566" s="2"/>
      <c r="C2566"/>
      <c r="D2566" s="3">
        <v>46118.481041666666</v>
      </c>
      <c r="E2566" t="inlineStr">
        <is>
          <t>Q2-W01</t>
        </is>
      </c>
      <c r="F2566" t="inlineStr">
        <is>
          <t>Clover</t>
        </is>
      </c>
      <c r="G2566" t="inlineStr">
        <is>
          <t>Customer</t>
        </is>
      </c>
      <c r="H2566" s="2" t="str">
        <f>=HYPERLINK("https://upbox.ajobthing.my/customer/202843", "https://upbox.ajobthing.my/customer/202843")</f>
        <v>https://upbox.ajobthing.my/customer/202843</v>
      </c>
      <c r="I2566" t="inlineStr">
        <is>
          <t>AirPro Cooling System</t>
        </is>
      </c>
      <c r="J2566" t="inlineStr">
        <is>
          <t>Small Fish</t>
        </is>
      </c>
      <c r="K2566" t="inlineStr">
        <is>
          <t>Clover</t>
        </is>
      </c>
      <c r="L2566" s="4"/>
      <c r="M2566" s="4">
        <v>46140.68958333333</v>
      </c>
      <c r="N2566"/>
      <c r="O2566">
        <v>3576.96</v>
      </c>
      <c r="P2566" s="4"/>
      <c r="Q2566" s="4"/>
      <c r="R2566"/>
      <c r="S2566"/>
      <c r="T2566" s="4"/>
      <c r="U2566" s="4"/>
      <c r="V2566"/>
      <c r="W2566"/>
      <c r="X2566"/>
      <c r="Y2566" t="inlineStr">
        <is>
          <t>Pending Appointment</t>
        </is>
      </c>
      <c r="Z2566" t="inlineStr">
        <is>
          <t>Hiring Now</t>
        </is>
      </c>
      <c r="AA2566">
        <v>2</v>
      </c>
      <c r="AB2566" t="inlineStr">
        <is>
          <t>No Appointment Made</t>
        </is>
      </c>
      <c r="AC2566"/>
      <c r="AD2566" t="inlineStr">
        <is>
          <t>Want to hire technician x1-2, all races, kl, aircond, future not sure, suggest stand</t>
        </is>
      </c>
      <c r="AE2566"/>
      <c r="AF2566">
        <v>3000</v>
      </c>
      <c r="AG2566" s="4"/>
      <c r="AH2566" s="4"/>
      <c r="AI2566"/>
      <c r="AJ2566"/>
      <c r="AK2566" t="inlineStr">
        <is>
          <t>No, but I want in future</t>
        </is>
      </c>
      <c r="AL2566"/>
      <c r="AM2566"/>
      <c r="AN2566"/>
      <c r="AO2566"/>
      <c r="AP2566" t="inlineStr">
        <is>
          <t>Twice a year (50%)</t>
        </is>
      </c>
      <c r="AQ2566"/>
      <c r="AR2566"/>
      <c r="AS2566" t="inlineStr">
        <is>
          <t>- Headcount: 2
- Hiring Job Details: Want to hire 1-2 technicians, all races, kl, aircond, future not sure, suggest stand
- Hiring Urgency: Hiring Now
- Number of outlets: Not available
- Have recruiter team: No, but want in future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t>
        </is>
      </c>
      <c r="AT2566">
        <v>65</v>
      </c>
      <c r="AU2566" t="inlineStr">
        <is>
          <t>0.65</t>
        </is>
      </c>
      <c r="AV2566" t="inlineStr">
        <is>
          <t>15</t>
        </is>
      </c>
      <c r="AW2566" t="inlineStr">
        <is>
          <t>0</t>
        </is>
      </c>
      <c r="AX2566" t="inlineStr">
        <is>
          <t>Not Qualified</t>
        </is>
      </c>
      <c r="AY2566" s="4"/>
      <c r="AZ2566"/>
      <c r="BA2566"/>
      <c r="BB2566"/>
      <c r="BC2566" t="inlineStr">
        <is>
          <t>Pending management update, share stand dis 288, create urgency</t>
        </is>
      </c>
      <c r="BD2566" s="4">
        <v>46140.69280092593</v>
      </c>
      <c r="BE2566"/>
      <c r="BF2566"/>
      <c r="BG2566" t="inlineStr">
        <is>
          <t>Reschedule</t>
        </is>
      </c>
      <c r="BH2566" t="inlineStr">
        <is>
          <t>Reagen</t>
        </is>
      </c>
      <c r="BI2566"/>
      <c r="BJ2566" s="4">
        <v>46144.75414351852</v>
      </c>
      <c r="BK2566" s="4">
        <v>46118.47883101852</v>
      </c>
      <c r="BL2566" t="inlineStr">
        <is>
          <t>0.0</t>
        </is>
      </c>
      <c r="BM2566" t="inlineStr">
        <is>
          <t>0.0</t>
        </is>
      </c>
      <c r="BN2566"/>
      <c r="BO2566" s="4"/>
      <c r="BP2566">
        <v>169329</v>
      </c>
      <c r="BQ2566"/>
      <c r="BR2566"/>
      <c r="BS2566"/>
      <c r="BT2566"/>
      <c r="BU2566"/>
      <c r="BV2566">
        <v>2733508</v>
      </c>
      <c r="BW2566" t="inlineStr">
        <is>
          <t>Follow Up : Quotation Sent 50%</t>
        </is>
      </c>
      <c r="BX2566"/>
      <c r="BY2566"/>
      <c r="BZ2566" s="4"/>
      <c r="CA2566"/>
      <c r="CB2566"/>
      <c r="CC2566" s="4"/>
      <c r="CD2566" t="inlineStr">
        <is>
          <t>20</t>
        </is>
      </c>
      <c r="CE2566" t="inlineStr">
        <is>
          <t>0</t>
        </is>
      </c>
      <c r="CF2566" t="inlineStr">
        <is>
          <t>Q2-W04</t>
        </is>
      </c>
      <c r="CG2566"/>
      <c r="CH2566"/>
      <c r="CI2566"/>
      <c r="CJ2566" t="inlineStr">
        <is>
          <t>No Paid</t>
        </is>
      </c>
      <c r="CK2566" t="inlineStr">
        <is>
          <t>Not Eligible</t>
        </is>
      </c>
      <c r="CL2566"/>
      <c r="CM2566"/>
    </row>
    <row r="2567" ht="25.5" customHeight="1">
      <c r="A2567" t="inlineStr">
        <is>
          <t>199146</t>
        </is>
      </c>
      <c r="B2567" s="2"/>
      <c r="C2567"/>
      <c r="D2567" s="3">
        <v>46118.48304398148</v>
      </c>
      <c r="E2567" t="inlineStr">
        <is>
          <t>Q2-W01</t>
        </is>
      </c>
      <c r="F2567" t="inlineStr">
        <is>
          <t>Jia Hui</t>
        </is>
      </c>
      <c r="G2567" t="inlineStr">
        <is>
          <t>Customer</t>
        </is>
      </c>
      <c r="H2567" s="2" t="str">
        <f>=HYPERLINK("https://upbox.ajobthing.my/customer/199146", "https://upbox.ajobthing.my/customer/199146")</f>
        <v>https://upbox.ajobthing.my/customer/199146</v>
      </c>
      <c r="I2567" t="inlineStr">
        <is>
          <t>Todayplus MY Sdn Bhd</t>
        </is>
      </c>
      <c r="J2567" t="inlineStr">
        <is>
          <t>Small Fish</t>
        </is>
      </c>
      <c r="K2567" t="inlineStr">
        <is>
          <t>Jia Hui</t>
        </is>
      </c>
      <c r="L2567" s="4"/>
      <c r="M2567" s="4">
        <v>46118.46810185185</v>
      </c>
      <c r="N2567"/>
      <c r="O2567">
        <v>5508</v>
      </c>
      <c r="P2567" s="4"/>
      <c r="Q2567" s="4"/>
      <c r="R2567"/>
      <c r="S2567"/>
      <c r="T2567" s="4"/>
      <c r="U2567" s="4"/>
      <c r="V2567"/>
      <c r="W2567"/>
      <c r="X2567"/>
      <c r="Y2567" t="inlineStr">
        <is>
          <t>Pending Appointment</t>
        </is>
      </c>
      <c r="Z2567" t="inlineStr">
        <is>
          <t>Hiring Now</t>
        </is>
      </c>
      <c r="AA2567">
        <v>4</v>
      </c>
      <c r="AB2567" t="inlineStr">
        <is>
          <t>No Appointment Made</t>
        </is>
      </c>
      <c r="AC2567"/>
      <c r="AD2567" t="inlineStr">
        <is>
          <t>1 receptionist, 1 marketing, 1 admin, 1 HR</t>
        </is>
      </c>
      <c r="AE2567"/>
      <c r="AF2567">
        <v>500</v>
      </c>
      <c r="AG2567" s="4"/>
      <c r="AH2567" s="4"/>
      <c r="AI2567"/>
      <c r="AJ2567"/>
      <c r="AK2567"/>
      <c r="AL2567"/>
      <c r="AM2567"/>
      <c r="AN2567"/>
      <c r="AO2567"/>
      <c r="AP2567" t="inlineStr">
        <is>
          <t>Twice a year (50%)</t>
        </is>
      </c>
      <c r="AQ2567"/>
      <c r="AR2567"/>
      <c r="AS2567" t="inlineStr">
        <is>
          <t>- Headcount: 4
- Hiring Job Details: 1 receptionist, 1 marketing, 1 admin, 1 HR
- Hiring Urgency: Hiring Now
- Number of outlets: Not available
- Have recruiter team: Not available
- Number of recruiter in company: Not available
- Have ATS system: Not available
- Have career website: Not available
- Current hiring budget: RM500.00
- Whole year budget: Not available
- Whole year number of vacancies: Not available
- Hiring frequency: Twice a year (50%)
- External job portal: Not available</t>
        </is>
      </c>
      <c r="AT2567">
        <v>75</v>
      </c>
      <c r="AU2567" t="inlineStr">
        <is>
          <t>0.75</t>
        </is>
      </c>
      <c r="AV2567" t="inlineStr">
        <is>
          <t>15</t>
        </is>
      </c>
      <c r="AW2567" t="inlineStr">
        <is>
          <t>0</t>
        </is>
      </c>
      <c r="AX2567" t="inlineStr">
        <is>
          <t>Not Qualified</t>
        </is>
      </c>
      <c r="AY2567" s="4"/>
      <c r="AZ2567"/>
      <c r="BA2567"/>
      <c r="BB2567"/>
      <c r="BC2567" t="inlineStr">
        <is>
          <t>no respond</t>
        </is>
      </c>
      <c r="BD2567" s="4">
        <v>46141.48378472222</v>
      </c>
      <c r="BE2567"/>
      <c r="BF2567"/>
      <c r="BG2567" t="inlineStr">
        <is>
          <t>Reschedule</t>
        </is>
      </c>
      <c r="BH2567" t="inlineStr">
        <is>
          <t>Reagen</t>
        </is>
      </c>
      <c r="BI2567"/>
      <c r="BJ2567" s="4">
        <v>46144.75325231482</v>
      </c>
      <c r="BK2567" s="4">
        <v>45999.44258101852</v>
      </c>
      <c r="BL2567" t="inlineStr">
        <is>
          <t>0.0</t>
        </is>
      </c>
      <c r="BM2567" t="inlineStr">
        <is>
          <t>0.0</t>
        </is>
      </c>
      <c r="BN2567"/>
      <c r="BO2567" s="4"/>
      <c r="BP2567">
        <v>165332</v>
      </c>
      <c r="BQ2567"/>
      <c r="BR2567"/>
      <c r="BS2567"/>
      <c r="BT2567"/>
      <c r="BU2567"/>
      <c r="BV2567">
        <v>2734759</v>
      </c>
      <c r="BW2567" t="inlineStr">
        <is>
          <t>No Answer : Voicemail - WA sent to customer</t>
        </is>
      </c>
      <c r="BX2567"/>
      <c r="BY2567"/>
      <c r="BZ2567" s="4"/>
      <c r="CA2567"/>
      <c r="CB2567"/>
      <c r="CC2567" s="4"/>
      <c r="CD2567" t="inlineStr">
        <is>
          <t>20</t>
        </is>
      </c>
      <c r="CE2567" t="inlineStr">
        <is>
          <t>0</t>
        </is>
      </c>
      <c r="CF2567" t="inlineStr">
        <is>
          <t>Q2-W01</t>
        </is>
      </c>
      <c r="CG2567"/>
      <c r="CH2567"/>
      <c r="CI2567"/>
      <c r="CJ2567" t="inlineStr">
        <is>
          <t>No Paid</t>
        </is>
      </c>
      <c r="CK2567" t="inlineStr">
        <is>
          <t>Not Eligible</t>
        </is>
      </c>
      <c r="CL2567"/>
      <c r="CM2567"/>
    </row>
    <row r="2568" ht="25.5" customHeight="1">
      <c r="A2568" t="inlineStr">
        <is>
          <t>4240207</t>
        </is>
      </c>
      <c r="B2568" s="2"/>
      <c r="C2568"/>
      <c r="D2568" s="3">
        <v>46118.483877314815</v>
      </c>
      <c r="E2568" t="inlineStr">
        <is>
          <t>Q2-W01</t>
        </is>
      </c>
      <c r="F2568" t="inlineStr">
        <is>
          <t>Chia Yee</t>
        </is>
      </c>
      <c r="G2568" t="inlineStr">
        <is>
          <t>Lead</t>
        </is>
      </c>
      <c r="H2568" s="2" t="str">
        <f>=HYPERLINK("https://upbox.ajobthing.my/leads/4240207", "https://upbox.ajobthing.my/leads/4240207")</f>
        <v>https://upbox.ajobthing.my/leads/4240207</v>
      </c>
      <c r="I2568" t="inlineStr">
        <is>
          <t>Seri Bako by Kwan Kee Store</t>
        </is>
      </c>
      <c r="J2568" t="inlineStr">
        <is>
          <t>Small Fish</t>
        </is>
      </c>
      <c r="K2568" t="inlineStr">
        <is>
          <t>Chia Yee</t>
        </is>
      </c>
      <c r="L2568" s="4"/>
      <c r="M2568" s="4">
        <v>46118.48452546296</v>
      </c>
      <c r="N2568"/>
      <c r="O2568">
        <v>6048</v>
      </c>
      <c r="P2568" s="4"/>
      <c r="Q2568" s="4"/>
      <c r="R2568"/>
      <c r="S2568"/>
      <c r="T2568" s="4"/>
      <c r="U2568" s="4"/>
      <c r="V2568"/>
      <c r="W2568"/>
      <c r="X2568"/>
      <c r="Y2568" t="inlineStr">
        <is>
          <t>Pending Appointment</t>
        </is>
      </c>
      <c r="Z2568" t="inlineStr">
        <is>
          <t>Hiring Now</t>
        </is>
      </c>
      <c r="AA2568">
        <v>6</v>
      </c>
      <c r="AB2568" t="inlineStr">
        <is>
          <t>No Appointment Made</t>
        </is>
      </c>
      <c r="AC2568"/>
      <c r="AD2568" t="inlineStr">
        <is>
          <t>4 Service crew,  2-3 chef bakery (Malay)</t>
        </is>
      </c>
      <c r="AE2568"/>
      <c r="AF2568">
        <v>0</v>
      </c>
      <c r="AG2568" s="4"/>
      <c r="AH2568" s="4"/>
      <c r="AI2568">
        <v>0</v>
      </c>
      <c r="AJ2568">
        <v>3</v>
      </c>
      <c r="AK2568" t="inlineStr">
        <is>
          <t>No, I don't need at all</t>
        </is>
      </c>
      <c r="AL2568">
        <v>1</v>
      </c>
      <c r="AM2568" t="inlineStr">
        <is>
          <t>No, I don't need at all</t>
        </is>
      </c>
      <c r="AN2568"/>
      <c r="AO2568" t="inlineStr">
        <is>
          <t>No, I don't need at all</t>
        </is>
      </c>
      <c r="AP2568" t="inlineStr">
        <is>
          <t>Once a year (25%)</t>
        </is>
      </c>
      <c r="AQ2568">
        <v>6</v>
      </c>
      <c r="AR2568" t="inlineStr">
        <is>
          <t>Did not use any job portal</t>
        </is>
      </c>
      <c r="AS2568" t="inlineStr">
        <is>
          <t>- Headcount: 6
- Hiring Job Details: 4 Service crew, 2-3 chef bakery (Malay)
- Hiring Urgency: Hiring Now
- Number of outlets: 3
- Have recruiter team: No, I don't need at all
- Number of recruiter in company: 1
- Have ATS system: No, I don't need at all
- Have career website: No, I don't need at all
- Current hiring budget: RM0
- Whole year budget: RM0.00
- Whole year number of vacancies: 6
- Hiring frequency: Once a year (25%)
- External job portal: Did not use any job portal</t>
        </is>
      </c>
      <c r="AT2568">
        <v>105</v>
      </c>
      <c r="AU2568" t="inlineStr">
        <is>
          <t>1.05</t>
        </is>
      </c>
      <c r="AV2568" t="inlineStr">
        <is>
          <t>20</t>
        </is>
      </c>
      <c r="AW2568" t="inlineStr">
        <is>
          <t>0</t>
        </is>
      </c>
      <c r="AX2568" t="inlineStr">
        <is>
          <t>Not Qualified</t>
        </is>
      </c>
      <c r="AY2568" s="4"/>
      <c r="AZ2568"/>
      <c r="BA2568"/>
      <c r="BB2568"/>
      <c r="BC2568"/>
      <c r="BD2568" s="4"/>
      <c r="BE2568"/>
      <c r="BF2568"/>
      <c r="BG2568" t="inlineStr">
        <is>
          <t>Reschedule</t>
        </is>
      </c>
      <c r="BH2568" t="inlineStr">
        <is>
          <t>Reagen</t>
        </is>
      </c>
      <c r="BI2568"/>
      <c r="BJ2568" s="4">
        <v>46144.75571759259</v>
      </c>
      <c r="BK2568" s="4">
        <v>46115.740960648145</v>
      </c>
      <c r="BL2568" t="inlineStr">
        <is>
          <t>0.0</t>
        </is>
      </c>
      <c r="BM2568" t="inlineStr">
        <is>
          <t>0.0</t>
        </is>
      </c>
      <c r="BN2568"/>
      <c r="BO2568" s="4"/>
      <c r="BP2568">
        <v>165346</v>
      </c>
      <c r="BQ2568"/>
      <c r="BR2568"/>
      <c r="BS2568"/>
      <c r="BT2568"/>
      <c r="BU2568"/>
      <c r="BV2568"/>
      <c r="BW2568"/>
      <c r="BX2568"/>
      <c r="BY2568"/>
      <c r="BZ2568" s="4"/>
      <c r="CA2568"/>
      <c r="CB2568"/>
      <c r="CC2568" s="4"/>
      <c r="CD2568" t="inlineStr">
        <is>
          <t>30</t>
        </is>
      </c>
      <c r="CE2568" t="inlineStr">
        <is>
          <t>0</t>
        </is>
      </c>
      <c r="CF2568" t="inlineStr">
        <is>
          <t>Q2-W01</t>
        </is>
      </c>
      <c r="CG2568"/>
      <c r="CH2568"/>
      <c r="CI2568"/>
      <c r="CJ2568" t="inlineStr">
        <is>
          <t>No Paid</t>
        </is>
      </c>
      <c r="CK2568" t="inlineStr">
        <is>
          <t>Not Eligible</t>
        </is>
      </c>
      <c r="CL2568"/>
      <c r="CM2568"/>
    </row>
    <row r="2569" ht="25.5" customHeight="1">
      <c r="A2569" t="inlineStr">
        <is>
          <t>202844</t>
        </is>
      </c>
      <c r="B2569" s="2"/>
      <c r="C2569"/>
      <c r="D2569" s="3">
        <v>46118.484085648146</v>
      </c>
      <c r="E2569" t="inlineStr">
        <is>
          <t>Q2-W01</t>
        </is>
      </c>
      <c r="F2569" t="inlineStr">
        <is>
          <t>Keegan</t>
        </is>
      </c>
      <c r="G2569" t="inlineStr">
        <is>
          <t>Customer</t>
        </is>
      </c>
      <c r="H2569" s="2" t="str">
        <f>=HYPERLINK("https://upbox.ajobthing.my/customer/202844", "https://upbox.ajobthing.my/customer/202844")</f>
        <v>https://upbox.ajobthing.my/customer/202844</v>
      </c>
      <c r="I2569" t="inlineStr">
        <is>
          <t>Ez Dinamik</t>
        </is>
      </c>
      <c r="J2569" t="inlineStr">
        <is>
          <t>Small Fish</t>
        </is>
      </c>
      <c r="K2569" t="inlineStr">
        <is>
          <t>Keegan</t>
        </is>
      </c>
      <c r="L2569" s="4"/>
      <c r="M2569" s="4">
        <v>46118.48417824074</v>
      </c>
      <c r="N2569"/>
      <c r="O2569">
        <v>3672</v>
      </c>
      <c r="P2569" s="4"/>
      <c r="Q2569" s="4"/>
      <c r="R2569"/>
      <c r="S2569"/>
      <c r="T2569" s="4"/>
      <c r="U2569" s="4"/>
      <c r="V2569"/>
      <c r="W2569"/>
      <c r="X2569"/>
      <c r="Y2569" t="inlineStr">
        <is>
          <t>Pending Appointment</t>
        </is>
      </c>
      <c r="Z2569" t="inlineStr">
        <is>
          <t>Hiring Now</t>
        </is>
      </c>
      <c r="AA2569">
        <v>2</v>
      </c>
      <c r="AB2569" t="inlineStr">
        <is>
          <t>No Appointment Made</t>
        </is>
      </c>
      <c r="AC2569"/>
      <c r="AD2569" t="inlineStr">
        <is>
          <t xml:space="preserve">1. Technician 
2. Admin Clerk </t>
        </is>
      </c>
      <c r="AE2569"/>
      <c r="AF2569"/>
      <c r="AG2569" s="4"/>
      <c r="AH2569" s="4"/>
      <c r="AI2569"/>
      <c r="AJ2569">
        <v>1</v>
      </c>
      <c r="AK2569" t="inlineStr">
        <is>
          <t>No, I don't need at all</t>
        </is>
      </c>
      <c r="AL2569">
        <v>0</v>
      </c>
      <c r="AM2569" t="inlineStr">
        <is>
          <t>No, I don't need at all</t>
        </is>
      </c>
      <c r="AN2569"/>
      <c r="AO2569" t="inlineStr">
        <is>
          <t>No, I don't need at all</t>
        </is>
      </c>
      <c r="AP2569" t="inlineStr">
        <is>
          <t>Once per quarter (75%)</t>
        </is>
      </c>
      <c r="AQ2569"/>
      <c r="AR2569" t="inlineStr">
        <is>
          <t>Did not use any job portal</t>
        </is>
      </c>
      <c r="AS2569" t="inlineStr">
        <is>
          <t>- Headcount: 2
- Hiring Job Details: 1. Technician 2. Admin Clerk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69">
        <v>75</v>
      </c>
      <c r="AU2569" t="inlineStr">
        <is>
          <t>0.75</t>
        </is>
      </c>
      <c r="AV2569" t="inlineStr">
        <is>
          <t>5</t>
        </is>
      </c>
      <c r="AW2569" t="inlineStr">
        <is>
          <t>0</t>
        </is>
      </c>
      <c r="AX2569" t="inlineStr">
        <is>
          <t>Not Qualified</t>
        </is>
      </c>
      <c r="AY2569" s="4"/>
      <c r="AZ2569"/>
      <c r="BA2569"/>
      <c r="BB2569"/>
      <c r="BC2569" t="inlineStr">
        <is>
          <t>Lost due to no hiring needs already</t>
        </is>
      </c>
      <c r="BD2569" s="4">
        <v>46121.678078703706</v>
      </c>
      <c r="BE2569"/>
      <c r="BF2569"/>
      <c r="BG2569" t="inlineStr">
        <is>
          <t>Reschedule</t>
        </is>
      </c>
      <c r="BH2569" t="inlineStr">
        <is>
          <t>Edward Hoo</t>
        </is>
      </c>
      <c r="BI2569"/>
      <c r="BJ2569" s="4">
        <v>46144.75414351852</v>
      </c>
      <c r="BK2569" s="4">
        <v>46118.48354166667</v>
      </c>
      <c r="BL2569" t="inlineStr">
        <is>
          <t>0.0</t>
        </is>
      </c>
      <c r="BM2569" t="inlineStr">
        <is>
          <t>0.0</t>
        </is>
      </c>
      <c r="BN2569"/>
      <c r="BO2569" s="4"/>
      <c r="BP2569">
        <v>165344</v>
      </c>
      <c r="BQ2569"/>
      <c r="BR2569"/>
      <c r="BS2569"/>
      <c r="BT2569"/>
      <c r="BU2569"/>
      <c r="BV2569">
        <v>2696596</v>
      </c>
      <c r="BW2569" t="inlineStr">
        <is>
          <t>Follow Up : Lost - Free Portal</t>
        </is>
      </c>
      <c r="BX2569"/>
      <c r="BY2569"/>
      <c r="BZ2569" s="4"/>
      <c r="CA2569"/>
      <c r="CB2569"/>
      <c r="CC2569" s="4"/>
      <c r="CD2569" t="inlineStr">
        <is>
          <t>5</t>
        </is>
      </c>
      <c r="CE2569" t="inlineStr">
        <is>
          <t>0</t>
        </is>
      </c>
      <c r="CF2569" t="inlineStr">
        <is>
          <t>Q2-W01</t>
        </is>
      </c>
      <c r="CG2569"/>
      <c r="CH2569"/>
      <c r="CI2569"/>
      <c r="CJ2569" t="inlineStr">
        <is>
          <t>No Paid</t>
        </is>
      </c>
      <c r="CK2569" t="inlineStr">
        <is>
          <t>Not Eligible</t>
        </is>
      </c>
      <c r="CL2569"/>
      <c r="CM2569"/>
    </row>
    <row r="2570" ht="25.5" customHeight="1">
      <c r="A2570" t="inlineStr">
        <is>
          <t>24115</t>
        </is>
      </c>
      <c r="B2570" s="2"/>
      <c r="C2570"/>
      <c r="D2570" s="3">
        <v>46118.48535879629</v>
      </c>
      <c r="E2570" t="inlineStr">
        <is>
          <t>Q2-W01</t>
        </is>
      </c>
      <c r="F2570" t="inlineStr">
        <is>
          <t>Josh</t>
        </is>
      </c>
      <c r="G2570" t="inlineStr">
        <is>
          <t>Customer</t>
        </is>
      </c>
      <c r="H2570" s="2" t="str">
        <f>=HYPERLINK("https://upbox.ajobthing.my/customer/24115", "https://upbox.ajobthing.my/customer/24115")</f>
        <v>https://upbox.ajobthing.my/customer/24115</v>
      </c>
      <c r="I2570" t="inlineStr">
        <is>
          <t>Pitaberry Sdn Bhd</t>
        </is>
      </c>
      <c r="J2570" t="inlineStr">
        <is>
          <t>Small Fish</t>
        </is>
      </c>
      <c r="K2570" t="inlineStr">
        <is>
          <t>Josh</t>
        </is>
      </c>
      <c r="L2570" s="4"/>
      <c r="M2570" s="4">
        <v>46118.44688657407</v>
      </c>
      <c r="N2570"/>
      <c r="O2570">
        <v>25920</v>
      </c>
      <c r="P2570" s="4"/>
      <c r="Q2570" s="4"/>
      <c r="R2570"/>
      <c r="S2570"/>
      <c r="T2570" s="4"/>
      <c r="U2570" s="4"/>
      <c r="V2570"/>
      <c r="W2570"/>
      <c r="X2570"/>
      <c r="Y2570" t="inlineStr">
        <is>
          <t>Pending Appointment</t>
        </is>
      </c>
      <c r="Z2570" t="inlineStr">
        <is>
          <t>Hiring Now</t>
        </is>
      </c>
      <c r="AA2570">
        <v>1</v>
      </c>
      <c r="AB2570" t="inlineStr">
        <is>
          <t>No Appointment Made</t>
        </is>
      </c>
      <c r="AC2570"/>
      <c r="AD2570" t="inlineStr">
        <is>
          <t>1 sales and marketing</t>
        </is>
      </c>
      <c r="AE2570"/>
      <c r="AF2570">
        <v>10000</v>
      </c>
      <c r="AG2570" s="4"/>
      <c r="AH2570" s="4"/>
      <c r="AI2570"/>
      <c r="AJ2570"/>
      <c r="AK2570"/>
      <c r="AL2570"/>
      <c r="AM2570"/>
      <c r="AN2570"/>
      <c r="AO2570"/>
      <c r="AP2570"/>
      <c r="AQ2570"/>
      <c r="AR2570"/>
      <c r="AS2570" t="inlineStr">
        <is>
          <t>- Headcount: 1
- Hiring Job Details: 1 sales and marketing
- Hiring Urgency: Hiring Now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Not available
- External job portal: Not available</t>
        </is>
      </c>
      <c r="AT2570">
        <v>65</v>
      </c>
      <c r="AU2570" t="inlineStr">
        <is>
          <t>0.65</t>
        </is>
      </c>
      <c r="AV2570" t="inlineStr">
        <is>
          <t>15</t>
        </is>
      </c>
      <c r="AW2570" t="inlineStr">
        <is>
          <t>0</t>
        </is>
      </c>
      <c r="AX2570" t="inlineStr">
        <is>
          <t>Not Qualified</t>
        </is>
      </c>
      <c r="AY2570" s="4"/>
      <c r="AZ2570"/>
      <c r="BA2570"/>
      <c r="BB2570"/>
      <c r="BC2570" t="inlineStr">
        <is>
          <t>- Headcount: 1
- Hiring Job Details: 1 sales and marketing
- Hiring Urgency: Hiring Now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Not available
- External job portal: Not available</t>
        </is>
      </c>
      <c r="BD2570" s="4">
        <v>46118.50003472222</v>
      </c>
      <c r="BE2570"/>
      <c r="BF2570"/>
      <c r="BG2570" t="inlineStr">
        <is>
          <t>Reschedule</t>
        </is>
      </c>
      <c r="BH2570" t="inlineStr">
        <is>
          <t>Fauziah Maharan</t>
        </is>
      </c>
      <c r="BI2570" t="inlineStr">
        <is>
          <t>Food / Beverage</t>
        </is>
      </c>
      <c r="BJ2570" s="4">
        <v>46144.75446759259</v>
      </c>
      <c r="BK2570" s="4">
        <v>42523.30505787037</v>
      </c>
      <c r="BL2570" t="inlineStr">
        <is>
          <t>0.0</t>
        </is>
      </c>
      <c r="BM2570" t="inlineStr">
        <is>
          <t>0.0</t>
        </is>
      </c>
      <c r="BN2570"/>
      <c r="BO2570" s="4"/>
      <c r="BP2570">
        <v>165309</v>
      </c>
      <c r="BQ2570"/>
      <c r="BR2570"/>
      <c r="BS2570"/>
      <c r="BT2570"/>
      <c r="BU2570"/>
      <c r="BV2570">
        <v>2685760</v>
      </c>
      <c r="BW2570" t="inlineStr">
        <is>
          <t>Customer Inquiry</t>
        </is>
      </c>
      <c r="BX2570"/>
      <c r="BY2570"/>
      <c r="BZ2570" s="4"/>
      <c r="CA2570"/>
      <c r="CB2570"/>
      <c r="CC2570" s="4"/>
      <c r="CD2570" t="inlineStr">
        <is>
          <t>20</t>
        </is>
      </c>
      <c r="CE2570" t="inlineStr">
        <is>
          <t>0</t>
        </is>
      </c>
      <c r="CF2570" t="inlineStr">
        <is>
          <t>Q2-W01</t>
        </is>
      </c>
      <c r="CG2570"/>
      <c r="CH2570"/>
      <c r="CI2570"/>
      <c r="CJ2570" t="inlineStr">
        <is>
          <t>No Paid</t>
        </is>
      </c>
      <c r="CK2570" t="inlineStr">
        <is>
          <t>Not Eligible</t>
        </is>
      </c>
      <c r="CL2570"/>
      <c r="CM2570"/>
    </row>
    <row r="2571" ht="25.5" customHeight="1">
      <c r="A2571" t="inlineStr">
        <is>
          <t>137152</t>
        </is>
      </c>
      <c r="B2571" s="2"/>
      <c r="C2571"/>
      <c r="D2571" s="3">
        <v>46118.489375</v>
      </c>
      <c r="E2571" t="inlineStr">
        <is>
          <t>Q2-W01</t>
        </is>
      </c>
      <c r="F2571" t="inlineStr">
        <is>
          <t>Derek Lim</t>
        </is>
      </c>
      <c r="G2571" t="inlineStr">
        <is>
          <t>Customer</t>
        </is>
      </c>
      <c r="H2571" s="2" t="str">
        <f>=HYPERLINK("https://upbox.ajobthing.my/customer/137152", "https://upbox.ajobthing.my/customer/137152")</f>
        <v>https://upbox.ajobthing.my/customer/137152</v>
      </c>
      <c r="I2571" t="inlineStr">
        <is>
          <t>Ezad Bundle</t>
        </is>
      </c>
      <c r="J2571" t="inlineStr">
        <is>
          <t>Small Fish</t>
        </is>
      </c>
      <c r="K2571" t="inlineStr">
        <is>
          <t>Derek Lim</t>
        </is>
      </c>
      <c r="L2571" s="4"/>
      <c r="M2571" s="4">
        <v>46118.48952546297</v>
      </c>
      <c r="N2571"/>
      <c r="O2571">
        <v>6048</v>
      </c>
      <c r="P2571" s="4"/>
      <c r="Q2571" s="4">
        <v>44505.33459490741</v>
      </c>
      <c r="R2571"/>
      <c r="S2571">
        <v>424</v>
      </c>
      <c r="T2571" s="4"/>
      <c r="U2571" s="4"/>
      <c r="V2571"/>
      <c r="W2571"/>
      <c r="X2571"/>
      <c r="Y2571" t="inlineStr">
        <is>
          <t>Pending Appointment</t>
        </is>
      </c>
      <c r="Z2571" t="inlineStr">
        <is>
          <t>Hiring Now</t>
        </is>
      </c>
      <c r="AA2571">
        <v>1</v>
      </c>
      <c r="AB2571" t="inlineStr">
        <is>
          <t>No Appointment Made</t>
        </is>
      </c>
      <c r="AC2571"/>
      <c r="AD2571" t="inlineStr">
        <is>
          <t>Sales assistant - 1</t>
        </is>
      </c>
      <c r="AE2571"/>
      <c r="AF2571">
        <v>0</v>
      </c>
      <c r="AG2571" s="4"/>
      <c r="AH2571" s="4"/>
      <c r="AI2571">
        <v>500</v>
      </c>
      <c r="AJ2571">
        <v>1</v>
      </c>
      <c r="AK2571" t="inlineStr">
        <is>
          <t>No, I don't need at all</t>
        </is>
      </c>
      <c r="AL2571">
        <v>0</v>
      </c>
      <c r="AM2571" t="inlineStr">
        <is>
          <t>No, I don't need at all</t>
        </is>
      </c>
      <c r="AN2571"/>
      <c r="AO2571" t="inlineStr">
        <is>
          <t>No, I don't need at all</t>
        </is>
      </c>
      <c r="AP2571" t="inlineStr">
        <is>
          <t>Once a year (25%)</t>
        </is>
      </c>
      <c r="AQ2571">
        <v>2</v>
      </c>
      <c r="AR2571" t="inlineStr">
        <is>
          <t>Did not use any job portal</t>
        </is>
      </c>
      <c r="AS2571" t="inlineStr">
        <is>
          <t>- Headcount: 1
- Hiring Job Details: 1 sales assistant
- Hiring Urgency: Hiring Now
- Number of outlets: 1
- Have recruiter team: No, I don't need at all
- Number of recruiter in company: 0
- Have ATS system: No, I don't need at all
- Have career website: No, I don't need at all
- Current hiring budget: RM0.00
- Whole year budget: RM500.00
- Whole year number of vacancies: 2
- Hiring frequency: Once a year (25%)
- External job portal: Did not use any job portal</t>
        </is>
      </c>
      <c r="AT2571">
        <v>115</v>
      </c>
      <c r="AU2571" t="inlineStr">
        <is>
          <t>1.15</t>
        </is>
      </c>
      <c r="AV2571" t="inlineStr">
        <is>
          <t>15</t>
        </is>
      </c>
      <c r="AW2571" t="inlineStr">
        <is>
          <t>0</t>
        </is>
      </c>
      <c r="AX2571" t="inlineStr">
        <is>
          <t>Not Qualified</t>
        </is>
      </c>
      <c r="AY2571" s="4"/>
      <c r="AZ2571"/>
      <c r="BA2571"/>
      <c r="BB2571"/>
      <c r="BC2571" t="inlineStr">
        <is>
          <t>NO ANSWER MORE THAN 3 DAYS, WHATSAPP NO RESPONSE</t>
        </is>
      </c>
      <c r="BD2571" s="4">
        <v>46132.75310185185</v>
      </c>
      <c r="BE2571" t="inlineStr">
        <is>
          <t>pending</t>
        </is>
      </c>
      <c r="BF2571"/>
      <c r="BG2571" t="inlineStr">
        <is>
          <t>Reschedule</t>
        </is>
      </c>
      <c r="BH2571" t="inlineStr">
        <is>
          <t>Edward Hoo</t>
        </is>
      </c>
      <c r="BI2571" t="inlineStr">
        <is>
          <t>Retail / Merchandise</t>
        </is>
      </c>
      <c r="BJ2571" s="4">
        <v>46144.75059027778</v>
      </c>
      <c r="BK2571" s="4">
        <v>44301.63010416667</v>
      </c>
      <c r="BL2571" t="inlineStr">
        <is>
          <t>0.0</t>
        </is>
      </c>
      <c r="BM2571" t="inlineStr">
        <is>
          <t>0.0</t>
        </is>
      </c>
      <c r="BN2571" t="inlineStr">
        <is>
          <t>View Company Page</t>
        </is>
      </c>
      <c r="BO2571" s="4">
        <v>46118.46540509259</v>
      </c>
      <c r="BP2571">
        <v>165351</v>
      </c>
      <c r="BQ2571">
        <v>49976</v>
      </c>
      <c r="BR2571" t="inlineStr">
        <is>
          <t>Proforma</t>
        </is>
      </c>
      <c r="BS2571" t="inlineStr">
        <is>
          <t>A la carte</t>
        </is>
      </c>
      <c r="BT2571"/>
      <c r="BU2571"/>
      <c r="BV2571">
        <v>2716703</v>
      </c>
      <c r="BW2571" t="inlineStr">
        <is>
          <t>No Answer : 3 Days No Response</t>
        </is>
      </c>
      <c r="BX2571"/>
      <c r="BY2571"/>
      <c r="BZ2571" s="4"/>
      <c r="CA2571"/>
      <c r="CB2571"/>
      <c r="CC2571" s="4"/>
      <c r="CD2571" t="inlineStr">
        <is>
          <t>20</t>
        </is>
      </c>
      <c r="CE2571" t="inlineStr">
        <is>
          <t>0</t>
        </is>
      </c>
      <c r="CF2571" t="inlineStr">
        <is>
          <t>Q2-W01</t>
        </is>
      </c>
      <c r="CG2571"/>
      <c r="CH2571"/>
      <c r="CI2571"/>
      <c r="CJ2571" t="inlineStr">
        <is>
          <t>No Paid</t>
        </is>
      </c>
      <c r="CK2571" t="inlineStr">
        <is>
          <t>Not Eligible</t>
        </is>
      </c>
      <c r="CL2571"/>
      <c r="CM2571"/>
    </row>
    <row r="2572" ht="25.5" customHeight="1">
      <c r="A2572" t="inlineStr">
        <is>
          <t>4251433</t>
        </is>
      </c>
      <c r="B2572" s="2"/>
      <c r="C2572"/>
      <c r="D2572" s="3">
        <v>46118.490335648145</v>
      </c>
      <c r="E2572" t="inlineStr">
        <is>
          <t>Q2-W01</t>
        </is>
      </c>
      <c r="F2572" t="inlineStr">
        <is>
          <t>Evan</t>
        </is>
      </c>
      <c r="G2572" t="inlineStr">
        <is>
          <t>Lead</t>
        </is>
      </c>
      <c r="H2572" s="2" t="str">
        <f>=HYPERLINK("https://upbox.ajobthing.my/leads/4251433", "https://upbox.ajobthing.my/leads/4251433")</f>
        <v>https://upbox.ajobthing.my/leads/4251433</v>
      </c>
      <c r="I2572" t="inlineStr">
        <is>
          <t>micro energy holdingd</t>
        </is>
      </c>
      <c r="J2572" t="inlineStr">
        <is>
          <t>Small Fish</t>
        </is>
      </c>
      <c r="K2572" t="inlineStr">
        <is>
          <t>Evan</t>
        </is>
      </c>
      <c r="L2572" s="4"/>
      <c r="M2572" s="4">
        <v>46118.48751157407</v>
      </c>
      <c r="N2572"/>
      <c r="O2572">
        <v>6048</v>
      </c>
      <c r="P2572" s="4"/>
      <c r="Q2572" s="4"/>
      <c r="R2572"/>
      <c r="S2572"/>
      <c r="T2572" s="4"/>
      <c r="U2572" s="4"/>
      <c r="V2572"/>
      <c r="W2572"/>
      <c r="X2572"/>
      <c r="Y2572" t="inlineStr">
        <is>
          <t>Pending Appointment</t>
        </is>
      </c>
      <c r="Z2572" t="inlineStr">
        <is>
          <t>Hiring Now</t>
        </is>
      </c>
      <c r="AA2572">
        <v>1</v>
      </c>
      <c r="AB2572" t="inlineStr">
        <is>
          <t>No Appointment Made</t>
        </is>
      </c>
      <c r="AC2572"/>
      <c r="AD2572" t="inlineStr">
        <is>
          <t>1 project manager, all base in KL</t>
        </is>
      </c>
      <c r="AE2572"/>
      <c r="AF2572">
        <v>1</v>
      </c>
      <c r="AG2572" s="4"/>
      <c r="AH2572" s="4"/>
      <c r="AI2572">
        <v>1</v>
      </c>
      <c r="AJ2572">
        <v>1</v>
      </c>
      <c r="AK2572" t="inlineStr">
        <is>
          <t>Yes, I have</t>
        </is>
      </c>
      <c r="AL2572">
        <v>1</v>
      </c>
      <c r="AM2572" t="inlineStr">
        <is>
          <t>No, I don't need at all</t>
        </is>
      </c>
      <c r="AN2572"/>
      <c r="AO2572" t="inlineStr">
        <is>
          <t>No, I don't need at all</t>
        </is>
      </c>
      <c r="AP2572" t="inlineStr">
        <is>
          <t>Once a year (25%)</t>
        </is>
      </c>
      <c r="AQ2572">
        <v>6</v>
      </c>
      <c r="AR2572" t="inlineStr">
        <is>
          <t>Did not use any job portal</t>
        </is>
      </c>
      <c r="AS2572" t="inlineStr">
        <is>
          <t>- Headcount: 1
- Hiring Job Details: 1 project manager, all base in KL
- Hiring Urgency: Hiring Now
- Number of outlets: 1
- Have recruiter team: Yes
- Number of recruiter in company: 1
- Have ATS system: No, I don't need at all
- Have career website: No, I don't need at all
- Current hiring budget: RM1
- Whole year budget: RM1.00
- Whole year number of vacancies: 6
- Hiring frequency: Once a year (25%)
- External job portal: Did not use any job portal</t>
        </is>
      </c>
      <c r="AT2572">
        <v>115</v>
      </c>
      <c r="AU2572" t="inlineStr">
        <is>
          <t>1.15</t>
        </is>
      </c>
      <c r="AV2572" t="inlineStr">
        <is>
          <t>15</t>
        </is>
      </c>
      <c r="AW2572" t="inlineStr">
        <is>
          <t>0</t>
        </is>
      </c>
      <c r="AX2572" t="inlineStr">
        <is>
          <t>Not Qualified</t>
        </is>
      </c>
      <c r="AY2572" s="4"/>
      <c r="AZ2572"/>
      <c r="BA2572"/>
      <c r="BB2572"/>
      <c r="BC2572"/>
      <c r="BD2572" s="4"/>
      <c r="BE2572"/>
      <c r="BF2572"/>
      <c r="BG2572" t="inlineStr">
        <is>
          <t>Reschedule</t>
        </is>
      </c>
      <c r="BH2572" t="inlineStr">
        <is>
          <t>Edward Hoo</t>
        </is>
      </c>
      <c r="BI2572"/>
      <c r="BJ2572" s="4">
        <v>46144.75571759259</v>
      </c>
      <c r="BK2572" s="4">
        <v>46118.42935185185</v>
      </c>
      <c r="BL2572" t="inlineStr">
        <is>
          <t>0.0</t>
        </is>
      </c>
      <c r="BM2572" t="inlineStr">
        <is>
          <t>0.0</t>
        </is>
      </c>
      <c r="BN2572"/>
      <c r="BO2572" s="4"/>
      <c r="BP2572">
        <v>165350</v>
      </c>
      <c r="BQ2572"/>
      <c r="BR2572"/>
      <c r="BS2572"/>
      <c r="BT2572"/>
      <c r="BU2572"/>
      <c r="BV2572"/>
      <c r="BW2572"/>
      <c r="BX2572"/>
      <c r="BY2572"/>
      <c r="BZ2572" s="4"/>
      <c r="CA2572"/>
      <c r="CB2572"/>
      <c r="CC2572" s="4"/>
      <c r="CD2572" t="inlineStr">
        <is>
          <t>20</t>
        </is>
      </c>
      <c r="CE2572" t="inlineStr">
        <is>
          <t>0</t>
        </is>
      </c>
      <c r="CF2572" t="inlineStr">
        <is>
          <t>Q2-W01</t>
        </is>
      </c>
      <c r="CG2572"/>
      <c r="CH2572"/>
      <c r="CI2572"/>
      <c r="CJ2572" t="inlineStr">
        <is>
          <t>No Paid</t>
        </is>
      </c>
      <c r="CK2572" t="inlineStr">
        <is>
          <t>Not Eligible</t>
        </is>
      </c>
      <c r="CL2572"/>
      <c r="CM2572"/>
    </row>
    <row r="2573" ht="25.5" customHeight="1">
      <c r="A2573" t="inlineStr">
        <is>
          <t>4251471</t>
        </is>
      </c>
      <c r="B2573" s="2"/>
      <c r="C2573"/>
      <c r="D2573" s="3">
        <v>46118.49146990741</v>
      </c>
      <c r="E2573" t="inlineStr">
        <is>
          <t>Q2-W01</t>
        </is>
      </c>
      <c r="F2573" t="inlineStr">
        <is>
          <t>Carmen</t>
        </is>
      </c>
      <c r="G2573" t="inlineStr">
        <is>
          <t>Lead</t>
        </is>
      </c>
      <c r="H2573" s="2" t="str">
        <f>=HYPERLINK("https://upbox.ajobthing.my/leads/4251471", "https://upbox.ajobthing.my/leads/4251471")</f>
        <v>https://upbox.ajobthing.my/leads/4251471</v>
      </c>
      <c r="I2573" t="inlineStr">
        <is>
          <t>KLINIK NAVIS</t>
        </is>
      </c>
      <c r="J2573" t="inlineStr">
        <is>
          <t>Small Fish</t>
        </is>
      </c>
      <c r="K2573" t="inlineStr">
        <is>
          <t>Carmen</t>
        </is>
      </c>
      <c r="L2573" s="4"/>
      <c r="M2573" s="4">
        <v>46118.491643518515</v>
      </c>
      <c r="N2573"/>
      <c r="O2573">
        <v>3888</v>
      </c>
      <c r="P2573" s="4"/>
      <c r="Q2573" s="4"/>
      <c r="R2573"/>
      <c r="S2573"/>
      <c r="T2573" s="4"/>
      <c r="U2573" s="4"/>
      <c r="V2573"/>
      <c r="W2573"/>
      <c r="X2573"/>
      <c r="Y2573" t="inlineStr">
        <is>
          <t>Pending Appointment</t>
        </is>
      </c>
      <c r="Z2573" t="inlineStr">
        <is>
          <t>Hiring Now</t>
        </is>
      </c>
      <c r="AA2573">
        <v>2</v>
      </c>
      <c r="AB2573" t="inlineStr">
        <is>
          <t>No Appointment Made</t>
        </is>
      </c>
      <c r="AC2573"/>
      <c r="AD2573" t="inlineStr">
        <is>
          <t>1 doctor, 1 nurse</t>
        </is>
      </c>
      <c r="AE2573"/>
      <c r="AF2573">
        <v>0</v>
      </c>
      <c r="AG2573" s="4"/>
      <c r="AH2573" s="4"/>
      <c r="AI2573"/>
      <c r="AJ2573"/>
      <c r="AK2573" t="inlineStr">
        <is>
          <t>No, I don't need at all</t>
        </is>
      </c>
      <c r="AL2573">
        <v>1</v>
      </c>
      <c r="AM2573"/>
      <c r="AN2573"/>
      <c r="AO2573"/>
      <c r="AP2573" t="inlineStr">
        <is>
          <t>Once a year (25%)</t>
        </is>
      </c>
      <c r="AQ2573"/>
      <c r="AR2573"/>
      <c r="AS2573" t="inlineStr">
        <is>
          <t>- Headcount: 2
- Hiring Job Details: 1 doctor, 1 nurse
- Hiring Urgency: Hiring Now
- Number of outlets: Not provided
- Have recruiter team: No, I don't need at all
- Number of recruiter in company: 1
- Have ATS system: Not provided
- Have career website: Not provided
- Current hiring budget: RM0.00
- Whole year budget: Not provided
- Whole year number of vacancies: Not provided
- Hiring frequency: Once a year (25%)
- External job portal: Not provided</t>
        </is>
      </c>
      <c r="AT2573">
        <v>75</v>
      </c>
      <c r="AU2573" t="inlineStr">
        <is>
          <t>0.75</t>
        </is>
      </c>
      <c r="AV2573" t="inlineStr">
        <is>
          <t>15</t>
        </is>
      </c>
      <c r="AW2573" t="inlineStr">
        <is>
          <t>0</t>
        </is>
      </c>
      <c r="AX2573" t="inlineStr">
        <is>
          <t>Not Qualified</t>
        </is>
      </c>
      <c r="AY2573" s="4"/>
      <c r="AZ2573"/>
      <c r="BA2573"/>
      <c r="BB2573"/>
      <c r="BC2573"/>
      <c r="BD2573" s="4"/>
      <c r="BE2573"/>
      <c r="BF2573"/>
      <c r="BG2573" t="inlineStr">
        <is>
          <t>Reschedule</t>
        </is>
      </c>
      <c r="BH2573" t="inlineStr">
        <is>
          <t>Reagen</t>
        </is>
      </c>
      <c r="BI2573"/>
      <c r="BJ2573" s="4">
        <v>46144.75571759259</v>
      </c>
      <c r="BK2573" s="4">
        <v>46118.434849537036</v>
      </c>
      <c r="BL2573" t="inlineStr">
        <is>
          <t>0.0</t>
        </is>
      </c>
      <c r="BM2573" t="inlineStr">
        <is>
          <t>0.0</t>
        </is>
      </c>
      <c r="BN2573"/>
      <c r="BO2573" s="4"/>
      <c r="BP2573">
        <v>165354</v>
      </c>
      <c r="BQ2573"/>
      <c r="BR2573"/>
      <c r="BS2573"/>
      <c r="BT2573"/>
      <c r="BU2573"/>
      <c r="BV2573"/>
      <c r="BW2573"/>
      <c r="BX2573"/>
      <c r="BY2573"/>
      <c r="BZ2573" s="4"/>
      <c r="CA2573"/>
      <c r="CB2573"/>
      <c r="CC2573" s="4"/>
      <c r="CD2573" t="inlineStr">
        <is>
          <t>20</t>
        </is>
      </c>
      <c r="CE2573" t="inlineStr">
        <is>
          <t>0</t>
        </is>
      </c>
      <c r="CF2573" t="inlineStr">
        <is>
          <t>Q2-W01</t>
        </is>
      </c>
      <c r="CG2573"/>
      <c r="CH2573"/>
      <c r="CI2573"/>
      <c r="CJ2573" t="inlineStr">
        <is>
          <t>No Paid</t>
        </is>
      </c>
      <c r="CK2573" t="inlineStr">
        <is>
          <t>Not Eligible</t>
        </is>
      </c>
      <c r="CL2573"/>
      <c r="CM2573"/>
    </row>
    <row r="2574" ht="25.5" customHeight="1">
      <c r="A2574" t="inlineStr">
        <is>
          <t>138056</t>
        </is>
      </c>
      <c r="B2574" s="2"/>
      <c r="C2574"/>
      <c r="D2574" s="3">
        <v>46118.499131944445</v>
      </c>
      <c r="E2574" t="inlineStr">
        <is>
          <t>Q2-W01</t>
        </is>
      </c>
      <c r="F2574" t="inlineStr">
        <is>
          <t>Lucas</t>
        </is>
      </c>
      <c r="G2574" t="inlineStr">
        <is>
          <t>Customer</t>
        </is>
      </c>
      <c r="H2574" s="2" t="str">
        <f>=HYPERLINK("https://upbox.ajobthing.my/customer/138056", "https://upbox.ajobthing.my/customer/138056")</f>
        <v>https://upbox.ajobthing.my/customer/138056</v>
      </c>
      <c r="I2574" t="inlineStr">
        <is>
          <t>Laser Engravetech (M) Sdn Bhd</t>
        </is>
      </c>
      <c r="J2574" t="inlineStr">
        <is>
          <t>Small Fish</t>
        </is>
      </c>
      <c r="K2574" t="inlineStr">
        <is>
          <t>Lucas</t>
        </is>
      </c>
      <c r="L2574" s="4"/>
      <c r="M2574" s="4">
        <v>46118.498240740744</v>
      </c>
      <c r="N2574"/>
      <c r="O2574">
        <v>3888</v>
      </c>
      <c r="P2574" s="4"/>
      <c r="Q2574" s="4">
        <v>45481.50440972222</v>
      </c>
      <c r="R2574"/>
      <c r="S2574">
        <v>756</v>
      </c>
      <c r="T2574" s="4">
        <v>45481.50440972222</v>
      </c>
      <c r="U2574" s="4"/>
      <c r="V2574"/>
      <c r="W2574">
        <v>756</v>
      </c>
      <c r="X2574"/>
      <c r="Y2574" t="inlineStr">
        <is>
          <t>Pending Appointment</t>
        </is>
      </c>
      <c r="Z2574" t="inlineStr">
        <is>
          <t>Hiring Now</t>
        </is>
      </c>
      <c r="AA2574">
        <v>2</v>
      </c>
      <c r="AB2574" t="inlineStr">
        <is>
          <t>No Appointment Made</t>
        </is>
      </c>
      <c r="AC2574"/>
      <c r="AD2574" t="inlineStr">
        <is>
          <t>1 Production operator, 1 sales team</t>
        </is>
      </c>
      <c r="AE2574"/>
      <c r="AF2574">
        <v>0</v>
      </c>
      <c r="AG2574" s="4"/>
      <c r="AH2574" s="4"/>
      <c r="AI2574">
        <v>0</v>
      </c>
      <c r="AJ2574">
        <v>0</v>
      </c>
      <c r="AK2574" t="inlineStr">
        <is>
          <t>No, I don't need at all</t>
        </is>
      </c>
      <c r="AL2574">
        <v>0</v>
      </c>
      <c r="AM2574" t="inlineStr">
        <is>
          <t>No, I don't need at all</t>
        </is>
      </c>
      <c r="AN2574"/>
      <c r="AO2574" t="inlineStr">
        <is>
          <t>No, I don't need at all</t>
        </is>
      </c>
      <c r="AP2574" t="inlineStr">
        <is>
          <t>Once a year (25%)</t>
        </is>
      </c>
      <c r="AQ2574">
        <v>2</v>
      </c>
      <c r="AR2574" t="inlineStr">
        <is>
          <t>Did not use any job portal</t>
        </is>
      </c>
      <c r="AS2574" t="inlineStr">
        <is>
          <t>- Headcount: 2
- Hiring Job Details: 1 Production operator, 1 sales team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2574">
        <v>85</v>
      </c>
      <c r="AU2574" t="inlineStr">
        <is>
          <t>0.85</t>
        </is>
      </c>
      <c r="AV2574" t="inlineStr">
        <is>
          <t>15</t>
        </is>
      </c>
      <c r="AW2574" t="inlineStr">
        <is>
          <t>0</t>
        </is>
      </c>
      <c r="AX2574" t="inlineStr">
        <is>
          <t>Not Qualified</t>
        </is>
      </c>
      <c r="AY2574" s="4"/>
      <c r="AZ2574"/>
      <c r="BA2574"/>
      <c r="BB2574"/>
      <c r="BC2574" t="inlineStr">
        <is>
          <t>too expensive , boss choose jobstreet</t>
        </is>
      </c>
      <c r="BD2574" s="4">
        <v>46121.56612268519</v>
      </c>
      <c r="BE2574" t="inlineStr">
        <is>
          <t>paid</t>
        </is>
      </c>
      <c r="BF2574"/>
      <c r="BG2574" t="inlineStr">
        <is>
          <t>Reschedule</t>
        </is>
      </c>
      <c r="BH2574" t="inlineStr">
        <is>
          <t>Yee Hang</t>
        </is>
      </c>
      <c r="BI2574" t="inlineStr">
        <is>
          <t>Manufacturing / Production</t>
        </is>
      </c>
      <c r="BJ2574" s="4">
        <v>46144.750613425924</v>
      </c>
      <c r="BK2574" s="4">
        <v>44326.711701388886</v>
      </c>
      <c r="BL2574" t="inlineStr">
        <is>
          <t>0.0</t>
        </is>
      </c>
      <c r="BM2574" t="inlineStr">
        <is>
          <t>0.0</t>
        </is>
      </c>
      <c r="BN2574" t="inlineStr">
        <is>
          <t>View Company Page</t>
        </is>
      </c>
      <c r="BO2574" s="4">
        <v>45532.74612268519</v>
      </c>
      <c r="BP2574">
        <v>165357</v>
      </c>
      <c r="BQ2574">
        <v>70798</v>
      </c>
      <c r="BR2574" t="inlineStr">
        <is>
          <t>Online</t>
        </is>
      </c>
      <c r="BS2574"/>
      <c r="BT2574">
        <v>70798</v>
      </c>
      <c r="BU2574"/>
      <c r="BV2574">
        <v>2695843</v>
      </c>
      <c r="BW2574" t="inlineStr">
        <is>
          <t>Inquire for Hiring Needs : Budget Concern</t>
        </is>
      </c>
      <c r="BX2574"/>
      <c r="BY2574"/>
      <c r="BZ2574" s="4"/>
      <c r="CA2574"/>
      <c r="CB2574"/>
      <c r="CC2574" s="4"/>
      <c r="CD2574" t="inlineStr">
        <is>
          <t>20</t>
        </is>
      </c>
      <c r="CE2574" t="inlineStr">
        <is>
          <t>0</t>
        </is>
      </c>
      <c r="CF2574" t="inlineStr">
        <is>
          <t>Q2-W01</t>
        </is>
      </c>
      <c r="CG2574"/>
      <c r="CH2574"/>
      <c r="CI2574"/>
      <c r="CJ2574" t="inlineStr">
        <is>
          <t>Paid</t>
        </is>
      </c>
      <c r="CK2574" t="inlineStr">
        <is>
          <t>Not Eligible</t>
        </is>
      </c>
      <c r="CL2574"/>
      <c r="CM2574"/>
    </row>
    <row r="2575" ht="25.5" customHeight="1">
      <c r="A2575" t="inlineStr">
        <is>
          <t>202839</t>
        </is>
      </c>
      <c r="B2575" s="2"/>
      <c r="C2575"/>
      <c r="D2575" s="3">
        <v>46118.50541666667</v>
      </c>
      <c r="E2575" t="inlineStr">
        <is>
          <t>Q2-W01</t>
        </is>
      </c>
      <c r="F2575" t="inlineStr">
        <is>
          <t>Josh</t>
        </is>
      </c>
      <c r="G2575" t="inlineStr">
        <is>
          <t>Customer</t>
        </is>
      </c>
      <c r="H2575" s="2" t="str">
        <f>=HYPERLINK("https://upbox.ajobthing.my/customer/202839", "https://upbox.ajobthing.my/customer/202839")</f>
        <v>https://upbox.ajobthing.my/customer/202839</v>
      </c>
      <c r="I2575" t="inlineStr">
        <is>
          <t>Srg International Employment Agency Pte. Ltd.</t>
        </is>
      </c>
      <c r="J2575" t="inlineStr">
        <is>
          <t>Small Fish</t>
        </is>
      </c>
      <c r="K2575" t="inlineStr">
        <is>
          <t>Josh</t>
        </is>
      </c>
      <c r="L2575" s="4"/>
      <c r="M2575" s="4">
        <v>46137.467511574076</v>
      </c>
      <c r="N2575"/>
      <c r="O2575">
        <v>1728</v>
      </c>
      <c r="P2575" s="4"/>
      <c r="Q2575" s="4">
        <v>46139.61033564815</v>
      </c>
      <c r="R2575"/>
      <c r="S2575">
        <v>864</v>
      </c>
      <c r="T2575" s="4">
        <v>46139.61033564815</v>
      </c>
      <c r="U2575" s="4"/>
      <c r="V2575"/>
      <c r="W2575">
        <v>864</v>
      </c>
      <c r="X2575"/>
      <c r="Y2575" t="inlineStr">
        <is>
          <t>Pending Appointment</t>
        </is>
      </c>
      <c r="Z2575" t="inlineStr">
        <is>
          <t>Hiring Now</t>
        </is>
      </c>
      <c r="AA2575">
        <v>1</v>
      </c>
      <c r="AB2575" t="inlineStr">
        <is>
          <t>No Appointment Made</t>
        </is>
      </c>
      <c r="AC2575"/>
      <c r="AD2575" t="inlineStr">
        <is>
          <t xml:space="preserve">1 sales </t>
        </is>
      </c>
      <c r="AE2575"/>
      <c r="AF2575">
        <v>3000</v>
      </c>
      <c r="AG2575" s="4"/>
      <c r="AH2575" s="4"/>
      <c r="AI2575"/>
      <c r="AJ2575"/>
      <c r="AK2575" t="inlineStr">
        <is>
          <t>Yes, I have</t>
        </is>
      </c>
      <c r="AL2575"/>
      <c r="AM2575"/>
      <c r="AN2575"/>
      <c r="AO2575"/>
      <c r="AP2575" t="inlineStr">
        <is>
          <t>Once a year (25%)</t>
        </is>
      </c>
      <c r="AQ2575"/>
      <c r="AR2575"/>
      <c r="AS2575" t="inlineStr">
        <is>
          <t>- Headcount: 1
- Hiring Job Details: 1 sales
- Hiring Urgency: Hiring Now
- Number of outlets: Not specified
- Have recruiter team: Yes
- Number of recruiter in company: Not specified
- Have ATS system: Not specified
- Have career website: Not specified
- Current hiring budget: RM3,000.00
- Whole year budget: Not specified
- Whole year number of vacancies: Not specified
- Hiring frequency: Once a year (25%)
- External job portal: Not specified</t>
        </is>
      </c>
      <c r="AT2575">
        <v>95</v>
      </c>
      <c r="AU2575" t="inlineStr">
        <is>
          <t>0.95</t>
        </is>
      </c>
      <c r="AV2575" t="inlineStr">
        <is>
          <t>15</t>
        </is>
      </c>
      <c r="AW2575" t="inlineStr">
        <is>
          <t>0</t>
        </is>
      </c>
      <c r="AX2575" t="inlineStr">
        <is>
          <t>Not Qualified</t>
        </is>
      </c>
      <c r="AY2575" s="4"/>
      <c r="AZ2575"/>
      <c r="BA2575"/>
      <c r="BB2575"/>
      <c r="BC2575" t="inlineStr">
        <is>
          <t>assist system</t>
        </is>
      </c>
      <c r="BD2575" s="4">
        <v>46140.470983796295</v>
      </c>
      <c r="BE2575" t="inlineStr">
        <is>
          <t>paid</t>
        </is>
      </c>
      <c r="BF2575" t="inlineStr">
        <is>
          <t>Q2-W04</t>
        </is>
      </c>
      <c r="BG2575" t="inlineStr">
        <is>
          <t>Reschedule</t>
        </is>
      </c>
      <c r="BH2575" t="inlineStr">
        <is>
          <t>Fauziah Maharan</t>
        </is>
      </c>
      <c r="BI2575" t="inlineStr">
        <is>
          <t>HR Mgmt / Consulting</t>
        </is>
      </c>
      <c r="BJ2575" s="4">
        <v>46144.75414351852</v>
      </c>
      <c r="BK2575" s="4">
        <v>46118.029386574075</v>
      </c>
      <c r="BL2575" t="inlineStr">
        <is>
          <t>864.0</t>
        </is>
      </c>
      <c r="BM2575" t="inlineStr">
        <is>
          <t>0.0</t>
        </is>
      </c>
      <c r="BN2575" t="inlineStr">
        <is>
          <t>User Visit(Logged In)</t>
        </is>
      </c>
      <c r="BO2575" s="4">
        <v>46141.08582175926</v>
      </c>
      <c r="BP2575">
        <v>168921</v>
      </c>
      <c r="BQ2575">
        <v>94809</v>
      </c>
      <c r="BR2575" t="inlineStr">
        <is>
          <t>Online</t>
        </is>
      </c>
      <c r="BS2575"/>
      <c r="BT2575">
        <v>94809</v>
      </c>
      <c r="BU2575"/>
      <c r="BV2575">
        <v>2732073</v>
      </c>
      <c r="BW2575" t="inlineStr">
        <is>
          <t>Service / Technical : Job Outcome Enquiry</t>
        </is>
      </c>
      <c r="BX2575">
        <v>1</v>
      </c>
      <c r="BY2575">
        <v>0</v>
      </c>
      <c r="BZ2575" s="4">
        <v>46140.409108796295</v>
      </c>
      <c r="CA2575">
        <v>10</v>
      </c>
      <c r="CB2575">
        <v>10</v>
      </c>
      <c r="CC2575" s="4"/>
      <c r="CD2575" t="inlineStr">
        <is>
          <t>20</t>
        </is>
      </c>
      <c r="CE2575" t="inlineStr">
        <is>
          <t>0</t>
        </is>
      </c>
      <c r="CF2575" t="inlineStr">
        <is>
          <t>Q2-W04</t>
        </is>
      </c>
      <c r="CG2575" t="inlineStr">
        <is>
          <t>Q2-W04</t>
        </is>
      </c>
      <c r="CH2575" t="inlineStr">
        <is>
          <t>Q2-W04</t>
        </is>
      </c>
      <c r="CI2575"/>
      <c r="CJ2575" t="inlineStr">
        <is>
          <t>Paid</t>
        </is>
      </c>
      <c r="CK2575" t="inlineStr">
        <is>
          <t>Not Eligible</t>
        </is>
      </c>
      <c r="CL2575"/>
      <c r="CM2575"/>
    </row>
    <row r="2576" ht="25.5" customHeight="1">
      <c r="A2576" t="inlineStr">
        <is>
          <t>4251927</t>
        </is>
      </c>
      <c r="B2576" s="2"/>
      <c r="C2576"/>
      <c r="D2576" s="3">
        <v>46118.5112037037</v>
      </c>
      <c r="E2576" t="inlineStr">
        <is>
          <t>Q2-W01</t>
        </is>
      </c>
      <c r="F2576" t="inlineStr">
        <is>
          <t>Yuli</t>
        </is>
      </c>
      <c r="G2576" t="inlineStr">
        <is>
          <t>Lead</t>
        </is>
      </c>
      <c r="H2576" s="2" t="str">
        <f>=HYPERLINK("https://upbox.ajobthing.my/leads/4251927", "https://upbox.ajobthing.my/leads/4251927")</f>
        <v>https://upbox.ajobthing.my/leads/4251927</v>
      </c>
      <c r="I2576" t="inlineStr">
        <is>
          <t>RACC-Harris</t>
        </is>
      </c>
      <c r="J2576" t="inlineStr">
        <is>
          <t>Small Fish</t>
        </is>
      </c>
      <c r="K2576" t="inlineStr">
        <is>
          <t>YuLi</t>
        </is>
      </c>
      <c r="L2576" s="4"/>
      <c r="M2576" s="4">
        <v>46119.51391203704</v>
      </c>
      <c r="N2576"/>
      <c r="O2576">
        <v>12960</v>
      </c>
      <c r="P2576" s="4"/>
      <c r="Q2576" s="4"/>
      <c r="R2576"/>
      <c r="S2576"/>
      <c r="T2576" s="4"/>
      <c r="U2576" s="4"/>
      <c r="V2576"/>
      <c r="W2576"/>
      <c r="X2576"/>
      <c r="Y2576" t="inlineStr">
        <is>
          <t>Pending Appointment</t>
        </is>
      </c>
      <c r="Z2576" t="inlineStr">
        <is>
          <t>Hiring Now</t>
        </is>
      </c>
      <c r="AA2576">
        <v>11</v>
      </c>
      <c r="AB2576" t="inlineStr">
        <is>
          <t>No Appointment Made</t>
        </is>
      </c>
      <c r="AC2576"/>
      <c r="AD2576" t="inlineStr">
        <is>
          <t>Sales unlimited headcount
PA-10 headcount</t>
        </is>
      </c>
      <c r="AE2576"/>
      <c r="AF2576">
        <v>6000</v>
      </c>
      <c r="AG2576" s="4"/>
      <c r="AH2576" s="4"/>
      <c r="AI2576"/>
      <c r="AJ2576"/>
      <c r="AK2576" t="inlineStr">
        <is>
          <t>Yes, I have</t>
        </is>
      </c>
      <c r="AL2576"/>
      <c r="AM2576"/>
      <c r="AN2576"/>
      <c r="AO2576"/>
      <c r="AP2576" t="inlineStr">
        <is>
          <t>Every month (100%)</t>
        </is>
      </c>
      <c r="AQ2576"/>
      <c r="AR2576" t="inlineStr">
        <is>
          <t>Jobstreet</t>
        </is>
      </c>
      <c r="AS2576" t="inlineStr">
        <is>
          <t>- Headcount: 11
- Hiring Job Details: Sales unlimited headcount; PA-10 headcount
- Hiring Urgency: Hiring Now
- Number of outlets: Not available
- Have recruiter team: Yes
- Number of recruiter in company: Not available
- Have ATS system: Not available
- Have career website: Not available
- Current hiring budget: RM6,000.00
- Whole year budget: Not available
- Whole year number of vacancies: Not available
- Hiring frequency: Every month (100%)
- External job portal: Jobstreet</t>
        </is>
      </c>
      <c r="AT2576">
        <v>75</v>
      </c>
      <c r="AU2576" t="inlineStr">
        <is>
          <t>0.75</t>
        </is>
      </c>
      <c r="AV2576" t="inlineStr">
        <is>
          <t>25</t>
        </is>
      </c>
      <c r="AW2576" t="inlineStr">
        <is>
          <t>0</t>
        </is>
      </c>
      <c r="AX2576" t="inlineStr">
        <is>
          <t>Not Qualified</t>
        </is>
      </c>
      <c r="AY2576" s="4"/>
      <c r="AZ2576"/>
      <c r="BA2576"/>
      <c r="BB2576"/>
      <c r="BC2576"/>
      <c r="BD2576" s="4"/>
      <c r="BE2576"/>
      <c r="BF2576"/>
      <c r="BG2576" t="inlineStr">
        <is>
          <t>Reschedule</t>
        </is>
      </c>
      <c r="BH2576" t="inlineStr">
        <is>
          <t>Fauziah Maharan</t>
        </is>
      </c>
      <c r="BI2576"/>
      <c r="BJ2576" s="4">
        <v>46144.75571759259</v>
      </c>
      <c r="BK2576" s="4">
        <v>46118.5096875</v>
      </c>
      <c r="BL2576" t="inlineStr">
        <is>
          <t>0.0</t>
        </is>
      </c>
      <c r="BM2576" t="inlineStr">
        <is>
          <t>0.0</t>
        </is>
      </c>
      <c r="BN2576"/>
      <c r="BO2576" s="4"/>
      <c r="BP2576">
        <v>165635</v>
      </c>
      <c r="BQ2576"/>
      <c r="BR2576"/>
      <c r="BS2576"/>
      <c r="BT2576"/>
      <c r="BU2576"/>
      <c r="BV2576"/>
      <c r="BW2576"/>
      <c r="BX2576"/>
      <c r="BY2576"/>
      <c r="BZ2576" s="4"/>
      <c r="CA2576"/>
      <c r="CB2576"/>
      <c r="CC2576" s="4"/>
      <c r="CD2576" t="inlineStr">
        <is>
          <t>35</t>
        </is>
      </c>
      <c r="CE2576" t="inlineStr">
        <is>
          <t>0</t>
        </is>
      </c>
      <c r="CF2576" t="inlineStr">
        <is>
          <t>Q2-W01</t>
        </is>
      </c>
      <c r="CG2576"/>
      <c r="CH2576"/>
      <c r="CI2576"/>
      <c r="CJ2576" t="inlineStr">
        <is>
          <t>No Paid</t>
        </is>
      </c>
      <c r="CK2576" t="inlineStr">
        <is>
          <t>Eligible</t>
        </is>
      </c>
      <c r="CL2576"/>
      <c r="CM2576"/>
    </row>
    <row r="2577" ht="25.5" customHeight="1">
      <c r="A2577" t="inlineStr">
        <is>
          <t>4232909</t>
        </is>
      </c>
      <c r="B2577" s="2"/>
      <c r="C2577"/>
      <c r="D2577" s="3">
        <v>46118.51773148148</v>
      </c>
      <c r="E2577" t="inlineStr">
        <is>
          <t>Q2-W01</t>
        </is>
      </c>
      <c r="F2577" t="inlineStr">
        <is>
          <t>Josh</t>
        </is>
      </c>
      <c r="G2577" t="inlineStr">
        <is>
          <t>Lead</t>
        </is>
      </c>
      <c r="H2577" s="2" t="str">
        <f>=HYPERLINK("https://upbox.ajobthing.my/leads/4232909", "https://upbox.ajobthing.my/leads/4232909")</f>
        <v>https://upbox.ajobthing.my/leads/4232909</v>
      </c>
      <c r="I2577" t="inlineStr">
        <is>
          <t>MR.EVENT DECORATION</t>
        </is>
      </c>
      <c r="J2577" t="inlineStr">
        <is>
          <t>Small Fish</t>
        </is>
      </c>
      <c r="K2577" t="inlineStr">
        <is>
          <t>Josh</t>
        </is>
      </c>
      <c r="L2577" s="4"/>
      <c r="M2577" s="4">
        <v>46118.51877314815</v>
      </c>
      <c r="N2577"/>
      <c r="O2577">
        <v>3672</v>
      </c>
      <c r="P2577" s="4"/>
      <c r="Q2577" s="4"/>
      <c r="R2577"/>
      <c r="S2577"/>
      <c r="T2577" s="4"/>
      <c r="U2577" s="4"/>
      <c r="V2577"/>
      <c r="W2577"/>
      <c r="X2577"/>
      <c r="Y2577" t="inlineStr">
        <is>
          <t>Pending Appointment</t>
        </is>
      </c>
      <c r="Z2577" t="inlineStr">
        <is>
          <t>Hiring Now</t>
        </is>
      </c>
      <c r="AA2577">
        <v>1</v>
      </c>
      <c r="AB2577" t="inlineStr">
        <is>
          <t>No Appointment Made</t>
        </is>
      </c>
      <c r="AC2577"/>
      <c r="AD2577" t="inlineStr">
        <is>
          <t xml:space="preserve">1 project manager </t>
        </is>
      </c>
      <c r="AE2577"/>
      <c r="AF2577">
        <v>3000</v>
      </c>
      <c r="AG2577" s="4"/>
      <c r="AH2577" s="4"/>
      <c r="AI2577"/>
      <c r="AJ2577"/>
      <c r="AK2577" t="inlineStr">
        <is>
          <t>Yes, I have</t>
        </is>
      </c>
      <c r="AL2577">
        <v>1</v>
      </c>
      <c r="AM2577"/>
      <c r="AN2577"/>
      <c r="AO2577"/>
      <c r="AP2577" t="inlineStr">
        <is>
          <t>Once a year (25%)</t>
        </is>
      </c>
      <c r="AQ2577"/>
      <c r="AR2577"/>
      <c r="AS2577" t="inlineStr">
        <is>
          <t>- Headcount: 1
- Hiring Job Details: 1 project manager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AT2577">
        <v>95</v>
      </c>
      <c r="AU2577" t="inlineStr">
        <is>
          <t>0.95</t>
        </is>
      </c>
      <c r="AV2577" t="inlineStr">
        <is>
          <t>15</t>
        </is>
      </c>
      <c r="AW2577" t="inlineStr">
        <is>
          <t>0</t>
        </is>
      </c>
      <c r="AX2577" t="inlineStr">
        <is>
          <t>Not Qualified</t>
        </is>
      </c>
      <c r="AY2577" s="4"/>
      <c r="AZ2577"/>
      <c r="BA2577"/>
      <c r="BB2577"/>
      <c r="BC2577"/>
      <c r="BD2577" s="4"/>
      <c r="BE2577"/>
      <c r="BF2577"/>
      <c r="BG2577" t="inlineStr">
        <is>
          <t>Reschedule</t>
        </is>
      </c>
      <c r="BH2577" t="inlineStr">
        <is>
          <t>Fauziah Maharan</t>
        </is>
      </c>
      <c r="BI2577"/>
      <c r="BJ2577" s="4">
        <v>46144.755694444444</v>
      </c>
      <c r="BK2577" s="4">
        <v>46114.90699074074</v>
      </c>
      <c r="BL2577" t="inlineStr">
        <is>
          <t>0.0</t>
        </is>
      </c>
      <c r="BM2577" t="inlineStr">
        <is>
          <t>900.0</t>
        </is>
      </c>
      <c r="BN2577"/>
      <c r="BO2577" s="4"/>
      <c r="BP2577">
        <v>165369</v>
      </c>
      <c r="BQ2577"/>
      <c r="BR2577"/>
      <c r="BS2577"/>
      <c r="BT2577"/>
      <c r="BU2577"/>
      <c r="BV2577"/>
      <c r="BW2577"/>
      <c r="BX2577"/>
      <c r="BY2577"/>
      <c r="BZ2577" s="4"/>
      <c r="CA2577"/>
      <c r="CB2577"/>
      <c r="CC2577" s="4"/>
      <c r="CD2577" t="inlineStr">
        <is>
          <t>20</t>
        </is>
      </c>
      <c r="CE2577" t="inlineStr">
        <is>
          <t>0</t>
        </is>
      </c>
      <c r="CF2577" t="inlineStr">
        <is>
          <t>Q2-W01</t>
        </is>
      </c>
      <c r="CG2577"/>
      <c r="CH2577"/>
      <c r="CI2577"/>
      <c r="CJ2577" t="inlineStr">
        <is>
          <t>No Paid</t>
        </is>
      </c>
      <c r="CK2577" t="inlineStr">
        <is>
          <t>Not Eligible</t>
        </is>
      </c>
      <c r="CL2577"/>
      <c r="CM2577"/>
    </row>
    <row r="2578" ht="25.5" customHeight="1">
      <c r="A2578" t="inlineStr">
        <is>
          <t>202849</t>
        </is>
      </c>
      <c r="B2578" s="2"/>
      <c r="C2578"/>
      <c r="D2578" s="3">
        <v>46118.523935185185</v>
      </c>
      <c r="E2578" t="inlineStr">
        <is>
          <t>Q2-W01</t>
        </is>
      </c>
      <c r="F2578" t="inlineStr">
        <is>
          <t>Chia Yee</t>
        </is>
      </c>
      <c r="G2578" t="inlineStr">
        <is>
          <t>Customer</t>
        </is>
      </c>
      <c r="H2578" s="2" t="str">
        <f>=HYPERLINK("https://upbox.ajobthing.my/customer/202849", "https://upbox.ajobthing.my/customer/202849")</f>
        <v>https://upbox.ajobthing.my/customer/202849</v>
      </c>
      <c r="I2578" t="inlineStr">
        <is>
          <t>Contidrive Autohaus Sdn Bhd</t>
        </is>
      </c>
      <c r="J2578" t="inlineStr">
        <is>
          <t>Small Fish</t>
        </is>
      </c>
      <c r="K2578" t="inlineStr">
        <is>
          <t>Chia Yee</t>
        </is>
      </c>
      <c r="L2578" s="4"/>
      <c r="M2578" s="4">
        <v>46118.524097222224</v>
      </c>
      <c r="N2578"/>
      <c r="O2578">
        <v>1296</v>
      </c>
      <c r="P2578" s="4"/>
      <c r="Q2578" s="4"/>
      <c r="R2578"/>
      <c r="S2578"/>
      <c r="T2578" s="4"/>
      <c r="U2578" s="4"/>
      <c r="V2578"/>
      <c r="W2578"/>
      <c r="X2578"/>
      <c r="Y2578" t="inlineStr">
        <is>
          <t>Pending Appointment</t>
        </is>
      </c>
      <c r="Z2578" t="inlineStr">
        <is>
          <t>Hiring Now</t>
        </is>
      </c>
      <c r="AA2578">
        <v>1</v>
      </c>
      <c r="AB2578" t="inlineStr">
        <is>
          <t>No Appointment Made</t>
        </is>
      </c>
      <c r="AC2578"/>
      <c r="AD2578" t="inlineStr">
        <is>
          <t xml:space="preserve"> 1 account cum admin clerk</t>
        </is>
      </c>
      <c r="AE2578"/>
      <c r="AF2578">
        <v>0</v>
      </c>
      <c r="AG2578" s="4"/>
      <c r="AH2578" s="4"/>
      <c r="AI2578">
        <v>0</v>
      </c>
      <c r="AJ2578">
        <v>0</v>
      </c>
      <c r="AK2578" t="inlineStr">
        <is>
          <t>No, I don't need at all</t>
        </is>
      </c>
      <c r="AL2578">
        <v>1</v>
      </c>
      <c r="AM2578" t="inlineStr">
        <is>
          <t>No, I don't need at all</t>
        </is>
      </c>
      <c r="AN2578"/>
      <c r="AO2578" t="inlineStr">
        <is>
          <t>No, I don't need at all</t>
        </is>
      </c>
      <c r="AP2578" t="inlineStr">
        <is>
          <t>Once a year (25%)</t>
        </is>
      </c>
      <c r="AQ2578">
        <v>1</v>
      </c>
      <c r="AR2578" t="inlineStr">
        <is>
          <t>Did not use any job portal</t>
        </is>
      </c>
      <c r="AS2578" t="inlineStr">
        <is>
          <t>- Headcount: 1
- Hiring Job Details: 1 account cum admin clerk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578">
        <v>110</v>
      </c>
      <c r="AU2578" t="inlineStr">
        <is>
          <t>1.10</t>
        </is>
      </c>
      <c r="AV2578" t="inlineStr">
        <is>
          <t>15</t>
        </is>
      </c>
      <c r="AW2578" t="inlineStr">
        <is>
          <t>0</t>
        </is>
      </c>
      <c r="AX2578" t="inlineStr">
        <is>
          <t>Not Qualified</t>
        </is>
      </c>
      <c r="AY2578" s="4"/>
      <c r="AZ2578"/>
      <c r="BA2578"/>
      <c r="BB2578"/>
      <c r="BC2578" t="inlineStr">
        <is>
          <t>Ask call. WA called , talk long for nonsense. said prrevious our price also not so expensive. Now ask for more offer for single job . And location at sarawak, said database not strong. Ask feedback to management offer free / more discount ==</t>
        </is>
      </c>
      <c r="BD2578" s="4">
        <v>46122.3900462963</v>
      </c>
      <c r="BE2578"/>
      <c r="BF2578"/>
      <c r="BG2578" t="inlineStr">
        <is>
          <t>Reschedule</t>
        </is>
      </c>
      <c r="BH2578" t="inlineStr">
        <is>
          <t>Reagen</t>
        </is>
      </c>
      <c r="BI2578" t="inlineStr">
        <is>
          <t>Repair / Maintenance</t>
        </is>
      </c>
      <c r="BJ2578" s="4">
        <v>46144.75414351852</v>
      </c>
      <c r="BK2578" s="4">
        <v>46118.512453703705</v>
      </c>
      <c r="BL2578" t="inlineStr">
        <is>
          <t>0.0</t>
        </is>
      </c>
      <c r="BM2578" t="inlineStr">
        <is>
          <t>0.0</t>
        </is>
      </c>
      <c r="BN2578" t="inlineStr">
        <is>
          <t>View Company Page</t>
        </is>
      </c>
      <c r="BO2578" s="4">
        <v>46118.51896990741</v>
      </c>
      <c r="BP2578">
        <v>165371</v>
      </c>
      <c r="BQ2578"/>
      <c r="BR2578"/>
      <c r="BS2578"/>
      <c r="BT2578"/>
      <c r="BU2578"/>
      <c r="BV2578">
        <v>2697186</v>
      </c>
      <c r="BW2578" t="inlineStr">
        <is>
          <t>Follow Up : Budget Concern</t>
        </is>
      </c>
      <c r="BX2578"/>
      <c r="BY2578"/>
      <c r="BZ2578" s="4"/>
      <c r="CA2578"/>
      <c r="CB2578"/>
      <c r="CC2578" s="4"/>
      <c r="CD2578" t="inlineStr">
        <is>
          <t>20</t>
        </is>
      </c>
      <c r="CE2578" t="inlineStr">
        <is>
          <t>0</t>
        </is>
      </c>
      <c r="CF2578" t="inlineStr">
        <is>
          <t>Q2-W01</t>
        </is>
      </c>
      <c r="CG2578"/>
      <c r="CH2578"/>
      <c r="CI2578"/>
      <c r="CJ2578" t="inlineStr">
        <is>
          <t>No Paid</t>
        </is>
      </c>
      <c r="CK2578" t="inlineStr">
        <is>
          <t>Not Eligible</t>
        </is>
      </c>
      <c r="CL2578"/>
      <c r="CM2578"/>
    </row>
    <row r="2579" ht="25.5" customHeight="1">
      <c r="A2579" t="inlineStr">
        <is>
          <t>202817</t>
        </is>
      </c>
      <c r="B2579" s="2"/>
      <c r="C2579"/>
      <c r="D2579" s="3">
        <v>46118.55269675926</v>
      </c>
      <c r="E2579" t="inlineStr">
        <is>
          <t>Q2-W01</t>
        </is>
      </c>
      <c r="F2579" t="inlineStr">
        <is>
          <t>Chia Yee</t>
        </is>
      </c>
      <c r="G2579" t="inlineStr">
        <is>
          <t>Customer</t>
        </is>
      </c>
      <c r="H2579" s="2" t="str">
        <f>=HYPERLINK("https://upbox.ajobthing.my/customer/202817", "https://upbox.ajobthing.my/customer/202817")</f>
        <v>https://upbox.ajobthing.my/customer/202817</v>
      </c>
      <c r="I2579" t="inlineStr">
        <is>
          <t>Restaurant Asam Pedas tj</t>
        </is>
      </c>
      <c r="J2579" t="inlineStr">
        <is>
          <t>Small Fish</t>
        </is>
      </c>
      <c r="K2579" t="inlineStr">
        <is>
          <t>Chia Yee</t>
        </is>
      </c>
      <c r="L2579" s="4"/>
      <c r="M2579" s="4">
        <v>46118.554502314815</v>
      </c>
      <c r="N2579"/>
      <c r="O2579">
        <v>1296</v>
      </c>
      <c r="P2579" s="4"/>
      <c r="Q2579" s="4"/>
      <c r="R2579"/>
      <c r="S2579"/>
      <c r="T2579" s="4"/>
      <c r="U2579" s="4"/>
      <c r="V2579"/>
      <c r="W2579"/>
      <c r="X2579"/>
      <c r="Y2579" t="inlineStr">
        <is>
          <t>Pending Appointment</t>
        </is>
      </c>
      <c r="Z2579" t="inlineStr">
        <is>
          <t>Hiring Now</t>
        </is>
      </c>
      <c r="AA2579">
        <v>2</v>
      </c>
      <c r="AB2579" t="inlineStr">
        <is>
          <t>No Appointment Made</t>
        </is>
      </c>
      <c r="AC2579"/>
      <c r="AD2579" t="inlineStr">
        <is>
          <t>2 cooker</t>
        </is>
      </c>
      <c r="AE2579"/>
      <c r="AF2579">
        <v>0</v>
      </c>
      <c r="AG2579" s="4"/>
      <c r="AH2579" s="4"/>
      <c r="AI2579">
        <v>0</v>
      </c>
      <c r="AJ2579">
        <v>1</v>
      </c>
      <c r="AK2579" t="inlineStr">
        <is>
          <t>No, I don't need at all</t>
        </is>
      </c>
      <c r="AL2579">
        <v>1</v>
      </c>
      <c r="AM2579" t="inlineStr">
        <is>
          <t>No, I don't need at all</t>
        </is>
      </c>
      <c r="AN2579"/>
      <c r="AO2579" t="inlineStr">
        <is>
          <t>No, I don't need at all</t>
        </is>
      </c>
      <c r="AP2579" t="inlineStr">
        <is>
          <t>Once a year (25%)</t>
        </is>
      </c>
      <c r="AQ2579">
        <v>2</v>
      </c>
      <c r="AR2579" t="inlineStr">
        <is>
          <t>Did not use any job portal</t>
        </is>
      </c>
      <c r="AS2579" t="inlineStr">
        <is>
          <t>- Headcount: 2
- Hiring Job Details: 2 cooker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2579">
        <v>110</v>
      </c>
      <c r="AU2579" t="inlineStr">
        <is>
          <t>1.10</t>
        </is>
      </c>
      <c r="AV2579" t="inlineStr">
        <is>
          <t>15</t>
        </is>
      </c>
      <c r="AW2579" t="inlineStr">
        <is>
          <t>0</t>
        </is>
      </c>
      <c r="AX2579" t="inlineStr">
        <is>
          <t>Not Qualified</t>
        </is>
      </c>
      <c r="AY2579" s="4"/>
      <c r="AZ2579"/>
      <c r="BA2579"/>
      <c r="BB2579"/>
      <c r="BC2579" t="inlineStr">
        <is>
          <t>Called, no ans. WA</t>
        </is>
      </c>
      <c r="BD2579" s="4">
        <v>46133.65528935185</v>
      </c>
      <c r="BE2579"/>
      <c r="BF2579"/>
      <c r="BG2579" t="inlineStr">
        <is>
          <t>Reschedule</t>
        </is>
      </c>
      <c r="BH2579" t="inlineStr">
        <is>
          <t>Reagen</t>
        </is>
      </c>
      <c r="BI2579" t="inlineStr">
        <is>
          <t>Food / Beverage</t>
        </is>
      </c>
      <c r="BJ2579" s="4">
        <v>46144.75412037037</v>
      </c>
      <c r="BK2579" s="4">
        <v>46116.190046296295</v>
      </c>
      <c r="BL2579" t="inlineStr">
        <is>
          <t>0.0</t>
        </is>
      </c>
      <c r="BM2579" t="inlineStr">
        <is>
          <t>0.0</t>
        </is>
      </c>
      <c r="BN2579" t="inlineStr">
        <is>
          <t>View Company Page</t>
        </is>
      </c>
      <c r="BO2579" s="4">
        <v>46119.03212962963</v>
      </c>
      <c r="BP2579">
        <v>165377</v>
      </c>
      <c r="BQ2579"/>
      <c r="BR2579"/>
      <c r="BS2579"/>
      <c r="BT2579"/>
      <c r="BU2579"/>
      <c r="BV2579">
        <v>2718612</v>
      </c>
      <c r="BW2579" t="inlineStr">
        <is>
          <t>No Answer : Voicemail - WA sent to customer</t>
        </is>
      </c>
      <c r="BX2579"/>
      <c r="BY2579"/>
      <c r="BZ2579" s="4"/>
      <c r="CA2579"/>
      <c r="CB2579"/>
      <c r="CC2579" s="4"/>
      <c r="CD2579" t="inlineStr">
        <is>
          <t>20</t>
        </is>
      </c>
      <c r="CE2579" t="inlineStr">
        <is>
          <t>0</t>
        </is>
      </c>
      <c r="CF2579" t="inlineStr">
        <is>
          <t>Q2-W01</t>
        </is>
      </c>
      <c r="CG2579"/>
      <c r="CH2579"/>
      <c r="CI2579"/>
      <c r="CJ2579" t="inlineStr">
        <is>
          <t>No Paid</t>
        </is>
      </c>
      <c r="CK2579" t="inlineStr">
        <is>
          <t>Not Eligible</t>
        </is>
      </c>
      <c r="CL2579"/>
      <c r="CM2579"/>
    </row>
    <row r="2580" ht="25.5" customHeight="1">
      <c r="A2580" t="inlineStr">
        <is>
          <t>138940</t>
        </is>
      </c>
      <c r="B2580" s="2"/>
      <c r="C2580"/>
      <c r="D2580" s="3">
        <v>46118.56238425926</v>
      </c>
      <c r="E2580" t="inlineStr">
        <is>
          <t>Q2-W01</t>
        </is>
      </c>
      <c r="F2580" t="inlineStr">
        <is>
          <t>Dickson</t>
        </is>
      </c>
      <c r="G2580" t="inlineStr">
        <is>
          <t>Customer</t>
        </is>
      </c>
      <c r="H2580" s="2" t="str">
        <f>=HYPERLINK("https://upbox.ajobthing.my/customer/138940", "https://upbox.ajobthing.my/customer/138940")</f>
        <v>https://upbox.ajobthing.my/customer/138940</v>
      </c>
      <c r="I2580" t="inlineStr">
        <is>
          <t>Aducktive Food Sdn Bhd</t>
        </is>
      </c>
      <c r="J2580" t="inlineStr">
        <is>
          <t>Small Fish</t>
        </is>
      </c>
      <c r="K2580" t="inlineStr">
        <is>
          <t>Dickson</t>
        </is>
      </c>
      <c r="L2580" s="4"/>
      <c r="M2580" s="4">
        <v>46118.56251157408</v>
      </c>
      <c r="N2580"/>
      <c r="O2580">
        <v>3672</v>
      </c>
      <c r="P2580" s="4"/>
      <c r="Q2580" s="4">
        <v>45247.70752314815</v>
      </c>
      <c r="R2580"/>
      <c r="S2580">
        <v>636</v>
      </c>
      <c r="T2580" s="4">
        <v>45247.70752314815</v>
      </c>
      <c r="U2580" s="4"/>
      <c r="V2580"/>
      <c r="W2580">
        <v>636</v>
      </c>
      <c r="X2580"/>
      <c r="Y2580" t="inlineStr">
        <is>
          <t>Pending Appointment</t>
        </is>
      </c>
      <c r="Z2580" t="inlineStr">
        <is>
          <t>Hiring Now</t>
        </is>
      </c>
      <c r="AA2580">
        <v>2</v>
      </c>
      <c r="AB2580" t="inlineStr">
        <is>
          <t>No Appointment Made</t>
        </is>
      </c>
      <c r="AC2580"/>
      <c r="AD2580" t="inlineStr">
        <is>
          <t>1 sales executive, 1 account executive</t>
        </is>
      </c>
      <c r="AE2580"/>
      <c r="AF2580"/>
      <c r="AG2580" s="4"/>
      <c r="AH2580" s="4"/>
      <c r="AI2580"/>
      <c r="AJ2580">
        <v>1</v>
      </c>
      <c r="AK2580" t="inlineStr">
        <is>
          <t>No, I don't need at all</t>
        </is>
      </c>
      <c r="AL2580"/>
      <c r="AM2580" t="inlineStr">
        <is>
          <t>No, I don't need at all</t>
        </is>
      </c>
      <c r="AN2580"/>
      <c r="AO2580" t="inlineStr">
        <is>
          <t>No, I don't need at all</t>
        </is>
      </c>
      <c r="AP2580" t="inlineStr">
        <is>
          <t>Once per quarter (75%)</t>
        </is>
      </c>
      <c r="AQ2580"/>
      <c r="AR2580"/>
      <c r="AS2580" t="inlineStr">
        <is>
          <t>- Headcount: 2
- Hiring Job Details: 1 sales executive, 1 account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2580">
        <v>95</v>
      </c>
      <c r="AU2580" t="inlineStr">
        <is>
          <t>0.95</t>
        </is>
      </c>
      <c r="AV2580" t="inlineStr">
        <is>
          <t>5</t>
        </is>
      </c>
      <c r="AW2580" t="inlineStr">
        <is>
          <t>0</t>
        </is>
      </c>
      <c r="AX2580" t="inlineStr">
        <is>
          <t>Not Qualified</t>
        </is>
      </c>
      <c r="AY2580" s="4"/>
      <c r="AZ2580"/>
      <c r="BA2580"/>
      <c r="BB2580"/>
      <c r="BC2580" t="inlineStr">
        <is>
          <t>no response</t>
        </is>
      </c>
      <c r="BD2580" s="4">
        <v>46134.484247685185</v>
      </c>
      <c r="BE2580" t="inlineStr">
        <is>
          <t>paid</t>
        </is>
      </c>
      <c r="BF2580"/>
      <c r="BG2580" t="inlineStr">
        <is>
          <t>Reschedule</t>
        </is>
      </c>
      <c r="BH2580" t="inlineStr">
        <is>
          <t>Edward Hoo</t>
        </is>
      </c>
      <c r="BI2580" t="inlineStr">
        <is>
          <t>Manufacturing / Production</t>
        </is>
      </c>
      <c r="BJ2580" s="4">
        <v>46144.75063657408</v>
      </c>
      <c r="BK2580" s="4">
        <v>44365.661099537036</v>
      </c>
      <c r="BL2580" t="inlineStr">
        <is>
          <t>0.0</t>
        </is>
      </c>
      <c r="BM2580" t="inlineStr">
        <is>
          <t>0.0</t>
        </is>
      </c>
      <c r="BN2580" t="inlineStr">
        <is>
          <t>View Jobmanager Page</t>
        </is>
      </c>
      <c r="BO2580" s="4">
        <v>46022.858831018515</v>
      </c>
      <c r="BP2580">
        <v>165380</v>
      </c>
      <c r="BQ2580">
        <v>63878</v>
      </c>
      <c r="BR2580" t="inlineStr">
        <is>
          <t>Online</t>
        </is>
      </c>
      <c r="BS2580"/>
      <c r="BT2580">
        <v>63878</v>
      </c>
      <c r="BU2580"/>
      <c r="BV2580">
        <v>2720072</v>
      </c>
      <c r="BW2580" t="inlineStr">
        <is>
          <t>No Answer : Voicemail - WA sent to customer</t>
        </is>
      </c>
      <c r="BX2580"/>
      <c r="BY2580"/>
      <c r="BZ2580" s="4"/>
      <c r="CA2580"/>
      <c r="CB2580"/>
      <c r="CC2580" s="4"/>
      <c r="CD2580" t="inlineStr">
        <is>
          <t>5</t>
        </is>
      </c>
      <c r="CE2580" t="inlineStr">
        <is>
          <t>0</t>
        </is>
      </c>
      <c r="CF2580" t="inlineStr">
        <is>
          <t>Q2-W01</t>
        </is>
      </c>
      <c r="CG2580"/>
      <c r="CH2580"/>
      <c r="CI2580"/>
      <c r="CJ2580" t="inlineStr">
        <is>
          <t>Paid</t>
        </is>
      </c>
      <c r="CK2580" t="inlineStr">
        <is>
          <t>Not Eligible</t>
        </is>
      </c>
      <c r="CL2580"/>
      <c r="CM2580"/>
    </row>
    <row r="2581" ht="25.5" customHeight="1">
      <c r="A2581" t="inlineStr">
        <is>
          <t>4252305</t>
        </is>
      </c>
      <c r="B2581" s="2"/>
      <c r="C2581"/>
      <c r="D2581" s="3">
        <v>46118.59001157407</v>
      </c>
      <c r="E2581" t="inlineStr">
        <is>
          <t>Q2-W01</t>
        </is>
      </c>
      <c r="F2581" t="inlineStr">
        <is>
          <t>Eugene</t>
        </is>
      </c>
      <c r="G2581" t="inlineStr">
        <is>
          <t>Lead</t>
        </is>
      </c>
      <c r="H2581" s="2" t="str">
        <f>=HYPERLINK("https://upbox.ajobthing.my/leads/4252305", "https://upbox.ajobthing.my/leads/4252305")</f>
        <v>https://upbox.ajobthing.my/leads/4252305</v>
      </c>
      <c r="I2581" t="inlineStr">
        <is>
          <t>Blaze Official</t>
        </is>
      </c>
      <c r="J2581" t="inlineStr">
        <is>
          <t>Small Fish</t>
        </is>
      </c>
      <c r="K2581" t="inlineStr">
        <is>
          <t>Eugene</t>
        </is>
      </c>
      <c r="L2581" s="4"/>
      <c r="M2581" s="4">
        <v>46118.59127314815</v>
      </c>
      <c r="N2581"/>
      <c r="O2581">
        <v>1296</v>
      </c>
      <c r="P2581" s="4"/>
      <c r="Q2581" s="4"/>
      <c r="R2581"/>
      <c r="S2581"/>
      <c r="T2581" s="4"/>
      <c r="U2581" s="4"/>
      <c r="V2581"/>
      <c r="W2581"/>
      <c r="X2581"/>
      <c r="Y2581" t="inlineStr">
        <is>
          <t>Pending Appointment</t>
        </is>
      </c>
      <c r="Z2581" t="inlineStr">
        <is>
          <t>Continuous Hiring</t>
        </is>
      </c>
      <c r="AA2581">
        <v>1</v>
      </c>
      <c r="AB2581" t="inlineStr">
        <is>
          <t>No Appointment Made</t>
        </is>
      </c>
      <c r="AC2581"/>
      <c r="AD2581" t="inlineStr">
        <is>
          <t>1 live stream, 1 intern, based in JB</t>
        </is>
      </c>
      <c r="AE2581"/>
      <c r="AF2581">
        <v>1200</v>
      </c>
      <c r="AG2581" s="4"/>
      <c r="AH2581" s="4"/>
      <c r="AI2581">
        <v>3000</v>
      </c>
      <c r="AJ2581">
        <v>1</v>
      </c>
      <c r="AK2581" t="inlineStr">
        <is>
          <t>No, I don't need at all</t>
        </is>
      </c>
      <c r="AL2581">
        <v>0</v>
      </c>
      <c r="AM2581" t="inlineStr">
        <is>
          <t>No, I don't need at all</t>
        </is>
      </c>
      <c r="AN2581"/>
      <c r="AO2581" t="inlineStr">
        <is>
          <t>No, I don't need at all</t>
        </is>
      </c>
      <c r="AP2581" t="inlineStr">
        <is>
          <t>Twice a year (50%)</t>
        </is>
      </c>
      <c r="AQ2581">
        <v>5</v>
      </c>
      <c r="AR2581" t="inlineStr">
        <is>
          <t>Free Job Portal</t>
        </is>
      </c>
      <c r="AS2581" t="inlineStr">
        <is>
          <t>- Headcount: 1
- Hiring Job Details: 1 live stream, 1 intern, based in JB
- Hiring Urgency: Continuous Hiring
- Number of outlets: 1
- Have recruiter team: No, I don't need at all
- Number of recruiter in company: 0
- Have ATS system: No, I don't need at all
- Have career website: No, I don't need at all
- Current hiring budget: RM1,200
- Whole year budget: RM3,000.00
- Whole year number of vacancies: 5
- Hiring frequency: Twice a year (50%)
- External job portal: Free Job Portal</t>
        </is>
      </c>
      <c r="AT2581">
        <v>75</v>
      </c>
      <c r="AU2581" t="inlineStr">
        <is>
          <t>0.75</t>
        </is>
      </c>
      <c r="AV2581" t="inlineStr">
        <is>
          <t>15</t>
        </is>
      </c>
      <c r="AW2581" t="inlineStr">
        <is>
          <t>0</t>
        </is>
      </c>
      <c r="AX2581" t="inlineStr">
        <is>
          <t>Not Qualified</t>
        </is>
      </c>
      <c r="AY2581" s="4"/>
      <c r="AZ2581"/>
      <c r="BA2581"/>
      <c r="BB2581"/>
      <c r="BC2581"/>
      <c r="BD2581" s="4"/>
      <c r="BE2581"/>
      <c r="BF2581"/>
      <c r="BG2581" t="inlineStr">
        <is>
          <t>Reschedule</t>
        </is>
      </c>
      <c r="BH2581" t="inlineStr">
        <is>
          <t>Edward Hoo</t>
        </is>
      </c>
      <c r="BI2581"/>
      <c r="BJ2581" s="4">
        <v>46144.75571759259</v>
      </c>
      <c r="BK2581" s="4">
        <v>46118.57144675926</v>
      </c>
      <c r="BL2581" t="inlineStr">
        <is>
          <t>0.0</t>
        </is>
      </c>
      <c r="BM2581" t="inlineStr">
        <is>
          <t>0.0</t>
        </is>
      </c>
      <c r="BN2581"/>
      <c r="BO2581" s="4"/>
      <c r="BP2581">
        <v>165387</v>
      </c>
      <c r="BQ2581"/>
      <c r="BR2581"/>
      <c r="BS2581"/>
      <c r="BT2581"/>
      <c r="BU2581"/>
      <c r="BV2581"/>
      <c r="BW2581"/>
      <c r="BX2581"/>
      <c r="BY2581"/>
      <c r="BZ2581" s="4"/>
      <c r="CA2581"/>
      <c r="CB2581"/>
      <c r="CC2581" s="4"/>
      <c r="CD2581" t="inlineStr">
        <is>
          <t>20</t>
        </is>
      </c>
      <c r="CE2581" t="inlineStr">
        <is>
          <t>0</t>
        </is>
      </c>
      <c r="CF2581" t="inlineStr">
        <is>
          <t>Q2-W01</t>
        </is>
      </c>
      <c r="CG2581"/>
      <c r="CH2581"/>
      <c r="CI2581"/>
      <c r="CJ2581" t="inlineStr">
        <is>
          <t>No Paid</t>
        </is>
      </c>
      <c r="CK2581" t="inlineStr">
        <is>
          <t>Not Eligible</t>
        </is>
      </c>
      <c r="CL2581"/>
      <c r="CM2581"/>
    </row>
    <row r="2582" ht="25.5" customHeight="1">
      <c r="A2582" t="inlineStr">
        <is>
          <t>202858</t>
        </is>
      </c>
      <c r="B2582" s="2"/>
      <c r="C2582"/>
      <c r="D2582" s="3">
        <v>46118.592094907406</v>
      </c>
      <c r="E2582" t="inlineStr">
        <is>
          <t>Q2-W01</t>
        </is>
      </c>
      <c r="F2582" t="inlineStr">
        <is>
          <t>Keegan</t>
        </is>
      </c>
      <c r="G2582" t="inlineStr">
        <is>
          <t>Customer</t>
        </is>
      </c>
      <c r="H2582" s="2" t="str">
        <f>=HYPERLINK("https://upbox.ajobthing.my/customer/202858", "https://upbox.ajobthing.my/customer/202858")</f>
        <v>https://upbox.ajobthing.my/customer/202858</v>
      </c>
      <c r="I2582" t="inlineStr">
        <is>
          <t>Asian Bioscience Corporation Sdn Bhd</t>
        </is>
      </c>
      <c r="J2582" t="inlineStr">
        <is>
          <t>Small Fish</t>
        </is>
      </c>
      <c r="K2582" t="inlineStr">
        <is>
          <t>Keegan</t>
        </is>
      </c>
      <c r="L2582" s="4"/>
      <c r="M2582" s="4">
        <v>46118.64591435185</v>
      </c>
      <c r="N2582"/>
      <c r="O2582">
        <v>3672</v>
      </c>
      <c r="P2582" s="4"/>
      <c r="Q2582" s="4"/>
      <c r="R2582"/>
      <c r="S2582"/>
      <c r="T2582" s="4"/>
      <c r="U2582" s="4"/>
      <c r="V2582"/>
      <c r="W2582"/>
      <c r="X2582"/>
      <c r="Y2582" t="inlineStr">
        <is>
          <t>Pending Appointment</t>
        </is>
      </c>
      <c r="Z2582" t="inlineStr">
        <is>
          <t>Hiring Now</t>
        </is>
      </c>
      <c r="AA2582">
        <v>4</v>
      </c>
      <c r="AB2582" t="inlineStr">
        <is>
          <t>No Appointment Made</t>
        </is>
      </c>
      <c r="AC2582"/>
      <c r="AD2582" t="inlineStr">
        <is>
          <t>1 General Manager 
2.Sales &amp; marketing Manager     
3. Finance manager  
4. Sales team</t>
        </is>
      </c>
      <c r="AE2582"/>
      <c r="AF2582"/>
      <c r="AG2582" s="4"/>
      <c r="AH2582" s="4"/>
      <c r="AI2582"/>
      <c r="AJ2582">
        <v>1</v>
      </c>
      <c r="AK2582" t="inlineStr">
        <is>
          <t>No, I don't need at all</t>
        </is>
      </c>
      <c r="AL2582">
        <v>0</v>
      </c>
      <c r="AM2582" t="inlineStr">
        <is>
          <t>No, I don't need at all</t>
        </is>
      </c>
      <c r="AN2582"/>
      <c r="AO2582" t="inlineStr">
        <is>
          <t>No, I don't need at all</t>
        </is>
      </c>
      <c r="AP2582" t="inlineStr">
        <is>
          <t>Once per quarter (75%)</t>
        </is>
      </c>
      <c r="AQ2582"/>
      <c r="AR2582" t="inlineStr">
        <is>
          <t>Did not use any job portal</t>
        </is>
      </c>
      <c r="AS2582" t="inlineStr">
        <is>
          <t>- Headcount: 4
- Hiring Job Details: 1 General Manager; 2 Sales &amp; marketing Manager; 3 Finance manager; 4 Sales team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582">
        <v>85</v>
      </c>
      <c r="AU2582" t="inlineStr">
        <is>
          <t>0.85</t>
        </is>
      </c>
      <c r="AV2582" t="inlineStr">
        <is>
          <t>5</t>
        </is>
      </c>
      <c r="AW2582" t="inlineStr">
        <is>
          <t>0</t>
        </is>
      </c>
      <c r="AX2582" t="inlineStr">
        <is>
          <t>Not Qualified</t>
        </is>
      </c>
      <c r="AY2582" s="4"/>
      <c r="AZ2582"/>
      <c r="BA2582"/>
      <c r="BB2582"/>
      <c r="BC2582" t="inlineStr">
        <is>
          <t>quick f/up</t>
        </is>
      </c>
      <c r="BD2582" s="4">
        <v>46142.69358796296</v>
      </c>
      <c r="BE2582"/>
      <c r="BF2582"/>
      <c r="BG2582" t="inlineStr">
        <is>
          <t>Reschedule</t>
        </is>
      </c>
      <c r="BH2582" t="inlineStr">
        <is>
          <t>Edward Hoo</t>
        </is>
      </c>
      <c r="BI2582"/>
      <c r="BJ2582" s="4">
        <v>46144.75414351852</v>
      </c>
      <c r="BK2582" s="4">
        <v>46118.590949074074</v>
      </c>
      <c r="BL2582" t="inlineStr">
        <is>
          <t>0.0</t>
        </is>
      </c>
      <c r="BM2582" t="inlineStr">
        <is>
          <t>0.0</t>
        </is>
      </c>
      <c r="BN2582"/>
      <c r="BO2582" s="4"/>
      <c r="BP2582">
        <v>165444</v>
      </c>
      <c r="BQ2582"/>
      <c r="BR2582"/>
      <c r="BS2582"/>
      <c r="BT2582"/>
      <c r="BU2582"/>
      <c r="BV2582">
        <v>2738213</v>
      </c>
      <c r="BW2582" t="inlineStr">
        <is>
          <t>Follow Up : Decision Pending</t>
        </is>
      </c>
      <c r="BX2582"/>
      <c r="BY2582"/>
      <c r="BZ2582" s="4"/>
      <c r="CA2582"/>
      <c r="CB2582"/>
      <c r="CC2582" s="4"/>
      <c r="CD2582" t="inlineStr">
        <is>
          <t>5</t>
        </is>
      </c>
      <c r="CE2582" t="inlineStr">
        <is>
          <t>0</t>
        </is>
      </c>
      <c r="CF2582" t="inlineStr">
        <is>
          <t>Q2-W01</t>
        </is>
      </c>
      <c r="CG2582"/>
      <c r="CH2582"/>
      <c r="CI2582"/>
      <c r="CJ2582" t="inlineStr">
        <is>
          <t>No Paid</t>
        </is>
      </c>
      <c r="CK2582" t="inlineStr">
        <is>
          <t>Not Eligible</t>
        </is>
      </c>
      <c r="CL2582"/>
      <c r="CM2582"/>
    </row>
    <row r="2583" ht="25.5" customHeight="1">
      <c r="A2583" t="inlineStr">
        <is>
          <t>202791</t>
        </is>
      </c>
      <c r="B2583" s="2"/>
      <c r="C2583"/>
      <c r="D2583" s="3">
        <v>46118.59575231482</v>
      </c>
      <c r="E2583" t="inlineStr">
        <is>
          <t>Q2-W01</t>
        </is>
      </c>
      <c r="F2583" t="inlineStr">
        <is>
          <t>Ken Yi</t>
        </is>
      </c>
      <c r="G2583" t="inlineStr">
        <is>
          <t>Customer</t>
        </is>
      </c>
      <c r="H2583" s="2" t="str">
        <f>=HYPERLINK("https://upbox.ajobthing.my/customer/202791", "https://upbox.ajobthing.my/customer/202791")</f>
        <v>https://upbox.ajobthing.my/customer/202791</v>
      </c>
      <c r="I2583" t="inlineStr">
        <is>
          <t>Oaktree Care Centre</t>
        </is>
      </c>
      <c r="J2583" t="inlineStr">
        <is>
          <t>Small Fish</t>
        </is>
      </c>
      <c r="K2583" t="inlineStr">
        <is>
          <t>Kenyi</t>
        </is>
      </c>
      <c r="L2583" s="4"/>
      <c r="M2583" s="4">
        <v>46115.673101851855</v>
      </c>
      <c r="N2583"/>
      <c r="O2583">
        <v>3672</v>
      </c>
      <c r="P2583" s="4"/>
      <c r="Q2583" s="4">
        <v>46115.63450231482</v>
      </c>
      <c r="R2583"/>
      <c r="S2583">
        <v>0</v>
      </c>
      <c r="T2583" s="4"/>
      <c r="U2583" s="4"/>
      <c r="V2583"/>
      <c r="W2583"/>
      <c r="X2583"/>
      <c r="Y2583" t="inlineStr">
        <is>
          <t>Pending Appointment</t>
        </is>
      </c>
      <c r="Z2583" t="inlineStr">
        <is>
          <t>Hiring Now</t>
        </is>
      </c>
      <c r="AA2583">
        <v>1</v>
      </c>
      <c r="AB2583" t="inlineStr">
        <is>
          <t>No Appointment Made</t>
        </is>
      </c>
      <c r="AC2583"/>
      <c r="AD2583" t="inlineStr">
        <is>
          <t>Educator Teacher 2</t>
        </is>
      </c>
      <c r="AE2583"/>
      <c r="AF2583">
        <v>0</v>
      </c>
      <c r="AG2583" s="4"/>
      <c r="AH2583" s="4"/>
      <c r="AI2583">
        <v>0</v>
      </c>
      <c r="AJ2583">
        <v>1</v>
      </c>
      <c r="AK2583"/>
      <c r="AL2583">
        <v>1</v>
      </c>
      <c r="AM2583" t="inlineStr">
        <is>
          <t>No, I don't need at all</t>
        </is>
      </c>
      <c r="AN2583"/>
      <c r="AO2583" t="inlineStr">
        <is>
          <t>No, I don't need at all</t>
        </is>
      </c>
      <c r="AP2583" t="inlineStr">
        <is>
          <t>Every month (100%)</t>
        </is>
      </c>
      <c r="AQ2583">
        <v>2</v>
      </c>
      <c r="AR2583" t="inlineStr">
        <is>
          <t>Did not use any job portal</t>
        </is>
      </c>
      <c r="AS2583" t="inlineStr">
        <is>
          <t>- Headcount: 1
- Hiring Job Details: Educator Teacher 2
- Hiring Urgency: Hiring Now
- Number of outlets: 1
- Have recruiter team: 
- Number of recruiter in company: 1
- Have ATS system: No, I don't need at all
- Have career website: No, I don't need at all
- Current hiring budget: RM0
- Whole year budget: RM0.00
- Whole year number of vacancies: 2
- Hiring frequency: Every month (100%)
- External job portal: Did not use any job portal</t>
        </is>
      </c>
      <c r="AT2583">
        <v>95</v>
      </c>
      <c r="AU2583" t="inlineStr">
        <is>
          <t>0.95</t>
        </is>
      </c>
      <c r="AV2583" t="inlineStr">
        <is>
          <t>15</t>
        </is>
      </c>
      <c r="AW2583" t="inlineStr">
        <is>
          <t>0</t>
        </is>
      </c>
      <c r="AX2583" t="inlineStr">
        <is>
          <t>Not Qualified</t>
        </is>
      </c>
      <c r="AY2583" s="4"/>
      <c r="AZ2583"/>
      <c r="BA2583"/>
      <c r="BB2583"/>
      <c r="BC2583" t="inlineStr">
        <is>
          <t>Decision Pending - promote plan again feature sharing</t>
        </is>
      </c>
      <c r="BD2583" s="4">
        <v>46128.741377314815</v>
      </c>
      <c r="BE2583" t="inlineStr">
        <is>
          <t>paid</t>
        </is>
      </c>
      <c r="BF2583"/>
      <c r="BG2583" t="inlineStr">
        <is>
          <t>Reschedule</t>
        </is>
      </c>
      <c r="BH2583" t="inlineStr">
        <is>
          <t>Fauziah Maharan</t>
        </is>
      </c>
      <c r="BI2583" t="inlineStr">
        <is>
          <t>Education / Training</t>
        </is>
      </c>
      <c r="BJ2583" s="4">
        <v>46144.75412037037</v>
      </c>
      <c r="BK2583" s="4">
        <v>46115.634247685186</v>
      </c>
      <c r="BL2583" t="inlineStr">
        <is>
          <t>0.0</t>
        </is>
      </c>
      <c r="BM2583" t="inlineStr">
        <is>
          <t>600.0</t>
        </is>
      </c>
      <c r="BN2583" t="inlineStr">
        <is>
          <t>View Company Page</t>
        </is>
      </c>
      <c r="BO2583" s="4">
        <v>46119.46953703704</v>
      </c>
      <c r="BP2583">
        <v>165227</v>
      </c>
      <c r="BQ2583">
        <v>119888</v>
      </c>
      <c r="BR2583" t="inlineStr">
        <is>
          <t>Proforma</t>
        </is>
      </c>
      <c r="BS2583" t="inlineStr">
        <is>
          <t>Free Freelance Job</t>
        </is>
      </c>
      <c r="BT2583"/>
      <c r="BU2583"/>
      <c r="BV2583">
        <v>2710580</v>
      </c>
      <c r="BW2583" t="inlineStr">
        <is>
          <t>Follow Up : Decision Pending</t>
        </is>
      </c>
      <c r="BX2583"/>
      <c r="BY2583"/>
      <c r="BZ2583" s="4"/>
      <c r="CA2583"/>
      <c r="CB2583"/>
      <c r="CC2583" s="4"/>
      <c r="CD2583" t="inlineStr">
        <is>
          <t>20</t>
        </is>
      </c>
      <c r="CE2583" t="inlineStr">
        <is>
          <t>0</t>
        </is>
      </c>
      <c r="CF2583" t="inlineStr">
        <is>
          <t>Q2-W01</t>
        </is>
      </c>
      <c r="CG2583" t="inlineStr">
        <is>
          <t>Q2-W01</t>
        </is>
      </c>
      <c r="CH2583"/>
      <c r="CI2583"/>
      <c r="CJ2583" t="inlineStr">
        <is>
          <t>No Paid</t>
        </is>
      </c>
      <c r="CK2583" t="inlineStr">
        <is>
          <t>Not Eligible</t>
        </is>
      </c>
      <c r="CL2583"/>
      <c r="CM2583"/>
    </row>
    <row r="2584" ht="25.5" customHeight="1">
      <c r="A2584" t="inlineStr">
        <is>
          <t>194376</t>
        </is>
      </c>
      <c r="B2584" s="2"/>
      <c r="C2584"/>
      <c r="D2584" s="3">
        <v>46118.59832175926</v>
      </c>
      <c r="E2584" t="inlineStr">
        <is>
          <t>Q2-W01</t>
        </is>
      </c>
      <c r="F2584" t="inlineStr">
        <is>
          <t>Xin Quan</t>
        </is>
      </c>
      <c r="G2584" t="inlineStr">
        <is>
          <t>Customer</t>
        </is>
      </c>
      <c r="H2584" s="2" t="str">
        <f>=HYPERLINK("https://upbox.ajobthing.my/customer/194376", "https://upbox.ajobthing.my/customer/194376")</f>
        <v>https://upbox.ajobthing.my/customer/194376</v>
      </c>
      <c r="I2584" t="inlineStr">
        <is>
          <t>Remocon Sign Trading</t>
        </is>
      </c>
      <c r="J2584" t="inlineStr">
        <is>
          <t>Small Fish</t>
        </is>
      </c>
      <c r="K2584" t="inlineStr">
        <is>
          <t>Xin Quan</t>
        </is>
      </c>
      <c r="L2584" s="4"/>
      <c r="M2584" s="4">
        <v>46111.63166666667</v>
      </c>
      <c r="N2584"/>
      <c r="O2584">
        <v>864</v>
      </c>
      <c r="P2584" s="4"/>
      <c r="Q2584" s="4">
        <v>46129.472708333335</v>
      </c>
      <c r="R2584"/>
      <c r="S2584">
        <v>864</v>
      </c>
      <c r="T2584" s="4"/>
      <c r="U2584" s="4"/>
      <c r="V2584"/>
      <c r="W2584"/>
      <c r="X2584"/>
      <c r="Y2584" t="inlineStr">
        <is>
          <t>Pending Appointment</t>
        </is>
      </c>
      <c r="Z2584" t="inlineStr">
        <is>
          <t>Hiring Now</t>
        </is>
      </c>
      <c r="AA2584">
        <v>1</v>
      </c>
      <c r="AB2584" t="inlineStr">
        <is>
          <t>No Appointment Made</t>
        </is>
      </c>
      <c r="AC2584"/>
      <c r="AD2584" t="inlineStr">
        <is>
          <t>1 Graphic Design , Base in KL</t>
        </is>
      </c>
      <c r="AE2584"/>
      <c r="AF2584">
        <v>3500</v>
      </c>
      <c r="AG2584" s="4"/>
      <c r="AH2584" s="4"/>
      <c r="AI2584">
        <v>42000</v>
      </c>
      <c r="AJ2584">
        <v>1</v>
      </c>
      <c r="AK2584" t="inlineStr">
        <is>
          <t>No, I don't need at all</t>
        </is>
      </c>
      <c r="AL2584">
        <v>1</v>
      </c>
      <c r="AM2584" t="inlineStr">
        <is>
          <t>No, I don't need at all</t>
        </is>
      </c>
      <c r="AN2584"/>
      <c r="AO2584" t="inlineStr">
        <is>
          <t>No, I don't need at all</t>
        </is>
      </c>
      <c r="AP2584" t="inlineStr">
        <is>
          <t>Once a year (25%)</t>
        </is>
      </c>
      <c r="AQ2584">
        <v>1</v>
      </c>
      <c r="AR2584"/>
      <c r="AS2584" t="inlineStr">
        <is>
          <t>- Headcount: 1
- Hiring Job Details: 1 Graphic Design, Base in KL
- Hiring Urgency: Hiring Now
- Number of outlets: 1
- Have recruiter team: No, I don't need at all
- Number of recruiter in company: 1
- Have ATS system: No, I don't need at all
- Have career website: No, I don't need at all
- Current hiring budget: RM3,500
- Whole year budget: RM42,000.00
- Whole year number of vacancies: 1
- Hiring frequency: Once a year (25%)
- External job portal: None</t>
        </is>
      </c>
      <c r="AT2584">
        <v>110</v>
      </c>
      <c r="AU2584" t="inlineStr">
        <is>
          <t>1.10</t>
        </is>
      </c>
      <c r="AV2584" t="inlineStr">
        <is>
          <t>15</t>
        </is>
      </c>
      <c r="AW2584" t="inlineStr">
        <is>
          <t>0</t>
        </is>
      </c>
      <c r="AX2584" t="inlineStr">
        <is>
          <t>Not Qualified</t>
        </is>
      </c>
      <c r="AY2584" s="4"/>
      <c r="AZ2584"/>
      <c r="BA2584"/>
      <c r="BB2584"/>
      <c r="BC2584" t="inlineStr">
        <is>
          <t>NA</t>
        </is>
      </c>
      <c r="BD2584" s="4">
        <v>46140.43850694445</v>
      </c>
      <c r="BE2584" t="inlineStr">
        <is>
          <t>pending</t>
        </is>
      </c>
      <c r="BF2584"/>
      <c r="BG2584" t="inlineStr">
        <is>
          <t>Reschedule</t>
        </is>
      </c>
      <c r="BH2584" t="inlineStr">
        <is>
          <t>Edward Hoo</t>
        </is>
      </c>
      <c r="BI2584"/>
      <c r="BJ2584" s="4">
        <v>46144.75269675926</v>
      </c>
      <c r="BK2584" s="4">
        <v>45867.87028935185</v>
      </c>
      <c r="BL2584" t="inlineStr">
        <is>
          <t>0.0</t>
        </is>
      </c>
      <c r="BM2584" t="inlineStr">
        <is>
          <t>0.0</t>
        </is>
      </c>
      <c r="BN2584" t="inlineStr">
        <is>
          <t>View Jobmanager Page</t>
        </is>
      </c>
      <c r="BO2584" s="4">
        <v>45867.90583333333</v>
      </c>
      <c r="BP2584">
        <v>164271</v>
      </c>
      <c r="BQ2584">
        <v>122919</v>
      </c>
      <c r="BR2584" t="inlineStr">
        <is>
          <t>Proforma</t>
        </is>
      </c>
      <c r="BS2584" t="inlineStr">
        <is>
          <t>AI Ala Carte (Jan 26)</t>
        </is>
      </c>
      <c r="BT2584"/>
      <c r="BU2584"/>
      <c r="BV2584">
        <v>2731848</v>
      </c>
      <c r="BW2584" t="inlineStr">
        <is>
          <t>No Answer : Voicemail - WA sent to customer</t>
        </is>
      </c>
      <c r="BX2584"/>
      <c r="BY2584"/>
      <c r="BZ2584" s="4"/>
      <c r="CA2584"/>
      <c r="CB2584"/>
      <c r="CC2584" s="4"/>
      <c r="CD2584" t="inlineStr">
        <is>
          <t>20</t>
        </is>
      </c>
      <c r="CE2584" t="inlineStr">
        <is>
          <t>0</t>
        </is>
      </c>
      <c r="CF2584" t="inlineStr">
        <is>
          <t>Q1-W13</t>
        </is>
      </c>
      <c r="CG2584" t="inlineStr">
        <is>
          <t>Q2-W03</t>
        </is>
      </c>
      <c r="CH2584"/>
      <c r="CI2584"/>
      <c r="CJ2584" t="inlineStr">
        <is>
          <t>No Paid</t>
        </is>
      </c>
      <c r="CK2584" t="inlineStr">
        <is>
          <t>Not Eligible</t>
        </is>
      </c>
      <c r="CL2584"/>
      <c r="CM2584"/>
    </row>
    <row r="2585" ht="25.5" customHeight="1">
      <c r="A2585" t="inlineStr">
        <is>
          <t>202861</t>
        </is>
      </c>
      <c r="B2585" s="2"/>
      <c r="C2585"/>
      <c r="D2585" s="3">
        <v>46118.60591435185</v>
      </c>
      <c r="E2585" t="inlineStr">
        <is>
          <t>Q2-W01</t>
        </is>
      </c>
      <c r="F2585" t="inlineStr">
        <is>
          <t>Keegan</t>
        </is>
      </c>
      <c r="G2585" t="inlineStr">
        <is>
          <t>Customer</t>
        </is>
      </c>
      <c r="H2585" s="2" t="str">
        <f>=HYPERLINK("https://upbox.ajobthing.my/customer/202861", "https://upbox.ajobthing.my/customer/202861")</f>
        <v>https://upbox.ajobthing.my/customer/202861</v>
      </c>
      <c r="I2585" t="inlineStr">
        <is>
          <t>Prestige Realty Malaysia</t>
        </is>
      </c>
      <c r="J2585" t="inlineStr">
        <is>
          <t>Small Fish</t>
        </is>
      </c>
      <c r="K2585" t="inlineStr">
        <is>
          <t>Keegan</t>
        </is>
      </c>
      <c r="L2585" s="4"/>
      <c r="M2585" s="4">
        <v>46118.60599537037</v>
      </c>
      <c r="N2585"/>
      <c r="O2585">
        <v>3672</v>
      </c>
      <c r="P2585" s="4"/>
      <c r="Q2585" s="4"/>
      <c r="R2585"/>
      <c r="S2585"/>
      <c r="T2585" s="4"/>
      <c r="U2585" s="4"/>
      <c r="V2585"/>
      <c r="W2585"/>
      <c r="X2585"/>
      <c r="Y2585" t="inlineStr">
        <is>
          <t>Pending Appointment</t>
        </is>
      </c>
      <c r="Z2585" t="inlineStr">
        <is>
          <t>Continuous Hiring</t>
        </is>
      </c>
      <c r="AA2585">
        <v>1</v>
      </c>
      <c r="AB2585" t="inlineStr">
        <is>
          <t>No Appointment Made</t>
        </is>
      </c>
      <c r="AC2585"/>
      <c r="AD2585" t="inlineStr">
        <is>
          <t>1. Sales Property Agent</t>
        </is>
      </c>
      <c r="AE2585"/>
      <c r="AF2585"/>
      <c r="AG2585" s="4"/>
      <c r="AH2585" s="4"/>
      <c r="AI2585"/>
      <c r="AJ2585">
        <v>1</v>
      </c>
      <c r="AK2585" t="inlineStr">
        <is>
          <t>No, I don't need at all</t>
        </is>
      </c>
      <c r="AL2585">
        <v>0</v>
      </c>
      <c r="AM2585" t="inlineStr">
        <is>
          <t>No, I don't need at all</t>
        </is>
      </c>
      <c r="AN2585"/>
      <c r="AO2585" t="inlineStr">
        <is>
          <t>No, I don't need at all</t>
        </is>
      </c>
      <c r="AP2585" t="inlineStr">
        <is>
          <t>Every month (100%)</t>
        </is>
      </c>
      <c r="AQ2585"/>
      <c r="AR2585" t="inlineStr">
        <is>
          <t>Did not use any job portal</t>
        </is>
      </c>
      <c r="AS2585" t="inlineStr">
        <is>
          <t>- Headcount: 1
- Hiring Job Details: 1 Sales Property Agent
- Hiring Urgency: Continuous Hiring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Every month (100%)
- External job portal: Did not use any job portal</t>
        </is>
      </c>
      <c r="AT2585">
        <v>95</v>
      </c>
      <c r="AU2585" t="inlineStr">
        <is>
          <t>0.95</t>
        </is>
      </c>
      <c r="AV2585" t="inlineStr">
        <is>
          <t>5</t>
        </is>
      </c>
      <c r="AW2585" t="inlineStr">
        <is>
          <t>0</t>
        </is>
      </c>
      <c r="AX2585" t="inlineStr">
        <is>
          <t>Not Qualified</t>
        </is>
      </c>
      <c r="AY2585" s="4"/>
      <c r="AZ2585"/>
      <c r="BA2585"/>
      <c r="BB2585"/>
      <c r="BC2585" t="inlineStr">
        <is>
          <t>Pending budget allocation from management side or hiring now</t>
        </is>
      </c>
      <c r="BD2585" s="4">
        <v>46140.72451388889</v>
      </c>
      <c r="BE2585"/>
      <c r="BF2585"/>
      <c r="BG2585" t="inlineStr">
        <is>
          <t>Reschedule</t>
        </is>
      </c>
      <c r="BH2585" t="inlineStr">
        <is>
          <t>Edward Hoo</t>
        </is>
      </c>
      <c r="BI2585"/>
      <c r="BJ2585" s="4">
        <v>46144.75414351852</v>
      </c>
      <c r="BK2585" s="4">
        <v>46118.605162037034</v>
      </c>
      <c r="BL2585" t="inlineStr">
        <is>
          <t>0.0</t>
        </is>
      </c>
      <c r="BM2585" t="inlineStr">
        <is>
          <t>450.0</t>
        </is>
      </c>
      <c r="BN2585"/>
      <c r="BO2585" s="4"/>
      <c r="BP2585">
        <v>165399</v>
      </c>
      <c r="BQ2585"/>
      <c r="BR2585"/>
      <c r="BS2585"/>
      <c r="BT2585"/>
      <c r="BU2585"/>
      <c r="BV2585">
        <v>2733830</v>
      </c>
      <c r="BW2585" t="inlineStr">
        <is>
          <t>Follow Up : Decision Pending</t>
        </is>
      </c>
      <c r="BX2585"/>
      <c r="BY2585"/>
      <c r="BZ2585" s="4"/>
      <c r="CA2585"/>
      <c r="CB2585"/>
      <c r="CC2585" s="4"/>
      <c r="CD2585" t="inlineStr">
        <is>
          <t>5</t>
        </is>
      </c>
      <c r="CE2585" t="inlineStr">
        <is>
          <t>0</t>
        </is>
      </c>
      <c r="CF2585" t="inlineStr">
        <is>
          <t>Q2-W01</t>
        </is>
      </c>
      <c r="CG2585"/>
      <c r="CH2585"/>
      <c r="CI2585"/>
      <c r="CJ2585" t="inlineStr">
        <is>
          <t>No Paid</t>
        </is>
      </c>
      <c r="CK2585" t="inlineStr">
        <is>
          <t>Not Eligible</t>
        </is>
      </c>
      <c r="CL2585"/>
      <c r="CM2585"/>
    </row>
    <row r="2586" ht="25.5" customHeight="1">
      <c r="A2586" t="inlineStr">
        <is>
          <t>4251747</t>
        </is>
      </c>
      <c r="B2586" s="2"/>
      <c r="C2586"/>
      <c r="D2586" s="3">
        <v>46118.612395833334</v>
      </c>
      <c r="E2586" t="inlineStr">
        <is>
          <t>Q2-W01</t>
        </is>
      </c>
      <c r="F2586" t="inlineStr">
        <is>
          <t>Evan</t>
        </is>
      </c>
      <c r="G2586" t="inlineStr">
        <is>
          <t>Lead</t>
        </is>
      </c>
      <c r="H2586" s="2" t="str">
        <f>=HYPERLINK("https://upbox.ajobthing.my/leads/4251747", "https://upbox.ajobthing.my/leads/4251747")</f>
        <v>https://upbox.ajobthing.my/leads/4251747</v>
      </c>
      <c r="I2586" t="inlineStr">
        <is>
          <t>PUNCAKMAS MAJU SDN BHD</t>
        </is>
      </c>
      <c r="J2586" t="inlineStr">
        <is>
          <t>Small Fish</t>
        </is>
      </c>
      <c r="K2586" t="inlineStr">
        <is>
          <t>Evan</t>
        </is>
      </c>
      <c r="L2586" s="4"/>
      <c r="M2586" s="4">
        <v>46118.61078703704</v>
      </c>
      <c r="N2586"/>
      <c r="O2586">
        <v>3888</v>
      </c>
      <c r="P2586" s="4"/>
      <c r="Q2586" s="4"/>
      <c r="R2586"/>
      <c r="S2586"/>
      <c r="T2586" s="4"/>
      <c r="U2586" s="4"/>
      <c r="V2586"/>
      <c r="W2586"/>
      <c r="X2586"/>
      <c r="Y2586" t="inlineStr">
        <is>
          <t>Pending Appointment</t>
        </is>
      </c>
      <c r="Z2586" t="inlineStr">
        <is>
          <t>Hiring Now</t>
        </is>
      </c>
      <c r="AA2586">
        <v>1</v>
      </c>
      <c r="AB2586" t="inlineStr">
        <is>
          <t>No Appointment Made</t>
        </is>
      </c>
      <c r="AC2586"/>
      <c r="AD2586" t="inlineStr">
        <is>
          <t>1 company driver, all base in KL</t>
        </is>
      </c>
      <c r="AE2586"/>
      <c r="AF2586">
        <v>1</v>
      </c>
      <c r="AG2586" s="4"/>
      <c r="AH2586" s="4"/>
      <c r="AI2586">
        <v>1</v>
      </c>
      <c r="AJ2586">
        <v>1</v>
      </c>
      <c r="AK2586" t="inlineStr">
        <is>
          <t>No, I don't need at all</t>
        </is>
      </c>
      <c r="AL2586">
        <v>0</v>
      </c>
      <c r="AM2586" t="inlineStr">
        <is>
          <t>No, I don't need at all</t>
        </is>
      </c>
      <c r="AN2586"/>
      <c r="AO2586" t="inlineStr">
        <is>
          <t>No, I don't need at all</t>
        </is>
      </c>
      <c r="AP2586" t="inlineStr">
        <is>
          <t>Once a year (25%)</t>
        </is>
      </c>
      <c r="AQ2586">
        <v>1</v>
      </c>
      <c r="AR2586" t="inlineStr">
        <is>
          <t>Did not use any job portal</t>
        </is>
      </c>
      <c r="AS2586" t="inlineStr">
        <is>
          <t>- Headcount: 1
- Hiring Job Details: 1 company driver, all base in KL
- Hiring Urgency: Hiring Now
- Number of outlets: 1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2586">
        <v>115</v>
      </c>
      <c r="AU2586" t="inlineStr">
        <is>
          <t>1.15</t>
        </is>
      </c>
      <c r="AV2586" t="inlineStr">
        <is>
          <t>15</t>
        </is>
      </c>
      <c r="AW2586" t="inlineStr">
        <is>
          <t>0</t>
        </is>
      </c>
      <c r="AX2586" t="inlineStr">
        <is>
          <t>Not Qualified</t>
        </is>
      </c>
      <c r="AY2586" s="4"/>
      <c r="AZ2586"/>
      <c r="BA2586"/>
      <c r="BB2586"/>
      <c r="BC2586"/>
      <c r="BD2586" s="4"/>
      <c r="BE2586"/>
      <c r="BF2586"/>
      <c r="BG2586" t="inlineStr">
        <is>
          <t>Reschedule</t>
        </is>
      </c>
      <c r="BH2586" t="inlineStr">
        <is>
          <t>Edward Hoo</t>
        </is>
      </c>
      <c r="BI2586"/>
      <c r="BJ2586" s="4">
        <v>46144.75571759259</v>
      </c>
      <c r="BK2586" s="4">
        <v>46118.48247685185</v>
      </c>
      <c r="BL2586" t="inlineStr">
        <is>
          <t>0.0</t>
        </is>
      </c>
      <c r="BM2586" t="inlineStr">
        <is>
          <t>0.0</t>
        </is>
      </c>
      <c r="BN2586"/>
      <c r="BO2586" s="4"/>
      <c r="BP2586">
        <v>165404</v>
      </c>
      <c r="BQ2586"/>
      <c r="BR2586"/>
      <c r="BS2586"/>
      <c r="BT2586"/>
      <c r="BU2586"/>
      <c r="BV2586"/>
      <c r="BW2586"/>
      <c r="BX2586"/>
      <c r="BY2586"/>
      <c r="BZ2586" s="4"/>
      <c r="CA2586"/>
      <c r="CB2586"/>
      <c r="CC2586" s="4"/>
      <c r="CD2586" t="inlineStr">
        <is>
          <t>20</t>
        </is>
      </c>
      <c r="CE2586" t="inlineStr">
        <is>
          <t>0</t>
        </is>
      </c>
      <c r="CF2586" t="inlineStr">
        <is>
          <t>Q2-W01</t>
        </is>
      </c>
      <c r="CG2586"/>
      <c r="CH2586"/>
      <c r="CI2586"/>
      <c r="CJ2586" t="inlineStr">
        <is>
          <t>No Paid</t>
        </is>
      </c>
      <c r="CK2586" t="inlineStr">
        <is>
          <t>Not Eligible</t>
        </is>
      </c>
      <c r="CL2586"/>
      <c r="CM2586"/>
    </row>
    <row r="2587" ht="25.5" customHeight="1">
      <c r="A2587" t="inlineStr">
        <is>
          <t>4252313</t>
        </is>
      </c>
      <c r="B2587" s="2"/>
      <c r="C2587"/>
      <c r="D2587" s="3">
        <v>46118.61856481482</v>
      </c>
      <c r="E2587" t="inlineStr">
        <is>
          <t>Q2-W01</t>
        </is>
      </c>
      <c r="F2587" t="inlineStr">
        <is>
          <t>Evan</t>
        </is>
      </c>
      <c r="G2587" t="inlineStr">
        <is>
          <t>Lead</t>
        </is>
      </c>
      <c r="H2587" s="2" t="str">
        <f>=HYPERLINK("https://upbox.ajobthing.my/leads/4252313", "https://upbox.ajobthing.my/leads/4252313")</f>
        <v>https://upbox.ajobthing.my/leads/4252313</v>
      </c>
      <c r="I2587" t="inlineStr">
        <is>
          <t>Soon Hwa Construction Sdn Bhd</t>
        </is>
      </c>
      <c r="J2587" t="inlineStr">
        <is>
          <t>Small Fish</t>
        </is>
      </c>
      <c r="K2587" t="inlineStr">
        <is>
          <t>Evan</t>
        </is>
      </c>
      <c r="L2587" s="4"/>
      <c r="M2587" s="4">
        <v>46118.616956018515</v>
      </c>
      <c r="N2587"/>
      <c r="O2587">
        <v>3888</v>
      </c>
      <c r="P2587" s="4"/>
      <c r="Q2587" s="4"/>
      <c r="R2587"/>
      <c r="S2587"/>
      <c r="T2587" s="4"/>
      <c r="U2587" s="4"/>
      <c r="V2587"/>
      <c r="W2587"/>
      <c r="X2587"/>
      <c r="Y2587" t="inlineStr">
        <is>
          <t>Pending Appointment</t>
        </is>
      </c>
      <c r="Z2587" t="inlineStr">
        <is>
          <t>Hiring Now</t>
        </is>
      </c>
      <c r="AA2587">
        <v>1</v>
      </c>
      <c r="AB2587" t="inlineStr">
        <is>
          <t>No Appointment Made</t>
        </is>
      </c>
      <c r="AC2587"/>
      <c r="AD2587" t="inlineStr">
        <is>
          <t>1 QS, all base in KL</t>
        </is>
      </c>
      <c r="AE2587"/>
      <c r="AF2587">
        <v>1</v>
      </c>
      <c r="AG2587" s="4"/>
      <c r="AH2587" s="4"/>
      <c r="AI2587">
        <v>1</v>
      </c>
      <c r="AJ2587">
        <v>1</v>
      </c>
      <c r="AK2587" t="inlineStr">
        <is>
          <t>No, I don't need at all</t>
        </is>
      </c>
      <c r="AL2587">
        <v>0</v>
      </c>
      <c r="AM2587" t="inlineStr">
        <is>
          <t>No, I don't need at all</t>
        </is>
      </c>
      <c r="AN2587"/>
      <c r="AO2587" t="inlineStr">
        <is>
          <t>No, I don't need at all</t>
        </is>
      </c>
      <c r="AP2587" t="inlineStr">
        <is>
          <t>Once a year (25%)</t>
        </is>
      </c>
      <c r="AQ2587">
        <v>1</v>
      </c>
      <c r="AR2587" t="inlineStr">
        <is>
          <t>Did not use any job portal</t>
        </is>
      </c>
      <c r="AS2587" t="inlineStr">
        <is>
          <t>- Headcount: 1
- Hiring Job Details: 1 QS, all base in KL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2587">
        <v>115</v>
      </c>
      <c r="AU2587" t="inlineStr">
        <is>
          <t>1.15</t>
        </is>
      </c>
      <c r="AV2587" t="inlineStr">
        <is>
          <t>15</t>
        </is>
      </c>
      <c r="AW2587" t="inlineStr">
        <is>
          <t>0</t>
        </is>
      </c>
      <c r="AX2587" t="inlineStr">
        <is>
          <t>Not Qualified</t>
        </is>
      </c>
      <c r="AY2587" s="4"/>
      <c r="AZ2587"/>
      <c r="BA2587"/>
      <c r="BB2587"/>
      <c r="BC2587"/>
      <c r="BD2587" s="4"/>
      <c r="BE2587"/>
      <c r="BF2587"/>
      <c r="BG2587" t="inlineStr">
        <is>
          <t>Reschedule</t>
        </is>
      </c>
      <c r="BH2587" t="inlineStr">
        <is>
          <t>Edward Hoo</t>
        </is>
      </c>
      <c r="BI2587"/>
      <c r="BJ2587" s="4">
        <v>46144.755740740744</v>
      </c>
      <c r="BK2587" s="4">
        <v>46118.572800925926</v>
      </c>
      <c r="BL2587" t="inlineStr">
        <is>
          <t>0.0</t>
        </is>
      </c>
      <c r="BM2587" t="inlineStr">
        <is>
          <t>600.0</t>
        </is>
      </c>
      <c r="BN2587"/>
      <c r="BO2587" s="4"/>
      <c r="BP2587">
        <v>165409</v>
      </c>
      <c r="BQ2587"/>
      <c r="BR2587"/>
      <c r="BS2587"/>
      <c r="BT2587"/>
      <c r="BU2587"/>
      <c r="BV2587"/>
      <c r="BW2587"/>
      <c r="BX2587"/>
      <c r="BY2587"/>
      <c r="BZ2587" s="4"/>
      <c r="CA2587"/>
      <c r="CB2587"/>
      <c r="CC2587" s="4"/>
      <c r="CD2587" t="inlineStr">
        <is>
          <t>20</t>
        </is>
      </c>
      <c r="CE2587" t="inlineStr">
        <is>
          <t>0</t>
        </is>
      </c>
      <c r="CF2587" t="inlineStr">
        <is>
          <t>Q2-W01</t>
        </is>
      </c>
      <c r="CG2587"/>
      <c r="CH2587"/>
      <c r="CI2587"/>
      <c r="CJ2587" t="inlineStr">
        <is>
          <t>No Paid</t>
        </is>
      </c>
      <c r="CK2587" t="inlineStr">
        <is>
          <t>Not Eligible</t>
        </is>
      </c>
      <c r="CL2587"/>
      <c r="CM2587"/>
    </row>
    <row r="2588" ht="25.5" customHeight="1">
      <c r="A2588" t="inlineStr">
        <is>
          <t>4251948</t>
        </is>
      </c>
      <c r="B2588" s="2"/>
      <c r="C2588"/>
      <c r="D2588" s="3">
        <v>46118.6193287037</v>
      </c>
      <c r="E2588" t="inlineStr">
        <is>
          <t>Q2-W01</t>
        </is>
      </c>
      <c r="F2588" t="inlineStr">
        <is>
          <t>Carmen</t>
        </is>
      </c>
      <c r="G2588" t="inlineStr">
        <is>
          <t>Lead</t>
        </is>
      </c>
      <c r="H2588" s="2" t="str">
        <f>=HYPERLINK("https://upbox.ajobthing.my/leads/4251948", "https://upbox.ajobthing.my/leads/4251948")</f>
        <v>https://upbox.ajobthing.my/leads/4251948</v>
      </c>
      <c r="I2588" t="inlineStr">
        <is>
          <t>FTK SOLUTION SDN BHD</t>
        </is>
      </c>
      <c r="J2588" t="inlineStr">
        <is>
          <t>Small Fish</t>
        </is>
      </c>
      <c r="K2588" t="inlineStr">
        <is>
          <t>Carmen</t>
        </is>
      </c>
      <c r="L2588" s="4"/>
      <c r="M2588" s="4">
        <v>46118.61953703704</v>
      </c>
      <c r="N2588"/>
      <c r="O2588">
        <v>3888</v>
      </c>
      <c r="P2588" s="4"/>
      <c r="Q2588" s="4"/>
      <c r="R2588"/>
      <c r="S2588"/>
      <c r="T2588" s="4"/>
      <c r="U2588" s="4"/>
      <c r="V2588"/>
      <c r="W2588"/>
      <c r="X2588"/>
      <c r="Y2588" t="inlineStr">
        <is>
          <t>Pending Appointment</t>
        </is>
      </c>
      <c r="Z2588" t="inlineStr">
        <is>
          <t>Hiring Now</t>
        </is>
      </c>
      <c r="AA2588">
        <v>1</v>
      </c>
      <c r="AB2588" t="inlineStr">
        <is>
          <t>No Appointment Made</t>
        </is>
      </c>
      <c r="AC2588"/>
      <c r="AD2588" t="inlineStr">
        <is>
          <t>1 installer</t>
        </is>
      </c>
      <c r="AE2588"/>
      <c r="AF2588">
        <v>0</v>
      </c>
      <c r="AG2588" s="4"/>
      <c r="AH2588" s="4"/>
      <c r="AI2588"/>
      <c r="AJ2588"/>
      <c r="AK2588" t="inlineStr">
        <is>
          <t>No, I don't need at all</t>
        </is>
      </c>
      <c r="AL2588">
        <v>0</v>
      </c>
      <c r="AM2588" t="inlineStr">
        <is>
          <t>No, I don't need at all</t>
        </is>
      </c>
      <c r="AN2588"/>
      <c r="AO2588"/>
      <c r="AP2588" t="inlineStr">
        <is>
          <t>Once a year (25%)</t>
        </is>
      </c>
      <c r="AQ2588"/>
      <c r="AR2588"/>
      <c r="AS2588" t="inlineStr">
        <is>
          <t>- Headcount: 1
- Hiring Job Details: 1 installer
- Hiring Urgency: Hiring Now
- Number of outlets: Not provided
- Have recruiter team: No, I don't need at all
- Number of recruiter in company: 0
- Have ATS system: No, I don't need at all
- Have career website: Not provided
- Current hiring budget: RM0.00
- Whole year budget: Not provided
- Whole year number of vacancies: Not provided
- Hiring frequency: Once a year (25%)
- External job portal: Not provided</t>
        </is>
      </c>
      <c r="AT2588">
        <v>75</v>
      </c>
      <c r="AU2588" t="inlineStr">
        <is>
          <t>0.75</t>
        </is>
      </c>
      <c r="AV2588" t="inlineStr">
        <is>
          <t>15</t>
        </is>
      </c>
      <c r="AW2588" t="inlineStr">
        <is>
          <t>0</t>
        </is>
      </c>
      <c r="AX2588" t="inlineStr">
        <is>
          <t>Not Qualified</t>
        </is>
      </c>
      <c r="AY2588" s="4"/>
      <c r="AZ2588"/>
      <c r="BA2588"/>
      <c r="BB2588"/>
      <c r="BC2588"/>
      <c r="BD2588" s="4"/>
      <c r="BE2588"/>
      <c r="BF2588"/>
      <c r="BG2588" t="inlineStr">
        <is>
          <t>Reschedule</t>
        </is>
      </c>
      <c r="BH2588" t="inlineStr">
        <is>
          <t>Reagen</t>
        </is>
      </c>
      <c r="BI2588"/>
      <c r="BJ2588" s="4">
        <v>46144.75571759259</v>
      </c>
      <c r="BK2588" s="4">
        <v>46118.511608796296</v>
      </c>
      <c r="BL2588" t="inlineStr">
        <is>
          <t>0.0</t>
        </is>
      </c>
      <c r="BM2588" t="inlineStr">
        <is>
          <t>600.0</t>
        </is>
      </c>
      <c r="BN2588"/>
      <c r="BO2588" s="4"/>
      <c r="BP2588">
        <v>165410</v>
      </c>
      <c r="BQ2588"/>
      <c r="BR2588"/>
      <c r="BS2588"/>
      <c r="BT2588"/>
      <c r="BU2588"/>
      <c r="BV2588"/>
      <c r="BW2588"/>
      <c r="BX2588"/>
      <c r="BY2588"/>
      <c r="BZ2588" s="4"/>
      <c r="CA2588"/>
      <c r="CB2588"/>
      <c r="CC2588" s="4"/>
      <c r="CD2588" t="inlineStr">
        <is>
          <t>20</t>
        </is>
      </c>
      <c r="CE2588" t="inlineStr">
        <is>
          <t>0</t>
        </is>
      </c>
      <c r="CF2588" t="inlineStr">
        <is>
          <t>Q2-W01</t>
        </is>
      </c>
      <c r="CG2588"/>
      <c r="CH2588"/>
      <c r="CI2588"/>
      <c r="CJ2588" t="inlineStr">
        <is>
          <t>No Paid</t>
        </is>
      </c>
      <c r="CK2588" t="inlineStr">
        <is>
          <t>Not Eligible</t>
        </is>
      </c>
      <c r="CL2588"/>
      <c r="CM2588"/>
    </row>
    <row r="2589" ht="25.5" customHeight="1">
      <c r="A2589" t="inlineStr">
        <is>
          <t>22753</t>
        </is>
      </c>
      <c r="B2589" s="2"/>
      <c r="C2589"/>
      <c r="D2589" s="3">
        <v>46118.62162037037</v>
      </c>
      <c r="E2589" t="inlineStr">
        <is>
          <t>Q2-W01</t>
        </is>
      </c>
      <c r="F2589" t="inlineStr">
        <is>
          <t>Eugene</t>
        </is>
      </c>
      <c r="G2589" t="inlineStr">
        <is>
          <t>Customer</t>
        </is>
      </c>
      <c r="H2589" s="2" t="str">
        <f>=HYPERLINK("https://upbox.ajobthing.my/customer/22753", "https://upbox.ajobthing.my/customer/22753")</f>
        <v>https://upbox.ajobthing.my/customer/22753</v>
      </c>
      <c r="I2589" t="inlineStr">
        <is>
          <t>PAL NET Technologies Sdn. Bhd.</t>
        </is>
      </c>
      <c r="J2589" t="inlineStr">
        <is>
          <t>Small Fish</t>
        </is>
      </c>
      <c r="K2589" t="inlineStr">
        <is>
          <t>Eugene</t>
        </is>
      </c>
      <c r="L2589" s="4"/>
      <c r="M2589" s="4">
        <v>46118.62170138889</v>
      </c>
      <c r="N2589"/>
      <c r="O2589">
        <v>3888</v>
      </c>
      <c r="P2589" s="4"/>
      <c r="Q2589" s="4">
        <v>44806.773981481485</v>
      </c>
      <c r="R2589"/>
      <c r="S2589">
        <v>848</v>
      </c>
      <c r="T2589" s="4">
        <v>44806.773981481485</v>
      </c>
      <c r="U2589" s="4"/>
      <c r="V2589"/>
      <c r="W2589">
        <v>848</v>
      </c>
      <c r="X2589"/>
      <c r="Y2589" t="inlineStr">
        <is>
          <t>Pending Appointment</t>
        </is>
      </c>
      <c r="Z2589" t="inlineStr">
        <is>
          <t>Hiring Now</t>
        </is>
      </c>
      <c r="AA2589">
        <v>1</v>
      </c>
      <c r="AB2589" t="inlineStr">
        <is>
          <t>No Appointment Made</t>
        </is>
      </c>
      <c r="AC2589"/>
      <c r="AD2589" t="inlineStr">
        <is>
          <t>1 position, based in Penang</t>
        </is>
      </c>
      <c r="AE2589"/>
      <c r="AF2589">
        <v>3000</v>
      </c>
      <c r="AG2589" s="4"/>
      <c r="AH2589" s="4"/>
      <c r="AI2589">
        <v>3000</v>
      </c>
      <c r="AJ2589">
        <v>1</v>
      </c>
      <c r="AK2589" t="inlineStr">
        <is>
          <t>No, I don't need at all</t>
        </is>
      </c>
      <c r="AL2589">
        <v>1</v>
      </c>
      <c r="AM2589" t="inlineStr">
        <is>
          <t>No, I don't need at all</t>
        </is>
      </c>
      <c r="AN2589"/>
      <c r="AO2589" t="inlineStr">
        <is>
          <t>No, I don't need at all</t>
        </is>
      </c>
      <c r="AP2589" t="inlineStr">
        <is>
          <t>Twice a year (50%)</t>
        </is>
      </c>
      <c r="AQ2589">
        <v>3</v>
      </c>
      <c r="AR2589" t="inlineStr">
        <is>
          <t>Free Job Portal</t>
        </is>
      </c>
      <c r="AS2589" t="inlineStr">
        <is>
          <t>- Headcount: 1
- Hiring Job Details: 1 position, based in Penang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2589">
        <v>95</v>
      </c>
      <c r="AU2589" t="inlineStr">
        <is>
          <t>0.95</t>
        </is>
      </c>
      <c r="AV2589" t="inlineStr">
        <is>
          <t>15</t>
        </is>
      </c>
      <c r="AW2589" t="inlineStr">
        <is>
          <t>0</t>
        </is>
      </c>
      <c r="AX2589" t="inlineStr">
        <is>
          <t>Not Qualified</t>
        </is>
      </c>
      <c r="AY2589" s="4"/>
      <c r="AZ2589"/>
      <c r="BA2589"/>
      <c r="BB2589"/>
      <c r="BC2589" t="inlineStr">
        <is>
          <t>pending</t>
        </is>
      </c>
      <c r="BD2589" s="4">
        <v>46129.74358796296</v>
      </c>
      <c r="BE2589" t="inlineStr">
        <is>
          <t>paid</t>
        </is>
      </c>
      <c r="BF2589"/>
      <c r="BG2589" t="inlineStr">
        <is>
          <t>Reschedule</t>
        </is>
      </c>
      <c r="BH2589" t="inlineStr">
        <is>
          <t>Edward Hoo</t>
        </is>
      </c>
      <c r="BI2589" t="inlineStr">
        <is>
          <t>IT / Software</t>
        </is>
      </c>
      <c r="BJ2589" s="4">
        <v>46144.75444444444</v>
      </c>
      <c r="BK2589" s="4">
        <v>42499.660162037035</v>
      </c>
      <c r="BL2589" t="inlineStr">
        <is>
          <t>0.0</t>
        </is>
      </c>
      <c r="BM2589" t="inlineStr">
        <is>
          <t>0.0</t>
        </is>
      </c>
      <c r="BN2589" t="inlineStr">
        <is>
          <t>View Jobmanager Page</t>
        </is>
      </c>
      <c r="BO2589" s="4">
        <v>44833.35053240741</v>
      </c>
      <c r="BP2589">
        <v>165412</v>
      </c>
      <c r="BQ2589">
        <v>50108</v>
      </c>
      <c r="BR2589" t="inlineStr">
        <is>
          <t>Online</t>
        </is>
      </c>
      <c r="BS2589"/>
      <c r="BT2589">
        <v>50108</v>
      </c>
      <c r="BU2589"/>
      <c r="BV2589">
        <v>2713834</v>
      </c>
      <c r="BW2589" t="inlineStr">
        <is>
          <t>Follow Up : Decision Pending</t>
        </is>
      </c>
      <c r="BX2589"/>
      <c r="BY2589"/>
      <c r="BZ2589" s="4"/>
      <c r="CA2589"/>
      <c r="CB2589"/>
      <c r="CC2589" s="4"/>
      <c r="CD2589" t="inlineStr">
        <is>
          <t>20</t>
        </is>
      </c>
      <c r="CE2589" t="inlineStr">
        <is>
          <t>0</t>
        </is>
      </c>
      <c r="CF2589" t="inlineStr">
        <is>
          <t>Q2-W01</t>
        </is>
      </c>
      <c r="CG2589"/>
      <c r="CH2589"/>
      <c r="CI2589"/>
      <c r="CJ2589" t="inlineStr">
        <is>
          <t>Paid</t>
        </is>
      </c>
      <c r="CK2589" t="inlineStr">
        <is>
          <t>Not Eligible</t>
        </is>
      </c>
      <c r="CL2589"/>
      <c r="CM2589"/>
    </row>
    <row r="2590" ht="25.5" customHeight="1">
      <c r="A2590" t="inlineStr">
        <is>
          <t>202087</t>
        </is>
      </c>
      <c r="B2590" s="2"/>
      <c r="C2590"/>
      <c r="D2590" s="3">
        <v>46118.62265046296</v>
      </c>
      <c r="E2590" t="inlineStr">
        <is>
          <t>Q2-W01</t>
        </is>
      </c>
      <c r="F2590" t="inlineStr">
        <is>
          <t>Eugene</t>
        </is>
      </c>
      <c r="G2590" t="inlineStr">
        <is>
          <t>Customer</t>
        </is>
      </c>
      <c r="H2590" s="2" t="str">
        <f>=HYPERLINK("https://upbox.ajobthing.my/customer/202087", "https://upbox.ajobthing.my/customer/202087")</f>
        <v>https://upbox.ajobthing.my/customer/202087</v>
      </c>
      <c r="I2590" t="inlineStr">
        <is>
          <t>Pal Net Technologies Sdn. Bhd.</t>
        </is>
      </c>
      <c r="J2590" t="inlineStr">
        <is>
          <t>Small Fish</t>
        </is>
      </c>
      <c r="K2590" t="inlineStr">
        <is>
          <t>Eugene</t>
        </is>
      </c>
      <c r="L2590" s="4"/>
      <c r="M2590" s="4">
        <v>46118.62273148148</v>
      </c>
      <c r="N2590"/>
      <c r="O2590">
        <v>3888</v>
      </c>
      <c r="P2590" s="4"/>
      <c r="Q2590" s="4"/>
      <c r="R2590"/>
      <c r="S2590"/>
      <c r="T2590" s="4"/>
      <c r="U2590" s="4"/>
      <c r="V2590"/>
      <c r="W2590"/>
      <c r="X2590"/>
      <c r="Y2590" t="inlineStr">
        <is>
          <t>Pending Appointment</t>
        </is>
      </c>
      <c r="Z2590" t="inlineStr">
        <is>
          <t>Hiring Now</t>
        </is>
      </c>
      <c r="AA2590">
        <v>1</v>
      </c>
      <c r="AB2590" t="inlineStr">
        <is>
          <t>No Appointment Made</t>
        </is>
      </c>
      <c r="AC2590"/>
      <c r="AD2590" t="inlineStr">
        <is>
          <t>1 position, based in Penang</t>
        </is>
      </c>
      <c r="AE2590"/>
      <c r="AF2590">
        <v>3000</v>
      </c>
      <c r="AG2590" s="4"/>
      <c r="AH2590" s="4"/>
      <c r="AI2590">
        <v>3000</v>
      </c>
      <c r="AJ2590">
        <v>1</v>
      </c>
      <c r="AK2590" t="inlineStr">
        <is>
          <t>No, I don't need at all</t>
        </is>
      </c>
      <c r="AL2590">
        <v>1</v>
      </c>
      <c r="AM2590" t="inlineStr">
        <is>
          <t>No, I don't need at all</t>
        </is>
      </c>
      <c r="AN2590"/>
      <c r="AO2590" t="inlineStr">
        <is>
          <t>No, I don't need at all</t>
        </is>
      </c>
      <c r="AP2590" t="inlineStr">
        <is>
          <t>Twice a year (50%)</t>
        </is>
      </c>
      <c r="AQ2590">
        <v>4</v>
      </c>
      <c r="AR2590" t="inlineStr">
        <is>
          <t>Free Job Portal</t>
        </is>
      </c>
      <c r="AS2590" t="inlineStr">
        <is>
          <t>- Headcount: 1
- Hiring Job Details: 1 position, based in Penang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is>
      </c>
      <c r="AT2590">
        <v>95</v>
      </c>
      <c r="AU2590" t="inlineStr">
        <is>
          <t>0.95</t>
        </is>
      </c>
      <c r="AV2590" t="inlineStr">
        <is>
          <t>15</t>
        </is>
      </c>
      <c r="AW2590" t="inlineStr">
        <is>
          <t>0</t>
        </is>
      </c>
      <c r="AX2590" t="inlineStr">
        <is>
          <t>Not Qualified</t>
        </is>
      </c>
      <c r="AY2590" s="4"/>
      <c r="AZ2590"/>
      <c r="BA2590"/>
      <c r="BB2590"/>
      <c r="BC2590" t="inlineStr">
        <is>
          <t>pending</t>
        </is>
      </c>
      <c r="BD2590" s="4">
        <v>46129.74333333333</v>
      </c>
      <c r="BE2590"/>
      <c r="BF2590"/>
      <c r="BG2590" t="inlineStr">
        <is>
          <t>Reschedule</t>
        </is>
      </c>
      <c r="BH2590" t="inlineStr">
        <is>
          <t>Edward Hoo</t>
        </is>
      </c>
      <c r="BI2590"/>
      <c r="BJ2590" s="4">
        <v>46144.75394675926</v>
      </c>
      <c r="BK2590" s="4">
        <v>46094.6166087963</v>
      </c>
      <c r="BL2590" t="inlineStr">
        <is>
          <t>0.0</t>
        </is>
      </c>
      <c r="BM2590" t="inlineStr">
        <is>
          <t>0.0</t>
        </is>
      </c>
      <c r="BN2590" t="inlineStr">
        <is>
          <t>View Company Page</t>
        </is>
      </c>
      <c r="BO2590" s="4">
        <v>46094.616689814815</v>
      </c>
      <c r="BP2590">
        <v>165413</v>
      </c>
      <c r="BQ2590"/>
      <c r="BR2590"/>
      <c r="BS2590"/>
      <c r="BT2590"/>
      <c r="BU2590"/>
      <c r="BV2590">
        <v>2713831</v>
      </c>
      <c r="BW2590" t="inlineStr">
        <is>
          <t>Follow Up : Decision Pending</t>
        </is>
      </c>
      <c r="BX2590"/>
      <c r="BY2590"/>
      <c r="BZ2590" s="4"/>
      <c r="CA2590"/>
      <c r="CB2590"/>
      <c r="CC2590" s="4"/>
      <c r="CD2590" t="inlineStr">
        <is>
          <t>20</t>
        </is>
      </c>
      <c r="CE2590" t="inlineStr">
        <is>
          <t>0</t>
        </is>
      </c>
      <c r="CF2590" t="inlineStr">
        <is>
          <t>Q2-W01</t>
        </is>
      </c>
      <c r="CG2590"/>
      <c r="CH2590"/>
      <c r="CI2590"/>
      <c r="CJ2590" t="inlineStr">
        <is>
          <t>No Paid</t>
        </is>
      </c>
      <c r="CK2590" t="inlineStr">
        <is>
          <t>Not Eligible</t>
        </is>
      </c>
      <c r="CL2590"/>
      <c r="CM2590"/>
    </row>
    <row r="2591" ht="25.5" customHeight="1">
      <c r="A2591" t="inlineStr">
        <is>
          <t>4252553</t>
        </is>
      </c>
      <c r="B2591" s="2"/>
      <c r="C2591"/>
      <c r="D2591" s="3">
        <v>46118.62422453704</v>
      </c>
      <c r="E2591" t="inlineStr">
        <is>
          <t>Q2-W01</t>
        </is>
      </c>
      <c r="F2591" t="inlineStr">
        <is>
          <t>Lucas</t>
        </is>
      </c>
      <c r="G2591" t="inlineStr">
        <is>
          <t>Lead</t>
        </is>
      </c>
      <c r="H2591" s="2" t="str">
        <f>=HYPERLINK("https://upbox.ajobthing.my/leads/4252553", "https://upbox.ajobthing.my/leads/4252553")</f>
        <v>https://upbox.ajobthing.my/leads/4252553</v>
      </c>
      <c r="I2591" t="inlineStr">
        <is>
          <t>Orres Capital Management Sdn Bhd</t>
        </is>
      </c>
      <c r="J2591" t="inlineStr">
        <is>
          <t>Small Fish</t>
        </is>
      </c>
      <c r="K2591" t="inlineStr">
        <is>
          <t>Lucas</t>
        </is>
      </c>
      <c r="L2591" s="4"/>
      <c r="M2591" s="4">
        <v>46118.6234375</v>
      </c>
      <c r="N2591"/>
      <c r="O2591">
        <v>3888</v>
      </c>
      <c r="P2591" s="4"/>
      <c r="Q2591" s="4"/>
      <c r="R2591"/>
      <c r="S2591"/>
      <c r="T2591" s="4"/>
      <c r="U2591" s="4"/>
      <c r="V2591"/>
      <c r="W2591"/>
      <c r="X2591"/>
      <c r="Y2591" t="inlineStr">
        <is>
          <t>Pending Appointment</t>
        </is>
      </c>
      <c r="Z2591" t="inlineStr">
        <is>
          <t>Hiring Now</t>
        </is>
      </c>
      <c r="AA2591">
        <v>1</v>
      </c>
      <c r="AB2591" t="inlineStr">
        <is>
          <t>No Appointment Made</t>
        </is>
      </c>
      <c r="AC2591"/>
      <c r="AD2591" t="inlineStr">
        <is>
          <t xml:space="preserve">1 finance manager </t>
        </is>
      </c>
      <c r="AE2591"/>
      <c r="AF2591">
        <v>0</v>
      </c>
      <c r="AG2591" s="4"/>
      <c r="AH2591" s="4"/>
      <c r="AI2591">
        <v>0</v>
      </c>
      <c r="AJ2591">
        <v>0</v>
      </c>
      <c r="AK2591" t="inlineStr">
        <is>
          <t>No, I don't need at all</t>
        </is>
      </c>
      <c r="AL2591">
        <v>0</v>
      </c>
      <c r="AM2591" t="inlineStr">
        <is>
          <t>No, I don't need at all</t>
        </is>
      </c>
      <c r="AN2591"/>
      <c r="AO2591" t="inlineStr">
        <is>
          <t>No, I don't need at all</t>
        </is>
      </c>
      <c r="AP2591" t="inlineStr">
        <is>
          <t>Once a year (25%)</t>
        </is>
      </c>
      <c r="AQ2591">
        <v>1</v>
      </c>
      <c r="AR2591" t="inlineStr">
        <is>
          <t>Did not use any job portal</t>
        </is>
      </c>
      <c r="AS2591" t="inlineStr">
        <is>
          <t>- Headcount: 1
- Hiring Job Details: 1 finance manager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591">
        <v>105</v>
      </c>
      <c r="AU2591" t="inlineStr">
        <is>
          <t>1.05</t>
        </is>
      </c>
      <c r="AV2591" t="inlineStr">
        <is>
          <t>15</t>
        </is>
      </c>
      <c r="AW2591" t="inlineStr">
        <is>
          <t>0</t>
        </is>
      </c>
      <c r="AX2591" t="inlineStr">
        <is>
          <t>Not Qualified</t>
        </is>
      </c>
      <c r="AY2591" s="4"/>
      <c r="AZ2591"/>
      <c r="BA2591"/>
      <c r="BB2591"/>
      <c r="BC2591"/>
      <c r="BD2591" s="4"/>
      <c r="BE2591"/>
      <c r="BF2591"/>
      <c r="BG2591" t="inlineStr">
        <is>
          <t>Reschedule</t>
        </is>
      </c>
      <c r="BH2591" t="inlineStr">
        <is>
          <t>Yee Hang</t>
        </is>
      </c>
      <c r="BI2591"/>
      <c r="BJ2591" s="4">
        <v>46144.755740740744</v>
      </c>
      <c r="BK2591" s="4">
        <v>46118.61393518518</v>
      </c>
      <c r="BL2591" t="inlineStr">
        <is>
          <t>0.0</t>
        </is>
      </c>
      <c r="BM2591" t="inlineStr">
        <is>
          <t>0.0</t>
        </is>
      </c>
      <c r="BN2591"/>
      <c r="BO2591" s="4"/>
      <c r="BP2591">
        <v>165416</v>
      </c>
      <c r="BQ2591"/>
      <c r="BR2591"/>
      <c r="BS2591"/>
      <c r="BT2591"/>
      <c r="BU2591"/>
      <c r="BV2591"/>
      <c r="BW2591"/>
      <c r="BX2591"/>
      <c r="BY2591"/>
      <c r="BZ2591" s="4"/>
      <c r="CA2591"/>
      <c r="CB2591"/>
      <c r="CC2591" s="4"/>
      <c r="CD2591" t="inlineStr">
        <is>
          <t>20</t>
        </is>
      </c>
      <c r="CE2591" t="inlineStr">
        <is>
          <t>0</t>
        </is>
      </c>
      <c r="CF2591" t="inlineStr">
        <is>
          <t>Q2-W01</t>
        </is>
      </c>
      <c r="CG2591"/>
      <c r="CH2591"/>
      <c r="CI2591"/>
      <c r="CJ2591" t="inlineStr">
        <is>
          <t>No Paid</t>
        </is>
      </c>
      <c r="CK2591" t="inlineStr">
        <is>
          <t>Not Eligible</t>
        </is>
      </c>
      <c r="CL2591"/>
      <c r="CM2591"/>
    </row>
    <row r="2592" ht="25.5" customHeight="1">
      <c r="A2592" t="inlineStr">
        <is>
          <t>202825</t>
        </is>
      </c>
      <c r="B2592" s="2"/>
      <c r="C2592"/>
      <c r="D2592" s="3">
        <v>46118.62689814815</v>
      </c>
      <c r="E2592" t="inlineStr">
        <is>
          <t>Q2-W01</t>
        </is>
      </c>
      <c r="F2592" t="inlineStr">
        <is>
          <t>Chia Yee</t>
        </is>
      </c>
      <c r="G2592" t="inlineStr">
        <is>
          <t>Customer</t>
        </is>
      </c>
      <c r="H2592" s="2" t="str">
        <f>=HYPERLINK("https://upbox.ajobthing.my/customer/202825", "https://upbox.ajobthing.my/customer/202825")</f>
        <v>https://upbox.ajobthing.my/customer/202825</v>
      </c>
      <c r="I2592" t="inlineStr">
        <is>
          <t>Medikiosk</t>
        </is>
      </c>
      <c r="J2592" t="inlineStr">
        <is>
          <t>Small Fish</t>
        </is>
      </c>
      <c r="K2592" t="inlineStr">
        <is>
          <t>Chia Yee</t>
        </is>
      </c>
      <c r="L2592" s="4"/>
      <c r="M2592" s="4">
        <v>46118.6271412037</v>
      </c>
      <c r="N2592"/>
      <c r="O2592">
        <v>4968</v>
      </c>
      <c r="P2592" s="4"/>
      <c r="Q2592" s="4"/>
      <c r="R2592"/>
      <c r="S2592"/>
      <c r="T2592" s="4"/>
      <c r="U2592" s="4"/>
      <c r="V2592"/>
      <c r="W2592"/>
      <c r="X2592"/>
      <c r="Y2592" t="inlineStr">
        <is>
          <t>Pending Appointment</t>
        </is>
      </c>
      <c r="Z2592" t="inlineStr">
        <is>
          <t>Continuous Hiring</t>
        </is>
      </c>
      <c r="AA2592">
        <v>4</v>
      </c>
      <c r="AB2592" t="inlineStr">
        <is>
          <t>No Appointment Made</t>
        </is>
      </c>
      <c r="AC2592"/>
      <c r="AD2592" t="inlineStr">
        <is>
          <t xml:space="preserve">4 promoter </t>
        </is>
      </c>
      <c r="AE2592"/>
      <c r="AF2592">
        <v>0</v>
      </c>
      <c r="AG2592" s="4"/>
      <c r="AH2592" s="4"/>
      <c r="AI2592">
        <v>0</v>
      </c>
      <c r="AJ2592">
        <v>0</v>
      </c>
      <c r="AK2592" t="inlineStr">
        <is>
          <t>No, I don't need at all</t>
        </is>
      </c>
      <c r="AL2592">
        <v>1</v>
      </c>
      <c r="AM2592" t="inlineStr">
        <is>
          <t>No, I don't need at all</t>
        </is>
      </c>
      <c r="AN2592"/>
      <c r="AO2592" t="inlineStr">
        <is>
          <t>No, I don't need at all</t>
        </is>
      </c>
      <c r="AP2592" t="inlineStr">
        <is>
          <t>Twice a year (50%)</t>
        </is>
      </c>
      <c r="AQ2592">
        <v>4</v>
      </c>
      <c r="AR2592" t="inlineStr">
        <is>
          <t>Did not use any job portal</t>
        </is>
      </c>
      <c r="AS2592" t="inlineStr">
        <is>
          <t>- Headcount: 4
- Hiring Job Details: 4 promoter
- Hiring Urgency: Continuous Hiring
- Number of outlets: 0
- Have recruiter team: No, I don't need at all
- Number of recruiter in company: 1
- Have ATS system: No, I don't need at all
- Have career website: No, I don't need at all
- Current hiring budget: RM0
- Whole year budget: RM0.00
- Whole year number of vacancies: 4
- Hiring frequency: Twice a year (50%)
- External job portal: Did not use any job portal</t>
        </is>
      </c>
      <c r="AT2592">
        <v>95</v>
      </c>
      <c r="AU2592" t="inlineStr">
        <is>
          <t>0.95</t>
        </is>
      </c>
      <c r="AV2592" t="inlineStr">
        <is>
          <t>15</t>
        </is>
      </c>
      <c r="AW2592" t="inlineStr">
        <is>
          <t>0</t>
        </is>
      </c>
      <c r="AX2592" t="inlineStr">
        <is>
          <t>Not Qualified</t>
        </is>
      </c>
      <c r="AY2592" s="4"/>
      <c r="AZ2592"/>
      <c r="BA2592"/>
      <c r="BB2592"/>
      <c r="BC2592" t="inlineStr">
        <is>
          <t>Called, no ans. WA</t>
        </is>
      </c>
      <c r="BD2592" s="4">
        <v>46119.454039351855</v>
      </c>
      <c r="BE2592"/>
      <c r="BF2592"/>
      <c r="BG2592" t="inlineStr">
        <is>
          <t>Reschedule</t>
        </is>
      </c>
      <c r="BH2592" t="inlineStr">
        <is>
          <t>Reagen</t>
        </is>
      </c>
      <c r="BI2592" t="inlineStr">
        <is>
          <t>Healthcare / Medical</t>
        </is>
      </c>
      <c r="BJ2592" s="4">
        <v>46144.75412037037</v>
      </c>
      <c r="BK2592" s="4">
        <v>46116.80857638889</v>
      </c>
      <c r="BL2592" t="inlineStr">
        <is>
          <t>0.0</t>
        </is>
      </c>
      <c r="BM2592" t="inlineStr">
        <is>
          <t>0.0</t>
        </is>
      </c>
      <c r="BN2592" t="inlineStr">
        <is>
          <t>View Candidate Search Page</t>
        </is>
      </c>
      <c r="BO2592" s="4">
        <v>46116.87987268518</v>
      </c>
      <c r="BP2592">
        <v>165422</v>
      </c>
      <c r="BQ2592"/>
      <c r="BR2592"/>
      <c r="BS2592"/>
      <c r="BT2592"/>
      <c r="BU2592"/>
      <c r="BV2592">
        <v>2688319</v>
      </c>
      <c r="BW2592" t="inlineStr">
        <is>
          <t>No Answer : Voicemail - WA sent to customer</t>
        </is>
      </c>
      <c r="BX2592"/>
      <c r="BY2592"/>
      <c r="BZ2592" s="4"/>
      <c r="CA2592"/>
      <c r="CB2592"/>
      <c r="CC2592" s="4"/>
      <c r="CD2592" t="inlineStr">
        <is>
          <t>20</t>
        </is>
      </c>
      <c r="CE2592" t="inlineStr">
        <is>
          <t>0</t>
        </is>
      </c>
      <c r="CF2592" t="inlineStr">
        <is>
          <t>Q2-W01</t>
        </is>
      </c>
      <c r="CG2592"/>
      <c r="CH2592"/>
      <c r="CI2592"/>
      <c r="CJ2592" t="inlineStr">
        <is>
          <t>No Paid</t>
        </is>
      </c>
      <c r="CK2592" t="inlineStr">
        <is>
          <t>Not Eligible</t>
        </is>
      </c>
      <c r="CL2592"/>
      <c r="CM2592"/>
    </row>
    <row r="2593" ht="25.5" customHeight="1">
      <c r="A2593" t="inlineStr">
        <is>
          <t>4251158</t>
        </is>
      </c>
      <c r="B2593" s="2"/>
      <c r="C2593"/>
      <c r="D2593" s="3">
        <v>46118.628854166665</v>
      </c>
      <c r="E2593" t="inlineStr">
        <is>
          <t>Q2-W01</t>
        </is>
      </c>
      <c r="F2593" t="inlineStr">
        <is>
          <t>Janice Yap</t>
        </is>
      </c>
      <c r="G2593" t="inlineStr">
        <is>
          <t>Lead</t>
        </is>
      </c>
      <c r="H2593" s="2" t="str">
        <f>=HYPERLINK("https://upbox.ajobthing.my/leads/4251158", "https://upbox.ajobthing.my/leads/4251158")</f>
        <v>https://upbox.ajobthing.my/leads/4251158</v>
      </c>
      <c r="I2593" t="inlineStr">
        <is>
          <t>all pack technology sdn bhd</t>
        </is>
      </c>
      <c r="J2593" t="inlineStr">
        <is>
          <t>Small Fish</t>
        </is>
      </c>
      <c r="K2593" t="inlineStr">
        <is>
          <t>Janice</t>
        </is>
      </c>
      <c r="L2593" s="4"/>
      <c r="M2593" s="4">
        <v>46118.626226851855</v>
      </c>
      <c r="N2593"/>
      <c r="O2593">
        <v>3672</v>
      </c>
      <c r="P2593" s="4"/>
      <c r="Q2593" s="4"/>
      <c r="R2593"/>
      <c r="S2593"/>
      <c r="T2593" s="4"/>
      <c r="U2593" s="4"/>
      <c r="V2593"/>
      <c r="W2593"/>
      <c r="X2593"/>
      <c r="Y2593" t="inlineStr">
        <is>
          <t>Pending Appointment</t>
        </is>
      </c>
      <c r="Z2593" t="inlineStr">
        <is>
          <t>Hiring Now</t>
        </is>
      </c>
      <c r="AA2593">
        <v>1</v>
      </c>
      <c r="AB2593" t="inlineStr">
        <is>
          <t>No Appointment Made</t>
        </is>
      </c>
      <c r="AC2593"/>
      <c r="AD2593" t="inlineStr">
        <is>
          <t>1 admin</t>
        </is>
      </c>
      <c r="AE2593"/>
      <c r="AF2593">
        <v>0</v>
      </c>
      <c r="AG2593" s="4"/>
      <c r="AH2593" s="4"/>
      <c r="AI2593">
        <v>0</v>
      </c>
      <c r="AJ2593"/>
      <c r="AK2593" t="inlineStr">
        <is>
          <t>No, I don't need at all</t>
        </is>
      </c>
      <c r="AL2593">
        <v>0</v>
      </c>
      <c r="AM2593" t="inlineStr">
        <is>
          <t>No, I don't need at all</t>
        </is>
      </c>
      <c r="AN2593"/>
      <c r="AO2593" t="inlineStr">
        <is>
          <t>No, I don't need at all</t>
        </is>
      </c>
      <c r="AP2593" t="inlineStr">
        <is>
          <t>Once a year (25%)</t>
        </is>
      </c>
      <c r="AQ2593">
        <v>1</v>
      </c>
      <c r="AR2593" t="inlineStr">
        <is>
          <t>Did not use any job portal</t>
        </is>
      </c>
      <c r="AS2593"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2593">
        <v>100</v>
      </c>
      <c r="AU2593" t="inlineStr">
        <is>
          <t>1.00</t>
        </is>
      </c>
      <c r="AV2593" t="inlineStr">
        <is>
          <t>15</t>
        </is>
      </c>
      <c r="AW2593" t="inlineStr">
        <is>
          <t>0</t>
        </is>
      </c>
      <c r="AX2593" t="inlineStr">
        <is>
          <t>Not Qualified</t>
        </is>
      </c>
      <c r="AY2593" s="4"/>
      <c r="AZ2593"/>
      <c r="BA2593"/>
      <c r="BB2593"/>
      <c r="BC2593"/>
      <c r="BD2593" s="4"/>
      <c r="BE2593"/>
      <c r="BF2593"/>
      <c r="BG2593" t="inlineStr">
        <is>
          <t>Reschedule</t>
        </is>
      </c>
      <c r="BH2593" t="inlineStr">
        <is>
          <t>Yee Hang</t>
        </is>
      </c>
      <c r="BI2593"/>
      <c r="BJ2593" s="4">
        <v>46144.75571759259</v>
      </c>
      <c r="BK2593" s="4">
        <v>46118.381203703706</v>
      </c>
      <c r="BL2593" t="inlineStr">
        <is>
          <t>0.0</t>
        </is>
      </c>
      <c r="BM2593" t="inlineStr">
        <is>
          <t>600.0</t>
        </is>
      </c>
      <c r="BN2593"/>
      <c r="BO2593" s="4"/>
      <c r="BP2593">
        <v>165421</v>
      </c>
      <c r="BQ2593"/>
      <c r="BR2593"/>
      <c r="BS2593"/>
      <c r="BT2593"/>
      <c r="BU2593"/>
      <c r="BV2593"/>
      <c r="BW2593"/>
      <c r="BX2593"/>
      <c r="BY2593"/>
      <c r="BZ2593" s="4"/>
      <c r="CA2593"/>
      <c r="CB2593"/>
      <c r="CC2593" s="4"/>
      <c r="CD2593" t="inlineStr">
        <is>
          <t>20</t>
        </is>
      </c>
      <c r="CE2593" t="inlineStr">
        <is>
          <t>0</t>
        </is>
      </c>
      <c r="CF2593" t="inlineStr">
        <is>
          <t>Q2-W01</t>
        </is>
      </c>
      <c r="CG2593"/>
      <c r="CH2593"/>
      <c r="CI2593"/>
      <c r="CJ2593" t="inlineStr">
        <is>
          <t>No Paid</t>
        </is>
      </c>
      <c r="CK2593" t="inlineStr">
        <is>
          <t>Not Eligible</t>
        </is>
      </c>
      <c r="CL2593"/>
      <c r="CM2593"/>
    </row>
    <row r="2594" ht="25.5" customHeight="1">
      <c r="A2594" t="inlineStr">
        <is>
          <t>134209</t>
        </is>
      </c>
      <c r="B2594" s="2"/>
      <c r="C2594"/>
      <c r="D2594" s="3">
        <v>46118.63123842593</v>
      </c>
      <c r="E2594" t="inlineStr">
        <is>
          <t>Q2-W01</t>
        </is>
      </c>
      <c r="F2594" t="inlineStr">
        <is>
          <t>Chia Yee</t>
        </is>
      </c>
      <c r="G2594" t="inlineStr">
        <is>
          <t>Customer</t>
        </is>
      </c>
      <c r="H2594" s="2" t="str">
        <f>=HYPERLINK("https://upbox.ajobthing.my/customer/134209", "https://upbox.ajobthing.my/customer/134209")</f>
        <v>https://upbox.ajobthing.my/customer/134209</v>
      </c>
      <c r="I2594" t="inlineStr">
        <is>
          <t>Poliklinik Sdn Bhd</t>
        </is>
      </c>
      <c r="J2594" t="inlineStr">
        <is>
          <t>Small Fish</t>
        </is>
      </c>
      <c r="K2594" t="inlineStr">
        <is>
          <t>Chia Yee</t>
        </is>
      </c>
      <c r="L2594" s="4"/>
      <c r="M2594" s="4">
        <v>46118.63134259259</v>
      </c>
      <c r="N2594"/>
      <c r="O2594">
        <v>1296</v>
      </c>
      <c r="P2594" s="4"/>
      <c r="Q2594" s="4">
        <v>46117.2512037037</v>
      </c>
      <c r="R2594"/>
      <c r="S2594">
        <v>0</v>
      </c>
      <c r="T2594" s="4"/>
      <c r="U2594" s="4"/>
      <c r="V2594"/>
      <c r="W2594"/>
      <c r="X2594"/>
      <c r="Y2594" t="inlineStr">
        <is>
          <t>Pending Appointment</t>
        </is>
      </c>
      <c r="Z2594" t="inlineStr">
        <is>
          <t>Hiring Now</t>
        </is>
      </c>
      <c r="AA2594">
        <v>1</v>
      </c>
      <c r="AB2594" t="inlineStr">
        <is>
          <t>No Appointment Made</t>
        </is>
      </c>
      <c r="AC2594"/>
      <c r="AD2594" t="inlineStr">
        <is>
          <t>1 clinic assistant</t>
        </is>
      </c>
      <c r="AE2594"/>
      <c r="AF2594">
        <v>0</v>
      </c>
      <c r="AG2594" s="4"/>
      <c r="AH2594" s="4"/>
      <c r="AI2594">
        <v>0</v>
      </c>
      <c r="AJ2594">
        <v>1</v>
      </c>
      <c r="AK2594" t="inlineStr">
        <is>
          <t>No, I don't need at all</t>
        </is>
      </c>
      <c r="AL2594">
        <v>1</v>
      </c>
      <c r="AM2594" t="inlineStr">
        <is>
          <t>No, I don't need at all</t>
        </is>
      </c>
      <c r="AN2594"/>
      <c r="AO2594" t="inlineStr">
        <is>
          <t>No, I don't need at all</t>
        </is>
      </c>
      <c r="AP2594" t="inlineStr">
        <is>
          <t>Once a year (25%)</t>
        </is>
      </c>
      <c r="AQ2594">
        <v>1</v>
      </c>
      <c r="AR2594" t="inlineStr">
        <is>
          <t>Did not use any job portal</t>
        </is>
      </c>
      <c r="AS2594" t="inlineStr">
        <is>
          <t>- Headcount: 1
- Hiring Job Details: 1 clinic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594">
        <v>110</v>
      </c>
      <c r="AU2594" t="inlineStr">
        <is>
          <t>1.10</t>
        </is>
      </c>
      <c r="AV2594" t="inlineStr">
        <is>
          <t>15</t>
        </is>
      </c>
      <c r="AW2594" t="inlineStr">
        <is>
          <t>0</t>
        </is>
      </c>
      <c r="AX2594" t="inlineStr">
        <is>
          <t>Not Qualified</t>
        </is>
      </c>
      <c r="AY2594" s="4"/>
      <c r="AZ2594"/>
      <c r="BA2594"/>
      <c r="BB2594"/>
      <c r="BC2594" t="inlineStr">
        <is>
          <t>Called, no ans. WA</t>
        </is>
      </c>
      <c r="BD2594" s="4">
        <v>46129.54561342593</v>
      </c>
      <c r="BE2594" t="inlineStr">
        <is>
          <t>paid</t>
        </is>
      </c>
      <c r="BF2594"/>
      <c r="BG2594" t="inlineStr">
        <is>
          <t>Reschedule</t>
        </is>
      </c>
      <c r="BH2594" t="inlineStr">
        <is>
          <t>Reagen</t>
        </is>
      </c>
      <c r="BI2594"/>
      <c r="BJ2594" s="4">
        <v>46144.75053240741</v>
      </c>
      <c r="BK2594" s="4">
        <v>44237.444247685184</v>
      </c>
      <c r="BL2594" t="inlineStr">
        <is>
          <t>0.0</t>
        </is>
      </c>
      <c r="BM2594" t="inlineStr">
        <is>
          <t>0.0</t>
        </is>
      </c>
      <c r="BN2594" t="inlineStr">
        <is>
          <t>View Library</t>
        </is>
      </c>
      <c r="BO2594" s="4">
        <v>44237.4500462963</v>
      </c>
      <c r="BP2594">
        <v>165425</v>
      </c>
      <c r="BQ2594">
        <v>120055</v>
      </c>
      <c r="BR2594" t="inlineStr">
        <is>
          <t>Proforma</t>
        </is>
      </c>
      <c r="BS2594" t="inlineStr">
        <is>
          <t>Free High Pay Job</t>
        </is>
      </c>
      <c r="BT2594"/>
      <c r="BU2594"/>
      <c r="BV2594">
        <v>2711882</v>
      </c>
      <c r="BW2594" t="inlineStr">
        <is>
          <t>No Answer : Voicemail - WA sent to customer</t>
        </is>
      </c>
      <c r="BX2594"/>
      <c r="BY2594"/>
      <c r="BZ2594" s="4"/>
      <c r="CA2594"/>
      <c r="CB2594"/>
      <c r="CC2594" s="4"/>
      <c r="CD2594" t="inlineStr">
        <is>
          <t>20</t>
        </is>
      </c>
      <c r="CE2594" t="inlineStr">
        <is>
          <t>0</t>
        </is>
      </c>
      <c r="CF2594" t="inlineStr">
        <is>
          <t>Q2-W01</t>
        </is>
      </c>
      <c r="CG2594" t="inlineStr">
        <is>
          <t>Q2-W01</t>
        </is>
      </c>
      <c r="CH2594"/>
      <c r="CI2594"/>
      <c r="CJ2594" t="inlineStr">
        <is>
          <t>No Paid</t>
        </is>
      </c>
      <c r="CK2594" t="inlineStr">
        <is>
          <t>Not Eligible</t>
        </is>
      </c>
      <c r="CL2594"/>
      <c r="CM2594"/>
    </row>
    <row r="2595" ht="25.5" customHeight="1">
      <c r="A2595" t="inlineStr">
        <is>
          <t>136007</t>
        </is>
      </c>
      <c r="B2595" s="2"/>
      <c r="C2595"/>
      <c r="D2595" s="3">
        <v>46118.631585648145</v>
      </c>
      <c r="E2595" t="inlineStr">
        <is>
          <t>Q2-W01</t>
        </is>
      </c>
      <c r="F2595" t="inlineStr">
        <is>
          <t>Dickson</t>
        </is>
      </c>
      <c r="G2595" t="inlineStr">
        <is>
          <t>Customer</t>
        </is>
      </c>
      <c r="H2595" s="2" t="str">
        <f>=HYPERLINK("https://upbox.ajobthing.my/customer/136007", "https://upbox.ajobthing.my/customer/136007")</f>
        <v>https://upbox.ajobthing.my/customer/136007</v>
      </c>
      <c r="I2595" t="inlineStr">
        <is>
          <t>Syarikat Perniagaan Tuguan Sdn.bhd</t>
        </is>
      </c>
      <c r="J2595" t="inlineStr">
        <is>
          <t>Small Fish</t>
        </is>
      </c>
      <c r="K2595" t="inlineStr">
        <is>
          <t>Dickson</t>
        </is>
      </c>
      <c r="L2595" s="4"/>
      <c r="M2595" s="4">
        <v>46118.631747685184</v>
      </c>
      <c r="N2595"/>
      <c r="O2595">
        <v>3672</v>
      </c>
      <c r="P2595" s="4"/>
      <c r="Q2595" s="4">
        <v>46066.905960648146</v>
      </c>
      <c r="R2595"/>
      <c r="S2595">
        <v>0</v>
      </c>
      <c r="T2595" s="4"/>
      <c r="U2595" s="4"/>
      <c r="V2595"/>
      <c r="W2595"/>
      <c r="X2595"/>
      <c r="Y2595" t="inlineStr">
        <is>
          <t>Pending Appointment</t>
        </is>
      </c>
      <c r="Z2595" t="inlineStr">
        <is>
          <t>Hiring Now</t>
        </is>
      </c>
      <c r="AA2595">
        <v>2</v>
      </c>
      <c r="AB2595" t="inlineStr">
        <is>
          <t>No Appointment Made</t>
        </is>
      </c>
      <c r="AC2595"/>
      <c r="AD2595" t="inlineStr">
        <is>
          <t>1 sales clerk, 1 sales admin</t>
        </is>
      </c>
      <c r="AE2595"/>
      <c r="AF2595"/>
      <c r="AG2595" s="4"/>
      <c r="AH2595" s="4"/>
      <c r="AI2595"/>
      <c r="AJ2595">
        <v>1</v>
      </c>
      <c r="AK2595" t="inlineStr">
        <is>
          <t>No, I don't need at all</t>
        </is>
      </c>
      <c r="AL2595"/>
      <c r="AM2595" t="inlineStr">
        <is>
          <t>No, I don't need at all</t>
        </is>
      </c>
      <c r="AN2595"/>
      <c r="AO2595" t="inlineStr">
        <is>
          <t>No, I don't need at all</t>
        </is>
      </c>
      <c r="AP2595" t="inlineStr">
        <is>
          <t>Once per quarter (75%)</t>
        </is>
      </c>
      <c r="AQ2595"/>
      <c r="AR2595"/>
      <c r="AS2595" t="inlineStr">
        <is>
          <t>- Headcount: 2
- Hiring Job Details: 1 sales clerk, 1 sales admin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595">
        <v>95</v>
      </c>
      <c r="AU2595" t="inlineStr">
        <is>
          <t>0.95</t>
        </is>
      </c>
      <c r="AV2595" t="inlineStr">
        <is>
          <t>5</t>
        </is>
      </c>
      <c r="AW2595" t="inlineStr">
        <is>
          <t>0</t>
        </is>
      </c>
      <c r="AX2595" t="inlineStr">
        <is>
          <t>Not Qualified</t>
        </is>
      </c>
      <c r="AY2595" s="4"/>
      <c r="AZ2595"/>
      <c r="BA2595"/>
      <c r="BB2595"/>
      <c r="BC2595" t="inlineStr">
        <is>
          <t>dont wish to proceed first</t>
        </is>
      </c>
      <c r="BD2595" s="4">
        <v>46125.67314814815</v>
      </c>
      <c r="BE2595" t="inlineStr">
        <is>
          <t>paid</t>
        </is>
      </c>
      <c r="BF2595"/>
      <c r="BG2595" t="inlineStr">
        <is>
          <t>Reschedule</t>
        </is>
      </c>
      <c r="BH2595" t="inlineStr">
        <is>
          <t>Edward Hoo</t>
        </is>
      </c>
      <c r="BI2595"/>
      <c r="BJ2595" s="4">
        <v>46144.750555555554</v>
      </c>
      <c r="BK2595" s="4">
        <v>44278.519537037035</v>
      </c>
      <c r="BL2595" t="inlineStr">
        <is>
          <t>0.0</t>
        </is>
      </c>
      <c r="BM2595" t="inlineStr">
        <is>
          <t>0.0</t>
        </is>
      </c>
      <c r="BN2595" t="inlineStr">
        <is>
          <t>View Company Page</t>
        </is>
      </c>
      <c r="BO2595" s="4">
        <v>46043.54461805556</v>
      </c>
      <c r="BP2595">
        <v>165426</v>
      </c>
      <c r="BQ2595">
        <v>115250</v>
      </c>
      <c r="BR2595" t="inlineStr">
        <is>
          <t>Proforma</t>
        </is>
      </c>
      <c r="BS2595" t="inlineStr">
        <is>
          <t>Free Internship Job</t>
        </is>
      </c>
      <c r="BT2595"/>
      <c r="BU2595"/>
      <c r="BV2595">
        <v>2701545</v>
      </c>
      <c r="BW2595" t="inlineStr">
        <is>
          <t>Follow Up : Budget Concern</t>
        </is>
      </c>
      <c r="BX2595"/>
      <c r="BY2595"/>
      <c r="BZ2595" s="4"/>
      <c r="CA2595"/>
      <c r="CB2595"/>
      <c r="CC2595" s="4"/>
      <c r="CD2595" t="inlineStr">
        <is>
          <t>5</t>
        </is>
      </c>
      <c r="CE2595" t="inlineStr">
        <is>
          <t>0</t>
        </is>
      </c>
      <c r="CF2595" t="inlineStr">
        <is>
          <t>Q2-W01</t>
        </is>
      </c>
      <c r="CG2595" t="inlineStr">
        <is>
          <t>Q1-W07</t>
        </is>
      </c>
      <c r="CH2595"/>
      <c r="CI2595"/>
      <c r="CJ2595" t="inlineStr">
        <is>
          <t>No Paid</t>
        </is>
      </c>
      <c r="CK2595" t="inlineStr">
        <is>
          <t>Not Eligible</t>
        </is>
      </c>
      <c r="CL2595"/>
      <c r="CM2595"/>
    </row>
    <row r="2596" ht="25.5" customHeight="1">
      <c r="A2596" t="inlineStr">
        <is>
          <t>201985</t>
        </is>
      </c>
      <c r="B2596" s="2"/>
      <c r="C2596"/>
      <c r="D2596" s="3">
        <v>46118.63613425926</v>
      </c>
      <c r="E2596" t="inlineStr">
        <is>
          <t>Q2-W01</t>
        </is>
      </c>
      <c r="F2596" t="inlineStr">
        <is>
          <t>Eugene</t>
        </is>
      </c>
      <c r="G2596" t="inlineStr">
        <is>
          <t>Customer</t>
        </is>
      </c>
      <c r="H2596" s="2" t="str">
        <f>=HYPERLINK("https://upbox.ajobthing.my/customer/201985", "https://upbox.ajobthing.my/customer/201985")</f>
        <v>https://upbox.ajobthing.my/customer/201985</v>
      </c>
      <c r="I2596" t="inlineStr">
        <is>
          <t>Vera Haus Sdn Bhd</t>
        </is>
      </c>
      <c r="J2596" t="inlineStr">
        <is>
          <t>Small Fish</t>
        </is>
      </c>
      <c r="K2596" t="inlineStr">
        <is>
          <t>Eugene</t>
        </is>
      </c>
      <c r="L2596" s="4"/>
      <c r="M2596" s="4">
        <v>46118.63380787037</v>
      </c>
      <c r="N2596"/>
      <c r="O2596">
        <v>7020</v>
      </c>
      <c r="P2596" s="4"/>
      <c r="Q2596" s="4"/>
      <c r="R2596"/>
      <c r="S2596"/>
      <c r="T2596" s="4"/>
      <c r="U2596" s="4"/>
      <c r="V2596"/>
      <c r="W2596"/>
      <c r="X2596"/>
      <c r="Y2596" t="inlineStr">
        <is>
          <t>Pending Appointment</t>
        </is>
      </c>
      <c r="Z2596" t="inlineStr">
        <is>
          <t>Continuous Hiring</t>
        </is>
      </c>
      <c r="AA2596">
        <v>24</v>
      </c>
      <c r="AB2596" t="inlineStr">
        <is>
          <t>No Appointment Made</t>
        </is>
      </c>
      <c r="AC2596"/>
      <c r="AD2596" t="inlineStr">
        <is>
          <t>24 positions, based in KL</t>
        </is>
      </c>
      <c r="AE2596"/>
      <c r="AF2596">
        <v>6500</v>
      </c>
      <c r="AG2596" s="4"/>
      <c r="AH2596" s="4"/>
      <c r="AI2596">
        <v>6500</v>
      </c>
      <c r="AJ2596">
        <v>1</v>
      </c>
      <c r="AK2596" t="inlineStr">
        <is>
          <t>No, I don't need at all</t>
        </is>
      </c>
      <c r="AL2596">
        <v>1</v>
      </c>
      <c r="AM2596" t="inlineStr">
        <is>
          <t>No, I don't need at all</t>
        </is>
      </c>
      <c r="AN2596"/>
      <c r="AO2596" t="inlineStr">
        <is>
          <t>No, I don't need at all</t>
        </is>
      </c>
      <c r="AP2596" t="inlineStr">
        <is>
          <t>Every month (100%)</t>
        </is>
      </c>
      <c r="AQ2596">
        <v>24</v>
      </c>
      <c r="AR2596" t="inlineStr">
        <is>
          <t>Free Job Portal</t>
        </is>
      </c>
      <c r="AS2596" t="inlineStr">
        <is>
          <t>- Headcount: Not specified
- Hiring Job Details: 24 positions, based in KL
- Hiring Urgency: Continuous Hiring
- Number of outlets: 1
- Have recruiter team: No, I don't need at all
- Number of recruiter in company: 1
- Have ATS system: No, I don't need at all
- Have career website: No, I don't need at all
- Current hiring budget: RM6,500
- Whole year budget: RM6,500.00
- Whole year number of vacancies: 24
- Hiring frequency: Every month (100%)
- External job portal: Free Job Portal</t>
        </is>
      </c>
      <c r="AT2596">
        <v>90</v>
      </c>
      <c r="AU2596" t="inlineStr">
        <is>
          <t>0.90</t>
        </is>
      </c>
      <c r="AV2596" t="inlineStr">
        <is>
          <t>25</t>
        </is>
      </c>
      <c r="AW2596" t="inlineStr">
        <is>
          <t>0</t>
        </is>
      </c>
      <c r="AX2596" t="inlineStr">
        <is>
          <t>Not Qualified</t>
        </is>
      </c>
      <c r="AY2596" s="4"/>
      <c r="AZ2596"/>
      <c r="BA2596"/>
      <c r="BB2596"/>
      <c r="BC2596" t="inlineStr">
        <is>
          <t>pending</t>
        </is>
      </c>
      <c r="BD2596" s="4">
        <v>46140.63475694445</v>
      </c>
      <c r="BE2596"/>
      <c r="BF2596"/>
      <c r="BG2596" t="inlineStr">
        <is>
          <t>Reschedule</t>
        </is>
      </c>
      <c r="BH2596" t="inlineStr">
        <is>
          <t>Edward Hoo</t>
        </is>
      </c>
      <c r="BI2596"/>
      <c r="BJ2596" s="4">
        <v>46144.75392361111</v>
      </c>
      <c r="BK2596" s="4">
        <v>46092.690150462964</v>
      </c>
      <c r="BL2596" t="inlineStr">
        <is>
          <t>0.0</t>
        </is>
      </c>
      <c r="BM2596" t="inlineStr">
        <is>
          <t>0.0</t>
        </is>
      </c>
      <c r="BN2596"/>
      <c r="BO2596" s="4"/>
      <c r="BP2596">
        <v>165427</v>
      </c>
      <c r="BQ2596"/>
      <c r="BR2596"/>
      <c r="BS2596"/>
      <c r="BT2596"/>
      <c r="BU2596"/>
      <c r="BV2596">
        <v>2733009</v>
      </c>
      <c r="BW2596" t="inlineStr">
        <is>
          <t>Follow Up : Decision Pending</t>
        </is>
      </c>
      <c r="BX2596"/>
      <c r="BY2596"/>
      <c r="BZ2596" s="4"/>
      <c r="CA2596"/>
      <c r="CB2596"/>
      <c r="CC2596" s="4"/>
      <c r="CD2596" t="inlineStr">
        <is>
          <t>35</t>
        </is>
      </c>
      <c r="CE2596" t="inlineStr">
        <is>
          <t>0</t>
        </is>
      </c>
      <c r="CF2596" t="inlineStr">
        <is>
          <t>Q2-W01</t>
        </is>
      </c>
      <c r="CG2596"/>
      <c r="CH2596"/>
      <c r="CI2596"/>
      <c r="CJ2596" t="inlineStr">
        <is>
          <t>No Paid</t>
        </is>
      </c>
      <c r="CK2596" t="inlineStr">
        <is>
          <t>Eligible</t>
        </is>
      </c>
      <c r="CL2596"/>
      <c r="CM2596"/>
    </row>
    <row r="2597" ht="25.5" customHeight="1">
      <c r="A2597" t="inlineStr">
        <is>
          <t>180895</t>
        </is>
      </c>
      <c r="B2597" s="2"/>
      <c r="C2597"/>
      <c r="D2597" s="3">
        <v>46118.63880787037</v>
      </c>
      <c r="E2597" t="inlineStr">
        <is>
          <t>Q2-W01</t>
        </is>
      </c>
      <c r="F2597" t="inlineStr">
        <is>
          <t>Chia Yee</t>
        </is>
      </c>
      <c r="G2597" t="inlineStr">
        <is>
          <t>Customer</t>
        </is>
      </c>
      <c r="H2597" s="2" t="str">
        <f>=HYPERLINK("https://upbox.ajobthing.my/customer/180895", "https://upbox.ajobthing.my/customer/180895")</f>
        <v>https://upbox.ajobthing.my/customer/180895</v>
      </c>
      <c r="I2597" t="inlineStr">
        <is>
          <t xml:space="preserve">Bread Brothers </t>
        </is>
      </c>
      <c r="J2597" t="inlineStr">
        <is>
          <t>Small Fish</t>
        </is>
      </c>
      <c r="K2597" t="inlineStr">
        <is>
          <t>Chia Yee</t>
        </is>
      </c>
      <c r="L2597" s="4"/>
      <c r="M2597" s="4">
        <v>46118.63894675926</v>
      </c>
      <c r="N2597"/>
      <c r="O2597">
        <v>3888</v>
      </c>
      <c r="P2597" s="4"/>
      <c r="Q2597" s="4"/>
      <c r="R2597"/>
      <c r="S2597"/>
      <c r="T2597" s="4"/>
      <c r="U2597" s="4"/>
      <c r="V2597"/>
      <c r="W2597"/>
      <c r="X2597"/>
      <c r="Y2597" t="inlineStr">
        <is>
          <t>Pending Appointment</t>
        </is>
      </c>
      <c r="Z2597" t="inlineStr">
        <is>
          <t>Hiring Now</t>
        </is>
      </c>
      <c r="AA2597">
        <v>3</v>
      </c>
      <c r="AB2597" t="inlineStr">
        <is>
          <t>No Appointment Made</t>
        </is>
      </c>
      <c r="AC2597"/>
      <c r="AD2597" t="inlineStr">
        <is>
          <t>3  part-time bakery cashiers</t>
        </is>
      </c>
      <c r="AE2597"/>
      <c r="AF2597">
        <v>0</v>
      </c>
      <c r="AG2597" s="4"/>
      <c r="AH2597" s="4"/>
      <c r="AI2597">
        <v>0</v>
      </c>
      <c r="AJ2597">
        <v>1</v>
      </c>
      <c r="AK2597" t="inlineStr">
        <is>
          <t>No, I don't need at all</t>
        </is>
      </c>
      <c r="AL2597">
        <v>1</v>
      </c>
      <c r="AM2597" t="inlineStr">
        <is>
          <t>No, I don't need at all</t>
        </is>
      </c>
      <c r="AN2597"/>
      <c r="AO2597" t="inlineStr">
        <is>
          <t>No, I don't need at all</t>
        </is>
      </c>
      <c r="AP2597" t="inlineStr">
        <is>
          <t>Once a year (25%)</t>
        </is>
      </c>
      <c r="AQ2597">
        <v>3</v>
      </c>
      <c r="AR2597" t="inlineStr">
        <is>
          <t>Did not use any job portal</t>
        </is>
      </c>
      <c r="AS2597" t="inlineStr">
        <is>
          <t>- Headcount: 3
- Hiring Job Details: 3 part-time bakery cashiers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is>
      </c>
      <c r="AT2597">
        <v>115</v>
      </c>
      <c r="AU2597" t="inlineStr">
        <is>
          <t>1.15</t>
        </is>
      </c>
      <c r="AV2597" t="inlineStr">
        <is>
          <t>15</t>
        </is>
      </c>
      <c r="AW2597" t="inlineStr">
        <is>
          <t>0</t>
        </is>
      </c>
      <c r="AX2597" t="inlineStr">
        <is>
          <t>Not Qualified</t>
        </is>
      </c>
      <c r="AY2597" s="4"/>
      <c r="AZ2597"/>
      <c r="BA2597"/>
      <c r="BB2597"/>
      <c r="BC2597" t="inlineStr">
        <is>
          <t>Replied: out of budget</t>
        </is>
      </c>
      <c r="BD2597" s="4">
        <v>46119.47278935185</v>
      </c>
      <c r="BE2597"/>
      <c r="BF2597"/>
      <c r="BG2597" t="inlineStr">
        <is>
          <t>Reschedule</t>
        </is>
      </c>
      <c r="BH2597" t="inlineStr">
        <is>
          <t>Reagen</t>
        </is>
      </c>
      <c r="BI2597" t="inlineStr">
        <is>
          <t>Food / Beverage</t>
        </is>
      </c>
      <c r="BJ2597" s="4">
        <v>46144.75184027778</v>
      </c>
      <c r="BK2597" s="4">
        <v>45497.91674768519</v>
      </c>
      <c r="BL2597" t="inlineStr">
        <is>
          <t>0.0</t>
        </is>
      </c>
      <c r="BM2597" t="inlineStr">
        <is>
          <t>0.0</t>
        </is>
      </c>
      <c r="BN2597" t="inlineStr">
        <is>
          <t>View Company Page</t>
        </is>
      </c>
      <c r="BO2597" s="4">
        <v>45497.91984953704</v>
      </c>
      <c r="BP2597">
        <v>165437</v>
      </c>
      <c r="BQ2597"/>
      <c r="BR2597"/>
      <c r="BS2597"/>
      <c r="BT2597"/>
      <c r="BU2597"/>
      <c r="BV2597">
        <v>2688464</v>
      </c>
      <c r="BW2597" t="inlineStr">
        <is>
          <t>Follow Up : Budget Concern</t>
        </is>
      </c>
      <c r="BX2597"/>
      <c r="BY2597"/>
      <c r="BZ2597" s="4"/>
      <c r="CA2597"/>
      <c r="CB2597"/>
      <c r="CC2597" s="4"/>
      <c r="CD2597" t="inlineStr">
        <is>
          <t>20</t>
        </is>
      </c>
      <c r="CE2597" t="inlineStr">
        <is>
          <t>0</t>
        </is>
      </c>
      <c r="CF2597" t="inlineStr">
        <is>
          <t>Q2-W01</t>
        </is>
      </c>
      <c r="CG2597"/>
      <c r="CH2597"/>
      <c r="CI2597"/>
      <c r="CJ2597" t="inlineStr">
        <is>
          <t>No Paid</t>
        </is>
      </c>
      <c r="CK2597" t="inlineStr">
        <is>
          <t>Not Eligible</t>
        </is>
      </c>
      <c r="CL2597"/>
      <c r="CM2597"/>
    </row>
    <row r="2598" ht="25.5" customHeight="1">
      <c r="A2598" t="inlineStr">
        <is>
          <t>183175</t>
        </is>
      </c>
      <c r="B2598" s="2"/>
      <c r="C2598"/>
      <c r="D2598" s="3">
        <v>46118.64481481481</v>
      </c>
      <c r="E2598" t="inlineStr">
        <is>
          <t>Q2-W01</t>
        </is>
      </c>
      <c r="F2598" t="inlineStr">
        <is>
          <t>Xin Quan</t>
        </is>
      </c>
      <c r="G2598" t="inlineStr">
        <is>
          <t>Customer</t>
        </is>
      </c>
      <c r="H2598" s="2" t="str">
        <f>=HYPERLINK("https://upbox.ajobthing.my/customer/183175", "https://upbox.ajobthing.my/customer/183175")</f>
        <v>https://upbox.ajobthing.my/customer/183175</v>
      </c>
      <c r="I2598" t="inlineStr">
        <is>
          <t>Voice Caddie Sdn Bhd</t>
        </is>
      </c>
      <c r="J2598" t="inlineStr">
        <is>
          <t>Small Fish</t>
        </is>
      </c>
      <c r="K2598" t="inlineStr">
        <is>
          <t>Xin Quan</t>
        </is>
      </c>
      <c r="L2598" s="4"/>
      <c r="M2598" s="4">
        <v>46118.64494212963</v>
      </c>
      <c r="N2598"/>
      <c r="O2598">
        <v>3888</v>
      </c>
      <c r="P2598" s="4"/>
      <c r="Q2598" s="4"/>
      <c r="R2598"/>
      <c r="S2598"/>
      <c r="T2598" s="4"/>
      <c r="U2598" s="4"/>
      <c r="V2598"/>
      <c r="W2598"/>
      <c r="X2598"/>
      <c r="Y2598" t="inlineStr">
        <is>
          <t>Pending Appointment</t>
        </is>
      </c>
      <c r="Z2598" t="inlineStr">
        <is>
          <t>Hiring Now</t>
        </is>
      </c>
      <c r="AA2598">
        <v>2</v>
      </c>
      <c r="AB2598" t="inlineStr">
        <is>
          <t>No Appointment Made</t>
        </is>
      </c>
      <c r="AC2598"/>
      <c r="AD2598" t="inlineStr">
        <is>
          <t>1 Admin 1 HR , Base in KL</t>
        </is>
      </c>
      <c r="AE2598"/>
      <c r="AF2598">
        <v>4000</v>
      </c>
      <c r="AG2598" s="4"/>
      <c r="AH2598" s="4"/>
      <c r="AI2598">
        <v>48000</v>
      </c>
      <c r="AJ2598">
        <v>1</v>
      </c>
      <c r="AK2598"/>
      <c r="AL2598"/>
      <c r="AM2598"/>
      <c r="AN2598"/>
      <c r="AO2598"/>
      <c r="AP2598" t="inlineStr">
        <is>
          <t>Once a year (25%)</t>
        </is>
      </c>
      <c r="AQ2598">
        <v>2</v>
      </c>
      <c r="AR2598"/>
      <c r="AS2598" t="inlineStr">
        <is>
          <t>- Headcount: 2
- Hiring Job Details: 1 Admin 1 HR,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Once a year (25%)
- External job portal: Not specified</t>
        </is>
      </c>
      <c r="AT2598">
        <v>75</v>
      </c>
      <c r="AU2598" t="inlineStr">
        <is>
          <t>0.75</t>
        </is>
      </c>
      <c r="AV2598" t="inlineStr">
        <is>
          <t>15</t>
        </is>
      </c>
      <c r="AW2598" t="inlineStr">
        <is>
          <t>0</t>
        </is>
      </c>
      <c r="AX2598" t="inlineStr">
        <is>
          <t>Not Qualified</t>
        </is>
      </c>
      <c r="AY2598" s="4"/>
      <c r="AZ2598"/>
      <c r="BA2598"/>
      <c r="BB2598"/>
      <c r="BC2598" t="inlineStr">
        <is>
          <t>NA</t>
        </is>
      </c>
      <c r="BD2598" s="4">
        <v>46122.46246527778</v>
      </c>
      <c r="BE2598"/>
      <c r="BF2598"/>
      <c r="BG2598" t="inlineStr">
        <is>
          <t>Reschedule</t>
        </is>
      </c>
      <c r="BH2598" t="inlineStr">
        <is>
          <t>Edward Hoo</t>
        </is>
      </c>
      <c r="BI2598" t="inlineStr">
        <is>
          <t>Sports</t>
        </is>
      </c>
      <c r="BJ2598" s="4">
        <v>46144.75194444445</v>
      </c>
      <c r="BK2598" s="4">
        <v>45562.62534722222</v>
      </c>
      <c r="BL2598" t="inlineStr">
        <is>
          <t>0.0</t>
        </is>
      </c>
      <c r="BM2598" t="inlineStr">
        <is>
          <t>0.0</t>
        </is>
      </c>
      <c r="BN2598" t="inlineStr">
        <is>
          <t>View Company Page</t>
        </is>
      </c>
      <c r="BO2598" s="4">
        <v>45562.629212962966</v>
      </c>
      <c r="BP2598">
        <v>165442</v>
      </c>
      <c r="BQ2598"/>
      <c r="BR2598"/>
      <c r="BS2598"/>
      <c r="BT2598"/>
      <c r="BU2598"/>
      <c r="BV2598">
        <v>2697635</v>
      </c>
      <c r="BW2598" t="inlineStr">
        <is>
          <t>No Answer : Voicemail - WA sent to customer</t>
        </is>
      </c>
      <c r="BX2598"/>
      <c r="BY2598"/>
      <c r="BZ2598" s="4"/>
      <c r="CA2598"/>
      <c r="CB2598"/>
      <c r="CC2598" s="4"/>
      <c r="CD2598" t="inlineStr">
        <is>
          <t>20</t>
        </is>
      </c>
      <c r="CE2598" t="inlineStr">
        <is>
          <t>0</t>
        </is>
      </c>
      <c r="CF2598" t="inlineStr">
        <is>
          <t>Q2-W01</t>
        </is>
      </c>
      <c r="CG2598"/>
      <c r="CH2598"/>
      <c r="CI2598"/>
      <c r="CJ2598" t="inlineStr">
        <is>
          <t>No Paid</t>
        </is>
      </c>
      <c r="CK2598" t="inlineStr">
        <is>
          <t>Not Eligible</t>
        </is>
      </c>
      <c r="CL2598"/>
      <c r="CM2598"/>
    </row>
    <row r="2599" ht="25.5" customHeight="1">
      <c r="A2599" t="inlineStr">
        <is>
          <t>202826</t>
        </is>
      </c>
      <c r="B2599" s="2"/>
      <c r="C2599"/>
      <c r="D2599" s="3">
        <v>46118.64643518518</v>
      </c>
      <c r="E2599" t="inlineStr">
        <is>
          <t>Q2-W01</t>
        </is>
      </c>
      <c r="F2599" t="inlineStr">
        <is>
          <t>Evan</t>
        </is>
      </c>
      <c r="G2599" t="inlineStr">
        <is>
          <t>Customer</t>
        </is>
      </c>
      <c r="H2599" s="2" t="str">
        <f>=HYPERLINK("https://upbox.ajobthing.my/customer/202826", "https://upbox.ajobthing.my/customer/202826")</f>
        <v>https://upbox.ajobthing.my/customer/202826</v>
      </c>
      <c r="I2599" t="inlineStr">
        <is>
          <t>Gaia Cerah Sdn. Bhd.</t>
        </is>
      </c>
      <c r="J2599" t="inlineStr">
        <is>
          <t>Small Fish</t>
        </is>
      </c>
      <c r="K2599" t="inlineStr">
        <is>
          <t>Evan</t>
        </is>
      </c>
      <c r="L2599" s="4"/>
      <c r="M2599" s="4">
        <v>46118.64604166667</v>
      </c>
      <c r="N2599"/>
      <c r="O2599">
        <v>3672</v>
      </c>
      <c r="P2599" s="4"/>
      <c r="Q2599" s="4">
        <v>46116.92590277778</v>
      </c>
      <c r="R2599"/>
      <c r="S2599">
        <v>0</v>
      </c>
      <c r="T2599" s="4"/>
      <c r="U2599" s="4"/>
      <c r="V2599"/>
      <c r="W2599"/>
      <c r="X2599"/>
      <c r="Y2599" t="inlineStr">
        <is>
          <t>Pending Appointment</t>
        </is>
      </c>
      <c r="Z2599" t="inlineStr">
        <is>
          <t>Hiring Now</t>
        </is>
      </c>
      <c r="AA2599">
        <v>1</v>
      </c>
      <c r="AB2599" t="inlineStr">
        <is>
          <t>No Appointment Made</t>
        </is>
      </c>
      <c r="AC2599"/>
      <c r="AD2599" t="inlineStr">
        <is>
          <t>1 admin, all base in Johor</t>
        </is>
      </c>
      <c r="AE2599"/>
      <c r="AF2599">
        <v>1</v>
      </c>
      <c r="AG2599" s="4"/>
      <c r="AH2599" s="4"/>
      <c r="AI2599">
        <v>1</v>
      </c>
      <c r="AJ2599">
        <v>1</v>
      </c>
      <c r="AK2599" t="inlineStr">
        <is>
          <t>No, I don't need at all</t>
        </is>
      </c>
      <c r="AL2599">
        <v>0</v>
      </c>
      <c r="AM2599" t="inlineStr">
        <is>
          <t>No, I don't need at all</t>
        </is>
      </c>
      <c r="AN2599"/>
      <c r="AO2599" t="inlineStr">
        <is>
          <t>No, I don't need at all</t>
        </is>
      </c>
      <c r="AP2599" t="inlineStr">
        <is>
          <t>Once a year (25%)</t>
        </is>
      </c>
      <c r="AQ2599">
        <v>1</v>
      </c>
      <c r="AR2599" t="inlineStr">
        <is>
          <t>Did not use any job portal</t>
        </is>
      </c>
      <c r="AS2599" t="inlineStr">
        <is>
          <t>- Headcount: 1
- Hiring Job Details: 1 admin, all base in Johor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2599">
        <v>115</v>
      </c>
      <c r="AU2599" t="inlineStr">
        <is>
          <t>1.15</t>
        </is>
      </c>
      <c r="AV2599" t="inlineStr">
        <is>
          <t>15</t>
        </is>
      </c>
      <c r="AW2599" t="inlineStr">
        <is>
          <t>0</t>
        </is>
      </c>
      <c r="AX2599" t="inlineStr">
        <is>
          <t>Not Qualified</t>
        </is>
      </c>
      <c r="AY2599" s="4"/>
      <c r="AZ2599"/>
      <c r="BA2599"/>
      <c r="BB2599"/>
      <c r="BC2599" t="inlineStr">
        <is>
          <t>not urgent</t>
        </is>
      </c>
      <c r="BD2599" s="4">
        <v>46126.615069444444</v>
      </c>
      <c r="BE2599" t="inlineStr">
        <is>
          <t>paid</t>
        </is>
      </c>
      <c r="BF2599"/>
      <c r="BG2599" t="inlineStr">
        <is>
          <t>Reschedule</t>
        </is>
      </c>
      <c r="BH2599" t="inlineStr">
        <is>
          <t>Edward Hoo</t>
        </is>
      </c>
      <c r="BI2599" t="inlineStr">
        <is>
          <t>Engineering / Technical Consulting</t>
        </is>
      </c>
      <c r="BJ2599" s="4">
        <v>46144.75412037037</v>
      </c>
      <c r="BK2599" s="4">
        <v>46116.92554398148</v>
      </c>
      <c r="BL2599" t="inlineStr">
        <is>
          <t>0.0</t>
        </is>
      </c>
      <c r="BM2599" t="inlineStr">
        <is>
          <t>0.0</t>
        </is>
      </c>
      <c r="BN2599" t="inlineStr">
        <is>
          <t>View Company Page</t>
        </is>
      </c>
      <c r="BO2599" s="4">
        <v>46128.68216435185</v>
      </c>
      <c r="BP2599">
        <v>165445</v>
      </c>
      <c r="BQ2599">
        <v>120050</v>
      </c>
      <c r="BR2599" t="inlineStr">
        <is>
          <t>Proforma</t>
        </is>
      </c>
      <c r="BS2599" t="inlineStr">
        <is>
          <t>Free Volunteer Job</t>
        </is>
      </c>
      <c r="BT2599"/>
      <c r="BU2599"/>
      <c r="BV2599">
        <v>2703729</v>
      </c>
      <c r="BW2599" t="inlineStr">
        <is>
          <t>Follow Up : Budget Concern</t>
        </is>
      </c>
      <c r="BX2599"/>
      <c r="BY2599"/>
      <c r="BZ2599" s="4"/>
      <c r="CA2599"/>
      <c r="CB2599"/>
      <c r="CC2599" s="4"/>
      <c r="CD2599" t="inlineStr">
        <is>
          <t>20</t>
        </is>
      </c>
      <c r="CE2599" t="inlineStr">
        <is>
          <t>0</t>
        </is>
      </c>
      <c r="CF2599" t="inlineStr">
        <is>
          <t>Q2-W01</t>
        </is>
      </c>
      <c r="CG2599" t="inlineStr">
        <is>
          <t>Q2-W01</t>
        </is>
      </c>
      <c r="CH2599"/>
      <c r="CI2599"/>
      <c r="CJ2599" t="inlineStr">
        <is>
          <t>No Paid</t>
        </is>
      </c>
      <c r="CK2599" t="inlineStr">
        <is>
          <t>Not Eligible</t>
        </is>
      </c>
      <c r="CL2599"/>
      <c r="CM2599"/>
    </row>
    <row r="2600" ht="25.5" customHeight="1">
      <c r="A2600" t="inlineStr">
        <is>
          <t>202810</t>
        </is>
      </c>
      <c r="B2600" s="2"/>
      <c r="C2600"/>
      <c r="D2600" s="3">
        <v>46118.649618055555</v>
      </c>
      <c r="E2600" t="inlineStr">
        <is>
          <t>Q2-W01</t>
        </is>
      </c>
      <c r="F2600" t="inlineStr">
        <is>
          <t>Chia Yee</t>
        </is>
      </c>
      <c r="G2600" t="inlineStr">
        <is>
          <t>Customer</t>
        </is>
      </c>
      <c r="H2600" s="2" t="str">
        <f>=HYPERLINK("https://upbox.ajobthing.my/customer/202810", "https://upbox.ajobthing.my/customer/202810")</f>
        <v>https://upbox.ajobthing.my/customer/202810</v>
      </c>
      <c r="I2600" t="inlineStr">
        <is>
          <t xml:space="preserve">Smiling Orchid Cake House Sdn Bhd </t>
        </is>
      </c>
      <c r="J2600" t="inlineStr">
        <is>
          <t>Small Fish</t>
        </is>
      </c>
      <c r="K2600" t="inlineStr">
        <is>
          <t>Chia Yee</t>
        </is>
      </c>
      <c r="L2600" s="4"/>
      <c r="M2600" s="4">
        <v>46118.64978009259</v>
      </c>
      <c r="N2600"/>
      <c r="O2600">
        <v>1296</v>
      </c>
      <c r="P2600" s="4"/>
      <c r="Q2600" s="4"/>
      <c r="R2600"/>
      <c r="S2600"/>
      <c r="T2600" s="4"/>
      <c r="U2600" s="4"/>
      <c r="V2600"/>
      <c r="W2600"/>
      <c r="X2600"/>
      <c r="Y2600" t="inlineStr">
        <is>
          <t>Pending Appointment</t>
        </is>
      </c>
      <c r="Z2600" t="inlineStr">
        <is>
          <t>Hiring Now</t>
        </is>
      </c>
      <c r="AA2600">
        <v>1</v>
      </c>
      <c r="AB2600" t="inlineStr">
        <is>
          <t>No Appointment Made</t>
        </is>
      </c>
      <c r="AC2600"/>
      <c r="AD2600" t="inlineStr">
        <is>
          <t>1 Sales Assistant</t>
        </is>
      </c>
      <c r="AE2600"/>
      <c r="AF2600">
        <v>0</v>
      </c>
      <c r="AG2600" s="4"/>
      <c r="AH2600" s="4"/>
      <c r="AI2600">
        <v>0</v>
      </c>
      <c r="AJ2600">
        <v>0</v>
      </c>
      <c r="AK2600" t="inlineStr">
        <is>
          <t>No, I don't need at all</t>
        </is>
      </c>
      <c r="AL2600">
        <v>1</v>
      </c>
      <c r="AM2600" t="inlineStr">
        <is>
          <t>No, I don't need at all</t>
        </is>
      </c>
      <c r="AN2600"/>
      <c r="AO2600" t="inlineStr">
        <is>
          <t>No, I don't need at all</t>
        </is>
      </c>
      <c r="AP2600" t="inlineStr">
        <is>
          <t>Once a year (25%)</t>
        </is>
      </c>
      <c r="AQ2600">
        <v>1</v>
      </c>
      <c r="AR2600" t="inlineStr">
        <is>
          <t>Did not use any job portal</t>
        </is>
      </c>
      <c r="AS2600" t="inlineStr">
        <is>
          <t>- Headcount: 1
- Hiring Job Details: 1 Sales Assistant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600">
        <v>110</v>
      </c>
      <c r="AU2600" t="inlineStr">
        <is>
          <t>1.10</t>
        </is>
      </c>
      <c r="AV2600" t="inlineStr">
        <is>
          <t>15</t>
        </is>
      </c>
      <c r="AW2600" t="inlineStr">
        <is>
          <t>0</t>
        </is>
      </c>
      <c r="AX2600" t="inlineStr">
        <is>
          <t>Not Qualified</t>
        </is>
      </c>
      <c r="AY2600" s="4"/>
      <c r="AZ2600"/>
      <c r="BA2600"/>
      <c r="BB2600"/>
      <c r="BC2600" t="inlineStr">
        <is>
          <t>Replied: not proceed, hired someone</t>
        </is>
      </c>
      <c r="BD2600" s="4">
        <v>46128.42996527778</v>
      </c>
      <c r="BE2600"/>
      <c r="BF2600"/>
      <c r="BG2600" t="inlineStr">
        <is>
          <t>Reschedule</t>
        </is>
      </c>
      <c r="BH2600" t="inlineStr">
        <is>
          <t>Reagen</t>
        </is>
      </c>
      <c r="BI2600"/>
      <c r="BJ2600" s="4">
        <v>46144.75412037037</v>
      </c>
      <c r="BK2600" s="4">
        <v>46115.90193287037</v>
      </c>
      <c r="BL2600" t="inlineStr">
        <is>
          <t>0.0</t>
        </is>
      </c>
      <c r="BM2600" t="inlineStr">
        <is>
          <t>0.0</t>
        </is>
      </c>
      <c r="BN2600" t="inlineStr">
        <is>
          <t>View Company Page</t>
        </is>
      </c>
      <c r="BO2600" s="4">
        <v>46116.39334490741</v>
      </c>
      <c r="BP2600">
        <v>165447</v>
      </c>
      <c r="BQ2600"/>
      <c r="BR2600"/>
      <c r="BS2600"/>
      <c r="BT2600"/>
      <c r="BU2600"/>
      <c r="BV2600">
        <v>2708045</v>
      </c>
      <c r="BW2600" t="inlineStr">
        <is>
          <t>Follow Up : Budget Concern</t>
        </is>
      </c>
      <c r="BX2600"/>
      <c r="BY2600"/>
      <c r="BZ2600" s="4"/>
      <c r="CA2600"/>
      <c r="CB2600"/>
      <c r="CC2600" s="4"/>
      <c r="CD2600" t="inlineStr">
        <is>
          <t>20</t>
        </is>
      </c>
      <c r="CE2600" t="inlineStr">
        <is>
          <t>0</t>
        </is>
      </c>
      <c r="CF2600" t="inlineStr">
        <is>
          <t>Q2-W01</t>
        </is>
      </c>
      <c r="CG2600"/>
      <c r="CH2600"/>
      <c r="CI2600"/>
      <c r="CJ2600" t="inlineStr">
        <is>
          <t>No Paid</t>
        </is>
      </c>
      <c r="CK2600" t="inlineStr">
        <is>
          <t>Not Eligible</t>
        </is>
      </c>
      <c r="CL2600"/>
      <c r="CM2600"/>
    </row>
    <row r="2601" ht="25.5" customHeight="1">
      <c r="A2601" t="inlineStr">
        <is>
          <t>199532</t>
        </is>
      </c>
      <c r="B2601" s="2"/>
      <c r="C2601"/>
      <c r="D2601" s="3">
        <v>46118.66105324074</v>
      </c>
      <c r="E2601" t="inlineStr">
        <is>
          <t>Q2-W01</t>
        </is>
      </c>
      <c r="F2601" t="inlineStr">
        <is>
          <t>Eugene</t>
        </is>
      </c>
      <c r="G2601" t="inlineStr">
        <is>
          <t>Customer</t>
        </is>
      </c>
      <c r="H2601" s="2" t="str">
        <f>=HYPERLINK("https://upbox.ajobthing.my/customer/199532", "https://upbox.ajobthing.my/customer/199532")</f>
        <v>https://upbox.ajobthing.my/customer/199532</v>
      </c>
      <c r="I2601" t="inlineStr">
        <is>
          <t>Keystone Commercial Solutions Sdn Bhd</t>
        </is>
      </c>
      <c r="J2601" t="inlineStr">
        <is>
          <t>Small Fish</t>
        </is>
      </c>
      <c r="K2601" t="inlineStr">
        <is>
          <t>Eugene</t>
        </is>
      </c>
      <c r="L2601" s="4"/>
      <c r="M2601" s="4">
        <v>46118.661145833335</v>
      </c>
      <c r="N2601"/>
      <c r="O2601">
        <v>3888</v>
      </c>
      <c r="P2601" s="4"/>
      <c r="Q2601" s="4"/>
      <c r="R2601"/>
      <c r="S2601"/>
      <c r="T2601" s="4"/>
      <c r="U2601" s="4"/>
      <c r="V2601"/>
      <c r="W2601"/>
      <c r="X2601"/>
      <c r="Y2601" t="inlineStr">
        <is>
          <t>Pending Appointment</t>
        </is>
      </c>
      <c r="Z2601" t="inlineStr">
        <is>
          <t>Hiring Later</t>
        </is>
      </c>
      <c r="AA2601">
        <v>3</v>
      </c>
      <c r="AB2601" t="inlineStr">
        <is>
          <t>No Appointment Made</t>
        </is>
      </c>
      <c r="AC2601"/>
      <c r="AD2601" t="inlineStr">
        <is>
          <t>2 admin, 1 project assistant, based in JB</t>
        </is>
      </c>
      <c r="AE2601"/>
      <c r="AF2601">
        <v>3000</v>
      </c>
      <c r="AG2601" s="4"/>
      <c r="AH2601" s="4"/>
      <c r="AI2601">
        <v>3000</v>
      </c>
      <c r="AJ2601">
        <v>1</v>
      </c>
      <c r="AK2601" t="inlineStr">
        <is>
          <t>No, I don't need at all</t>
        </is>
      </c>
      <c r="AL2601">
        <v>1</v>
      </c>
      <c r="AM2601" t="inlineStr">
        <is>
          <t>No, I don't need at all</t>
        </is>
      </c>
      <c r="AN2601"/>
      <c r="AO2601" t="inlineStr">
        <is>
          <t>No, I don't need at all</t>
        </is>
      </c>
      <c r="AP2601" t="inlineStr">
        <is>
          <t>Twice a year (50%)</t>
        </is>
      </c>
      <c r="AQ2601">
        <v>3</v>
      </c>
      <c r="AR2601" t="inlineStr">
        <is>
          <t>Free Job Portal</t>
        </is>
      </c>
      <c r="AS2601" t="inlineStr">
        <is>
          <t>- Headcount: 3
- Hiring Job Details: 2 admin, 1 project assistant, based in JB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2601">
        <v>95</v>
      </c>
      <c r="AU2601" t="inlineStr">
        <is>
          <t>0.95</t>
        </is>
      </c>
      <c r="AV2601" t="inlineStr">
        <is>
          <t>15</t>
        </is>
      </c>
      <c r="AW2601" t="inlineStr">
        <is>
          <t>0</t>
        </is>
      </c>
      <c r="AX2601" t="inlineStr">
        <is>
          <t>Not Qualified</t>
        </is>
      </c>
      <c r="AY2601" s="4"/>
      <c r="AZ2601"/>
      <c r="BA2601"/>
      <c r="BB2601"/>
      <c r="BC2601" t="inlineStr">
        <is>
          <t>in may only start now no time</t>
        </is>
      </c>
      <c r="BD2601" s="4">
        <v>46129.64686342593</v>
      </c>
      <c r="BE2601"/>
      <c r="BF2601"/>
      <c r="BG2601" t="inlineStr">
        <is>
          <t>Reschedule</t>
        </is>
      </c>
      <c r="BH2601" t="inlineStr">
        <is>
          <t>Edward Hoo</t>
        </is>
      </c>
      <c r="BI2601"/>
      <c r="BJ2601" s="4">
        <v>46144.75332175926</v>
      </c>
      <c r="BK2601" s="4">
        <v>46009.527233796296</v>
      </c>
      <c r="BL2601" t="inlineStr">
        <is>
          <t>0.0</t>
        </is>
      </c>
      <c r="BM2601" t="inlineStr">
        <is>
          <t>0.0</t>
        </is>
      </c>
      <c r="BN2601" t="inlineStr">
        <is>
          <t>View Company Page</t>
        </is>
      </c>
      <c r="BO2601" s="4">
        <v>46009.52799768518</v>
      </c>
      <c r="BP2601">
        <v>165456</v>
      </c>
      <c r="BQ2601"/>
      <c r="BR2601"/>
      <c r="BS2601"/>
      <c r="BT2601"/>
      <c r="BU2601"/>
      <c r="BV2601">
        <v>2712495</v>
      </c>
      <c r="BW2601" t="inlineStr">
        <is>
          <t>Follow Up : Lost - Free Portal</t>
        </is>
      </c>
      <c r="BX2601"/>
      <c r="BY2601"/>
      <c r="BZ2601" s="4"/>
      <c r="CA2601"/>
      <c r="CB2601"/>
      <c r="CC2601" s="4"/>
      <c r="CD2601" t="inlineStr">
        <is>
          <t>20</t>
        </is>
      </c>
      <c r="CE2601" t="inlineStr">
        <is>
          <t>0</t>
        </is>
      </c>
      <c r="CF2601" t="inlineStr">
        <is>
          <t>Q2-W01</t>
        </is>
      </c>
      <c r="CG2601"/>
      <c r="CH2601"/>
      <c r="CI2601"/>
      <c r="CJ2601" t="inlineStr">
        <is>
          <t>No Paid</t>
        </is>
      </c>
      <c r="CK2601" t="inlineStr">
        <is>
          <t>Not Eligible</t>
        </is>
      </c>
      <c r="CL2601"/>
      <c r="CM2601"/>
    </row>
    <row r="2602" ht="25.5" customHeight="1">
      <c r="A2602" t="inlineStr">
        <is>
          <t>202866</t>
        </is>
      </c>
      <c r="B2602" s="2"/>
      <c r="C2602"/>
      <c r="D2602" s="3">
        <v>46118.66572916666</v>
      </c>
      <c r="E2602" t="inlineStr">
        <is>
          <t>Q2-W01</t>
        </is>
      </c>
      <c r="F2602" t="inlineStr">
        <is>
          <t>Clover</t>
        </is>
      </c>
      <c r="G2602" t="inlineStr">
        <is>
          <t>Customer</t>
        </is>
      </c>
      <c r="H2602" s="2" t="str">
        <f>=HYPERLINK("https://upbox.ajobthing.my/customer/202866", "https://upbox.ajobthing.my/customer/202866")</f>
        <v>https://upbox.ajobthing.my/customer/202866</v>
      </c>
      <c r="I2602" t="inlineStr">
        <is>
          <t>About Concept Dining Sdn Bhd</t>
        </is>
      </c>
      <c r="J2602" t="inlineStr">
        <is>
          <t>Small Fish</t>
        </is>
      </c>
      <c r="K2602" t="inlineStr">
        <is>
          <t>Clover</t>
        </is>
      </c>
      <c r="L2602" s="4"/>
      <c r="M2602" s="4">
        <v>46118.66520833333</v>
      </c>
      <c r="N2602"/>
      <c r="O2602">
        <v>3888</v>
      </c>
      <c r="P2602" s="4"/>
      <c r="Q2602" s="4">
        <v>46118.668703703705</v>
      </c>
      <c r="R2602"/>
      <c r="S2602">
        <v>0</v>
      </c>
      <c r="T2602" s="4"/>
      <c r="U2602" s="4"/>
      <c r="V2602"/>
      <c r="W2602"/>
      <c r="X2602"/>
      <c r="Y2602" t="inlineStr">
        <is>
          <t>Pending Appointment</t>
        </is>
      </c>
      <c r="Z2602" t="inlineStr">
        <is>
          <t>Hiring Now</t>
        </is>
      </c>
      <c r="AA2602">
        <v>2</v>
      </c>
      <c r="AB2602" t="inlineStr">
        <is>
          <t>No Appointment Made</t>
        </is>
      </c>
      <c r="AC2602"/>
      <c r="AD2602" t="inlineStr">
        <is>
          <t>Want to hire service crew x2-3, all races, part time full time, F&amp;B,  sunway putri , add man power, suggest stand</t>
        </is>
      </c>
      <c r="AE2602"/>
      <c r="AF2602">
        <v>3000</v>
      </c>
      <c r="AG2602" s="4"/>
      <c r="AH2602" s="4"/>
      <c r="AI2602">
        <v>3000</v>
      </c>
      <c r="AJ2602">
        <v>1</v>
      </c>
      <c r="AK2602" t="inlineStr">
        <is>
          <t>No, but I want in future</t>
        </is>
      </c>
      <c r="AL2602">
        <v>1</v>
      </c>
      <c r="AM2602" t="inlineStr">
        <is>
          <t>No, but I want in future</t>
        </is>
      </c>
      <c r="AN2602"/>
      <c r="AO2602" t="inlineStr">
        <is>
          <t>No, but I want in future</t>
        </is>
      </c>
      <c r="AP2602" t="inlineStr">
        <is>
          <t>Once per quarter (75%)</t>
        </is>
      </c>
      <c r="AQ2602">
        <v>3</v>
      </c>
      <c r="AR2602" t="inlineStr">
        <is>
          <t>Did not use any job portal</t>
        </is>
      </c>
      <c r="AS2602" t="inlineStr">
        <is>
          <t>- Headcount: 2
- Hiring Job Details: Hire 2-3 F&amp;B service crew (all races, part/full time) in Sunway Putri for manpower addition,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Once per quarter (75%)
- External job portal: Did not use any</t>
        </is>
      </c>
      <c r="AT2602">
        <v>115</v>
      </c>
      <c r="AU2602" t="inlineStr">
        <is>
          <t>1.15</t>
        </is>
      </c>
      <c r="AV2602" t="inlineStr">
        <is>
          <t>15</t>
        </is>
      </c>
      <c r="AW2602" t="inlineStr">
        <is>
          <t>0</t>
        </is>
      </c>
      <c r="AX2602" t="inlineStr">
        <is>
          <t>Not Qualified</t>
        </is>
      </c>
      <c r="AY2602" s="4"/>
      <c r="AZ2602"/>
      <c r="BA2602"/>
      <c r="BB2602"/>
      <c r="BC2602" t="inlineStr">
        <is>
          <t>Call npu</t>
        </is>
      </c>
      <c r="BD2602" s="4">
        <v>46135.68368055556</v>
      </c>
      <c r="BE2602" t="inlineStr">
        <is>
          <t>paid</t>
        </is>
      </c>
      <c r="BF2602"/>
      <c r="BG2602" t="inlineStr">
        <is>
          <t>Reschedule</t>
        </is>
      </c>
      <c r="BH2602" t="inlineStr">
        <is>
          <t>Reagen</t>
        </is>
      </c>
      <c r="BI2602"/>
      <c r="BJ2602" s="4">
        <v>46144.75414351852</v>
      </c>
      <c r="BK2602" s="4">
        <v>46118.63211805555</v>
      </c>
      <c r="BL2602" t="inlineStr">
        <is>
          <t>0.0</t>
        </is>
      </c>
      <c r="BM2602" t="inlineStr">
        <is>
          <t>600.0</t>
        </is>
      </c>
      <c r="BN2602" t="inlineStr">
        <is>
          <t>User Visit(Logged In)</t>
        </is>
      </c>
      <c r="BO2602" s="4">
        <v>46122.66332175926</v>
      </c>
      <c r="BP2602">
        <v>165461</v>
      </c>
      <c r="BQ2602">
        <v>120194</v>
      </c>
      <c r="BR2602" t="inlineStr">
        <is>
          <t>Proforma</t>
        </is>
      </c>
      <c r="BS2602" t="inlineStr">
        <is>
          <t>Free Part-Time Job</t>
        </is>
      </c>
      <c r="BT2602"/>
      <c r="BU2602"/>
      <c r="BV2602">
        <v>2724778</v>
      </c>
      <c r="BW2602" t="inlineStr">
        <is>
          <t>No Answer : Voicemail - WA sent to customer</t>
        </is>
      </c>
      <c r="BX2602"/>
      <c r="BY2602"/>
      <c r="BZ2602" s="4"/>
      <c r="CA2602"/>
      <c r="CB2602"/>
      <c r="CC2602" s="4"/>
      <c r="CD2602" t="inlineStr">
        <is>
          <t>20</t>
        </is>
      </c>
      <c r="CE2602" t="inlineStr">
        <is>
          <t>0</t>
        </is>
      </c>
      <c r="CF2602" t="inlineStr">
        <is>
          <t>Q2-W01</t>
        </is>
      </c>
      <c r="CG2602" t="inlineStr">
        <is>
          <t>Q2-W01</t>
        </is>
      </c>
      <c r="CH2602"/>
      <c r="CI2602"/>
      <c r="CJ2602" t="inlineStr">
        <is>
          <t>No Paid</t>
        </is>
      </c>
      <c r="CK2602" t="inlineStr">
        <is>
          <t>Not Eligible</t>
        </is>
      </c>
      <c r="CL2602"/>
      <c r="CM2602"/>
    </row>
    <row r="2603" ht="25.5" customHeight="1">
      <c r="A2603" t="inlineStr">
        <is>
          <t>4250437</t>
        </is>
      </c>
      <c r="B2603" s="2"/>
      <c r="C2603"/>
      <c r="D2603" s="3">
        <v>46118.67209490741</v>
      </c>
      <c r="E2603" t="inlineStr">
        <is>
          <t>Q2-W01</t>
        </is>
      </c>
      <c r="F2603" t="inlineStr">
        <is>
          <t>Josh</t>
        </is>
      </c>
      <c r="G2603" t="inlineStr">
        <is>
          <t>Lead</t>
        </is>
      </c>
      <c r="H2603" s="2" t="str">
        <f>=HYPERLINK("https://upbox.ajobthing.my/leads/4250437", "https://upbox.ajobthing.my/leads/4250437")</f>
        <v>https://upbox.ajobthing.my/leads/4250437</v>
      </c>
      <c r="I2603" t="inlineStr">
        <is>
          <t>Elite Precision</t>
        </is>
      </c>
      <c r="J2603" t="inlineStr">
        <is>
          <t>Small Fish</t>
        </is>
      </c>
      <c r="K2603" t="inlineStr">
        <is>
          <t>Josh</t>
        </is>
      </c>
      <c r="L2603" s="4"/>
      <c r="M2603" s="4">
        <v>46118.67565972222</v>
      </c>
      <c r="N2603"/>
      <c r="O2603">
        <v>3672</v>
      </c>
      <c r="P2603" s="4"/>
      <c r="Q2603" s="4"/>
      <c r="R2603"/>
      <c r="S2603"/>
      <c r="T2603" s="4"/>
      <c r="U2603" s="4"/>
      <c r="V2603"/>
      <c r="W2603"/>
      <c r="X2603"/>
      <c r="Y2603" t="inlineStr">
        <is>
          <t>Pending Appointment</t>
        </is>
      </c>
      <c r="Z2603" t="inlineStr">
        <is>
          <t>Hiring Now</t>
        </is>
      </c>
      <c r="AA2603">
        <v>2</v>
      </c>
      <c r="AB2603" t="inlineStr">
        <is>
          <t>No Appointment Made</t>
        </is>
      </c>
      <c r="AC2603"/>
      <c r="AD2603" t="inlineStr">
        <is>
          <t>2 sales</t>
        </is>
      </c>
      <c r="AE2603"/>
      <c r="AF2603">
        <v>3000</v>
      </c>
      <c r="AG2603" s="4"/>
      <c r="AH2603" s="4"/>
      <c r="AI2603"/>
      <c r="AJ2603"/>
      <c r="AK2603" t="inlineStr">
        <is>
          <t>Yes, I have</t>
        </is>
      </c>
      <c r="AL2603"/>
      <c r="AM2603"/>
      <c r="AN2603"/>
      <c r="AO2603"/>
      <c r="AP2603" t="inlineStr">
        <is>
          <t>Twice a year (50%)</t>
        </is>
      </c>
      <c r="AQ2603"/>
      <c r="AR2603"/>
      <c r="AS2603" t="inlineStr">
        <is>
          <t>- Headcount: 2
- Hiring Job Details: 2 sales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
- Hiring Urgency: Hiring Now</t>
        </is>
      </c>
      <c r="AT2603">
        <v>95</v>
      </c>
      <c r="AU2603" t="inlineStr">
        <is>
          <t>0.95</t>
        </is>
      </c>
      <c r="AV2603" t="inlineStr">
        <is>
          <t>15</t>
        </is>
      </c>
      <c r="AW2603" t="inlineStr">
        <is>
          <t>0</t>
        </is>
      </c>
      <c r="AX2603" t="inlineStr">
        <is>
          <t>Not Qualified</t>
        </is>
      </c>
      <c r="AY2603" s="4"/>
      <c r="AZ2603"/>
      <c r="BA2603"/>
      <c r="BB2603"/>
      <c r="BC2603"/>
      <c r="BD2603" s="4"/>
      <c r="BE2603"/>
      <c r="BF2603"/>
      <c r="BG2603" t="inlineStr">
        <is>
          <t>Reschedule</t>
        </is>
      </c>
      <c r="BH2603" t="inlineStr">
        <is>
          <t>Fauziah Maharan</t>
        </is>
      </c>
      <c r="BI2603"/>
      <c r="BJ2603" s="4">
        <v>46144.75571759259</v>
      </c>
      <c r="BK2603" s="4">
        <v>46118.06585648148</v>
      </c>
      <c r="BL2603" t="inlineStr">
        <is>
          <t>0.0</t>
        </is>
      </c>
      <c r="BM2603" t="inlineStr">
        <is>
          <t>0.0</t>
        </is>
      </c>
      <c r="BN2603"/>
      <c r="BO2603" s="4"/>
      <c r="BP2603">
        <v>165469</v>
      </c>
      <c r="BQ2603"/>
      <c r="BR2603"/>
      <c r="BS2603"/>
      <c r="BT2603"/>
      <c r="BU2603"/>
      <c r="BV2603"/>
      <c r="BW2603"/>
      <c r="BX2603"/>
      <c r="BY2603"/>
      <c r="BZ2603" s="4"/>
      <c r="CA2603"/>
      <c r="CB2603"/>
      <c r="CC2603" s="4"/>
      <c r="CD2603" t="inlineStr">
        <is>
          <t>20</t>
        </is>
      </c>
      <c r="CE2603" t="inlineStr">
        <is>
          <t>0</t>
        </is>
      </c>
      <c r="CF2603" t="inlineStr">
        <is>
          <t>Q2-W01</t>
        </is>
      </c>
      <c r="CG2603"/>
      <c r="CH2603"/>
      <c r="CI2603"/>
      <c r="CJ2603" t="inlineStr">
        <is>
          <t>No Paid</t>
        </is>
      </c>
      <c r="CK2603" t="inlineStr">
        <is>
          <t>Not Eligible</t>
        </is>
      </c>
      <c r="CL2603"/>
      <c r="CM2603"/>
    </row>
    <row r="2604" ht="25.5" customHeight="1">
      <c r="A2604" t="inlineStr">
        <is>
          <t>202874</t>
        </is>
      </c>
      <c r="B2604" s="2"/>
      <c r="C2604"/>
      <c r="D2604" s="3">
        <v>46118.674837962964</v>
      </c>
      <c r="E2604" t="inlineStr">
        <is>
          <t>Q2-W01</t>
        </is>
      </c>
      <c r="F2604" t="inlineStr">
        <is>
          <t>Chia Yee</t>
        </is>
      </c>
      <c r="G2604" t="inlineStr">
        <is>
          <t>Customer</t>
        </is>
      </c>
      <c r="H2604" s="2" t="str">
        <f>=HYPERLINK("https://upbox.ajobthing.my/customer/202874", "https://upbox.ajobthing.my/customer/202874")</f>
        <v>https://upbox.ajobthing.my/customer/202874</v>
      </c>
      <c r="I2604" t="inlineStr">
        <is>
          <t>Planet Qeos Sdn Bhd</t>
        </is>
      </c>
      <c r="J2604" t="inlineStr">
        <is>
          <t>Small Fish</t>
        </is>
      </c>
      <c r="K2604" t="inlineStr">
        <is>
          <t>Chia Yee</t>
        </is>
      </c>
      <c r="L2604" s="4"/>
      <c r="M2604" s="4">
        <v>46118.67560185185</v>
      </c>
      <c r="N2604"/>
      <c r="O2604">
        <v>1296</v>
      </c>
      <c r="P2604" s="4"/>
      <c r="Q2604" s="4"/>
      <c r="R2604"/>
      <c r="S2604"/>
      <c r="T2604" s="4"/>
      <c r="U2604" s="4"/>
      <c r="V2604"/>
      <c r="W2604"/>
      <c r="X2604"/>
      <c r="Y2604" t="inlineStr">
        <is>
          <t>Pending Appointment</t>
        </is>
      </c>
      <c r="Z2604" t="inlineStr">
        <is>
          <t>Hiring Now</t>
        </is>
      </c>
      <c r="AA2604">
        <v>1</v>
      </c>
      <c r="AB2604" t="inlineStr">
        <is>
          <t>No Appointment Made</t>
        </is>
      </c>
      <c r="AC2604"/>
      <c r="AD2604" t="inlineStr">
        <is>
          <t xml:space="preserve"> 1 Account assistant </t>
        </is>
      </c>
      <c r="AE2604"/>
      <c r="AF2604">
        <v>0</v>
      </c>
      <c r="AG2604" s="4"/>
      <c r="AH2604" s="4"/>
      <c r="AI2604">
        <v>0</v>
      </c>
      <c r="AJ2604">
        <v>0</v>
      </c>
      <c r="AK2604" t="inlineStr">
        <is>
          <t>No, I don't need at all</t>
        </is>
      </c>
      <c r="AL2604">
        <v>1</v>
      </c>
      <c r="AM2604" t="inlineStr">
        <is>
          <t>No, I don't need at all</t>
        </is>
      </c>
      <c r="AN2604"/>
      <c r="AO2604" t="inlineStr">
        <is>
          <t>No, I don't need at all</t>
        </is>
      </c>
      <c r="AP2604" t="inlineStr">
        <is>
          <t>Once a year (25%)</t>
        </is>
      </c>
      <c r="AQ2604">
        <v>1</v>
      </c>
      <c r="AR2604" t="inlineStr">
        <is>
          <t>Did not use any job portal</t>
        </is>
      </c>
      <c r="AS2604" t="inlineStr">
        <is>
          <t>- Headcount: 1
- Hiring Job Details: 1 Account assistant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604">
        <v>110</v>
      </c>
      <c r="AU2604" t="inlineStr">
        <is>
          <t>1.10</t>
        </is>
      </c>
      <c r="AV2604" t="inlineStr">
        <is>
          <t>15</t>
        </is>
      </c>
      <c r="AW2604" t="inlineStr">
        <is>
          <t>0</t>
        </is>
      </c>
      <c r="AX2604" t="inlineStr">
        <is>
          <t>Not Qualified</t>
        </is>
      </c>
      <c r="AY2604" s="4"/>
      <c r="AZ2604"/>
      <c r="BA2604"/>
      <c r="BB2604"/>
      <c r="BC2604" t="inlineStr">
        <is>
          <t>Called Aisyah, not proceed</t>
        </is>
      </c>
      <c r="BD2604" s="4">
        <v>46129.689930555556</v>
      </c>
      <c r="BE2604"/>
      <c r="BF2604"/>
      <c r="BG2604" t="inlineStr">
        <is>
          <t>Reschedule</t>
        </is>
      </c>
      <c r="BH2604" t="inlineStr">
        <is>
          <t>Reagen</t>
        </is>
      </c>
      <c r="BI2604" t="inlineStr">
        <is>
          <t>Engineering / Technical Consulting</t>
        </is>
      </c>
      <c r="BJ2604" s="4">
        <v>46144.75414351852</v>
      </c>
      <c r="BK2604" s="4">
        <v>46118.66643518519</v>
      </c>
      <c r="BL2604" t="inlineStr">
        <is>
          <t>0.0</t>
        </is>
      </c>
      <c r="BM2604" t="inlineStr">
        <is>
          <t>0.0</t>
        </is>
      </c>
      <c r="BN2604" t="inlineStr">
        <is>
          <t>View Company Page</t>
        </is>
      </c>
      <c r="BO2604" s="4">
        <v>46118.66997685185</v>
      </c>
      <c r="BP2604">
        <v>165468</v>
      </c>
      <c r="BQ2604"/>
      <c r="BR2604"/>
      <c r="BS2604"/>
      <c r="BT2604"/>
      <c r="BU2604"/>
      <c r="BV2604">
        <v>2713004</v>
      </c>
      <c r="BW2604" t="inlineStr">
        <is>
          <t>Follow Up : Budget Concern</t>
        </is>
      </c>
      <c r="BX2604"/>
      <c r="BY2604"/>
      <c r="BZ2604" s="4"/>
      <c r="CA2604"/>
      <c r="CB2604"/>
      <c r="CC2604" s="4"/>
      <c r="CD2604" t="inlineStr">
        <is>
          <t>20</t>
        </is>
      </c>
      <c r="CE2604" t="inlineStr">
        <is>
          <t>0</t>
        </is>
      </c>
      <c r="CF2604" t="inlineStr">
        <is>
          <t>Q2-W01</t>
        </is>
      </c>
      <c r="CG2604"/>
      <c r="CH2604"/>
      <c r="CI2604"/>
      <c r="CJ2604" t="inlineStr">
        <is>
          <t>No Paid</t>
        </is>
      </c>
      <c r="CK2604" t="inlineStr">
        <is>
          <t>Not Eligible</t>
        </is>
      </c>
      <c r="CL2604"/>
      <c r="CM2604"/>
    </row>
    <row r="2605" ht="25.5" customHeight="1">
      <c r="A2605" t="inlineStr">
        <is>
          <t>202823</t>
        </is>
      </c>
      <c r="B2605" s="2"/>
      <c r="C2605"/>
      <c r="D2605" s="3">
        <v>46118.67621527778</v>
      </c>
      <c r="E2605" t="inlineStr">
        <is>
          <t>Q2-W01</t>
        </is>
      </c>
      <c r="F2605" t="inlineStr">
        <is>
          <t>Evan</t>
        </is>
      </c>
      <c r="G2605" t="inlineStr">
        <is>
          <t>Customer</t>
        </is>
      </c>
      <c r="H2605" s="2" t="str">
        <f>=HYPERLINK("https://upbox.ajobthing.my/customer/202823", "https://upbox.ajobthing.my/customer/202823")</f>
        <v>https://upbox.ajobthing.my/customer/202823</v>
      </c>
      <c r="I2605" t="inlineStr">
        <is>
          <t>Yilan Jiqing</t>
        </is>
      </c>
      <c r="J2605" t="inlineStr">
        <is>
          <t>Small Fish</t>
        </is>
      </c>
      <c r="K2605" t="inlineStr">
        <is>
          <t>Evan</t>
        </is>
      </c>
      <c r="L2605" s="4"/>
      <c r="M2605" s="4">
        <v>46118.6724537037</v>
      </c>
      <c r="N2605"/>
      <c r="O2605">
        <v>3888</v>
      </c>
      <c r="P2605" s="4"/>
      <c r="Q2605" s="4"/>
      <c r="R2605"/>
      <c r="S2605"/>
      <c r="T2605" s="4"/>
      <c r="U2605" s="4"/>
      <c r="V2605"/>
      <c r="W2605"/>
      <c r="X2605"/>
      <c r="Y2605" t="inlineStr">
        <is>
          <t>Pending Appointment</t>
        </is>
      </c>
      <c r="Z2605" t="inlineStr">
        <is>
          <t>Hiring Now</t>
        </is>
      </c>
      <c r="AA2605">
        <v>3</v>
      </c>
      <c r="AB2605" t="inlineStr">
        <is>
          <t>No Appointment Made</t>
        </is>
      </c>
      <c r="AC2605"/>
      <c r="AD2605" t="inlineStr">
        <is>
          <t>1 barista, 2 waiter, all base in Johor</t>
        </is>
      </c>
      <c r="AE2605"/>
      <c r="AF2605">
        <v>1</v>
      </c>
      <c r="AG2605" s="4"/>
      <c r="AH2605" s="4"/>
      <c r="AI2605">
        <v>1</v>
      </c>
      <c r="AJ2605">
        <v>3</v>
      </c>
      <c r="AK2605" t="inlineStr">
        <is>
          <t>No, I don't need at all</t>
        </is>
      </c>
      <c r="AL2605">
        <v>0</v>
      </c>
      <c r="AM2605" t="inlineStr">
        <is>
          <t>No, I don't need at all</t>
        </is>
      </c>
      <c r="AN2605"/>
      <c r="AO2605" t="inlineStr">
        <is>
          <t>No, I don't need at all</t>
        </is>
      </c>
      <c r="AP2605" t="inlineStr">
        <is>
          <t>Once a year (25%)</t>
        </is>
      </c>
      <c r="AQ2605">
        <v>3</v>
      </c>
      <c r="AR2605" t="inlineStr">
        <is>
          <t>Did not use any job portal</t>
        </is>
      </c>
      <c r="AS2605" t="inlineStr">
        <is>
          <t>- Headcount: 3
- Hiring Job Details: 1 barista, 2 waiter, all based in Johor
- Hiring Urgency: Hiring Now
- Number of outlets: 3
- Have recruiter team: No, I don't need at all
- Number of recruiter in company: 0
- Have ATS system: No, I don't need at all
- Have career website: No, I don't need at all
- Current hiring budget: RM1
- Whole year budget: RM1.00
- Whole year number of vacancies: 3
- Hiring frequency: Once a year (25%)
- External job portal: Did not use any job portal</t>
        </is>
      </c>
      <c r="AT2605">
        <v>115</v>
      </c>
      <c r="AU2605" t="inlineStr">
        <is>
          <t>1.15</t>
        </is>
      </c>
      <c r="AV2605" t="inlineStr">
        <is>
          <t>15</t>
        </is>
      </c>
      <c r="AW2605" t="inlineStr">
        <is>
          <t>0</t>
        </is>
      </c>
      <c r="AX2605" t="inlineStr">
        <is>
          <t>Not Qualified</t>
        </is>
      </c>
      <c r="AY2605" s="4"/>
      <c r="AZ2605"/>
      <c r="BA2605"/>
      <c r="BB2605"/>
      <c r="BC2605" t="inlineStr">
        <is>
          <t>not needed</t>
        </is>
      </c>
      <c r="BD2605" s="4">
        <v>46126.50100694445</v>
      </c>
      <c r="BE2605"/>
      <c r="BF2605"/>
      <c r="BG2605" t="inlineStr">
        <is>
          <t>Reschedule</t>
        </is>
      </c>
      <c r="BH2605" t="inlineStr">
        <is>
          <t>Edward Hoo</t>
        </is>
      </c>
      <c r="BI2605"/>
      <c r="BJ2605" s="4">
        <v>46144.75412037037</v>
      </c>
      <c r="BK2605" s="4">
        <v>46116.695</v>
      </c>
      <c r="BL2605" t="inlineStr">
        <is>
          <t>0.0</t>
        </is>
      </c>
      <c r="BM2605" t="inlineStr">
        <is>
          <t>0.0</t>
        </is>
      </c>
      <c r="BN2605" t="inlineStr">
        <is>
          <t>View Company Page</t>
        </is>
      </c>
      <c r="BO2605" s="4">
        <v>46116.696076388886</v>
      </c>
      <c r="BP2605">
        <v>165463</v>
      </c>
      <c r="BQ2605"/>
      <c r="BR2605"/>
      <c r="BS2605"/>
      <c r="BT2605"/>
      <c r="BU2605"/>
      <c r="BV2605">
        <v>2703246</v>
      </c>
      <c r="BW2605" t="inlineStr">
        <is>
          <t>Follow Up : Budget Concern</t>
        </is>
      </c>
      <c r="BX2605"/>
      <c r="BY2605"/>
      <c r="BZ2605" s="4"/>
      <c r="CA2605"/>
      <c r="CB2605"/>
      <c r="CC2605" s="4"/>
      <c r="CD2605" t="inlineStr">
        <is>
          <t>20</t>
        </is>
      </c>
      <c r="CE2605" t="inlineStr">
        <is>
          <t>0</t>
        </is>
      </c>
      <c r="CF2605" t="inlineStr">
        <is>
          <t>Q2-W01</t>
        </is>
      </c>
      <c r="CG2605"/>
      <c r="CH2605"/>
      <c r="CI2605"/>
      <c r="CJ2605" t="inlineStr">
        <is>
          <t>No Paid</t>
        </is>
      </c>
      <c r="CK2605" t="inlineStr">
        <is>
          <t>Not Eligible</t>
        </is>
      </c>
      <c r="CL2605"/>
      <c r="CM2605"/>
    </row>
    <row r="2606" ht="25.5" customHeight="1">
      <c r="A2606" t="inlineStr">
        <is>
          <t>50842</t>
        </is>
      </c>
      <c r="B2606" s="2"/>
      <c r="C2606"/>
      <c r="D2606" s="3">
        <v>46118.690717592595</v>
      </c>
      <c r="E2606" t="inlineStr">
        <is>
          <t>Q2-W01</t>
        </is>
      </c>
      <c r="F2606" t="inlineStr">
        <is>
          <t>Clover</t>
        </is>
      </c>
      <c r="G2606" t="inlineStr">
        <is>
          <t>Customer</t>
        </is>
      </c>
      <c r="H2606" s="2" t="str">
        <f>=HYPERLINK("https://upbox.ajobthing.my/customer/50842", "https://upbox.ajobthing.my/customer/50842")</f>
        <v>https://upbox.ajobthing.my/customer/50842</v>
      </c>
      <c r="I2606" t="inlineStr">
        <is>
          <t>Empire Cuci</t>
        </is>
      </c>
      <c r="J2606" t="inlineStr">
        <is>
          <t>Small Fish</t>
        </is>
      </c>
      <c r="K2606" t="inlineStr">
        <is>
          <t>Clover</t>
        </is>
      </c>
      <c r="L2606" s="4"/>
      <c r="M2606" s="4">
        <v>46118.69328703704</v>
      </c>
      <c r="N2606"/>
      <c r="O2606">
        <v>3888</v>
      </c>
      <c r="P2606" s="4"/>
      <c r="Q2606" s="4">
        <v>44481.481458333335</v>
      </c>
      <c r="R2606"/>
      <c r="S2606">
        <v>424</v>
      </c>
      <c r="T2606" s="4">
        <v>44481.481458333335</v>
      </c>
      <c r="U2606" s="4"/>
      <c r="V2606"/>
      <c r="W2606">
        <v>424</v>
      </c>
      <c r="X2606"/>
      <c r="Y2606" t="inlineStr">
        <is>
          <t>Pending Appointment</t>
        </is>
      </c>
      <c r="Z2606" t="inlineStr">
        <is>
          <t>Hiring Later</t>
        </is>
      </c>
      <c r="AA2606">
        <v>2</v>
      </c>
      <c r="AB2606" t="inlineStr">
        <is>
          <t>No Appointment Made</t>
        </is>
      </c>
      <c r="AC2606"/>
      <c r="AD2606" t="inlineStr">
        <is>
          <t>Want to hire carpet cleaner x1-2, all races, puchong, suggest stand</t>
        </is>
      </c>
      <c r="AE2606"/>
      <c r="AF2606">
        <v>3000</v>
      </c>
      <c r="AG2606" s="4"/>
      <c r="AH2606" s="4"/>
      <c r="AI2606">
        <v>3000</v>
      </c>
      <c r="AJ2606">
        <v>1</v>
      </c>
      <c r="AK2606" t="inlineStr">
        <is>
          <t>No, but I want in future</t>
        </is>
      </c>
      <c r="AL2606">
        <v>1</v>
      </c>
      <c r="AM2606" t="inlineStr">
        <is>
          <t>No, but I want in future</t>
        </is>
      </c>
      <c r="AN2606"/>
      <c r="AO2606" t="inlineStr">
        <is>
          <t>No, but I want in future</t>
        </is>
      </c>
      <c r="AP2606" t="inlineStr">
        <is>
          <t>Twice a year (50%)</t>
        </is>
      </c>
      <c r="AQ2606">
        <v>1</v>
      </c>
      <c r="AR2606" t="inlineStr">
        <is>
          <t>Free Job Portal</t>
        </is>
      </c>
      <c r="AS2606" t="inlineStr">
        <is>
          <t>- Headcount: 2
- Hiring Job Details: 1-2 carpet cleaners, all races, Puchong,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Free Job Portal</t>
        </is>
      </c>
      <c r="AT2606">
        <v>115</v>
      </c>
      <c r="AU2606" t="inlineStr">
        <is>
          <t>1.15</t>
        </is>
      </c>
      <c r="AV2606" t="inlineStr">
        <is>
          <t>15</t>
        </is>
      </c>
      <c r="AW2606" t="inlineStr">
        <is>
          <t>0</t>
        </is>
      </c>
      <c r="AX2606" t="inlineStr">
        <is>
          <t>Not Qualified</t>
        </is>
      </c>
      <c r="AY2606" s="4"/>
      <c r="AZ2606"/>
      <c r="BA2606"/>
      <c r="BB2606"/>
      <c r="BC2606" t="inlineStr">
        <is>
          <t>Post mudah,com, FB, lower budget</t>
        </is>
      </c>
      <c r="BD2606" s="4">
        <v>46126.61074074074</v>
      </c>
      <c r="BE2606" t="inlineStr">
        <is>
          <t>paid</t>
        </is>
      </c>
      <c r="BF2606"/>
      <c r="BG2606" t="inlineStr">
        <is>
          <t>Reschedule</t>
        </is>
      </c>
      <c r="BH2606" t="inlineStr">
        <is>
          <t>Reagen</t>
        </is>
      </c>
      <c r="BI2606"/>
      <c r="BJ2606" s="4">
        <v>46144.756064814814</v>
      </c>
      <c r="BK2606" s="4">
        <v>43305.06354166667</v>
      </c>
      <c r="BL2606" t="inlineStr">
        <is>
          <t>0.0</t>
        </is>
      </c>
      <c r="BM2606" t="inlineStr">
        <is>
          <t>0.0</t>
        </is>
      </c>
      <c r="BN2606" t="inlineStr">
        <is>
          <t>View Jobmanager Page</t>
        </is>
      </c>
      <c r="BO2606" s="4">
        <v>44547.73961805556</v>
      </c>
      <c r="BP2606">
        <v>165481</v>
      </c>
      <c r="BQ2606">
        <v>36275</v>
      </c>
      <c r="BR2606" t="inlineStr">
        <is>
          <t>Online</t>
        </is>
      </c>
      <c r="BS2606"/>
      <c r="BT2606">
        <v>36275</v>
      </c>
      <c r="BU2606"/>
      <c r="BV2606">
        <v>2703694</v>
      </c>
      <c r="BW2606" t="inlineStr">
        <is>
          <t>Follow Up : Lost - Free Portal</t>
        </is>
      </c>
      <c r="BX2606"/>
      <c r="BY2606"/>
      <c r="BZ2606" s="4"/>
      <c r="CA2606"/>
      <c r="CB2606"/>
      <c r="CC2606" s="4"/>
      <c r="CD2606" t="inlineStr">
        <is>
          <t>20</t>
        </is>
      </c>
      <c r="CE2606" t="inlineStr">
        <is>
          <t>0</t>
        </is>
      </c>
      <c r="CF2606" t="inlineStr">
        <is>
          <t>Q2-W01</t>
        </is>
      </c>
      <c r="CG2606"/>
      <c r="CH2606"/>
      <c r="CI2606"/>
      <c r="CJ2606" t="inlineStr">
        <is>
          <t>Paid</t>
        </is>
      </c>
      <c r="CK2606" t="inlineStr">
        <is>
          <t>Not Eligible</t>
        </is>
      </c>
      <c r="CL2606"/>
      <c r="CM2606"/>
    </row>
    <row r="2607" ht="25.5" customHeight="1">
      <c r="A2607" t="inlineStr">
        <is>
          <t>145736</t>
        </is>
      </c>
      <c r="B2607" s="2"/>
      <c r="C2607"/>
      <c r="D2607" s="3">
        <v>46118.69967592593</v>
      </c>
      <c r="E2607" t="inlineStr">
        <is>
          <t>Q2-W01</t>
        </is>
      </c>
      <c r="F2607" t="inlineStr">
        <is>
          <t>Chia Yee</t>
        </is>
      </c>
      <c r="G2607" t="inlineStr">
        <is>
          <t>Customer</t>
        </is>
      </c>
      <c r="H2607" s="2" t="str">
        <f>=HYPERLINK("https://upbox.ajobthing.my/customer/145736", "https://upbox.ajobthing.my/customer/145736")</f>
        <v>https://upbox.ajobthing.my/customer/145736</v>
      </c>
      <c r="I2607" t="inlineStr">
        <is>
          <t>Fsds Resources Sdn Bhd</t>
        </is>
      </c>
      <c r="J2607" t="inlineStr">
        <is>
          <t>Small Fish</t>
        </is>
      </c>
      <c r="K2607" t="inlineStr">
        <is>
          <t>Chia Yee</t>
        </is>
      </c>
      <c r="L2607" s="4"/>
      <c r="M2607" s="4">
        <v>46118.699849537035</v>
      </c>
      <c r="N2607"/>
      <c r="O2607">
        <v>6048</v>
      </c>
      <c r="P2607" s="4"/>
      <c r="Q2607" s="4">
        <v>46116.45936342593</v>
      </c>
      <c r="R2607"/>
      <c r="S2607">
        <v>0</v>
      </c>
      <c r="T2607" s="4"/>
      <c r="U2607" s="4"/>
      <c r="V2607"/>
      <c r="W2607"/>
      <c r="X2607"/>
      <c r="Y2607" t="inlineStr">
        <is>
          <t>Pending Appointment</t>
        </is>
      </c>
      <c r="Z2607" t="inlineStr">
        <is>
          <t>Hiring Now</t>
        </is>
      </c>
      <c r="AA2607">
        <v>3</v>
      </c>
      <c r="AB2607" t="inlineStr">
        <is>
          <t>No Appointment Made</t>
        </is>
      </c>
      <c r="AC2607"/>
      <c r="AD2607" t="inlineStr">
        <is>
          <t>2 Sales executive , 1 Account assistant</t>
        </is>
      </c>
      <c r="AE2607"/>
      <c r="AF2607">
        <v>0</v>
      </c>
      <c r="AG2607" s="4"/>
      <c r="AH2607" s="4"/>
      <c r="AI2607">
        <v>0</v>
      </c>
      <c r="AJ2607">
        <v>0</v>
      </c>
      <c r="AK2607" t="inlineStr">
        <is>
          <t>No, I don't need at all</t>
        </is>
      </c>
      <c r="AL2607">
        <v>1</v>
      </c>
      <c r="AM2607" t="inlineStr">
        <is>
          <t>No, I don't need at all</t>
        </is>
      </c>
      <c r="AN2607"/>
      <c r="AO2607" t="inlineStr">
        <is>
          <t>No, I don't need at all</t>
        </is>
      </c>
      <c r="AP2607" t="inlineStr">
        <is>
          <t>Once a year (25%)</t>
        </is>
      </c>
      <c r="AQ2607">
        <v>3</v>
      </c>
      <c r="AR2607" t="inlineStr">
        <is>
          <t>Did not use any job portal</t>
        </is>
      </c>
      <c r="AS2607" t="inlineStr">
        <is>
          <t>- Headcount: 3
- Hiring Job Details: 2 Sales executive, 1 Account assistant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3
- Hiring frequency: Once a year (25%)
- External job portal: Did not use any job portal</t>
        </is>
      </c>
      <c r="AT2607">
        <v>75</v>
      </c>
      <c r="AU2607" t="inlineStr">
        <is>
          <t>0.75</t>
        </is>
      </c>
      <c r="AV2607" t="inlineStr">
        <is>
          <t>15</t>
        </is>
      </c>
      <c r="AW2607" t="inlineStr">
        <is>
          <t>0</t>
        </is>
      </c>
      <c r="AX2607" t="inlineStr">
        <is>
          <t>Not Qualified</t>
        </is>
      </c>
      <c r="AY2607" s="4"/>
      <c r="AZ2607"/>
      <c r="BA2607"/>
      <c r="BB2607"/>
      <c r="BC2607" t="inlineStr">
        <is>
          <t>Called, too high. No</t>
        </is>
      </c>
      <c r="BD2607" s="4">
        <v>46133.740277777775</v>
      </c>
      <c r="BE2607" t="inlineStr">
        <is>
          <t>paid</t>
        </is>
      </c>
      <c r="BF2607"/>
      <c r="BG2607" t="inlineStr">
        <is>
          <t>Reschedule</t>
        </is>
      </c>
      <c r="BH2607" t="inlineStr">
        <is>
          <t>Reagen</t>
        </is>
      </c>
      <c r="BI2607" t="inlineStr">
        <is>
          <t>Manufacturing / Production</t>
        </is>
      </c>
      <c r="BJ2607" s="4">
        <v>46144.75074074074</v>
      </c>
      <c r="BK2607" s="4">
        <v>44547.77606481482</v>
      </c>
      <c r="BL2607" t="inlineStr">
        <is>
          <t>0.0</t>
        </is>
      </c>
      <c r="BM2607" t="inlineStr">
        <is>
          <t>0.0</t>
        </is>
      </c>
      <c r="BN2607" t="inlineStr">
        <is>
          <t>View Account User</t>
        </is>
      </c>
      <c r="BO2607" s="4">
        <v>44547.77644675926</v>
      </c>
      <c r="BP2607">
        <v>165487</v>
      </c>
      <c r="BQ2607">
        <v>120013</v>
      </c>
      <c r="BR2607" t="inlineStr">
        <is>
          <t>Proforma</t>
        </is>
      </c>
      <c r="BS2607" t="inlineStr">
        <is>
          <t>Free Part-Time Job</t>
        </is>
      </c>
      <c r="BT2607"/>
      <c r="BU2607"/>
      <c r="BV2607">
        <v>2719147</v>
      </c>
      <c r="BW2607" t="inlineStr">
        <is>
          <t>Follow Up : Budget Concern</t>
        </is>
      </c>
      <c r="BX2607"/>
      <c r="BY2607"/>
      <c r="BZ2607" s="4"/>
      <c r="CA2607"/>
      <c r="CB2607"/>
      <c r="CC2607" s="4"/>
      <c r="CD2607" t="inlineStr">
        <is>
          <t>20</t>
        </is>
      </c>
      <c r="CE2607" t="inlineStr">
        <is>
          <t>0</t>
        </is>
      </c>
      <c r="CF2607" t="inlineStr">
        <is>
          <t>Q2-W01</t>
        </is>
      </c>
      <c r="CG2607" t="inlineStr">
        <is>
          <t>Q2-W01</t>
        </is>
      </c>
      <c r="CH2607"/>
      <c r="CI2607"/>
      <c r="CJ2607" t="inlineStr">
        <is>
          <t>No Paid</t>
        </is>
      </c>
      <c r="CK2607" t="inlineStr">
        <is>
          <t>Not Eligible</t>
        </is>
      </c>
      <c r="CL2607"/>
      <c r="CM2607"/>
    </row>
    <row r="2608" ht="25.5" customHeight="1">
      <c r="A2608" t="inlineStr">
        <is>
          <t>202838</t>
        </is>
      </c>
      <c r="B2608" s="2"/>
      <c r="C2608"/>
      <c r="D2608" s="3">
        <v>46118.712685185186</v>
      </c>
      <c r="E2608" t="inlineStr">
        <is>
          <t>Q2-W01</t>
        </is>
      </c>
      <c r="F2608" t="inlineStr">
        <is>
          <t>Ken Yi</t>
        </is>
      </c>
      <c r="G2608" t="inlineStr">
        <is>
          <t>Customer</t>
        </is>
      </c>
      <c r="H2608" s="2" t="str">
        <f>=HYPERLINK("https://upbox.ajobthing.my/customer/202838", "https://upbox.ajobthing.my/customer/202838")</f>
        <v>https://upbox.ajobthing.my/customer/202838</v>
      </c>
      <c r="I2608" t="inlineStr">
        <is>
          <t>Abiel Asset Management</t>
        </is>
      </c>
      <c r="J2608" t="inlineStr">
        <is>
          <t>Small Fish</t>
        </is>
      </c>
      <c r="K2608" t="inlineStr">
        <is>
          <t>Kenyi</t>
        </is>
      </c>
      <c r="L2608" s="4"/>
      <c r="M2608" s="4">
        <v>46118.72309027778</v>
      </c>
      <c r="N2608"/>
      <c r="O2608">
        <v>3600</v>
      </c>
      <c r="P2608" s="4"/>
      <c r="Q2608" s="4"/>
      <c r="R2608"/>
      <c r="S2608"/>
      <c r="T2608" s="4"/>
      <c r="U2608" s="4"/>
      <c r="V2608"/>
      <c r="W2608"/>
      <c r="X2608"/>
      <c r="Y2608" t="inlineStr">
        <is>
          <t>Pending Appointment</t>
        </is>
      </c>
      <c r="Z2608" t="inlineStr">
        <is>
          <t>Hiring Now</t>
        </is>
      </c>
      <c r="AA2608">
        <v>0</v>
      </c>
      <c r="AB2608" t="inlineStr">
        <is>
          <t>No Appointment Made</t>
        </is>
      </c>
      <c r="AC2608"/>
      <c r="AD2608" t="inlineStr">
        <is>
          <t xml:space="preserve">Hiring </t>
        </is>
      </c>
      <c r="AE2608"/>
      <c r="AF2608">
        <v>0</v>
      </c>
      <c r="AG2608" s="4"/>
      <c r="AH2608" s="4"/>
      <c r="AI2608">
        <v>0</v>
      </c>
      <c r="AJ2608">
        <v>1</v>
      </c>
      <c r="AK2608" t="inlineStr">
        <is>
          <t>Yes, I have</t>
        </is>
      </c>
      <c r="AL2608">
        <v>1</v>
      </c>
      <c r="AM2608" t="inlineStr">
        <is>
          <t>No, I don't need at all</t>
        </is>
      </c>
      <c r="AN2608"/>
      <c r="AO2608" t="inlineStr">
        <is>
          <t>No, I don't need at all</t>
        </is>
      </c>
      <c r="AP2608" t="inlineStr">
        <is>
          <t>Every month (100%)</t>
        </is>
      </c>
      <c r="AQ2608">
        <v>2</v>
      </c>
      <c r="AR2608" t="inlineStr">
        <is>
          <t>Did not use any job portal</t>
        </is>
      </c>
      <c r="AS2608" t="inlineStr">
        <is>
          <t>- Headcount: 0
- Hiring Job Details: Hiring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Did not use any job portal</t>
        </is>
      </c>
      <c r="AT2608">
        <v>75</v>
      </c>
      <c r="AU2608" t="inlineStr">
        <is>
          <t>0.75</t>
        </is>
      </c>
      <c r="AV2608" t="inlineStr">
        <is>
          <t>15</t>
        </is>
      </c>
      <c r="AW2608" t="inlineStr">
        <is>
          <t>0</t>
        </is>
      </c>
      <c r="AX2608" t="inlineStr">
        <is>
          <t>Not Qualified</t>
        </is>
      </c>
      <c r="AY2608" s="4"/>
      <c r="AZ2608"/>
      <c r="BA2608"/>
      <c r="BB2608"/>
      <c r="BC2608" t="inlineStr">
        <is>
          <t>Follow up about the hiring decision</t>
        </is>
      </c>
      <c r="BD2608" s="4">
        <v>46125.71192129629</v>
      </c>
      <c r="BE2608"/>
      <c r="BF2608"/>
      <c r="BG2608" t="inlineStr">
        <is>
          <t>Reschedule</t>
        </is>
      </c>
      <c r="BH2608" t="inlineStr">
        <is>
          <t>Fauziah Maharan</t>
        </is>
      </c>
      <c r="BI2608"/>
      <c r="BJ2608" s="4">
        <v>46144.75414351852</v>
      </c>
      <c r="BK2608" s="4">
        <v>46117.9606712963</v>
      </c>
      <c r="BL2608" t="inlineStr">
        <is>
          <t>0.0</t>
        </is>
      </c>
      <c r="BM2608" t="inlineStr">
        <is>
          <t>0.0</t>
        </is>
      </c>
      <c r="BN2608" t="inlineStr">
        <is>
          <t>View Create Job Page V4</t>
        </is>
      </c>
      <c r="BO2608" s="4">
        <v>46117.97038194445</v>
      </c>
      <c r="BP2608">
        <v>165508</v>
      </c>
      <c r="BQ2608"/>
      <c r="BR2608"/>
      <c r="BS2608"/>
      <c r="BT2608"/>
      <c r="BU2608"/>
      <c r="BV2608">
        <v>2701944</v>
      </c>
      <c r="BW2608" t="inlineStr">
        <is>
          <t>Follow Up : Decision Pending</t>
        </is>
      </c>
      <c r="BX2608"/>
      <c r="BY2608"/>
      <c r="BZ2608" s="4"/>
      <c r="CA2608"/>
      <c r="CB2608"/>
      <c r="CC2608" s="4"/>
      <c r="CD2608" t="inlineStr">
        <is>
          <t>20</t>
        </is>
      </c>
      <c r="CE2608" t="inlineStr">
        <is>
          <t>0</t>
        </is>
      </c>
      <c r="CF2608" t="inlineStr">
        <is>
          <t>Q2-W01</t>
        </is>
      </c>
      <c r="CG2608"/>
      <c r="CH2608"/>
      <c r="CI2608"/>
      <c r="CJ2608" t="inlineStr">
        <is>
          <t>No Paid</t>
        </is>
      </c>
      <c r="CK2608" t="inlineStr">
        <is>
          <t>Not Eligible</t>
        </is>
      </c>
      <c r="CL2608"/>
      <c r="CM2608"/>
    </row>
    <row r="2609" ht="25.5" customHeight="1">
      <c r="A2609" t="inlineStr">
        <is>
          <t>202845</t>
        </is>
      </c>
      <c r="B2609" s="2"/>
      <c r="C2609"/>
      <c r="D2609" s="3">
        <v>46118.715462962966</v>
      </c>
      <c r="E2609" t="inlineStr">
        <is>
          <t>Q2-W01</t>
        </is>
      </c>
      <c r="F2609" t="inlineStr">
        <is>
          <t>Carmen</t>
        </is>
      </c>
      <c r="G2609" t="inlineStr">
        <is>
          <t>Customer</t>
        </is>
      </c>
      <c r="H2609" s="2" t="str">
        <f>=HYPERLINK("https://upbox.ajobthing.my/customer/202845", "https://upbox.ajobthing.my/customer/202845")</f>
        <v>https://upbox.ajobthing.my/customer/202845</v>
      </c>
      <c r="I2609" t="inlineStr">
        <is>
          <t>My Babysteps Child Specialist (cheras Selatan) Sdn. Bhd.</t>
        </is>
      </c>
      <c r="J2609" t="inlineStr">
        <is>
          <t>Small Fish</t>
        </is>
      </c>
      <c r="K2609" t="inlineStr">
        <is>
          <t>Carmen</t>
        </is>
      </c>
      <c r="L2609" s="4"/>
      <c r="M2609" s="4">
        <v>46118.715532407405</v>
      </c>
      <c r="N2609"/>
      <c r="O2609">
        <v>3888</v>
      </c>
      <c r="P2609" s="4"/>
      <c r="Q2609" s="4">
        <v>46125.57945601852</v>
      </c>
      <c r="R2609"/>
      <c r="S2609">
        <v>864</v>
      </c>
      <c r="T2609" s="4">
        <v>46125.57945601852</v>
      </c>
      <c r="U2609" s="4"/>
      <c r="V2609"/>
      <c r="W2609">
        <v>864</v>
      </c>
      <c r="X2609"/>
      <c r="Y2609" t="inlineStr">
        <is>
          <t>Pending Appointment</t>
        </is>
      </c>
      <c r="Z2609" t="inlineStr">
        <is>
          <t>Hiring Now</t>
        </is>
      </c>
      <c r="AA2609">
        <v>2</v>
      </c>
      <c r="AB2609" t="inlineStr">
        <is>
          <t>No Appointment Made</t>
        </is>
      </c>
      <c r="AC2609"/>
      <c r="AD2609" t="inlineStr">
        <is>
          <t>2 clinic assistant.</t>
        </is>
      </c>
      <c r="AE2609"/>
      <c r="AF2609">
        <v>0</v>
      </c>
      <c r="AG2609" s="4"/>
      <c r="AH2609" s="4"/>
      <c r="AI2609"/>
      <c r="AJ2609"/>
      <c r="AK2609"/>
      <c r="AL2609"/>
      <c r="AM2609"/>
      <c r="AN2609"/>
      <c r="AO2609"/>
      <c r="AP2609" t="inlineStr">
        <is>
          <t>Twice a year (50%)</t>
        </is>
      </c>
      <c r="AQ2609"/>
      <c r="AR2609"/>
      <c r="AS2609" t="inlineStr">
        <is>
          <t>- Headcount: 2
- Hiring Job Details: 2 clinic assistant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Twice a year (50%)
- External job portal: Not available</t>
        </is>
      </c>
      <c r="AT2609">
        <v>90</v>
      </c>
      <c r="AU2609" t="inlineStr">
        <is>
          <t>0.90</t>
        </is>
      </c>
      <c r="AV2609" t="inlineStr">
        <is>
          <t>15</t>
        </is>
      </c>
      <c r="AW2609" t="inlineStr">
        <is>
          <t>0</t>
        </is>
      </c>
      <c r="AX2609" t="inlineStr">
        <is>
          <t>Not Qualified</t>
        </is>
      </c>
      <c r="AY2609" s="4"/>
      <c r="AZ2609"/>
      <c r="BA2609"/>
      <c r="BB2609"/>
      <c r="BC2609" t="inlineStr">
        <is>
          <t>customer paid online but havent verify yet</t>
        </is>
      </c>
      <c r="BD2609" s="4">
        <v>46125.59799768519</v>
      </c>
      <c r="BE2609" t="inlineStr">
        <is>
          <t>paid</t>
        </is>
      </c>
      <c r="BF2609" t="inlineStr">
        <is>
          <t>Q2-W02</t>
        </is>
      </c>
      <c r="BG2609" t="inlineStr">
        <is>
          <t>Reschedule</t>
        </is>
      </c>
      <c r="BH2609" t="inlineStr">
        <is>
          <t>Reagen</t>
        </is>
      </c>
      <c r="BI2609" t="inlineStr">
        <is>
          <t>Healthcare / Medical</t>
        </is>
      </c>
      <c r="BJ2609" s="4">
        <v>46144.75414351852</v>
      </c>
      <c r="BK2609" s="4">
        <v>46118.48454861111</v>
      </c>
      <c r="BL2609" t="inlineStr">
        <is>
          <t>864.0</t>
        </is>
      </c>
      <c r="BM2609" t="inlineStr">
        <is>
          <t>0.0</t>
        </is>
      </c>
      <c r="BN2609" t="inlineStr">
        <is>
          <t>View Company Page</t>
        </is>
      </c>
      <c r="BO2609" s="4">
        <v>46144.70862268518</v>
      </c>
      <c r="BP2609">
        <v>165500</v>
      </c>
      <c r="BQ2609">
        <v>93142</v>
      </c>
      <c r="BR2609" t="inlineStr">
        <is>
          <t>Online</t>
        </is>
      </c>
      <c r="BS2609"/>
      <c r="BT2609">
        <v>93142</v>
      </c>
      <c r="BU2609"/>
      <c r="BV2609">
        <v>2700919</v>
      </c>
      <c r="BW2609" t="inlineStr">
        <is>
          <t>Follow Up : Win - Customer Paid</t>
        </is>
      </c>
      <c r="BX2609">
        <v>1</v>
      </c>
      <c r="BY2609">
        <v>0</v>
      </c>
      <c r="BZ2609" s="4">
        <v>46125.57945601852</v>
      </c>
      <c r="CA2609">
        <v>10</v>
      </c>
      <c r="CB2609">
        <v>10</v>
      </c>
      <c r="CC2609" s="4"/>
      <c r="CD2609" t="inlineStr">
        <is>
          <t>20</t>
        </is>
      </c>
      <c r="CE2609" t="inlineStr">
        <is>
          <t>0</t>
        </is>
      </c>
      <c r="CF2609" t="inlineStr">
        <is>
          <t>Q2-W01</t>
        </is>
      </c>
      <c r="CG2609" t="inlineStr">
        <is>
          <t>Q2-W02</t>
        </is>
      </c>
      <c r="CH2609" t="inlineStr">
        <is>
          <t>Q2-W02</t>
        </is>
      </c>
      <c r="CI2609"/>
      <c r="CJ2609" t="inlineStr">
        <is>
          <t>Paid</t>
        </is>
      </c>
      <c r="CK2609" t="inlineStr">
        <is>
          <t>Not Eligible</t>
        </is>
      </c>
      <c r="CL2609"/>
      <c r="CM2609"/>
    </row>
    <row r="2610" ht="25.5" customHeight="1">
      <c r="A2610" t="inlineStr">
        <is>
          <t>202885</t>
        </is>
      </c>
      <c r="B2610" s="2"/>
      <c r="C2610"/>
      <c r="D2610" s="3">
        <v>46118.71946759259</v>
      </c>
      <c r="E2610" t="inlineStr">
        <is>
          <t>Q2-W01</t>
        </is>
      </c>
      <c r="F2610" t="inlineStr">
        <is>
          <t>Jia Hui</t>
        </is>
      </c>
      <c r="G2610" t="inlineStr">
        <is>
          <t>Customer</t>
        </is>
      </c>
      <c r="H2610" s="2" t="str">
        <f>=HYPERLINK("https://upbox.ajobthing.my/customer/202885", "https://upbox.ajobthing.my/customer/202885")</f>
        <v>https://upbox.ajobthing.my/customer/202885</v>
      </c>
      <c r="I2610" t="inlineStr">
        <is>
          <t>Eco Solar my Sdn Bhd</t>
        </is>
      </c>
      <c r="J2610" t="inlineStr">
        <is>
          <t>Small Fish</t>
        </is>
      </c>
      <c r="K2610" t="inlineStr">
        <is>
          <t>Jia Hui</t>
        </is>
      </c>
      <c r="L2610" s="4"/>
      <c r="M2610" s="4">
        <v>46118.71960648148</v>
      </c>
      <c r="N2610"/>
      <c r="O2610">
        <v>5508</v>
      </c>
      <c r="P2610" s="4"/>
      <c r="Q2610" s="4"/>
      <c r="R2610"/>
      <c r="S2610"/>
      <c r="T2610" s="4"/>
      <c r="U2610" s="4"/>
      <c r="V2610"/>
      <c r="W2610"/>
      <c r="X2610"/>
      <c r="Y2610" t="inlineStr">
        <is>
          <t>Pending Appointment</t>
        </is>
      </c>
      <c r="Z2610" t="inlineStr">
        <is>
          <t>Hiring Now</t>
        </is>
      </c>
      <c r="AA2610">
        <v>4</v>
      </c>
      <c r="AB2610" t="inlineStr">
        <is>
          <t>No Appointment Made</t>
        </is>
      </c>
      <c r="AC2610"/>
      <c r="AD2610" t="inlineStr">
        <is>
          <t>1 engineer, 1 wireman-lelaki, 1 sales, 1 site supervisor</t>
        </is>
      </c>
      <c r="AE2610"/>
      <c r="AF2610">
        <v>500</v>
      </c>
      <c r="AG2610" s="4"/>
      <c r="AH2610" s="4"/>
      <c r="AI2610"/>
      <c r="AJ2610"/>
      <c r="AK2610" t="inlineStr">
        <is>
          <t>Yes, I have</t>
        </is>
      </c>
      <c r="AL2610"/>
      <c r="AM2610"/>
      <c r="AN2610"/>
      <c r="AO2610"/>
      <c r="AP2610" t="inlineStr">
        <is>
          <t>Once a year (25%)</t>
        </is>
      </c>
      <c r="AQ2610"/>
      <c r="AR2610"/>
      <c r="AS2610" t="inlineStr">
        <is>
          <t>- Headcount: 4
- Hiring Job Details: 1 engineer, 1 wireman-lelaki, 1 sales, 1 site supervisor
- Hiring Urgency: Hiring Now
- Number of outlets: Not available
- Have recruiter team: Yes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610">
        <v>90</v>
      </c>
      <c r="AU2610" t="inlineStr">
        <is>
          <t>0.90</t>
        </is>
      </c>
      <c r="AV2610" t="inlineStr">
        <is>
          <t>15</t>
        </is>
      </c>
      <c r="AW2610" t="inlineStr">
        <is>
          <t>0</t>
        </is>
      </c>
      <c r="AX2610" t="inlineStr">
        <is>
          <t>Not Qualified</t>
        </is>
      </c>
      <c r="AY2610" s="4"/>
      <c r="AZ2610"/>
      <c r="BA2610"/>
      <c r="BB2610"/>
      <c r="BC2610" t="inlineStr">
        <is>
          <t>boss want to on hold first</t>
        </is>
      </c>
      <c r="BD2610" s="4">
        <v>46122.59502314815</v>
      </c>
      <c r="BE2610"/>
      <c r="BF2610"/>
      <c r="BG2610" t="inlineStr">
        <is>
          <t>Reschedule</t>
        </is>
      </c>
      <c r="BH2610" t="inlineStr">
        <is>
          <t>Reagen</t>
        </is>
      </c>
      <c r="BI2610"/>
      <c r="BJ2610" s="4">
        <v>46144.75414351852</v>
      </c>
      <c r="BK2610" s="4">
        <v>46118.708657407406</v>
      </c>
      <c r="BL2610" t="inlineStr">
        <is>
          <t>0.0</t>
        </is>
      </c>
      <c r="BM2610" t="inlineStr">
        <is>
          <t>600.0</t>
        </is>
      </c>
      <c r="BN2610" t="inlineStr">
        <is>
          <t>View Company Page</t>
        </is>
      </c>
      <c r="BO2610" s="4">
        <v>46118.70878472222</v>
      </c>
      <c r="BP2610">
        <v>165503</v>
      </c>
      <c r="BQ2610"/>
      <c r="BR2610"/>
      <c r="BS2610"/>
      <c r="BT2610"/>
      <c r="BU2610"/>
      <c r="BV2610">
        <v>2698128</v>
      </c>
      <c r="BW2610" t="inlineStr">
        <is>
          <t>Customer Inquiry</t>
        </is>
      </c>
      <c r="BX2610"/>
      <c r="BY2610"/>
      <c r="BZ2610" s="4"/>
      <c r="CA2610"/>
      <c r="CB2610"/>
      <c r="CC2610" s="4"/>
      <c r="CD2610" t="inlineStr">
        <is>
          <t>20</t>
        </is>
      </c>
      <c r="CE2610" t="inlineStr">
        <is>
          <t>0</t>
        </is>
      </c>
      <c r="CF2610" t="inlineStr">
        <is>
          <t>Q2-W01</t>
        </is>
      </c>
      <c r="CG2610"/>
      <c r="CH2610"/>
      <c r="CI2610"/>
      <c r="CJ2610" t="inlineStr">
        <is>
          <t>No Paid</t>
        </is>
      </c>
      <c r="CK2610" t="inlineStr">
        <is>
          <t>Not Eligible</t>
        </is>
      </c>
      <c r="CL2610"/>
      <c r="CM2610"/>
    </row>
    <row r="2611" ht="25.5" customHeight="1">
      <c r="A2611" t="inlineStr">
        <is>
          <t>202838</t>
        </is>
      </c>
      <c r="B2611" s="2"/>
      <c r="C2611"/>
      <c r="D2611" s="3">
        <v>46118.73446759259</v>
      </c>
      <c r="E2611" t="inlineStr">
        <is>
          <t>Q2-W01</t>
        </is>
      </c>
      <c r="F2611" t="inlineStr">
        <is>
          <t>Ken Yi</t>
        </is>
      </c>
      <c r="G2611" t="inlineStr">
        <is>
          <t>Customer</t>
        </is>
      </c>
      <c r="H2611" s="2" t="str">
        <f>=HYPERLINK("https://upbox.ajobthing.my/customer/202838", "https://upbox.ajobthing.my/customer/202838")</f>
        <v>https://upbox.ajobthing.my/customer/202838</v>
      </c>
      <c r="I2611" t="inlineStr">
        <is>
          <t>Abiel Asset Management</t>
        </is>
      </c>
      <c r="J2611" t="inlineStr">
        <is>
          <t>Small Fish</t>
        </is>
      </c>
      <c r="K2611" t="inlineStr">
        <is>
          <t>Kenyi</t>
        </is>
      </c>
      <c r="L2611" s="4"/>
      <c r="M2611" s="4">
        <v>46118.72309027778</v>
      </c>
      <c r="N2611"/>
      <c r="O2611">
        <v>3600</v>
      </c>
      <c r="P2611" s="4"/>
      <c r="Q2611" s="4"/>
      <c r="R2611"/>
      <c r="S2611"/>
      <c r="T2611" s="4"/>
      <c r="U2611" s="4"/>
      <c r="V2611"/>
      <c r="W2611"/>
      <c r="X2611"/>
      <c r="Y2611" t="inlineStr">
        <is>
          <t>Pending Appointment</t>
        </is>
      </c>
      <c r="Z2611" t="inlineStr">
        <is>
          <t>Hiring Now</t>
        </is>
      </c>
      <c r="AA2611">
        <v>1</v>
      </c>
      <c r="AB2611" t="inlineStr">
        <is>
          <t>No Appointment Made</t>
        </is>
      </c>
      <c r="AC2611"/>
      <c r="AD2611" t="inlineStr">
        <is>
          <t>Malaysian Local</t>
        </is>
      </c>
      <c r="AE2611"/>
      <c r="AF2611">
        <v>0</v>
      </c>
      <c r="AG2611" s="4"/>
      <c r="AH2611" s="4"/>
      <c r="AI2611">
        <v>0</v>
      </c>
      <c r="AJ2611">
        <v>1</v>
      </c>
      <c r="AK2611" t="inlineStr">
        <is>
          <t>Yes, I have</t>
        </is>
      </c>
      <c r="AL2611">
        <v>1</v>
      </c>
      <c r="AM2611" t="inlineStr">
        <is>
          <t>No, I don't need at all</t>
        </is>
      </c>
      <c r="AN2611"/>
      <c r="AO2611" t="inlineStr">
        <is>
          <t>No, I don't need at all</t>
        </is>
      </c>
      <c r="AP2611" t="inlineStr">
        <is>
          <t>Every month (100%)</t>
        </is>
      </c>
      <c r="AQ2611">
        <v>2</v>
      </c>
      <c r="AR2611" t="inlineStr">
        <is>
          <t>Did not use any job portal</t>
        </is>
      </c>
      <c r="AS2611" t="inlineStr">
        <is>
          <t>- Headcount: 1
- Hiring Job Details: Malaysian Local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Every month (100%)
- External job portal: Did not use any job portal</t>
        </is>
      </c>
      <c r="AT2611">
        <v>95</v>
      </c>
      <c r="AU2611" t="inlineStr">
        <is>
          <t>0.95</t>
        </is>
      </c>
      <c r="AV2611" t="inlineStr">
        <is>
          <t>15</t>
        </is>
      </c>
      <c r="AW2611" t="inlineStr">
        <is>
          <t>0</t>
        </is>
      </c>
      <c r="AX2611" t="inlineStr">
        <is>
          <t>Not Qualified</t>
        </is>
      </c>
      <c r="AY2611" s="4"/>
      <c r="AZ2611"/>
      <c r="BA2611"/>
      <c r="BB2611"/>
      <c r="BC2611" t="inlineStr">
        <is>
          <t>Follow up about the hiring decision</t>
        </is>
      </c>
      <c r="BD2611" s="4">
        <v>46125.71192129629</v>
      </c>
      <c r="BE2611"/>
      <c r="BF2611"/>
      <c r="BG2611" t="inlineStr">
        <is>
          <t>Reschedule</t>
        </is>
      </c>
      <c r="BH2611" t="inlineStr">
        <is>
          <t>Fauziah Maharan</t>
        </is>
      </c>
      <c r="BI2611"/>
      <c r="BJ2611" s="4">
        <v>46144.75414351852</v>
      </c>
      <c r="BK2611" s="4">
        <v>46117.9606712963</v>
      </c>
      <c r="BL2611" t="inlineStr">
        <is>
          <t>0.0</t>
        </is>
      </c>
      <c r="BM2611" t="inlineStr">
        <is>
          <t>0.0</t>
        </is>
      </c>
      <c r="BN2611" t="inlineStr">
        <is>
          <t>View Create Job Page V4</t>
        </is>
      </c>
      <c r="BO2611" s="4">
        <v>46117.97038194445</v>
      </c>
      <c r="BP2611">
        <v>165508</v>
      </c>
      <c r="BQ2611"/>
      <c r="BR2611"/>
      <c r="BS2611"/>
      <c r="BT2611"/>
      <c r="BU2611"/>
      <c r="BV2611">
        <v>2701944</v>
      </c>
      <c r="BW2611" t="inlineStr">
        <is>
          <t>Follow Up : Decision Pending</t>
        </is>
      </c>
      <c r="BX2611"/>
      <c r="BY2611"/>
      <c r="BZ2611" s="4"/>
      <c r="CA2611"/>
      <c r="CB2611"/>
      <c r="CC2611" s="4"/>
      <c r="CD2611" t="inlineStr">
        <is>
          <t>20</t>
        </is>
      </c>
      <c r="CE2611" t="inlineStr">
        <is>
          <t>0</t>
        </is>
      </c>
      <c r="CF2611" t="inlineStr">
        <is>
          <t>Q2-W01</t>
        </is>
      </c>
      <c r="CG2611"/>
      <c r="CH2611"/>
      <c r="CI2611"/>
      <c r="CJ2611" t="inlineStr">
        <is>
          <t>No Paid</t>
        </is>
      </c>
      <c r="CK2611" t="inlineStr">
        <is>
          <t>Not Eligible</t>
        </is>
      </c>
      <c r="CL2611"/>
      <c r="CM2611"/>
    </row>
    <row r="2612" ht="25.5" customHeight="1">
      <c r="A2612" t="inlineStr">
        <is>
          <t>164119</t>
        </is>
      </c>
      <c r="B2612" s="2"/>
      <c r="C2612"/>
      <c r="D2612" s="3">
        <v>46118.73756944444</v>
      </c>
      <c r="E2612" t="inlineStr">
        <is>
          <t>Q2-W01</t>
        </is>
      </c>
      <c r="F2612" t="inlineStr">
        <is>
          <t>Angel  Low</t>
        </is>
      </c>
      <c r="G2612" t="inlineStr">
        <is>
          <t>Customer</t>
        </is>
      </c>
      <c r="H2612" s="2" t="str">
        <f>=HYPERLINK("https://upbox.ajobthing.my/customer/164119", "https://upbox.ajobthing.my/customer/164119")</f>
        <v>https://upbox.ajobthing.my/customer/164119</v>
      </c>
      <c r="I2612" t="inlineStr">
        <is>
          <t xml:space="preserve">MEGAS ENTERPRISE </t>
        </is>
      </c>
      <c r="J2612" t="inlineStr">
        <is>
          <t>Small Fish</t>
        </is>
      </c>
      <c r="K2612" t="inlineStr">
        <is>
          <t>Angel Low</t>
        </is>
      </c>
      <c r="L2612" s="4"/>
      <c r="M2612" s="4">
        <v>46118.73778935185</v>
      </c>
      <c r="N2612"/>
      <c r="O2612">
        <v>3672</v>
      </c>
      <c r="P2612" s="4"/>
      <c r="Q2612" s="4">
        <v>46118.668854166666</v>
      </c>
      <c r="R2612"/>
      <c r="S2612">
        <v>0</v>
      </c>
      <c r="T2612" s="4"/>
      <c r="U2612" s="4"/>
      <c r="V2612"/>
      <c r="W2612"/>
      <c r="X2612"/>
      <c r="Y2612" t="inlineStr">
        <is>
          <t>Pending Appointment</t>
        </is>
      </c>
      <c r="Z2612"/>
      <c r="AA2612">
        <v>1</v>
      </c>
      <c r="AB2612" t="inlineStr">
        <is>
          <t>No Appointment Made</t>
        </is>
      </c>
      <c r="AC2612"/>
      <c r="AD2612" t="inlineStr">
        <is>
          <t xml:space="preserve">1 delivery man </t>
        </is>
      </c>
      <c r="AE2612"/>
      <c r="AF2612"/>
      <c r="AG2612" s="4"/>
      <c r="AH2612" s="4"/>
      <c r="AI2612"/>
      <c r="AJ2612"/>
      <c r="AK2612"/>
      <c r="AL2612"/>
      <c r="AM2612"/>
      <c r="AN2612"/>
      <c r="AO2612"/>
      <c r="AP2612"/>
      <c r="AQ2612"/>
      <c r="AR2612"/>
      <c r="AS2612" t="inlineStr">
        <is>
          <t>- Headcount: 1
- Hiring Job Details: 1 delivery man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612">
        <v>60</v>
      </c>
      <c r="AU2612" t="inlineStr">
        <is>
          <t>0.60</t>
        </is>
      </c>
      <c r="AV2612" t="inlineStr">
        <is>
          <t>5</t>
        </is>
      </c>
      <c r="AW2612" t="inlineStr">
        <is>
          <t>0</t>
        </is>
      </c>
      <c r="AX2612" t="inlineStr">
        <is>
          <t>Not Qualified</t>
        </is>
      </c>
      <c r="AY2612" s="4"/>
      <c r="AZ2612"/>
      <c r="BA2612"/>
      <c r="BB2612"/>
      <c r="BC2612" t="inlineStr">
        <is>
          <t>- Headcount: 1
- Hiring Job Details: 1 delivery man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612" s="4">
        <v>46118.7500462963</v>
      </c>
      <c r="BE2612" t="inlineStr">
        <is>
          <t>paid</t>
        </is>
      </c>
      <c r="BF2612"/>
      <c r="BG2612" t="inlineStr">
        <is>
          <t>Reschedule</t>
        </is>
      </c>
      <c r="BH2612" t="inlineStr">
        <is>
          <t>Fauziah Maharan</t>
        </is>
      </c>
      <c r="BI2612"/>
      <c r="BJ2612" s="4">
        <v>46144.7512037037</v>
      </c>
      <c r="BK2612" s="4">
        <v>44960.85309027778</v>
      </c>
      <c r="BL2612" t="inlineStr">
        <is>
          <t>0.0</t>
        </is>
      </c>
      <c r="BM2612" t="inlineStr">
        <is>
          <t>0.0</t>
        </is>
      </c>
      <c r="BN2612" t="inlineStr">
        <is>
          <t>View Create Job Page</t>
        </is>
      </c>
      <c r="BO2612" s="4">
        <v>44960.858506944445</v>
      </c>
      <c r="BP2612">
        <v>165515</v>
      </c>
      <c r="BQ2612">
        <v>120198</v>
      </c>
      <c r="BR2612" t="inlineStr">
        <is>
          <t>Proforma</t>
        </is>
      </c>
      <c r="BS2612" t="inlineStr">
        <is>
          <t>Free Part-Time Job</t>
        </is>
      </c>
      <c r="BT2612"/>
      <c r="BU2612"/>
      <c r="BV2612">
        <v>2687570</v>
      </c>
      <c r="BW2612" t="inlineStr">
        <is>
          <t>Customer Inquiry</t>
        </is>
      </c>
      <c r="BX2612"/>
      <c r="BY2612"/>
      <c r="BZ2612" s="4"/>
      <c r="CA2612"/>
      <c r="CB2612"/>
      <c r="CC2612" s="4"/>
      <c r="CD2612" t="inlineStr">
        <is>
          <t>5</t>
        </is>
      </c>
      <c r="CE2612" t="inlineStr">
        <is>
          <t>0</t>
        </is>
      </c>
      <c r="CF2612" t="inlineStr">
        <is>
          <t>Q2-W01</t>
        </is>
      </c>
      <c r="CG2612" t="inlineStr">
        <is>
          <t>Q2-W01</t>
        </is>
      </c>
      <c r="CH2612"/>
      <c r="CI2612"/>
      <c r="CJ2612" t="inlineStr">
        <is>
          <t>No Paid</t>
        </is>
      </c>
      <c r="CK2612" t="inlineStr">
        <is>
          <t>Not Eligible</t>
        </is>
      </c>
      <c r="CL2612"/>
      <c r="CM2612"/>
    </row>
    <row r="2613" ht="25.5" customHeight="1">
      <c r="A2613" t="inlineStr">
        <is>
          <t>4226777</t>
        </is>
      </c>
      <c r="B2613" s="2"/>
      <c r="C2613"/>
      <c r="D2613" s="3">
        <v>46118.73935185185</v>
      </c>
      <c r="E2613" t="inlineStr">
        <is>
          <t>Q2-W01</t>
        </is>
      </c>
      <c r="F2613" t="inlineStr">
        <is>
          <t>Chia Yee</t>
        </is>
      </c>
      <c r="G2613" t="inlineStr">
        <is>
          <t>Lead</t>
        </is>
      </c>
      <c r="H2613" s="2" t="str">
        <f>=HYPERLINK("https://upbox.ajobthing.my/leads/4226777", "https://upbox.ajobthing.my/leads/4226777")</f>
        <v>https://upbox.ajobthing.my/leads/4226777</v>
      </c>
      <c r="I2613" t="inlineStr">
        <is>
          <t>KLINIK PERGIGIAN DINAR KAPAR</t>
        </is>
      </c>
      <c r="J2613" t="inlineStr">
        <is>
          <t>Small Fish</t>
        </is>
      </c>
      <c r="K2613" t="inlineStr">
        <is>
          <t>Chia Yee</t>
        </is>
      </c>
      <c r="L2613" s="4"/>
      <c r="M2613" s="4">
        <v>46118.73994212963</v>
      </c>
      <c r="N2613"/>
      <c r="O2613">
        <v>1296</v>
      </c>
      <c r="P2613" s="4"/>
      <c r="Q2613" s="4"/>
      <c r="R2613"/>
      <c r="S2613"/>
      <c r="T2613" s="4"/>
      <c r="U2613" s="4"/>
      <c r="V2613"/>
      <c r="W2613"/>
      <c r="X2613"/>
      <c r="Y2613" t="inlineStr">
        <is>
          <t>Pending Appointment</t>
        </is>
      </c>
      <c r="Z2613" t="inlineStr">
        <is>
          <t>Hiring Now</t>
        </is>
      </c>
      <c r="AA2613">
        <v>1</v>
      </c>
      <c r="AB2613" t="inlineStr">
        <is>
          <t>No Appointment Made</t>
        </is>
      </c>
      <c r="AC2613"/>
      <c r="AD2613" t="inlineStr">
        <is>
          <t xml:space="preserve">1 dental surgery assistant </t>
        </is>
      </c>
      <c r="AE2613"/>
      <c r="AF2613">
        <v>0</v>
      </c>
      <c r="AG2613" s="4"/>
      <c r="AH2613" s="4"/>
      <c r="AI2613">
        <v>0</v>
      </c>
      <c r="AJ2613">
        <v>1</v>
      </c>
      <c r="AK2613" t="inlineStr">
        <is>
          <t>No, I don't need at all</t>
        </is>
      </c>
      <c r="AL2613">
        <v>1</v>
      </c>
      <c r="AM2613" t="inlineStr">
        <is>
          <t>No, I don't need at all</t>
        </is>
      </c>
      <c r="AN2613"/>
      <c r="AO2613" t="inlineStr">
        <is>
          <t>No, I don't need at all</t>
        </is>
      </c>
      <c r="AP2613" t="inlineStr">
        <is>
          <t>Once a year (25%)</t>
        </is>
      </c>
      <c r="AQ2613">
        <v>1</v>
      </c>
      <c r="AR2613" t="inlineStr">
        <is>
          <t>Did not use any job portal</t>
        </is>
      </c>
      <c r="AS2613" t="inlineStr">
        <is>
          <t>- Headcount: 1
- Hiring Job Details: 1 dental surgery assistant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613">
        <v>110</v>
      </c>
      <c r="AU2613" t="inlineStr">
        <is>
          <t>1.10</t>
        </is>
      </c>
      <c r="AV2613" t="inlineStr">
        <is>
          <t>15</t>
        </is>
      </c>
      <c r="AW2613" t="inlineStr">
        <is>
          <t>0</t>
        </is>
      </c>
      <c r="AX2613" t="inlineStr">
        <is>
          <t>Not Qualified</t>
        </is>
      </c>
      <c r="AY2613" s="4"/>
      <c r="AZ2613"/>
      <c r="BA2613"/>
      <c r="BB2613"/>
      <c r="BC2613"/>
      <c r="BD2613" s="4"/>
      <c r="BE2613"/>
      <c r="BF2613"/>
      <c r="BG2613" t="inlineStr">
        <is>
          <t>Reschedule</t>
        </is>
      </c>
      <c r="BH2613" t="inlineStr">
        <is>
          <t>Reagen</t>
        </is>
      </c>
      <c r="BI2613"/>
      <c r="BJ2613" s="4">
        <v>46144.755694444444</v>
      </c>
      <c r="BK2613" s="4">
        <v>46113.563310185185</v>
      </c>
      <c r="BL2613" t="inlineStr">
        <is>
          <t>0.0</t>
        </is>
      </c>
      <c r="BM2613" t="inlineStr">
        <is>
          <t>0.0</t>
        </is>
      </c>
      <c r="BN2613"/>
      <c r="BO2613" s="4"/>
      <c r="BP2613">
        <v>165517</v>
      </c>
      <c r="BQ2613"/>
      <c r="BR2613"/>
      <c r="BS2613"/>
      <c r="BT2613"/>
      <c r="BU2613"/>
      <c r="BV2613"/>
      <c r="BW2613"/>
      <c r="BX2613"/>
      <c r="BY2613"/>
      <c r="BZ2613" s="4"/>
      <c r="CA2613"/>
      <c r="CB2613"/>
      <c r="CC2613" s="4"/>
      <c r="CD2613" t="inlineStr">
        <is>
          <t>20</t>
        </is>
      </c>
      <c r="CE2613" t="inlineStr">
        <is>
          <t>0</t>
        </is>
      </c>
      <c r="CF2613" t="inlineStr">
        <is>
          <t>Q2-W01</t>
        </is>
      </c>
      <c r="CG2613"/>
      <c r="CH2613"/>
      <c r="CI2613"/>
      <c r="CJ2613" t="inlineStr">
        <is>
          <t>No Paid</t>
        </is>
      </c>
      <c r="CK2613" t="inlineStr">
        <is>
          <t>Not Eligible</t>
        </is>
      </c>
      <c r="CL2613"/>
      <c r="CM2613"/>
    </row>
    <row r="2614" ht="25.5" customHeight="1">
      <c r="A2614" t="inlineStr">
        <is>
          <t>34189</t>
        </is>
      </c>
      <c r="B2614" s="2"/>
      <c r="C2614"/>
      <c r="D2614" s="3">
        <v>46119.41337962963</v>
      </c>
      <c r="E2614" t="inlineStr">
        <is>
          <t>Q2-W01</t>
        </is>
      </c>
      <c r="F2614" t="inlineStr">
        <is>
          <t>Luqman</t>
        </is>
      </c>
      <c r="G2614" t="inlineStr">
        <is>
          <t>Customer</t>
        </is>
      </c>
      <c r="H2614" s="2" t="str">
        <f>=HYPERLINK("https://upbox.ajobthing.my/customer/34189", "https://upbox.ajobthing.my/customer/34189")</f>
        <v>https://upbox.ajobthing.my/customer/34189</v>
      </c>
      <c r="I2614" t="inlineStr">
        <is>
          <t xml:space="preserve">Sweetsmiledental Clinic </t>
        </is>
      </c>
      <c r="J2614" t="inlineStr">
        <is>
          <t>Small Fish</t>
        </is>
      </c>
      <c r="K2614" t="inlineStr">
        <is>
          <t>Luqman</t>
        </is>
      </c>
      <c r="L2614" s="4"/>
      <c r="M2614" s="4">
        <v>46119.41354166667</v>
      </c>
      <c r="N2614"/>
      <c r="O2614">
        <v>3888</v>
      </c>
      <c r="P2614" s="4"/>
      <c r="Q2614" s="4"/>
      <c r="R2614"/>
      <c r="S2614"/>
      <c r="T2614" s="4"/>
      <c r="U2614" s="4"/>
      <c r="V2614"/>
      <c r="W2614"/>
      <c r="X2614"/>
      <c r="Y2614" t="inlineStr">
        <is>
          <t>Pending Appointment</t>
        </is>
      </c>
      <c r="Z2614" t="inlineStr">
        <is>
          <t>Hiring Later</t>
        </is>
      </c>
      <c r="AA2614">
        <v>1</v>
      </c>
      <c r="AB2614" t="inlineStr">
        <is>
          <t>No Appointment Made</t>
        </is>
      </c>
      <c r="AC2614"/>
      <c r="AD2614" t="inlineStr">
        <is>
          <t xml:space="preserve">1. Clinic Assistant </t>
        </is>
      </c>
      <c r="AE2614"/>
      <c r="AF2614">
        <v>1200</v>
      </c>
      <c r="AG2614" s="4"/>
      <c r="AH2614" s="4"/>
      <c r="AI2614">
        <v>1200</v>
      </c>
      <c r="AJ2614"/>
      <c r="AK2614" t="inlineStr">
        <is>
          <t>No, I don't need at all</t>
        </is>
      </c>
      <c r="AL2614">
        <v>1</v>
      </c>
      <c r="AM2614" t="inlineStr">
        <is>
          <t>No, I don't need at all</t>
        </is>
      </c>
      <c r="AN2614"/>
      <c r="AO2614" t="inlineStr">
        <is>
          <t>No, I don't need at all</t>
        </is>
      </c>
      <c r="AP2614" t="inlineStr">
        <is>
          <t>Once a year (25%)</t>
        </is>
      </c>
      <c r="AQ2614">
        <v>1</v>
      </c>
      <c r="AR2614" t="inlineStr">
        <is>
          <t>Free Job Portal</t>
        </is>
      </c>
      <c r="AS2614" t="inlineStr">
        <is>
          <t>- Headcount: 1
- Hiring Job Details: 1 Clinic Assistant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2614">
        <v>110</v>
      </c>
      <c r="AU2614" t="inlineStr">
        <is>
          <t>1.10</t>
        </is>
      </c>
      <c r="AV2614" t="inlineStr">
        <is>
          <t>15</t>
        </is>
      </c>
      <c r="AW2614" t="inlineStr">
        <is>
          <t>0</t>
        </is>
      </c>
      <c r="AX2614" t="inlineStr">
        <is>
          <t>Not Qualified</t>
        </is>
      </c>
      <c r="AY2614" s="4"/>
      <c r="AZ2614"/>
      <c r="BA2614"/>
      <c r="BB2614"/>
      <c r="BC2614" t="inlineStr">
        <is>
          <t>Business utilize free portal.</t>
        </is>
      </c>
      <c r="BD2614" s="4">
        <v>46125.427407407406</v>
      </c>
      <c r="BE2614"/>
      <c r="BF2614"/>
      <c r="BG2614" t="inlineStr">
        <is>
          <t>Reschedule</t>
        </is>
      </c>
      <c r="BH2614" t="inlineStr">
        <is>
          <t>Edward Hoo</t>
        </is>
      </c>
      <c r="BI2614"/>
      <c r="BJ2614" s="4">
        <v>46144.754594907405</v>
      </c>
      <c r="BK2614" s="4">
        <v>42793.54414351852</v>
      </c>
      <c r="BL2614" t="inlineStr">
        <is>
          <t>0.0</t>
        </is>
      </c>
      <c r="BM2614" t="inlineStr">
        <is>
          <t>0.0</t>
        </is>
      </c>
      <c r="BN2614" t="inlineStr">
        <is>
          <t>View Company Page</t>
        </is>
      </c>
      <c r="BO2614" s="4">
        <v>45930.94961805556</v>
      </c>
      <c r="BP2614">
        <v>165542</v>
      </c>
      <c r="BQ2614"/>
      <c r="BR2614"/>
      <c r="BS2614"/>
      <c r="BT2614"/>
      <c r="BU2614"/>
      <c r="BV2614">
        <v>2700031</v>
      </c>
      <c r="BW2614" t="inlineStr">
        <is>
          <t>Follow Up : Lost - Free Portal</t>
        </is>
      </c>
      <c r="BX2614"/>
      <c r="BY2614"/>
      <c r="BZ2614" s="4"/>
      <c r="CA2614"/>
      <c r="CB2614"/>
      <c r="CC2614" s="4"/>
      <c r="CD2614" t="inlineStr">
        <is>
          <t>20</t>
        </is>
      </c>
      <c r="CE2614" t="inlineStr">
        <is>
          <t>0</t>
        </is>
      </c>
      <c r="CF2614" t="inlineStr">
        <is>
          <t>Q2-W01</t>
        </is>
      </c>
      <c r="CG2614"/>
      <c r="CH2614"/>
      <c r="CI2614"/>
      <c r="CJ2614" t="inlineStr">
        <is>
          <t>No Paid</t>
        </is>
      </c>
      <c r="CK2614" t="inlineStr">
        <is>
          <t>Not Eligible</t>
        </is>
      </c>
      <c r="CL2614"/>
      <c r="CM2614"/>
    </row>
    <row r="2615" ht="25.5" customHeight="1">
      <c r="A2615" t="inlineStr">
        <is>
          <t>202912</t>
        </is>
      </c>
      <c r="B2615" s="2"/>
      <c r="C2615"/>
      <c r="D2615" s="3">
        <v>46119.420810185184</v>
      </c>
      <c r="E2615" t="inlineStr">
        <is>
          <t>Q2-W01</t>
        </is>
      </c>
      <c r="F2615" t="inlineStr">
        <is>
          <t>Chia Yee</t>
        </is>
      </c>
      <c r="G2615" t="inlineStr">
        <is>
          <t>Customer</t>
        </is>
      </c>
      <c r="H2615" s="2" t="str">
        <f>=HYPERLINK("https://upbox.ajobthing.my/customer/202912", "https://upbox.ajobthing.my/customer/202912")</f>
        <v>https://upbox.ajobthing.my/customer/202912</v>
      </c>
      <c r="I2615" t="inlineStr">
        <is>
          <t>Bst Seri Usaha Sdn Bhd</t>
        </is>
      </c>
      <c r="J2615" t="inlineStr">
        <is>
          <t>Small Fish</t>
        </is>
      </c>
      <c r="K2615" t="inlineStr">
        <is>
          <t>Chia Yee</t>
        </is>
      </c>
      <c r="L2615" s="4"/>
      <c r="M2615" s="4">
        <v>46119.42091435185</v>
      </c>
      <c r="N2615"/>
      <c r="O2615">
        <v>3888</v>
      </c>
      <c r="P2615" s="4"/>
      <c r="Q2615" s="4"/>
      <c r="R2615"/>
      <c r="S2615"/>
      <c r="T2615" s="4"/>
      <c r="U2615" s="4"/>
      <c r="V2615"/>
      <c r="W2615"/>
      <c r="X2615"/>
      <c r="Y2615" t="inlineStr">
        <is>
          <t>Pending Appointment</t>
        </is>
      </c>
      <c r="Z2615" t="inlineStr">
        <is>
          <t>Hiring Now</t>
        </is>
      </c>
      <c r="AA2615">
        <v>1</v>
      </c>
      <c r="AB2615" t="inlineStr">
        <is>
          <t>No Appointment Made</t>
        </is>
      </c>
      <c r="AC2615"/>
      <c r="AD2615" t="inlineStr">
        <is>
          <t>1 Site safety supervisor</t>
        </is>
      </c>
      <c r="AE2615"/>
      <c r="AF2615">
        <v>0</v>
      </c>
      <c r="AG2615" s="4"/>
      <c r="AH2615" s="4"/>
      <c r="AI2615">
        <v>0</v>
      </c>
      <c r="AJ2615">
        <v>1</v>
      </c>
      <c r="AK2615" t="inlineStr">
        <is>
          <t>No, I don't need at all</t>
        </is>
      </c>
      <c r="AL2615">
        <v>1</v>
      </c>
      <c r="AM2615" t="inlineStr">
        <is>
          <t>No, I don't need at all</t>
        </is>
      </c>
      <c r="AN2615"/>
      <c r="AO2615" t="inlineStr">
        <is>
          <t>Yes, I have</t>
        </is>
      </c>
      <c r="AP2615" t="inlineStr">
        <is>
          <t>Once a year (25%)</t>
        </is>
      </c>
      <c r="AQ2615">
        <v>1</v>
      </c>
      <c r="AR2615" t="inlineStr">
        <is>
          <t>Did not use any job portal</t>
        </is>
      </c>
      <c r="AS2615" t="inlineStr">
        <is>
          <t>- Headcount: 1
- Hiring Job Details: 1 Site safety supervisor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2615">
        <v>115</v>
      </c>
      <c r="AU2615" t="inlineStr">
        <is>
          <t>1.15</t>
        </is>
      </c>
      <c r="AV2615" t="inlineStr">
        <is>
          <t>15</t>
        </is>
      </c>
      <c r="AW2615" t="inlineStr">
        <is>
          <t>0</t>
        </is>
      </c>
      <c r="AX2615" t="inlineStr">
        <is>
          <t>Not Qualified</t>
        </is>
      </c>
      <c r="AY2615" s="4"/>
      <c r="AZ2615"/>
      <c r="BA2615"/>
      <c r="BB2615"/>
      <c r="BC2615" t="inlineStr">
        <is>
          <t>Replied: over budget</t>
        </is>
      </c>
      <c r="BD2615" s="4">
        <v>46120.545578703706</v>
      </c>
      <c r="BE2615"/>
      <c r="BF2615"/>
      <c r="BG2615" t="inlineStr">
        <is>
          <t>Reschedule</t>
        </is>
      </c>
      <c r="BH2615" t="inlineStr">
        <is>
          <t>Reagen</t>
        </is>
      </c>
      <c r="BI2615"/>
      <c r="BJ2615" s="4">
        <v>46144.754166666666</v>
      </c>
      <c r="BK2615" s="4">
        <v>46119.415868055556</v>
      </c>
      <c r="BL2615" t="inlineStr">
        <is>
          <t>0.0</t>
        </is>
      </c>
      <c r="BM2615" t="inlineStr">
        <is>
          <t>0.0</t>
        </is>
      </c>
      <c r="BN2615" t="inlineStr">
        <is>
          <t>View Company Page</t>
        </is>
      </c>
      <c r="BO2615" s="4">
        <v>46119.41670138889</v>
      </c>
      <c r="BP2615">
        <v>165550</v>
      </c>
      <c r="BQ2615"/>
      <c r="BR2615"/>
      <c r="BS2615"/>
      <c r="BT2615"/>
      <c r="BU2615"/>
      <c r="BV2615">
        <v>2692253</v>
      </c>
      <c r="BW2615" t="inlineStr">
        <is>
          <t>Follow Up : Budget Concern</t>
        </is>
      </c>
      <c r="BX2615"/>
      <c r="BY2615"/>
      <c r="BZ2615" s="4"/>
      <c r="CA2615"/>
      <c r="CB2615"/>
      <c r="CC2615" s="4"/>
      <c r="CD2615" t="inlineStr">
        <is>
          <t>20</t>
        </is>
      </c>
      <c r="CE2615" t="inlineStr">
        <is>
          <t>0</t>
        </is>
      </c>
      <c r="CF2615" t="inlineStr">
        <is>
          <t>Q2-W01</t>
        </is>
      </c>
      <c r="CG2615"/>
      <c r="CH2615"/>
      <c r="CI2615"/>
      <c r="CJ2615" t="inlineStr">
        <is>
          <t>No Paid</t>
        </is>
      </c>
      <c r="CK2615" t="inlineStr">
        <is>
          <t>Not Eligible</t>
        </is>
      </c>
      <c r="CL2615"/>
      <c r="CM2615"/>
    </row>
    <row r="2616" ht="25.5" customHeight="1">
      <c r="A2616" t="inlineStr">
        <is>
          <t>72124</t>
        </is>
      </c>
      <c r="B2616" s="2"/>
      <c r="C2616"/>
      <c r="D2616" s="3">
        <v>46119.421331018515</v>
      </c>
      <c r="E2616" t="inlineStr">
        <is>
          <t>Q2-W01</t>
        </is>
      </c>
      <c r="F2616" t="inlineStr">
        <is>
          <t>Jia Hui</t>
        </is>
      </c>
      <c r="G2616" t="inlineStr">
        <is>
          <t>Customer</t>
        </is>
      </c>
      <c r="H2616" s="2" t="str">
        <f>=HYPERLINK("https://upbox.ajobthing.my/customer/72124", "https://upbox.ajobthing.my/customer/72124")</f>
        <v>https://upbox.ajobthing.my/customer/72124</v>
      </c>
      <c r="I2616" t="inlineStr">
        <is>
          <t>Kay Rising Enterprise</t>
        </is>
      </c>
      <c r="J2616" t="inlineStr">
        <is>
          <t>Small Fish</t>
        </is>
      </c>
      <c r="K2616" t="inlineStr">
        <is>
          <t>Jia Hui</t>
        </is>
      </c>
      <c r="L2616" s="4"/>
      <c r="M2616" s="4">
        <v>46119.42175925926</v>
      </c>
      <c r="N2616"/>
      <c r="O2616">
        <v>3672</v>
      </c>
      <c r="P2616" s="4"/>
      <c r="Q2616" s="4"/>
      <c r="R2616"/>
      <c r="S2616"/>
      <c r="T2616" s="4"/>
      <c r="U2616" s="4"/>
      <c r="V2616"/>
      <c r="W2616"/>
      <c r="X2616"/>
      <c r="Y2616" t="inlineStr">
        <is>
          <t>Pending Appointment</t>
        </is>
      </c>
      <c r="Z2616" t="inlineStr">
        <is>
          <t>Hiring Now</t>
        </is>
      </c>
      <c r="AA2616">
        <v>2.5</v>
      </c>
      <c r="AB2616" t="inlineStr">
        <is>
          <t>No Appointment Made</t>
        </is>
      </c>
      <c r="AC2616"/>
      <c r="AD2616" t="inlineStr">
        <is>
          <t xml:space="preserve">2-3 wireman assistant </t>
        </is>
      </c>
      <c r="AE2616"/>
      <c r="AF2616">
        <v>1000</v>
      </c>
      <c r="AG2616" s="4"/>
      <c r="AH2616" s="4"/>
      <c r="AI2616"/>
      <c r="AJ2616"/>
      <c r="AK2616" t="inlineStr">
        <is>
          <t>No, I don't need at all</t>
        </is>
      </c>
      <c r="AL2616"/>
      <c r="AM2616"/>
      <c r="AN2616"/>
      <c r="AO2616"/>
      <c r="AP2616" t="inlineStr">
        <is>
          <t>Once a year (25%)</t>
        </is>
      </c>
      <c r="AQ2616"/>
      <c r="AR2616"/>
      <c r="AS2616" t="inlineStr">
        <is>
          <t>- Headcount: 2
- Hiring Job Details: 2-3 wireman assistant
- Hiring Urgency: Hiring Now
- Number of outlets: Not provided
- Have recruiter team: No, I don't need at all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616">
        <v>85</v>
      </c>
      <c r="AU2616" t="inlineStr">
        <is>
          <t>0.85</t>
        </is>
      </c>
      <c r="AV2616" t="inlineStr">
        <is>
          <t>15</t>
        </is>
      </c>
      <c r="AW2616" t="inlineStr">
        <is>
          <t>0</t>
        </is>
      </c>
      <c r="AX2616" t="inlineStr">
        <is>
          <t>Not Qualified</t>
        </is>
      </c>
      <c r="AY2616" s="4"/>
      <c r="AZ2616"/>
      <c r="BA2616"/>
      <c r="BB2616"/>
      <c r="BC2616" t="inlineStr">
        <is>
          <t>on hold, budget concern</t>
        </is>
      </c>
      <c r="BD2616" s="4">
        <v>46125.48106481481</v>
      </c>
      <c r="BE2616"/>
      <c r="BF2616"/>
      <c r="BG2616" t="inlineStr">
        <is>
          <t>Reschedule</t>
        </is>
      </c>
      <c r="BH2616" t="inlineStr">
        <is>
          <t>Reagen</t>
        </is>
      </c>
      <c r="BI2616"/>
      <c r="BJ2616" s="4">
        <v>46144.75612268518</v>
      </c>
      <c r="BK2616" s="4">
        <v>43394.98438657408</v>
      </c>
      <c r="BL2616" t="inlineStr">
        <is>
          <t>0.0</t>
        </is>
      </c>
      <c r="BM2616" t="inlineStr">
        <is>
          <t>0.0</t>
        </is>
      </c>
      <c r="BN2616" t="inlineStr">
        <is>
          <t>View PoepleSearch Page</t>
        </is>
      </c>
      <c r="BO2616" s="4">
        <v>43394.98614583333</v>
      </c>
      <c r="BP2616">
        <v>165551</v>
      </c>
      <c r="BQ2616"/>
      <c r="BR2616"/>
      <c r="BS2616"/>
      <c r="BT2616"/>
      <c r="BU2616"/>
      <c r="BV2616">
        <v>2700416</v>
      </c>
      <c r="BW2616" t="inlineStr">
        <is>
          <t>Follow Up : Budget Concern</t>
        </is>
      </c>
      <c r="BX2616"/>
      <c r="BY2616"/>
      <c r="BZ2616" s="4"/>
      <c r="CA2616"/>
      <c r="CB2616"/>
      <c r="CC2616" s="4"/>
      <c r="CD2616" t="inlineStr">
        <is>
          <t>20</t>
        </is>
      </c>
      <c r="CE2616" t="inlineStr">
        <is>
          <t>0</t>
        </is>
      </c>
      <c r="CF2616" t="inlineStr">
        <is>
          <t>Q2-W01</t>
        </is>
      </c>
      <c r="CG2616"/>
      <c r="CH2616"/>
      <c r="CI2616"/>
      <c r="CJ2616" t="inlineStr">
        <is>
          <t>No Paid</t>
        </is>
      </c>
      <c r="CK2616" t="inlineStr">
        <is>
          <t>Not Eligible</t>
        </is>
      </c>
      <c r="CL2616"/>
      <c r="CM2616"/>
    </row>
    <row r="2617" ht="25.5" customHeight="1">
      <c r="A2617" t="inlineStr">
        <is>
          <t>202908</t>
        </is>
      </c>
      <c r="B2617" s="2"/>
      <c r="C2617"/>
      <c r="D2617" s="3">
        <v>46119.43210648148</v>
      </c>
      <c r="E2617" t="inlineStr">
        <is>
          <t>Q2-W01</t>
        </is>
      </c>
      <c r="F2617" t="inlineStr">
        <is>
          <t>Janice Yap</t>
        </is>
      </c>
      <c r="G2617" t="inlineStr">
        <is>
          <t>Customer</t>
        </is>
      </c>
      <c r="H2617" s="2" t="str">
        <f>=HYPERLINK("https://upbox.ajobthing.my/customer/202908", "https://upbox.ajobthing.my/customer/202908")</f>
        <v>https://upbox.ajobthing.my/customer/202908</v>
      </c>
      <c r="I2617" t="inlineStr">
        <is>
          <t>LPH VEGETRADE SDN BHD</t>
        </is>
      </c>
      <c r="J2617" t="inlineStr">
        <is>
          <t>Small Fish</t>
        </is>
      </c>
      <c r="K2617" t="inlineStr">
        <is>
          <t>Janice</t>
        </is>
      </c>
      <c r="L2617" s="4"/>
      <c r="M2617" s="4">
        <v>46121.492743055554</v>
      </c>
      <c r="N2617"/>
      <c r="O2617">
        <v>1296</v>
      </c>
      <c r="P2617" s="4"/>
      <c r="Q2617" s="4"/>
      <c r="R2617"/>
      <c r="S2617"/>
      <c r="T2617" s="4"/>
      <c r="U2617" s="4"/>
      <c r="V2617"/>
      <c r="W2617"/>
      <c r="X2617"/>
      <c r="Y2617" t="inlineStr">
        <is>
          <t>Pending Appointment</t>
        </is>
      </c>
      <c r="Z2617" t="inlineStr">
        <is>
          <t>Hiring Now</t>
        </is>
      </c>
      <c r="AA2617">
        <v>1</v>
      </c>
      <c r="AB2617" t="inlineStr">
        <is>
          <t>No Appointment Made</t>
        </is>
      </c>
      <c r="AC2617"/>
      <c r="AD2617" t="inlineStr">
        <is>
          <t>1 clerk</t>
        </is>
      </c>
      <c r="AE2617"/>
      <c r="AF2617">
        <v>0</v>
      </c>
      <c r="AG2617" s="4"/>
      <c r="AH2617" s="4"/>
      <c r="AI2617">
        <v>0</v>
      </c>
      <c r="AJ2617"/>
      <c r="AK2617" t="inlineStr">
        <is>
          <t>No, I don't need at all</t>
        </is>
      </c>
      <c r="AL2617">
        <v>0</v>
      </c>
      <c r="AM2617" t="inlineStr">
        <is>
          <t>No, I don't need at all</t>
        </is>
      </c>
      <c r="AN2617"/>
      <c r="AO2617" t="inlineStr">
        <is>
          <t>No, I don't need at all</t>
        </is>
      </c>
      <c r="AP2617" t="inlineStr">
        <is>
          <t>Once a year (25%)</t>
        </is>
      </c>
      <c r="AQ2617">
        <v>1</v>
      </c>
      <c r="AR2617" t="inlineStr">
        <is>
          <t>Did not use any job portal</t>
        </is>
      </c>
      <c r="AS2617" t="inlineStr">
        <is>
          <t>- Headcount: 1
- Hiring Job Details: 1 clerk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617">
        <v>110</v>
      </c>
      <c r="AU2617" t="inlineStr">
        <is>
          <t>1.10</t>
        </is>
      </c>
      <c r="AV2617" t="inlineStr">
        <is>
          <t>15</t>
        </is>
      </c>
      <c r="AW2617" t="inlineStr">
        <is>
          <t>0</t>
        </is>
      </c>
      <c r="AX2617" t="inlineStr">
        <is>
          <t>Not Qualified</t>
        </is>
      </c>
      <c r="AY2617" s="4"/>
      <c r="AZ2617"/>
      <c r="BA2617"/>
      <c r="BB2617"/>
      <c r="BC2617" t="inlineStr">
        <is>
          <t>Got new candidates from FB // no need ady</t>
        </is>
      </c>
      <c r="BD2617" s="4">
        <v>46125.44704861111</v>
      </c>
      <c r="BE2617"/>
      <c r="BF2617"/>
      <c r="BG2617" t="inlineStr">
        <is>
          <t>Reschedule</t>
        </is>
      </c>
      <c r="BH2617" t="inlineStr">
        <is>
          <t>Yee Hang</t>
        </is>
      </c>
      <c r="BI2617" t="inlineStr">
        <is>
          <t>General / Wholesale Trading</t>
        </is>
      </c>
      <c r="BJ2617" s="4">
        <v>46144.754166666666</v>
      </c>
      <c r="BK2617" s="4">
        <v>46119.40857638889</v>
      </c>
      <c r="BL2617" t="inlineStr">
        <is>
          <t>0.0</t>
        </is>
      </c>
      <c r="BM2617" t="inlineStr">
        <is>
          <t>0.0</t>
        </is>
      </c>
      <c r="BN2617" t="inlineStr">
        <is>
          <t>View Company Page</t>
        </is>
      </c>
      <c r="BO2617" s="4">
        <v>46119.42459490741</v>
      </c>
      <c r="BP2617">
        <v>166156</v>
      </c>
      <c r="BQ2617"/>
      <c r="BR2617"/>
      <c r="BS2617"/>
      <c r="BT2617"/>
      <c r="BU2617"/>
      <c r="BV2617">
        <v>2700185</v>
      </c>
      <c r="BW2617" t="inlineStr">
        <is>
          <t>Follow Up : Lost - Free Portal</t>
        </is>
      </c>
      <c r="BX2617"/>
      <c r="BY2617"/>
      <c r="BZ2617" s="4"/>
      <c r="CA2617"/>
      <c r="CB2617"/>
      <c r="CC2617" s="4"/>
      <c r="CD2617" t="inlineStr">
        <is>
          <t>20</t>
        </is>
      </c>
      <c r="CE2617" t="inlineStr">
        <is>
          <t>0</t>
        </is>
      </c>
      <c r="CF2617" t="inlineStr">
        <is>
          <t>Q2-W01</t>
        </is>
      </c>
      <c r="CG2617"/>
      <c r="CH2617"/>
      <c r="CI2617"/>
      <c r="CJ2617" t="inlineStr">
        <is>
          <t>No Paid</t>
        </is>
      </c>
      <c r="CK2617" t="inlineStr">
        <is>
          <t>Not Eligible</t>
        </is>
      </c>
      <c r="CL2617"/>
      <c r="CM2617"/>
    </row>
    <row r="2618" ht="25.5" customHeight="1">
      <c r="A2618" t="inlineStr">
        <is>
          <t>202914</t>
        </is>
      </c>
      <c r="B2618" s="2"/>
      <c r="C2618"/>
      <c r="D2618" s="3">
        <v>46119.433703703704</v>
      </c>
      <c r="E2618" t="inlineStr">
        <is>
          <t>Q2-W01</t>
        </is>
      </c>
      <c r="F2618" t="inlineStr">
        <is>
          <t>Luqman</t>
        </is>
      </c>
      <c r="G2618" t="inlineStr">
        <is>
          <t>Customer</t>
        </is>
      </c>
      <c r="H2618" s="2" t="str">
        <f>=HYPERLINK("https://upbox.ajobthing.my/customer/202914", "https://upbox.ajobthing.my/customer/202914")</f>
        <v>https://upbox.ajobthing.my/customer/202914</v>
      </c>
      <c r="I2618" t="inlineStr">
        <is>
          <t>FOO SOON SERVICE</t>
        </is>
      </c>
      <c r="J2618" t="inlineStr">
        <is>
          <t>Small Fish</t>
        </is>
      </c>
      <c r="K2618" t="inlineStr">
        <is>
          <t>Luqman</t>
        </is>
      </c>
      <c r="L2618" s="4"/>
      <c r="M2618" s="4">
        <v>46119.433796296296</v>
      </c>
      <c r="N2618"/>
      <c r="O2618">
        <v>3888</v>
      </c>
      <c r="P2618" s="4"/>
      <c r="Q2618" s="4"/>
      <c r="R2618"/>
      <c r="S2618"/>
      <c r="T2618" s="4"/>
      <c r="U2618" s="4"/>
      <c r="V2618"/>
      <c r="W2618"/>
      <c r="X2618"/>
      <c r="Y2618" t="inlineStr">
        <is>
          <t>Pending Appointment</t>
        </is>
      </c>
      <c r="Z2618" t="inlineStr">
        <is>
          <t>Hiring Later</t>
        </is>
      </c>
      <c r="AA2618">
        <v>1</v>
      </c>
      <c r="AB2618" t="inlineStr">
        <is>
          <t>No Appointment Made</t>
        </is>
      </c>
      <c r="AC2618"/>
      <c r="AD2618" t="inlineStr">
        <is>
          <t>1. Technician</t>
        </is>
      </c>
      <c r="AE2618"/>
      <c r="AF2618">
        <v>1200</v>
      </c>
      <c r="AG2618" s="4"/>
      <c r="AH2618" s="4"/>
      <c r="AI2618">
        <v>1200</v>
      </c>
      <c r="AJ2618"/>
      <c r="AK2618" t="inlineStr">
        <is>
          <t>No, I don't need at all</t>
        </is>
      </c>
      <c r="AL2618">
        <v>1</v>
      </c>
      <c r="AM2618" t="inlineStr">
        <is>
          <t>No, I don't need at all</t>
        </is>
      </c>
      <c r="AN2618"/>
      <c r="AO2618" t="inlineStr">
        <is>
          <t>No, I don't need at all</t>
        </is>
      </c>
      <c r="AP2618" t="inlineStr">
        <is>
          <t>Once a year (25%)</t>
        </is>
      </c>
      <c r="AQ2618">
        <v>2</v>
      </c>
      <c r="AR2618" t="inlineStr">
        <is>
          <t>Free Job Portal</t>
        </is>
      </c>
      <c r="AS2618" t="inlineStr">
        <is>
          <t>- Headcount: 1
- Hiring Job Details: 1 Technician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2
- Hiring frequency: Once a year (25%)
- External job portal: Free Job Portal</t>
        </is>
      </c>
      <c r="AT2618">
        <v>100</v>
      </c>
      <c r="AU2618" t="inlineStr">
        <is>
          <t>1.00</t>
        </is>
      </c>
      <c r="AV2618" t="inlineStr">
        <is>
          <t>15</t>
        </is>
      </c>
      <c r="AW2618" t="inlineStr">
        <is>
          <t>0</t>
        </is>
      </c>
      <c r="AX2618" t="inlineStr">
        <is>
          <t>Not Qualified</t>
        </is>
      </c>
      <c r="AY2618" s="4"/>
      <c r="AZ2618"/>
      <c r="BA2618"/>
      <c r="BB2618"/>
      <c r="BC2618" t="inlineStr">
        <is>
          <t>Position Filled</t>
        </is>
      </c>
      <c r="BD2618" s="4">
        <v>46125.49684027778</v>
      </c>
      <c r="BE2618"/>
      <c r="BF2618"/>
      <c r="BG2618" t="inlineStr">
        <is>
          <t>Reschedule</t>
        </is>
      </c>
      <c r="BH2618" t="inlineStr">
        <is>
          <t>Edward Hoo</t>
        </is>
      </c>
      <c r="BI2618"/>
      <c r="BJ2618" s="4">
        <v>46144.754166666666</v>
      </c>
      <c r="BK2618" s="4">
        <v>46119.43</v>
      </c>
      <c r="BL2618" t="inlineStr">
        <is>
          <t>0.0</t>
        </is>
      </c>
      <c r="BM2618" t="inlineStr">
        <is>
          <t>0.0</t>
        </is>
      </c>
      <c r="BN2618"/>
      <c r="BO2618" s="4"/>
      <c r="BP2618">
        <v>165562</v>
      </c>
      <c r="BQ2618"/>
      <c r="BR2618"/>
      <c r="BS2618"/>
      <c r="BT2618"/>
      <c r="BU2618"/>
      <c r="BV2618">
        <v>2700505</v>
      </c>
      <c r="BW2618" t="inlineStr">
        <is>
          <t>Follow Up : Lost - Free Portal</t>
        </is>
      </c>
      <c r="BX2618"/>
      <c r="BY2618"/>
      <c r="BZ2618" s="4"/>
      <c r="CA2618"/>
      <c r="CB2618"/>
      <c r="CC2618" s="4"/>
      <c r="CD2618" t="inlineStr">
        <is>
          <t>20</t>
        </is>
      </c>
      <c r="CE2618" t="inlineStr">
        <is>
          <t>0</t>
        </is>
      </c>
      <c r="CF2618" t="inlineStr">
        <is>
          <t>Q2-W01</t>
        </is>
      </c>
      <c r="CG2618"/>
      <c r="CH2618"/>
      <c r="CI2618"/>
      <c r="CJ2618" t="inlineStr">
        <is>
          <t>No Paid</t>
        </is>
      </c>
      <c r="CK2618" t="inlineStr">
        <is>
          <t>Not Eligible</t>
        </is>
      </c>
      <c r="CL2618"/>
      <c r="CM2618"/>
    </row>
    <row r="2619" ht="25.5" customHeight="1">
      <c r="A2619" t="inlineStr">
        <is>
          <t>202904</t>
        </is>
      </c>
      <c r="B2619" s="2"/>
      <c r="C2619"/>
      <c r="D2619" s="3">
        <v>46119.43420138889</v>
      </c>
      <c r="E2619" t="inlineStr">
        <is>
          <t>Q2-W01</t>
        </is>
      </c>
      <c r="F2619" t="inlineStr">
        <is>
          <t>Ken Yi</t>
        </is>
      </c>
      <c r="G2619" t="inlineStr">
        <is>
          <t>Customer</t>
        </is>
      </c>
      <c r="H2619" s="2" t="str">
        <f>=HYPERLINK("https://upbox.ajobthing.my/customer/202904", "https://upbox.ajobthing.my/customer/202904")</f>
        <v>https://upbox.ajobthing.my/customer/202904</v>
      </c>
      <c r="I2619" t="inlineStr">
        <is>
          <t>Yks Chartered Accountants</t>
        </is>
      </c>
      <c r="J2619" t="inlineStr">
        <is>
          <t>Small Fish</t>
        </is>
      </c>
      <c r="K2619" t="inlineStr">
        <is>
          <t>Kenyi</t>
        </is>
      </c>
      <c r="L2619" s="4"/>
      <c r="M2619" s="4">
        <v>46129.65309027778</v>
      </c>
      <c r="N2619"/>
      <c r="O2619">
        <v>3672</v>
      </c>
      <c r="P2619" s="4"/>
      <c r="Q2619" s="4"/>
      <c r="R2619"/>
      <c r="S2619"/>
      <c r="T2619" s="4"/>
      <c r="U2619" s="4"/>
      <c r="V2619"/>
      <c r="W2619"/>
      <c r="X2619"/>
      <c r="Y2619" t="inlineStr">
        <is>
          <t>Pending Appointment</t>
        </is>
      </c>
      <c r="Z2619" t="inlineStr">
        <is>
          <t>Hiring Now</t>
        </is>
      </c>
      <c r="AA2619">
        <v>2</v>
      </c>
      <c r="AB2619" t="inlineStr">
        <is>
          <t>No Appointment Made</t>
        </is>
      </c>
      <c r="AC2619"/>
      <c r="AD2619" t="inlineStr">
        <is>
          <t>Law 1, Tax 1</t>
        </is>
      </c>
      <c r="AE2619"/>
      <c r="AF2619">
        <v>0</v>
      </c>
      <c r="AG2619" s="4"/>
      <c r="AH2619" s="4"/>
      <c r="AI2619">
        <v>0</v>
      </c>
      <c r="AJ2619">
        <v>1</v>
      </c>
      <c r="AK2619" t="inlineStr">
        <is>
          <t>No, I don't need at all</t>
        </is>
      </c>
      <c r="AL2619">
        <v>2</v>
      </c>
      <c r="AM2619" t="inlineStr">
        <is>
          <t>No, I don't need at all</t>
        </is>
      </c>
      <c r="AN2619"/>
      <c r="AO2619" t="inlineStr">
        <is>
          <t>No, I don't need at all</t>
        </is>
      </c>
      <c r="AP2619" t="inlineStr">
        <is>
          <t>Every month (100%)</t>
        </is>
      </c>
      <c r="AQ2619">
        <v>1</v>
      </c>
      <c r="AR2619" t="inlineStr">
        <is>
          <t>Did not use any job portal</t>
        </is>
      </c>
      <c r="AS2619" t="inlineStr">
        <is>
          <t>- Headcount: Not specified
- Hiring Job Details: Law 1, Tax 1
- Hiring Urgency: Hiring Now
- Number of outlets: 1
- Have recruiter team: No, I don't need at all
- Number of recruiter in company: 2
- Have ATS system: No, I don't need at all
- Have career website: No, I don't need at all
- Current hiring budget: RM0.00
- Whole year budget: RM0.00
- Whole year number of vacancies: 1
- Hiring frequency: Every month (100%)
- External job portal: Did not use any job portal</t>
        </is>
      </c>
      <c r="AT2619">
        <v>90</v>
      </c>
      <c r="AU2619" t="inlineStr">
        <is>
          <t>0.90</t>
        </is>
      </c>
      <c r="AV2619" t="inlineStr">
        <is>
          <t>15</t>
        </is>
      </c>
      <c r="AW2619" t="inlineStr">
        <is>
          <t>0</t>
        </is>
      </c>
      <c r="AX2619" t="inlineStr">
        <is>
          <t>Not Qualified</t>
        </is>
      </c>
      <c r="AY2619" s="4"/>
      <c r="AZ2619"/>
      <c r="BA2619"/>
      <c r="BB2619"/>
      <c r="BC2619" t="inlineStr">
        <is>
          <t>- Headcount: 0
- Hiring Job Details: Counter Proposal Discount
- Hiring Urgency: Hiring Now
- Number of outlets: 3
- Have recruiter team: Yes
- Number of recruiter in company: 1
- Have ATS system: No, I don't need at all
- Have career website: No, I don't need at all
- Current hiring budget: RM0
- Whole year budget: RM0.00
- Whole year number of vacancies: 3
- Hiring frequency: Every month (100%)
- External job portal: Free Job Portal</t>
        </is>
      </c>
      <c r="BD2619" s="4">
        <v>46129.666817129626</v>
      </c>
      <c r="BE2619"/>
      <c r="BF2619"/>
      <c r="BG2619" t="inlineStr">
        <is>
          <t>Reschedule</t>
        </is>
      </c>
      <c r="BH2619" t="inlineStr">
        <is>
          <t>Fauziah Maharan</t>
        </is>
      </c>
      <c r="BI2619"/>
      <c r="BJ2619" s="4">
        <v>46144.75414351852</v>
      </c>
      <c r="BK2619" s="4">
        <v>46119.0568287037</v>
      </c>
      <c r="BL2619" t="inlineStr">
        <is>
          <t>0.0</t>
        </is>
      </c>
      <c r="BM2619" t="inlineStr">
        <is>
          <t>0.0</t>
        </is>
      </c>
      <c r="BN2619" t="inlineStr">
        <is>
          <t>View Company Page</t>
        </is>
      </c>
      <c r="BO2619" s="4">
        <v>46119.05746527778</v>
      </c>
      <c r="BP2619">
        <v>167655</v>
      </c>
      <c r="BQ2619"/>
      <c r="BR2619"/>
      <c r="BS2619"/>
      <c r="BT2619"/>
      <c r="BU2619"/>
      <c r="BV2619">
        <v>2712652</v>
      </c>
      <c r="BW2619" t="inlineStr">
        <is>
          <t>Customer Inquiry</t>
        </is>
      </c>
      <c r="BX2619"/>
      <c r="BY2619"/>
      <c r="BZ2619" s="4"/>
      <c r="CA2619"/>
      <c r="CB2619"/>
      <c r="CC2619" s="4"/>
      <c r="CD2619" t="inlineStr">
        <is>
          <t>20</t>
        </is>
      </c>
      <c r="CE2619" t="inlineStr">
        <is>
          <t>0</t>
        </is>
      </c>
      <c r="CF2619" t="inlineStr">
        <is>
          <t>Q2-W03</t>
        </is>
      </c>
      <c r="CG2619"/>
      <c r="CH2619"/>
      <c r="CI2619"/>
      <c r="CJ2619" t="inlineStr">
        <is>
          <t>No Paid</t>
        </is>
      </c>
      <c r="CK2619" t="inlineStr">
        <is>
          <t>Not Eligible</t>
        </is>
      </c>
      <c r="CL2619"/>
      <c r="CM2619"/>
    </row>
    <row r="2620" ht="25.5" customHeight="1">
      <c r="A2620" t="inlineStr">
        <is>
          <t>4100860</t>
        </is>
      </c>
      <c r="B2620" s="2"/>
      <c r="C2620"/>
      <c r="D2620" s="3">
        <v>46119.43582175926</v>
      </c>
      <c r="E2620" t="inlineStr">
        <is>
          <t>Q2-W01</t>
        </is>
      </c>
      <c r="F2620" t="inlineStr">
        <is>
          <t>Eugene</t>
        </is>
      </c>
      <c r="G2620" t="inlineStr">
        <is>
          <t>Lead</t>
        </is>
      </c>
      <c r="H2620" s="2" t="str">
        <f>=HYPERLINK("https://upbox.ajobthing.my/leads/4100860", "https://upbox.ajobthing.my/leads/4100860")</f>
        <v>https://upbox.ajobthing.my/leads/4100860</v>
      </c>
      <c r="I2620" t="inlineStr">
        <is>
          <t>M&amp;J Event Solutions Sdn Bhd</t>
        </is>
      </c>
      <c r="J2620" t="inlineStr">
        <is>
          <t>Small Fish</t>
        </is>
      </c>
      <c r="K2620" t="inlineStr">
        <is>
          <t>Eugene</t>
        </is>
      </c>
      <c r="L2620" s="4"/>
      <c r="M2620" s="4">
        <v>46119.43599537037</v>
      </c>
      <c r="N2620"/>
      <c r="O2620">
        <v>3888</v>
      </c>
      <c r="P2620" s="4"/>
      <c r="Q2620" s="4"/>
      <c r="R2620"/>
      <c r="S2620"/>
      <c r="T2620" s="4"/>
      <c r="U2620" s="4"/>
      <c r="V2620"/>
      <c r="W2620"/>
      <c r="X2620"/>
      <c r="Y2620" t="inlineStr">
        <is>
          <t>Pending Appointment</t>
        </is>
      </c>
      <c r="Z2620" t="inlineStr">
        <is>
          <t>Hiring Now</t>
        </is>
      </c>
      <c r="AA2620">
        <v>1</v>
      </c>
      <c r="AB2620" t="inlineStr">
        <is>
          <t>No Appointment Made</t>
        </is>
      </c>
      <c r="AC2620"/>
      <c r="AD2620" t="inlineStr">
        <is>
          <t>1 position, based in KL</t>
        </is>
      </c>
      <c r="AE2620"/>
      <c r="AF2620">
        <v>3000</v>
      </c>
      <c r="AG2620" s="4"/>
      <c r="AH2620" s="4"/>
      <c r="AI2620">
        <v>3000</v>
      </c>
      <c r="AJ2620">
        <v>1</v>
      </c>
      <c r="AK2620" t="inlineStr">
        <is>
          <t>No, I don't need at all</t>
        </is>
      </c>
      <c r="AL2620">
        <v>1</v>
      </c>
      <c r="AM2620" t="inlineStr">
        <is>
          <t>No, I don't need at all</t>
        </is>
      </c>
      <c r="AN2620"/>
      <c r="AO2620" t="inlineStr">
        <is>
          <t>No, I don't need at all</t>
        </is>
      </c>
      <c r="AP2620" t="inlineStr">
        <is>
          <t>Once a year (25%)</t>
        </is>
      </c>
      <c r="AQ2620">
        <v>1</v>
      </c>
      <c r="AR2620" t="inlineStr">
        <is>
          <t>Free Job Portal</t>
        </is>
      </c>
      <c r="AS2620"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Free Job Portal</t>
        </is>
      </c>
      <c r="AT2620">
        <v>110</v>
      </c>
      <c r="AU2620" t="inlineStr">
        <is>
          <t>1.10</t>
        </is>
      </c>
      <c r="AV2620" t="inlineStr">
        <is>
          <t>15</t>
        </is>
      </c>
      <c r="AW2620" t="inlineStr">
        <is>
          <t>0</t>
        </is>
      </c>
      <c r="AX2620" t="inlineStr">
        <is>
          <t>Not Qualified</t>
        </is>
      </c>
      <c r="AY2620" s="4"/>
      <c r="AZ2620"/>
      <c r="BA2620"/>
      <c r="BB2620"/>
      <c r="BC2620"/>
      <c r="BD2620" s="4"/>
      <c r="BE2620"/>
      <c r="BF2620"/>
      <c r="BG2620" t="inlineStr">
        <is>
          <t>Reschedule</t>
        </is>
      </c>
      <c r="BH2620" t="inlineStr">
        <is>
          <t>Edward Hoo</t>
        </is>
      </c>
      <c r="BI2620"/>
      <c r="BJ2620" s="4">
        <v>46144.75537037037</v>
      </c>
      <c r="BK2620" s="4">
        <v>46078.43413194444</v>
      </c>
      <c r="BL2620" t="inlineStr">
        <is>
          <t>0.0</t>
        </is>
      </c>
      <c r="BM2620" t="inlineStr">
        <is>
          <t>0.0</t>
        </is>
      </c>
      <c r="BN2620"/>
      <c r="BO2620" s="4"/>
      <c r="BP2620">
        <v>165566</v>
      </c>
      <c r="BQ2620"/>
      <c r="BR2620"/>
      <c r="BS2620"/>
      <c r="BT2620"/>
      <c r="BU2620"/>
      <c r="BV2620"/>
      <c r="BW2620"/>
      <c r="BX2620"/>
      <c r="BY2620"/>
      <c r="BZ2620" s="4"/>
      <c r="CA2620"/>
      <c r="CB2620"/>
      <c r="CC2620" s="4"/>
      <c r="CD2620" t="inlineStr">
        <is>
          <t>20</t>
        </is>
      </c>
      <c r="CE2620" t="inlineStr">
        <is>
          <t>0</t>
        </is>
      </c>
      <c r="CF2620" t="inlineStr">
        <is>
          <t>Q2-W01</t>
        </is>
      </c>
      <c r="CG2620"/>
      <c r="CH2620"/>
      <c r="CI2620"/>
      <c r="CJ2620" t="inlineStr">
        <is>
          <t>No Paid</t>
        </is>
      </c>
      <c r="CK2620" t="inlineStr">
        <is>
          <t>Not Eligible</t>
        </is>
      </c>
      <c r="CL2620"/>
      <c r="CM2620"/>
    </row>
    <row r="2621" ht="25.5" customHeight="1">
      <c r="A2621" t="inlineStr">
        <is>
          <t>202897</t>
        </is>
      </c>
      <c r="B2621" s="2"/>
      <c r="C2621"/>
      <c r="D2621" s="3">
        <v>46119.43646990741</v>
      </c>
      <c r="E2621" t="inlineStr">
        <is>
          <t>Q2-W01</t>
        </is>
      </c>
      <c r="F2621" t="inlineStr">
        <is>
          <t>Luqman</t>
        </is>
      </c>
      <c r="G2621" t="inlineStr">
        <is>
          <t>Customer</t>
        </is>
      </c>
      <c r="H2621" s="2" t="str">
        <f>=HYPERLINK("https://upbox.ajobthing.my/customer/202897", "https://upbox.ajobthing.my/customer/202897")</f>
        <v>https://upbox.ajobthing.my/customer/202897</v>
      </c>
      <c r="I2621" t="inlineStr">
        <is>
          <t>Budiman Dental</t>
        </is>
      </c>
      <c r="J2621" t="inlineStr">
        <is>
          <t>Small Fish</t>
        </is>
      </c>
      <c r="K2621" t="inlineStr">
        <is>
          <t>Luqman</t>
        </is>
      </c>
      <c r="L2621" s="4"/>
      <c r="M2621" s="4">
        <v>46119.43659722222</v>
      </c>
      <c r="N2621"/>
      <c r="O2621">
        <v>3888</v>
      </c>
      <c r="P2621" s="4"/>
      <c r="Q2621" s="4">
        <v>46118.76356481481</v>
      </c>
      <c r="R2621"/>
      <c r="S2621">
        <v>0</v>
      </c>
      <c r="T2621" s="4"/>
      <c r="U2621" s="4"/>
      <c r="V2621"/>
      <c r="W2621"/>
      <c r="X2621"/>
      <c r="Y2621" t="inlineStr">
        <is>
          <t>Pending Appointment</t>
        </is>
      </c>
      <c r="Z2621" t="inlineStr">
        <is>
          <t>Hiring Later</t>
        </is>
      </c>
      <c r="AA2621">
        <v>1</v>
      </c>
      <c r="AB2621" t="inlineStr">
        <is>
          <t>No Appointment Made</t>
        </is>
      </c>
      <c r="AC2621"/>
      <c r="AD2621" t="inlineStr">
        <is>
          <t xml:space="preserve">1. Clinic Assistant </t>
        </is>
      </c>
      <c r="AE2621"/>
      <c r="AF2621">
        <v>1200</v>
      </c>
      <c r="AG2621" s="4"/>
      <c r="AH2621" s="4"/>
      <c r="AI2621">
        <v>1200</v>
      </c>
      <c r="AJ2621"/>
      <c r="AK2621" t="inlineStr">
        <is>
          <t>No, I don't need at all</t>
        </is>
      </c>
      <c r="AL2621">
        <v>1</v>
      </c>
      <c r="AM2621" t="inlineStr">
        <is>
          <t>No, I don't need at all</t>
        </is>
      </c>
      <c r="AN2621"/>
      <c r="AO2621" t="inlineStr">
        <is>
          <t>No, I don't need at all</t>
        </is>
      </c>
      <c r="AP2621" t="inlineStr">
        <is>
          <t>Once a year (25%)</t>
        </is>
      </c>
      <c r="AQ2621">
        <v>1</v>
      </c>
      <c r="AR2621" t="inlineStr">
        <is>
          <t>Free Job Portal</t>
        </is>
      </c>
      <c r="AS2621" t="inlineStr">
        <is>
          <t>- Headcount: 1
- Hiring Job Details: 1 Clinic Assistant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2621">
        <v>110</v>
      </c>
      <c r="AU2621" t="inlineStr">
        <is>
          <t>1.10</t>
        </is>
      </c>
      <c r="AV2621" t="inlineStr">
        <is>
          <t>15</t>
        </is>
      </c>
      <c r="AW2621" t="inlineStr">
        <is>
          <t>0</t>
        </is>
      </c>
      <c r="AX2621" t="inlineStr">
        <is>
          <t>Not Qualified</t>
        </is>
      </c>
      <c r="AY2621" s="4"/>
      <c r="AZ2621"/>
      <c r="BA2621"/>
      <c r="BB2621"/>
      <c r="BC2621" t="inlineStr">
        <is>
          <t>NA Dropped an email</t>
        </is>
      </c>
      <c r="BD2621" s="4">
        <v>46125.717199074075</v>
      </c>
      <c r="BE2621" t="inlineStr">
        <is>
          <t>paid</t>
        </is>
      </c>
      <c r="BF2621"/>
      <c r="BG2621" t="inlineStr">
        <is>
          <t>Reschedule</t>
        </is>
      </c>
      <c r="BH2621" t="inlineStr">
        <is>
          <t>Edward Hoo</t>
        </is>
      </c>
      <c r="BI2621" t="inlineStr">
        <is>
          <t>Healthcare / Medical</t>
        </is>
      </c>
      <c r="BJ2621" s="4">
        <v>46144.75414351852</v>
      </c>
      <c r="BK2621" s="4">
        <v>46118.76325231481</v>
      </c>
      <c r="BL2621" t="inlineStr">
        <is>
          <t>0.0</t>
        </is>
      </c>
      <c r="BM2621" t="inlineStr">
        <is>
          <t>0.0</t>
        </is>
      </c>
      <c r="BN2621" t="inlineStr">
        <is>
          <t>View Jobmanager Page</t>
        </is>
      </c>
      <c r="BO2621" s="4">
        <v>46118.79174768519</v>
      </c>
      <c r="BP2621">
        <v>165567</v>
      </c>
      <c r="BQ2621">
        <v>120241</v>
      </c>
      <c r="BR2621" t="inlineStr">
        <is>
          <t>Proforma</t>
        </is>
      </c>
      <c r="BS2621" t="inlineStr">
        <is>
          <t>Free Freelance Job</t>
        </is>
      </c>
      <c r="BT2621"/>
      <c r="BU2621"/>
      <c r="BV2621">
        <v>2701985</v>
      </c>
      <c r="BW2621" t="inlineStr">
        <is>
          <t>No Answer : Voicemail - Email sent to customer</t>
        </is>
      </c>
      <c r="BX2621"/>
      <c r="BY2621"/>
      <c r="BZ2621" s="4"/>
      <c r="CA2621"/>
      <c r="CB2621"/>
      <c r="CC2621" s="4"/>
      <c r="CD2621" t="inlineStr">
        <is>
          <t>20</t>
        </is>
      </c>
      <c r="CE2621" t="inlineStr">
        <is>
          <t>0</t>
        </is>
      </c>
      <c r="CF2621" t="inlineStr">
        <is>
          <t>Q2-W01</t>
        </is>
      </c>
      <c r="CG2621" t="inlineStr">
        <is>
          <t>Q2-W01</t>
        </is>
      </c>
      <c r="CH2621"/>
      <c r="CI2621"/>
      <c r="CJ2621" t="inlineStr">
        <is>
          <t>No Paid</t>
        </is>
      </c>
      <c r="CK2621" t="inlineStr">
        <is>
          <t>Not Eligible</t>
        </is>
      </c>
      <c r="CL2621"/>
      <c r="CM2621"/>
    </row>
    <row r="2622" ht="25.5" customHeight="1">
      <c r="A2622" t="inlineStr">
        <is>
          <t>202916</t>
        </is>
      </c>
      <c r="B2622" s="2"/>
      <c r="C2622"/>
      <c r="D2622" s="3">
        <v>46119.44055555556</v>
      </c>
      <c r="E2622" t="inlineStr">
        <is>
          <t>Q2-W01</t>
        </is>
      </c>
      <c r="F2622" t="inlineStr">
        <is>
          <t>Keegan</t>
        </is>
      </c>
      <c r="G2622" t="inlineStr">
        <is>
          <t>Customer</t>
        </is>
      </c>
      <c r="H2622" s="2" t="str">
        <f>=HYPERLINK("https://upbox.ajobthing.my/customer/202916", "https://upbox.ajobthing.my/customer/202916")</f>
        <v>https://upbox.ajobthing.my/customer/202916</v>
      </c>
      <c r="I2622" t="inlineStr">
        <is>
          <t>JIULIAN ELECTROMECHANICAL (MALAYSIA) TRADING SDN.BHD</t>
        </is>
      </c>
      <c r="J2622" t="inlineStr">
        <is>
          <t>Small Fish</t>
        </is>
      </c>
      <c r="K2622" t="inlineStr">
        <is>
          <t>Keegan</t>
        </is>
      </c>
      <c r="L2622" s="4"/>
      <c r="M2622" s="4">
        <v>46119.44122685185</v>
      </c>
      <c r="N2622"/>
      <c r="O2622">
        <v>6048</v>
      </c>
      <c r="P2622" s="4"/>
      <c r="Q2622" s="4"/>
      <c r="R2622"/>
      <c r="S2622"/>
      <c r="T2622" s="4"/>
      <c r="U2622" s="4"/>
      <c r="V2622"/>
      <c r="W2622"/>
      <c r="X2622"/>
      <c r="Y2622" t="inlineStr">
        <is>
          <t>Pending Appointment</t>
        </is>
      </c>
      <c r="Z2622" t="inlineStr">
        <is>
          <t>Hiring Now</t>
        </is>
      </c>
      <c r="AA2622">
        <v>3</v>
      </c>
      <c r="AB2622" t="inlineStr">
        <is>
          <t>No Appointment Made</t>
        </is>
      </c>
      <c r="AC2622"/>
      <c r="AD2622" t="inlineStr">
        <is>
          <t>1. Sales 
2. Marketing 
3. Admin</t>
        </is>
      </c>
      <c r="AE2622"/>
      <c r="AF2622"/>
      <c r="AG2622" s="4"/>
      <c r="AH2622" s="4"/>
      <c r="AI2622"/>
      <c r="AJ2622">
        <v>1</v>
      </c>
      <c r="AK2622" t="inlineStr">
        <is>
          <t>No, I don't need at all</t>
        </is>
      </c>
      <c r="AL2622">
        <v>0</v>
      </c>
      <c r="AM2622" t="inlineStr">
        <is>
          <t>No, I don't need at all</t>
        </is>
      </c>
      <c r="AN2622"/>
      <c r="AO2622" t="inlineStr">
        <is>
          <t>No, I don't need at all</t>
        </is>
      </c>
      <c r="AP2622" t="inlineStr">
        <is>
          <t>Once per quarter (75%)</t>
        </is>
      </c>
      <c r="AQ2622"/>
      <c r="AR2622" t="inlineStr">
        <is>
          <t>Did not use any job portal</t>
        </is>
      </c>
      <c r="AS2622" t="inlineStr">
        <is>
          <t>- Headcount: 3
- Hiring Job Details: 1. Sales 2. Marketing 3.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622">
        <v>75</v>
      </c>
      <c r="AU2622" t="inlineStr">
        <is>
          <t>0.75</t>
        </is>
      </c>
      <c r="AV2622" t="inlineStr">
        <is>
          <t>5</t>
        </is>
      </c>
      <c r="AW2622" t="inlineStr">
        <is>
          <t>0</t>
        </is>
      </c>
      <c r="AX2622" t="inlineStr">
        <is>
          <t>Not Qualified</t>
        </is>
      </c>
      <c r="AY2622" s="4"/>
      <c r="AZ2622"/>
      <c r="BA2622"/>
      <c r="BB2622"/>
      <c r="BC2622" t="inlineStr">
        <is>
          <t>still no decision yet</t>
        </is>
      </c>
      <c r="BD2622" s="4">
        <v>46127.71780092592</v>
      </c>
      <c r="BE2622"/>
      <c r="BF2622"/>
      <c r="BG2622" t="inlineStr">
        <is>
          <t>Reschedule</t>
        </is>
      </c>
      <c r="BH2622" t="inlineStr">
        <is>
          <t>Edward Hoo</t>
        </is>
      </c>
      <c r="BI2622"/>
      <c r="BJ2622" s="4">
        <v>46144.754166666666</v>
      </c>
      <c r="BK2622" s="4">
        <v>46119.43923611111</v>
      </c>
      <c r="BL2622" t="inlineStr">
        <is>
          <t>0.0</t>
        </is>
      </c>
      <c r="BM2622" t="inlineStr">
        <is>
          <t>0.0</t>
        </is>
      </c>
      <c r="BN2622"/>
      <c r="BO2622" s="4"/>
      <c r="BP2622">
        <v>165571</v>
      </c>
      <c r="BQ2622"/>
      <c r="BR2622"/>
      <c r="BS2622"/>
      <c r="BT2622"/>
      <c r="BU2622"/>
      <c r="BV2622">
        <v>2706848</v>
      </c>
      <c r="BW2622" t="inlineStr">
        <is>
          <t>Follow Up : Decision Pending</t>
        </is>
      </c>
      <c r="BX2622"/>
      <c r="BY2622"/>
      <c r="BZ2622" s="4"/>
      <c r="CA2622"/>
      <c r="CB2622"/>
      <c r="CC2622" s="4"/>
      <c r="CD2622" t="inlineStr">
        <is>
          <t>5</t>
        </is>
      </c>
      <c r="CE2622" t="inlineStr">
        <is>
          <t>0</t>
        </is>
      </c>
      <c r="CF2622" t="inlineStr">
        <is>
          <t>Q2-W01</t>
        </is>
      </c>
      <c r="CG2622"/>
      <c r="CH2622"/>
      <c r="CI2622"/>
      <c r="CJ2622" t="inlineStr">
        <is>
          <t>No Paid</t>
        </is>
      </c>
      <c r="CK2622" t="inlineStr">
        <is>
          <t>Not Eligible</t>
        </is>
      </c>
      <c r="CL2622"/>
      <c r="CM2622"/>
    </row>
    <row r="2623" ht="25.5" customHeight="1">
      <c r="A2623" t="inlineStr">
        <is>
          <t>4253383</t>
        </is>
      </c>
      <c r="B2623" s="2"/>
      <c r="C2623"/>
      <c r="D2623" s="3">
        <v>46119.441145833334</v>
      </c>
      <c r="E2623" t="inlineStr">
        <is>
          <t>Q2-W01</t>
        </is>
      </c>
      <c r="F2623" t="inlineStr">
        <is>
          <t>Chia Yee</t>
        </is>
      </c>
      <c r="G2623" t="inlineStr">
        <is>
          <t>Lead</t>
        </is>
      </c>
      <c r="H2623" s="2" t="str">
        <f>=HYPERLINK("https://upbox.ajobthing.my/leads/4253383", "https://upbox.ajobthing.my/leads/4253383")</f>
        <v>https://upbox.ajobthing.my/leads/4253383</v>
      </c>
      <c r="I2623" t="inlineStr">
        <is>
          <t>Elite Forte Construction Sdn Bhd</t>
        </is>
      </c>
      <c r="J2623" t="inlineStr">
        <is>
          <t>Small Fish</t>
        </is>
      </c>
      <c r="K2623" t="inlineStr">
        <is>
          <t>Chia Yee</t>
        </is>
      </c>
      <c r="L2623" s="4"/>
      <c r="M2623" s="4">
        <v>46119.44206018518</v>
      </c>
      <c r="N2623"/>
      <c r="O2623">
        <v>3888</v>
      </c>
      <c r="P2623" s="4"/>
      <c r="Q2623" s="4"/>
      <c r="R2623"/>
      <c r="S2623"/>
      <c r="T2623" s="4"/>
      <c r="U2623" s="4"/>
      <c r="V2623"/>
      <c r="W2623"/>
      <c r="X2623"/>
      <c r="Y2623" t="inlineStr">
        <is>
          <t>Pending Appointment</t>
        </is>
      </c>
      <c r="Z2623" t="inlineStr">
        <is>
          <t>Hiring Now</t>
        </is>
      </c>
      <c r="AA2623">
        <v>1</v>
      </c>
      <c r="AB2623" t="inlineStr">
        <is>
          <t>No Appointment Made</t>
        </is>
      </c>
      <c r="AC2623"/>
      <c r="AD2623" t="inlineStr">
        <is>
          <t xml:space="preserve"> 1 Account assistant &amp; admin</t>
        </is>
      </c>
      <c r="AE2623"/>
      <c r="AF2623">
        <v>0</v>
      </c>
      <c r="AG2623" s="4"/>
      <c r="AH2623" s="4"/>
      <c r="AI2623">
        <v>0</v>
      </c>
      <c r="AJ2623">
        <v>0</v>
      </c>
      <c r="AK2623" t="inlineStr">
        <is>
          <t>No, I don't need at all</t>
        </is>
      </c>
      <c r="AL2623">
        <v>1</v>
      </c>
      <c r="AM2623" t="inlineStr">
        <is>
          <t>No, I don't need at all</t>
        </is>
      </c>
      <c r="AN2623"/>
      <c r="AO2623" t="inlineStr">
        <is>
          <t>No, I don't need at all</t>
        </is>
      </c>
      <c r="AP2623" t="inlineStr">
        <is>
          <t>Once a year (25%)</t>
        </is>
      </c>
      <c r="AQ2623">
        <v>1</v>
      </c>
      <c r="AR2623" t="inlineStr">
        <is>
          <t>Did not use any job portal</t>
        </is>
      </c>
      <c r="AS2623" t="inlineStr">
        <is>
          <t>- Headcount: 1
- Hiring Job Details: 1 Account assistant &amp; admin
- Hiring Urgency: Hiring Now
- Number of outlets: 0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623">
        <v>115</v>
      </c>
      <c r="AU2623" t="inlineStr">
        <is>
          <t>1.15</t>
        </is>
      </c>
      <c r="AV2623" t="inlineStr">
        <is>
          <t>15</t>
        </is>
      </c>
      <c r="AW2623" t="inlineStr">
        <is>
          <t>0</t>
        </is>
      </c>
      <c r="AX2623" t="inlineStr">
        <is>
          <t>Not Qualified</t>
        </is>
      </c>
      <c r="AY2623" s="4"/>
      <c r="AZ2623"/>
      <c r="BA2623"/>
      <c r="BB2623"/>
      <c r="BC2623"/>
      <c r="BD2623" s="4"/>
      <c r="BE2623"/>
      <c r="BF2623"/>
      <c r="BG2623" t="inlineStr">
        <is>
          <t>Reschedule</t>
        </is>
      </c>
      <c r="BH2623" t="inlineStr">
        <is>
          <t>Reagen</t>
        </is>
      </c>
      <c r="BI2623"/>
      <c r="BJ2623" s="4">
        <v>46144.755740740744</v>
      </c>
      <c r="BK2623" s="4">
        <v>46118.76391203704</v>
      </c>
      <c r="BL2623" t="inlineStr">
        <is>
          <t>0.0</t>
        </is>
      </c>
      <c r="BM2623" t="inlineStr">
        <is>
          <t>0.0</t>
        </is>
      </c>
      <c r="BN2623"/>
      <c r="BO2623" s="4"/>
      <c r="BP2623">
        <v>165574</v>
      </c>
      <c r="BQ2623"/>
      <c r="BR2623"/>
      <c r="BS2623"/>
      <c r="BT2623"/>
      <c r="BU2623"/>
      <c r="BV2623"/>
      <c r="BW2623"/>
      <c r="BX2623"/>
      <c r="BY2623"/>
      <c r="BZ2623" s="4"/>
      <c r="CA2623"/>
      <c r="CB2623"/>
      <c r="CC2623" s="4"/>
      <c r="CD2623" t="inlineStr">
        <is>
          <t>20</t>
        </is>
      </c>
      <c r="CE2623" t="inlineStr">
        <is>
          <t>0</t>
        </is>
      </c>
      <c r="CF2623" t="inlineStr">
        <is>
          <t>Q2-W01</t>
        </is>
      </c>
      <c r="CG2623"/>
      <c r="CH2623"/>
      <c r="CI2623"/>
      <c r="CJ2623" t="inlineStr">
        <is>
          <t>No Paid</t>
        </is>
      </c>
      <c r="CK2623" t="inlineStr">
        <is>
          <t>Not Eligible</t>
        </is>
      </c>
      <c r="CL2623"/>
      <c r="CM2623"/>
    </row>
    <row r="2624" ht="25.5" customHeight="1">
      <c r="A2624" t="inlineStr">
        <is>
          <t>191085</t>
        </is>
      </c>
      <c r="B2624" s="2"/>
      <c r="C2624"/>
      <c r="D2624" s="3">
        <v>46119.44368055555</v>
      </c>
      <c r="E2624" t="inlineStr">
        <is>
          <t>Q2-W01</t>
        </is>
      </c>
      <c r="F2624" t="inlineStr">
        <is>
          <t>Lucas</t>
        </is>
      </c>
      <c r="G2624" t="inlineStr">
        <is>
          <t>Customer</t>
        </is>
      </c>
      <c r="H2624" s="2" t="str">
        <f>=HYPERLINK("https://upbox.ajobthing.my/customer/191085", "https://upbox.ajobthing.my/customer/191085")</f>
        <v>https://upbox.ajobthing.my/customer/191085</v>
      </c>
      <c r="I2624" t="inlineStr">
        <is>
          <t>Hsl Engineering Sdn Bhd</t>
        </is>
      </c>
      <c r="J2624" t="inlineStr">
        <is>
          <t>Small Fish</t>
        </is>
      </c>
      <c r="K2624" t="inlineStr">
        <is>
          <t>Lucas</t>
        </is>
      </c>
      <c r="L2624" s="4"/>
      <c r="M2624" s="4">
        <v>46119.441666666666</v>
      </c>
      <c r="N2624"/>
      <c r="O2624">
        <v>3888</v>
      </c>
      <c r="P2624" s="4"/>
      <c r="Q2624" s="4"/>
      <c r="R2624"/>
      <c r="S2624"/>
      <c r="T2624" s="4"/>
      <c r="U2624" s="4"/>
      <c r="V2624"/>
      <c r="W2624"/>
      <c r="X2624"/>
      <c r="Y2624" t="inlineStr">
        <is>
          <t>Pending Appointment</t>
        </is>
      </c>
      <c r="Z2624" t="inlineStr">
        <is>
          <t>Hiring Now</t>
        </is>
      </c>
      <c r="AA2624">
        <v>1</v>
      </c>
      <c r="AB2624" t="inlineStr">
        <is>
          <t>No Appointment Made</t>
        </is>
      </c>
      <c r="AC2624"/>
      <c r="AD2624" t="inlineStr">
        <is>
          <t xml:space="preserve">1 technician </t>
        </is>
      </c>
      <c r="AE2624"/>
      <c r="AF2624">
        <v>1</v>
      </c>
      <c r="AG2624" s="4"/>
      <c r="AH2624" s="4"/>
      <c r="AI2624">
        <v>1</v>
      </c>
      <c r="AJ2624">
        <v>0</v>
      </c>
      <c r="AK2624" t="inlineStr">
        <is>
          <t>No, I don't need at all</t>
        </is>
      </c>
      <c r="AL2624">
        <v>0</v>
      </c>
      <c r="AM2624" t="inlineStr">
        <is>
          <t>No, I don't need at all</t>
        </is>
      </c>
      <c r="AN2624"/>
      <c r="AO2624" t="inlineStr">
        <is>
          <t>No, I don't need at all</t>
        </is>
      </c>
      <c r="AP2624" t="inlineStr">
        <is>
          <t>Once a year (25%)</t>
        </is>
      </c>
      <c r="AQ2624">
        <v>1</v>
      </c>
      <c r="AR2624" t="inlineStr">
        <is>
          <t>Did not use any job portal</t>
        </is>
      </c>
      <c r="AS2624" t="inlineStr">
        <is>
          <t>- Headcount: 1
- Hiring Job Details: 1 technician
- Hiring Urgency: Hiring Now
- Number of outlets: 0
- Have recruiter team: No, I don't need at all
- Number of recruiter in company: 0
- Have ATS system: No, I don't need at all
- Have career website: No, I don't need at all
- Current hiring budget: RM1.00
- Whole year budget: RM1.00
- Whole year number of vacancies: 1
- Hiring frequency: Once a year (25%)
- External job portal: Did not use any job portal</t>
        </is>
      </c>
      <c r="AT2624">
        <v>110</v>
      </c>
      <c r="AU2624" t="inlineStr">
        <is>
          <t>1.10</t>
        </is>
      </c>
      <c r="AV2624" t="inlineStr">
        <is>
          <t>15</t>
        </is>
      </c>
      <c r="AW2624" t="inlineStr">
        <is>
          <t>0</t>
        </is>
      </c>
      <c r="AX2624" t="inlineStr">
        <is>
          <t>Not Qualified</t>
        </is>
      </c>
      <c r="AY2624" s="4"/>
      <c r="AZ2624"/>
      <c r="BA2624"/>
      <c r="BB2624"/>
      <c r="BC2624" t="inlineStr">
        <is>
          <t>not now</t>
        </is>
      </c>
      <c r="BD2624" s="4">
        <v>46127.66918981481</v>
      </c>
      <c r="BE2624"/>
      <c r="BF2624"/>
      <c r="BG2624" t="inlineStr">
        <is>
          <t>Reschedule</t>
        </is>
      </c>
      <c r="BH2624" t="inlineStr">
        <is>
          <t>Yee Hang</t>
        </is>
      </c>
      <c r="BI2624" t="inlineStr">
        <is>
          <t>Heavy Industrial / Machinery</t>
        </is>
      </c>
      <c r="BJ2624" s="4">
        <v>46144.75239583333</v>
      </c>
      <c r="BK2624" s="4">
        <v>45786.95443287037</v>
      </c>
      <c r="BL2624" t="inlineStr">
        <is>
          <t>0.0</t>
        </is>
      </c>
      <c r="BM2624" t="inlineStr">
        <is>
          <t>0.0</t>
        </is>
      </c>
      <c r="BN2624" t="inlineStr">
        <is>
          <t>View Jobmanager Page</t>
        </is>
      </c>
      <c r="BO2624" s="4">
        <v>45790.48407407408</v>
      </c>
      <c r="BP2624">
        <v>165572</v>
      </c>
      <c r="BQ2624"/>
      <c r="BR2624"/>
      <c r="BS2624"/>
      <c r="BT2624"/>
      <c r="BU2624"/>
      <c r="BV2624">
        <v>2706428</v>
      </c>
      <c r="BW2624" t="inlineStr">
        <is>
          <t>Follow Up : Budget Concern</t>
        </is>
      </c>
      <c r="BX2624"/>
      <c r="BY2624"/>
      <c r="BZ2624" s="4"/>
      <c r="CA2624"/>
      <c r="CB2624"/>
      <c r="CC2624" s="4"/>
      <c r="CD2624" t="inlineStr">
        <is>
          <t>20</t>
        </is>
      </c>
      <c r="CE2624" t="inlineStr">
        <is>
          <t>0</t>
        </is>
      </c>
      <c r="CF2624" t="inlineStr">
        <is>
          <t>Q2-W01</t>
        </is>
      </c>
      <c r="CG2624"/>
      <c r="CH2624"/>
      <c r="CI2624"/>
      <c r="CJ2624" t="inlineStr">
        <is>
          <t>No Paid</t>
        </is>
      </c>
      <c r="CK2624" t="inlineStr">
        <is>
          <t>Not Eligible</t>
        </is>
      </c>
      <c r="CL2624"/>
      <c r="CM2624"/>
    </row>
    <row r="2625" ht="25.5" customHeight="1">
      <c r="A2625" t="inlineStr">
        <is>
          <t>183124</t>
        </is>
      </c>
      <c r="B2625" s="2"/>
      <c r="C2625"/>
      <c r="D2625" s="3">
        <v>46119.448113425926</v>
      </c>
      <c r="E2625" t="inlineStr">
        <is>
          <t>Q2-W01</t>
        </is>
      </c>
      <c r="F2625" t="inlineStr">
        <is>
          <t>Ken Yi</t>
        </is>
      </c>
      <c r="G2625" t="inlineStr">
        <is>
          <t>Customer</t>
        </is>
      </c>
      <c r="H2625" s="2" t="str">
        <f>=HYPERLINK("https://upbox.ajobthing.my/customer/183124", "https://upbox.ajobthing.my/customer/183124")</f>
        <v>https://upbox.ajobthing.my/customer/183124</v>
      </c>
      <c r="I2625" t="inlineStr">
        <is>
          <t>Homejack Enterprise Sdn Bhd</t>
        </is>
      </c>
      <c r="J2625" t="inlineStr">
        <is>
          <t>Small Fish</t>
        </is>
      </c>
      <c r="K2625" t="inlineStr">
        <is>
          <t>Kenyi</t>
        </is>
      </c>
      <c r="L2625" s="4"/>
      <c r="M2625" s="4">
        <v>46119.45108796296</v>
      </c>
      <c r="N2625"/>
      <c r="O2625">
        <v>3672</v>
      </c>
      <c r="P2625" s="4"/>
      <c r="Q2625" s="4">
        <v>45565.374074074076</v>
      </c>
      <c r="R2625"/>
      <c r="S2625">
        <v>648</v>
      </c>
      <c r="T2625" s="4">
        <v>45565.374074074076</v>
      </c>
      <c r="U2625" s="4"/>
      <c r="V2625"/>
      <c r="W2625">
        <v>648</v>
      </c>
      <c r="X2625"/>
      <c r="Y2625" t="inlineStr">
        <is>
          <t>Pending Appointment</t>
        </is>
      </c>
      <c r="Z2625" t="inlineStr">
        <is>
          <t>Hiring Now</t>
        </is>
      </c>
      <c r="AA2625">
        <v>1</v>
      </c>
      <c r="AB2625" t="inlineStr">
        <is>
          <t>No Appointment Made</t>
        </is>
      </c>
      <c r="AC2625"/>
      <c r="AD2625" t="inlineStr">
        <is>
          <t>Sales Executive - Outdoor</t>
        </is>
      </c>
      <c r="AE2625"/>
      <c r="AF2625">
        <v>0</v>
      </c>
      <c r="AG2625" s="4"/>
      <c r="AH2625" s="4"/>
      <c r="AI2625">
        <v>0</v>
      </c>
      <c r="AJ2625">
        <v>1</v>
      </c>
      <c r="AK2625" t="inlineStr">
        <is>
          <t>Yes, I have</t>
        </is>
      </c>
      <c r="AL2625">
        <v>1</v>
      </c>
      <c r="AM2625" t="inlineStr">
        <is>
          <t>No, I don't need at all</t>
        </is>
      </c>
      <c r="AN2625"/>
      <c r="AO2625" t="inlineStr">
        <is>
          <t>No, I don't need at all</t>
        </is>
      </c>
      <c r="AP2625" t="inlineStr">
        <is>
          <t>Every month (100%)</t>
        </is>
      </c>
      <c r="AQ2625">
        <v>1</v>
      </c>
      <c r="AR2625" t="inlineStr">
        <is>
          <t>Did not use any job portal</t>
        </is>
      </c>
      <c r="AS2625" t="inlineStr">
        <is>
          <t>- Headcount: 1
- Hiring Job Details: Sales Executive - Outdoor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Did not use any job portal</t>
        </is>
      </c>
      <c r="AT2625">
        <v>115</v>
      </c>
      <c r="AU2625" t="inlineStr">
        <is>
          <t>1.15</t>
        </is>
      </c>
      <c r="AV2625" t="inlineStr">
        <is>
          <t>15</t>
        </is>
      </c>
      <c r="AW2625" t="inlineStr">
        <is>
          <t>0</t>
        </is>
      </c>
      <c r="AX2625" t="inlineStr">
        <is>
          <t>Not Qualified</t>
        </is>
      </c>
      <c r="AY2625" s="4"/>
      <c r="AZ2625"/>
      <c r="BA2625"/>
      <c r="BB2625"/>
      <c r="BC2625" t="inlineStr">
        <is>
          <t>Management decision still</t>
        </is>
      </c>
      <c r="BD2625" s="4">
        <v>46133.680439814816</v>
      </c>
      <c r="BE2625" t="inlineStr">
        <is>
          <t>paid</t>
        </is>
      </c>
      <c r="BF2625"/>
      <c r="BG2625" t="inlineStr">
        <is>
          <t>Reschedule</t>
        </is>
      </c>
      <c r="BH2625" t="inlineStr">
        <is>
          <t>Fauziah Maharan</t>
        </is>
      </c>
      <c r="BI2625" t="inlineStr">
        <is>
          <t>Retail / Merchandise</t>
        </is>
      </c>
      <c r="BJ2625" s="4">
        <v>46144.75194444445</v>
      </c>
      <c r="BK2625" s="4">
        <v>45561.62535879629</v>
      </c>
      <c r="BL2625" t="inlineStr">
        <is>
          <t>0.0</t>
        </is>
      </c>
      <c r="BM2625" t="inlineStr">
        <is>
          <t>0.0</t>
        </is>
      </c>
      <c r="BN2625" t="inlineStr">
        <is>
          <t>View Company Page</t>
        </is>
      </c>
      <c r="BO2625" s="4">
        <v>45610.46849537037</v>
      </c>
      <c r="BP2625">
        <v>165581</v>
      </c>
      <c r="BQ2625">
        <v>73383</v>
      </c>
      <c r="BR2625" t="inlineStr">
        <is>
          <t>Online</t>
        </is>
      </c>
      <c r="BS2625"/>
      <c r="BT2625">
        <v>73383</v>
      </c>
      <c r="BU2625"/>
      <c r="BV2625">
        <v>2718774</v>
      </c>
      <c r="BW2625" t="inlineStr">
        <is>
          <t>Follow Up : Decision Pending</t>
        </is>
      </c>
      <c r="BX2625"/>
      <c r="BY2625"/>
      <c r="BZ2625" s="4"/>
      <c r="CA2625"/>
      <c r="CB2625"/>
      <c r="CC2625" s="4"/>
      <c r="CD2625" t="inlineStr">
        <is>
          <t>20</t>
        </is>
      </c>
      <c r="CE2625" t="inlineStr">
        <is>
          <t>0</t>
        </is>
      </c>
      <c r="CF2625" t="inlineStr">
        <is>
          <t>Q2-W01</t>
        </is>
      </c>
      <c r="CG2625"/>
      <c r="CH2625"/>
      <c r="CI2625"/>
      <c r="CJ2625" t="inlineStr">
        <is>
          <t>Paid</t>
        </is>
      </c>
      <c r="CK2625" t="inlineStr">
        <is>
          <t>Not Eligible</t>
        </is>
      </c>
      <c r="CL2625"/>
      <c r="CM2625"/>
    </row>
    <row r="2626" ht="25.5" customHeight="1">
      <c r="A2626" t="inlineStr">
        <is>
          <t>202804</t>
        </is>
      </c>
      <c r="B2626" s="2"/>
      <c r="C2626"/>
      <c r="D2626" s="3">
        <v>46119.450625</v>
      </c>
      <c r="E2626" t="inlineStr">
        <is>
          <t>Q2-W01</t>
        </is>
      </c>
      <c r="F2626" t="inlineStr">
        <is>
          <t>Jess</t>
        </is>
      </c>
      <c r="G2626" t="inlineStr">
        <is>
          <t>Customer</t>
        </is>
      </c>
      <c r="H2626" s="2" t="str">
        <f>=HYPERLINK("https://upbox.ajobthing.my/customer/202804", "https://upbox.ajobthing.my/customer/202804")</f>
        <v>https://upbox.ajobthing.my/customer/202804</v>
      </c>
      <c r="I2626" t="inlineStr">
        <is>
          <t>Liantai Construction Engineering (malaysia) Sdn. Bhd.</t>
        </is>
      </c>
      <c r="J2626" t="inlineStr">
        <is>
          <t>Small Fish</t>
        </is>
      </c>
      <c r="K2626" t="inlineStr">
        <is>
          <t>Jess Lim</t>
        </is>
      </c>
      <c r="L2626" s="4"/>
      <c r="M2626" s="4">
        <v>46119.452523148146</v>
      </c>
      <c r="N2626"/>
      <c r="O2626">
        <v>6048</v>
      </c>
      <c r="P2626" s="4"/>
      <c r="Q2626" s="4">
        <v>46115.71664351852</v>
      </c>
      <c r="R2626"/>
      <c r="S2626">
        <v>0</v>
      </c>
      <c r="T2626" s="4"/>
      <c r="U2626" s="4"/>
      <c r="V2626"/>
      <c r="W2626"/>
      <c r="X2626"/>
      <c r="Y2626" t="inlineStr">
        <is>
          <t>Pending Appointment</t>
        </is>
      </c>
      <c r="Z2626" t="inlineStr">
        <is>
          <t>Hiring Now</t>
        </is>
      </c>
      <c r="AA2626">
        <v>1</v>
      </c>
      <c r="AB2626" t="inlineStr">
        <is>
          <t>No Appointment Made</t>
        </is>
      </c>
      <c r="AC2626"/>
      <c r="AD2626" t="inlineStr">
        <is>
          <t>admin assitnat 1</t>
        </is>
      </c>
      <c r="AE2626"/>
      <c r="AF2626">
        <v>800</v>
      </c>
      <c r="AG2626" s="4"/>
      <c r="AH2626" s="4"/>
      <c r="AI2626"/>
      <c r="AJ2626">
        <v>1</v>
      </c>
      <c r="AK2626"/>
      <c r="AL2626"/>
      <c r="AM2626" t="inlineStr">
        <is>
          <t>No, I don't need at all</t>
        </is>
      </c>
      <c r="AN2626"/>
      <c r="AO2626" t="inlineStr">
        <is>
          <t>No, I don't need at all</t>
        </is>
      </c>
      <c r="AP2626" t="inlineStr">
        <is>
          <t>Once a year (25%)</t>
        </is>
      </c>
      <c r="AQ2626"/>
      <c r="AR2626" t="inlineStr">
        <is>
          <t>Jobstreet</t>
        </is>
      </c>
      <c r="AS2626" t="inlineStr">
        <is>
          <t>- Headcount: 1
- Hiring Job Details: 1 admin assistant
- Hiring Urgency: Hiring Now
- Number of outlets: 1
- Have recruiter team: Not specified
- Number of recruiter in company: Not specified
- Have ATS system: No, I don't need at all
- Have career website: No, I don't need at all
- Current hiring budget: RM800.00
- Whole year budget: Not specified
- Whole year number of vacancies: Not specified
- Hiring frequency: Once a year (25%)
- External job portal: Jobstreet</t>
        </is>
      </c>
      <c r="AT2626">
        <v>95</v>
      </c>
      <c r="AU2626" t="inlineStr">
        <is>
          <t>0.95</t>
        </is>
      </c>
      <c r="AV2626" t="inlineStr">
        <is>
          <t>15</t>
        </is>
      </c>
      <c r="AW2626" t="inlineStr">
        <is>
          <t>0</t>
        </is>
      </c>
      <c r="AX2626" t="inlineStr">
        <is>
          <t>Not Qualified</t>
        </is>
      </c>
      <c r="AY2626" s="4"/>
      <c r="AZ2626"/>
      <c r="BA2626"/>
      <c r="BB2626"/>
      <c r="BC2626" t="inlineStr">
        <is>
          <t>no pick up</t>
        </is>
      </c>
      <c r="BD2626" s="4">
        <v>46135.452314814815</v>
      </c>
      <c r="BE2626" t="inlineStr">
        <is>
          <t>paid</t>
        </is>
      </c>
      <c r="BF2626"/>
      <c r="BG2626" t="inlineStr">
        <is>
          <t>Reschedule</t>
        </is>
      </c>
      <c r="BH2626" t="inlineStr">
        <is>
          <t>Fauziah Maharan</t>
        </is>
      </c>
      <c r="BI2626" t="inlineStr">
        <is>
          <t>Construction / Building</t>
        </is>
      </c>
      <c r="BJ2626" s="4">
        <v>46144.75412037037</v>
      </c>
      <c r="BK2626" s="4">
        <v>46115.71628472222</v>
      </c>
      <c r="BL2626" t="inlineStr">
        <is>
          <t>0.0</t>
        </is>
      </c>
      <c r="BM2626" t="inlineStr">
        <is>
          <t>0.0</t>
        </is>
      </c>
      <c r="BN2626" t="inlineStr">
        <is>
          <t>View Company Page</t>
        </is>
      </c>
      <c r="BO2626" s="4">
        <v>46138.71082175926</v>
      </c>
      <c r="BP2626">
        <v>165584</v>
      </c>
      <c r="BQ2626">
        <v>119944</v>
      </c>
      <c r="BR2626" t="inlineStr">
        <is>
          <t>Proforma</t>
        </is>
      </c>
      <c r="BS2626" t="inlineStr">
        <is>
          <t>Free Singapore Job</t>
        </is>
      </c>
      <c r="BT2626"/>
      <c r="BU2626"/>
      <c r="BV2626">
        <v>2722629</v>
      </c>
      <c r="BW2626" t="inlineStr">
        <is>
          <t>No Answer : Voicemail - WA sent to customer</t>
        </is>
      </c>
      <c r="BX2626"/>
      <c r="BY2626"/>
      <c r="BZ2626" s="4"/>
      <c r="CA2626"/>
      <c r="CB2626"/>
      <c r="CC2626" s="4"/>
      <c r="CD2626" t="inlineStr">
        <is>
          <t>20</t>
        </is>
      </c>
      <c r="CE2626" t="inlineStr">
        <is>
          <t>0</t>
        </is>
      </c>
      <c r="CF2626" t="inlineStr">
        <is>
          <t>Q2-W01</t>
        </is>
      </c>
      <c r="CG2626" t="inlineStr">
        <is>
          <t>Q2-W01</t>
        </is>
      </c>
      <c r="CH2626"/>
      <c r="CI2626"/>
      <c r="CJ2626" t="inlineStr">
        <is>
          <t>No Paid</t>
        </is>
      </c>
      <c r="CK2626" t="inlineStr">
        <is>
          <t>Not Eligible</t>
        </is>
      </c>
      <c r="CL2626"/>
      <c r="CM2626"/>
    </row>
    <row r="2627" ht="25.5" customHeight="1">
      <c r="A2627" t="inlineStr">
        <is>
          <t>202915</t>
        </is>
      </c>
      <c r="B2627" s="2"/>
      <c r="C2627"/>
      <c r="D2627" s="3">
        <v>46119.45180555555</v>
      </c>
      <c r="E2627" t="inlineStr">
        <is>
          <t>Q2-W01</t>
        </is>
      </c>
      <c r="F2627" t="inlineStr">
        <is>
          <t>Eugene</t>
        </is>
      </c>
      <c r="G2627" t="inlineStr">
        <is>
          <t>Customer</t>
        </is>
      </c>
      <c r="H2627" s="2" t="str">
        <f>=HYPERLINK("https://upbox.ajobthing.my/customer/202915", "https://upbox.ajobthing.my/customer/202915")</f>
        <v>https://upbox.ajobthing.my/customer/202915</v>
      </c>
      <c r="I2627" t="inlineStr">
        <is>
          <t>Csb Technology</t>
        </is>
      </c>
      <c r="J2627" t="inlineStr">
        <is>
          <t>Small Fish</t>
        </is>
      </c>
      <c r="K2627" t="inlineStr">
        <is>
          <t>Eugene</t>
        </is>
      </c>
      <c r="L2627" s="4"/>
      <c r="M2627" s="4">
        <v>46119.4519212963</v>
      </c>
      <c r="N2627"/>
      <c r="O2627">
        <v>3888</v>
      </c>
      <c r="P2627" s="4"/>
      <c r="Q2627" s="4">
        <v>46122.38983796296</v>
      </c>
      <c r="R2627"/>
      <c r="S2627">
        <v>0</v>
      </c>
      <c r="T2627" s="4"/>
      <c r="U2627" s="4"/>
      <c r="V2627"/>
      <c r="W2627"/>
      <c r="X2627"/>
      <c r="Y2627" t="inlineStr">
        <is>
          <t>Pending Appointment</t>
        </is>
      </c>
      <c r="Z2627" t="inlineStr">
        <is>
          <t>Hiring Now</t>
        </is>
      </c>
      <c r="AA2627">
        <v>10</v>
      </c>
      <c r="AB2627" t="inlineStr">
        <is>
          <t>No Appointment Made</t>
        </is>
      </c>
      <c r="AC2627"/>
      <c r="AD2627" t="inlineStr">
        <is>
          <t>10 technician, based in Cheras</t>
        </is>
      </c>
      <c r="AE2627"/>
      <c r="AF2627">
        <v>3000</v>
      </c>
      <c r="AG2627" s="4"/>
      <c r="AH2627" s="4"/>
      <c r="AI2627">
        <v>3000</v>
      </c>
      <c r="AJ2627">
        <v>1</v>
      </c>
      <c r="AK2627" t="inlineStr">
        <is>
          <t>No, I don't need at all</t>
        </is>
      </c>
      <c r="AL2627">
        <v>1</v>
      </c>
      <c r="AM2627" t="inlineStr">
        <is>
          <t>No, I don't need at all</t>
        </is>
      </c>
      <c r="AN2627"/>
      <c r="AO2627" t="inlineStr">
        <is>
          <t>No, I don't need at all</t>
        </is>
      </c>
      <c r="AP2627" t="inlineStr">
        <is>
          <t>Twice a year (50%)</t>
        </is>
      </c>
      <c r="AQ2627">
        <v>10</v>
      </c>
      <c r="AR2627" t="inlineStr">
        <is>
          <t>Did not use any job portal</t>
        </is>
      </c>
      <c r="AS2627" t="inlineStr">
        <is>
          <t>- Headcount: 10
- Hiring Job Details: 10 technician, based in Cheras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10
- Hiring frequency: Twice a year (50%)
- External job portal: Did not use any job portal</t>
        </is>
      </c>
      <c r="AT2627">
        <v>115</v>
      </c>
      <c r="AU2627" t="inlineStr">
        <is>
          <t>1.15</t>
        </is>
      </c>
      <c r="AV2627" t="inlineStr">
        <is>
          <t>20</t>
        </is>
      </c>
      <c r="AW2627" t="inlineStr">
        <is>
          <t>0</t>
        </is>
      </c>
      <c r="AX2627" t="inlineStr">
        <is>
          <t>Not Qualified</t>
        </is>
      </c>
      <c r="AY2627" s="4"/>
      <c r="AZ2627"/>
      <c r="BA2627"/>
      <c r="BB2627"/>
      <c r="BC2627" t="inlineStr">
        <is>
          <t>nh</t>
        </is>
      </c>
      <c r="BD2627" s="4">
        <v>46122.41894675926</v>
      </c>
      <c r="BE2627" t="inlineStr">
        <is>
          <t>paid</t>
        </is>
      </c>
      <c r="BF2627"/>
      <c r="BG2627" t="inlineStr">
        <is>
          <t>Reschedule</t>
        </is>
      </c>
      <c r="BH2627" t="inlineStr">
        <is>
          <t>Edward Hoo</t>
        </is>
      </c>
      <c r="BI2627"/>
      <c r="BJ2627" s="4">
        <v>46144.754166666666</v>
      </c>
      <c r="BK2627" s="4">
        <v>46119.43609953704</v>
      </c>
      <c r="BL2627" t="inlineStr">
        <is>
          <t>0.0</t>
        </is>
      </c>
      <c r="BM2627" t="inlineStr">
        <is>
          <t>0.0</t>
        </is>
      </c>
      <c r="BN2627" t="inlineStr">
        <is>
          <t>View Company Page</t>
        </is>
      </c>
      <c r="BO2627" s="4">
        <v>46122.39</v>
      </c>
      <c r="BP2627">
        <v>165583</v>
      </c>
      <c r="BQ2627">
        <v>121570</v>
      </c>
      <c r="BR2627" t="inlineStr">
        <is>
          <t>Proforma</t>
        </is>
      </c>
      <c r="BS2627" t="inlineStr">
        <is>
          <t>Free Part-Time Job</t>
        </is>
      </c>
      <c r="BT2627"/>
      <c r="BU2627"/>
      <c r="BV2627">
        <v>2697347</v>
      </c>
      <c r="BW2627" t="inlineStr">
        <is>
          <t>Inquire for Hiring Needs : No Hiring</t>
        </is>
      </c>
      <c r="BX2627"/>
      <c r="BY2627"/>
      <c r="BZ2627" s="4"/>
      <c r="CA2627"/>
      <c r="CB2627"/>
      <c r="CC2627" s="4"/>
      <c r="CD2627" t="inlineStr">
        <is>
          <t>30</t>
        </is>
      </c>
      <c r="CE2627" t="inlineStr">
        <is>
          <t>0</t>
        </is>
      </c>
      <c r="CF2627" t="inlineStr">
        <is>
          <t>Q2-W01</t>
        </is>
      </c>
      <c r="CG2627" t="inlineStr">
        <is>
          <t>Q2-W02</t>
        </is>
      </c>
      <c r="CH2627"/>
      <c r="CI2627"/>
      <c r="CJ2627" t="inlineStr">
        <is>
          <t>No Paid</t>
        </is>
      </c>
      <c r="CK2627" t="inlineStr">
        <is>
          <t>Eligible</t>
        </is>
      </c>
      <c r="CL2627"/>
      <c r="CM2627"/>
    </row>
    <row r="2628" ht="25.5" customHeight="1">
      <c r="A2628" t="inlineStr">
        <is>
          <t>192205</t>
        </is>
      </c>
      <c r="B2628" s="2"/>
      <c r="C2628"/>
      <c r="D2628" s="3">
        <v>46119.453993055555</v>
      </c>
      <c r="E2628" t="inlineStr">
        <is>
          <t>Q2-W01</t>
        </is>
      </c>
      <c r="F2628" t="inlineStr">
        <is>
          <t>Josh</t>
        </is>
      </c>
      <c r="G2628" t="inlineStr">
        <is>
          <t>Customer</t>
        </is>
      </c>
      <c r="H2628" s="2" t="str">
        <f>=HYPERLINK("https://upbox.ajobthing.my/customer/192205", "https://upbox.ajobthing.my/customer/192205")</f>
        <v>https://upbox.ajobthing.my/customer/192205</v>
      </c>
      <c r="I2628" t="inlineStr">
        <is>
          <t>Matrioux (M) Sdn Bhd</t>
        </is>
      </c>
      <c r="J2628" t="inlineStr">
        <is>
          <t>Small Fish</t>
        </is>
      </c>
      <c r="K2628" t="inlineStr">
        <is>
          <t>Josh</t>
        </is>
      </c>
      <c r="L2628" s="4"/>
      <c r="M2628" s="4">
        <v>46119.59207175926</v>
      </c>
      <c r="N2628"/>
      <c r="O2628">
        <v>3672</v>
      </c>
      <c r="P2628" s="4"/>
      <c r="Q2628" s="4">
        <v>46119.37699074074</v>
      </c>
      <c r="R2628"/>
      <c r="S2628">
        <v>0</v>
      </c>
      <c r="T2628" s="4">
        <v>45954.46607638889</v>
      </c>
      <c r="U2628" s="4"/>
      <c r="V2628"/>
      <c r="W2628">
        <v>864</v>
      </c>
      <c r="X2628"/>
      <c r="Y2628" t="inlineStr">
        <is>
          <t>Pending Appointment</t>
        </is>
      </c>
      <c r="Z2628" t="inlineStr">
        <is>
          <t>Hiring Now</t>
        </is>
      </c>
      <c r="AA2628">
        <v>1</v>
      </c>
      <c r="AB2628" t="inlineStr">
        <is>
          <t>No Appointment Made</t>
        </is>
      </c>
      <c r="AC2628"/>
      <c r="AD2628" t="inlineStr">
        <is>
          <t xml:space="preserve">1 account </t>
        </is>
      </c>
      <c r="AE2628"/>
      <c r="AF2628">
        <v>1000</v>
      </c>
      <c r="AG2628" s="4"/>
      <c r="AH2628" s="4"/>
      <c r="AI2628"/>
      <c r="AJ2628"/>
      <c r="AK2628" t="inlineStr">
        <is>
          <t>Yes, I have</t>
        </is>
      </c>
      <c r="AL2628"/>
      <c r="AM2628"/>
      <c r="AN2628"/>
      <c r="AO2628"/>
      <c r="AP2628" t="inlineStr">
        <is>
          <t>Once a year (25%)</t>
        </is>
      </c>
      <c r="AQ2628"/>
      <c r="AR2628"/>
      <c r="AS2628" t="inlineStr">
        <is>
          <t>- Headcount: 1
- Hiring Job Details: 1 account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
- Hiring Urgency: Hiring Now</t>
        </is>
      </c>
      <c r="AT2628">
        <v>35</v>
      </c>
      <c r="AU2628" t="inlineStr">
        <is>
          <t>0.35</t>
        </is>
      </c>
      <c r="AV2628" t="inlineStr">
        <is>
          <t>15</t>
        </is>
      </c>
      <c r="AW2628" t="inlineStr">
        <is>
          <t>0</t>
        </is>
      </c>
      <c r="AX2628" t="inlineStr">
        <is>
          <t>Not Qualified</t>
        </is>
      </c>
      <c r="AY2628" s="4"/>
      <c r="AZ2628"/>
      <c r="BA2628"/>
      <c r="BB2628"/>
      <c r="BC2628" t="inlineStr">
        <is>
          <t>- Headcount: 1
- Hiring Job Details: 1 account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
- Hiring Urgency: Hiring Now</t>
        </is>
      </c>
      <c r="BD2628" s="4">
        <v>46119.45849537037</v>
      </c>
      <c r="BE2628" t="inlineStr">
        <is>
          <t>paid</t>
        </is>
      </c>
      <c r="BF2628"/>
      <c r="BG2628" t="inlineStr">
        <is>
          <t>Reschedule</t>
        </is>
      </c>
      <c r="BH2628" t="inlineStr">
        <is>
          <t>Fauziah Maharan</t>
        </is>
      </c>
      <c r="BI2628" t="inlineStr">
        <is>
          <t>BioTech / Pharmaceutical</t>
        </is>
      </c>
      <c r="BJ2628" s="4">
        <v>46144.752546296295</v>
      </c>
      <c r="BK2628" s="4">
        <v>45813.416967592595</v>
      </c>
      <c r="BL2628" t="inlineStr">
        <is>
          <t>864.0</t>
        </is>
      </c>
      <c r="BM2628" t="inlineStr">
        <is>
          <t>0.0</t>
        </is>
      </c>
      <c r="BN2628" t="inlineStr">
        <is>
          <t>User Visit(Logged In)</t>
        </is>
      </c>
      <c r="BO2628" s="4">
        <v>46128.4549537037</v>
      </c>
      <c r="BP2628">
        <v>165666</v>
      </c>
      <c r="BQ2628">
        <v>120276</v>
      </c>
      <c r="BR2628" t="inlineStr">
        <is>
          <t>Proforma</t>
        </is>
      </c>
      <c r="BS2628" t="inlineStr">
        <is>
          <t>Free High Pay Job</t>
        </is>
      </c>
      <c r="BT2628">
        <v>83584</v>
      </c>
      <c r="BU2628"/>
      <c r="BV2628">
        <v>2688372</v>
      </c>
      <c r="BW2628" t="inlineStr">
        <is>
          <t>Customer Inquiry</t>
        </is>
      </c>
      <c r="BX2628"/>
      <c r="BY2628"/>
      <c r="BZ2628" s="4"/>
      <c r="CA2628">
        <v>10</v>
      </c>
      <c r="CB2628">
        <v>7</v>
      </c>
      <c r="CC2628" s="4">
        <v>46119.3740625</v>
      </c>
      <c r="CD2628" t="inlineStr">
        <is>
          <t>20</t>
        </is>
      </c>
      <c r="CE2628" t="inlineStr">
        <is>
          <t>0</t>
        </is>
      </c>
      <c r="CF2628" t="inlineStr">
        <is>
          <t>Q2-W01</t>
        </is>
      </c>
      <c r="CG2628" t="inlineStr">
        <is>
          <t>Q2-W01</t>
        </is>
      </c>
      <c r="CH2628"/>
      <c r="CI2628"/>
      <c r="CJ2628" t="inlineStr">
        <is>
          <t>Paid</t>
        </is>
      </c>
      <c r="CK2628" t="inlineStr">
        <is>
          <t>Not Eligible</t>
        </is>
      </c>
      <c r="CL2628"/>
      <c r="CM2628"/>
    </row>
    <row r="2629" ht="25.5" customHeight="1">
      <c r="A2629" t="inlineStr">
        <is>
          <t>197645</t>
        </is>
      </c>
      <c r="B2629" s="2"/>
      <c r="C2629"/>
      <c r="D2629" s="3">
        <v>46119.4571875</v>
      </c>
      <c r="E2629" t="inlineStr">
        <is>
          <t>Q2-W01</t>
        </is>
      </c>
      <c r="F2629" t="inlineStr">
        <is>
          <t>Janice Yap</t>
        </is>
      </c>
      <c r="G2629" t="inlineStr">
        <is>
          <t>Customer</t>
        </is>
      </c>
      <c r="H2629" s="2" t="str">
        <f>=HYPERLINK("https://upbox.ajobthing.my/customer/197645", "https://upbox.ajobthing.my/customer/197645")</f>
        <v>https://upbox.ajobthing.my/customer/197645</v>
      </c>
      <c r="I2629" t="inlineStr">
        <is>
          <t>Permata Murni Resources</t>
        </is>
      </c>
      <c r="J2629" t="inlineStr">
        <is>
          <t>Small Fish</t>
        </is>
      </c>
      <c r="K2629" t="inlineStr">
        <is>
          <t>Janice</t>
        </is>
      </c>
      <c r="L2629" s="4"/>
      <c r="M2629" s="4">
        <v>46119.454409722224</v>
      </c>
      <c r="N2629"/>
      <c r="O2629">
        <v>3888</v>
      </c>
      <c r="P2629" s="4"/>
      <c r="Q2629" s="4">
        <v>46014.67744212963</v>
      </c>
      <c r="R2629"/>
      <c r="S2629">
        <v>4968</v>
      </c>
      <c r="T2629" s="4"/>
      <c r="U2629" s="4"/>
      <c r="V2629"/>
      <c r="W2629"/>
      <c r="X2629"/>
      <c r="Y2629" t="inlineStr">
        <is>
          <t>Pending Appointment</t>
        </is>
      </c>
      <c r="Z2629" t="inlineStr">
        <is>
          <t>Hiring Now</t>
        </is>
      </c>
      <c r="AA2629">
        <v>2</v>
      </c>
      <c r="AB2629" t="inlineStr">
        <is>
          <t>No Appointment Made</t>
        </is>
      </c>
      <c r="AC2629"/>
      <c r="AD2629" t="inlineStr">
        <is>
          <t>2 live host</t>
        </is>
      </c>
      <c r="AE2629"/>
      <c r="AF2629">
        <v>0</v>
      </c>
      <c r="AG2629" s="4"/>
      <c r="AH2629" s="4"/>
      <c r="AI2629">
        <v>0</v>
      </c>
      <c r="AJ2629"/>
      <c r="AK2629" t="inlineStr">
        <is>
          <t>No, I don't need at all</t>
        </is>
      </c>
      <c r="AL2629">
        <v>0</v>
      </c>
      <c r="AM2629" t="inlineStr">
        <is>
          <t>No, I don't need at all</t>
        </is>
      </c>
      <c r="AN2629"/>
      <c r="AO2629" t="inlineStr">
        <is>
          <t>No, I don't need at all</t>
        </is>
      </c>
      <c r="AP2629" t="inlineStr">
        <is>
          <t>Once a year (25%)</t>
        </is>
      </c>
      <c r="AQ2629">
        <v>2</v>
      </c>
      <c r="AR2629" t="inlineStr">
        <is>
          <t>Indeed (Paid), Free Job Portal</t>
        </is>
      </c>
      <c r="AS2629" t="inlineStr">
        <is>
          <t>- Headcount: 2
- Hiring Job Details: 2 live host
- Number of outlets: Not provided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Indeed (Paid),Free Job Portal
- Hiring Urgency: Hiring Now</t>
        </is>
      </c>
      <c r="AT2629">
        <v>120</v>
      </c>
      <c r="AU2629" t="inlineStr">
        <is>
          <t>1.20</t>
        </is>
      </c>
      <c r="AV2629" t="inlineStr">
        <is>
          <t>15</t>
        </is>
      </c>
      <c r="AW2629" t="inlineStr">
        <is>
          <t>0</t>
        </is>
      </c>
      <c r="AX2629" t="inlineStr">
        <is>
          <t>Not Qualified</t>
        </is>
      </c>
      <c r="AY2629" s="4"/>
      <c r="AZ2629"/>
      <c r="BA2629"/>
      <c r="BB2629"/>
      <c r="BC2629" t="inlineStr">
        <is>
          <t>No answer // no response</t>
        </is>
      </c>
      <c r="BD2629" s="4">
        <v>46134.66967592593</v>
      </c>
      <c r="BE2629" t="inlineStr">
        <is>
          <t>pending</t>
        </is>
      </c>
      <c r="BF2629"/>
      <c r="BG2629" t="inlineStr">
        <is>
          <t>Reschedule</t>
        </is>
      </c>
      <c r="BH2629" t="inlineStr">
        <is>
          <t>Yee Hang</t>
        </is>
      </c>
      <c r="BI2629"/>
      <c r="BJ2629" s="4">
        <v>46144.752905092595</v>
      </c>
      <c r="BK2629" s="4">
        <v>45957.60202546296</v>
      </c>
      <c r="BL2629" t="inlineStr">
        <is>
          <t>0.0</t>
        </is>
      </c>
      <c r="BM2629" t="inlineStr">
        <is>
          <t>0.0</t>
        </is>
      </c>
      <c r="BN2629"/>
      <c r="BO2629" s="4"/>
      <c r="BP2629">
        <v>165586</v>
      </c>
      <c r="BQ2629">
        <v>113274</v>
      </c>
      <c r="BR2629" t="inlineStr">
        <is>
          <t>Proforma</t>
        </is>
      </c>
      <c r="BS2629" t="inlineStr">
        <is>
          <t>AI Yearly Standard Plan Renewal</t>
        </is>
      </c>
      <c r="BT2629"/>
      <c r="BU2629"/>
      <c r="BV2629">
        <v>2721350</v>
      </c>
      <c r="BW2629" t="inlineStr">
        <is>
          <t>No Answer : 3 Days No Response</t>
        </is>
      </c>
      <c r="BX2629"/>
      <c r="BY2629"/>
      <c r="BZ2629" s="4"/>
      <c r="CA2629"/>
      <c r="CB2629"/>
      <c r="CC2629" s="4"/>
      <c r="CD2629" t="inlineStr">
        <is>
          <t>20</t>
        </is>
      </c>
      <c r="CE2629" t="inlineStr">
        <is>
          <t>0</t>
        </is>
      </c>
      <c r="CF2629" t="inlineStr">
        <is>
          <t>Q2-W01</t>
        </is>
      </c>
      <c r="CG2629"/>
      <c r="CH2629"/>
      <c r="CI2629"/>
      <c r="CJ2629" t="inlineStr">
        <is>
          <t>No Paid</t>
        </is>
      </c>
      <c r="CK2629" t="inlineStr">
        <is>
          <t>Not Eligible</t>
        </is>
      </c>
      <c r="CL2629"/>
      <c r="CM2629"/>
    </row>
    <row r="2630" ht="25.5" customHeight="1">
      <c r="A2630" t="inlineStr">
        <is>
          <t>4255184</t>
        </is>
      </c>
      <c r="B2630" s="2"/>
      <c r="C2630"/>
      <c r="D2630" s="3">
        <v>46119.45835648148</v>
      </c>
      <c r="E2630" t="inlineStr">
        <is>
          <t>Q2-W01</t>
        </is>
      </c>
      <c r="F2630" t="inlineStr">
        <is>
          <t>Carmen</t>
        </is>
      </c>
      <c r="G2630" t="inlineStr">
        <is>
          <t>Lead</t>
        </is>
      </c>
      <c r="H2630" s="2" t="str">
        <f>=HYPERLINK("https://upbox.ajobthing.my/leads/4255184", "https://upbox.ajobthing.my/leads/4255184")</f>
        <v>https://upbox.ajobthing.my/leads/4255184</v>
      </c>
      <c r="I2630" t="inlineStr">
        <is>
          <t>PENINSULA BORNEO SHIPPING SDN BHD</t>
        </is>
      </c>
      <c r="J2630" t="inlineStr">
        <is>
          <t>Small Fish</t>
        </is>
      </c>
      <c r="K2630" t="inlineStr">
        <is>
          <t>Carmen</t>
        </is>
      </c>
      <c r="L2630" s="4"/>
      <c r="M2630" s="4">
        <v>46119.45979166667</v>
      </c>
      <c r="N2630"/>
      <c r="O2630">
        <v>3672</v>
      </c>
      <c r="P2630" s="4"/>
      <c r="Q2630" s="4"/>
      <c r="R2630"/>
      <c r="S2630"/>
      <c r="T2630" s="4"/>
      <c r="U2630" s="4"/>
      <c r="V2630"/>
      <c r="W2630"/>
      <c r="X2630"/>
      <c r="Y2630" t="inlineStr">
        <is>
          <t>Pending Appointment</t>
        </is>
      </c>
      <c r="Z2630" t="inlineStr">
        <is>
          <t>Hiring Now</t>
        </is>
      </c>
      <c r="AA2630">
        <v>2</v>
      </c>
      <c r="AB2630" t="inlineStr">
        <is>
          <t>No Appointment Made</t>
        </is>
      </c>
      <c r="AC2630"/>
      <c r="AD2630" t="inlineStr">
        <is>
          <t>2 account excutive</t>
        </is>
      </c>
      <c r="AE2630"/>
      <c r="AF2630">
        <v>1000</v>
      </c>
      <c r="AG2630" s="4"/>
      <c r="AH2630" s="4"/>
      <c r="AI2630"/>
      <c r="AJ2630">
        <v>0</v>
      </c>
      <c r="AK2630"/>
      <c r="AL2630"/>
      <c r="AM2630"/>
      <c r="AN2630"/>
      <c r="AO2630"/>
      <c r="AP2630" t="inlineStr">
        <is>
          <t>Once a year (25%)</t>
        </is>
      </c>
      <c r="AQ2630"/>
      <c r="AR2630"/>
      <c r="AS2630" t="inlineStr">
        <is>
          <t>- Headcount: 2
- Hiring Job Details: 2 account executive
- Hiring Urgency: Hiring Now
- Number of outlets: 0
- Have recruiter team: Not specified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2630">
        <v>95</v>
      </c>
      <c r="AU2630" t="inlineStr">
        <is>
          <t>0.95</t>
        </is>
      </c>
      <c r="AV2630" t="inlineStr">
        <is>
          <t>15</t>
        </is>
      </c>
      <c r="AW2630" t="inlineStr">
        <is>
          <t>0</t>
        </is>
      </c>
      <c r="AX2630" t="inlineStr">
        <is>
          <t>Not Qualified</t>
        </is>
      </c>
      <c r="AY2630" s="4"/>
      <c r="AZ2630"/>
      <c r="BA2630"/>
      <c r="BB2630"/>
      <c r="BC2630"/>
      <c r="BD2630" s="4"/>
      <c r="BE2630"/>
      <c r="BF2630"/>
      <c r="BG2630" t="inlineStr">
        <is>
          <t>Reschedule</t>
        </is>
      </c>
      <c r="BH2630" t="inlineStr">
        <is>
          <t>Reagen</t>
        </is>
      </c>
      <c r="BI2630"/>
      <c r="BJ2630" s="4">
        <v>46144.755740740744</v>
      </c>
      <c r="BK2630" s="4">
        <v>46119.4408912037</v>
      </c>
      <c r="BL2630" t="inlineStr">
        <is>
          <t>0.0</t>
        </is>
      </c>
      <c r="BM2630" t="inlineStr">
        <is>
          <t>0.0</t>
        </is>
      </c>
      <c r="BN2630"/>
      <c r="BO2630" s="4"/>
      <c r="BP2630">
        <v>165587</v>
      </c>
      <c r="BQ2630"/>
      <c r="BR2630"/>
      <c r="BS2630"/>
      <c r="BT2630"/>
      <c r="BU2630"/>
      <c r="BV2630"/>
      <c r="BW2630"/>
      <c r="BX2630"/>
      <c r="BY2630"/>
      <c r="BZ2630" s="4"/>
      <c r="CA2630"/>
      <c r="CB2630"/>
      <c r="CC2630" s="4"/>
      <c r="CD2630" t="inlineStr">
        <is>
          <t>20</t>
        </is>
      </c>
      <c r="CE2630" t="inlineStr">
        <is>
          <t>0</t>
        </is>
      </c>
      <c r="CF2630" t="inlineStr">
        <is>
          <t>Q2-W01</t>
        </is>
      </c>
      <c r="CG2630"/>
      <c r="CH2630"/>
      <c r="CI2630"/>
      <c r="CJ2630" t="inlineStr">
        <is>
          <t>No Paid</t>
        </is>
      </c>
      <c r="CK2630" t="inlineStr">
        <is>
          <t>Not Eligible</t>
        </is>
      </c>
      <c r="CL2630"/>
      <c r="CM2630"/>
    </row>
    <row r="2631" ht="25.5" customHeight="1">
      <c r="A2631" t="inlineStr">
        <is>
          <t>4253172</t>
        </is>
      </c>
      <c r="B2631" s="2"/>
      <c r="C2631"/>
      <c r="D2631" s="3">
        <v>46119.46260416666</v>
      </c>
      <c r="E2631" t="inlineStr">
        <is>
          <t>Q2-W01</t>
        </is>
      </c>
      <c r="F2631" t="inlineStr">
        <is>
          <t>Ken Yi</t>
        </is>
      </c>
      <c r="G2631" t="inlineStr">
        <is>
          <t>Lead</t>
        </is>
      </c>
      <c r="H2631" s="2" t="str">
        <f>=HYPERLINK("https://upbox.ajobthing.my/leads/4253172", "https://upbox.ajobthing.my/leads/4253172")</f>
        <v>https://upbox.ajobthing.my/leads/4253172</v>
      </c>
      <c r="I2631" t="inlineStr">
        <is>
          <t>Borneo Elite Holdings Sdn Bhd</t>
        </is>
      </c>
      <c r="J2631" t="inlineStr">
        <is>
          <t>Small Fish</t>
        </is>
      </c>
      <c r="K2631" t="inlineStr">
        <is>
          <t>Kenyi</t>
        </is>
      </c>
      <c r="L2631" s="4"/>
      <c r="M2631" s="4">
        <v>46119.46741898148</v>
      </c>
      <c r="N2631"/>
      <c r="O2631">
        <v>6048</v>
      </c>
      <c r="P2631" s="4"/>
      <c r="Q2631" s="4"/>
      <c r="R2631"/>
      <c r="S2631"/>
      <c r="T2631" s="4"/>
      <c r="U2631" s="4"/>
      <c r="V2631"/>
      <c r="W2631"/>
      <c r="X2631"/>
      <c r="Y2631" t="inlineStr">
        <is>
          <t>Pending Appointment</t>
        </is>
      </c>
      <c r="Z2631" t="inlineStr">
        <is>
          <t>Hiring Now</t>
        </is>
      </c>
      <c r="AA2631">
        <v>1</v>
      </c>
      <c r="AB2631" t="inlineStr">
        <is>
          <t>No Appointment Made</t>
        </is>
      </c>
      <c r="AC2631"/>
      <c r="AD2631" t="inlineStr">
        <is>
          <t>Operation for restaurant 1</t>
        </is>
      </c>
      <c r="AE2631"/>
      <c r="AF2631">
        <v>0</v>
      </c>
      <c r="AG2631" s="4"/>
      <c r="AH2631" s="4"/>
      <c r="AI2631">
        <v>0</v>
      </c>
      <c r="AJ2631">
        <v>3</v>
      </c>
      <c r="AK2631" t="inlineStr">
        <is>
          <t>Yes, I have</t>
        </is>
      </c>
      <c r="AL2631">
        <v>1</v>
      </c>
      <c r="AM2631" t="inlineStr">
        <is>
          <t>No, I don't need at all</t>
        </is>
      </c>
      <c r="AN2631"/>
      <c r="AO2631" t="inlineStr">
        <is>
          <t>No, I don't need at all</t>
        </is>
      </c>
      <c r="AP2631" t="inlineStr">
        <is>
          <t>Every month (100%)</t>
        </is>
      </c>
      <c r="AQ2631">
        <v>2</v>
      </c>
      <c r="AR2631" t="inlineStr">
        <is>
          <t>Jobstreet</t>
        </is>
      </c>
      <c r="AS2631" t="inlineStr">
        <is>
          <t>- Headcount: 1
- Hiring Job Details: Operation for restaurant 1
- Hiring Urgency: Hiring Now
- Number of outlets: 3
- Have recruiter team: Yes
- Number of recruiter in company: 1
- Have ATS system: No, I don't need at all
- Have career website: No, I don't need at all
- Current hiring budget: RM0
- Whole year budget: RM0.00
- Whole year number of vacancies: 2
- Hiring frequency: Every month (100%)
- External job portal: Jobstreet</t>
        </is>
      </c>
      <c r="AT2631">
        <v>110</v>
      </c>
      <c r="AU2631" t="inlineStr">
        <is>
          <t>1.10</t>
        </is>
      </c>
      <c r="AV2631" t="inlineStr">
        <is>
          <t>15</t>
        </is>
      </c>
      <c r="AW2631" t="inlineStr">
        <is>
          <t>0</t>
        </is>
      </c>
      <c r="AX2631" t="inlineStr">
        <is>
          <t>Not Qualified</t>
        </is>
      </c>
      <c r="AY2631" s="4"/>
      <c r="AZ2631"/>
      <c r="BA2631"/>
      <c r="BB2631"/>
      <c r="BC2631"/>
      <c r="BD2631" s="4"/>
      <c r="BE2631"/>
      <c r="BF2631"/>
      <c r="BG2631" t="inlineStr">
        <is>
          <t>Reschedule</t>
        </is>
      </c>
      <c r="BH2631" t="inlineStr">
        <is>
          <t>Fauziah Maharan</t>
        </is>
      </c>
      <c r="BI2631"/>
      <c r="BJ2631" s="4">
        <v>46144.755740740744</v>
      </c>
      <c r="BK2631" s="4">
        <v>46118.72010416666</v>
      </c>
      <c r="BL2631" t="inlineStr">
        <is>
          <t>0.0</t>
        </is>
      </c>
      <c r="BM2631" t="inlineStr">
        <is>
          <t>150.0</t>
        </is>
      </c>
      <c r="BN2631"/>
      <c r="BO2631" s="4"/>
      <c r="BP2631">
        <v>165596</v>
      </c>
      <c r="BQ2631"/>
      <c r="BR2631"/>
      <c r="BS2631"/>
      <c r="BT2631"/>
      <c r="BU2631"/>
      <c r="BV2631"/>
      <c r="BW2631"/>
      <c r="BX2631"/>
      <c r="BY2631"/>
      <c r="BZ2631" s="4"/>
      <c r="CA2631"/>
      <c r="CB2631"/>
      <c r="CC2631" s="4"/>
      <c r="CD2631" t="inlineStr">
        <is>
          <t>20</t>
        </is>
      </c>
      <c r="CE2631" t="inlineStr">
        <is>
          <t>0</t>
        </is>
      </c>
      <c r="CF2631" t="inlineStr">
        <is>
          <t>Q2-W01</t>
        </is>
      </c>
      <c r="CG2631"/>
      <c r="CH2631"/>
      <c r="CI2631"/>
      <c r="CJ2631" t="inlineStr">
        <is>
          <t>No Paid</t>
        </is>
      </c>
      <c r="CK2631" t="inlineStr">
        <is>
          <t>Not Eligible</t>
        </is>
      </c>
      <c r="CL2631"/>
      <c r="CM2631"/>
    </row>
    <row r="2632" ht="25.5" customHeight="1">
      <c r="A2632" t="inlineStr">
        <is>
          <t>202907</t>
        </is>
      </c>
      <c r="B2632" s="2"/>
      <c r="C2632"/>
      <c r="D2632" s="3">
        <v>46119.469513888886</v>
      </c>
      <c r="E2632" t="inlineStr">
        <is>
          <t>Q2-W01</t>
        </is>
      </c>
      <c r="F2632" t="inlineStr">
        <is>
          <t>Keegan</t>
        </is>
      </c>
      <c r="G2632" t="inlineStr">
        <is>
          <t>Customer</t>
        </is>
      </c>
      <c r="H2632" s="2" t="str">
        <f>=HYPERLINK("https://upbox.ajobthing.my/customer/202907", "https://upbox.ajobthing.my/customer/202907")</f>
        <v>https://upbox.ajobthing.my/customer/202907</v>
      </c>
      <c r="I2632" t="inlineStr">
        <is>
          <t>Bliss Dental Surgery - Batu Kawan</t>
        </is>
      </c>
      <c r="J2632" t="inlineStr">
        <is>
          <t>Small Fish</t>
        </is>
      </c>
      <c r="K2632" t="inlineStr">
        <is>
          <t>Keegan</t>
        </is>
      </c>
      <c r="L2632" s="4"/>
      <c r="M2632" s="4">
        <v>46119.469826388886</v>
      </c>
      <c r="N2632"/>
      <c r="O2632">
        <v>3888</v>
      </c>
      <c r="P2632" s="4"/>
      <c r="Q2632" s="4"/>
      <c r="R2632"/>
      <c r="S2632"/>
      <c r="T2632" s="4"/>
      <c r="U2632" s="4"/>
      <c r="V2632"/>
      <c r="W2632"/>
      <c r="X2632"/>
      <c r="Y2632" t="inlineStr">
        <is>
          <t>Pending Appointment</t>
        </is>
      </c>
      <c r="Z2632" t="inlineStr">
        <is>
          <t>Hiring Now</t>
        </is>
      </c>
      <c r="AA2632">
        <v>1</v>
      </c>
      <c r="AB2632" t="inlineStr">
        <is>
          <t>No Appointment Made</t>
        </is>
      </c>
      <c r="AC2632"/>
      <c r="AD2632" t="inlineStr">
        <is>
          <t>Dental surgery assistant</t>
        </is>
      </c>
      <c r="AE2632"/>
      <c r="AF2632"/>
      <c r="AG2632" s="4"/>
      <c r="AH2632" s="4"/>
      <c r="AI2632"/>
      <c r="AJ2632">
        <v>1</v>
      </c>
      <c r="AK2632" t="inlineStr">
        <is>
          <t>No, I don't need at all</t>
        </is>
      </c>
      <c r="AL2632">
        <v>0</v>
      </c>
      <c r="AM2632" t="inlineStr">
        <is>
          <t>No, I don't need at all</t>
        </is>
      </c>
      <c r="AN2632"/>
      <c r="AO2632" t="inlineStr">
        <is>
          <t>No, I don't need at all</t>
        </is>
      </c>
      <c r="AP2632" t="inlineStr">
        <is>
          <t>Once per quarter (75%)</t>
        </is>
      </c>
      <c r="AQ2632"/>
      <c r="AR2632" t="inlineStr">
        <is>
          <t>Did not use any job portal</t>
        </is>
      </c>
      <c r="AS2632" t="inlineStr">
        <is>
          <t>- Headcount: 1
- Hiring Job Details: Dental surgery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632">
        <v>95</v>
      </c>
      <c r="AU2632" t="inlineStr">
        <is>
          <t>0.95</t>
        </is>
      </c>
      <c r="AV2632" t="inlineStr">
        <is>
          <t>5</t>
        </is>
      </c>
      <c r="AW2632" t="inlineStr">
        <is>
          <t>0</t>
        </is>
      </c>
      <c r="AX2632" t="inlineStr">
        <is>
          <t>Not Qualified</t>
        </is>
      </c>
      <c r="AY2632" s="4"/>
      <c r="AZ2632"/>
      <c r="BA2632"/>
      <c r="BB2632"/>
      <c r="BC2632" t="inlineStr">
        <is>
          <t>- Headcount: 1
- Hiring Job Details: Dental surgery assistant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632" s="4">
        <v>46119.500023148146</v>
      </c>
      <c r="BE2632"/>
      <c r="BF2632"/>
      <c r="BG2632" t="inlineStr">
        <is>
          <t>Reschedule</t>
        </is>
      </c>
      <c r="BH2632" t="inlineStr">
        <is>
          <t>Edward Hoo</t>
        </is>
      </c>
      <c r="BI2632"/>
      <c r="BJ2632" s="4">
        <v>46144.754166666666</v>
      </c>
      <c r="BK2632" s="4">
        <v>46119.3959375</v>
      </c>
      <c r="BL2632" t="inlineStr">
        <is>
          <t>0.0</t>
        </is>
      </c>
      <c r="BM2632" t="inlineStr">
        <is>
          <t>0.0</t>
        </is>
      </c>
      <c r="BN2632" t="inlineStr">
        <is>
          <t>View Notifications</t>
        </is>
      </c>
      <c r="BO2632" s="4">
        <v>46119.498344907406</v>
      </c>
      <c r="BP2632">
        <v>165599</v>
      </c>
      <c r="BQ2632"/>
      <c r="BR2632"/>
      <c r="BS2632"/>
      <c r="BT2632"/>
      <c r="BU2632"/>
      <c r="BV2632">
        <v>2688655</v>
      </c>
      <c r="BW2632" t="inlineStr">
        <is>
          <t>Customer Inquiry</t>
        </is>
      </c>
      <c r="BX2632"/>
      <c r="BY2632"/>
      <c r="BZ2632" s="4"/>
      <c r="CA2632"/>
      <c r="CB2632"/>
      <c r="CC2632" s="4"/>
      <c r="CD2632" t="inlineStr">
        <is>
          <t>5</t>
        </is>
      </c>
      <c r="CE2632" t="inlineStr">
        <is>
          <t>0</t>
        </is>
      </c>
      <c r="CF2632" t="inlineStr">
        <is>
          <t>Q2-W01</t>
        </is>
      </c>
      <c r="CG2632"/>
      <c r="CH2632"/>
      <c r="CI2632"/>
      <c r="CJ2632" t="inlineStr">
        <is>
          <t>No Paid</t>
        </is>
      </c>
      <c r="CK2632" t="inlineStr">
        <is>
          <t>Not Eligible</t>
        </is>
      </c>
      <c r="CL2632"/>
      <c r="CM2632"/>
    </row>
    <row r="2633" ht="25.5" customHeight="1">
      <c r="A2633" t="inlineStr">
        <is>
          <t>201835</t>
        </is>
      </c>
      <c r="B2633" s="2"/>
      <c r="C2633"/>
      <c r="D2633" s="3">
        <v>46119.471655092595</v>
      </c>
      <c r="E2633" t="inlineStr">
        <is>
          <t>Q2-W01</t>
        </is>
      </c>
      <c r="F2633" t="inlineStr">
        <is>
          <t>Ken Yi</t>
        </is>
      </c>
      <c r="G2633" t="inlineStr">
        <is>
          <t>Customer</t>
        </is>
      </c>
      <c r="H2633" s="2" t="str">
        <f>=HYPERLINK("https://upbox.ajobthing.my/customer/201835", "https://upbox.ajobthing.my/customer/201835")</f>
        <v>https://upbox.ajobthing.my/customer/201835</v>
      </c>
      <c r="I2633" t="inlineStr">
        <is>
          <t>My Crepes Factory Sdn Bhd</t>
        </is>
      </c>
      <c r="J2633" t="inlineStr">
        <is>
          <t>Small Fish</t>
        </is>
      </c>
      <c r="K2633" t="inlineStr">
        <is>
          <t>Kenyi</t>
        </is>
      </c>
      <c r="L2633" s="4"/>
      <c r="M2633" s="4">
        <v>46119.47232638889</v>
      </c>
      <c r="N2633"/>
      <c r="O2633">
        <v>10800</v>
      </c>
      <c r="P2633" s="4"/>
      <c r="Q2633" s="4">
        <v>46122.834085648145</v>
      </c>
      <c r="R2633"/>
      <c r="S2633">
        <v>0</v>
      </c>
      <c r="T2633" s="4"/>
      <c r="U2633" s="4"/>
      <c r="V2633"/>
      <c r="W2633"/>
      <c r="X2633"/>
      <c r="Y2633" t="inlineStr">
        <is>
          <t>Pending Appointment</t>
        </is>
      </c>
      <c r="Z2633" t="inlineStr">
        <is>
          <t>Hiring Now</t>
        </is>
      </c>
      <c r="AA2633">
        <v>1</v>
      </c>
      <c r="AB2633" t="inlineStr">
        <is>
          <t>No Appointment Made</t>
        </is>
      </c>
      <c r="AC2633"/>
      <c r="AD2633" t="inlineStr">
        <is>
          <t>Shop operator, support whole Malaysia</t>
        </is>
      </c>
      <c r="AE2633"/>
      <c r="AF2633">
        <v>0</v>
      </c>
      <c r="AG2633" s="4"/>
      <c r="AH2633" s="4"/>
      <c r="AI2633">
        <v>1</v>
      </c>
      <c r="AJ2633">
        <v>3</v>
      </c>
      <c r="AK2633" t="inlineStr">
        <is>
          <t>Yes, I have</t>
        </is>
      </c>
      <c r="AL2633">
        <v>1</v>
      </c>
      <c r="AM2633" t="inlineStr">
        <is>
          <t>No, but I want in future</t>
        </is>
      </c>
      <c r="AN2633"/>
      <c r="AO2633" t="inlineStr">
        <is>
          <t>No, I don't need at all</t>
        </is>
      </c>
      <c r="AP2633" t="inlineStr">
        <is>
          <t>Every month (100%)</t>
        </is>
      </c>
      <c r="AQ2633">
        <v>5</v>
      </c>
      <c r="AR2633" t="inlineStr">
        <is>
          <t>Did not use any job portal</t>
        </is>
      </c>
      <c r="AS2633" t="inlineStr">
        <is>
          <t>- Headcount: 1
- Hiring Job Details: Shop operator, support whole Malaysia
- Hiring Urgency: Hiring Now
- Number of outlets: 3
- Have recruiter team: Yes
- Number of recruiter in company: 1
- Have ATS system: No, but want in future
- Have career website: No, don't need at all
- Current hiring budget: RM0.00
- Whole year budget: RM1.00
- Whole year number of vacancies: 5
- Hiring frequency: Every month (100%)
- External job portal: Did not use any</t>
        </is>
      </c>
      <c r="AT2633">
        <v>115</v>
      </c>
      <c r="AU2633" t="inlineStr">
        <is>
          <t>1.15</t>
        </is>
      </c>
      <c r="AV2633" t="inlineStr">
        <is>
          <t>15</t>
        </is>
      </c>
      <c r="AW2633" t="inlineStr">
        <is>
          <t>0</t>
        </is>
      </c>
      <c r="AX2633" t="inlineStr">
        <is>
          <t>Not Qualified</t>
        </is>
      </c>
      <c r="AY2633" s="4"/>
      <c r="AZ2633"/>
      <c r="BA2633"/>
      <c r="BB2633"/>
      <c r="BC2633" t="inlineStr">
        <is>
          <t>Follow up with client about this too, help to share the bundle 365 and provide RM 988 discount as per said</t>
        </is>
      </c>
      <c r="BD2633" s="4">
        <v>46141.665034722224</v>
      </c>
      <c r="BE2633" t="inlineStr">
        <is>
          <t>paid</t>
        </is>
      </c>
      <c r="BF2633"/>
      <c r="BG2633" t="inlineStr">
        <is>
          <t>Reschedule</t>
        </is>
      </c>
      <c r="BH2633" t="inlineStr">
        <is>
          <t>Fauziah Maharan</t>
        </is>
      </c>
      <c r="BI2633" t="inlineStr">
        <is>
          <t>Food / Beverage</t>
        </is>
      </c>
      <c r="BJ2633" s="4">
        <v>46144.75387731481</v>
      </c>
      <c r="BK2633" s="4">
        <v>46089.49518518519</v>
      </c>
      <c r="BL2633" t="inlineStr">
        <is>
          <t>0.0</t>
        </is>
      </c>
      <c r="BM2633" t="inlineStr">
        <is>
          <t>0.0</t>
        </is>
      </c>
      <c r="BN2633" t="inlineStr">
        <is>
          <t>View Company Page</t>
        </is>
      </c>
      <c r="BO2633" s="4">
        <v>46092.59716435185</v>
      </c>
      <c r="BP2633">
        <v>165601</v>
      </c>
      <c r="BQ2633">
        <v>121806</v>
      </c>
      <c r="BR2633" t="inlineStr">
        <is>
          <t>Proforma</t>
        </is>
      </c>
      <c r="BS2633" t="inlineStr">
        <is>
          <t>Free Internship Job</t>
        </is>
      </c>
      <c r="BT2633"/>
      <c r="BU2633"/>
      <c r="BV2633">
        <v>2735768</v>
      </c>
      <c r="BW2633" t="inlineStr">
        <is>
          <t>Follow Up : Decision Pending</t>
        </is>
      </c>
      <c r="BX2633"/>
      <c r="BY2633"/>
      <c r="BZ2633" s="4"/>
      <c r="CA2633"/>
      <c r="CB2633"/>
      <c r="CC2633" s="4"/>
      <c r="CD2633" t="inlineStr">
        <is>
          <t>20</t>
        </is>
      </c>
      <c r="CE2633" t="inlineStr">
        <is>
          <t>0</t>
        </is>
      </c>
      <c r="CF2633" t="inlineStr">
        <is>
          <t>Q2-W01</t>
        </is>
      </c>
      <c r="CG2633" t="inlineStr">
        <is>
          <t>Q2-W02</t>
        </is>
      </c>
      <c r="CH2633"/>
      <c r="CI2633"/>
      <c r="CJ2633" t="inlineStr">
        <is>
          <t>No Paid</t>
        </is>
      </c>
      <c r="CK2633" t="inlineStr">
        <is>
          <t>Not Eligible</t>
        </is>
      </c>
      <c r="CL2633"/>
      <c r="CM2633"/>
    </row>
    <row r="2634" ht="25.5" customHeight="1">
      <c r="A2634" t="inlineStr">
        <is>
          <t>191833</t>
        </is>
      </c>
      <c r="B2634" s="2"/>
      <c r="C2634"/>
      <c r="D2634" s="3">
        <v>46119.47310185185</v>
      </c>
      <c r="E2634" t="inlineStr">
        <is>
          <t>Q2-W01</t>
        </is>
      </c>
      <c r="F2634" t="inlineStr">
        <is>
          <t>Dickson</t>
        </is>
      </c>
      <c r="G2634" t="inlineStr">
        <is>
          <t>Customer</t>
        </is>
      </c>
      <c r="H2634" s="2" t="str">
        <f>=HYPERLINK("https://upbox.ajobthing.my/customer/191833", "https://upbox.ajobthing.my/customer/191833")</f>
        <v>https://upbox.ajobthing.my/customer/191833</v>
      </c>
      <c r="I2634" t="inlineStr">
        <is>
          <t>Edumaju Reema Services</t>
        </is>
      </c>
      <c r="J2634" t="inlineStr">
        <is>
          <t>Small Fish</t>
        </is>
      </c>
      <c r="K2634" t="inlineStr">
        <is>
          <t>Dickson</t>
        </is>
      </c>
      <c r="L2634" s="4"/>
      <c r="M2634" s="4">
        <v>46119.47383101852</v>
      </c>
      <c r="N2634"/>
      <c r="O2634">
        <v>1296</v>
      </c>
      <c r="P2634" s="4"/>
      <c r="Q2634" s="4"/>
      <c r="R2634"/>
      <c r="S2634"/>
      <c r="T2634" s="4"/>
      <c r="U2634" s="4"/>
      <c r="V2634"/>
      <c r="W2634"/>
      <c r="X2634"/>
      <c r="Y2634" t="inlineStr">
        <is>
          <t>Pending Appointment</t>
        </is>
      </c>
      <c r="Z2634" t="inlineStr">
        <is>
          <t>Hiring Now</t>
        </is>
      </c>
      <c r="AA2634">
        <v>1</v>
      </c>
      <c r="AB2634" t="inlineStr">
        <is>
          <t>No Appointment Made</t>
        </is>
      </c>
      <c r="AC2634"/>
      <c r="AD2634" t="inlineStr">
        <is>
          <t xml:space="preserve"> 1 supervisor</t>
        </is>
      </c>
      <c r="AE2634"/>
      <c r="AF2634"/>
      <c r="AG2634" s="4"/>
      <c r="AH2634" s="4"/>
      <c r="AI2634"/>
      <c r="AJ2634">
        <v>1</v>
      </c>
      <c r="AK2634" t="inlineStr">
        <is>
          <t>No, I don't need at all</t>
        </is>
      </c>
      <c r="AL2634"/>
      <c r="AM2634" t="inlineStr">
        <is>
          <t>No, I don't need at all</t>
        </is>
      </c>
      <c r="AN2634"/>
      <c r="AO2634" t="inlineStr">
        <is>
          <t>No, I don't need at all</t>
        </is>
      </c>
      <c r="AP2634" t="inlineStr">
        <is>
          <t>Once per quarter (75%)</t>
        </is>
      </c>
      <c r="AQ2634"/>
      <c r="AR2634"/>
      <c r="AS2634" t="inlineStr">
        <is>
          <t>- Headcount: 1
- Hiring Job Details: 1 supervisor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634">
        <v>90</v>
      </c>
      <c r="AU2634" t="inlineStr">
        <is>
          <t>0.90</t>
        </is>
      </c>
      <c r="AV2634" t="inlineStr">
        <is>
          <t>5</t>
        </is>
      </c>
      <c r="AW2634" t="inlineStr">
        <is>
          <t>0</t>
        </is>
      </c>
      <c r="AX2634" t="inlineStr">
        <is>
          <t>Not Qualified</t>
        </is>
      </c>
      <c r="AY2634" s="4"/>
      <c r="AZ2634"/>
      <c r="BA2634"/>
      <c r="BB2634"/>
      <c r="BC2634" t="inlineStr">
        <is>
          <t>put on hold, no decision from company</t>
        </is>
      </c>
      <c r="BD2634" s="4">
        <v>46133.47733796296</v>
      </c>
      <c r="BE2634"/>
      <c r="BF2634"/>
      <c r="BG2634" t="inlineStr">
        <is>
          <t>Reschedule</t>
        </is>
      </c>
      <c r="BH2634" t="inlineStr">
        <is>
          <t>Edward Hoo</t>
        </is>
      </c>
      <c r="BI2634"/>
      <c r="BJ2634" s="4">
        <v>46144.7524537037</v>
      </c>
      <c r="BK2634" s="4">
        <v>45804.481354166666</v>
      </c>
      <c r="BL2634" t="inlineStr">
        <is>
          <t>0.0</t>
        </is>
      </c>
      <c r="BM2634" t="inlineStr">
        <is>
          <t>0.0</t>
        </is>
      </c>
      <c r="BN2634" t="inlineStr">
        <is>
          <t>View Company Page</t>
        </is>
      </c>
      <c r="BO2634" s="4">
        <v>45804.48310185185</v>
      </c>
      <c r="BP2634">
        <v>165603</v>
      </c>
      <c r="BQ2634"/>
      <c r="BR2634"/>
      <c r="BS2634"/>
      <c r="BT2634"/>
      <c r="BU2634"/>
      <c r="BV2634">
        <v>2717428</v>
      </c>
      <c r="BW2634" t="inlineStr">
        <is>
          <t>Follow Up : Lost - Free Portal</t>
        </is>
      </c>
      <c r="BX2634"/>
      <c r="BY2634"/>
      <c r="BZ2634" s="4"/>
      <c r="CA2634"/>
      <c r="CB2634"/>
      <c r="CC2634" s="4"/>
      <c r="CD2634" t="inlineStr">
        <is>
          <t>5</t>
        </is>
      </c>
      <c r="CE2634" t="inlineStr">
        <is>
          <t>0</t>
        </is>
      </c>
      <c r="CF2634" t="inlineStr">
        <is>
          <t>Q2-W01</t>
        </is>
      </c>
      <c r="CG2634"/>
      <c r="CH2634"/>
      <c r="CI2634"/>
      <c r="CJ2634" t="inlineStr">
        <is>
          <t>No Paid</t>
        </is>
      </c>
      <c r="CK2634" t="inlineStr">
        <is>
          <t>Not Eligible</t>
        </is>
      </c>
      <c r="CL2634"/>
      <c r="CM2634"/>
    </row>
    <row r="2635" ht="25.5" customHeight="1">
      <c r="A2635" t="inlineStr">
        <is>
          <t>4251785</t>
        </is>
      </c>
      <c r="B2635" s="2"/>
      <c r="C2635"/>
      <c r="D2635" s="3">
        <v>46119.4741087963</v>
      </c>
      <c r="E2635" t="inlineStr">
        <is>
          <t>Q2-W01</t>
        </is>
      </c>
      <c r="F2635" t="inlineStr">
        <is>
          <t>Evan</t>
        </is>
      </c>
      <c r="G2635" t="inlineStr">
        <is>
          <t>Lead</t>
        </is>
      </c>
      <c r="H2635" s="2" t="str">
        <f>=HYPERLINK("https://upbox.ajobthing.my/leads/4251785", "https://upbox.ajobthing.my/leads/4251785")</f>
        <v>https://upbox.ajobthing.my/leads/4251785</v>
      </c>
      <c r="I2635" t="inlineStr">
        <is>
          <t>Seoul Jinsot</t>
        </is>
      </c>
      <c r="J2635" t="inlineStr">
        <is>
          <t>Small Fish</t>
        </is>
      </c>
      <c r="K2635" t="inlineStr">
        <is>
          <t>Evan</t>
        </is>
      </c>
      <c r="L2635" s="4"/>
      <c r="M2635" s="4">
        <v>46119.47225694444</v>
      </c>
      <c r="N2635"/>
      <c r="O2635">
        <v>3888</v>
      </c>
      <c r="P2635" s="4"/>
      <c r="Q2635" s="4"/>
      <c r="R2635"/>
      <c r="S2635"/>
      <c r="T2635" s="4"/>
      <c r="U2635" s="4"/>
      <c r="V2635"/>
      <c r="W2635"/>
      <c r="X2635"/>
      <c r="Y2635" t="inlineStr">
        <is>
          <t>Pending Appointment</t>
        </is>
      </c>
      <c r="Z2635" t="inlineStr">
        <is>
          <t>Hiring Now</t>
        </is>
      </c>
      <c r="AA2635">
        <v>1</v>
      </c>
      <c r="AB2635" t="inlineStr">
        <is>
          <t>No Appointment Made</t>
        </is>
      </c>
      <c r="AC2635"/>
      <c r="AD2635" t="inlineStr">
        <is>
          <t>1 cashier, all base in KL</t>
        </is>
      </c>
      <c r="AE2635"/>
      <c r="AF2635">
        <v>1</v>
      </c>
      <c r="AG2635" s="4"/>
      <c r="AH2635" s="4"/>
      <c r="AI2635">
        <v>1</v>
      </c>
      <c r="AJ2635">
        <v>1</v>
      </c>
      <c r="AK2635" t="inlineStr">
        <is>
          <t>No, I don't need at all</t>
        </is>
      </c>
      <c r="AL2635">
        <v>1</v>
      </c>
      <c r="AM2635" t="inlineStr">
        <is>
          <t>No, I don't need at all</t>
        </is>
      </c>
      <c r="AN2635"/>
      <c r="AO2635" t="inlineStr">
        <is>
          <t>No, I don't need at all</t>
        </is>
      </c>
      <c r="AP2635" t="inlineStr">
        <is>
          <t>Once a year (25%)</t>
        </is>
      </c>
      <c r="AQ2635">
        <v>2</v>
      </c>
      <c r="AR2635" t="inlineStr">
        <is>
          <t>Did not use any job portal</t>
        </is>
      </c>
      <c r="AS2635" t="inlineStr">
        <is>
          <t>- Headcount: 1
- Hiring Job Details: 1 cashier, all based in KL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2
- Hiring frequency: Once a year (25%)
- External job portal: Did not use any job portal</t>
        </is>
      </c>
      <c r="AT2635">
        <v>110</v>
      </c>
      <c r="AU2635" t="inlineStr">
        <is>
          <t>1.10</t>
        </is>
      </c>
      <c r="AV2635" t="inlineStr">
        <is>
          <t>15</t>
        </is>
      </c>
      <c r="AW2635" t="inlineStr">
        <is>
          <t>0</t>
        </is>
      </c>
      <c r="AX2635" t="inlineStr">
        <is>
          <t>Not Qualified</t>
        </is>
      </c>
      <c r="AY2635" s="4"/>
      <c r="AZ2635"/>
      <c r="BA2635"/>
      <c r="BB2635"/>
      <c r="BC2635"/>
      <c r="BD2635" s="4"/>
      <c r="BE2635"/>
      <c r="BF2635"/>
      <c r="BG2635" t="inlineStr">
        <is>
          <t>Reschedule</t>
        </is>
      </c>
      <c r="BH2635" t="inlineStr">
        <is>
          <t>Edward Hoo</t>
        </is>
      </c>
      <c r="BI2635"/>
      <c r="BJ2635" s="4">
        <v>46144.75571759259</v>
      </c>
      <c r="BK2635" s="4">
        <v>46118.49040509259</v>
      </c>
      <c r="BL2635" t="inlineStr">
        <is>
          <t>0.0</t>
        </is>
      </c>
      <c r="BM2635" t="inlineStr">
        <is>
          <t>0.0</t>
        </is>
      </c>
      <c r="BN2635"/>
      <c r="BO2635" s="4"/>
      <c r="BP2635">
        <v>165600</v>
      </c>
      <c r="BQ2635"/>
      <c r="BR2635"/>
      <c r="BS2635"/>
      <c r="BT2635"/>
      <c r="BU2635"/>
      <c r="BV2635"/>
      <c r="BW2635"/>
      <c r="BX2635"/>
      <c r="BY2635"/>
      <c r="BZ2635" s="4"/>
      <c r="CA2635"/>
      <c r="CB2635"/>
      <c r="CC2635" s="4"/>
      <c r="CD2635" t="inlineStr">
        <is>
          <t>20</t>
        </is>
      </c>
      <c r="CE2635" t="inlineStr">
        <is>
          <t>0</t>
        </is>
      </c>
      <c r="CF2635" t="inlineStr">
        <is>
          <t>Q2-W01</t>
        </is>
      </c>
      <c r="CG2635"/>
      <c r="CH2635"/>
      <c r="CI2635"/>
      <c r="CJ2635" t="inlineStr">
        <is>
          <t>No Paid</t>
        </is>
      </c>
      <c r="CK2635" t="inlineStr">
        <is>
          <t>Not Eligible</t>
        </is>
      </c>
      <c r="CL2635"/>
      <c r="CM2635"/>
    </row>
    <row r="2636" ht="25.5" customHeight="1">
      <c r="A2636" t="inlineStr">
        <is>
          <t>158858</t>
        </is>
      </c>
      <c r="B2636" s="2"/>
      <c r="C2636"/>
      <c r="D2636" s="3">
        <v>46119.47487268518</v>
      </c>
      <c r="E2636" t="inlineStr">
        <is>
          <t>Q2-W01</t>
        </is>
      </c>
      <c r="F2636" t="inlineStr">
        <is>
          <t>Keegan</t>
        </is>
      </c>
      <c r="G2636" t="inlineStr">
        <is>
          <t>Customer</t>
        </is>
      </c>
      <c r="H2636" s="2" t="str">
        <f>=HYPERLINK("https://upbox.ajobthing.my/customer/158858", "https://upbox.ajobthing.my/customer/158858")</f>
        <v>https://upbox.ajobthing.my/customer/158858</v>
      </c>
      <c r="I2636" t="inlineStr">
        <is>
          <t>Safurahuda Medicare Sdn Bhd</t>
        </is>
      </c>
      <c r="J2636" t="inlineStr">
        <is>
          <t>Small Fish</t>
        </is>
      </c>
      <c r="K2636" t="inlineStr">
        <is>
          <t>Keegan</t>
        </is>
      </c>
      <c r="L2636" s="4"/>
      <c r="M2636" s="4">
        <v>46119.4750462963</v>
      </c>
      <c r="N2636"/>
      <c r="O2636">
        <v>3672</v>
      </c>
      <c r="P2636" s="4"/>
      <c r="Q2636" s="4"/>
      <c r="R2636"/>
      <c r="S2636"/>
      <c r="T2636" s="4"/>
      <c r="U2636" s="4"/>
      <c r="V2636"/>
      <c r="W2636"/>
      <c r="X2636"/>
      <c r="Y2636" t="inlineStr">
        <is>
          <t>Pending Appointment</t>
        </is>
      </c>
      <c r="Z2636" t="inlineStr">
        <is>
          <t>Hiring Now</t>
        </is>
      </c>
      <c r="AA2636">
        <v>1</v>
      </c>
      <c r="AB2636" t="inlineStr">
        <is>
          <t>No Appointment Made</t>
        </is>
      </c>
      <c r="AC2636"/>
      <c r="AD2636" t="inlineStr">
        <is>
          <t>1. Clinic Assistant</t>
        </is>
      </c>
      <c r="AE2636"/>
      <c r="AF2636"/>
      <c r="AG2636" s="4"/>
      <c r="AH2636" s="4"/>
      <c r="AI2636"/>
      <c r="AJ2636">
        <v>1</v>
      </c>
      <c r="AK2636" t="inlineStr">
        <is>
          <t>No, I don't need at all</t>
        </is>
      </c>
      <c r="AL2636">
        <v>0</v>
      </c>
      <c r="AM2636" t="inlineStr">
        <is>
          <t>No, I don't need at all</t>
        </is>
      </c>
      <c r="AN2636"/>
      <c r="AO2636" t="inlineStr">
        <is>
          <t>No, but I want in future</t>
        </is>
      </c>
      <c r="AP2636" t="inlineStr">
        <is>
          <t>Once per quarter (75%)</t>
        </is>
      </c>
      <c r="AQ2636"/>
      <c r="AR2636" t="inlineStr">
        <is>
          <t>Did not use any job portal</t>
        </is>
      </c>
      <c r="AS2636" t="inlineStr">
        <is>
          <t>- Headcount: 1
- Hiring Job Details: 1 Clinic Assistant
- Hiring Urgency: Hiring Now
- Number of outlets: 1
- Have recruiter team: No, I don't need at all
- Number of recruiter in company: 0
- Have ATS system: No, I don't need at all
- Have career website: No, but I want in future
- Current hiring budget: Not specified
- Whole year budget: Not specified
- Whole year number of vacancies: Not specified
- Hiring frequency: Once per quarter (75%)
- External job portal: Did not use any job portal</t>
        </is>
      </c>
      <c r="AT2636">
        <v>95</v>
      </c>
      <c r="AU2636" t="inlineStr">
        <is>
          <t>0.95</t>
        </is>
      </c>
      <c r="AV2636" t="inlineStr">
        <is>
          <t>5</t>
        </is>
      </c>
      <c r="AW2636" t="inlineStr">
        <is>
          <t>0</t>
        </is>
      </c>
      <c r="AX2636" t="inlineStr">
        <is>
          <t>Not Qualified</t>
        </is>
      </c>
      <c r="AY2636" s="4"/>
      <c r="AZ2636"/>
      <c r="BA2636"/>
      <c r="BB2636"/>
      <c r="BC2636" t="inlineStr">
        <is>
          <t>- Headcount: 1
- Hiring Job Details: 1 Clinic Assistant
- Hiring Urgency: Hiring Now
- Number of outlets: 1
- Have recruiter team: No, I don't need at all
- Number of recruiter in company: 0
- Have ATS system: No, I don't need at all
- Have career website: No, but I want in future
- Current hiring budget: Not specified
- Whole year budget: Not specified
- Whole year number of vacancies: Not specified
- Hiring frequency: Once per quarter (75%)
- External job portal: Did not use any job portal</t>
        </is>
      </c>
      <c r="BD2636" s="4">
        <v>46119.50003472222</v>
      </c>
      <c r="BE2636"/>
      <c r="BF2636"/>
      <c r="BG2636" t="inlineStr">
        <is>
          <t>Reschedule</t>
        </is>
      </c>
      <c r="BH2636" t="inlineStr">
        <is>
          <t>Edward Hoo</t>
        </is>
      </c>
      <c r="BI2636"/>
      <c r="BJ2636" s="4">
        <v>46144.75104166667</v>
      </c>
      <c r="BK2636" s="4">
        <v>44795.706238425926</v>
      </c>
      <c r="BL2636" t="inlineStr">
        <is>
          <t>0.0</t>
        </is>
      </c>
      <c r="BM2636" t="inlineStr">
        <is>
          <t>0.0</t>
        </is>
      </c>
      <c r="BN2636" t="inlineStr">
        <is>
          <t>View Create Job Page</t>
        </is>
      </c>
      <c r="BO2636" s="4">
        <v>44795.707291666666</v>
      </c>
      <c r="BP2636">
        <v>165604</v>
      </c>
      <c r="BQ2636"/>
      <c r="BR2636"/>
      <c r="BS2636"/>
      <c r="BT2636"/>
      <c r="BU2636"/>
      <c r="BV2636">
        <v>2688660</v>
      </c>
      <c r="BW2636" t="inlineStr">
        <is>
          <t>Customer Inquiry</t>
        </is>
      </c>
      <c r="BX2636"/>
      <c r="BY2636"/>
      <c r="BZ2636" s="4"/>
      <c r="CA2636"/>
      <c r="CB2636"/>
      <c r="CC2636" s="4"/>
      <c r="CD2636" t="inlineStr">
        <is>
          <t>5</t>
        </is>
      </c>
      <c r="CE2636" t="inlineStr">
        <is>
          <t>0</t>
        </is>
      </c>
      <c r="CF2636" t="inlineStr">
        <is>
          <t>Q2-W01</t>
        </is>
      </c>
      <c r="CG2636"/>
      <c r="CH2636"/>
      <c r="CI2636"/>
      <c r="CJ2636" t="inlineStr">
        <is>
          <t>No Paid</t>
        </is>
      </c>
      <c r="CK2636" t="inlineStr">
        <is>
          <t>Not Eligible</t>
        </is>
      </c>
      <c r="CL2636"/>
      <c r="CM2636"/>
    </row>
    <row r="2637" ht="25.5" customHeight="1">
      <c r="A2637" t="inlineStr">
        <is>
          <t>125883</t>
        </is>
      </c>
      <c r="B2637" s="2"/>
      <c r="C2637"/>
      <c r="D2637" s="3">
        <v>46119.47605324074</v>
      </c>
      <c r="E2637" t="inlineStr">
        <is>
          <t>Q2-W01</t>
        </is>
      </c>
      <c r="F2637" t="inlineStr">
        <is>
          <t>Janice Yap</t>
        </is>
      </c>
      <c r="G2637" t="inlineStr">
        <is>
          <t>Customer</t>
        </is>
      </c>
      <c r="H2637" s="2" t="str">
        <f>=HYPERLINK("https://upbox.ajobthing.my/customer/125883", "https://upbox.ajobthing.my/customer/125883")</f>
        <v>https://upbox.ajobthing.my/customer/125883</v>
      </c>
      <c r="I2637" t="inlineStr">
        <is>
          <t>HRs Mgmt Sdn Bhd</t>
        </is>
      </c>
      <c r="J2637" t="inlineStr">
        <is>
          <t>Small Fish</t>
        </is>
      </c>
      <c r="K2637" t="inlineStr">
        <is>
          <t>Janice</t>
        </is>
      </c>
      <c r="L2637" s="4"/>
      <c r="M2637" s="4">
        <v>46119.47311342593</v>
      </c>
      <c r="N2637"/>
      <c r="O2637">
        <v>3888</v>
      </c>
      <c r="P2637" s="4"/>
      <c r="Q2637" s="4"/>
      <c r="R2637"/>
      <c r="S2637"/>
      <c r="T2637" s="4"/>
      <c r="U2637" s="4"/>
      <c r="V2637"/>
      <c r="W2637"/>
      <c r="X2637"/>
      <c r="Y2637" t="inlineStr">
        <is>
          <t>Pending Appointment</t>
        </is>
      </c>
      <c r="Z2637" t="inlineStr">
        <is>
          <t>Hiring Now</t>
        </is>
      </c>
      <c r="AA2637">
        <v>1</v>
      </c>
      <c r="AB2637" t="inlineStr">
        <is>
          <t>No Appointment Made</t>
        </is>
      </c>
      <c r="AC2637"/>
      <c r="AD2637" t="inlineStr">
        <is>
          <t>1 admin</t>
        </is>
      </c>
      <c r="AE2637"/>
      <c r="AF2637">
        <v>0</v>
      </c>
      <c r="AG2637" s="4"/>
      <c r="AH2637" s="4"/>
      <c r="AI2637">
        <v>0</v>
      </c>
      <c r="AJ2637"/>
      <c r="AK2637" t="inlineStr">
        <is>
          <t>No, I don't need at all</t>
        </is>
      </c>
      <c r="AL2637">
        <v>0</v>
      </c>
      <c r="AM2637" t="inlineStr">
        <is>
          <t>No, I don't need at all</t>
        </is>
      </c>
      <c r="AN2637"/>
      <c r="AO2637" t="inlineStr">
        <is>
          <t>No, I don't need at all</t>
        </is>
      </c>
      <c r="AP2637" t="inlineStr">
        <is>
          <t>Once a year (25%)</t>
        </is>
      </c>
      <c r="AQ2637">
        <v>1</v>
      </c>
      <c r="AR2637" t="inlineStr">
        <is>
          <t>Did not use any job portal</t>
        </is>
      </c>
      <c r="AS2637"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2637">
        <v>120</v>
      </c>
      <c r="AU2637" t="inlineStr">
        <is>
          <t>1.20</t>
        </is>
      </c>
      <c r="AV2637" t="inlineStr">
        <is>
          <t>15</t>
        </is>
      </c>
      <c r="AW2637" t="inlineStr">
        <is>
          <t>0</t>
        </is>
      </c>
      <c r="AX2637" t="inlineStr">
        <is>
          <t>Not Qualified</t>
        </is>
      </c>
      <c r="AY2637" s="4"/>
      <c r="AZ2637"/>
      <c r="BA2637"/>
      <c r="BB2637"/>
      <c r="BC2637" t="inlineStr">
        <is>
          <t>No need // not interested // anything please send email only</t>
        </is>
      </c>
      <c r="BD2637" s="4">
        <v>46121.43732638889</v>
      </c>
      <c r="BE2637"/>
      <c r="BF2637"/>
      <c r="BG2637" t="inlineStr">
        <is>
          <t>Reschedule</t>
        </is>
      </c>
      <c r="BH2637" t="inlineStr">
        <is>
          <t>Yee Hang</t>
        </is>
      </c>
      <c r="BI2637" t="inlineStr">
        <is>
          <t>Other industries</t>
        </is>
      </c>
      <c r="BJ2637" s="4">
        <v>46144.75037037037</v>
      </c>
      <c r="BK2637" s="4">
        <v>43903.518483796295</v>
      </c>
      <c r="BL2637" t="inlineStr">
        <is>
          <t>0.0</t>
        </is>
      </c>
      <c r="BM2637" t="inlineStr">
        <is>
          <t>0.0</t>
        </is>
      </c>
      <c r="BN2637" t="inlineStr">
        <is>
          <t>View Jobmanager Page</t>
        </is>
      </c>
      <c r="BO2637" s="4">
        <v>45929.66307870371</v>
      </c>
      <c r="BP2637">
        <v>165602</v>
      </c>
      <c r="BQ2637"/>
      <c r="BR2637"/>
      <c r="BS2637"/>
      <c r="BT2637"/>
      <c r="BU2637"/>
      <c r="BV2637">
        <v>2694688</v>
      </c>
      <c r="BW2637" t="inlineStr">
        <is>
          <t>Follow Up : Budget Concern</t>
        </is>
      </c>
      <c r="BX2637"/>
      <c r="BY2637"/>
      <c r="BZ2637" s="4"/>
      <c r="CA2637"/>
      <c r="CB2637"/>
      <c r="CC2637" s="4"/>
      <c r="CD2637" t="inlineStr">
        <is>
          <t>20</t>
        </is>
      </c>
      <c r="CE2637" t="inlineStr">
        <is>
          <t>0</t>
        </is>
      </c>
      <c r="CF2637" t="inlineStr">
        <is>
          <t>Q2-W01</t>
        </is>
      </c>
      <c r="CG2637"/>
      <c r="CH2637"/>
      <c r="CI2637"/>
      <c r="CJ2637" t="inlineStr">
        <is>
          <t>No Paid</t>
        </is>
      </c>
      <c r="CK2637" t="inlineStr">
        <is>
          <t>Not Eligible</t>
        </is>
      </c>
      <c r="CL2637"/>
      <c r="CM2637"/>
    </row>
    <row r="2638" ht="25.5" customHeight="1">
      <c r="A2638" t="inlineStr">
        <is>
          <t>157778</t>
        </is>
      </c>
      <c r="B2638" s="2"/>
      <c r="C2638"/>
      <c r="D2638" s="3">
        <v>46119.480729166666</v>
      </c>
      <c r="E2638" t="inlineStr">
        <is>
          <t>Q2-W01</t>
        </is>
      </c>
      <c r="F2638" t="inlineStr">
        <is>
          <t>Luqman</t>
        </is>
      </c>
      <c r="G2638" t="inlineStr">
        <is>
          <t>Customer</t>
        </is>
      </c>
      <c r="H2638" s="2" t="str">
        <f>=HYPERLINK("https://upbox.ajobthing.my/customer/157778", "https://upbox.ajobthing.my/customer/157778")</f>
        <v>https://upbox.ajobthing.my/customer/157778</v>
      </c>
      <c r="I2638" t="inlineStr">
        <is>
          <t>CSX Logistics Sdn Bhd</t>
        </is>
      </c>
      <c r="J2638" t="inlineStr">
        <is>
          <t>Small Fish</t>
        </is>
      </c>
      <c r="K2638" t="inlineStr">
        <is>
          <t>Luqman</t>
        </is>
      </c>
      <c r="L2638" s="4"/>
      <c r="M2638" s="4">
        <v>46119.48101851852</v>
      </c>
      <c r="N2638"/>
      <c r="O2638">
        <v>3576.96</v>
      </c>
      <c r="P2638" s="4"/>
      <c r="Q2638" s="4"/>
      <c r="R2638"/>
      <c r="S2638"/>
      <c r="T2638" s="4"/>
      <c r="U2638" s="4"/>
      <c r="V2638"/>
      <c r="W2638"/>
      <c r="X2638"/>
      <c r="Y2638" t="inlineStr">
        <is>
          <t>Pending Appointment</t>
        </is>
      </c>
      <c r="Z2638" t="inlineStr">
        <is>
          <t>Hiring Later</t>
        </is>
      </c>
      <c r="AA2638">
        <v>1</v>
      </c>
      <c r="AB2638" t="inlineStr">
        <is>
          <t>No Appointment Made</t>
        </is>
      </c>
      <c r="AC2638"/>
      <c r="AD2638" t="inlineStr">
        <is>
          <t xml:space="preserve">1. Purchaser </t>
        </is>
      </c>
      <c r="AE2638"/>
      <c r="AF2638">
        <v>1200</v>
      </c>
      <c r="AG2638" s="4"/>
      <c r="AH2638" s="4"/>
      <c r="AI2638">
        <v>1200</v>
      </c>
      <c r="AJ2638"/>
      <c r="AK2638" t="inlineStr">
        <is>
          <t>No, I don't need at all</t>
        </is>
      </c>
      <c r="AL2638">
        <v>1</v>
      </c>
      <c r="AM2638" t="inlineStr">
        <is>
          <t>No, I don't need at all</t>
        </is>
      </c>
      <c r="AN2638"/>
      <c r="AO2638" t="inlineStr">
        <is>
          <t>No, I don't need at all</t>
        </is>
      </c>
      <c r="AP2638" t="inlineStr">
        <is>
          <t>Once a year (25%)</t>
        </is>
      </c>
      <c r="AQ2638">
        <v>1</v>
      </c>
      <c r="AR2638" t="inlineStr">
        <is>
          <t>Jobstreet</t>
        </is>
      </c>
      <c r="AS2638" t="inlineStr">
        <is>
          <t>- Headcount: 1
- Hiring Job Details: 1 Purchaser
- Hiring Urgency: Hiring Later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is>
      </c>
      <c r="AT2638">
        <v>115</v>
      </c>
      <c r="AU2638" t="inlineStr">
        <is>
          <t>1.15</t>
        </is>
      </c>
      <c r="AV2638" t="inlineStr">
        <is>
          <t>15</t>
        </is>
      </c>
      <c r="AW2638" t="inlineStr">
        <is>
          <t>0</t>
        </is>
      </c>
      <c r="AX2638" t="inlineStr">
        <is>
          <t>Not Qualified</t>
        </is>
      </c>
      <c r="AY2638" s="4"/>
      <c r="AZ2638"/>
      <c r="BA2638"/>
      <c r="BB2638"/>
      <c r="BC2638" t="inlineStr">
        <is>
          <t>Lost Paid Portal</t>
        </is>
      </c>
      <c r="BD2638" s="4">
        <v>46128.65819444445</v>
      </c>
      <c r="BE2638"/>
      <c r="BF2638"/>
      <c r="BG2638" t="inlineStr">
        <is>
          <t>Reschedule</t>
        </is>
      </c>
      <c r="BH2638" t="inlineStr">
        <is>
          <t>Edward Hoo</t>
        </is>
      </c>
      <c r="BI2638" t="inlineStr">
        <is>
          <t>Transportation / Logistics</t>
        </is>
      </c>
      <c r="BJ2638" s="4">
        <v>46144.75101851852</v>
      </c>
      <c r="BK2638" s="4">
        <v>44770.68206018519</v>
      </c>
      <c r="BL2638" t="inlineStr">
        <is>
          <t>0.0</t>
        </is>
      </c>
      <c r="BM2638" t="inlineStr">
        <is>
          <t>0.0</t>
        </is>
      </c>
      <c r="BN2638" t="inlineStr">
        <is>
          <t>User Visit(Logged In)</t>
        </is>
      </c>
      <c r="BO2638" s="4">
        <v>45908.644375</v>
      </c>
      <c r="BP2638">
        <v>165606</v>
      </c>
      <c r="BQ2638"/>
      <c r="BR2638"/>
      <c r="BS2638"/>
      <c r="BT2638"/>
      <c r="BU2638"/>
      <c r="BV2638">
        <v>2709948</v>
      </c>
      <c r="BW2638" t="inlineStr">
        <is>
          <t>Follow Up : Lost - Paid Portal</t>
        </is>
      </c>
      <c r="BX2638"/>
      <c r="BY2638"/>
      <c r="BZ2638" s="4"/>
      <c r="CA2638"/>
      <c r="CB2638"/>
      <c r="CC2638" s="4"/>
      <c r="CD2638" t="inlineStr">
        <is>
          <t>20</t>
        </is>
      </c>
      <c r="CE2638" t="inlineStr">
        <is>
          <t>0</t>
        </is>
      </c>
      <c r="CF2638" t="inlineStr">
        <is>
          <t>Q2-W01</t>
        </is>
      </c>
      <c r="CG2638"/>
      <c r="CH2638"/>
      <c r="CI2638"/>
      <c r="CJ2638" t="inlineStr">
        <is>
          <t>No Paid</t>
        </is>
      </c>
      <c r="CK2638" t="inlineStr">
        <is>
          <t>Not Eligible</t>
        </is>
      </c>
      <c r="CL2638"/>
      <c r="CM2638"/>
    </row>
    <row r="2639" ht="25.5" customHeight="1">
      <c r="A2639" t="inlineStr">
        <is>
          <t>202924</t>
        </is>
      </c>
      <c r="B2639" s="2"/>
      <c r="C2639"/>
      <c r="D2639" s="3">
        <v>46119.4874537037</v>
      </c>
      <c r="E2639" t="inlineStr">
        <is>
          <t>Q2-W01</t>
        </is>
      </c>
      <c r="F2639" t="inlineStr">
        <is>
          <t>Luqman</t>
        </is>
      </c>
      <c r="G2639" t="inlineStr">
        <is>
          <t>Customer</t>
        </is>
      </c>
      <c r="H2639" s="2" t="str">
        <f>=HYPERLINK("https://upbox.ajobthing.my/customer/202924", "https://upbox.ajobthing.my/customer/202924")</f>
        <v>https://upbox.ajobthing.my/customer/202924</v>
      </c>
      <c r="I2639" t="inlineStr">
        <is>
          <t>Tasek Cranes Movers Sdn Bhd</t>
        </is>
      </c>
      <c r="J2639" t="inlineStr">
        <is>
          <t>Small Fish</t>
        </is>
      </c>
      <c r="K2639" t="inlineStr">
        <is>
          <t>Luqman</t>
        </is>
      </c>
      <c r="L2639" s="4"/>
      <c r="M2639" s="4">
        <v>46119.487604166665</v>
      </c>
      <c r="N2639"/>
      <c r="O2639">
        <v>864</v>
      </c>
      <c r="P2639" s="4"/>
      <c r="Q2639" s="4">
        <v>46119.47690972222</v>
      </c>
      <c r="R2639"/>
      <c r="S2639">
        <v>0</v>
      </c>
      <c r="T2639" s="4"/>
      <c r="U2639" s="4"/>
      <c r="V2639"/>
      <c r="W2639"/>
      <c r="X2639"/>
      <c r="Y2639" t="inlineStr">
        <is>
          <t>Pending Appointment</t>
        </is>
      </c>
      <c r="Z2639" t="inlineStr">
        <is>
          <t>Hiring Now</t>
        </is>
      </c>
      <c r="AA2639">
        <v>1</v>
      </c>
      <c r="AB2639" t="inlineStr">
        <is>
          <t>No Appointment Made</t>
        </is>
      </c>
      <c r="AC2639"/>
      <c r="AD2639" t="inlineStr">
        <is>
          <t xml:space="preserve">Account Clerk </t>
        </is>
      </c>
      <c r="AE2639"/>
      <c r="AF2639">
        <v>800</v>
      </c>
      <c r="AG2639" s="4"/>
      <c r="AH2639" s="4"/>
      <c r="AI2639">
        <v>800</v>
      </c>
      <c r="AJ2639"/>
      <c r="AK2639" t="inlineStr">
        <is>
          <t>No, I don't need at all</t>
        </is>
      </c>
      <c r="AL2639">
        <v>1</v>
      </c>
      <c r="AM2639" t="inlineStr">
        <is>
          <t>No, I don't need at all</t>
        </is>
      </c>
      <c r="AN2639"/>
      <c r="AO2639" t="inlineStr">
        <is>
          <t>No, but I want in future</t>
        </is>
      </c>
      <c r="AP2639" t="inlineStr">
        <is>
          <t>Once a year (25%)</t>
        </is>
      </c>
      <c r="AQ2639">
        <v>1</v>
      </c>
      <c r="AR2639" t="inlineStr">
        <is>
          <t>Free Job Portal</t>
        </is>
      </c>
      <c r="AS2639" t="inlineStr">
        <is>
          <t>- Headcount: 1
- Hiring Job Details: Account Clerk
- Hiring Urgency: Hiring Now
- Number of outlets: 
- Have recruiter team: No, I don't need at all
- Number of recruiter in company: 1
- Have ATS system: No, I don't need at all
- Have career website: No, but I want in future
- Current hiring budget: RM800
- Whole year budget: RM800.00
- Whole year number of vacancies: 1
- Hiring frequency: Once a year (25%)
- External job portal: Free Job Portal</t>
        </is>
      </c>
      <c r="AT2639">
        <v>115</v>
      </c>
      <c r="AU2639" t="inlineStr">
        <is>
          <t>1.15</t>
        </is>
      </c>
      <c r="AV2639" t="inlineStr">
        <is>
          <t>15</t>
        </is>
      </c>
      <c r="AW2639" t="inlineStr">
        <is>
          <t>0</t>
        </is>
      </c>
      <c r="AX2639" t="inlineStr">
        <is>
          <t>Not Qualified</t>
        </is>
      </c>
      <c r="AY2639" s="4"/>
      <c r="AZ2639"/>
      <c r="BA2639"/>
      <c r="BB2639"/>
      <c r="BC2639" t="inlineStr">
        <is>
          <t>Business utilize free portal</t>
        </is>
      </c>
      <c r="BD2639" s="4">
        <v>46125.730844907404</v>
      </c>
      <c r="BE2639" t="inlineStr">
        <is>
          <t>paid</t>
        </is>
      </c>
      <c r="BF2639"/>
      <c r="BG2639" t="inlineStr">
        <is>
          <t>Reschedule</t>
        </is>
      </c>
      <c r="BH2639" t="inlineStr">
        <is>
          <t>Edward Hoo</t>
        </is>
      </c>
      <c r="BI2639"/>
      <c r="BJ2639" s="4">
        <v>46144.754166666666</v>
      </c>
      <c r="BK2639" s="4">
        <v>46119.47640046296</v>
      </c>
      <c r="BL2639" t="inlineStr">
        <is>
          <t>0.0</t>
        </is>
      </c>
      <c r="BM2639" t="inlineStr">
        <is>
          <t>0.0</t>
        </is>
      </c>
      <c r="BN2639" t="inlineStr">
        <is>
          <t>View Account User</t>
        </is>
      </c>
      <c r="BO2639" s="4">
        <v>46119.490381944444</v>
      </c>
      <c r="BP2639">
        <v>165610</v>
      </c>
      <c r="BQ2639">
        <v>120321</v>
      </c>
      <c r="BR2639" t="inlineStr">
        <is>
          <t>Proforma</t>
        </is>
      </c>
      <c r="BS2639" t="inlineStr">
        <is>
          <t>Free Internship Job</t>
        </is>
      </c>
      <c r="BT2639"/>
      <c r="BU2639"/>
      <c r="BV2639">
        <v>2702099</v>
      </c>
      <c r="BW2639" t="inlineStr">
        <is>
          <t>Follow Up : Lost - Free Portal</t>
        </is>
      </c>
      <c r="BX2639"/>
      <c r="BY2639"/>
      <c r="BZ2639" s="4"/>
      <c r="CA2639"/>
      <c r="CB2639"/>
      <c r="CC2639" s="4"/>
      <c r="CD2639" t="inlineStr">
        <is>
          <t>20</t>
        </is>
      </c>
      <c r="CE2639" t="inlineStr">
        <is>
          <t>0</t>
        </is>
      </c>
      <c r="CF2639" t="inlineStr">
        <is>
          <t>Q2-W01</t>
        </is>
      </c>
      <c r="CG2639" t="inlineStr">
        <is>
          <t>Q2-W01</t>
        </is>
      </c>
      <c r="CH2639"/>
      <c r="CI2639"/>
      <c r="CJ2639" t="inlineStr">
        <is>
          <t>No Paid</t>
        </is>
      </c>
      <c r="CK2639" t="inlineStr">
        <is>
          <t>Not Eligible</t>
        </is>
      </c>
      <c r="CL2639"/>
      <c r="CM2639"/>
    </row>
    <row r="2640" ht="25.5" customHeight="1">
      <c r="A2640" t="inlineStr">
        <is>
          <t>160231</t>
        </is>
      </c>
      <c r="B2640" s="2"/>
      <c r="C2640"/>
      <c r="D2640" s="3">
        <v>46119.487488425926</v>
      </c>
      <c r="E2640" t="inlineStr">
        <is>
          <t>Q2-W01</t>
        </is>
      </c>
      <c r="F2640" t="inlineStr">
        <is>
          <t>Clover</t>
        </is>
      </c>
      <c r="G2640" t="inlineStr">
        <is>
          <t>Customer</t>
        </is>
      </c>
      <c r="H2640" s="2" t="str">
        <f>=HYPERLINK("https://upbox.ajobthing.my/customer/160231", "https://upbox.ajobthing.my/customer/160231")</f>
        <v>https://upbox.ajobthing.my/customer/160231</v>
      </c>
      <c r="I2640" t="inlineStr">
        <is>
          <t>Pusat Dialisis Sinar Amal</t>
        </is>
      </c>
      <c r="J2640" t="inlineStr">
        <is>
          <t>Small Fish</t>
        </is>
      </c>
      <c r="K2640" t="inlineStr">
        <is>
          <t>Clover</t>
        </is>
      </c>
      <c r="L2640" s="4"/>
      <c r="M2640" s="4">
        <v>46119.48210648148</v>
      </c>
      <c r="N2640"/>
      <c r="O2640">
        <v>3672</v>
      </c>
      <c r="P2640" s="4"/>
      <c r="Q2640" s="4"/>
      <c r="R2640"/>
      <c r="S2640"/>
      <c r="T2640" s="4"/>
      <c r="U2640" s="4"/>
      <c r="V2640"/>
      <c r="W2640"/>
      <c r="X2640"/>
      <c r="Y2640" t="inlineStr">
        <is>
          <t>Pending Appointment</t>
        </is>
      </c>
      <c r="Z2640" t="inlineStr">
        <is>
          <t>Hiring Now</t>
        </is>
      </c>
      <c r="AA2640">
        <v>2</v>
      </c>
      <c r="AB2640" t="inlineStr">
        <is>
          <t>No Appointment Made</t>
        </is>
      </c>
      <c r="AC2640"/>
      <c r="AD2640" t="inlineStr">
        <is>
          <t>Ms Aisyah 01164547736, pebantu dialisis x1,  admin x1, prefer malay,  3 branches ipoh, kampar, batu gajah, pinggang, myfuturejob, no use paid, suggest stand dis 200</t>
        </is>
      </c>
      <c r="AE2640"/>
      <c r="AF2640">
        <v>3000</v>
      </c>
      <c r="AG2640" s="4"/>
      <c r="AH2640" s="4"/>
      <c r="AI2640">
        <v>3000</v>
      </c>
      <c r="AJ2640">
        <v>1</v>
      </c>
      <c r="AK2640" t="inlineStr">
        <is>
          <t>No, but I want in future</t>
        </is>
      </c>
      <c r="AL2640">
        <v>1</v>
      </c>
      <c r="AM2640" t="inlineStr">
        <is>
          <t>No, but I want in future</t>
        </is>
      </c>
      <c r="AN2640"/>
      <c r="AO2640" t="inlineStr">
        <is>
          <t>No, but I want in future</t>
        </is>
      </c>
      <c r="AP2640" t="inlineStr">
        <is>
          <t>Twice a year (50%)</t>
        </is>
      </c>
      <c r="AQ2640">
        <v>2</v>
      </c>
      <c r="AR2640" t="inlineStr">
        <is>
          <t>Did not use any job portal</t>
        </is>
      </c>
      <c r="AS2640" t="inlineStr">
        <is>
          <t>- Headcount: 2
- Hiring Job Details: 1 pebantu dialisis, 1 admin; prefer Malay; 3 branches (Ipoh, Kampar, Batu Gajah); use pinggang, myfuturejob; no paid; suggest stand dis 200 (contact Ms Aisyah: 01164547736)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640">
        <v>115</v>
      </c>
      <c r="AU2640" t="inlineStr">
        <is>
          <t>1.15</t>
        </is>
      </c>
      <c r="AV2640" t="inlineStr">
        <is>
          <t>15</t>
        </is>
      </c>
      <c r="AW2640" t="inlineStr">
        <is>
          <t>0</t>
        </is>
      </c>
      <c r="AX2640" t="inlineStr">
        <is>
          <t>Not Qualified</t>
        </is>
      </c>
      <c r="AY2640" s="4"/>
      <c r="AZ2640"/>
      <c r="BA2640"/>
      <c r="BB2640"/>
      <c r="BC2640" t="inlineStr">
        <is>
          <t>Call Ms Aisyah 01164547736,  on hold  first, will update if want</t>
        </is>
      </c>
      <c r="BD2640" s="4">
        <v>46135.69664351852</v>
      </c>
      <c r="BE2640"/>
      <c r="BF2640"/>
      <c r="BG2640" t="inlineStr">
        <is>
          <t>Reschedule</t>
        </is>
      </c>
      <c r="BH2640" t="inlineStr">
        <is>
          <t>Reagen</t>
        </is>
      </c>
      <c r="BI2640"/>
      <c r="BJ2640" s="4">
        <v>46144.75109953704</v>
      </c>
      <c r="BK2640" s="4">
        <v>44830.42748842593</v>
      </c>
      <c r="BL2640" t="inlineStr">
        <is>
          <t>0.0</t>
        </is>
      </c>
      <c r="BM2640" t="inlineStr">
        <is>
          <t>0.0</t>
        </is>
      </c>
      <c r="BN2640" t="inlineStr">
        <is>
          <t>View Create Job Page</t>
        </is>
      </c>
      <c r="BO2640" s="4">
        <v>44830.429189814815</v>
      </c>
      <c r="BP2640">
        <v>165607</v>
      </c>
      <c r="BQ2640"/>
      <c r="BR2640"/>
      <c r="BS2640"/>
      <c r="BT2640"/>
      <c r="BU2640"/>
      <c r="BV2640">
        <v>2724849</v>
      </c>
      <c r="BW2640" t="inlineStr">
        <is>
          <t>Follow Up : Lost - Free Portal</t>
        </is>
      </c>
      <c r="BX2640"/>
      <c r="BY2640"/>
      <c r="BZ2640" s="4"/>
      <c r="CA2640"/>
      <c r="CB2640"/>
      <c r="CC2640" s="4"/>
      <c r="CD2640" t="inlineStr">
        <is>
          <t>20</t>
        </is>
      </c>
      <c r="CE2640" t="inlineStr">
        <is>
          <t>0</t>
        </is>
      </c>
      <c r="CF2640" t="inlineStr">
        <is>
          <t>Q2-W01</t>
        </is>
      </c>
      <c r="CG2640"/>
      <c r="CH2640"/>
      <c r="CI2640"/>
      <c r="CJ2640" t="inlineStr">
        <is>
          <t>No Paid</t>
        </is>
      </c>
      <c r="CK2640" t="inlineStr">
        <is>
          <t>Not Eligible</t>
        </is>
      </c>
      <c r="CL2640"/>
      <c r="CM2640"/>
    </row>
    <row r="2641" ht="25.5" customHeight="1">
      <c r="A2641" t="inlineStr">
        <is>
          <t>194942</t>
        </is>
      </c>
      <c r="B2641" s="2"/>
      <c r="C2641"/>
      <c r="D2641" s="3">
        <v>46119.48909722222</v>
      </c>
      <c r="E2641" t="inlineStr">
        <is>
          <t>Q2-W01</t>
        </is>
      </c>
      <c r="F2641" t="inlineStr">
        <is>
          <t>Lucas</t>
        </is>
      </c>
      <c r="G2641" t="inlineStr">
        <is>
          <t>Customer</t>
        </is>
      </c>
      <c r="H2641" s="2" t="str">
        <f>=HYPERLINK("https://upbox.ajobthing.my/customer/194942", "https://upbox.ajobthing.my/customer/194942")</f>
        <v>https://upbox.ajobthing.my/customer/194942</v>
      </c>
      <c r="I2641" t="inlineStr">
        <is>
          <t xml:space="preserve">Fu Yu Motor (m）sdn Bhd </t>
        </is>
      </c>
      <c r="J2641" t="inlineStr">
        <is>
          <t>Small Fish</t>
        </is>
      </c>
      <c r="K2641" t="inlineStr">
        <is>
          <t>Lucas</t>
        </is>
      </c>
      <c r="L2641" s="4"/>
      <c r="M2641" s="4">
        <v>46119.48819444444</v>
      </c>
      <c r="N2641"/>
      <c r="O2641">
        <v>3888</v>
      </c>
      <c r="P2641" s="4"/>
      <c r="Q2641" s="4">
        <v>46066.90934027778</v>
      </c>
      <c r="R2641"/>
      <c r="S2641">
        <v>0</v>
      </c>
      <c r="T2641" s="4"/>
      <c r="U2641" s="4"/>
      <c r="V2641"/>
      <c r="W2641"/>
      <c r="X2641"/>
      <c r="Y2641" t="inlineStr">
        <is>
          <t>Pending Appointment</t>
        </is>
      </c>
      <c r="Z2641" t="inlineStr">
        <is>
          <t>Hiring Now</t>
        </is>
      </c>
      <c r="AA2641">
        <v>2</v>
      </c>
      <c r="AB2641" t="inlineStr">
        <is>
          <t>No Appointment Made</t>
        </is>
      </c>
      <c r="AC2641"/>
      <c r="AD2641" t="inlineStr">
        <is>
          <t>2 sale man</t>
        </is>
      </c>
      <c r="AE2641"/>
      <c r="AF2641">
        <v>0</v>
      </c>
      <c r="AG2641" s="4"/>
      <c r="AH2641" s="4"/>
      <c r="AI2641">
        <v>0</v>
      </c>
      <c r="AJ2641">
        <v>0</v>
      </c>
      <c r="AK2641" t="inlineStr">
        <is>
          <t>No, I don't need at all</t>
        </is>
      </c>
      <c r="AL2641">
        <v>0</v>
      </c>
      <c r="AM2641" t="inlineStr">
        <is>
          <t>No, I don't need at all</t>
        </is>
      </c>
      <c r="AN2641"/>
      <c r="AO2641" t="inlineStr">
        <is>
          <t>No, I don't need at all</t>
        </is>
      </c>
      <c r="AP2641" t="inlineStr">
        <is>
          <t>Once a year (25%)</t>
        </is>
      </c>
      <c r="AQ2641">
        <v>2</v>
      </c>
      <c r="AR2641" t="inlineStr">
        <is>
          <t>Did not use any job portal</t>
        </is>
      </c>
      <c r="AS2641" t="inlineStr">
        <is>
          <t>- Headcount: 2
- Hiring Job Details: 2 sale man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2641">
        <v>110</v>
      </c>
      <c r="AU2641" t="inlineStr">
        <is>
          <t>1.10</t>
        </is>
      </c>
      <c r="AV2641" t="inlineStr">
        <is>
          <t>15</t>
        </is>
      </c>
      <c r="AW2641" t="inlineStr">
        <is>
          <t>0</t>
        </is>
      </c>
      <c r="AX2641" t="inlineStr">
        <is>
          <t>Not Qualified</t>
        </is>
      </c>
      <c r="AY2641" s="4"/>
      <c r="AZ2641"/>
      <c r="BA2641"/>
      <c r="BB2641"/>
      <c r="BC2641" t="inlineStr">
        <is>
          <t>still cant decide now</t>
        </is>
      </c>
      <c r="BD2641" s="4">
        <v>46127.67215277778</v>
      </c>
      <c r="BE2641" t="inlineStr">
        <is>
          <t>paid</t>
        </is>
      </c>
      <c r="BF2641"/>
      <c r="BG2641" t="inlineStr">
        <is>
          <t>Reschedule</t>
        </is>
      </c>
      <c r="BH2641" t="inlineStr">
        <is>
          <t>Yee Hang</t>
        </is>
      </c>
      <c r="BI2641"/>
      <c r="BJ2641" s="4">
        <v>46142.81519675926</v>
      </c>
      <c r="BK2641" s="4">
        <v>45883.49453703704</v>
      </c>
      <c r="BL2641" t="inlineStr">
        <is>
          <t>0.0</t>
        </is>
      </c>
      <c r="BM2641" t="inlineStr">
        <is>
          <t>0.0</t>
        </is>
      </c>
      <c r="BN2641" t="inlineStr">
        <is>
          <t>View Create Job Page</t>
        </is>
      </c>
      <c r="BO2641" s="4">
        <v>45884.49232638889</v>
      </c>
      <c r="BP2641">
        <v>165611</v>
      </c>
      <c r="BQ2641">
        <v>115381</v>
      </c>
      <c r="BR2641" t="inlineStr">
        <is>
          <t>Proforma</t>
        </is>
      </c>
      <c r="BS2641" t="inlineStr">
        <is>
          <t>Free Internship Job</t>
        </is>
      </c>
      <c r="BT2641"/>
      <c r="BU2641"/>
      <c r="BV2641">
        <v>2706445</v>
      </c>
      <c r="BW2641" t="inlineStr">
        <is>
          <t>Follow Up : Budget Concern</t>
        </is>
      </c>
      <c r="BX2641"/>
      <c r="BY2641"/>
      <c r="BZ2641" s="4"/>
      <c r="CA2641"/>
      <c r="CB2641"/>
      <c r="CC2641" s="4"/>
      <c r="CD2641" t="inlineStr">
        <is>
          <t>20</t>
        </is>
      </c>
      <c r="CE2641" t="inlineStr">
        <is>
          <t>0</t>
        </is>
      </c>
      <c r="CF2641" t="inlineStr">
        <is>
          <t>Q2-W01</t>
        </is>
      </c>
      <c r="CG2641" t="inlineStr">
        <is>
          <t>Q1-W07</t>
        </is>
      </c>
      <c r="CH2641"/>
      <c r="CI2641"/>
      <c r="CJ2641" t="inlineStr">
        <is>
          <t>No Paid</t>
        </is>
      </c>
      <c r="CK2641" t="inlineStr">
        <is>
          <t>Not Eligible</t>
        </is>
      </c>
      <c r="CL2641"/>
      <c r="CM2641"/>
    </row>
    <row r="2642" ht="25.5" customHeight="1">
      <c r="A2642" t="inlineStr">
        <is>
          <t>4255203</t>
        </is>
      </c>
      <c r="B2642" s="2"/>
      <c r="C2642"/>
      <c r="D2642" s="3">
        <v>46119.48979166667</v>
      </c>
      <c r="E2642" t="inlineStr">
        <is>
          <t>Q2-W01</t>
        </is>
      </c>
      <c r="F2642" t="inlineStr">
        <is>
          <t>Janice Yap</t>
        </is>
      </c>
      <c r="G2642" t="inlineStr">
        <is>
          <t>Lead</t>
        </is>
      </c>
      <c r="H2642" s="2" t="str">
        <f>=HYPERLINK("https://upbox.ajobthing.my/leads/4255203", "https://upbox.ajobthing.my/leads/4255203")</f>
        <v>https://upbox.ajobthing.my/leads/4255203</v>
      </c>
      <c r="I2642" t="inlineStr">
        <is>
          <t>601128619889</t>
        </is>
      </c>
      <c r="J2642" t="inlineStr">
        <is>
          <t>Small Fish</t>
        </is>
      </c>
      <c r="K2642" t="inlineStr">
        <is>
          <t>Janice</t>
        </is>
      </c>
      <c r="L2642" s="4"/>
      <c r="M2642" s="4">
        <v>46119.484872685185</v>
      </c>
      <c r="N2642"/>
      <c r="O2642">
        <v>3888</v>
      </c>
      <c r="P2642" s="4"/>
      <c r="Q2642" s="4"/>
      <c r="R2642"/>
      <c r="S2642"/>
      <c r="T2642" s="4"/>
      <c r="U2642" s="4"/>
      <c r="V2642"/>
      <c r="W2642"/>
      <c r="X2642"/>
      <c r="Y2642" t="inlineStr">
        <is>
          <t>Pending Appointment</t>
        </is>
      </c>
      <c r="Z2642" t="inlineStr">
        <is>
          <t>Hiring Now</t>
        </is>
      </c>
      <c r="AA2642">
        <v>1</v>
      </c>
      <c r="AB2642" t="inlineStr">
        <is>
          <t>No Appointment Made</t>
        </is>
      </c>
      <c r="AC2642"/>
      <c r="AD2642" t="inlineStr">
        <is>
          <t>1 content creator</t>
        </is>
      </c>
      <c r="AE2642"/>
      <c r="AF2642">
        <v>0</v>
      </c>
      <c r="AG2642" s="4"/>
      <c r="AH2642" s="4"/>
      <c r="AI2642">
        <v>0</v>
      </c>
      <c r="AJ2642"/>
      <c r="AK2642" t="inlineStr">
        <is>
          <t>No, I don't need at all</t>
        </is>
      </c>
      <c r="AL2642">
        <v>0</v>
      </c>
      <c r="AM2642" t="inlineStr">
        <is>
          <t>No, I don't need at all</t>
        </is>
      </c>
      <c r="AN2642"/>
      <c r="AO2642" t="inlineStr">
        <is>
          <t>No, I don't need at all</t>
        </is>
      </c>
      <c r="AP2642" t="inlineStr">
        <is>
          <t>Once a year (25%)</t>
        </is>
      </c>
      <c r="AQ2642">
        <v>1</v>
      </c>
      <c r="AR2642" t="inlineStr">
        <is>
          <t>Did not use any job portal</t>
        </is>
      </c>
      <c r="AS2642" t="inlineStr">
        <is>
          <t>- Headcount: 1
- Hiring Job Details: 1 content creator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642">
        <v>110</v>
      </c>
      <c r="AU2642" t="inlineStr">
        <is>
          <t>1.10</t>
        </is>
      </c>
      <c r="AV2642" t="inlineStr">
        <is>
          <t>15</t>
        </is>
      </c>
      <c r="AW2642" t="inlineStr">
        <is>
          <t>0</t>
        </is>
      </c>
      <c r="AX2642" t="inlineStr">
        <is>
          <t>Not Qualified</t>
        </is>
      </c>
      <c r="AY2642" s="4"/>
      <c r="AZ2642"/>
      <c r="BA2642"/>
      <c r="BB2642"/>
      <c r="BC2642"/>
      <c r="BD2642" s="4"/>
      <c r="BE2642"/>
      <c r="BF2642"/>
      <c r="BG2642" t="inlineStr">
        <is>
          <t>Reschedule</t>
        </is>
      </c>
      <c r="BH2642" t="inlineStr">
        <is>
          <t>Yee Hang</t>
        </is>
      </c>
      <c r="BI2642"/>
      <c r="BJ2642" s="4">
        <v>46144.755740740744</v>
      </c>
      <c r="BK2642" s="4">
        <v>46119.44373842593</v>
      </c>
      <c r="BL2642" t="inlineStr">
        <is>
          <t>0.0</t>
        </is>
      </c>
      <c r="BM2642" t="inlineStr">
        <is>
          <t>0.0</t>
        </is>
      </c>
      <c r="BN2642"/>
      <c r="BO2642" s="4"/>
      <c r="BP2642">
        <v>165608</v>
      </c>
      <c r="BQ2642"/>
      <c r="BR2642"/>
      <c r="BS2642"/>
      <c r="BT2642"/>
      <c r="BU2642"/>
      <c r="BV2642"/>
      <c r="BW2642"/>
      <c r="BX2642"/>
      <c r="BY2642"/>
      <c r="BZ2642" s="4"/>
      <c r="CA2642"/>
      <c r="CB2642"/>
      <c r="CC2642" s="4"/>
      <c r="CD2642" t="inlineStr">
        <is>
          <t>20</t>
        </is>
      </c>
      <c r="CE2642" t="inlineStr">
        <is>
          <t>0</t>
        </is>
      </c>
      <c r="CF2642" t="inlineStr">
        <is>
          <t>Q2-W01</t>
        </is>
      </c>
      <c r="CG2642"/>
      <c r="CH2642"/>
      <c r="CI2642"/>
      <c r="CJ2642" t="inlineStr">
        <is>
          <t>No Paid</t>
        </is>
      </c>
      <c r="CK2642" t="inlineStr">
        <is>
          <t>Not Eligible</t>
        </is>
      </c>
      <c r="CL2642"/>
      <c r="CM2642"/>
    </row>
    <row r="2643" ht="25.5" customHeight="1">
      <c r="A2643" t="inlineStr">
        <is>
          <t>202923</t>
        </is>
      </c>
      <c r="B2643" s="2"/>
      <c r="C2643"/>
      <c r="D2643" s="3">
        <v>46119.49074074074</v>
      </c>
      <c r="E2643" t="inlineStr">
        <is>
          <t>Q2-W01</t>
        </is>
      </c>
      <c r="F2643" t="inlineStr">
        <is>
          <t>Jia Hui</t>
        </is>
      </c>
      <c r="G2643" t="inlineStr">
        <is>
          <t>Customer</t>
        </is>
      </c>
      <c r="H2643" s="2" t="str">
        <f>=HYPERLINK("https://upbox.ajobthing.my/customer/202923", "https://upbox.ajobthing.my/customer/202923")</f>
        <v>https://upbox.ajobthing.my/customer/202923</v>
      </c>
      <c r="I2643" t="inlineStr">
        <is>
          <t>Atac Technology Solution</t>
        </is>
      </c>
      <c r="J2643" t="inlineStr">
        <is>
          <t>Small Fish</t>
        </is>
      </c>
      <c r="K2643" t="inlineStr">
        <is>
          <t>Jia Hui</t>
        </is>
      </c>
      <c r="L2643" s="4"/>
      <c r="M2643" s="4">
        <v>46119.16107638889</v>
      </c>
      <c r="N2643"/>
      <c r="O2643">
        <v>5508</v>
      </c>
      <c r="P2643" s="4"/>
      <c r="Q2643" s="4"/>
      <c r="R2643"/>
      <c r="S2643"/>
      <c r="T2643" s="4"/>
      <c r="U2643" s="4"/>
      <c r="V2643"/>
      <c r="W2643"/>
      <c r="X2643"/>
      <c r="Y2643" t="inlineStr">
        <is>
          <t>Pending Appointment</t>
        </is>
      </c>
      <c r="Z2643" t="inlineStr">
        <is>
          <t>Hiring Now</t>
        </is>
      </c>
      <c r="AA2643">
        <v>2</v>
      </c>
      <c r="AB2643" t="inlineStr">
        <is>
          <t>No Appointment Made</t>
        </is>
      </c>
      <c r="AC2643"/>
      <c r="AD2643" t="inlineStr">
        <is>
          <t>2 sales , base in johor and kl</t>
        </is>
      </c>
      <c r="AE2643"/>
      <c r="AF2643">
        <v>5000</v>
      </c>
      <c r="AG2643" s="4"/>
      <c r="AH2643" s="4"/>
      <c r="AI2643"/>
      <c r="AJ2643"/>
      <c r="AK2643" t="inlineStr">
        <is>
          <t>Yes, I have</t>
        </is>
      </c>
      <c r="AL2643"/>
      <c r="AM2643"/>
      <c r="AN2643"/>
      <c r="AO2643"/>
      <c r="AP2643" t="inlineStr">
        <is>
          <t>Twice a year (50%)</t>
        </is>
      </c>
      <c r="AQ2643"/>
      <c r="AR2643"/>
      <c r="AS2643" t="inlineStr">
        <is>
          <t>- Headcount: 2
- Hiring Job Details: 2 sales, base in johor and kl
- Hiring Urgency: Hiring Now
- Number of outlets: N/A
- Have recruiter team: Yes
- Number of recruiter in company: N/A
- Have ATS system: N/A
- Have career website: N/A
- Current hiring budget: RM5,000.00
- Whole year budget: N/A
- Whole year number of vacancies: N/A
- Hiring frequency: Twice a year (50%)
- External job portal: N/A</t>
        </is>
      </c>
      <c r="AT2643">
        <v>95</v>
      </c>
      <c r="AU2643" t="inlineStr">
        <is>
          <t>0.95</t>
        </is>
      </c>
      <c r="AV2643" t="inlineStr">
        <is>
          <t>15</t>
        </is>
      </c>
      <c r="AW2643" t="inlineStr">
        <is>
          <t>0</t>
        </is>
      </c>
      <c r="AX2643" t="inlineStr">
        <is>
          <t>Not Qualified</t>
        </is>
      </c>
      <c r="AY2643" s="4"/>
      <c r="AZ2643"/>
      <c r="BA2643"/>
      <c r="BB2643"/>
      <c r="BC2643" t="inlineStr">
        <is>
          <t>manage to hired someone, on hold first, will let me know if needed</t>
        </is>
      </c>
      <c r="BD2643" s="4">
        <v>46127.64167824074</v>
      </c>
      <c r="BE2643"/>
      <c r="BF2643"/>
      <c r="BG2643" t="inlineStr">
        <is>
          <t>Reschedule</t>
        </is>
      </c>
      <c r="BH2643" t="inlineStr">
        <is>
          <t>Reagen</t>
        </is>
      </c>
      <c r="BI2643"/>
      <c r="BJ2643" s="4">
        <v>46144.754166666666</v>
      </c>
      <c r="BK2643" s="4">
        <v>46119.47311342593</v>
      </c>
      <c r="BL2643" t="inlineStr">
        <is>
          <t>0.0</t>
        </is>
      </c>
      <c r="BM2643" t="inlineStr">
        <is>
          <t>0.0</t>
        </is>
      </c>
      <c r="BN2643" t="inlineStr">
        <is>
          <t>View Company Page</t>
        </is>
      </c>
      <c r="BO2643" s="4">
        <v>46119.47790509259</v>
      </c>
      <c r="BP2643">
        <v>165624</v>
      </c>
      <c r="BQ2643"/>
      <c r="BR2643"/>
      <c r="BS2643"/>
      <c r="BT2643"/>
      <c r="BU2643"/>
      <c r="BV2643">
        <v>2706224</v>
      </c>
      <c r="BW2643" t="inlineStr">
        <is>
          <t>Follow Up : Lost - Free Portal</t>
        </is>
      </c>
      <c r="BX2643"/>
      <c r="BY2643"/>
      <c r="BZ2643" s="4"/>
      <c r="CA2643"/>
      <c r="CB2643"/>
      <c r="CC2643" s="4"/>
      <c r="CD2643" t="inlineStr">
        <is>
          <t>20</t>
        </is>
      </c>
      <c r="CE2643" t="inlineStr">
        <is>
          <t>0</t>
        </is>
      </c>
      <c r="CF2643" t="inlineStr">
        <is>
          <t>Q2-W01</t>
        </is>
      </c>
      <c r="CG2643"/>
      <c r="CH2643"/>
      <c r="CI2643"/>
      <c r="CJ2643" t="inlineStr">
        <is>
          <t>No Paid</t>
        </is>
      </c>
      <c r="CK2643" t="inlineStr">
        <is>
          <t>Not Eligible</t>
        </is>
      </c>
      <c r="CL2643"/>
      <c r="CM2643"/>
    </row>
    <row r="2644" ht="25.5" customHeight="1">
      <c r="A2644" t="inlineStr">
        <is>
          <t>4255528</t>
        </is>
      </c>
      <c r="B2644" s="2"/>
      <c r="C2644"/>
      <c r="D2644" s="3">
        <v>46119.5046875</v>
      </c>
      <c r="E2644" t="inlineStr">
        <is>
          <t>Q2-W01</t>
        </is>
      </c>
      <c r="F2644" t="inlineStr">
        <is>
          <t>Josh</t>
        </is>
      </c>
      <c r="G2644" t="inlineStr">
        <is>
          <t>Lead</t>
        </is>
      </c>
      <c r="H2644" s="2" t="str">
        <f>=HYPERLINK("https://upbox.ajobthing.my/leads/4255528", "https://upbox.ajobthing.my/leads/4255528")</f>
        <v>https://upbox.ajobthing.my/leads/4255528</v>
      </c>
      <c r="I2644" t="inlineStr">
        <is>
          <t>Airien Group (M) Sdn Bhd</t>
        </is>
      </c>
      <c r="J2644" t="inlineStr">
        <is>
          <t>Small Fish</t>
        </is>
      </c>
      <c r="K2644" t="inlineStr">
        <is>
          <t>Josh</t>
        </is>
      </c>
      <c r="L2644" s="4"/>
      <c r="M2644" s="4">
        <v>46119.505219907405</v>
      </c>
      <c r="N2644"/>
      <c r="O2644">
        <v>3888</v>
      </c>
      <c r="P2644" s="4"/>
      <c r="Q2644" s="4"/>
      <c r="R2644"/>
      <c r="S2644"/>
      <c r="T2644" s="4"/>
      <c r="U2644" s="4"/>
      <c r="V2644"/>
      <c r="W2644"/>
      <c r="X2644"/>
      <c r="Y2644" t="inlineStr">
        <is>
          <t>Pending Appointment</t>
        </is>
      </c>
      <c r="Z2644" t="inlineStr">
        <is>
          <t>Hiring Now</t>
        </is>
      </c>
      <c r="AA2644">
        <v>3</v>
      </c>
      <c r="AB2644" t="inlineStr">
        <is>
          <t>No Appointment Made</t>
        </is>
      </c>
      <c r="AC2644"/>
      <c r="AD2644" t="inlineStr">
        <is>
          <t xml:space="preserve">1 deisgner, 1 customer service, 1 sales coordinator </t>
        </is>
      </c>
      <c r="AE2644"/>
      <c r="AF2644">
        <v>3000</v>
      </c>
      <c r="AG2644" s="4"/>
      <c r="AH2644" s="4"/>
      <c r="AI2644"/>
      <c r="AJ2644"/>
      <c r="AK2644" t="inlineStr">
        <is>
          <t>Yes, I have</t>
        </is>
      </c>
      <c r="AL2644"/>
      <c r="AM2644"/>
      <c r="AN2644"/>
      <c r="AO2644"/>
      <c r="AP2644" t="inlineStr">
        <is>
          <t>Once a year (25%)</t>
        </is>
      </c>
      <c r="AQ2644"/>
      <c r="AR2644"/>
      <c r="AS2644" t="inlineStr">
        <is>
          <t>- Headcount: 3
- Hiring Job Details: 1 designer, 1 customer service, 1 sales coordinator
- Hiring Urgency: Hiring Now
- Number of outlets: N/A
- Have recruiter team: Yes
- Number of recruiter in company: N/A
- Have ATS system: N/A
- Have career website: N/A
- Current hiring budget: RM3,000.00
- Whole year budget: N/A
- Whole year number of vacancies: N/A
- Hiring frequency: Once a year (25%)
- External job portal: N/A</t>
        </is>
      </c>
      <c r="AT2644">
        <v>95</v>
      </c>
      <c r="AU2644" t="inlineStr">
        <is>
          <t>0.95</t>
        </is>
      </c>
      <c r="AV2644" t="inlineStr">
        <is>
          <t>15</t>
        </is>
      </c>
      <c r="AW2644" t="inlineStr">
        <is>
          <t>0</t>
        </is>
      </c>
      <c r="AX2644" t="inlineStr">
        <is>
          <t>Not Qualified</t>
        </is>
      </c>
      <c r="AY2644" s="4"/>
      <c r="AZ2644"/>
      <c r="BA2644"/>
      <c r="BB2644"/>
      <c r="BC2644"/>
      <c r="BD2644" s="4"/>
      <c r="BE2644"/>
      <c r="BF2644"/>
      <c r="BG2644" t="inlineStr">
        <is>
          <t>Reschedule</t>
        </is>
      </c>
      <c r="BH2644" t="inlineStr">
        <is>
          <t>Fauziah Maharan</t>
        </is>
      </c>
      <c r="BI2644"/>
      <c r="BJ2644" s="4">
        <v>46144.755740740744</v>
      </c>
      <c r="BK2644" s="4">
        <v>46119.49413194445</v>
      </c>
      <c r="BL2644" t="inlineStr">
        <is>
          <t>0.0</t>
        </is>
      </c>
      <c r="BM2644" t="inlineStr">
        <is>
          <t>0.0</t>
        </is>
      </c>
      <c r="BN2644"/>
      <c r="BO2644" s="4"/>
      <c r="BP2644">
        <v>165631</v>
      </c>
      <c r="BQ2644"/>
      <c r="BR2644"/>
      <c r="BS2644"/>
      <c r="BT2644"/>
      <c r="BU2644"/>
      <c r="BV2644"/>
      <c r="BW2644"/>
      <c r="BX2644"/>
      <c r="BY2644"/>
      <c r="BZ2644" s="4"/>
      <c r="CA2644"/>
      <c r="CB2644"/>
      <c r="CC2644" s="4"/>
      <c r="CD2644" t="inlineStr">
        <is>
          <t>20</t>
        </is>
      </c>
      <c r="CE2644" t="inlineStr">
        <is>
          <t>0</t>
        </is>
      </c>
      <c r="CF2644" t="inlineStr">
        <is>
          <t>Q2-W01</t>
        </is>
      </c>
      <c r="CG2644"/>
      <c r="CH2644"/>
      <c r="CI2644"/>
      <c r="CJ2644" t="inlineStr">
        <is>
          <t>No Paid</t>
        </is>
      </c>
      <c r="CK2644" t="inlineStr">
        <is>
          <t>Not Eligible</t>
        </is>
      </c>
      <c r="CL2644"/>
      <c r="CM2644"/>
    </row>
    <row r="2645" ht="25.5" customHeight="1">
      <c r="A2645" t="inlineStr">
        <is>
          <t>4253502</t>
        </is>
      </c>
      <c r="B2645" s="2"/>
      <c r="C2645"/>
      <c r="D2645" s="3">
        <v>46119.50902777778</v>
      </c>
      <c r="E2645" t="inlineStr">
        <is>
          <t>Q2-W01</t>
        </is>
      </c>
      <c r="F2645" t="inlineStr">
        <is>
          <t>Angel  Low</t>
        </is>
      </c>
      <c r="G2645" t="inlineStr">
        <is>
          <t>Lead</t>
        </is>
      </c>
      <c r="H2645" s="2" t="str">
        <f>=HYPERLINK("https://upbox.ajobthing.my/leads/4253502", "https://upbox.ajobthing.my/leads/4253502")</f>
        <v>https://upbox.ajobthing.my/leads/4253502</v>
      </c>
      <c r="I2645" t="inlineStr">
        <is>
          <t>Gentara Wellness</t>
        </is>
      </c>
      <c r="J2645" t="inlineStr">
        <is>
          <t>Small Fish</t>
        </is>
      </c>
      <c r="K2645" t="inlineStr">
        <is>
          <t>Angel Low</t>
        </is>
      </c>
      <c r="L2645" s="4"/>
      <c r="M2645" s="4">
        <v>46119.50969907407</v>
      </c>
      <c r="N2645"/>
      <c r="O2645">
        <v>3672</v>
      </c>
      <c r="P2645" s="4"/>
      <c r="Q2645" s="4"/>
      <c r="R2645"/>
      <c r="S2645"/>
      <c r="T2645" s="4"/>
      <c r="U2645" s="4"/>
      <c r="V2645"/>
      <c r="W2645"/>
      <c r="X2645"/>
      <c r="Y2645" t="inlineStr">
        <is>
          <t>Pending Appointment</t>
        </is>
      </c>
      <c r="Z2645"/>
      <c r="AA2645">
        <v>3</v>
      </c>
      <c r="AB2645" t="inlineStr">
        <is>
          <t>No Appointment Made</t>
        </is>
      </c>
      <c r="AC2645"/>
      <c r="AD2645" t="inlineStr">
        <is>
          <t xml:space="preserve">3 threrapist </t>
        </is>
      </c>
      <c r="AE2645"/>
      <c r="AF2645"/>
      <c r="AG2645" s="4"/>
      <c r="AH2645" s="4"/>
      <c r="AI2645"/>
      <c r="AJ2645"/>
      <c r="AK2645"/>
      <c r="AL2645"/>
      <c r="AM2645"/>
      <c r="AN2645"/>
      <c r="AO2645"/>
      <c r="AP2645"/>
      <c r="AQ2645"/>
      <c r="AR2645"/>
      <c r="AS2645" t="inlineStr">
        <is>
          <t>- Headcount: 3
- Hiring Job Details: 3 therapist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645">
        <v>60</v>
      </c>
      <c r="AU2645" t="inlineStr">
        <is>
          <t>0.60</t>
        </is>
      </c>
      <c r="AV2645" t="inlineStr">
        <is>
          <t>5</t>
        </is>
      </c>
      <c r="AW2645" t="inlineStr">
        <is>
          <t>0</t>
        </is>
      </c>
      <c r="AX2645" t="inlineStr">
        <is>
          <t>Not Qualified</t>
        </is>
      </c>
      <c r="AY2645" s="4"/>
      <c r="AZ2645"/>
      <c r="BA2645"/>
      <c r="BB2645"/>
      <c r="BC2645"/>
      <c r="BD2645" s="4"/>
      <c r="BE2645"/>
      <c r="BF2645"/>
      <c r="BG2645" t="inlineStr">
        <is>
          <t>Reschedule</t>
        </is>
      </c>
      <c r="BH2645" t="inlineStr">
        <is>
          <t>Fauziah Maharan</t>
        </is>
      </c>
      <c r="BI2645"/>
      <c r="BJ2645" s="4">
        <v>46144.755740740744</v>
      </c>
      <c r="BK2645" s="4">
        <v>46118.85172453704</v>
      </c>
      <c r="BL2645" t="inlineStr">
        <is>
          <t>0.0</t>
        </is>
      </c>
      <c r="BM2645" t="inlineStr">
        <is>
          <t>0.0</t>
        </is>
      </c>
      <c r="BN2645"/>
      <c r="BO2645" s="4"/>
      <c r="BP2645">
        <v>165632</v>
      </c>
      <c r="BQ2645"/>
      <c r="BR2645"/>
      <c r="BS2645"/>
      <c r="BT2645"/>
      <c r="BU2645"/>
      <c r="BV2645"/>
      <c r="BW2645"/>
      <c r="BX2645"/>
      <c r="BY2645"/>
      <c r="BZ2645" s="4"/>
      <c r="CA2645"/>
      <c r="CB2645"/>
      <c r="CC2645" s="4"/>
      <c r="CD2645" t="inlineStr">
        <is>
          <t>5</t>
        </is>
      </c>
      <c r="CE2645" t="inlineStr">
        <is>
          <t>0</t>
        </is>
      </c>
      <c r="CF2645" t="inlineStr">
        <is>
          <t>Q2-W01</t>
        </is>
      </c>
      <c r="CG2645"/>
      <c r="CH2645"/>
      <c r="CI2645"/>
      <c r="CJ2645" t="inlineStr">
        <is>
          <t>No Paid</t>
        </is>
      </c>
      <c r="CK2645" t="inlineStr">
        <is>
          <t>Not Eligible</t>
        </is>
      </c>
      <c r="CL2645"/>
      <c r="CM2645"/>
    </row>
    <row r="2646" ht="25.5" customHeight="1">
      <c r="A2646" t="inlineStr">
        <is>
          <t>202522</t>
        </is>
      </c>
      <c r="B2646" s="2"/>
      <c r="C2646"/>
      <c r="D2646" s="3">
        <v>46119.51421296296</v>
      </c>
      <c r="E2646" t="inlineStr">
        <is>
          <t>Q2-W01</t>
        </is>
      </c>
      <c r="F2646" t="inlineStr">
        <is>
          <t>Angel  Low</t>
        </is>
      </c>
      <c r="G2646" t="inlineStr">
        <is>
          <t>Customer</t>
        </is>
      </c>
      <c r="H2646" s="2" t="str">
        <f>=HYPERLINK("https://upbox.ajobthing.my/customer/202522", "https://upbox.ajobthing.my/customer/202522")</f>
        <v>https://upbox.ajobthing.my/customer/202522</v>
      </c>
      <c r="I2646" t="inlineStr">
        <is>
          <t>Wai Auto Sports Sdn Bhd</t>
        </is>
      </c>
      <c r="J2646" t="inlineStr">
        <is>
          <t>Small Fish</t>
        </is>
      </c>
      <c r="K2646" t="inlineStr">
        <is>
          <t>Angel Low</t>
        </is>
      </c>
      <c r="L2646" s="4"/>
      <c r="M2646" s="4">
        <v>46119.51447916667</v>
      </c>
      <c r="N2646"/>
      <c r="O2646">
        <v>3672</v>
      </c>
      <c r="P2646" s="4"/>
      <c r="Q2646" s="4">
        <v>46119.47523148148</v>
      </c>
      <c r="R2646"/>
      <c r="S2646">
        <v>0</v>
      </c>
      <c r="T2646" s="4"/>
      <c r="U2646" s="4"/>
      <c r="V2646"/>
      <c r="W2646"/>
      <c r="X2646"/>
      <c r="Y2646" t="inlineStr">
        <is>
          <t>Pending Appointment</t>
        </is>
      </c>
      <c r="Z2646"/>
      <c r="AA2646">
        <v>1</v>
      </c>
      <c r="AB2646" t="inlineStr">
        <is>
          <t>No Appointment Made</t>
        </is>
      </c>
      <c r="AC2646"/>
      <c r="AD2646" t="inlineStr">
        <is>
          <t xml:space="preserve">1 admin / account exece mandarin speaker </t>
        </is>
      </c>
      <c r="AE2646"/>
      <c r="AF2646"/>
      <c r="AG2646" s="4"/>
      <c r="AH2646" s="4"/>
      <c r="AI2646"/>
      <c r="AJ2646"/>
      <c r="AK2646"/>
      <c r="AL2646"/>
      <c r="AM2646"/>
      <c r="AN2646"/>
      <c r="AO2646"/>
      <c r="AP2646"/>
      <c r="AQ2646"/>
      <c r="AR2646"/>
      <c r="AS2646" t="inlineStr">
        <is>
          <t>- Headcount: 1
- Hiring Job Details: 1 admin / account exece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646">
        <v>65</v>
      </c>
      <c r="AU2646" t="inlineStr">
        <is>
          <t>0.65</t>
        </is>
      </c>
      <c r="AV2646" t="inlineStr">
        <is>
          <t>5</t>
        </is>
      </c>
      <c r="AW2646" t="inlineStr">
        <is>
          <t>0</t>
        </is>
      </c>
      <c r="AX2646" t="inlineStr">
        <is>
          <t>Not Qualified</t>
        </is>
      </c>
      <c r="AY2646" s="4"/>
      <c r="AZ2646"/>
      <c r="BA2646"/>
      <c r="BB2646"/>
      <c r="BC2646" t="inlineStr">
        <is>
          <t>- Headcount: 1
- Hiring Job Details: 1 admin / account exece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646" s="4">
        <v>46119.54168981482</v>
      </c>
      <c r="BE2646" t="inlineStr">
        <is>
          <t>paid</t>
        </is>
      </c>
      <c r="BF2646"/>
      <c r="BG2646" t="inlineStr">
        <is>
          <t>Reschedule</t>
        </is>
      </c>
      <c r="BH2646" t="inlineStr">
        <is>
          <t>Fauziah Maharan</t>
        </is>
      </c>
      <c r="BI2646" t="inlineStr">
        <is>
          <t>Automobile / Automotive</t>
        </is>
      </c>
      <c r="BJ2646" s="4">
        <v>46144.75405092593</v>
      </c>
      <c r="BK2646" s="4">
        <v>46109.701203703706</v>
      </c>
      <c r="BL2646" t="inlineStr">
        <is>
          <t>0.0</t>
        </is>
      </c>
      <c r="BM2646" t="inlineStr">
        <is>
          <t>0.0</t>
        </is>
      </c>
      <c r="BN2646" t="inlineStr">
        <is>
          <t>View Company Page</t>
        </is>
      </c>
      <c r="BO2646" s="4">
        <v>46119.47541666667</v>
      </c>
      <c r="BP2646">
        <v>165636</v>
      </c>
      <c r="BQ2646">
        <v>120320</v>
      </c>
      <c r="BR2646" t="inlineStr">
        <is>
          <t>Proforma</t>
        </is>
      </c>
      <c r="BS2646" t="inlineStr">
        <is>
          <t>Free Internship Job</t>
        </is>
      </c>
      <c r="BT2646"/>
      <c r="BU2646"/>
      <c r="BV2646">
        <v>2688920</v>
      </c>
      <c r="BW2646" t="inlineStr">
        <is>
          <t>Customer Inquiry</t>
        </is>
      </c>
      <c r="BX2646"/>
      <c r="BY2646"/>
      <c r="BZ2646" s="4"/>
      <c r="CA2646"/>
      <c r="CB2646"/>
      <c r="CC2646" s="4"/>
      <c r="CD2646" t="inlineStr">
        <is>
          <t>5</t>
        </is>
      </c>
      <c r="CE2646" t="inlineStr">
        <is>
          <t>0</t>
        </is>
      </c>
      <c r="CF2646" t="inlineStr">
        <is>
          <t>Q2-W01</t>
        </is>
      </c>
      <c r="CG2646" t="inlineStr">
        <is>
          <t>Q2-W01</t>
        </is>
      </c>
      <c r="CH2646"/>
      <c r="CI2646"/>
      <c r="CJ2646" t="inlineStr">
        <is>
          <t>No Paid</t>
        </is>
      </c>
      <c r="CK2646" t="inlineStr">
        <is>
          <t>Not Eligible</t>
        </is>
      </c>
      <c r="CL2646"/>
      <c r="CM2646"/>
    </row>
    <row r="2647" ht="25.5" customHeight="1">
      <c r="A2647" t="inlineStr">
        <is>
          <t>4253427</t>
        </is>
      </c>
      <c r="B2647" s="2"/>
      <c r="C2647"/>
      <c r="D2647" s="3">
        <v>46119.51667824074</v>
      </c>
      <c r="E2647" t="inlineStr">
        <is>
          <t>Q2-W01</t>
        </is>
      </c>
      <c r="F2647" t="inlineStr">
        <is>
          <t>Josh</t>
        </is>
      </c>
      <c r="G2647" t="inlineStr">
        <is>
          <t>Lead</t>
        </is>
      </c>
      <c r="H2647" s="2" t="str">
        <f>=HYPERLINK("https://upbox.ajobthing.my/leads/4253427", "https://upbox.ajobthing.my/leads/4253427")</f>
        <v>https://upbox.ajobthing.my/leads/4253427</v>
      </c>
      <c r="I2647" t="inlineStr">
        <is>
          <t>SATAY JAWA PAK ALI</t>
        </is>
      </c>
      <c r="J2647" t="inlineStr">
        <is>
          <t>Small Fish</t>
        </is>
      </c>
      <c r="K2647" t="inlineStr">
        <is>
          <t>Josh</t>
        </is>
      </c>
      <c r="L2647" s="4"/>
      <c r="M2647" s="4">
        <v>46119.517847222225</v>
      </c>
      <c r="N2647"/>
      <c r="O2647">
        <v>1512</v>
      </c>
      <c r="P2647" s="4"/>
      <c r="Q2647" s="4"/>
      <c r="R2647"/>
      <c r="S2647"/>
      <c r="T2647" s="4"/>
      <c r="U2647" s="4"/>
      <c r="V2647"/>
      <c r="W2647"/>
      <c r="X2647"/>
      <c r="Y2647" t="inlineStr">
        <is>
          <t>Pending Appointment</t>
        </is>
      </c>
      <c r="Z2647" t="inlineStr">
        <is>
          <t>Hiring Now</t>
        </is>
      </c>
      <c r="AA2647">
        <v>10</v>
      </c>
      <c r="AB2647" t="inlineStr">
        <is>
          <t>No Appointment Made</t>
        </is>
      </c>
      <c r="AC2647"/>
      <c r="AD2647" t="inlineStr">
        <is>
          <t xml:space="preserve">5 chef, 5 kitchen helper </t>
        </is>
      </c>
      <c r="AE2647"/>
      <c r="AF2647">
        <v>2000</v>
      </c>
      <c r="AG2647" s="4"/>
      <c r="AH2647" s="4"/>
      <c r="AI2647"/>
      <c r="AJ2647"/>
      <c r="AK2647" t="inlineStr">
        <is>
          <t>Yes, I have</t>
        </is>
      </c>
      <c r="AL2647">
        <v>1</v>
      </c>
      <c r="AM2647"/>
      <c r="AN2647"/>
      <c r="AO2647"/>
      <c r="AP2647" t="inlineStr">
        <is>
          <t>Once a year (25%)</t>
        </is>
      </c>
      <c r="AQ2647"/>
      <c r="AR2647"/>
      <c r="AS2647" t="inlineStr">
        <is>
          <t>- Headcount: 10
- Hiring Job Details: 5 chef, 5 kitchen helper
- Hiring Urgency: Hiring Now
- Number of outlets: Not specified
- Have recruiter team: Yes
- Number of recruiter in company: 1
- Have ATS system: Not specified
- Have career website: Not specified
- Current hiring budget: RM2,000.00
- Whole year budget: Not specified
- Whole year number of vacancies: Not specified
- Hiring frequency: Once a year (25%)
- External job portal: Not specified</t>
        </is>
      </c>
      <c r="AT2647">
        <v>95</v>
      </c>
      <c r="AU2647" t="inlineStr">
        <is>
          <t>0.95</t>
        </is>
      </c>
      <c r="AV2647" t="inlineStr">
        <is>
          <t>20</t>
        </is>
      </c>
      <c r="AW2647" t="inlineStr">
        <is>
          <t>0</t>
        </is>
      </c>
      <c r="AX2647" t="inlineStr">
        <is>
          <t>Not Qualified</t>
        </is>
      </c>
      <c r="AY2647" s="4"/>
      <c r="AZ2647"/>
      <c r="BA2647"/>
      <c r="BB2647"/>
      <c r="BC2647"/>
      <c r="BD2647" s="4"/>
      <c r="BE2647"/>
      <c r="BF2647"/>
      <c r="BG2647" t="inlineStr">
        <is>
          <t>Reschedule</t>
        </is>
      </c>
      <c r="BH2647" t="inlineStr">
        <is>
          <t>Fauziah Maharan</t>
        </is>
      </c>
      <c r="BI2647"/>
      <c r="BJ2647" s="4">
        <v>46144.755740740744</v>
      </c>
      <c r="BK2647" s="4">
        <v>46118.79552083334</v>
      </c>
      <c r="BL2647" t="inlineStr">
        <is>
          <t>0.0</t>
        </is>
      </c>
      <c r="BM2647" t="inlineStr">
        <is>
          <t>0.0</t>
        </is>
      </c>
      <c r="BN2647"/>
      <c r="BO2647" s="4"/>
      <c r="BP2647">
        <v>165637</v>
      </c>
      <c r="BQ2647"/>
      <c r="BR2647"/>
      <c r="BS2647"/>
      <c r="BT2647"/>
      <c r="BU2647"/>
      <c r="BV2647"/>
      <c r="BW2647"/>
      <c r="BX2647"/>
      <c r="BY2647"/>
      <c r="BZ2647" s="4"/>
      <c r="CA2647"/>
      <c r="CB2647"/>
      <c r="CC2647" s="4"/>
      <c r="CD2647" t="inlineStr">
        <is>
          <t>30</t>
        </is>
      </c>
      <c r="CE2647" t="inlineStr">
        <is>
          <t>0</t>
        </is>
      </c>
      <c r="CF2647" t="inlineStr">
        <is>
          <t>Q2-W01</t>
        </is>
      </c>
      <c r="CG2647"/>
      <c r="CH2647"/>
      <c r="CI2647"/>
      <c r="CJ2647" t="inlineStr">
        <is>
          <t>No Paid</t>
        </is>
      </c>
      <c r="CK2647" t="inlineStr">
        <is>
          <t>Eligible</t>
        </is>
      </c>
      <c r="CL2647"/>
      <c r="CM2647"/>
    </row>
    <row r="2648" ht="25.5" customHeight="1">
      <c r="A2648" t="inlineStr">
        <is>
          <t>202931</t>
        </is>
      </c>
      <c r="B2648" s="2"/>
      <c r="C2648"/>
      <c r="D2648" s="3">
        <v>46119.53717592593</v>
      </c>
      <c r="E2648" t="inlineStr">
        <is>
          <t>Q2-W01</t>
        </is>
      </c>
      <c r="F2648" t="inlineStr">
        <is>
          <t>Keegan</t>
        </is>
      </c>
      <c r="G2648" t="inlineStr">
        <is>
          <t>Customer</t>
        </is>
      </c>
      <c r="H2648" s="2" t="str">
        <f>=HYPERLINK("https://upbox.ajobthing.my/customer/202931", "https://upbox.ajobthing.my/customer/202931")</f>
        <v>https://upbox.ajobthing.my/customer/202931</v>
      </c>
      <c r="I2648" t="inlineStr">
        <is>
          <t>Dexone Electrosafe Sdn. Bhd.</t>
        </is>
      </c>
      <c r="J2648" t="inlineStr">
        <is>
          <t>Small Fish</t>
        </is>
      </c>
      <c r="K2648" t="inlineStr">
        <is>
          <t>Keegan</t>
        </is>
      </c>
      <c r="L2648" s="4"/>
      <c r="M2648" s="4">
        <v>46119.537256944444</v>
      </c>
      <c r="N2648"/>
      <c r="O2648">
        <v>6048</v>
      </c>
      <c r="P2648" s="4"/>
      <c r="Q2648" s="4">
        <v>46119.6277662037</v>
      </c>
      <c r="R2648"/>
      <c r="S2648">
        <v>0</v>
      </c>
      <c r="T2648" s="4"/>
      <c r="U2648" s="4"/>
      <c r="V2648"/>
      <c r="W2648"/>
      <c r="X2648"/>
      <c r="Y2648" t="inlineStr">
        <is>
          <t>Pending Appointment</t>
        </is>
      </c>
      <c r="Z2648" t="inlineStr">
        <is>
          <t>Hiring Now</t>
        </is>
      </c>
      <c r="AA2648">
        <v>2</v>
      </c>
      <c r="AB2648" t="inlineStr">
        <is>
          <t>No Appointment Made</t>
        </is>
      </c>
      <c r="AC2648"/>
      <c r="AD2648" t="inlineStr">
        <is>
          <t>1. sales 
2. BD</t>
        </is>
      </c>
      <c r="AE2648"/>
      <c r="AF2648"/>
      <c r="AG2648" s="4"/>
      <c r="AH2648" s="4"/>
      <c r="AI2648"/>
      <c r="AJ2648">
        <v>1</v>
      </c>
      <c r="AK2648" t="inlineStr">
        <is>
          <t>No, I don't need at all</t>
        </is>
      </c>
      <c r="AL2648">
        <v>0</v>
      </c>
      <c r="AM2648" t="inlineStr">
        <is>
          <t>No, I don't need at all</t>
        </is>
      </c>
      <c r="AN2648"/>
      <c r="AO2648" t="inlineStr">
        <is>
          <t>No, I don't need at all</t>
        </is>
      </c>
      <c r="AP2648" t="inlineStr">
        <is>
          <t>Once per quarter (75%)</t>
        </is>
      </c>
      <c r="AQ2648"/>
      <c r="AR2648" t="inlineStr">
        <is>
          <t>Did not use any job portal</t>
        </is>
      </c>
      <c r="AS2648" t="inlineStr">
        <is>
          <t>- Headcount: 2
- Hiring Job Details: 1. sales 2. BD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648">
        <v>75</v>
      </c>
      <c r="AU2648" t="inlineStr">
        <is>
          <t>0.75</t>
        </is>
      </c>
      <c r="AV2648" t="inlineStr">
        <is>
          <t>5</t>
        </is>
      </c>
      <c r="AW2648" t="inlineStr">
        <is>
          <t>0</t>
        </is>
      </c>
      <c r="AX2648" t="inlineStr">
        <is>
          <t>Not Qualified</t>
        </is>
      </c>
      <c r="AY2648" s="4"/>
      <c r="AZ2648"/>
      <c r="BA2648"/>
      <c r="BB2648"/>
      <c r="BC2648" t="inlineStr">
        <is>
          <t>lost to free posting</t>
        </is>
      </c>
      <c r="BD2648" s="4">
        <v>46132.65841435185</v>
      </c>
      <c r="BE2648" t="inlineStr">
        <is>
          <t>paid</t>
        </is>
      </c>
      <c r="BF2648"/>
      <c r="BG2648" t="inlineStr">
        <is>
          <t>Reschedule</t>
        </is>
      </c>
      <c r="BH2648" t="inlineStr">
        <is>
          <t>Edward Hoo</t>
        </is>
      </c>
      <c r="BI2648" t="inlineStr">
        <is>
          <t>Electrical / Electronics</t>
        </is>
      </c>
      <c r="BJ2648" s="4">
        <v>46144.754166666666</v>
      </c>
      <c r="BK2648" s="4">
        <v>46119.5190625</v>
      </c>
      <c r="BL2648" t="inlineStr">
        <is>
          <t>0.0</t>
        </is>
      </c>
      <c r="BM2648" t="inlineStr">
        <is>
          <t>0.0</t>
        </is>
      </c>
      <c r="BN2648" t="inlineStr">
        <is>
          <t>View Company Page</t>
        </is>
      </c>
      <c r="BO2648" s="4">
        <v>46125.415925925925</v>
      </c>
      <c r="BP2648">
        <v>165642</v>
      </c>
      <c r="BQ2648">
        <v>120476</v>
      </c>
      <c r="BR2648" t="inlineStr">
        <is>
          <t>Proforma</t>
        </is>
      </c>
      <c r="BS2648" t="inlineStr">
        <is>
          <t>Free Internship Job</t>
        </is>
      </c>
      <c r="BT2648"/>
      <c r="BU2648"/>
      <c r="BV2648">
        <v>2716119</v>
      </c>
      <c r="BW2648" t="inlineStr">
        <is>
          <t>Follow Up : Lost - Free Portal</t>
        </is>
      </c>
      <c r="BX2648"/>
      <c r="BY2648"/>
      <c r="BZ2648" s="4"/>
      <c r="CA2648"/>
      <c r="CB2648"/>
      <c r="CC2648" s="4"/>
      <c r="CD2648" t="inlineStr">
        <is>
          <t>5</t>
        </is>
      </c>
      <c r="CE2648" t="inlineStr">
        <is>
          <t>0</t>
        </is>
      </c>
      <c r="CF2648" t="inlineStr">
        <is>
          <t>Q2-W01</t>
        </is>
      </c>
      <c r="CG2648" t="inlineStr">
        <is>
          <t>Q2-W01</t>
        </is>
      </c>
      <c r="CH2648"/>
      <c r="CI2648"/>
      <c r="CJ2648" t="inlineStr">
        <is>
          <t>No Paid</t>
        </is>
      </c>
      <c r="CK2648" t="inlineStr">
        <is>
          <t>Not Eligible</t>
        </is>
      </c>
      <c r="CL2648"/>
      <c r="CM2648"/>
    </row>
    <row r="2649" ht="25.5" customHeight="1">
      <c r="A2649" t="inlineStr">
        <is>
          <t>4255526</t>
        </is>
      </c>
      <c r="B2649" s="2"/>
      <c r="C2649"/>
      <c r="D2649" s="3">
        <v>46119.53884259259</v>
      </c>
      <c r="E2649" t="inlineStr">
        <is>
          <t>Q2-W01</t>
        </is>
      </c>
      <c r="F2649" t="inlineStr">
        <is>
          <t>Chia Yee</t>
        </is>
      </c>
      <c r="G2649" t="inlineStr">
        <is>
          <t>Lead</t>
        </is>
      </c>
      <c r="H2649" s="2" t="str">
        <f>=HYPERLINK("https://upbox.ajobthing.my/leads/4255526", "https://upbox.ajobthing.my/leads/4255526")</f>
        <v>https://upbox.ajobthing.my/leads/4255526</v>
      </c>
      <c r="I2649" t="inlineStr">
        <is>
          <t>Unity Power Electrical</t>
        </is>
      </c>
      <c r="J2649" t="inlineStr">
        <is>
          <t>Small Fish</t>
        </is>
      </c>
      <c r="K2649" t="inlineStr">
        <is>
          <t>Chia Yee</t>
        </is>
      </c>
      <c r="L2649" s="4"/>
      <c r="M2649" s="4">
        <v>46119.53983796296</v>
      </c>
      <c r="N2649"/>
      <c r="O2649">
        <v>1296</v>
      </c>
      <c r="P2649" s="4"/>
      <c r="Q2649" s="4"/>
      <c r="R2649"/>
      <c r="S2649"/>
      <c r="T2649" s="4"/>
      <c r="U2649" s="4"/>
      <c r="V2649"/>
      <c r="W2649"/>
      <c r="X2649"/>
      <c r="Y2649" t="inlineStr">
        <is>
          <t>Pending Appointment</t>
        </is>
      </c>
      <c r="Z2649" t="inlineStr">
        <is>
          <t>Hiring Now</t>
        </is>
      </c>
      <c r="AA2649">
        <v>1</v>
      </c>
      <c r="AB2649" t="inlineStr">
        <is>
          <t>No Appointment Made</t>
        </is>
      </c>
      <c r="AC2649"/>
      <c r="AD2649" t="inlineStr">
        <is>
          <t>1 Cashier cum admin</t>
        </is>
      </c>
      <c r="AE2649"/>
      <c r="AF2649">
        <v>0</v>
      </c>
      <c r="AG2649" s="4"/>
      <c r="AH2649" s="4"/>
      <c r="AI2649">
        <v>0</v>
      </c>
      <c r="AJ2649">
        <v>1</v>
      </c>
      <c r="AK2649" t="inlineStr">
        <is>
          <t>No, I don't need at all</t>
        </is>
      </c>
      <c r="AL2649">
        <v>1</v>
      </c>
      <c r="AM2649" t="inlineStr">
        <is>
          <t>No, I don't need at all</t>
        </is>
      </c>
      <c r="AN2649"/>
      <c r="AO2649" t="inlineStr">
        <is>
          <t>Yes, I have</t>
        </is>
      </c>
      <c r="AP2649" t="inlineStr">
        <is>
          <t>Once a year (25%)</t>
        </is>
      </c>
      <c r="AQ2649">
        <v>1</v>
      </c>
      <c r="AR2649" t="inlineStr">
        <is>
          <t>Did not use any job portal</t>
        </is>
      </c>
      <c r="AS2649" t="inlineStr">
        <is>
          <t>- Headcount: 1
- Hiring Job Details: 1 Cashier cum admin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2649">
        <v>110</v>
      </c>
      <c r="AU2649" t="inlineStr">
        <is>
          <t>1.10</t>
        </is>
      </c>
      <c r="AV2649" t="inlineStr">
        <is>
          <t>15</t>
        </is>
      </c>
      <c r="AW2649" t="inlineStr">
        <is>
          <t>0</t>
        </is>
      </c>
      <c r="AX2649" t="inlineStr">
        <is>
          <t>Not Qualified</t>
        </is>
      </c>
      <c r="AY2649" s="4"/>
      <c r="AZ2649"/>
      <c r="BA2649"/>
      <c r="BB2649"/>
      <c r="BC2649"/>
      <c r="BD2649" s="4"/>
      <c r="BE2649"/>
      <c r="BF2649"/>
      <c r="BG2649" t="inlineStr">
        <is>
          <t>Reschedule</t>
        </is>
      </c>
      <c r="BH2649" t="inlineStr">
        <is>
          <t>Reagen</t>
        </is>
      </c>
      <c r="BI2649"/>
      <c r="BJ2649" s="4">
        <v>46144.755740740744</v>
      </c>
      <c r="BK2649" s="4">
        <v>46119.49413194445</v>
      </c>
      <c r="BL2649" t="inlineStr">
        <is>
          <t>0.0</t>
        </is>
      </c>
      <c r="BM2649" t="inlineStr">
        <is>
          <t>0.0</t>
        </is>
      </c>
      <c r="BN2649"/>
      <c r="BO2649" s="4"/>
      <c r="BP2649">
        <v>165644</v>
      </c>
      <c r="BQ2649"/>
      <c r="BR2649"/>
      <c r="BS2649"/>
      <c r="BT2649"/>
      <c r="BU2649"/>
      <c r="BV2649"/>
      <c r="BW2649"/>
      <c r="BX2649"/>
      <c r="BY2649"/>
      <c r="BZ2649" s="4"/>
      <c r="CA2649"/>
      <c r="CB2649"/>
      <c r="CC2649" s="4"/>
      <c r="CD2649" t="inlineStr">
        <is>
          <t>20</t>
        </is>
      </c>
      <c r="CE2649" t="inlineStr">
        <is>
          <t>0</t>
        </is>
      </c>
      <c r="CF2649" t="inlineStr">
        <is>
          <t>Q2-W01</t>
        </is>
      </c>
      <c r="CG2649"/>
      <c r="CH2649"/>
      <c r="CI2649"/>
      <c r="CJ2649" t="inlineStr">
        <is>
          <t>No Paid</t>
        </is>
      </c>
      <c r="CK2649" t="inlineStr">
        <is>
          <t>Not Eligible</t>
        </is>
      </c>
      <c r="CL2649"/>
      <c r="CM2649"/>
    </row>
    <row r="2650" ht="25.5" customHeight="1">
      <c r="A2650" t="inlineStr">
        <is>
          <t>191746</t>
        </is>
      </c>
      <c r="B2650" s="2"/>
      <c r="C2650"/>
      <c r="D2650" s="3">
        <v>46119.568136574075</v>
      </c>
      <c r="E2650" t="inlineStr">
        <is>
          <t>Q2-W01</t>
        </is>
      </c>
      <c r="F2650" t="inlineStr">
        <is>
          <t>Dickson</t>
        </is>
      </c>
      <c r="G2650" t="inlineStr">
        <is>
          <t>Customer</t>
        </is>
      </c>
      <c r="H2650" s="2" t="str">
        <f>=HYPERLINK("https://upbox.ajobthing.my/customer/191746", "https://upbox.ajobthing.my/customer/191746")</f>
        <v>https://upbox.ajobthing.my/customer/191746</v>
      </c>
      <c r="I2650" t="inlineStr">
        <is>
          <t xml:space="preserve">Eka Delight Kitchen </t>
        </is>
      </c>
      <c r="J2650" t="inlineStr">
        <is>
          <t>Small Fish</t>
        </is>
      </c>
      <c r="K2650" t="inlineStr">
        <is>
          <t>Dickson</t>
        </is>
      </c>
      <c r="L2650" s="4"/>
      <c r="M2650" s="4">
        <v>46119.56831018518</v>
      </c>
      <c r="N2650"/>
      <c r="O2650">
        <v>3672</v>
      </c>
      <c r="P2650" s="4"/>
      <c r="Q2650" s="4"/>
      <c r="R2650"/>
      <c r="S2650"/>
      <c r="T2650" s="4"/>
      <c r="U2650" s="4"/>
      <c r="V2650"/>
      <c r="W2650"/>
      <c r="X2650"/>
      <c r="Y2650" t="inlineStr">
        <is>
          <t>Pending Appointment</t>
        </is>
      </c>
      <c r="Z2650" t="inlineStr">
        <is>
          <t>Hiring Later</t>
        </is>
      </c>
      <c r="AA2650">
        <v>4</v>
      </c>
      <c r="AB2650" t="inlineStr">
        <is>
          <t>No Appointment Made</t>
        </is>
      </c>
      <c r="AC2650"/>
      <c r="AD2650" t="inlineStr">
        <is>
          <t>2 barista, 2 waiters</t>
        </is>
      </c>
      <c r="AE2650"/>
      <c r="AF2650"/>
      <c r="AG2650" s="4"/>
      <c r="AH2650" s="4"/>
      <c r="AI2650"/>
      <c r="AJ2650">
        <v>1</v>
      </c>
      <c r="AK2650" t="inlineStr">
        <is>
          <t>No, I don't need at all</t>
        </is>
      </c>
      <c r="AL2650"/>
      <c r="AM2650" t="inlineStr">
        <is>
          <t>No, I don't need at all</t>
        </is>
      </c>
      <c r="AN2650"/>
      <c r="AO2650" t="inlineStr">
        <is>
          <t>No, I don't need at all</t>
        </is>
      </c>
      <c r="AP2650" t="inlineStr">
        <is>
          <t>Once per quarter (75%)</t>
        </is>
      </c>
      <c r="AQ2650"/>
      <c r="AR2650"/>
      <c r="AS2650" t="inlineStr">
        <is>
          <t>- Headcount: 4
- Hiring Job Details: 2 barista, 2 waiters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650">
        <v>95</v>
      </c>
      <c r="AU2650" t="inlineStr">
        <is>
          <t>0.95</t>
        </is>
      </c>
      <c r="AV2650" t="inlineStr">
        <is>
          <t>5</t>
        </is>
      </c>
      <c r="AW2650" t="inlineStr">
        <is>
          <t>0</t>
        </is>
      </c>
      <c r="AX2650" t="inlineStr">
        <is>
          <t>Not Qualified</t>
        </is>
      </c>
      <c r="AY2650" s="4"/>
      <c r="AZ2650"/>
      <c r="BA2650"/>
      <c r="BB2650"/>
      <c r="BC2650" t="inlineStr">
        <is>
          <t>no answer</t>
        </is>
      </c>
      <c r="BD2650" s="4">
        <v>46139.73571759259</v>
      </c>
      <c r="BE2650"/>
      <c r="BF2650"/>
      <c r="BG2650" t="inlineStr">
        <is>
          <t>Reschedule</t>
        </is>
      </c>
      <c r="BH2650" t="inlineStr">
        <is>
          <t>Edward Hoo</t>
        </is>
      </c>
      <c r="BI2650"/>
      <c r="BJ2650" s="4">
        <v>46144.7524537037</v>
      </c>
      <c r="BK2650" s="4">
        <v>45802.559016203704</v>
      </c>
      <c r="BL2650" t="inlineStr">
        <is>
          <t>0.0</t>
        </is>
      </c>
      <c r="BM2650" t="inlineStr">
        <is>
          <t>0.0</t>
        </is>
      </c>
      <c r="BN2650" t="inlineStr">
        <is>
          <t>User Visit(Logged In)</t>
        </is>
      </c>
      <c r="BO2650" s="4">
        <v>45802.56421296296</v>
      </c>
      <c r="BP2650">
        <v>165651</v>
      </c>
      <c r="BQ2650"/>
      <c r="BR2650"/>
      <c r="BS2650"/>
      <c r="BT2650"/>
      <c r="BU2650"/>
      <c r="BV2650">
        <v>2731487</v>
      </c>
      <c r="BW2650" t="inlineStr">
        <is>
          <t>No Answer : Voicemail - WA sent to customer</t>
        </is>
      </c>
      <c r="BX2650"/>
      <c r="BY2650"/>
      <c r="BZ2650" s="4"/>
      <c r="CA2650"/>
      <c r="CB2650"/>
      <c r="CC2650" s="4"/>
      <c r="CD2650" t="inlineStr">
        <is>
          <t>5</t>
        </is>
      </c>
      <c r="CE2650" t="inlineStr">
        <is>
          <t>0</t>
        </is>
      </c>
      <c r="CF2650" t="inlineStr">
        <is>
          <t>Q2-W01</t>
        </is>
      </c>
      <c r="CG2650"/>
      <c r="CH2650"/>
      <c r="CI2650"/>
      <c r="CJ2650" t="inlineStr">
        <is>
          <t>No Paid</t>
        </is>
      </c>
      <c r="CK2650" t="inlineStr">
        <is>
          <t>Not Eligible</t>
        </is>
      </c>
      <c r="CL2650"/>
      <c r="CM2650"/>
    </row>
    <row r="2651" ht="25.5" customHeight="1">
      <c r="A2651" t="inlineStr">
        <is>
          <t>4255941</t>
        </is>
      </c>
      <c r="B2651" s="2"/>
      <c r="C2651"/>
      <c r="D2651" s="3">
        <v>46119.5708912037</v>
      </c>
      <c r="E2651" t="inlineStr">
        <is>
          <t>Q2-W01</t>
        </is>
      </c>
      <c r="F2651" t="inlineStr">
        <is>
          <t>Derek Lim</t>
        </is>
      </c>
      <c r="G2651" t="inlineStr">
        <is>
          <t>Lead</t>
        </is>
      </c>
      <c r="H2651" s="2" t="str">
        <f>=HYPERLINK("https://upbox.ajobthing.my/leads/4255941", "https://upbox.ajobthing.my/leads/4255941")</f>
        <v>https://upbox.ajobthing.my/leads/4255941</v>
      </c>
      <c r="I2651" t="inlineStr">
        <is>
          <t>Miss Jerry Store</t>
        </is>
      </c>
      <c r="J2651" t="inlineStr">
        <is>
          <t>Small Fish</t>
        </is>
      </c>
      <c r="K2651" t="inlineStr">
        <is>
          <t>Derek Lim</t>
        </is>
      </c>
      <c r="L2651" s="4"/>
      <c r="M2651" s="4">
        <v>46119.57115740741</v>
      </c>
      <c r="N2651"/>
      <c r="O2651">
        <v>6048</v>
      </c>
      <c r="P2651" s="4"/>
      <c r="Q2651" s="4"/>
      <c r="R2651"/>
      <c r="S2651"/>
      <c r="T2651" s="4"/>
      <c r="U2651" s="4"/>
      <c r="V2651"/>
      <c r="W2651"/>
      <c r="X2651"/>
      <c r="Y2651" t="inlineStr">
        <is>
          <t>Pending Appointment</t>
        </is>
      </c>
      <c r="Z2651" t="inlineStr">
        <is>
          <t>Hiring Now</t>
        </is>
      </c>
      <c r="AA2651">
        <v>1</v>
      </c>
      <c r="AB2651" t="inlineStr">
        <is>
          <t>No Appointment Made</t>
        </is>
      </c>
      <c r="AC2651"/>
      <c r="AD2651" t="inlineStr">
        <is>
          <t>Technician - 1</t>
        </is>
      </c>
      <c r="AE2651"/>
      <c r="AF2651">
        <v>0</v>
      </c>
      <c r="AG2651" s="4"/>
      <c r="AH2651" s="4"/>
      <c r="AI2651">
        <v>0</v>
      </c>
      <c r="AJ2651">
        <v>1</v>
      </c>
      <c r="AK2651" t="inlineStr">
        <is>
          <t>No, I don't need at all</t>
        </is>
      </c>
      <c r="AL2651">
        <v>0</v>
      </c>
      <c r="AM2651" t="inlineStr">
        <is>
          <t>No, I don't need at all</t>
        </is>
      </c>
      <c r="AN2651"/>
      <c r="AO2651" t="inlineStr">
        <is>
          <t>No, I don't need at all</t>
        </is>
      </c>
      <c r="AP2651" t="inlineStr">
        <is>
          <t>Once a year (25%)</t>
        </is>
      </c>
      <c r="AQ2651">
        <v>1</v>
      </c>
      <c r="AR2651" t="inlineStr">
        <is>
          <t>Jobstreet</t>
        </is>
      </c>
      <c r="AS2651" t="inlineStr">
        <is>
          <t>- Headcount: 1
- Hiring Job Details: 1 Technician
- Hiring Urgency: Hiring Now
- Number of outlets: 1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651">
        <v>115</v>
      </c>
      <c r="AU2651" t="inlineStr">
        <is>
          <t>1.15</t>
        </is>
      </c>
      <c r="AV2651" t="inlineStr">
        <is>
          <t>15</t>
        </is>
      </c>
      <c r="AW2651" t="inlineStr">
        <is>
          <t>0</t>
        </is>
      </c>
      <c r="AX2651" t="inlineStr">
        <is>
          <t>Not Qualified</t>
        </is>
      </c>
      <c r="AY2651" s="4"/>
      <c r="AZ2651"/>
      <c r="BA2651"/>
      <c r="BB2651"/>
      <c r="BC2651"/>
      <c r="BD2651" s="4"/>
      <c r="BE2651"/>
      <c r="BF2651"/>
      <c r="BG2651" t="inlineStr">
        <is>
          <t>Reschedule</t>
        </is>
      </c>
      <c r="BH2651" t="inlineStr">
        <is>
          <t>Edward Hoo</t>
        </is>
      </c>
      <c r="BI2651"/>
      <c r="BJ2651" s="4">
        <v>46144.755740740744</v>
      </c>
      <c r="BK2651" s="4">
        <v>46119.555</v>
      </c>
      <c r="BL2651" t="inlineStr">
        <is>
          <t>0.0</t>
        </is>
      </c>
      <c r="BM2651" t="inlineStr">
        <is>
          <t>0.0</t>
        </is>
      </c>
      <c r="BN2651"/>
      <c r="BO2651" s="4"/>
      <c r="BP2651">
        <v>165652</v>
      </c>
      <c r="BQ2651"/>
      <c r="BR2651"/>
      <c r="BS2651"/>
      <c r="BT2651"/>
      <c r="BU2651"/>
      <c r="BV2651"/>
      <c r="BW2651"/>
      <c r="BX2651"/>
      <c r="BY2651"/>
      <c r="BZ2651" s="4"/>
      <c r="CA2651"/>
      <c r="CB2651"/>
      <c r="CC2651" s="4"/>
      <c r="CD2651" t="inlineStr">
        <is>
          <t>20</t>
        </is>
      </c>
      <c r="CE2651" t="inlineStr">
        <is>
          <t>0</t>
        </is>
      </c>
      <c r="CF2651" t="inlineStr">
        <is>
          <t>Q2-W01</t>
        </is>
      </c>
      <c r="CG2651"/>
      <c r="CH2651"/>
      <c r="CI2651"/>
      <c r="CJ2651" t="inlineStr">
        <is>
          <t>No Paid</t>
        </is>
      </c>
      <c r="CK2651" t="inlineStr">
        <is>
          <t>Not Eligible</t>
        </is>
      </c>
      <c r="CL2651"/>
      <c r="CM2651"/>
    </row>
    <row r="2652" ht="25.5" customHeight="1">
      <c r="A2652" t="inlineStr">
        <is>
          <t>4255554</t>
        </is>
      </c>
      <c r="B2652" s="2"/>
      <c r="C2652"/>
      <c r="D2652" s="3">
        <v>46119.57457175926</v>
      </c>
      <c r="E2652" t="inlineStr">
        <is>
          <t>Q2-W01</t>
        </is>
      </c>
      <c r="F2652" t="inlineStr">
        <is>
          <t>Luqman</t>
        </is>
      </c>
      <c r="G2652" t="inlineStr">
        <is>
          <t>Lead</t>
        </is>
      </c>
      <c r="H2652" s="2" t="str">
        <f>=HYPERLINK("https://upbox.ajobthing.my/leads/4255554", "https://upbox.ajobthing.my/leads/4255554")</f>
        <v>https://upbox.ajobthing.my/leads/4255554</v>
      </c>
      <c r="I2652" t="inlineStr">
        <is>
          <t>Seeyik Builders &amp; Construction Sdn Bhd</t>
        </is>
      </c>
      <c r="J2652" t="inlineStr">
        <is>
          <t>Small Fish</t>
        </is>
      </c>
      <c r="K2652" t="inlineStr">
        <is>
          <t>Luqman</t>
        </is>
      </c>
      <c r="L2652" s="4"/>
      <c r="M2652" s="4">
        <v>46119.574895833335</v>
      </c>
      <c r="N2652"/>
      <c r="O2652">
        <v>864</v>
      </c>
      <c r="P2652" s="4"/>
      <c r="Q2652" s="4"/>
      <c r="R2652"/>
      <c r="S2652"/>
      <c r="T2652" s="4"/>
      <c r="U2652" s="4"/>
      <c r="V2652"/>
      <c r="W2652"/>
      <c r="X2652"/>
      <c r="Y2652" t="inlineStr">
        <is>
          <t>Pending Appointment</t>
        </is>
      </c>
      <c r="Z2652" t="inlineStr">
        <is>
          <t>Hiring Now</t>
        </is>
      </c>
      <c r="AA2652">
        <v>1</v>
      </c>
      <c r="AB2652" t="inlineStr">
        <is>
          <t>No Appointment Made</t>
        </is>
      </c>
      <c r="AC2652"/>
      <c r="AD2652" t="inlineStr">
        <is>
          <t>Site Engineer</t>
        </is>
      </c>
      <c r="AE2652"/>
      <c r="AF2652">
        <v>800</v>
      </c>
      <c r="AG2652" s="4"/>
      <c r="AH2652" s="4"/>
      <c r="AI2652">
        <v>800</v>
      </c>
      <c r="AJ2652"/>
      <c r="AK2652" t="inlineStr">
        <is>
          <t>No, but I want in future</t>
        </is>
      </c>
      <c r="AL2652">
        <v>1</v>
      </c>
      <c r="AM2652" t="inlineStr">
        <is>
          <t>No, I don't need at all</t>
        </is>
      </c>
      <c r="AN2652"/>
      <c r="AO2652" t="inlineStr">
        <is>
          <t>No, I don't need at all</t>
        </is>
      </c>
      <c r="AP2652" t="inlineStr">
        <is>
          <t>Once a year (25%)</t>
        </is>
      </c>
      <c r="AQ2652">
        <v>1</v>
      </c>
      <c r="AR2652" t="inlineStr">
        <is>
          <t>Free Job Portal</t>
        </is>
      </c>
      <c r="AS2652" t="inlineStr">
        <is>
          <t>- Headcount: 1
- Hiring Job Details: Site Engineer
- Hiring Urgency: Hiring Now
- Number of outlets: N/A
- Have recruiter team: No, but I want in future
- Number of recruiter in company: 1
- Have ATS system: No, I don't need at all
- Have career website: No, I don't need at all
- Current hiring budget: RM800
- Whole year budget: RM800.00
- Whole year number of vacancies: 1
- Hiring frequency: Once a year (25%)
- External job portal: Free Job Portal</t>
        </is>
      </c>
      <c r="AT2652">
        <v>110</v>
      </c>
      <c r="AU2652" t="inlineStr">
        <is>
          <t>1.10</t>
        </is>
      </c>
      <c r="AV2652" t="inlineStr">
        <is>
          <t>15</t>
        </is>
      </c>
      <c r="AW2652" t="inlineStr">
        <is>
          <t>0</t>
        </is>
      </c>
      <c r="AX2652" t="inlineStr">
        <is>
          <t>Not Qualified</t>
        </is>
      </c>
      <c r="AY2652" s="4"/>
      <c r="AZ2652"/>
      <c r="BA2652"/>
      <c r="BB2652"/>
      <c r="BC2652"/>
      <c r="BD2652" s="4"/>
      <c r="BE2652"/>
      <c r="BF2652"/>
      <c r="BG2652" t="inlineStr">
        <is>
          <t>Reschedule</t>
        </is>
      </c>
      <c r="BH2652" t="inlineStr">
        <is>
          <t>Edward Hoo</t>
        </is>
      </c>
      <c r="BI2652"/>
      <c r="BJ2652" s="4">
        <v>46144.755740740744</v>
      </c>
      <c r="BK2652" s="4">
        <v>46119.496469907404</v>
      </c>
      <c r="BL2652" t="inlineStr">
        <is>
          <t>0.0</t>
        </is>
      </c>
      <c r="BM2652" t="inlineStr">
        <is>
          <t>0.0</t>
        </is>
      </c>
      <c r="BN2652"/>
      <c r="BO2652" s="4"/>
      <c r="BP2652">
        <v>165653</v>
      </c>
      <c r="BQ2652"/>
      <c r="BR2652"/>
      <c r="BS2652"/>
      <c r="BT2652"/>
      <c r="BU2652"/>
      <c r="BV2652"/>
      <c r="BW2652"/>
      <c r="BX2652"/>
      <c r="BY2652"/>
      <c r="BZ2652" s="4"/>
      <c r="CA2652"/>
      <c r="CB2652"/>
      <c r="CC2652" s="4"/>
      <c r="CD2652" t="inlineStr">
        <is>
          <t>20</t>
        </is>
      </c>
      <c r="CE2652" t="inlineStr">
        <is>
          <t>0</t>
        </is>
      </c>
      <c r="CF2652" t="inlineStr">
        <is>
          <t>Q2-W01</t>
        </is>
      </c>
      <c r="CG2652"/>
      <c r="CH2652"/>
      <c r="CI2652"/>
      <c r="CJ2652" t="inlineStr">
        <is>
          <t>No Paid</t>
        </is>
      </c>
      <c r="CK2652" t="inlineStr">
        <is>
          <t>Not Eligible</t>
        </is>
      </c>
      <c r="CL2652"/>
      <c r="CM2652"/>
    </row>
    <row r="2653" ht="25.5" customHeight="1">
      <c r="A2653" t="inlineStr">
        <is>
          <t>4255351</t>
        </is>
      </c>
      <c r="B2653" s="2"/>
      <c r="C2653"/>
      <c r="D2653" s="3">
        <v>46119.57824074074</v>
      </c>
      <c r="E2653" t="inlineStr">
        <is>
          <t>Q2-W01</t>
        </is>
      </c>
      <c r="F2653" t="inlineStr">
        <is>
          <t>Jia Hui</t>
        </is>
      </c>
      <c r="G2653" t="inlineStr">
        <is>
          <t>Lead</t>
        </is>
      </c>
      <c r="H2653" s="2" t="str">
        <f>=HYPERLINK("https://upbox.ajobthing.my/leads/4255351", "https://upbox.ajobthing.my/leads/4255351")</f>
        <v>https://upbox.ajobthing.my/leads/4255351</v>
      </c>
      <c r="I2653" t="inlineStr">
        <is>
          <t>AZLINA ABDUL AZIZ &amp; ASSOCIATES</t>
        </is>
      </c>
      <c r="J2653" t="inlineStr">
        <is>
          <t>Small Fish</t>
        </is>
      </c>
      <c r="K2653" t="inlineStr">
        <is>
          <t>Jia Hui</t>
        </is>
      </c>
      <c r="L2653" s="4"/>
      <c r="M2653" s="4">
        <v>46127.66917824074</v>
      </c>
      <c r="N2653"/>
      <c r="O2653">
        <v>864</v>
      </c>
      <c r="P2653" s="4"/>
      <c r="Q2653" s="4"/>
      <c r="R2653"/>
      <c r="S2653"/>
      <c r="T2653" s="4"/>
      <c r="U2653" s="4"/>
      <c r="V2653"/>
      <c r="W2653"/>
      <c r="X2653"/>
      <c r="Y2653" t="inlineStr">
        <is>
          <t>Pending Appointment</t>
        </is>
      </c>
      <c r="Z2653" t="inlineStr">
        <is>
          <t>Hiring Now</t>
        </is>
      </c>
      <c r="AA2653">
        <v>1</v>
      </c>
      <c r="AB2653" t="inlineStr">
        <is>
          <t>No Appointment Made</t>
        </is>
      </c>
      <c r="AC2653"/>
      <c r="AD2653" t="inlineStr">
        <is>
          <t>1 account exec</t>
        </is>
      </c>
      <c r="AE2653"/>
      <c r="AF2653">
        <v>1000</v>
      </c>
      <c r="AG2653" s="4"/>
      <c r="AH2653" s="4"/>
      <c r="AI2653"/>
      <c r="AJ2653"/>
      <c r="AK2653" t="inlineStr">
        <is>
          <t>Yes, I have</t>
        </is>
      </c>
      <c r="AL2653"/>
      <c r="AM2653"/>
      <c r="AN2653"/>
      <c r="AO2653"/>
      <c r="AP2653" t="inlineStr">
        <is>
          <t>Once a year (25%)</t>
        </is>
      </c>
      <c r="AQ2653"/>
      <c r="AR2653"/>
      <c r="AS2653" t="inlineStr">
        <is>
          <t>- Headcount: 1
- Hiring Job Details: 1 account exec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653">
        <v>95</v>
      </c>
      <c r="AU2653" t="inlineStr">
        <is>
          <t>0.95</t>
        </is>
      </c>
      <c r="AV2653" t="inlineStr">
        <is>
          <t>15</t>
        </is>
      </c>
      <c r="AW2653" t="inlineStr">
        <is>
          <t>0</t>
        </is>
      </c>
      <c r="AX2653" t="inlineStr">
        <is>
          <t>Not Qualified</t>
        </is>
      </c>
      <c r="AY2653" s="4"/>
      <c r="AZ2653"/>
      <c r="BA2653"/>
      <c r="BB2653"/>
      <c r="BC2653"/>
      <c r="BD2653" s="4"/>
      <c r="BE2653"/>
      <c r="BF2653"/>
      <c r="BG2653" t="inlineStr">
        <is>
          <t>Reschedule</t>
        </is>
      </c>
      <c r="BH2653" t="inlineStr">
        <is>
          <t>Reagen</t>
        </is>
      </c>
      <c r="BI2653"/>
      <c r="BJ2653" s="4">
        <v>46144.755740740744</v>
      </c>
      <c r="BK2653" s="4">
        <v>46119.47136574074</v>
      </c>
      <c r="BL2653" t="inlineStr">
        <is>
          <t>0.0</t>
        </is>
      </c>
      <c r="BM2653" t="inlineStr">
        <is>
          <t>0.0</t>
        </is>
      </c>
      <c r="BN2653"/>
      <c r="BO2653" s="4"/>
      <c r="BP2653">
        <v>167232</v>
      </c>
      <c r="BQ2653"/>
      <c r="BR2653"/>
      <c r="BS2653"/>
      <c r="BT2653"/>
      <c r="BU2653"/>
      <c r="BV2653"/>
      <c r="BW2653"/>
      <c r="BX2653"/>
      <c r="BY2653"/>
      <c r="BZ2653" s="4"/>
      <c r="CA2653"/>
      <c r="CB2653"/>
      <c r="CC2653" s="4"/>
      <c r="CD2653" t="inlineStr">
        <is>
          <t>20</t>
        </is>
      </c>
      <c r="CE2653" t="inlineStr">
        <is>
          <t>0</t>
        </is>
      </c>
      <c r="CF2653" t="inlineStr">
        <is>
          <t>Q2-W02</t>
        </is>
      </c>
      <c r="CG2653"/>
      <c r="CH2653"/>
      <c r="CI2653"/>
      <c r="CJ2653" t="inlineStr">
        <is>
          <t>No Paid</t>
        </is>
      </c>
      <c r="CK2653" t="inlineStr">
        <is>
          <t>Not Eligible</t>
        </is>
      </c>
      <c r="CL2653"/>
      <c r="CM2653"/>
    </row>
    <row r="2654" ht="25.5" customHeight="1">
      <c r="A2654" t="inlineStr">
        <is>
          <t>202929</t>
        </is>
      </c>
      <c r="B2654" s="2"/>
      <c r="C2654"/>
      <c r="D2654" s="3">
        <v>46119.580462962964</v>
      </c>
      <c r="E2654" t="inlineStr">
        <is>
          <t>Q2-W01</t>
        </is>
      </c>
      <c r="F2654" t="inlineStr">
        <is>
          <t>Derek Lim</t>
        </is>
      </c>
      <c r="G2654" t="inlineStr">
        <is>
          <t>Customer</t>
        </is>
      </c>
      <c r="H2654" s="2" t="str">
        <f>=HYPERLINK("https://upbox.ajobthing.my/customer/202929", "https://upbox.ajobthing.my/customer/202929")</f>
        <v>https://upbox.ajobthing.my/customer/202929</v>
      </c>
      <c r="I2654" t="inlineStr">
        <is>
          <t>Gogijip</t>
        </is>
      </c>
      <c r="J2654" t="inlineStr">
        <is>
          <t>Small Fish</t>
        </is>
      </c>
      <c r="K2654" t="inlineStr">
        <is>
          <t>Derek Lim</t>
        </is>
      </c>
      <c r="L2654" s="4"/>
      <c r="M2654" s="4">
        <v>46119.5805787037</v>
      </c>
      <c r="N2654"/>
      <c r="O2654">
        <v>6048</v>
      </c>
      <c r="P2654" s="4"/>
      <c r="Q2654" s="4"/>
      <c r="R2654"/>
      <c r="S2654"/>
      <c r="T2654" s="4"/>
      <c r="U2654" s="4"/>
      <c r="V2654"/>
      <c r="W2654"/>
      <c r="X2654"/>
      <c r="Y2654" t="inlineStr">
        <is>
          <t>Pending Appointment</t>
        </is>
      </c>
      <c r="Z2654" t="inlineStr">
        <is>
          <t>Hiring Now</t>
        </is>
      </c>
      <c r="AA2654">
        <v>8</v>
      </c>
      <c r="AB2654" t="inlineStr">
        <is>
          <t>No Appointment Made</t>
        </is>
      </c>
      <c r="AC2654"/>
      <c r="AD2654" t="inlineStr">
        <is>
          <t>Service Crew - 4, kitchen crew - 3, dish washer - 1</t>
        </is>
      </c>
      <c r="AE2654"/>
      <c r="AF2654">
        <v>0</v>
      </c>
      <c r="AG2654" s="4"/>
      <c r="AH2654" s="4"/>
      <c r="AI2654">
        <v>0</v>
      </c>
      <c r="AJ2654">
        <v>1</v>
      </c>
      <c r="AK2654" t="inlineStr">
        <is>
          <t>No, I don't need at all</t>
        </is>
      </c>
      <c r="AL2654">
        <v>0</v>
      </c>
      <c r="AM2654" t="inlineStr">
        <is>
          <t>No, I don't need at all</t>
        </is>
      </c>
      <c r="AN2654"/>
      <c r="AO2654" t="inlineStr">
        <is>
          <t>No, I don't need at all</t>
        </is>
      </c>
      <c r="AP2654" t="inlineStr">
        <is>
          <t>Once a year (25%)</t>
        </is>
      </c>
      <c r="AQ2654">
        <v>5</v>
      </c>
      <c r="AR2654" t="inlineStr">
        <is>
          <t>Indeed (Paid), Free Job Portal</t>
        </is>
      </c>
      <c r="AS2654" t="inlineStr">
        <is>
          <t>- Headcount: 8
- Hiring Job Details: Service Crew - 4, kitchen crew - 3, dish washer - 1
- Hiring Urgency: Hiring Now
- Number of outlets: 1
- Have recruiter team: No, I don't need at all
- Number of recruiter in company: 0
- Have ATS system: No, I don't need at all
- Have career website: No, I don't need at all
- Current hiring budget: RM0
- Whole year budget: RM0.00
- Whole year number of vacancies: 5
- Hiring frequency: Once a year (25%)
- External job portal: Indeed (Paid),Free Job Portal</t>
        </is>
      </c>
      <c r="AT2654">
        <v>105</v>
      </c>
      <c r="AU2654" t="inlineStr">
        <is>
          <t>1.05</t>
        </is>
      </c>
      <c r="AV2654" t="inlineStr">
        <is>
          <t>20</t>
        </is>
      </c>
      <c r="AW2654" t="inlineStr">
        <is>
          <t>0</t>
        </is>
      </c>
      <c r="AX2654" t="inlineStr">
        <is>
          <t>Not Qualified</t>
        </is>
      </c>
      <c r="AY2654" s="4"/>
      <c r="AZ2654"/>
      <c r="BA2654"/>
      <c r="BB2654"/>
      <c r="BC2654" t="inlineStr">
        <is>
          <t>SHE MENTION USE FREE PORTAL, HAVE BUDGET CONCERN</t>
        </is>
      </c>
      <c r="BD2654" s="4">
        <v>46120.57388888889</v>
      </c>
      <c r="BE2654"/>
      <c r="BF2654"/>
      <c r="BG2654" t="inlineStr">
        <is>
          <t>Reschedule</t>
        </is>
      </c>
      <c r="BH2654" t="inlineStr">
        <is>
          <t>Edward Hoo</t>
        </is>
      </c>
      <c r="BI2654"/>
      <c r="BJ2654" s="4">
        <v>46144.754166666666</v>
      </c>
      <c r="BK2654" s="4">
        <v>46119.515127314815</v>
      </c>
      <c r="BL2654" t="inlineStr">
        <is>
          <t>0.0</t>
        </is>
      </c>
      <c r="BM2654" t="inlineStr">
        <is>
          <t>0.0</t>
        </is>
      </c>
      <c r="BN2654" t="inlineStr">
        <is>
          <t>View Create Job Page V4</t>
        </is>
      </c>
      <c r="BO2654" s="4">
        <v>46119.656805555554</v>
      </c>
      <c r="BP2654">
        <v>165659</v>
      </c>
      <c r="BQ2654"/>
      <c r="BR2654"/>
      <c r="BS2654"/>
      <c r="BT2654"/>
      <c r="BU2654"/>
      <c r="BV2654">
        <v>2692344</v>
      </c>
      <c r="BW2654" t="inlineStr">
        <is>
          <t>Follow Up : Budget Concern</t>
        </is>
      </c>
      <c r="BX2654"/>
      <c r="BY2654"/>
      <c r="BZ2654" s="4"/>
      <c r="CA2654"/>
      <c r="CB2654"/>
      <c r="CC2654" s="4"/>
      <c r="CD2654" t="inlineStr">
        <is>
          <t>30</t>
        </is>
      </c>
      <c r="CE2654" t="inlineStr">
        <is>
          <t>0</t>
        </is>
      </c>
      <c r="CF2654" t="inlineStr">
        <is>
          <t>Q2-W01</t>
        </is>
      </c>
      <c r="CG2654"/>
      <c r="CH2654"/>
      <c r="CI2654"/>
      <c r="CJ2654" t="inlineStr">
        <is>
          <t>No Paid</t>
        </is>
      </c>
      <c r="CK2654" t="inlineStr">
        <is>
          <t>Eligible</t>
        </is>
      </c>
      <c r="CL2654"/>
      <c r="CM2654"/>
    </row>
    <row r="2655" ht="25.5" customHeight="1">
      <c r="A2655" t="inlineStr">
        <is>
          <t>4256066</t>
        </is>
      </c>
      <c r="B2655" s="2"/>
      <c r="C2655"/>
      <c r="D2655" s="3">
        <v>46119.59170138889</v>
      </c>
      <c r="E2655" t="inlineStr">
        <is>
          <t>Q2-W01</t>
        </is>
      </c>
      <c r="F2655" t="inlineStr">
        <is>
          <t>Lucas</t>
        </is>
      </c>
      <c r="G2655" t="inlineStr">
        <is>
          <t>Lead</t>
        </is>
      </c>
      <c r="H2655" s="2" t="str">
        <f>=HYPERLINK("https://upbox.ajobthing.my/leads/4256066", "https://upbox.ajobthing.my/leads/4256066")</f>
        <v>https://upbox.ajobthing.my/leads/4256066</v>
      </c>
      <c r="I2655" t="inlineStr">
        <is>
          <t>REKO PROJECTS SDN BHD</t>
        </is>
      </c>
      <c r="J2655" t="inlineStr">
        <is>
          <t>Small Fish</t>
        </is>
      </c>
      <c r="K2655" t="inlineStr">
        <is>
          <t>Lucas</t>
        </is>
      </c>
      <c r="L2655" s="4"/>
      <c r="M2655" s="4">
        <v>46119.59222222222</v>
      </c>
      <c r="N2655"/>
      <c r="O2655">
        <v>3888</v>
      </c>
      <c r="P2655" s="4"/>
      <c r="Q2655" s="4"/>
      <c r="R2655"/>
      <c r="S2655"/>
      <c r="T2655" s="4"/>
      <c r="U2655" s="4"/>
      <c r="V2655"/>
      <c r="W2655"/>
      <c r="X2655"/>
      <c r="Y2655" t="inlineStr">
        <is>
          <t>Pending Appointment</t>
        </is>
      </c>
      <c r="Z2655" t="inlineStr">
        <is>
          <t>Hiring Now</t>
        </is>
      </c>
      <c r="AA2655">
        <v>1</v>
      </c>
      <c r="AB2655" t="inlineStr">
        <is>
          <t>No Appointment Made</t>
        </is>
      </c>
      <c r="AC2655"/>
      <c r="AD2655" t="inlineStr">
        <is>
          <t>1 account executive</t>
        </is>
      </c>
      <c r="AE2655"/>
      <c r="AF2655">
        <v>0</v>
      </c>
      <c r="AG2655" s="4"/>
      <c r="AH2655" s="4"/>
      <c r="AI2655">
        <v>0</v>
      </c>
      <c r="AJ2655">
        <v>0</v>
      </c>
      <c r="AK2655" t="inlineStr">
        <is>
          <t>No, I don't need at all</t>
        </is>
      </c>
      <c r="AL2655">
        <v>0</v>
      </c>
      <c r="AM2655" t="inlineStr">
        <is>
          <t>No, I don't need at all</t>
        </is>
      </c>
      <c r="AN2655"/>
      <c r="AO2655" t="inlineStr">
        <is>
          <t>No, I don't need at all</t>
        </is>
      </c>
      <c r="AP2655" t="inlineStr">
        <is>
          <t>Once a year (25%)</t>
        </is>
      </c>
      <c r="AQ2655">
        <v>1</v>
      </c>
      <c r="AR2655" t="inlineStr">
        <is>
          <t>Jobstreet</t>
        </is>
      </c>
      <c r="AS2655" t="inlineStr">
        <is>
          <t>- Headcount: 1
- Hiring Job Details: 1 account executive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655">
        <v>110</v>
      </c>
      <c r="AU2655" t="inlineStr">
        <is>
          <t>1.10</t>
        </is>
      </c>
      <c r="AV2655" t="inlineStr">
        <is>
          <t>15</t>
        </is>
      </c>
      <c r="AW2655" t="inlineStr">
        <is>
          <t>0</t>
        </is>
      </c>
      <c r="AX2655" t="inlineStr">
        <is>
          <t>Not Qualified</t>
        </is>
      </c>
      <c r="AY2655" s="4"/>
      <c r="AZ2655"/>
      <c r="BA2655"/>
      <c r="BB2655"/>
      <c r="BC2655"/>
      <c r="BD2655" s="4"/>
      <c r="BE2655"/>
      <c r="BF2655"/>
      <c r="BG2655" t="inlineStr">
        <is>
          <t>Reschedule</t>
        </is>
      </c>
      <c r="BH2655" t="inlineStr">
        <is>
          <t>Yee Hang</t>
        </is>
      </c>
      <c r="BI2655"/>
      <c r="BJ2655" s="4">
        <v>46144.755740740744</v>
      </c>
      <c r="BK2655" s="4">
        <v>46119.57802083333</v>
      </c>
      <c r="BL2655" t="inlineStr">
        <is>
          <t>0.0</t>
        </is>
      </c>
      <c r="BM2655" t="inlineStr">
        <is>
          <t>0.0</t>
        </is>
      </c>
      <c r="BN2655"/>
      <c r="BO2655" s="4"/>
      <c r="BP2655">
        <v>165667</v>
      </c>
      <c r="BQ2655"/>
      <c r="BR2655"/>
      <c r="BS2655"/>
      <c r="BT2655"/>
      <c r="BU2655"/>
      <c r="BV2655"/>
      <c r="BW2655"/>
      <c r="BX2655"/>
      <c r="BY2655"/>
      <c r="BZ2655" s="4"/>
      <c r="CA2655"/>
      <c r="CB2655"/>
      <c r="CC2655" s="4"/>
      <c r="CD2655" t="inlineStr">
        <is>
          <t>20</t>
        </is>
      </c>
      <c r="CE2655" t="inlineStr">
        <is>
          <t>0</t>
        </is>
      </c>
      <c r="CF2655" t="inlineStr">
        <is>
          <t>Q2-W01</t>
        </is>
      </c>
      <c r="CG2655"/>
      <c r="CH2655"/>
      <c r="CI2655"/>
      <c r="CJ2655" t="inlineStr">
        <is>
          <t>No Paid</t>
        </is>
      </c>
      <c r="CK2655" t="inlineStr">
        <is>
          <t>Not Eligible</t>
        </is>
      </c>
      <c r="CL2655"/>
      <c r="CM2655"/>
    </row>
    <row r="2656" ht="25.5" customHeight="1">
      <c r="A2656" t="inlineStr">
        <is>
          <t>4256085</t>
        </is>
      </c>
      <c r="B2656" s="2"/>
      <c r="C2656"/>
      <c r="D2656" s="3">
        <v>46119.59515046296</v>
      </c>
      <c r="E2656" t="inlineStr">
        <is>
          <t>Q2-W01</t>
        </is>
      </c>
      <c r="F2656" t="inlineStr">
        <is>
          <t>Luqman</t>
        </is>
      </c>
      <c r="G2656" t="inlineStr">
        <is>
          <t>Lead</t>
        </is>
      </c>
      <c r="H2656" s="2" t="str">
        <f>=HYPERLINK("https://upbox.ajobthing.my/leads/4256085", "https://upbox.ajobthing.my/leads/4256085")</f>
        <v>https://upbox.ajobthing.my/leads/4256085</v>
      </c>
      <c r="I2656" t="inlineStr">
        <is>
          <t>G.L.MEDIA LED SDN.BHD.</t>
        </is>
      </c>
      <c r="J2656" t="inlineStr">
        <is>
          <t>Small Fish</t>
        </is>
      </c>
      <c r="K2656" t="inlineStr">
        <is>
          <t>Luqman</t>
        </is>
      </c>
      <c r="L2656" s="4"/>
      <c r="M2656" s="4">
        <v>46119.595555555556</v>
      </c>
      <c r="N2656"/>
      <c r="O2656">
        <v>3576.96</v>
      </c>
      <c r="P2656" s="4"/>
      <c r="Q2656" s="4"/>
      <c r="R2656"/>
      <c r="S2656"/>
      <c r="T2656" s="4"/>
      <c r="U2656" s="4"/>
      <c r="V2656"/>
      <c r="W2656"/>
      <c r="X2656"/>
      <c r="Y2656" t="inlineStr">
        <is>
          <t>Pending Appointment</t>
        </is>
      </c>
      <c r="Z2656" t="inlineStr">
        <is>
          <t>Hiring Now</t>
        </is>
      </c>
      <c r="AA2656">
        <v>3</v>
      </c>
      <c r="AB2656" t="inlineStr">
        <is>
          <t>No Appointment Made</t>
        </is>
      </c>
      <c r="AC2656"/>
      <c r="AD2656" t="inlineStr">
        <is>
          <t>1. Sales and Marketing 2. Graphic Designer 3. Admin</t>
        </is>
      </c>
      <c r="AE2656"/>
      <c r="AF2656">
        <v>3600</v>
      </c>
      <c r="AG2656" s="4"/>
      <c r="AH2656" s="4"/>
      <c r="AI2656">
        <v>3600</v>
      </c>
      <c r="AJ2656"/>
      <c r="AK2656" t="inlineStr">
        <is>
          <t>No, I don't need at all</t>
        </is>
      </c>
      <c r="AL2656">
        <v>1</v>
      </c>
      <c r="AM2656" t="inlineStr">
        <is>
          <t>No, I don't need at all</t>
        </is>
      </c>
      <c r="AN2656"/>
      <c r="AO2656" t="inlineStr">
        <is>
          <t>No, I don't need at all</t>
        </is>
      </c>
      <c r="AP2656" t="inlineStr">
        <is>
          <t>Once a year (25%)</t>
        </is>
      </c>
      <c r="AQ2656">
        <v>3</v>
      </c>
      <c r="AR2656" t="inlineStr">
        <is>
          <t>Free Job Portal</t>
        </is>
      </c>
      <c r="AS2656" t="inlineStr">
        <is>
          <t>- Headcount: 3
- Hiring Job Details: 1. Sales and Marketing 2. Graphic Designer 3. Admin
- Hiring Urgency: Hiring Now
- Number of outlets: N/A
- Have recruiter team: No, I don't need at all
- Number of recruiter in company: 1
- Have ATS system: No, I don't need at all
- Have career website: No, I don't need at all
- Current hiring budget: RM3,600
- Whole year budget: RM3,600.00
- Whole year number of vacancies: 3
- Hiring frequency: Once a year (25%)
- External job portal: Free Job Portal</t>
        </is>
      </c>
      <c r="AT2656">
        <v>85</v>
      </c>
      <c r="AU2656" t="inlineStr">
        <is>
          <t>0.85</t>
        </is>
      </c>
      <c r="AV2656" t="inlineStr">
        <is>
          <t>15</t>
        </is>
      </c>
      <c r="AW2656" t="inlineStr">
        <is>
          <t>0</t>
        </is>
      </c>
      <c r="AX2656" t="inlineStr">
        <is>
          <t>Not Qualified</t>
        </is>
      </c>
      <c r="AY2656" s="4"/>
      <c r="AZ2656"/>
      <c r="BA2656"/>
      <c r="BB2656"/>
      <c r="BC2656"/>
      <c r="BD2656" s="4"/>
      <c r="BE2656"/>
      <c r="BF2656"/>
      <c r="BG2656" t="inlineStr">
        <is>
          <t>Reschedule</t>
        </is>
      </c>
      <c r="BH2656" t="inlineStr">
        <is>
          <t>Edward Hoo</t>
        </is>
      </c>
      <c r="BI2656"/>
      <c r="BJ2656" s="4">
        <v>46144.755740740744</v>
      </c>
      <c r="BK2656" s="4">
        <v>46119.58105324074</v>
      </c>
      <c r="BL2656" t="inlineStr">
        <is>
          <t>0.0</t>
        </is>
      </c>
      <c r="BM2656" t="inlineStr">
        <is>
          <t>0.0</t>
        </is>
      </c>
      <c r="BN2656"/>
      <c r="BO2656" s="4"/>
      <c r="BP2656">
        <v>165669</v>
      </c>
      <c r="BQ2656"/>
      <c r="BR2656"/>
      <c r="BS2656"/>
      <c r="BT2656"/>
      <c r="BU2656"/>
      <c r="BV2656"/>
      <c r="BW2656"/>
      <c r="BX2656"/>
      <c r="BY2656"/>
      <c r="BZ2656" s="4"/>
      <c r="CA2656"/>
      <c r="CB2656"/>
      <c r="CC2656" s="4"/>
      <c r="CD2656" t="inlineStr">
        <is>
          <t>20</t>
        </is>
      </c>
      <c r="CE2656" t="inlineStr">
        <is>
          <t>0</t>
        </is>
      </c>
      <c r="CF2656" t="inlineStr">
        <is>
          <t>Q2-W01</t>
        </is>
      </c>
      <c r="CG2656"/>
      <c r="CH2656"/>
      <c r="CI2656"/>
      <c r="CJ2656" t="inlineStr">
        <is>
          <t>No Paid</t>
        </is>
      </c>
      <c r="CK2656" t="inlineStr">
        <is>
          <t>Not Eligible</t>
        </is>
      </c>
      <c r="CL2656"/>
      <c r="CM2656"/>
    </row>
    <row r="2657" ht="25.5" customHeight="1">
      <c r="A2657" t="inlineStr">
        <is>
          <t>202936</t>
        </is>
      </c>
      <c r="B2657" s="2"/>
      <c r="C2657"/>
      <c r="D2657" s="3">
        <v>46119.60119212963</v>
      </c>
      <c r="E2657" t="inlineStr">
        <is>
          <t>Q2-W01</t>
        </is>
      </c>
      <c r="F2657" t="inlineStr">
        <is>
          <t>Luqman</t>
        </is>
      </c>
      <c r="G2657" t="inlineStr">
        <is>
          <t>Customer</t>
        </is>
      </c>
      <c r="H2657" s="2" t="str">
        <f>=HYPERLINK("https://upbox.ajobthing.my/customer/202936", "https://upbox.ajobthing.my/customer/202936")</f>
        <v>https://upbox.ajobthing.my/customer/202936</v>
      </c>
      <c r="I2657" t="inlineStr">
        <is>
          <t>Johan Trading</t>
        </is>
      </c>
      <c r="J2657" t="inlineStr">
        <is>
          <t>Small Fish</t>
        </is>
      </c>
      <c r="K2657" t="inlineStr">
        <is>
          <t>Luqman</t>
        </is>
      </c>
      <c r="L2657" s="4"/>
      <c r="M2657" s="4">
        <v>46119.601319444446</v>
      </c>
      <c r="N2657"/>
      <c r="O2657">
        <v>864</v>
      </c>
      <c r="P2657" s="4"/>
      <c r="Q2657" s="4">
        <v>46119.583182870374</v>
      </c>
      <c r="R2657"/>
      <c r="S2657">
        <v>0</v>
      </c>
      <c r="T2657" s="4"/>
      <c r="U2657" s="4"/>
      <c r="V2657"/>
      <c r="W2657"/>
      <c r="X2657"/>
      <c r="Y2657" t="inlineStr">
        <is>
          <t>Pending Appointment</t>
        </is>
      </c>
      <c r="Z2657" t="inlineStr">
        <is>
          <t>Hiring Later</t>
        </is>
      </c>
      <c r="AA2657">
        <v>1</v>
      </c>
      <c r="AB2657" t="inlineStr">
        <is>
          <t>No Appointment Made</t>
        </is>
      </c>
      <c r="AC2657"/>
      <c r="AD2657" t="inlineStr">
        <is>
          <t xml:space="preserve">1. Admin Assistant </t>
        </is>
      </c>
      <c r="AE2657"/>
      <c r="AF2657">
        <v>800</v>
      </c>
      <c r="AG2657" s="4"/>
      <c r="AH2657" s="4"/>
      <c r="AI2657">
        <v>800</v>
      </c>
      <c r="AJ2657"/>
      <c r="AK2657" t="inlineStr">
        <is>
          <t>No, but I want in future</t>
        </is>
      </c>
      <c r="AL2657">
        <v>1</v>
      </c>
      <c r="AM2657" t="inlineStr">
        <is>
          <t>No, but I want in future</t>
        </is>
      </c>
      <c r="AN2657"/>
      <c r="AO2657" t="inlineStr">
        <is>
          <t>No, but I want in future</t>
        </is>
      </c>
      <c r="AP2657" t="inlineStr">
        <is>
          <t>Once a year (25%)</t>
        </is>
      </c>
      <c r="AQ2657">
        <v>1</v>
      </c>
      <c r="AR2657" t="inlineStr">
        <is>
          <t>Free Job Portal</t>
        </is>
      </c>
      <c r="AS2657" t="inlineStr">
        <is>
          <t>- Headcount: 1
- Hiring Job Details: 1 Admin Assistant
- Hiring Urgency: Hiring Later
- Number of outlets: N/A
- Have recruiter team: No, but want in future
- Number of recruiter in company: 1
- Have ATS system: No, but want in future
- Have career website: No, but want in future
- Current hiring budget: RM800
- Whole year budget: RM800.00
- Whole year number of vacancies: 1
- Hiring frequency: Once a year (25%)
- External job portal: Free Job Portal</t>
        </is>
      </c>
      <c r="AT2657">
        <v>105</v>
      </c>
      <c r="AU2657" t="inlineStr">
        <is>
          <t>1.05</t>
        </is>
      </c>
      <c r="AV2657" t="inlineStr">
        <is>
          <t>15</t>
        </is>
      </c>
      <c r="AW2657" t="inlineStr">
        <is>
          <t>0</t>
        </is>
      </c>
      <c r="AX2657" t="inlineStr">
        <is>
          <t>Not Qualified</t>
        </is>
      </c>
      <c r="AY2657" s="4"/>
      <c r="AZ2657"/>
      <c r="BA2657"/>
      <c r="BB2657"/>
      <c r="BC2657" t="inlineStr">
        <is>
          <t>Lost - Budget concern</t>
        </is>
      </c>
      <c r="BD2657" s="4">
        <v>46125.62929398148</v>
      </c>
      <c r="BE2657" t="inlineStr">
        <is>
          <t>paid</t>
        </is>
      </c>
      <c r="BF2657"/>
      <c r="BG2657" t="inlineStr">
        <is>
          <t>Reschedule</t>
        </is>
      </c>
      <c r="BH2657" t="inlineStr">
        <is>
          <t>Edward Hoo</t>
        </is>
      </c>
      <c r="BI2657" t="inlineStr">
        <is>
          <t>Construction / Building</t>
        </is>
      </c>
      <c r="BJ2657" s="4">
        <v>46144.754166666666</v>
      </c>
      <c r="BK2657" s="4">
        <v>46119.58256944444</v>
      </c>
      <c r="BL2657" t="inlineStr">
        <is>
          <t>0.0</t>
        </is>
      </c>
      <c r="BM2657" t="inlineStr">
        <is>
          <t>0.0</t>
        </is>
      </c>
      <c r="BN2657" t="inlineStr">
        <is>
          <t>View Company Page</t>
        </is>
      </c>
      <c r="BO2657" s="4">
        <v>46119.59247685185</v>
      </c>
      <c r="BP2657">
        <v>165673</v>
      </c>
      <c r="BQ2657">
        <v>120396</v>
      </c>
      <c r="BR2657" t="inlineStr">
        <is>
          <t>Proforma</t>
        </is>
      </c>
      <c r="BS2657" t="inlineStr">
        <is>
          <t>Free Part-Time Job</t>
        </is>
      </c>
      <c r="BT2657"/>
      <c r="BU2657"/>
      <c r="BV2657">
        <v>2701156</v>
      </c>
      <c r="BW2657" t="inlineStr">
        <is>
          <t>Follow Up : Budget Concern</t>
        </is>
      </c>
      <c r="BX2657"/>
      <c r="BY2657"/>
      <c r="BZ2657" s="4"/>
      <c r="CA2657"/>
      <c r="CB2657"/>
      <c r="CC2657" s="4"/>
      <c r="CD2657" t="inlineStr">
        <is>
          <t>20</t>
        </is>
      </c>
      <c r="CE2657" t="inlineStr">
        <is>
          <t>0</t>
        </is>
      </c>
      <c r="CF2657" t="inlineStr">
        <is>
          <t>Q2-W01</t>
        </is>
      </c>
      <c r="CG2657" t="inlineStr">
        <is>
          <t>Q2-W01</t>
        </is>
      </c>
      <c r="CH2657"/>
      <c r="CI2657"/>
      <c r="CJ2657" t="inlineStr">
        <is>
          <t>No Paid</t>
        </is>
      </c>
      <c r="CK2657" t="inlineStr">
        <is>
          <t>Not Eligible</t>
        </is>
      </c>
      <c r="CL2657"/>
      <c r="CM2657"/>
    </row>
    <row r="2658" ht="25.5" customHeight="1">
      <c r="A2658" t="inlineStr">
        <is>
          <t>38924</t>
        </is>
      </c>
      <c r="B2658" s="2"/>
      <c r="C2658"/>
      <c r="D2658" s="3">
        <v>46119.615</v>
      </c>
      <c r="E2658" t="inlineStr">
        <is>
          <t>Q2-W01</t>
        </is>
      </c>
      <c r="F2658" t="inlineStr">
        <is>
          <t>Jess</t>
        </is>
      </c>
      <c r="G2658" t="inlineStr">
        <is>
          <t>Customer</t>
        </is>
      </c>
      <c r="H2658" s="2" t="str">
        <f>=HYPERLINK("https://upbox.ajobthing.my/customer/38924", "https://upbox.ajobthing.my/customer/38924")</f>
        <v>https://upbox.ajobthing.my/customer/38924</v>
      </c>
      <c r="I2658" t="inlineStr">
        <is>
          <t>Pecko (M) Sdn Bhd</t>
        </is>
      </c>
      <c r="J2658" t="inlineStr">
        <is>
          <t>Small Fish</t>
        </is>
      </c>
      <c r="K2658" t="inlineStr">
        <is>
          <t>Jess Lim</t>
        </is>
      </c>
      <c r="L2658" s="4"/>
      <c r="M2658" s="4">
        <v>46119.6153125</v>
      </c>
      <c r="N2658"/>
      <c r="O2658">
        <v>3888</v>
      </c>
      <c r="P2658" s="4"/>
      <c r="Q2658" s="4">
        <v>46115.48069444444</v>
      </c>
      <c r="R2658"/>
      <c r="S2658">
        <v>0</v>
      </c>
      <c r="T2658" s="4"/>
      <c r="U2658" s="4"/>
      <c r="V2658"/>
      <c r="W2658"/>
      <c r="X2658"/>
      <c r="Y2658" t="inlineStr">
        <is>
          <t>Pending Appointment</t>
        </is>
      </c>
      <c r="Z2658" t="inlineStr">
        <is>
          <t>Hiring Now</t>
        </is>
      </c>
      <c r="AA2658">
        <v>2</v>
      </c>
      <c r="AB2658" t="inlineStr">
        <is>
          <t>No Appointment Made</t>
        </is>
      </c>
      <c r="AC2658"/>
      <c r="AD2658" t="inlineStr">
        <is>
          <t xml:space="preserve">admin hr </t>
        </is>
      </c>
      <c r="AE2658"/>
      <c r="AF2658">
        <v>500</v>
      </c>
      <c r="AG2658" s="4"/>
      <c r="AH2658" s="4"/>
      <c r="AI2658"/>
      <c r="AJ2658">
        <v>1</v>
      </c>
      <c r="AK2658" t="inlineStr">
        <is>
          <t>No, I don't need at all</t>
        </is>
      </c>
      <c r="AL2658">
        <v>1</v>
      </c>
      <c r="AM2658" t="inlineStr">
        <is>
          <t>No, I don't need at all</t>
        </is>
      </c>
      <c r="AN2658"/>
      <c r="AO2658"/>
      <c r="AP2658" t="inlineStr">
        <is>
          <t>Once a year (25%)</t>
        </is>
      </c>
      <c r="AQ2658"/>
      <c r="AR2658" t="inlineStr">
        <is>
          <t>Free Job Portal</t>
        </is>
      </c>
      <c r="AS2658" t="inlineStr">
        <is>
          <t>- Headcount: 2
- Hiring Job Details: admin hr
- Hiring Urgency: Hiring Now
- Number of outlets: 1
- Have recruiter team: No, I don't need at all
- Number of recruiter in company: 1
- Have ATS system: No, I don't need at all
- Have career website: Not specified
- Current hiring budget: RM500
- Whole year budget: Not specified
- Whole year number of vacancies: Not specified
- Hiring frequency: Once a year (25%)
- External job portal: Free Job Portal</t>
        </is>
      </c>
      <c r="AT2658">
        <v>95</v>
      </c>
      <c r="AU2658" t="inlineStr">
        <is>
          <t>0.95</t>
        </is>
      </c>
      <c r="AV2658" t="inlineStr">
        <is>
          <t>15</t>
        </is>
      </c>
      <c r="AW2658" t="inlineStr">
        <is>
          <t>0</t>
        </is>
      </c>
      <c r="AX2658" t="inlineStr">
        <is>
          <t>Not Qualified</t>
        </is>
      </c>
      <c r="AY2658" s="4"/>
      <c r="AZ2658"/>
      <c r="BA2658"/>
      <c r="BB2658"/>
      <c r="BC2658" t="inlineStr">
        <is>
          <t>prefer to use free portal</t>
        </is>
      </c>
      <c r="BD2658" s="4">
        <v>46135.454189814816</v>
      </c>
      <c r="BE2658" t="inlineStr">
        <is>
          <t>paid</t>
        </is>
      </c>
      <c r="BF2658"/>
      <c r="BG2658" t="inlineStr">
        <is>
          <t>Reschedule</t>
        </is>
      </c>
      <c r="BH2658" t="inlineStr">
        <is>
          <t>Fauziah Maharan</t>
        </is>
      </c>
      <c r="BI2658" t="inlineStr">
        <is>
          <t>Electrical / Electronics</t>
        </is>
      </c>
      <c r="BJ2658" s="4">
        <v>46144.755</v>
      </c>
      <c r="BK2658" s="4">
        <v>42915.50730324074</v>
      </c>
      <c r="BL2658" t="inlineStr">
        <is>
          <t>0.0</t>
        </is>
      </c>
      <c r="BM2658" t="inlineStr">
        <is>
          <t>0.0</t>
        </is>
      </c>
      <c r="BN2658" t="inlineStr">
        <is>
          <t>View Create Job Page V4</t>
        </is>
      </c>
      <c r="BO2658" s="4">
        <v>46115.50038194445</v>
      </c>
      <c r="BP2658">
        <v>165683</v>
      </c>
      <c r="BQ2658">
        <v>119780</v>
      </c>
      <c r="BR2658" t="inlineStr">
        <is>
          <t>Proforma</t>
        </is>
      </c>
      <c r="BS2658" t="inlineStr">
        <is>
          <t>Free Singapore Job</t>
        </is>
      </c>
      <c r="BT2658"/>
      <c r="BU2658"/>
      <c r="BV2658">
        <v>2722644</v>
      </c>
      <c r="BW2658" t="inlineStr">
        <is>
          <t>Follow Up : Lost - Free Portal</t>
        </is>
      </c>
      <c r="BX2658"/>
      <c r="BY2658"/>
      <c r="BZ2658" s="4"/>
      <c r="CA2658"/>
      <c r="CB2658"/>
      <c r="CC2658" s="4"/>
      <c r="CD2658" t="inlineStr">
        <is>
          <t>20</t>
        </is>
      </c>
      <c r="CE2658" t="inlineStr">
        <is>
          <t>0</t>
        </is>
      </c>
      <c r="CF2658" t="inlineStr">
        <is>
          <t>Q2-W01</t>
        </is>
      </c>
      <c r="CG2658" t="inlineStr">
        <is>
          <t>Q2-W01</t>
        </is>
      </c>
      <c r="CH2658"/>
      <c r="CI2658"/>
      <c r="CJ2658" t="inlineStr">
        <is>
          <t>No Paid</t>
        </is>
      </c>
      <c r="CK2658" t="inlineStr">
        <is>
          <t>Not Eligible</t>
        </is>
      </c>
      <c r="CL2658"/>
      <c r="CM2658"/>
    </row>
    <row r="2659" ht="25.5" customHeight="1">
      <c r="A2659" t="inlineStr">
        <is>
          <t>202938</t>
        </is>
      </c>
      <c r="B2659" s="2"/>
      <c r="C2659"/>
      <c r="D2659" s="3">
        <v>46119.618784722225</v>
      </c>
      <c r="E2659" t="inlineStr">
        <is>
          <t>Q2-W01</t>
        </is>
      </c>
      <c r="F2659" t="inlineStr">
        <is>
          <t>Dickson</t>
        </is>
      </c>
      <c r="G2659" t="inlineStr">
        <is>
          <t>Customer</t>
        </is>
      </c>
      <c r="H2659" s="2" t="str">
        <f>=HYPERLINK("https://upbox.ajobthing.my/customer/202938", "https://upbox.ajobthing.my/customer/202938")</f>
        <v>https://upbox.ajobthing.my/customer/202938</v>
      </c>
      <c r="I2659" t="inlineStr">
        <is>
          <t>Sc Corporate Advisory Sdn Bhd</t>
        </is>
      </c>
      <c r="J2659" t="inlineStr">
        <is>
          <t>Small Fish</t>
        </is>
      </c>
      <c r="K2659" t="inlineStr">
        <is>
          <t>Dickson</t>
        </is>
      </c>
      <c r="L2659" s="4"/>
      <c r="M2659" s="4">
        <v>46119.61887731482</v>
      </c>
      <c r="N2659"/>
      <c r="O2659">
        <v>1296</v>
      </c>
      <c r="P2659" s="4"/>
      <c r="Q2659" s="4"/>
      <c r="R2659"/>
      <c r="S2659"/>
      <c r="T2659" s="4"/>
      <c r="U2659" s="4"/>
      <c r="V2659"/>
      <c r="W2659"/>
      <c r="X2659"/>
      <c r="Y2659" t="inlineStr">
        <is>
          <t>Pending Appointment</t>
        </is>
      </c>
      <c r="Z2659" t="inlineStr">
        <is>
          <t>Hiring Now</t>
        </is>
      </c>
      <c r="AA2659">
        <v>1</v>
      </c>
      <c r="AB2659" t="inlineStr">
        <is>
          <t>No Appointment Made</t>
        </is>
      </c>
      <c r="AC2659"/>
      <c r="AD2659" t="inlineStr">
        <is>
          <t>1 auditor assistant</t>
        </is>
      </c>
      <c r="AE2659"/>
      <c r="AF2659"/>
      <c r="AG2659" s="4"/>
      <c r="AH2659" s="4"/>
      <c r="AI2659"/>
      <c r="AJ2659">
        <v>1</v>
      </c>
      <c r="AK2659" t="inlineStr">
        <is>
          <t>No, I don't need at all</t>
        </is>
      </c>
      <c r="AL2659"/>
      <c r="AM2659" t="inlineStr">
        <is>
          <t>No, I don't need at all</t>
        </is>
      </c>
      <c r="AN2659"/>
      <c r="AO2659" t="inlineStr">
        <is>
          <t>No, I don't need at all</t>
        </is>
      </c>
      <c r="AP2659" t="inlineStr">
        <is>
          <t>Once per quarter (75%)</t>
        </is>
      </c>
      <c r="AQ2659"/>
      <c r="AR2659"/>
      <c r="AS2659" t="inlineStr">
        <is>
          <t>- Headcount: 1
- Hiring Job Details: 1 auditor assistant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659">
        <v>95</v>
      </c>
      <c r="AU2659" t="inlineStr">
        <is>
          <t>0.95</t>
        </is>
      </c>
      <c r="AV2659" t="inlineStr">
        <is>
          <t>5</t>
        </is>
      </c>
      <c r="AW2659" t="inlineStr">
        <is>
          <t>0</t>
        </is>
      </c>
      <c r="AX2659" t="inlineStr">
        <is>
          <t>Not Qualified</t>
        </is>
      </c>
      <c r="AY2659" s="4"/>
      <c r="AZ2659"/>
      <c r="BA2659"/>
      <c r="BB2659"/>
      <c r="BC2659" t="inlineStr">
        <is>
          <t>hired through referral</t>
        </is>
      </c>
      <c r="BD2659" s="4">
        <v>46126.60173611111</v>
      </c>
      <c r="BE2659"/>
      <c r="BF2659"/>
      <c r="BG2659" t="inlineStr">
        <is>
          <t>Reschedule</t>
        </is>
      </c>
      <c r="BH2659" t="inlineStr">
        <is>
          <t>Edward Hoo</t>
        </is>
      </c>
      <c r="BI2659"/>
      <c r="BJ2659" s="4">
        <v>46144.754166666666</v>
      </c>
      <c r="BK2659" s="4">
        <v>46119.594560185185</v>
      </c>
      <c r="BL2659" t="inlineStr">
        <is>
          <t>0.0</t>
        </is>
      </c>
      <c r="BM2659" t="inlineStr">
        <is>
          <t>0.0</t>
        </is>
      </c>
      <c r="BN2659" t="inlineStr">
        <is>
          <t>View Company Page</t>
        </is>
      </c>
      <c r="BO2659" s="4">
        <v>46119.596030092594</v>
      </c>
      <c r="BP2659">
        <v>165684</v>
      </c>
      <c r="BQ2659"/>
      <c r="BR2659"/>
      <c r="BS2659"/>
      <c r="BT2659"/>
      <c r="BU2659"/>
      <c r="BV2659">
        <v>2703635</v>
      </c>
      <c r="BW2659" t="inlineStr">
        <is>
          <t>Follow Up : Lost - Free Portal</t>
        </is>
      </c>
      <c r="BX2659"/>
      <c r="BY2659"/>
      <c r="BZ2659" s="4"/>
      <c r="CA2659"/>
      <c r="CB2659"/>
      <c r="CC2659" s="4"/>
      <c r="CD2659" t="inlineStr">
        <is>
          <t>5</t>
        </is>
      </c>
      <c r="CE2659" t="inlineStr">
        <is>
          <t>0</t>
        </is>
      </c>
      <c r="CF2659" t="inlineStr">
        <is>
          <t>Q2-W01</t>
        </is>
      </c>
      <c r="CG2659"/>
      <c r="CH2659"/>
      <c r="CI2659"/>
      <c r="CJ2659" t="inlineStr">
        <is>
          <t>No Paid</t>
        </is>
      </c>
      <c r="CK2659" t="inlineStr">
        <is>
          <t>Not Eligible</t>
        </is>
      </c>
      <c r="CL2659"/>
      <c r="CM2659"/>
    </row>
    <row r="2660" ht="25.5" customHeight="1">
      <c r="A2660" t="inlineStr">
        <is>
          <t>202581</t>
        </is>
      </c>
      <c r="B2660" s="2"/>
      <c r="C2660"/>
      <c r="D2660" s="3">
        <v>46119.62844907407</v>
      </c>
      <c r="E2660" t="inlineStr">
        <is>
          <t>Q2-W01</t>
        </is>
      </c>
      <c r="F2660" t="inlineStr">
        <is>
          <t>Chia Yee</t>
        </is>
      </c>
      <c r="G2660" t="inlineStr">
        <is>
          <t>Customer</t>
        </is>
      </c>
      <c r="H2660" s="2" t="str">
        <f>=HYPERLINK("https://upbox.ajobthing.my/customer/202581", "https://upbox.ajobthing.my/customer/202581")</f>
        <v>https://upbox.ajobthing.my/customer/202581</v>
      </c>
      <c r="I2660" t="inlineStr">
        <is>
          <t>MOS F&amp;B Marketing Sdn Bhd</t>
        </is>
      </c>
      <c r="J2660" t="inlineStr">
        <is>
          <t>Small Fish</t>
        </is>
      </c>
      <c r="K2660" t="inlineStr">
        <is>
          <t>Chia Yee</t>
        </is>
      </c>
      <c r="L2660" s="4"/>
      <c r="M2660" s="4">
        <v>46119.62856481481</v>
      </c>
      <c r="N2660"/>
      <c r="O2660">
        <v>1296</v>
      </c>
      <c r="P2660" s="4"/>
      <c r="Q2660" s="4"/>
      <c r="R2660"/>
      <c r="S2660"/>
      <c r="T2660" s="4"/>
      <c r="U2660" s="4"/>
      <c r="V2660"/>
      <c r="W2660"/>
      <c r="X2660"/>
      <c r="Y2660" t="inlineStr">
        <is>
          <t>Pending Appointment</t>
        </is>
      </c>
      <c r="Z2660" t="inlineStr">
        <is>
          <t>Hiring Now</t>
        </is>
      </c>
      <c r="AA2660">
        <v>1</v>
      </c>
      <c r="AB2660" t="inlineStr">
        <is>
          <t>No Appointment Made</t>
        </is>
      </c>
      <c r="AC2660"/>
      <c r="AD2660" t="inlineStr">
        <is>
          <t>1 Pastry chef</t>
        </is>
      </c>
      <c r="AE2660"/>
      <c r="AF2660">
        <v>0</v>
      </c>
      <c r="AG2660" s="4"/>
      <c r="AH2660" s="4"/>
      <c r="AI2660">
        <v>0</v>
      </c>
      <c r="AJ2660">
        <v>0</v>
      </c>
      <c r="AK2660" t="inlineStr">
        <is>
          <t>No, I don't need at all</t>
        </is>
      </c>
      <c r="AL2660">
        <v>1</v>
      </c>
      <c r="AM2660" t="inlineStr">
        <is>
          <t>No, I don't need at all</t>
        </is>
      </c>
      <c r="AN2660"/>
      <c r="AO2660" t="inlineStr">
        <is>
          <t>Yes, I have</t>
        </is>
      </c>
      <c r="AP2660" t="inlineStr">
        <is>
          <t>Once a year (25%)</t>
        </is>
      </c>
      <c r="AQ2660">
        <v>1</v>
      </c>
      <c r="AR2660" t="inlineStr">
        <is>
          <t>Did not use any job portal</t>
        </is>
      </c>
      <c r="AS2660" t="inlineStr">
        <is>
          <t>- Headcount: 1
- Hiring Job Details: 1 Pastry chef
- Hiring Urgency: Hiring Now
- Number of outlets: 0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2660">
        <v>100</v>
      </c>
      <c r="AU2660" t="inlineStr">
        <is>
          <t>1.00</t>
        </is>
      </c>
      <c r="AV2660" t="inlineStr">
        <is>
          <t>15</t>
        </is>
      </c>
      <c r="AW2660" t="inlineStr">
        <is>
          <t>0</t>
        </is>
      </c>
      <c r="AX2660" t="inlineStr">
        <is>
          <t>Not Qualified</t>
        </is>
      </c>
      <c r="AY2660" s="4"/>
      <c r="AZ2660"/>
      <c r="BA2660"/>
      <c r="BB2660"/>
      <c r="BC2660" t="inlineStr">
        <is>
          <t>Replied: 
So far we are not looking to subscribe for the job posting at the moment.</t>
        </is>
      </c>
      <c r="BD2660" s="4">
        <v>46128.50376157407</v>
      </c>
      <c r="BE2660"/>
      <c r="BF2660"/>
      <c r="BG2660" t="inlineStr">
        <is>
          <t>Reschedule</t>
        </is>
      </c>
      <c r="BH2660" t="inlineStr">
        <is>
          <t>Reagen</t>
        </is>
      </c>
      <c r="BI2660" t="inlineStr">
        <is>
          <t>Food / Beverage</t>
        </is>
      </c>
      <c r="BJ2660" s="4">
        <v>46144.75407407407</v>
      </c>
      <c r="BK2660" s="4">
        <v>46111.79052083333</v>
      </c>
      <c r="BL2660" t="inlineStr">
        <is>
          <t>0.0</t>
        </is>
      </c>
      <c r="BM2660" t="inlineStr">
        <is>
          <t>0.0</t>
        </is>
      </c>
      <c r="BN2660" t="inlineStr">
        <is>
          <t>View Company Page</t>
        </is>
      </c>
      <c r="BO2660" s="4">
        <v>46114.4987962963</v>
      </c>
      <c r="BP2660">
        <v>165690</v>
      </c>
      <c r="BQ2660"/>
      <c r="BR2660"/>
      <c r="BS2660"/>
      <c r="BT2660"/>
      <c r="BU2660"/>
      <c r="BV2660">
        <v>2708683</v>
      </c>
      <c r="BW2660" t="inlineStr">
        <is>
          <t>Follow Up : Budget Concern</t>
        </is>
      </c>
      <c r="BX2660"/>
      <c r="BY2660"/>
      <c r="BZ2660" s="4"/>
      <c r="CA2660"/>
      <c r="CB2660"/>
      <c r="CC2660" s="4"/>
      <c r="CD2660" t="inlineStr">
        <is>
          <t>20</t>
        </is>
      </c>
      <c r="CE2660" t="inlineStr">
        <is>
          <t>0</t>
        </is>
      </c>
      <c r="CF2660" t="inlineStr">
        <is>
          <t>Q2-W01</t>
        </is>
      </c>
      <c r="CG2660"/>
      <c r="CH2660"/>
      <c r="CI2660"/>
      <c r="CJ2660" t="inlineStr">
        <is>
          <t>No Paid</t>
        </is>
      </c>
      <c r="CK2660" t="inlineStr">
        <is>
          <t>Not Eligible</t>
        </is>
      </c>
      <c r="CL2660"/>
      <c r="CM2660"/>
    </row>
    <row r="2661" ht="25.5" customHeight="1">
      <c r="A2661" t="inlineStr">
        <is>
          <t>4251429</t>
        </is>
      </c>
      <c r="B2661" s="2"/>
      <c r="C2661"/>
      <c r="D2661" s="3">
        <v>46119.63011574074</v>
      </c>
      <c r="E2661" t="inlineStr">
        <is>
          <t>Q2-W01</t>
        </is>
      </c>
      <c r="F2661" t="inlineStr">
        <is>
          <t>Josh</t>
        </is>
      </c>
      <c r="G2661" t="inlineStr">
        <is>
          <t>Lead</t>
        </is>
      </c>
      <c r="H2661" s="2" t="str">
        <f>=HYPERLINK("https://upbox.ajobthing.my/leads/4251429", "https://upbox.ajobthing.my/leads/4251429")</f>
        <v>https://upbox.ajobthing.my/leads/4251429</v>
      </c>
      <c r="I2661" t="inlineStr">
        <is>
          <t>Orkla Asia Pacific</t>
        </is>
      </c>
      <c r="J2661" t="inlineStr">
        <is>
          <t>Small Fish</t>
        </is>
      </c>
      <c r="K2661" t="inlineStr">
        <is>
          <t>Josh</t>
        </is>
      </c>
      <c r="L2661" s="4"/>
      <c r="M2661" s="4">
        <v>46119.63087962963</v>
      </c>
      <c r="N2661"/>
      <c r="O2661">
        <v>3888</v>
      </c>
      <c r="P2661" s="4"/>
      <c r="Q2661" s="4"/>
      <c r="R2661"/>
      <c r="S2661"/>
      <c r="T2661" s="4"/>
      <c r="U2661" s="4"/>
      <c r="V2661"/>
      <c r="W2661"/>
      <c r="X2661"/>
      <c r="Y2661" t="inlineStr">
        <is>
          <t>Pending Appointment</t>
        </is>
      </c>
      <c r="Z2661" t="inlineStr">
        <is>
          <t>Hiring Now</t>
        </is>
      </c>
      <c r="AA2661">
        <v>1</v>
      </c>
      <c r="AB2661" t="inlineStr">
        <is>
          <t>No Appointment Made</t>
        </is>
      </c>
      <c r="AC2661"/>
      <c r="AD2661" t="inlineStr">
        <is>
          <t xml:space="preserve">1 finance executive </t>
        </is>
      </c>
      <c r="AE2661"/>
      <c r="AF2661">
        <v>1000</v>
      </c>
      <c r="AG2661" s="4"/>
      <c r="AH2661" s="4"/>
      <c r="AI2661"/>
      <c r="AJ2661"/>
      <c r="AK2661" t="inlineStr">
        <is>
          <t>Yes, I have</t>
        </is>
      </c>
      <c r="AL2661">
        <v>1</v>
      </c>
      <c r="AM2661"/>
      <c r="AN2661"/>
      <c r="AO2661"/>
      <c r="AP2661" t="inlineStr">
        <is>
          <t>Once a year (25%)</t>
        </is>
      </c>
      <c r="AQ2661"/>
      <c r="AR2661"/>
      <c r="AS2661" t="inlineStr">
        <is>
          <t>- Headcount: 1
- Hiring Job Details: 1 finance executive
- Hiring Urgency: Hiring Now
- Number of outlets: Not specified
- Have recruiter team: Yes
- Number of recruiter in company: 1
- Have ATS system: Not specified
- Have career website: Not specified
- Current hiring budget: RM1,000.00
- Whole year budget: Not specified
- Whole year number of vacancies: Not specified
- Hiring frequency: Once a year (25%)
- External job portal: Not specified</t>
        </is>
      </c>
      <c r="AT2661">
        <v>95</v>
      </c>
      <c r="AU2661" t="inlineStr">
        <is>
          <t>0.95</t>
        </is>
      </c>
      <c r="AV2661" t="inlineStr">
        <is>
          <t>15</t>
        </is>
      </c>
      <c r="AW2661" t="inlineStr">
        <is>
          <t>0</t>
        </is>
      </c>
      <c r="AX2661" t="inlineStr">
        <is>
          <t>Not Qualified</t>
        </is>
      </c>
      <c r="AY2661" s="4"/>
      <c r="AZ2661"/>
      <c r="BA2661"/>
      <c r="BB2661"/>
      <c r="BC2661"/>
      <c r="BD2661" s="4"/>
      <c r="BE2661"/>
      <c r="BF2661"/>
      <c r="BG2661" t="inlineStr">
        <is>
          <t>Reschedule</t>
        </is>
      </c>
      <c r="BH2661" t="inlineStr">
        <is>
          <t>Fauziah Maharan</t>
        </is>
      </c>
      <c r="BI2661"/>
      <c r="BJ2661" s="4">
        <v>46144.75571759259</v>
      </c>
      <c r="BK2661" s="4">
        <v>46118.42934027778</v>
      </c>
      <c r="BL2661" t="inlineStr">
        <is>
          <t>0.0</t>
        </is>
      </c>
      <c r="BM2661" t="inlineStr">
        <is>
          <t>0.0</t>
        </is>
      </c>
      <c r="BN2661"/>
      <c r="BO2661" s="4"/>
      <c r="BP2661">
        <v>165693</v>
      </c>
      <c r="BQ2661"/>
      <c r="BR2661"/>
      <c r="BS2661"/>
      <c r="BT2661"/>
      <c r="BU2661"/>
      <c r="BV2661"/>
      <c r="BW2661"/>
      <c r="BX2661"/>
      <c r="BY2661"/>
      <c r="BZ2661" s="4"/>
      <c r="CA2661"/>
      <c r="CB2661"/>
      <c r="CC2661" s="4"/>
      <c r="CD2661" t="inlineStr">
        <is>
          <t>20</t>
        </is>
      </c>
      <c r="CE2661" t="inlineStr">
        <is>
          <t>0</t>
        </is>
      </c>
      <c r="CF2661" t="inlineStr">
        <is>
          <t>Q2-W01</t>
        </is>
      </c>
      <c r="CG2661"/>
      <c r="CH2661"/>
      <c r="CI2661"/>
      <c r="CJ2661" t="inlineStr">
        <is>
          <t>No Paid</t>
        </is>
      </c>
      <c r="CK2661" t="inlineStr">
        <is>
          <t>Not Eligible</t>
        </is>
      </c>
      <c r="CL2661"/>
      <c r="CM2661"/>
    </row>
    <row r="2662" ht="25.5" customHeight="1">
      <c r="A2662" t="inlineStr">
        <is>
          <t>4256202</t>
        </is>
      </c>
      <c r="B2662" s="2"/>
      <c r="C2662"/>
      <c r="D2662" s="3">
        <v>46119.63306712963</v>
      </c>
      <c r="E2662" t="inlineStr">
        <is>
          <t>Q2-W01</t>
        </is>
      </c>
      <c r="F2662" t="inlineStr">
        <is>
          <t>Clover</t>
        </is>
      </c>
      <c r="G2662" t="inlineStr">
        <is>
          <t>Lead</t>
        </is>
      </c>
      <c r="H2662" s="2" t="str">
        <f>=HYPERLINK("https://upbox.ajobthing.my/leads/4256202", "https://upbox.ajobthing.my/leads/4256202")</f>
        <v>https://upbox.ajobthing.my/leads/4256202</v>
      </c>
      <c r="I2662" t="inlineStr">
        <is>
          <t>AZZAF ROSELLA</t>
        </is>
      </c>
      <c r="J2662" t="inlineStr">
        <is>
          <t>Small Fish</t>
        </is>
      </c>
      <c r="K2662" t="inlineStr">
        <is>
          <t>Dickson</t>
        </is>
      </c>
      <c r="L2662" s="4"/>
      <c r="M2662" s="4">
        <v>46119.63153935185</v>
      </c>
      <c r="N2662"/>
      <c r="O2662">
        <v>3888</v>
      </c>
      <c r="P2662" s="4"/>
      <c r="Q2662" s="4"/>
      <c r="R2662"/>
      <c r="S2662"/>
      <c r="T2662" s="4"/>
      <c r="U2662" s="4"/>
      <c r="V2662"/>
      <c r="W2662"/>
      <c r="X2662"/>
      <c r="Y2662" t="inlineStr">
        <is>
          <t>Pending Appointment</t>
        </is>
      </c>
      <c r="Z2662" t="inlineStr">
        <is>
          <t>Hiring Now</t>
        </is>
      </c>
      <c r="AA2662">
        <v>2</v>
      </c>
      <c r="AB2662" t="inlineStr">
        <is>
          <t>No Appointment Made</t>
        </is>
      </c>
      <c r="AC2662"/>
      <c r="AD2662" t="inlineStr">
        <is>
          <t>Want to hire production x2, all races, part time, thought free, suggest stand</t>
        </is>
      </c>
      <c r="AE2662"/>
      <c r="AF2662">
        <v>3000</v>
      </c>
      <c r="AG2662" s="4"/>
      <c r="AH2662" s="4"/>
      <c r="AI2662">
        <v>3000</v>
      </c>
      <c r="AJ2662">
        <v>1</v>
      </c>
      <c r="AK2662" t="inlineStr">
        <is>
          <t>No, but I want in future</t>
        </is>
      </c>
      <c r="AL2662">
        <v>1</v>
      </c>
      <c r="AM2662" t="inlineStr">
        <is>
          <t>No, but I want in future</t>
        </is>
      </c>
      <c r="AN2662"/>
      <c r="AO2662" t="inlineStr">
        <is>
          <t>No, but I want in future</t>
        </is>
      </c>
      <c r="AP2662" t="inlineStr">
        <is>
          <t>Twice a year (50%)</t>
        </is>
      </c>
      <c r="AQ2662">
        <v>2</v>
      </c>
      <c r="AR2662" t="inlineStr">
        <is>
          <t>Did not use any job portal</t>
        </is>
      </c>
      <c r="AS2662" t="inlineStr">
        <is>
          <t>- Headcount: 2
- Hiring Job Details: Hire 2 part-time production staff (all races, thought free,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662">
        <v>115</v>
      </c>
      <c r="AU2662" t="inlineStr">
        <is>
          <t>1.15</t>
        </is>
      </c>
      <c r="AV2662" t="inlineStr">
        <is>
          <t>15</t>
        </is>
      </c>
      <c r="AW2662" t="inlineStr">
        <is>
          <t>0</t>
        </is>
      </c>
      <c r="AX2662" t="inlineStr">
        <is>
          <t>Not Qualified</t>
        </is>
      </c>
      <c r="AY2662" s="4"/>
      <c r="AZ2662"/>
      <c r="BA2662"/>
      <c r="BB2662"/>
      <c r="BC2662"/>
      <c r="BD2662" s="4"/>
      <c r="BE2662"/>
      <c r="BF2662"/>
      <c r="BG2662" t="inlineStr">
        <is>
          <t>Reschedule</t>
        </is>
      </c>
      <c r="BH2662" t="inlineStr">
        <is>
          <t>Reagen</t>
        </is>
      </c>
      <c r="BI2662"/>
      <c r="BJ2662" s="4">
        <v>46144.755740740744</v>
      </c>
      <c r="BK2662" s="4">
        <v>46119.5971875</v>
      </c>
      <c r="BL2662" t="inlineStr">
        <is>
          <t>0.0</t>
        </is>
      </c>
      <c r="BM2662" t="inlineStr">
        <is>
          <t>0.0</t>
        </is>
      </c>
      <c r="BN2662"/>
      <c r="BO2662" s="4"/>
      <c r="BP2662">
        <v>165695</v>
      </c>
      <c r="BQ2662"/>
      <c r="BR2662"/>
      <c r="BS2662"/>
      <c r="BT2662"/>
      <c r="BU2662"/>
      <c r="BV2662"/>
      <c r="BW2662"/>
      <c r="BX2662"/>
      <c r="BY2662"/>
      <c r="BZ2662" s="4"/>
      <c r="CA2662"/>
      <c r="CB2662"/>
      <c r="CC2662" s="4"/>
      <c r="CD2662" t="inlineStr">
        <is>
          <t>20</t>
        </is>
      </c>
      <c r="CE2662" t="inlineStr">
        <is>
          <t>0</t>
        </is>
      </c>
      <c r="CF2662" t="inlineStr">
        <is>
          <t>Q2-W01</t>
        </is>
      </c>
      <c r="CG2662"/>
      <c r="CH2662"/>
      <c r="CI2662"/>
      <c r="CJ2662" t="inlineStr">
        <is>
          <t>No Paid</t>
        </is>
      </c>
      <c r="CK2662" t="inlineStr">
        <is>
          <t>Not Eligible</t>
        </is>
      </c>
      <c r="CL2662"/>
      <c r="CM2662"/>
    </row>
    <row r="2663" ht="25.5" customHeight="1">
      <c r="A2663" t="inlineStr">
        <is>
          <t>4256202</t>
        </is>
      </c>
      <c r="B2663" s="2"/>
      <c r="C2663"/>
      <c r="D2663" s="3">
        <v>46119.63344907408</v>
      </c>
      <c r="E2663" t="inlineStr">
        <is>
          <t>Q2-W01</t>
        </is>
      </c>
      <c r="F2663" t="inlineStr">
        <is>
          <t>Clover</t>
        </is>
      </c>
      <c r="G2663" t="inlineStr">
        <is>
          <t>Lead</t>
        </is>
      </c>
      <c r="H2663" s="2" t="str">
        <f>=HYPERLINK("https://upbox.ajobthing.my/leads/4256202", "https://upbox.ajobthing.my/leads/4256202")</f>
        <v>https://upbox.ajobthing.my/leads/4256202</v>
      </c>
      <c r="I2663" t="inlineStr">
        <is>
          <t>AZZAF ROSELLA</t>
        </is>
      </c>
      <c r="J2663" t="inlineStr">
        <is>
          <t>Small Fish</t>
        </is>
      </c>
      <c r="K2663" t="inlineStr">
        <is>
          <t>Dickson</t>
        </is>
      </c>
      <c r="L2663" s="4"/>
      <c r="M2663" s="4">
        <v>46119.63153935185</v>
      </c>
      <c r="N2663"/>
      <c r="O2663">
        <v>3888</v>
      </c>
      <c r="P2663" s="4"/>
      <c r="Q2663" s="4"/>
      <c r="R2663"/>
      <c r="S2663"/>
      <c r="T2663" s="4"/>
      <c r="U2663" s="4"/>
      <c r="V2663"/>
      <c r="W2663"/>
      <c r="X2663"/>
      <c r="Y2663" t="inlineStr">
        <is>
          <t>Pending Appointment</t>
        </is>
      </c>
      <c r="Z2663" t="inlineStr">
        <is>
          <t>Hiring Now</t>
        </is>
      </c>
      <c r="AA2663">
        <v>2</v>
      </c>
      <c r="AB2663" t="inlineStr">
        <is>
          <t>No Appointment Made</t>
        </is>
      </c>
      <c r="AC2663"/>
      <c r="AD2663" t="inlineStr">
        <is>
          <t>Want to hire production x2, all races, part time, kl, thought free, suggest stand</t>
        </is>
      </c>
      <c r="AE2663"/>
      <c r="AF2663">
        <v>3000</v>
      </c>
      <c r="AG2663" s="4"/>
      <c r="AH2663" s="4"/>
      <c r="AI2663"/>
      <c r="AJ2663"/>
      <c r="AK2663"/>
      <c r="AL2663"/>
      <c r="AM2663"/>
      <c r="AN2663"/>
      <c r="AO2663"/>
      <c r="AP2663" t="inlineStr">
        <is>
          <t>Twice a year (50%)</t>
        </is>
      </c>
      <c r="AQ2663"/>
      <c r="AR2663"/>
      <c r="AS2663" t="inlineStr">
        <is>
          <t>- Headcount: 2
- Hiring Job Details: Hire 2 part-time production staff (all races, based in KL, thought free, suggest stand)
- Hiring Urgency: Hiring Now
- Number of outlets: Not available
- Have recruiter team: Not available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t>
        </is>
      </c>
      <c r="AT2663">
        <v>90</v>
      </c>
      <c r="AU2663" t="inlineStr">
        <is>
          <t>0.90</t>
        </is>
      </c>
      <c r="AV2663" t="inlineStr">
        <is>
          <t>15</t>
        </is>
      </c>
      <c r="AW2663" t="inlineStr">
        <is>
          <t>0</t>
        </is>
      </c>
      <c r="AX2663" t="inlineStr">
        <is>
          <t>Not Qualified</t>
        </is>
      </c>
      <c r="AY2663" s="4"/>
      <c r="AZ2663"/>
      <c r="BA2663"/>
      <c r="BB2663"/>
      <c r="BC2663"/>
      <c r="BD2663" s="4"/>
      <c r="BE2663"/>
      <c r="BF2663"/>
      <c r="BG2663" t="inlineStr">
        <is>
          <t>Reschedule</t>
        </is>
      </c>
      <c r="BH2663" t="inlineStr">
        <is>
          <t>Reagen</t>
        </is>
      </c>
      <c r="BI2663"/>
      <c r="BJ2663" s="4">
        <v>46144.755740740744</v>
      </c>
      <c r="BK2663" s="4">
        <v>46119.5971875</v>
      </c>
      <c r="BL2663" t="inlineStr">
        <is>
          <t>0.0</t>
        </is>
      </c>
      <c r="BM2663" t="inlineStr">
        <is>
          <t>0.0</t>
        </is>
      </c>
      <c r="BN2663"/>
      <c r="BO2663" s="4"/>
      <c r="BP2663">
        <v>165695</v>
      </c>
      <c r="BQ2663"/>
      <c r="BR2663"/>
      <c r="BS2663"/>
      <c r="BT2663"/>
      <c r="BU2663"/>
      <c r="BV2663"/>
      <c r="BW2663"/>
      <c r="BX2663"/>
      <c r="BY2663"/>
      <c r="BZ2663" s="4"/>
      <c r="CA2663"/>
      <c r="CB2663"/>
      <c r="CC2663" s="4"/>
      <c r="CD2663" t="inlineStr">
        <is>
          <t>20</t>
        </is>
      </c>
      <c r="CE2663" t="inlineStr">
        <is>
          <t>0</t>
        </is>
      </c>
      <c r="CF2663" t="inlineStr">
        <is>
          <t>Q2-W01</t>
        </is>
      </c>
      <c r="CG2663"/>
      <c r="CH2663"/>
      <c r="CI2663"/>
      <c r="CJ2663" t="inlineStr">
        <is>
          <t>No Paid</t>
        </is>
      </c>
      <c r="CK2663" t="inlineStr">
        <is>
          <t>Not Eligible</t>
        </is>
      </c>
      <c r="CL2663"/>
      <c r="CM2663"/>
    </row>
    <row r="2664" ht="25.5" customHeight="1">
      <c r="A2664" t="inlineStr">
        <is>
          <t>202935</t>
        </is>
      </c>
      <c r="B2664" s="2"/>
      <c r="C2664"/>
      <c r="D2664" s="3">
        <v>46119.637453703705</v>
      </c>
      <c r="E2664" t="inlineStr">
        <is>
          <t>Q2-W01</t>
        </is>
      </c>
      <c r="F2664" t="inlineStr">
        <is>
          <t>Janice Yap</t>
        </is>
      </c>
      <c r="G2664" t="inlineStr">
        <is>
          <t>Customer</t>
        </is>
      </c>
      <c r="H2664" s="2" t="str">
        <f>=HYPERLINK("https://upbox.ajobthing.my/customer/202935", "https://upbox.ajobthing.my/customer/202935")</f>
        <v>https://upbox.ajobthing.my/customer/202935</v>
      </c>
      <c r="I2664" t="inlineStr">
        <is>
          <t>Hom Coffee Express</t>
        </is>
      </c>
      <c r="J2664" t="inlineStr">
        <is>
          <t>Small Fish</t>
        </is>
      </c>
      <c r="K2664" t="inlineStr">
        <is>
          <t>Janice</t>
        </is>
      </c>
      <c r="L2664" s="4"/>
      <c r="M2664" s="4">
        <v>46119.633425925924</v>
      </c>
      <c r="N2664"/>
      <c r="O2664">
        <v>3888</v>
      </c>
      <c r="P2664" s="4"/>
      <c r="Q2664" s="4">
        <v>46119.58256944444</v>
      </c>
      <c r="R2664"/>
      <c r="S2664">
        <v>0</v>
      </c>
      <c r="T2664" s="4"/>
      <c r="U2664" s="4"/>
      <c r="V2664"/>
      <c r="W2664"/>
      <c r="X2664"/>
      <c r="Y2664" t="inlineStr">
        <is>
          <t>Pending Appointment</t>
        </is>
      </c>
      <c r="Z2664" t="inlineStr">
        <is>
          <t>Hiring Now</t>
        </is>
      </c>
      <c r="AA2664">
        <v>1</v>
      </c>
      <c r="AB2664" t="inlineStr">
        <is>
          <t>No Appointment Made</t>
        </is>
      </c>
      <c r="AC2664"/>
      <c r="AD2664" t="inlineStr">
        <is>
          <t>1 admin</t>
        </is>
      </c>
      <c r="AE2664"/>
      <c r="AF2664">
        <v>0</v>
      </c>
      <c r="AG2664" s="4"/>
      <c r="AH2664" s="4"/>
      <c r="AI2664">
        <v>0</v>
      </c>
      <c r="AJ2664"/>
      <c r="AK2664" t="inlineStr">
        <is>
          <t>No, I don't need at all</t>
        </is>
      </c>
      <c r="AL2664">
        <v>0</v>
      </c>
      <c r="AM2664" t="inlineStr">
        <is>
          <t>No, I don't need at all</t>
        </is>
      </c>
      <c r="AN2664"/>
      <c r="AO2664" t="inlineStr">
        <is>
          <t>No, I don't need at all</t>
        </is>
      </c>
      <c r="AP2664" t="inlineStr">
        <is>
          <t>Once a year (25%)</t>
        </is>
      </c>
      <c r="AQ2664">
        <v>1</v>
      </c>
      <c r="AR2664" t="inlineStr">
        <is>
          <t>Free Job Portal</t>
        </is>
      </c>
      <c r="AS2664" t="inlineStr">
        <is>
          <t>- Headcount: 1
- Hiring Job Details: 1 admin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2664">
        <v>110</v>
      </c>
      <c r="AU2664" t="inlineStr">
        <is>
          <t>1.10</t>
        </is>
      </c>
      <c r="AV2664" t="inlineStr">
        <is>
          <t>15</t>
        </is>
      </c>
      <c r="AW2664" t="inlineStr">
        <is>
          <t>0</t>
        </is>
      </c>
      <c r="AX2664" t="inlineStr">
        <is>
          <t>Not Qualified</t>
        </is>
      </c>
      <c r="AY2664" s="4"/>
      <c r="AZ2664"/>
      <c r="BA2664"/>
      <c r="BB2664"/>
      <c r="BC2664" t="inlineStr">
        <is>
          <t>No need // no hiring ady // don't want to listen about AJT anymore // please do not call</t>
        </is>
      </c>
      <c r="BD2664" s="4">
        <v>46121.43969907407</v>
      </c>
      <c r="BE2664" t="inlineStr">
        <is>
          <t>paid</t>
        </is>
      </c>
      <c r="BF2664"/>
      <c r="BG2664" t="inlineStr">
        <is>
          <t>Reschedule</t>
        </is>
      </c>
      <c r="BH2664" t="inlineStr">
        <is>
          <t>Yee Hang</t>
        </is>
      </c>
      <c r="BI2664" t="inlineStr">
        <is>
          <t>Food / Beverage</t>
        </is>
      </c>
      <c r="BJ2664" s="4">
        <v>46144.754166666666</v>
      </c>
      <c r="BK2664" s="4">
        <v>46119.58222222222</v>
      </c>
      <c r="BL2664" t="inlineStr">
        <is>
          <t>0.0</t>
        </is>
      </c>
      <c r="BM2664" t="inlineStr">
        <is>
          <t>0.0</t>
        </is>
      </c>
      <c r="BN2664" t="inlineStr">
        <is>
          <t>View Create Job Page V4</t>
        </is>
      </c>
      <c r="BO2664" s="4">
        <v>46119.62546296296</v>
      </c>
      <c r="BP2664">
        <v>165696</v>
      </c>
      <c r="BQ2664">
        <v>120393</v>
      </c>
      <c r="BR2664" t="inlineStr">
        <is>
          <t>Proforma</t>
        </is>
      </c>
      <c r="BS2664" t="inlineStr">
        <is>
          <t>Free Internship Job</t>
        </is>
      </c>
      <c r="BT2664"/>
      <c r="BU2664"/>
      <c r="BV2664">
        <v>2694705</v>
      </c>
      <c r="BW2664" t="inlineStr">
        <is>
          <t>Follow Up : Lost - Free Portal</t>
        </is>
      </c>
      <c r="BX2664"/>
      <c r="BY2664"/>
      <c r="BZ2664" s="4"/>
      <c r="CA2664"/>
      <c r="CB2664"/>
      <c r="CC2664" s="4"/>
      <c r="CD2664" t="inlineStr">
        <is>
          <t>20</t>
        </is>
      </c>
      <c r="CE2664" t="inlineStr">
        <is>
          <t>0</t>
        </is>
      </c>
      <c r="CF2664" t="inlineStr">
        <is>
          <t>Q2-W01</t>
        </is>
      </c>
      <c r="CG2664" t="inlineStr">
        <is>
          <t>Q2-W01</t>
        </is>
      </c>
      <c r="CH2664"/>
      <c r="CI2664"/>
      <c r="CJ2664" t="inlineStr">
        <is>
          <t>No Paid</t>
        </is>
      </c>
      <c r="CK2664" t="inlineStr">
        <is>
          <t>Not Eligible</t>
        </is>
      </c>
      <c r="CL2664"/>
      <c r="CM2664"/>
    </row>
    <row r="2665" ht="25.5" customHeight="1">
      <c r="A2665" t="inlineStr">
        <is>
          <t>202944</t>
        </is>
      </c>
      <c r="B2665" s="2"/>
      <c r="C2665"/>
      <c r="D2665" s="3">
        <v>46119.63836805556</v>
      </c>
      <c r="E2665" t="inlineStr">
        <is>
          <t>Q2-W01</t>
        </is>
      </c>
      <c r="F2665" t="inlineStr">
        <is>
          <t>Keegan</t>
        </is>
      </c>
      <c r="G2665" t="inlineStr">
        <is>
          <t>Customer</t>
        </is>
      </c>
      <c r="H2665" s="2" t="str">
        <f>=HYPERLINK("https://upbox.ajobthing.my/customer/202944", "https://upbox.ajobthing.my/customer/202944")</f>
        <v>https://upbox.ajobthing.my/customer/202944</v>
      </c>
      <c r="I2665" t="inlineStr">
        <is>
          <t>SME Aerospace Sdn Bhd</t>
        </is>
      </c>
      <c r="J2665" t="inlineStr">
        <is>
          <t>Small Fish</t>
        </is>
      </c>
      <c r="K2665" t="inlineStr">
        <is>
          <t>Keegan</t>
        </is>
      </c>
      <c r="L2665" s="4"/>
      <c r="M2665" s="4">
        <v>46119.64142361111</v>
      </c>
      <c r="N2665"/>
      <c r="O2665">
        <v>6048</v>
      </c>
      <c r="P2665" s="4"/>
      <c r="Q2665" s="4">
        <v>46119.92091435185</v>
      </c>
      <c r="R2665"/>
      <c r="S2665">
        <v>0</v>
      </c>
      <c r="T2665" s="4"/>
      <c r="U2665" s="4"/>
      <c r="V2665"/>
      <c r="W2665"/>
      <c r="X2665"/>
      <c r="Y2665" t="inlineStr">
        <is>
          <t>Pending Appointment</t>
        </is>
      </c>
      <c r="Z2665" t="inlineStr">
        <is>
          <t>Hiring Now</t>
        </is>
      </c>
      <c r="AA2665">
        <v>2</v>
      </c>
      <c r="AB2665" t="inlineStr">
        <is>
          <t>No Appointment Made</t>
        </is>
      </c>
      <c r="AC2665"/>
      <c r="AD2665" t="inlineStr">
        <is>
          <t xml:space="preserve">1. Sales 
2. Marketing </t>
        </is>
      </c>
      <c r="AE2665"/>
      <c r="AF2665"/>
      <c r="AG2665" s="4"/>
      <c r="AH2665" s="4"/>
      <c r="AI2665"/>
      <c r="AJ2665">
        <v>1</v>
      </c>
      <c r="AK2665" t="inlineStr">
        <is>
          <t>No, I don't need at all</t>
        </is>
      </c>
      <c r="AL2665">
        <v>0</v>
      </c>
      <c r="AM2665" t="inlineStr">
        <is>
          <t>No, I don't need at all</t>
        </is>
      </c>
      <c r="AN2665"/>
      <c r="AO2665" t="inlineStr">
        <is>
          <t>No, I don't need at all</t>
        </is>
      </c>
      <c r="AP2665" t="inlineStr">
        <is>
          <t>Once per quarter (75%)</t>
        </is>
      </c>
      <c r="AQ2665"/>
      <c r="AR2665" t="inlineStr">
        <is>
          <t>Did not use any job portal</t>
        </is>
      </c>
      <c r="AS2665" t="inlineStr">
        <is>
          <t>- Headcount: 2
- Hiring Job Details: 1. Sales 2.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665">
        <v>65</v>
      </c>
      <c r="AU2665" t="inlineStr">
        <is>
          <t>0.65</t>
        </is>
      </c>
      <c r="AV2665" t="inlineStr">
        <is>
          <t>5</t>
        </is>
      </c>
      <c r="AW2665" t="inlineStr">
        <is>
          <t>0</t>
        </is>
      </c>
      <c r="AX2665" t="inlineStr">
        <is>
          <t>Not Qualified</t>
        </is>
      </c>
      <c r="AY2665" s="4"/>
      <c r="AZ2665"/>
      <c r="BA2665"/>
      <c r="BB2665"/>
      <c r="BC2665" t="inlineStr">
        <is>
          <t>f/up on next week after holiday</t>
        </is>
      </c>
      <c r="BD2665" s="4">
        <v>46142.63930555555</v>
      </c>
      <c r="BE2665" t="inlineStr">
        <is>
          <t>paid</t>
        </is>
      </c>
      <c r="BF2665"/>
      <c r="BG2665" t="inlineStr">
        <is>
          <t>Reschedule</t>
        </is>
      </c>
      <c r="BH2665" t="inlineStr">
        <is>
          <t>Edward Hoo</t>
        </is>
      </c>
      <c r="BI2665"/>
      <c r="BJ2665" s="4">
        <v>46144.754166666666</v>
      </c>
      <c r="BK2665" s="4">
        <v>46119.63460648148</v>
      </c>
      <c r="BL2665" t="inlineStr">
        <is>
          <t>0.0</t>
        </is>
      </c>
      <c r="BM2665" t="inlineStr">
        <is>
          <t>0.0</t>
        </is>
      </c>
      <c r="BN2665"/>
      <c r="BO2665" s="4"/>
      <c r="BP2665">
        <v>165704</v>
      </c>
      <c r="BQ2665">
        <v>120644</v>
      </c>
      <c r="BR2665" t="inlineStr">
        <is>
          <t>Proforma</t>
        </is>
      </c>
      <c r="BS2665" t="inlineStr">
        <is>
          <t>Free Internship Job</t>
        </is>
      </c>
      <c r="BT2665"/>
      <c r="BU2665"/>
      <c r="BV2665">
        <v>2737938</v>
      </c>
      <c r="BW2665" t="inlineStr">
        <is>
          <t>Follow Up : Decision Pending</t>
        </is>
      </c>
      <c r="BX2665"/>
      <c r="BY2665"/>
      <c r="BZ2665" s="4"/>
      <c r="CA2665"/>
      <c r="CB2665"/>
      <c r="CC2665" s="4"/>
      <c r="CD2665" t="inlineStr">
        <is>
          <t>5</t>
        </is>
      </c>
      <c r="CE2665" t="inlineStr">
        <is>
          <t>0</t>
        </is>
      </c>
      <c r="CF2665" t="inlineStr">
        <is>
          <t>Q2-W01</t>
        </is>
      </c>
      <c r="CG2665" t="inlineStr">
        <is>
          <t>Q2-W01</t>
        </is>
      </c>
      <c r="CH2665"/>
      <c r="CI2665"/>
      <c r="CJ2665" t="inlineStr">
        <is>
          <t>No Paid</t>
        </is>
      </c>
      <c r="CK2665" t="inlineStr">
        <is>
          <t>Not Eligible</t>
        </is>
      </c>
      <c r="CL2665"/>
      <c r="CM2665"/>
    </row>
    <row r="2666" ht="25.5" customHeight="1">
      <c r="A2666" t="inlineStr">
        <is>
          <t>202941</t>
        </is>
      </c>
      <c r="B2666" s="2"/>
      <c r="C2666"/>
      <c r="D2666" s="3">
        <v>46119.64328703703</v>
      </c>
      <c r="E2666" t="inlineStr">
        <is>
          <t>Q2-W01</t>
        </is>
      </c>
      <c r="F2666" t="inlineStr">
        <is>
          <t>Dickson</t>
        </is>
      </c>
      <c r="G2666" t="inlineStr">
        <is>
          <t>Customer</t>
        </is>
      </c>
      <c r="H2666" s="2" t="str">
        <f>=HYPERLINK("https://upbox.ajobthing.my/customer/202941", "https://upbox.ajobthing.my/customer/202941")</f>
        <v>https://upbox.ajobthing.my/customer/202941</v>
      </c>
      <c r="I2666" t="inlineStr">
        <is>
          <t>Apex Phone Accessories</t>
        </is>
      </c>
      <c r="J2666" t="inlineStr">
        <is>
          <t>Small Fish</t>
        </is>
      </c>
      <c r="K2666" t="inlineStr">
        <is>
          <t>Dickson</t>
        </is>
      </c>
      <c r="L2666" s="4"/>
      <c r="M2666" s="4">
        <v>46119.64476851852</v>
      </c>
      <c r="N2666"/>
      <c r="O2666">
        <v>3672</v>
      </c>
      <c r="P2666" s="4"/>
      <c r="Q2666" s="4">
        <v>46119.62541666667</v>
      </c>
      <c r="R2666"/>
      <c r="S2666">
        <v>0</v>
      </c>
      <c r="T2666" s="4"/>
      <c r="U2666" s="4"/>
      <c r="V2666"/>
      <c r="W2666"/>
      <c r="X2666"/>
      <c r="Y2666" t="inlineStr">
        <is>
          <t>Pending Appointment</t>
        </is>
      </c>
      <c r="Z2666" t="inlineStr">
        <is>
          <t>Hiring Now</t>
        </is>
      </c>
      <c r="AA2666">
        <v>6</v>
      </c>
      <c r="AB2666" t="inlineStr">
        <is>
          <t>No Appointment Made</t>
        </is>
      </c>
      <c r="AC2666"/>
      <c r="AD2666" t="inlineStr">
        <is>
          <t>2 web developer, 2 technical executive, 2 hr</t>
        </is>
      </c>
      <c r="AE2666"/>
      <c r="AF2666"/>
      <c r="AG2666" s="4"/>
      <c r="AH2666" s="4"/>
      <c r="AI2666"/>
      <c r="AJ2666">
        <v>1</v>
      </c>
      <c r="AK2666" t="inlineStr">
        <is>
          <t>No, I don't need at all</t>
        </is>
      </c>
      <c r="AL2666"/>
      <c r="AM2666" t="inlineStr">
        <is>
          <t>No, I don't need at all</t>
        </is>
      </c>
      <c r="AN2666"/>
      <c r="AO2666" t="inlineStr">
        <is>
          <t>No, I don't need at all</t>
        </is>
      </c>
      <c r="AP2666" t="inlineStr">
        <is>
          <t>Once per quarter (75%)</t>
        </is>
      </c>
      <c r="AQ2666"/>
      <c r="AR2666" t="inlineStr">
        <is>
          <t>Jobstreet</t>
        </is>
      </c>
      <c r="AS2666" t="inlineStr">
        <is>
          <t>- Headcount: 6
- Hiring Job Details: 2 web developer, 2 technical executive, 2 hr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Jobstreet</t>
        </is>
      </c>
      <c r="AT2666">
        <v>95</v>
      </c>
      <c r="AU2666" t="inlineStr">
        <is>
          <t>0.95</t>
        </is>
      </c>
      <c r="AV2666" t="inlineStr">
        <is>
          <t>10</t>
        </is>
      </c>
      <c r="AW2666" t="inlineStr">
        <is>
          <t>0</t>
        </is>
      </c>
      <c r="AX2666" t="inlineStr">
        <is>
          <t>Not Qualified</t>
        </is>
      </c>
      <c r="AY2666" s="4"/>
      <c r="AZ2666"/>
      <c r="BA2666"/>
      <c r="BB2666"/>
      <c r="BC2666" t="inlineStr">
        <is>
          <t>no response</t>
        </is>
      </c>
      <c r="BD2666" s="4">
        <v>46139.73640046296</v>
      </c>
      <c r="BE2666" t="inlineStr">
        <is>
          <t>paid</t>
        </is>
      </c>
      <c r="BF2666"/>
      <c r="BG2666" t="inlineStr">
        <is>
          <t>Reschedule</t>
        </is>
      </c>
      <c r="BH2666" t="inlineStr">
        <is>
          <t>Edward Hoo</t>
        </is>
      </c>
      <c r="BI2666" t="inlineStr">
        <is>
          <t>IT / Software</t>
        </is>
      </c>
      <c r="BJ2666" s="4">
        <v>46144.754166666666</v>
      </c>
      <c r="BK2666" s="4">
        <v>46119.6247337963</v>
      </c>
      <c r="BL2666" t="inlineStr">
        <is>
          <t>0.0</t>
        </is>
      </c>
      <c r="BM2666" t="inlineStr">
        <is>
          <t>600.0</t>
        </is>
      </c>
      <c r="BN2666" t="inlineStr">
        <is>
          <t>View Company Page</t>
        </is>
      </c>
      <c r="BO2666" s="4">
        <v>46139.68038194445</v>
      </c>
      <c r="BP2666">
        <v>165705</v>
      </c>
      <c r="BQ2666">
        <v>120466</v>
      </c>
      <c r="BR2666" t="inlineStr">
        <is>
          <t>Proforma</t>
        </is>
      </c>
      <c r="BS2666" t="inlineStr">
        <is>
          <t>Free Part-Time Job</t>
        </is>
      </c>
      <c r="BT2666"/>
      <c r="BU2666"/>
      <c r="BV2666">
        <v>2731488</v>
      </c>
      <c r="BW2666" t="inlineStr">
        <is>
          <t>No Answer : Voicemail - WA sent to customer</t>
        </is>
      </c>
      <c r="BX2666"/>
      <c r="BY2666"/>
      <c r="BZ2666" s="4"/>
      <c r="CA2666"/>
      <c r="CB2666"/>
      <c r="CC2666" s="4"/>
      <c r="CD2666" t="inlineStr">
        <is>
          <t>15</t>
        </is>
      </c>
      <c r="CE2666" t="inlineStr">
        <is>
          <t>0</t>
        </is>
      </c>
      <c r="CF2666" t="inlineStr">
        <is>
          <t>Q2-W01</t>
        </is>
      </c>
      <c r="CG2666" t="inlineStr">
        <is>
          <t>Q2-W01</t>
        </is>
      </c>
      <c r="CH2666"/>
      <c r="CI2666"/>
      <c r="CJ2666" t="inlineStr">
        <is>
          <t>No Paid</t>
        </is>
      </c>
      <c r="CK2666" t="inlineStr">
        <is>
          <t>Not Eligible</t>
        </is>
      </c>
      <c r="CL2666"/>
      <c r="CM2666"/>
    </row>
    <row r="2667" ht="25.5" customHeight="1">
      <c r="A2667" t="inlineStr">
        <is>
          <t>4256257</t>
        </is>
      </c>
      <c r="B2667" s="2"/>
      <c r="C2667"/>
      <c r="D2667" s="3">
        <v>46119.64716435185</v>
      </c>
      <c r="E2667" t="inlineStr">
        <is>
          <t>Q2-W01</t>
        </is>
      </c>
      <c r="F2667" t="inlineStr">
        <is>
          <t>Carmen</t>
        </is>
      </c>
      <c r="G2667" t="inlineStr">
        <is>
          <t>Lead</t>
        </is>
      </c>
      <c r="H2667" s="2" t="str">
        <f>=HYPERLINK("https://upbox.ajobthing.my/leads/4256257", "https://upbox.ajobthing.my/leads/4256257")</f>
        <v>https://upbox.ajobthing.my/leads/4256257</v>
      </c>
      <c r="I2667" t="inlineStr">
        <is>
          <t>Topvision Education Service Sdn Bhd</t>
        </is>
      </c>
      <c r="J2667" t="inlineStr">
        <is>
          <t>Small Fish</t>
        </is>
      </c>
      <c r="K2667" t="inlineStr">
        <is>
          <t>Carmen</t>
        </is>
      </c>
      <c r="L2667" s="4"/>
      <c r="M2667" s="4">
        <v>46119.645370370374</v>
      </c>
      <c r="N2667"/>
      <c r="O2667">
        <v>6048</v>
      </c>
      <c r="P2667" s="4"/>
      <c r="Q2667" s="4"/>
      <c r="R2667"/>
      <c r="S2667"/>
      <c r="T2667" s="4"/>
      <c r="U2667" s="4"/>
      <c r="V2667"/>
      <c r="W2667"/>
      <c r="X2667"/>
      <c r="Y2667" t="inlineStr">
        <is>
          <t>Pending Appointment</t>
        </is>
      </c>
      <c r="Z2667" t="inlineStr">
        <is>
          <t>Hiring Later</t>
        </is>
      </c>
      <c r="AA2667">
        <v>2</v>
      </c>
      <c r="AB2667" t="inlineStr">
        <is>
          <t>No Appointment Made</t>
        </is>
      </c>
      <c r="AC2667"/>
      <c r="AD2667" t="inlineStr">
        <is>
          <t>1 admin, 1 sales</t>
        </is>
      </c>
      <c r="AE2667"/>
      <c r="AF2667">
        <v>200</v>
      </c>
      <c r="AG2667" s="4"/>
      <c r="AH2667" s="4"/>
      <c r="AI2667"/>
      <c r="AJ2667"/>
      <c r="AK2667"/>
      <c r="AL2667"/>
      <c r="AM2667"/>
      <c r="AN2667"/>
      <c r="AO2667"/>
      <c r="AP2667" t="inlineStr">
        <is>
          <t>Once a year (25%)</t>
        </is>
      </c>
      <c r="AQ2667"/>
      <c r="AR2667"/>
      <c r="AS2667" t="inlineStr">
        <is>
          <t>- Headcount: 2
- Hiring Job Details: 1 admin, 1 sales
- Hiring Urgency: Hiring Later
- Number of outlets: Not available
- Have recruiter team: Not available
- Number of recruiter in company: Not available
- Have ATS system: Not available
- Have career website: Not available
- Current hiring budget: RM200.00
- Whole year budget: Not available
- Whole year number of vacancies: Not available
- Hiring frequency: Once a year (25%)
- External job portal: Not available</t>
        </is>
      </c>
      <c r="AT2667">
        <v>75</v>
      </c>
      <c r="AU2667" t="inlineStr">
        <is>
          <t>0.75</t>
        </is>
      </c>
      <c r="AV2667" t="inlineStr">
        <is>
          <t>15</t>
        </is>
      </c>
      <c r="AW2667" t="inlineStr">
        <is>
          <t>0</t>
        </is>
      </c>
      <c r="AX2667" t="inlineStr">
        <is>
          <t>Not Qualified</t>
        </is>
      </c>
      <c r="AY2667" s="4"/>
      <c r="AZ2667"/>
      <c r="BA2667"/>
      <c r="BB2667"/>
      <c r="BC2667"/>
      <c r="BD2667" s="4"/>
      <c r="BE2667"/>
      <c r="BF2667"/>
      <c r="BG2667" t="inlineStr">
        <is>
          <t>Reschedule</t>
        </is>
      </c>
      <c r="BH2667" t="inlineStr">
        <is>
          <t>Reagen</t>
        </is>
      </c>
      <c r="BI2667"/>
      <c r="BJ2667" s="4">
        <v>46144.755740740744</v>
      </c>
      <c r="BK2667" s="4">
        <v>46119.60393518519</v>
      </c>
      <c r="BL2667" t="inlineStr">
        <is>
          <t>0.0</t>
        </is>
      </c>
      <c r="BM2667" t="inlineStr">
        <is>
          <t>0.0</t>
        </is>
      </c>
      <c r="BN2667"/>
      <c r="BO2667" s="4"/>
      <c r="BP2667">
        <v>165707</v>
      </c>
      <c r="BQ2667"/>
      <c r="BR2667"/>
      <c r="BS2667"/>
      <c r="BT2667"/>
      <c r="BU2667"/>
      <c r="BV2667"/>
      <c r="BW2667"/>
      <c r="BX2667"/>
      <c r="BY2667"/>
      <c r="BZ2667" s="4"/>
      <c r="CA2667"/>
      <c r="CB2667"/>
      <c r="CC2667" s="4"/>
      <c r="CD2667" t="inlineStr">
        <is>
          <t>20</t>
        </is>
      </c>
      <c r="CE2667" t="inlineStr">
        <is>
          <t>0</t>
        </is>
      </c>
      <c r="CF2667" t="inlineStr">
        <is>
          <t>Q2-W01</t>
        </is>
      </c>
      <c r="CG2667"/>
      <c r="CH2667"/>
      <c r="CI2667"/>
      <c r="CJ2667" t="inlineStr">
        <is>
          <t>No Paid</t>
        </is>
      </c>
      <c r="CK2667" t="inlineStr">
        <is>
          <t>Not Eligible</t>
        </is>
      </c>
      <c r="CL2667"/>
      <c r="CM2667"/>
    </row>
    <row r="2668" ht="25.5" customHeight="1">
      <c r="A2668" t="inlineStr">
        <is>
          <t>185590</t>
        </is>
      </c>
      <c r="B2668" s="2"/>
      <c r="C2668"/>
      <c r="D2668" s="3">
        <v>46119.651875</v>
      </c>
      <c r="E2668" t="inlineStr">
        <is>
          <t>Q2-W01</t>
        </is>
      </c>
      <c r="F2668" t="inlineStr">
        <is>
          <t>Chia Yee</t>
        </is>
      </c>
      <c r="G2668" t="inlineStr">
        <is>
          <t>Customer</t>
        </is>
      </c>
      <c r="H2668" s="2" t="str">
        <f>=HYPERLINK("https://upbox.ajobthing.my/customer/185590", "https://upbox.ajobthing.my/customer/185590")</f>
        <v>https://upbox.ajobthing.my/customer/185590</v>
      </c>
      <c r="I2668" t="inlineStr">
        <is>
          <t>Flexi Freight Sdn Bhd</t>
        </is>
      </c>
      <c r="J2668" t="inlineStr">
        <is>
          <t>Small Fish</t>
        </is>
      </c>
      <c r="K2668" t="inlineStr">
        <is>
          <t>Chia Yee</t>
        </is>
      </c>
      <c r="L2668" s="4"/>
      <c r="M2668" s="4">
        <v>46119.652037037034</v>
      </c>
      <c r="N2668"/>
      <c r="O2668">
        <v>8208</v>
      </c>
      <c r="P2668" s="4"/>
      <c r="Q2668" s="4"/>
      <c r="R2668"/>
      <c r="S2668"/>
      <c r="T2668" s="4"/>
      <c r="U2668" s="4"/>
      <c r="V2668"/>
      <c r="W2668"/>
      <c r="X2668"/>
      <c r="Y2668" t="inlineStr">
        <is>
          <t>Pending Appointment</t>
        </is>
      </c>
      <c r="Z2668" t="inlineStr">
        <is>
          <t>Hiring Now</t>
        </is>
      </c>
      <c r="AA2668">
        <v>3</v>
      </c>
      <c r="AB2668" t="inlineStr">
        <is>
          <t>No Appointment Made</t>
        </is>
      </c>
      <c r="AC2668"/>
      <c r="AD2668" t="inlineStr">
        <is>
          <t>1-2 customer service,  1 Sales</t>
        </is>
      </c>
      <c r="AE2668"/>
      <c r="AF2668">
        <v>0</v>
      </c>
      <c r="AG2668" s="4"/>
      <c r="AH2668" s="4"/>
      <c r="AI2668">
        <v>0</v>
      </c>
      <c r="AJ2668">
        <v>0</v>
      </c>
      <c r="AK2668" t="inlineStr">
        <is>
          <t>No, I don't need at all</t>
        </is>
      </c>
      <c r="AL2668">
        <v>1</v>
      </c>
      <c r="AM2668" t="inlineStr">
        <is>
          <t>No, I don't need at all</t>
        </is>
      </c>
      <c r="AN2668"/>
      <c r="AO2668" t="inlineStr">
        <is>
          <t>No, I don't need at all</t>
        </is>
      </c>
      <c r="AP2668" t="inlineStr">
        <is>
          <t>Twice a year (50%)</t>
        </is>
      </c>
      <c r="AQ2668">
        <v>3</v>
      </c>
      <c r="AR2668" t="inlineStr">
        <is>
          <t>Did not use any job portal</t>
        </is>
      </c>
      <c r="AS2668" t="inlineStr">
        <is>
          <t>- Headcount: 3
- Hiring Job Details: 1-2 customer service, 1 Sales
- Hiring Urgency: Hiring Now
- Number of outlets: 0
- Have recruiter team: No, I don't need at all
- Number of recruiter in company: 1
- Have ATS system: No, I don't need at all
- Have career website: No, I don't need at all
- Current hiring budget: RM0
- Whole year budget: RM0.00
- Whole year number of vacancies: 3
- Hiring frequency: Twice a year (50%)
- External job portal: Did not use any job portal</t>
        </is>
      </c>
      <c r="AT2668">
        <v>95</v>
      </c>
      <c r="AU2668" t="inlineStr">
        <is>
          <t>0.95</t>
        </is>
      </c>
      <c r="AV2668" t="inlineStr">
        <is>
          <t>15</t>
        </is>
      </c>
      <c r="AW2668" t="inlineStr">
        <is>
          <t>0</t>
        </is>
      </c>
      <c r="AX2668" t="inlineStr">
        <is>
          <t>Not Qualified</t>
        </is>
      </c>
      <c r="AY2668" s="4"/>
      <c r="AZ2668"/>
      <c r="BA2668"/>
      <c r="BB2668"/>
      <c r="BC2668" t="inlineStr">
        <is>
          <t>Replied: We just attend to the university career both. See how the feedback</t>
        </is>
      </c>
      <c r="BD2668" s="4">
        <v>46133.44855324074</v>
      </c>
      <c r="BE2668"/>
      <c r="BF2668"/>
      <c r="BG2668" t="inlineStr">
        <is>
          <t>Reschedule</t>
        </is>
      </c>
      <c r="BH2668" t="inlineStr">
        <is>
          <t>Reagen</t>
        </is>
      </c>
      <c r="BI2668"/>
      <c r="BJ2668" s="4">
        <v>46144.752071759256</v>
      </c>
      <c r="BK2668" s="4">
        <v>45632.69388888889</v>
      </c>
      <c r="BL2668" t="inlineStr">
        <is>
          <t>0.0</t>
        </is>
      </c>
      <c r="BM2668" t="inlineStr">
        <is>
          <t>0.0</t>
        </is>
      </c>
      <c r="BN2668" t="inlineStr">
        <is>
          <t>View Create Job Page</t>
        </is>
      </c>
      <c r="BO2668" s="4">
        <v>45632.6983912037</v>
      </c>
      <c r="BP2668">
        <v>165717</v>
      </c>
      <c r="BQ2668"/>
      <c r="BR2668"/>
      <c r="BS2668"/>
      <c r="BT2668"/>
      <c r="BU2668"/>
      <c r="BV2668">
        <v>2717214</v>
      </c>
      <c r="BW2668" t="inlineStr">
        <is>
          <t>Follow Up : Budget Concern</t>
        </is>
      </c>
      <c r="BX2668"/>
      <c r="BY2668"/>
      <c r="BZ2668" s="4"/>
      <c r="CA2668"/>
      <c r="CB2668"/>
      <c r="CC2668" s="4"/>
      <c r="CD2668" t="inlineStr">
        <is>
          <t>20</t>
        </is>
      </c>
      <c r="CE2668" t="inlineStr">
        <is>
          <t>0</t>
        </is>
      </c>
      <c r="CF2668" t="inlineStr">
        <is>
          <t>Q2-W01</t>
        </is>
      </c>
      <c r="CG2668"/>
      <c r="CH2668"/>
      <c r="CI2668"/>
      <c r="CJ2668" t="inlineStr">
        <is>
          <t>No Paid</t>
        </is>
      </c>
      <c r="CK2668" t="inlineStr">
        <is>
          <t>Not Eligible</t>
        </is>
      </c>
      <c r="CL2668"/>
      <c r="CM2668"/>
    </row>
    <row r="2669" ht="25.5" customHeight="1">
      <c r="A2669" t="inlineStr">
        <is>
          <t>202930</t>
        </is>
      </c>
      <c r="B2669" s="2"/>
      <c r="C2669"/>
      <c r="D2669" s="3">
        <v>46119.65677083333</v>
      </c>
      <c r="E2669" t="inlineStr">
        <is>
          <t>Q2-W01</t>
        </is>
      </c>
      <c r="F2669" t="inlineStr">
        <is>
          <t>Carmen</t>
        </is>
      </c>
      <c r="G2669" t="inlineStr">
        <is>
          <t>Customer</t>
        </is>
      </c>
      <c r="H2669" s="2" t="str">
        <f>=HYPERLINK("https://upbox.ajobthing.my/customer/202930", "https://upbox.ajobthing.my/customer/202930")</f>
        <v>https://upbox.ajobthing.my/customer/202930</v>
      </c>
      <c r="I2669" t="inlineStr">
        <is>
          <t xml:space="preserve">Gastro Journey </t>
        </is>
      </c>
      <c r="J2669" t="inlineStr">
        <is>
          <t>Small Fish</t>
        </is>
      </c>
      <c r="K2669" t="inlineStr">
        <is>
          <t>Carmen</t>
        </is>
      </c>
      <c r="L2669" s="4"/>
      <c r="M2669" s="4">
        <v>46119.65789351852</v>
      </c>
      <c r="N2669"/>
      <c r="O2669">
        <v>5832</v>
      </c>
      <c r="P2669" s="4"/>
      <c r="Q2669" s="4">
        <v>46119.517743055556</v>
      </c>
      <c r="R2669"/>
      <c r="S2669">
        <v>0</v>
      </c>
      <c r="T2669" s="4"/>
      <c r="U2669" s="4"/>
      <c r="V2669"/>
      <c r="W2669"/>
      <c r="X2669"/>
      <c r="Y2669" t="inlineStr">
        <is>
          <t>Pending Appointment</t>
        </is>
      </c>
      <c r="Z2669" t="inlineStr">
        <is>
          <t>Hiring Now</t>
        </is>
      </c>
      <c r="AA2669">
        <v>12</v>
      </c>
      <c r="AB2669" t="inlineStr">
        <is>
          <t>No Appointment Made</t>
        </is>
      </c>
      <c r="AC2669"/>
      <c r="AD2669" t="inlineStr">
        <is>
          <t>7 kitchen crew; 5 waiter and baristar</t>
        </is>
      </c>
      <c r="AE2669"/>
      <c r="AF2669">
        <v>0</v>
      </c>
      <c r="AG2669" s="4"/>
      <c r="AH2669" s="4"/>
      <c r="AI2669"/>
      <c r="AJ2669"/>
      <c r="AK2669" t="inlineStr">
        <is>
          <t>No, I don't need at all</t>
        </is>
      </c>
      <c r="AL2669"/>
      <c r="AM2669"/>
      <c r="AN2669"/>
      <c r="AO2669"/>
      <c r="AP2669" t="inlineStr">
        <is>
          <t>Once a year (25%)</t>
        </is>
      </c>
      <c r="AQ2669"/>
      <c r="AR2669"/>
      <c r="AS2669" t="inlineStr">
        <is>
          <t>- Headcount: 12
- Hiring Job Details: 7 kitchen crew; 5 waiter and barista
- Hiring Urgency: Hiring Now
- Number of outlets: N/A
- Have recruiter team: No, I don't need at all
- Number of recruiter in company: N/A
- Have ATS system: N/A
- Have career website: N/A
- Current hiring budget: RM0.00
- Whole year budget: N/A
- Whole year number of vacancies: N/A
- Hiring frequency: Once a year (25%)
- External job portal: N/A</t>
        </is>
      </c>
      <c r="AT2669">
        <v>75</v>
      </c>
      <c r="AU2669" t="inlineStr">
        <is>
          <t>0.75</t>
        </is>
      </c>
      <c r="AV2669" t="inlineStr">
        <is>
          <t>25</t>
        </is>
      </c>
      <c r="AW2669" t="inlineStr">
        <is>
          <t>0</t>
        </is>
      </c>
      <c r="AX2669" t="inlineStr">
        <is>
          <t>Not Qualified</t>
        </is>
      </c>
      <c r="AY2669" s="4"/>
      <c r="AZ2669"/>
      <c r="BA2669"/>
      <c r="BB2669"/>
      <c r="BC2669" t="inlineStr">
        <is>
          <t>reset calendar</t>
        </is>
      </c>
      <c r="BD2669" s="4">
        <v>46134.61019675926</v>
      </c>
      <c r="BE2669" t="inlineStr">
        <is>
          <t>paid</t>
        </is>
      </c>
      <c r="BF2669"/>
      <c r="BG2669" t="inlineStr">
        <is>
          <t>Reschedule</t>
        </is>
      </c>
      <c r="BH2669" t="inlineStr">
        <is>
          <t>Reagen</t>
        </is>
      </c>
      <c r="BI2669"/>
      <c r="BJ2669" s="4">
        <v>46144.754166666666</v>
      </c>
      <c r="BK2669" s="4">
        <v>46119.517384259256</v>
      </c>
      <c r="BL2669" t="inlineStr">
        <is>
          <t>0.0</t>
        </is>
      </c>
      <c r="BM2669" t="inlineStr">
        <is>
          <t>0.0</t>
        </is>
      </c>
      <c r="BN2669" t="inlineStr">
        <is>
          <t>View Company Page</t>
        </is>
      </c>
      <c r="BO2669" s="4">
        <v>46122.53037037037</v>
      </c>
      <c r="BP2669">
        <v>165725</v>
      </c>
      <c r="BQ2669">
        <v>120331</v>
      </c>
      <c r="BR2669" t="inlineStr">
        <is>
          <t>Proforma</t>
        </is>
      </c>
      <c r="BS2669" t="inlineStr">
        <is>
          <t>Free Internship Job</t>
        </is>
      </c>
      <c r="BT2669"/>
      <c r="BU2669"/>
      <c r="BV2669">
        <v>2720815</v>
      </c>
      <c r="BW2669" t="inlineStr">
        <is>
          <t>Customer Inquiry</t>
        </is>
      </c>
      <c r="BX2669"/>
      <c r="BY2669"/>
      <c r="BZ2669" s="4"/>
      <c r="CA2669"/>
      <c r="CB2669"/>
      <c r="CC2669" s="4"/>
      <c r="CD2669" t="inlineStr">
        <is>
          <t>35</t>
        </is>
      </c>
      <c r="CE2669" t="inlineStr">
        <is>
          <t>0</t>
        </is>
      </c>
      <c r="CF2669" t="inlineStr">
        <is>
          <t>Q2-W01</t>
        </is>
      </c>
      <c r="CG2669" t="inlineStr">
        <is>
          <t>Q2-W01</t>
        </is>
      </c>
      <c r="CH2669"/>
      <c r="CI2669"/>
      <c r="CJ2669" t="inlineStr">
        <is>
          <t>No Paid</t>
        </is>
      </c>
      <c r="CK2669" t="inlineStr">
        <is>
          <t>Eligible</t>
        </is>
      </c>
      <c r="CL2669"/>
      <c r="CM2669"/>
    </row>
    <row r="2670" ht="25.5" customHeight="1">
      <c r="A2670" t="inlineStr">
        <is>
          <t>4256478</t>
        </is>
      </c>
      <c r="B2670" s="2"/>
      <c r="C2670"/>
      <c r="D2670" s="3">
        <v>46119.65696759259</v>
      </c>
      <c r="E2670" t="inlineStr">
        <is>
          <t>Q2-W01</t>
        </is>
      </c>
      <c r="F2670" t="inlineStr">
        <is>
          <t>Janice Yap</t>
        </is>
      </c>
      <c r="G2670" t="inlineStr">
        <is>
          <t>Lead</t>
        </is>
      </c>
      <c r="H2670" s="2" t="str">
        <f>=HYPERLINK("https://upbox.ajobthing.my/leads/4256478", "https://upbox.ajobthing.my/leads/4256478")</f>
        <v>https://upbox.ajobthing.my/leads/4256478</v>
      </c>
      <c r="I2670" t="inlineStr">
        <is>
          <t>ED MACHINES GROUP SDN BHD</t>
        </is>
      </c>
      <c r="J2670" t="inlineStr">
        <is>
          <t>Small Fish</t>
        </is>
      </c>
      <c r="K2670" t="inlineStr">
        <is>
          <t>Janice</t>
        </is>
      </c>
      <c r="L2670" s="4"/>
      <c r="M2670" s="4">
        <v>46119.65534722222</v>
      </c>
      <c r="N2670"/>
      <c r="O2670">
        <v>3888</v>
      </c>
      <c r="P2670" s="4"/>
      <c r="Q2670" s="4"/>
      <c r="R2670"/>
      <c r="S2670"/>
      <c r="T2670" s="4"/>
      <c r="U2670" s="4"/>
      <c r="V2670"/>
      <c r="W2670"/>
      <c r="X2670"/>
      <c r="Y2670" t="inlineStr">
        <is>
          <t>Pending Appointment</t>
        </is>
      </c>
      <c r="Z2670" t="inlineStr">
        <is>
          <t>Hiring Now</t>
        </is>
      </c>
      <c r="AA2670">
        <v>1</v>
      </c>
      <c r="AB2670" t="inlineStr">
        <is>
          <t>No Appointment Made</t>
        </is>
      </c>
      <c r="AC2670"/>
      <c r="AD2670" t="inlineStr">
        <is>
          <t>1 admin exec</t>
        </is>
      </c>
      <c r="AE2670"/>
      <c r="AF2670">
        <v>0</v>
      </c>
      <c r="AG2670" s="4"/>
      <c r="AH2670" s="4"/>
      <c r="AI2670">
        <v>0</v>
      </c>
      <c r="AJ2670"/>
      <c r="AK2670" t="inlineStr">
        <is>
          <t>No, I don't need at all</t>
        </is>
      </c>
      <c r="AL2670">
        <v>0</v>
      </c>
      <c r="AM2670" t="inlineStr">
        <is>
          <t>No, I don't need at all</t>
        </is>
      </c>
      <c r="AN2670"/>
      <c r="AO2670" t="inlineStr">
        <is>
          <t>No, I don't need at all</t>
        </is>
      </c>
      <c r="AP2670" t="inlineStr">
        <is>
          <t>Once a year (25%)</t>
        </is>
      </c>
      <c r="AQ2670">
        <v>1</v>
      </c>
      <c r="AR2670" t="inlineStr">
        <is>
          <t>Indeed (Paid)</t>
        </is>
      </c>
      <c r="AS2670" t="inlineStr">
        <is>
          <t>- Headcount: 1
- Hiring Job Details: 1 admin exec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Indeed (Paid)</t>
        </is>
      </c>
      <c r="AT2670">
        <v>115</v>
      </c>
      <c r="AU2670" t="inlineStr">
        <is>
          <t>1.15</t>
        </is>
      </c>
      <c r="AV2670" t="inlineStr">
        <is>
          <t>15</t>
        </is>
      </c>
      <c r="AW2670" t="inlineStr">
        <is>
          <t>0</t>
        </is>
      </c>
      <c r="AX2670" t="inlineStr">
        <is>
          <t>Not Qualified</t>
        </is>
      </c>
      <c r="AY2670" s="4"/>
      <c r="AZ2670"/>
      <c r="BA2670"/>
      <c r="BB2670"/>
      <c r="BC2670"/>
      <c r="BD2670" s="4"/>
      <c r="BE2670"/>
      <c r="BF2670"/>
      <c r="BG2670" t="inlineStr">
        <is>
          <t>Reschedule</t>
        </is>
      </c>
      <c r="BH2670" t="inlineStr">
        <is>
          <t>Yee Hang</t>
        </is>
      </c>
      <c r="BI2670"/>
      <c r="BJ2670" s="4">
        <v>46144.755740740744</v>
      </c>
      <c r="BK2670" s="4">
        <v>46119.63622685185</v>
      </c>
      <c r="BL2670" t="inlineStr">
        <is>
          <t>0.0</t>
        </is>
      </c>
      <c r="BM2670" t="inlineStr">
        <is>
          <t>0.0</t>
        </is>
      </c>
      <c r="BN2670"/>
      <c r="BO2670" s="4"/>
      <c r="BP2670">
        <v>165720</v>
      </c>
      <c r="BQ2670"/>
      <c r="BR2670"/>
      <c r="BS2670"/>
      <c r="BT2670"/>
      <c r="BU2670"/>
      <c r="BV2670"/>
      <c r="BW2670"/>
      <c r="BX2670"/>
      <c r="BY2670"/>
      <c r="BZ2670" s="4"/>
      <c r="CA2670"/>
      <c r="CB2670"/>
      <c r="CC2670" s="4"/>
      <c r="CD2670" t="inlineStr">
        <is>
          <t>20</t>
        </is>
      </c>
      <c r="CE2670" t="inlineStr">
        <is>
          <t>0</t>
        </is>
      </c>
      <c r="CF2670" t="inlineStr">
        <is>
          <t>Q2-W01</t>
        </is>
      </c>
      <c r="CG2670"/>
      <c r="CH2670"/>
      <c r="CI2670"/>
      <c r="CJ2670" t="inlineStr">
        <is>
          <t>No Paid</t>
        </is>
      </c>
      <c r="CK2670" t="inlineStr">
        <is>
          <t>Not Eligible</t>
        </is>
      </c>
      <c r="CL2670"/>
      <c r="CM2670"/>
    </row>
    <row r="2671" ht="25.5" customHeight="1">
      <c r="A2671" t="inlineStr">
        <is>
          <t>168530</t>
        </is>
      </c>
      <c r="B2671" s="2"/>
      <c r="C2671"/>
      <c r="D2671" s="3">
        <v>46119.65756944445</v>
      </c>
      <c r="E2671" t="inlineStr">
        <is>
          <t>Q2-W01</t>
        </is>
      </c>
      <c r="F2671" t="inlineStr">
        <is>
          <t>Chia Yee</t>
        </is>
      </c>
      <c r="G2671" t="inlineStr">
        <is>
          <t>Customer</t>
        </is>
      </c>
      <c r="H2671" s="2" t="str">
        <f>=HYPERLINK("https://upbox.ajobthing.my/customer/168530", "https://upbox.ajobthing.my/customer/168530")</f>
        <v>https://upbox.ajobthing.my/customer/168530</v>
      </c>
      <c r="I2671" t="inlineStr">
        <is>
          <t>Ks Jaya Marketing Sdn Bhd</t>
        </is>
      </c>
      <c r="J2671" t="inlineStr">
        <is>
          <t>Small Fish</t>
        </is>
      </c>
      <c r="K2671" t="inlineStr">
        <is>
          <t>Chia Yee</t>
        </is>
      </c>
      <c r="L2671" s="4"/>
      <c r="M2671" s="4">
        <v>46119.657685185186</v>
      </c>
      <c r="N2671"/>
      <c r="O2671">
        <v>3888</v>
      </c>
      <c r="P2671" s="4"/>
      <c r="Q2671" s="4"/>
      <c r="R2671"/>
      <c r="S2671"/>
      <c r="T2671" s="4"/>
      <c r="U2671" s="4"/>
      <c r="V2671"/>
      <c r="W2671"/>
      <c r="X2671"/>
      <c r="Y2671" t="inlineStr">
        <is>
          <t>Pending Appointment</t>
        </is>
      </c>
      <c r="Z2671" t="inlineStr">
        <is>
          <t>Hiring Now</t>
        </is>
      </c>
      <c r="AA2671">
        <v>1</v>
      </c>
      <c r="AB2671" t="inlineStr">
        <is>
          <t>No Appointment Made</t>
        </is>
      </c>
      <c r="AC2671"/>
      <c r="AD2671" t="inlineStr">
        <is>
          <t xml:space="preserve">1 Indoor sales Supervisor </t>
        </is>
      </c>
      <c r="AE2671"/>
      <c r="AF2671">
        <v>0</v>
      </c>
      <c r="AG2671" s="4"/>
      <c r="AH2671" s="4"/>
      <c r="AI2671">
        <v>0</v>
      </c>
      <c r="AJ2671">
        <v>1</v>
      </c>
      <c r="AK2671" t="inlineStr">
        <is>
          <t>No, I don't need at all</t>
        </is>
      </c>
      <c r="AL2671">
        <v>1</v>
      </c>
      <c r="AM2671" t="inlineStr">
        <is>
          <t>No, I don't need at all</t>
        </is>
      </c>
      <c r="AN2671"/>
      <c r="AO2671" t="inlineStr">
        <is>
          <t>Yes, I have</t>
        </is>
      </c>
      <c r="AP2671" t="inlineStr">
        <is>
          <t>Once a year (25%)</t>
        </is>
      </c>
      <c r="AQ2671">
        <v>1</v>
      </c>
      <c r="AR2671" t="inlineStr">
        <is>
          <t>Did not use any job portal</t>
        </is>
      </c>
      <c r="AS2671" t="inlineStr">
        <is>
          <t>- Headcount: 1
- Hiring Job Details: 1 Indoor sales Supervisor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2671">
        <v>115</v>
      </c>
      <c r="AU2671" t="inlineStr">
        <is>
          <t>1.15</t>
        </is>
      </c>
      <c r="AV2671" t="inlineStr">
        <is>
          <t>15</t>
        </is>
      </c>
      <c r="AW2671" t="inlineStr">
        <is>
          <t>0</t>
        </is>
      </c>
      <c r="AX2671" t="inlineStr">
        <is>
          <t>Not Qualified</t>
        </is>
      </c>
      <c r="AY2671" s="4"/>
      <c r="AZ2671"/>
      <c r="BA2671"/>
      <c r="BB2671"/>
      <c r="BC2671" t="inlineStr">
        <is>
          <t>Replied: not interest</t>
        </is>
      </c>
      <c r="BD2671" s="4">
        <v>46129.59952546296</v>
      </c>
      <c r="BE2671"/>
      <c r="BF2671"/>
      <c r="BG2671" t="inlineStr">
        <is>
          <t>Reschedule</t>
        </is>
      </c>
      <c r="BH2671" t="inlineStr">
        <is>
          <t>Reagen</t>
        </is>
      </c>
      <c r="BI2671"/>
      <c r="BJ2671" s="4">
        <v>46144.75134259259</v>
      </c>
      <c r="BK2671" s="4">
        <v>45103.53329861111</v>
      </c>
      <c r="BL2671" t="inlineStr">
        <is>
          <t>0.0</t>
        </is>
      </c>
      <c r="BM2671" t="inlineStr">
        <is>
          <t>0.0</t>
        </is>
      </c>
      <c r="BN2671" t="inlineStr">
        <is>
          <t>Jobmanager Page : delete</t>
        </is>
      </c>
      <c r="BO2671" s="4">
        <v>45105.482141203705</v>
      </c>
      <c r="BP2671">
        <v>165724</v>
      </c>
      <c r="BQ2671"/>
      <c r="BR2671"/>
      <c r="BS2671"/>
      <c r="BT2671"/>
      <c r="BU2671"/>
      <c r="BV2671">
        <v>2712126</v>
      </c>
      <c r="BW2671" t="inlineStr">
        <is>
          <t>Follow Up : Lost - Free Portal</t>
        </is>
      </c>
      <c r="BX2671"/>
      <c r="BY2671"/>
      <c r="BZ2671" s="4"/>
      <c r="CA2671"/>
      <c r="CB2671"/>
      <c r="CC2671" s="4"/>
      <c r="CD2671" t="inlineStr">
        <is>
          <t>20</t>
        </is>
      </c>
      <c r="CE2671" t="inlineStr">
        <is>
          <t>0</t>
        </is>
      </c>
      <c r="CF2671" t="inlineStr">
        <is>
          <t>Q2-W01</t>
        </is>
      </c>
      <c r="CG2671"/>
      <c r="CH2671"/>
      <c r="CI2671"/>
      <c r="CJ2671" t="inlineStr">
        <is>
          <t>No Paid</t>
        </is>
      </c>
      <c r="CK2671" t="inlineStr">
        <is>
          <t>Not Eligible</t>
        </is>
      </c>
      <c r="CL2671"/>
      <c r="CM2671"/>
    </row>
    <row r="2672" ht="25.5" customHeight="1">
      <c r="A2672" t="inlineStr">
        <is>
          <t>134069</t>
        </is>
      </c>
      <c r="B2672" s="2"/>
      <c r="C2672"/>
      <c r="D2672" s="3">
        <v>46119.665555555555</v>
      </c>
      <c r="E2672" t="inlineStr">
        <is>
          <t>Q2-W01</t>
        </is>
      </c>
      <c r="F2672" t="inlineStr">
        <is>
          <t>Chia Yee</t>
        </is>
      </c>
      <c r="G2672" t="inlineStr">
        <is>
          <t>Customer</t>
        </is>
      </c>
      <c r="H2672" s="2" t="str">
        <f>=HYPERLINK("https://upbox.ajobthing.my/customer/134069", "https://upbox.ajobthing.my/customer/134069")</f>
        <v>https://upbox.ajobthing.my/customer/134069</v>
      </c>
      <c r="I2672" t="inlineStr">
        <is>
          <t>FTA Wealth Management Sdn Bhd</t>
        </is>
      </c>
      <c r="J2672" t="inlineStr">
        <is>
          <t>Small Fish</t>
        </is>
      </c>
      <c r="K2672" t="inlineStr">
        <is>
          <t>Chia Yee</t>
        </is>
      </c>
      <c r="L2672" s="4"/>
      <c r="M2672" s="4">
        <v>46119.6665162037</v>
      </c>
      <c r="N2672"/>
      <c r="O2672">
        <v>8208</v>
      </c>
      <c r="P2672" s="4"/>
      <c r="Q2672" s="4">
        <v>46119.66736111111</v>
      </c>
      <c r="R2672"/>
      <c r="S2672">
        <v>0</v>
      </c>
      <c r="T2672" s="4">
        <v>44236.707650462966</v>
      </c>
      <c r="U2672" s="4"/>
      <c r="V2672"/>
      <c r="W2672">
        <v>199.28</v>
      </c>
      <c r="X2672"/>
      <c r="Y2672" t="inlineStr">
        <is>
          <t>Pending Appointment</t>
        </is>
      </c>
      <c r="Z2672" t="inlineStr">
        <is>
          <t>Continuous Hiring</t>
        </is>
      </c>
      <c r="AA2672">
        <v>3</v>
      </c>
      <c r="AB2672" t="inlineStr">
        <is>
          <t>No Appointment Made</t>
        </is>
      </c>
      <c r="AC2672"/>
      <c r="AD2672" t="inlineStr">
        <is>
          <t>3 Sales Morgate</t>
        </is>
      </c>
      <c r="AE2672"/>
      <c r="AF2672">
        <v>0</v>
      </c>
      <c r="AG2672" s="4"/>
      <c r="AH2672" s="4"/>
      <c r="AI2672">
        <v>0</v>
      </c>
      <c r="AJ2672">
        <v>0</v>
      </c>
      <c r="AK2672" t="inlineStr">
        <is>
          <t>No, I don't need at all</t>
        </is>
      </c>
      <c r="AL2672">
        <v>1</v>
      </c>
      <c r="AM2672" t="inlineStr">
        <is>
          <t>No, I don't need at all</t>
        </is>
      </c>
      <c r="AN2672"/>
      <c r="AO2672" t="inlineStr">
        <is>
          <t>No, I don't need at all</t>
        </is>
      </c>
      <c r="AP2672" t="inlineStr">
        <is>
          <t>Twice a year (50%)</t>
        </is>
      </c>
      <c r="AQ2672">
        <v>3</v>
      </c>
      <c r="AR2672" t="inlineStr">
        <is>
          <t>Did not use any job portal</t>
        </is>
      </c>
      <c r="AS2672" t="inlineStr">
        <is>
          <t>- Headcount: 3
- Hiring Job Details: 3 Sales Morgate
- Hiring Urgency: Continuous Hiring
- Number of outlets: 0
- Have recruiter team: No, I don't need at all
- Number of recruiter in company: 1
- Have ATS system: No, I don't need at all
- Have career website: No, I don't need at all
- Current hiring budget: RM0
- Whole year budget: RM0.00
- Whole year number of vacancies: 3
- Hiring frequency: Twice a year (50%)
- External job portal: Did not use any job portal</t>
        </is>
      </c>
      <c r="AT2672">
        <v>105</v>
      </c>
      <c r="AU2672" t="inlineStr">
        <is>
          <t>1.05</t>
        </is>
      </c>
      <c r="AV2672" t="inlineStr">
        <is>
          <t>15</t>
        </is>
      </c>
      <c r="AW2672" t="inlineStr">
        <is>
          <t>0</t>
        </is>
      </c>
      <c r="AX2672" t="inlineStr">
        <is>
          <t>Not Qualified</t>
        </is>
      </c>
      <c r="AY2672" s="4"/>
      <c r="AZ2672"/>
      <c r="BA2672"/>
      <c r="BB2672"/>
      <c r="BC2672" t="inlineStr">
        <is>
          <t>Called 012 to Samantha, not proceed as budget</t>
        </is>
      </c>
      <c r="BD2672" s="4">
        <v>46134.73048611111</v>
      </c>
      <c r="BE2672" t="inlineStr">
        <is>
          <t>paid</t>
        </is>
      </c>
      <c r="BF2672"/>
      <c r="BG2672" t="inlineStr">
        <is>
          <t>Reschedule</t>
        </is>
      </c>
      <c r="BH2672" t="inlineStr">
        <is>
          <t>Reagen</t>
        </is>
      </c>
      <c r="BI2672" t="inlineStr">
        <is>
          <t>Insurance</t>
        </is>
      </c>
      <c r="BJ2672" s="4">
        <v>46144.75053240741</v>
      </c>
      <c r="BK2672" s="4">
        <v>44232.59699074074</v>
      </c>
      <c r="BL2672" t="inlineStr">
        <is>
          <t>0.0</t>
        </is>
      </c>
      <c r="BM2672" t="inlineStr">
        <is>
          <t>0.0</t>
        </is>
      </c>
      <c r="BN2672" t="inlineStr">
        <is>
          <t>User Visit(Logged In)</t>
        </is>
      </c>
      <c r="BO2672" s="4">
        <v>46119.79326388889</v>
      </c>
      <c r="BP2672">
        <v>165732</v>
      </c>
      <c r="BQ2672">
        <v>120533</v>
      </c>
      <c r="BR2672" t="inlineStr">
        <is>
          <t>Proforma</t>
        </is>
      </c>
      <c r="BS2672" t="inlineStr">
        <is>
          <t>Free Internship Job</t>
        </is>
      </c>
      <c r="BT2672">
        <v>30190</v>
      </c>
      <c r="BU2672"/>
      <c r="BV2672">
        <v>2721900</v>
      </c>
      <c r="BW2672" t="inlineStr">
        <is>
          <t>Follow Up : Budget Concern</t>
        </is>
      </c>
      <c r="BX2672"/>
      <c r="BY2672"/>
      <c r="BZ2672" s="4"/>
      <c r="CA2672"/>
      <c r="CB2672"/>
      <c r="CC2672" s="4"/>
      <c r="CD2672" t="inlineStr">
        <is>
          <t>20</t>
        </is>
      </c>
      <c r="CE2672" t="inlineStr">
        <is>
          <t>0</t>
        </is>
      </c>
      <c r="CF2672" t="inlineStr">
        <is>
          <t>Q2-W01</t>
        </is>
      </c>
      <c r="CG2672" t="inlineStr">
        <is>
          <t>Q2-W01</t>
        </is>
      </c>
      <c r="CH2672"/>
      <c r="CI2672"/>
      <c r="CJ2672" t="inlineStr">
        <is>
          <t>Paid</t>
        </is>
      </c>
      <c r="CK2672" t="inlineStr">
        <is>
          <t>Not Eligible</t>
        </is>
      </c>
      <c r="CL2672"/>
      <c r="CM2672"/>
    </row>
    <row r="2673" ht="25.5" customHeight="1">
      <c r="A2673" t="inlineStr">
        <is>
          <t>50405</t>
        </is>
      </c>
      <c r="B2673" s="2"/>
      <c r="C2673"/>
      <c r="D2673" s="3">
        <v>46119.67224537037</v>
      </c>
      <c r="E2673" t="inlineStr">
        <is>
          <t>Q2-W01</t>
        </is>
      </c>
      <c r="F2673" t="inlineStr">
        <is>
          <t>Dickson</t>
        </is>
      </c>
      <c r="G2673" t="inlineStr">
        <is>
          <t>Customer</t>
        </is>
      </c>
      <c r="H2673" s="2" t="str">
        <f>=HYPERLINK("https://upbox.ajobthing.my/customer/50405", "https://upbox.ajobthing.my/customer/50405")</f>
        <v>https://upbox.ajobthing.my/customer/50405</v>
      </c>
      <c r="I2673" t="inlineStr">
        <is>
          <t>WLS Global Supply Sdn Bhd</t>
        </is>
      </c>
      <c r="J2673" t="inlineStr">
        <is>
          <t>Small Fish</t>
        </is>
      </c>
      <c r="K2673" t="inlineStr">
        <is>
          <t>Dickson</t>
        </is>
      </c>
      <c r="L2673" s="4"/>
      <c r="M2673" s="4">
        <v>46119.67449074074</v>
      </c>
      <c r="N2673"/>
      <c r="O2673">
        <v>5508</v>
      </c>
      <c r="P2673" s="4"/>
      <c r="Q2673" s="4">
        <v>45673.58163194444</v>
      </c>
      <c r="R2673"/>
      <c r="S2673">
        <v>324</v>
      </c>
      <c r="T2673" s="4">
        <v>45673.58163194444</v>
      </c>
      <c r="U2673" s="4"/>
      <c r="V2673"/>
      <c r="W2673">
        <v>324</v>
      </c>
      <c r="X2673"/>
      <c r="Y2673" t="inlineStr">
        <is>
          <t>Pending Appointment</t>
        </is>
      </c>
      <c r="Z2673" t="inlineStr">
        <is>
          <t>Hiring Now</t>
        </is>
      </c>
      <c r="AA2673">
        <v>2</v>
      </c>
      <c r="AB2673" t="inlineStr">
        <is>
          <t>No Appointment Made</t>
        </is>
      </c>
      <c r="AC2673"/>
      <c r="AD2673" t="inlineStr">
        <is>
          <t>hiring more than 4 positions, managerial level and executive</t>
        </is>
      </c>
      <c r="AE2673"/>
      <c r="AF2673"/>
      <c r="AG2673" s="4"/>
      <c r="AH2673" s="4"/>
      <c r="AI2673"/>
      <c r="AJ2673">
        <v>1</v>
      </c>
      <c r="AK2673" t="inlineStr">
        <is>
          <t>No, I don't need at all</t>
        </is>
      </c>
      <c r="AL2673"/>
      <c r="AM2673" t="inlineStr">
        <is>
          <t>No, I don't need at all</t>
        </is>
      </c>
      <c r="AN2673"/>
      <c r="AO2673" t="inlineStr">
        <is>
          <t>No, I don't need at all</t>
        </is>
      </c>
      <c r="AP2673" t="inlineStr">
        <is>
          <t>Once per quarter (75%)</t>
        </is>
      </c>
      <c r="AQ2673"/>
      <c r="AR2673" t="inlineStr">
        <is>
          <t>Jobstreet</t>
        </is>
      </c>
      <c r="AS2673" t="inlineStr">
        <is>
          <t>- Headcount: 2
- Hiring Job Details: more than 4 positions, managerial level and executive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2673">
        <v>55</v>
      </c>
      <c r="AU2673" t="inlineStr">
        <is>
          <t>0.55</t>
        </is>
      </c>
      <c r="AV2673" t="inlineStr">
        <is>
          <t>5</t>
        </is>
      </c>
      <c r="AW2673" t="inlineStr">
        <is>
          <t>0</t>
        </is>
      </c>
      <c r="AX2673" t="inlineStr">
        <is>
          <t>Not Qualified</t>
        </is>
      </c>
      <c r="AY2673" s="4"/>
      <c r="AZ2673"/>
      <c r="BA2673"/>
      <c r="BB2673"/>
      <c r="BC2673" t="inlineStr">
        <is>
          <t>signed up with JS</t>
        </is>
      </c>
      <c r="BD2673" s="4">
        <v>46128.565300925926</v>
      </c>
      <c r="BE2673" t="inlineStr">
        <is>
          <t>paid</t>
        </is>
      </c>
      <c r="BF2673"/>
      <c r="BG2673" t="inlineStr">
        <is>
          <t>Reschedule</t>
        </is>
      </c>
      <c r="BH2673" t="inlineStr">
        <is>
          <t>Edward Hoo</t>
        </is>
      </c>
      <c r="BI2673" t="inlineStr">
        <is>
          <t>Advertising / Marketing</t>
        </is>
      </c>
      <c r="BJ2673" s="4">
        <v>46144.756064814814</v>
      </c>
      <c r="BK2673" s="4">
        <v>43293.69195601852</v>
      </c>
      <c r="BL2673" t="inlineStr">
        <is>
          <t>0.0</t>
        </is>
      </c>
      <c r="BM2673" t="inlineStr">
        <is>
          <t>0.0</t>
        </is>
      </c>
      <c r="BN2673" t="inlineStr">
        <is>
          <t>View Candidate Search Page</t>
        </is>
      </c>
      <c r="BO2673" s="4">
        <v>45826.718680555554</v>
      </c>
      <c r="BP2673">
        <v>165736</v>
      </c>
      <c r="BQ2673">
        <v>76175</v>
      </c>
      <c r="BR2673" t="inlineStr">
        <is>
          <t>Online</t>
        </is>
      </c>
      <c r="BS2673"/>
      <c r="BT2673">
        <v>76175</v>
      </c>
      <c r="BU2673"/>
      <c r="BV2673">
        <v>2709124</v>
      </c>
      <c r="BW2673" t="inlineStr">
        <is>
          <t>Follow Up : Lost - Paid Portal</t>
        </is>
      </c>
      <c r="BX2673"/>
      <c r="BY2673"/>
      <c r="BZ2673" s="4"/>
      <c r="CA2673"/>
      <c r="CB2673"/>
      <c r="CC2673" s="4"/>
      <c r="CD2673" t="inlineStr">
        <is>
          <t>5</t>
        </is>
      </c>
      <c r="CE2673" t="inlineStr">
        <is>
          <t>0</t>
        </is>
      </c>
      <c r="CF2673" t="inlineStr">
        <is>
          <t>Q2-W01</t>
        </is>
      </c>
      <c r="CG2673"/>
      <c r="CH2673"/>
      <c r="CI2673"/>
      <c r="CJ2673" t="inlineStr">
        <is>
          <t>Paid</t>
        </is>
      </c>
      <c r="CK2673" t="inlineStr">
        <is>
          <t>Not Eligible</t>
        </is>
      </c>
      <c r="CL2673"/>
      <c r="CM2673"/>
    </row>
    <row r="2674" ht="25.5" customHeight="1">
      <c r="A2674" t="inlineStr">
        <is>
          <t>202949</t>
        </is>
      </c>
      <c r="B2674" s="2"/>
      <c r="C2674"/>
      <c r="D2674" s="3">
        <v>46119.679606481484</v>
      </c>
      <c r="E2674" t="inlineStr">
        <is>
          <t>Q2-W01</t>
        </is>
      </c>
      <c r="F2674" t="inlineStr">
        <is>
          <t>Jia Hui</t>
        </is>
      </c>
      <c r="G2674" t="inlineStr">
        <is>
          <t>Customer</t>
        </is>
      </c>
      <c r="H2674" s="2" t="str">
        <f>=HYPERLINK("https://upbox.ajobthing.my/customer/202949", "https://upbox.ajobthing.my/customer/202949")</f>
        <v>https://upbox.ajobthing.my/customer/202949</v>
      </c>
      <c r="I2674" t="inlineStr">
        <is>
          <t>Westmac Solutions Sdn Bhd</t>
        </is>
      </c>
      <c r="J2674" t="inlineStr">
        <is>
          <t>Small Fish</t>
        </is>
      </c>
      <c r="K2674" t="inlineStr">
        <is>
          <t>Jia Hui</t>
        </is>
      </c>
      <c r="L2674" s="4"/>
      <c r="M2674" s="4">
        <v>46119.67984953704</v>
      </c>
      <c r="N2674"/>
      <c r="O2674">
        <v>3888</v>
      </c>
      <c r="P2674" s="4"/>
      <c r="Q2674" s="4"/>
      <c r="R2674"/>
      <c r="S2674"/>
      <c r="T2674" s="4"/>
      <c r="U2674" s="4"/>
      <c r="V2674"/>
      <c r="W2674"/>
      <c r="X2674"/>
      <c r="Y2674" t="inlineStr">
        <is>
          <t>Pending Appointment</t>
        </is>
      </c>
      <c r="Z2674" t="inlineStr">
        <is>
          <t>Hiring Now</t>
        </is>
      </c>
      <c r="AA2674">
        <v>1</v>
      </c>
      <c r="AB2674" t="inlineStr">
        <is>
          <t>No Appointment Made</t>
        </is>
      </c>
      <c r="AC2674"/>
      <c r="AD2674" t="inlineStr">
        <is>
          <t>1 account</t>
        </is>
      </c>
      <c r="AE2674"/>
      <c r="AF2674">
        <v>500</v>
      </c>
      <c r="AG2674" s="4"/>
      <c r="AH2674" s="4"/>
      <c r="AI2674"/>
      <c r="AJ2674"/>
      <c r="AK2674" t="inlineStr">
        <is>
          <t>Yes, I have</t>
        </is>
      </c>
      <c r="AL2674"/>
      <c r="AM2674"/>
      <c r="AN2674"/>
      <c r="AO2674"/>
      <c r="AP2674" t="inlineStr">
        <is>
          <t>Once a year (25%)</t>
        </is>
      </c>
      <c r="AQ2674"/>
      <c r="AR2674"/>
      <c r="AS2674" t="inlineStr">
        <is>
          <t>- Headcount: 1
- Hiring Job Details: 1 account
- Number of outlets: Unspecified
- Have recruiter team: Yes
- Number of recruiter in company: Unspecified
- Have ATS system: Unspecified
- Have career website: Unspecified
- Current hiring budget: RM500.00
- Whole year budget: Unspecified
- Whole year number of vacancies: Unspecified
- Hiring frequency: Once a year (25%)
- External job portal: Unspecified
- Hiring Urgency: Hiring Now</t>
        </is>
      </c>
      <c r="AT2674">
        <v>35</v>
      </c>
      <c r="AU2674" t="inlineStr">
        <is>
          <t>0.35</t>
        </is>
      </c>
      <c r="AV2674" t="inlineStr">
        <is>
          <t>15</t>
        </is>
      </c>
      <c r="AW2674" t="inlineStr">
        <is>
          <t>0</t>
        </is>
      </c>
      <c r="AX2674" t="inlineStr">
        <is>
          <t>Not Qualified</t>
        </is>
      </c>
      <c r="AY2674" s="4"/>
      <c r="AZ2674"/>
      <c r="BA2674"/>
      <c r="BB2674"/>
      <c r="BC2674" t="inlineStr">
        <is>
          <t>out of budget, on hold</t>
        </is>
      </c>
      <c r="BD2674" s="4">
        <v>46121.48574074074</v>
      </c>
      <c r="BE2674"/>
      <c r="BF2674"/>
      <c r="BG2674" t="inlineStr">
        <is>
          <t>Reschedule</t>
        </is>
      </c>
      <c r="BH2674" t="inlineStr">
        <is>
          <t>Reagen</t>
        </is>
      </c>
      <c r="BI2674"/>
      <c r="BJ2674" s="4">
        <v>46144.754166666666</v>
      </c>
      <c r="BK2674" s="4">
        <v>46119.66607638889</v>
      </c>
      <c r="BL2674" t="inlineStr">
        <is>
          <t>0.0</t>
        </is>
      </c>
      <c r="BM2674" t="inlineStr">
        <is>
          <t>0.0</t>
        </is>
      </c>
      <c r="BN2674" t="inlineStr">
        <is>
          <t>View Create Job Page V4</t>
        </is>
      </c>
      <c r="BO2674" s="4">
        <v>46119.67277777778</v>
      </c>
      <c r="BP2674">
        <v>165739</v>
      </c>
      <c r="BQ2674"/>
      <c r="BR2674"/>
      <c r="BS2674"/>
      <c r="BT2674"/>
      <c r="BU2674"/>
      <c r="BV2674">
        <v>2695063</v>
      </c>
      <c r="BW2674" t="inlineStr">
        <is>
          <t>Follow Up : Budget Concern</t>
        </is>
      </c>
      <c r="BX2674"/>
      <c r="BY2674"/>
      <c r="BZ2674" s="4"/>
      <c r="CA2674"/>
      <c r="CB2674"/>
      <c r="CC2674" s="4"/>
      <c r="CD2674" t="inlineStr">
        <is>
          <t>20</t>
        </is>
      </c>
      <c r="CE2674" t="inlineStr">
        <is>
          <t>0</t>
        </is>
      </c>
      <c r="CF2674" t="inlineStr">
        <is>
          <t>Q2-W01</t>
        </is>
      </c>
      <c r="CG2674"/>
      <c r="CH2674"/>
      <c r="CI2674"/>
      <c r="CJ2674" t="inlineStr">
        <is>
          <t>No Paid</t>
        </is>
      </c>
      <c r="CK2674" t="inlineStr">
        <is>
          <t>Not Eligible</t>
        </is>
      </c>
      <c r="CL2674"/>
      <c r="CM2674"/>
    </row>
    <row r="2675" ht="25.5" customHeight="1">
      <c r="A2675" t="inlineStr">
        <is>
          <t>177787</t>
        </is>
      </c>
      <c r="B2675" s="2"/>
      <c r="C2675"/>
      <c r="D2675" s="3">
        <v>46119.68082175926</v>
      </c>
      <c r="E2675" t="inlineStr">
        <is>
          <t>Q2-W01</t>
        </is>
      </c>
      <c r="F2675" t="inlineStr">
        <is>
          <t>Carmen</t>
        </is>
      </c>
      <c r="G2675" t="inlineStr">
        <is>
          <t>Customer</t>
        </is>
      </c>
      <c r="H2675" s="2" t="str">
        <f>=HYPERLINK("https://upbox.ajobthing.my/customer/177787", "https://upbox.ajobthing.my/customer/177787")</f>
        <v>https://upbox.ajobthing.my/customer/177787</v>
      </c>
      <c r="I2675" t="inlineStr">
        <is>
          <t>AK Home Furnishings Sdn Bhd</t>
        </is>
      </c>
      <c r="J2675" t="inlineStr">
        <is>
          <t>Small Fish</t>
        </is>
      </c>
      <c r="K2675" t="inlineStr">
        <is>
          <t>Carmen</t>
        </is>
      </c>
      <c r="L2675" s="4"/>
      <c r="M2675" s="4">
        <v>46120.41967592593</v>
      </c>
      <c r="N2675"/>
      <c r="O2675">
        <v>3888</v>
      </c>
      <c r="P2675" s="4"/>
      <c r="Q2675" s="4">
        <v>45555.830104166664</v>
      </c>
      <c r="R2675"/>
      <c r="S2675">
        <v>972</v>
      </c>
      <c r="T2675" s="4">
        <v>45555.830104166664</v>
      </c>
      <c r="U2675" s="4"/>
      <c r="V2675"/>
      <c r="W2675">
        <v>972</v>
      </c>
      <c r="X2675"/>
      <c r="Y2675" t="inlineStr">
        <is>
          <t>Pending Appointment</t>
        </is>
      </c>
      <c r="Z2675" t="inlineStr">
        <is>
          <t>Hiring Now</t>
        </is>
      </c>
      <c r="AA2675">
        <v>1</v>
      </c>
      <c r="AB2675" t="inlineStr">
        <is>
          <t>No Appointment Made</t>
        </is>
      </c>
      <c r="AC2675"/>
      <c r="AD2675" t="inlineStr">
        <is>
          <t>1 interior design</t>
        </is>
      </c>
      <c r="AE2675"/>
      <c r="AF2675">
        <v>0</v>
      </c>
      <c r="AG2675" s="4"/>
      <c r="AH2675" s="4"/>
      <c r="AI2675"/>
      <c r="AJ2675"/>
      <c r="AK2675"/>
      <c r="AL2675"/>
      <c r="AM2675"/>
      <c r="AN2675"/>
      <c r="AO2675"/>
      <c r="AP2675" t="inlineStr">
        <is>
          <t>Once a year (25%)</t>
        </is>
      </c>
      <c r="AQ2675"/>
      <c r="AR2675"/>
      <c r="AS2675" t="inlineStr">
        <is>
          <t>- Headcount: 1
- Hiring Job Details: 1 interior design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2675">
        <v>75</v>
      </c>
      <c r="AU2675" t="inlineStr">
        <is>
          <t>0.75</t>
        </is>
      </c>
      <c r="AV2675" t="inlineStr">
        <is>
          <t>15</t>
        </is>
      </c>
      <c r="AW2675" t="inlineStr">
        <is>
          <t>0</t>
        </is>
      </c>
      <c r="AX2675" t="inlineStr">
        <is>
          <t>Not Qualified</t>
        </is>
      </c>
      <c r="AY2675" s="4"/>
      <c r="AZ2675"/>
      <c r="BA2675"/>
      <c r="BB2675"/>
      <c r="BC2675" t="inlineStr">
        <is>
          <t>decided to use social media</t>
        </is>
      </c>
      <c r="BD2675" s="4">
        <v>46135.755277777775</v>
      </c>
      <c r="BE2675" t="inlineStr">
        <is>
          <t>paid</t>
        </is>
      </c>
      <c r="BF2675"/>
      <c r="BG2675" t="inlineStr">
        <is>
          <t>Reschedule</t>
        </is>
      </c>
      <c r="BH2675" t="inlineStr">
        <is>
          <t>Reagen</t>
        </is>
      </c>
      <c r="BI2675" t="inlineStr">
        <is>
          <t>Retail / Merchandise</t>
        </is>
      </c>
      <c r="BJ2675" s="4">
        <v>46144.75171296296</v>
      </c>
      <c r="BK2675" s="4">
        <v>45409.55488425926</v>
      </c>
      <c r="BL2675" t="inlineStr">
        <is>
          <t>0.0</t>
        </is>
      </c>
      <c r="BM2675" t="inlineStr">
        <is>
          <t>0.0</t>
        </is>
      </c>
      <c r="BN2675" t="inlineStr">
        <is>
          <t>View Account User</t>
        </is>
      </c>
      <c r="BO2675" s="4">
        <v>45937.76503472222</v>
      </c>
      <c r="BP2675">
        <v>165821</v>
      </c>
      <c r="BQ2675">
        <v>73172</v>
      </c>
      <c r="BR2675" t="inlineStr">
        <is>
          <t>Online</t>
        </is>
      </c>
      <c r="BS2675"/>
      <c r="BT2675">
        <v>73172</v>
      </c>
      <c r="BU2675"/>
      <c r="BV2675">
        <v>2725210</v>
      </c>
      <c r="BW2675" t="inlineStr">
        <is>
          <t>Follow Up : Lost - Free Portal</t>
        </is>
      </c>
      <c r="BX2675"/>
      <c r="BY2675"/>
      <c r="BZ2675" s="4"/>
      <c r="CA2675"/>
      <c r="CB2675"/>
      <c r="CC2675" s="4"/>
      <c r="CD2675" t="inlineStr">
        <is>
          <t>20</t>
        </is>
      </c>
      <c r="CE2675" t="inlineStr">
        <is>
          <t>0</t>
        </is>
      </c>
      <c r="CF2675" t="inlineStr">
        <is>
          <t>Q2-W01</t>
        </is>
      </c>
      <c r="CG2675"/>
      <c r="CH2675"/>
      <c r="CI2675"/>
      <c r="CJ2675" t="inlineStr">
        <is>
          <t>Paid</t>
        </is>
      </c>
      <c r="CK2675" t="inlineStr">
        <is>
          <t>Not Eligible</t>
        </is>
      </c>
      <c r="CL2675"/>
      <c r="CM2675"/>
    </row>
    <row r="2676" ht="25.5" customHeight="1">
      <c r="A2676" t="inlineStr">
        <is>
          <t>122223</t>
        </is>
      </c>
      <c r="B2676" s="2"/>
      <c r="C2676"/>
      <c r="D2676" s="3">
        <v>46119.68130787037</v>
      </c>
      <c r="E2676" t="inlineStr">
        <is>
          <t>Q2-W01</t>
        </is>
      </c>
      <c r="F2676" t="inlineStr">
        <is>
          <t>Janice Yap</t>
        </is>
      </c>
      <c r="G2676" t="inlineStr">
        <is>
          <t>Customer</t>
        </is>
      </c>
      <c r="H2676" s="2" t="str">
        <f>=HYPERLINK("https://upbox.ajobthing.my/customer/122223", "https://upbox.ajobthing.my/customer/122223")</f>
        <v>https://upbox.ajobthing.my/customer/122223</v>
      </c>
      <c r="I2676" t="inlineStr">
        <is>
          <t>Tadika Junior Kreatif Ria</t>
        </is>
      </c>
      <c r="J2676" t="inlineStr">
        <is>
          <t>Small Fish</t>
        </is>
      </c>
      <c r="K2676" t="inlineStr">
        <is>
          <t>Janice</t>
        </is>
      </c>
      <c r="L2676" s="4"/>
      <c r="M2676" s="4">
        <v>46119.678622685184</v>
      </c>
      <c r="N2676"/>
      <c r="O2676">
        <v>3888</v>
      </c>
      <c r="P2676" s="4"/>
      <c r="Q2676" s="4"/>
      <c r="R2676"/>
      <c r="S2676"/>
      <c r="T2676" s="4"/>
      <c r="U2676" s="4"/>
      <c r="V2676"/>
      <c r="W2676"/>
      <c r="X2676"/>
      <c r="Y2676" t="inlineStr">
        <is>
          <t>Pending Appointment</t>
        </is>
      </c>
      <c r="Z2676" t="inlineStr">
        <is>
          <t>Hiring Now</t>
        </is>
      </c>
      <c r="AA2676">
        <v>1</v>
      </c>
      <c r="AB2676" t="inlineStr">
        <is>
          <t>No Appointment Made</t>
        </is>
      </c>
      <c r="AC2676"/>
      <c r="AD2676" t="inlineStr">
        <is>
          <t>1 teacher</t>
        </is>
      </c>
      <c r="AE2676"/>
      <c r="AF2676">
        <v>0</v>
      </c>
      <c r="AG2676" s="4"/>
      <c r="AH2676" s="4"/>
      <c r="AI2676">
        <v>0</v>
      </c>
      <c r="AJ2676"/>
      <c r="AK2676" t="inlineStr">
        <is>
          <t>No, I don't need at all</t>
        </is>
      </c>
      <c r="AL2676">
        <v>0</v>
      </c>
      <c r="AM2676" t="inlineStr">
        <is>
          <t>No, I don't need at all</t>
        </is>
      </c>
      <c r="AN2676"/>
      <c r="AO2676" t="inlineStr">
        <is>
          <t>No, I don't need at all</t>
        </is>
      </c>
      <c r="AP2676" t="inlineStr">
        <is>
          <t>Once a year (25%)</t>
        </is>
      </c>
      <c r="AQ2676">
        <v>1</v>
      </c>
      <c r="AR2676" t="inlineStr">
        <is>
          <t>Free Job Portal</t>
        </is>
      </c>
      <c r="AS2676" t="inlineStr">
        <is>
          <t>- Headcount: 1
- Hiring Job Details: 1 teacher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2676">
        <v>110</v>
      </c>
      <c r="AU2676" t="inlineStr">
        <is>
          <t>1.10</t>
        </is>
      </c>
      <c r="AV2676" t="inlineStr">
        <is>
          <t>15</t>
        </is>
      </c>
      <c r="AW2676" t="inlineStr">
        <is>
          <t>0</t>
        </is>
      </c>
      <c r="AX2676" t="inlineStr">
        <is>
          <t>Not Qualified</t>
        </is>
      </c>
      <c r="AY2676" s="4"/>
      <c r="AZ2676"/>
      <c r="BA2676"/>
      <c r="BB2676"/>
      <c r="BC2676" t="inlineStr">
        <is>
          <t>Got candidate ady // walk in</t>
        </is>
      </c>
      <c r="BD2676" s="4">
        <v>46121.44287037037</v>
      </c>
      <c r="BE2676"/>
      <c r="BF2676"/>
      <c r="BG2676" t="inlineStr">
        <is>
          <t>Reschedule</t>
        </is>
      </c>
      <c r="BH2676" t="inlineStr">
        <is>
          <t>Yee Hang</t>
        </is>
      </c>
      <c r="BI2676"/>
      <c r="BJ2676" s="4">
        <v>46144.750289351854</v>
      </c>
      <c r="BK2676" s="4">
        <v>43746.22644675926</v>
      </c>
      <c r="BL2676" t="inlineStr">
        <is>
          <t>0.0</t>
        </is>
      </c>
      <c r="BM2676" t="inlineStr">
        <is>
          <t>0.0</t>
        </is>
      </c>
      <c r="BN2676" t="inlineStr">
        <is>
          <t>View Company Page</t>
        </is>
      </c>
      <c r="BO2676" s="4">
        <v>43746.22659722222</v>
      </c>
      <c r="BP2676">
        <v>165737</v>
      </c>
      <c r="BQ2676"/>
      <c r="BR2676"/>
      <c r="BS2676"/>
      <c r="BT2676"/>
      <c r="BU2676"/>
      <c r="BV2676">
        <v>2694727</v>
      </c>
      <c r="BW2676" t="inlineStr">
        <is>
          <t>Follow Up : Lost - Free Portal</t>
        </is>
      </c>
      <c r="BX2676"/>
      <c r="BY2676"/>
      <c r="BZ2676" s="4"/>
      <c r="CA2676"/>
      <c r="CB2676"/>
      <c r="CC2676" s="4"/>
      <c r="CD2676" t="inlineStr">
        <is>
          <t>20</t>
        </is>
      </c>
      <c r="CE2676" t="inlineStr">
        <is>
          <t>0</t>
        </is>
      </c>
      <c r="CF2676" t="inlineStr">
        <is>
          <t>Q2-W01</t>
        </is>
      </c>
      <c r="CG2676"/>
      <c r="CH2676"/>
      <c r="CI2676"/>
      <c r="CJ2676" t="inlineStr">
        <is>
          <t>No Paid</t>
        </is>
      </c>
      <c r="CK2676" t="inlineStr">
        <is>
          <t>Not Eligible</t>
        </is>
      </c>
      <c r="CL2676"/>
      <c r="CM2676"/>
    </row>
    <row r="2677" ht="25.5" customHeight="1">
      <c r="A2677" t="inlineStr">
        <is>
          <t>4256612</t>
        </is>
      </c>
      <c r="B2677" s="2"/>
      <c r="C2677"/>
      <c r="D2677" s="3">
        <v>46119.682592592595</v>
      </c>
      <c r="E2677" t="inlineStr">
        <is>
          <t>Q2-W01</t>
        </is>
      </c>
      <c r="F2677" t="inlineStr">
        <is>
          <t>Keegan</t>
        </is>
      </c>
      <c r="G2677" t="inlineStr">
        <is>
          <t>Lead</t>
        </is>
      </c>
      <c r="H2677" s="2" t="str">
        <f>=HYPERLINK("https://upbox.ajobthing.my/leads/4256612", "https://upbox.ajobthing.my/leads/4256612")</f>
        <v>https://upbox.ajobthing.my/leads/4256612</v>
      </c>
      <c r="I2677" t="inlineStr">
        <is>
          <t>Cuddles Veterinary Hospital</t>
        </is>
      </c>
      <c r="J2677" t="inlineStr">
        <is>
          <t>Small Fish</t>
        </is>
      </c>
      <c r="K2677" t="inlineStr">
        <is>
          <t>Keegan</t>
        </is>
      </c>
      <c r="L2677" s="4"/>
      <c r="M2677" s="4">
        <v>46119.68332175926</v>
      </c>
      <c r="N2677"/>
      <c r="O2677">
        <v>3672</v>
      </c>
      <c r="P2677" s="4"/>
      <c r="Q2677" s="4"/>
      <c r="R2677"/>
      <c r="S2677"/>
      <c r="T2677" s="4"/>
      <c r="U2677" s="4"/>
      <c r="V2677"/>
      <c r="W2677"/>
      <c r="X2677"/>
      <c r="Y2677" t="inlineStr">
        <is>
          <t>Pending Appointment</t>
        </is>
      </c>
      <c r="Z2677" t="inlineStr">
        <is>
          <t>Hiring Now</t>
        </is>
      </c>
      <c r="AA2677">
        <v>2</v>
      </c>
      <c r="AB2677" t="inlineStr">
        <is>
          <t>No Appointment Made</t>
        </is>
      </c>
      <c r="AC2677"/>
      <c r="AD2677" t="inlineStr">
        <is>
          <t xml:space="preserve">1. Vet Assistant 
2. Receptionist </t>
        </is>
      </c>
      <c r="AE2677"/>
      <c r="AF2677"/>
      <c r="AG2677" s="4"/>
      <c r="AH2677" s="4"/>
      <c r="AI2677"/>
      <c r="AJ2677">
        <v>1</v>
      </c>
      <c r="AK2677" t="inlineStr">
        <is>
          <t>No, I don't need at all</t>
        </is>
      </c>
      <c r="AL2677">
        <v>0</v>
      </c>
      <c r="AM2677" t="inlineStr">
        <is>
          <t>No, I don't need at all</t>
        </is>
      </c>
      <c r="AN2677"/>
      <c r="AO2677" t="inlineStr">
        <is>
          <t>No, I don't need at all</t>
        </is>
      </c>
      <c r="AP2677" t="inlineStr">
        <is>
          <t>Once per quarter (75%)</t>
        </is>
      </c>
      <c r="AQ2677"/>
      <c r="AR2677" t="inlineStr">
        <is>
          <t>Jobstreet</t>
        </is>
      </c>
      <c r="AS2677" t="inlineStr">
        <is>
          <t>- Headcount: 2
- Hiring Job Details: 1. Vet Assistant 2. Receptionist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Jobstreet</t>
        </is>
      </c>
      <c r="AT2677">
        <v>75</v>
      </c>
      <c r="AU2677" t="inlineStr">
        <is>
          <t>0.75</t>
        </is>
      </c>
      <c r="AV2677" t="inlineStr">
        <is>
          <t>5</t>
        </is>
      </c>
      <c r="AW2677" t="inlineStr">
        <is>
          <t>0</t>
        </is>
      </c>
      <c r="AX2677" t="inlineStr">
        <is>
          <t>Not Qualified</t>
        </is>
      </c>
      <c r="AY2677" s="4"/>
      <c r="AZ2677"/>
      <c r="BA2677"/>
      <c r="BB2677"/>
      <c r="BC2677"/>
      <c r="BD2677" s="4"/>
      <c r="BE2677"/>
      <c r="BF2677"/>
      <c r="BG2677" t="inlineStr">
        <is>
          <t>Reschedule</t>
        </is>
      </c>
      <c r="BH2677" t="inlineStr">
        <is>
          <t>Edward Hoo</t>
        </is>
      </c>
      <c r="BI2677"/>
      <c r="BJ2677" s="4">
        <v>46144.755740740744</v>
      </c>
      <c r="BK2677" s="4">
        <v>46119.66159722222</v>
      </c>
      <c r="BL2677" t="inlineStr">
        <is>
          <t>0.0</t>
        </is>
      </c>
      <c r="BM2677" t="inlineStr">
        <is>
          <t>0.0</t>
        </is>
      </c>
      <c r="BN2677"/>
      <c r="BO2677" s="4"/>
      <c r="BP2677">
        <v>165742</v>
      </c>
      <c r="BQ2677"/>
      <c r="BR2677"/>
      <c r="BS2677"/>
      <c r="BT2677"/>
      <c r="BU2677"/>
      <c r="BV2677"/>
      <c r="BW2677"/>
      <c r="BX2677"/>
      <c r="BY2677"/>
      <c r="BZ2677" s="4"/>
      <c r="CA2677"/>
      <c r="CB2677"/>
      <c r="CC2677" s="4"/>
      <c r="CD2677" t="inlineStr">
        <is>
          <t>5</t>
        </is>
      </c>
      <c r="CE2677" t="inlineStr">
        <is>
          <t>0</t>
        </is>
      </c>
      <c r="CF2677" t="inlineStr">
        <is>
          <t>Q2-W01</t>
        </is>
      </c>
      <c r="CG2677"/>
      <c r="CH2677"/>
      <c r="CI2677"/>
      <c r="CJ2677" t="inlineStr">
        <is>
          <t>No Paid</t>
        </is>
      </c>
      <c r="CK2677" t="inlineStr">
        <is>
          <t>Not Eligible</t>
        </is>
      </c>
      <c r="CL2677"/>
      <c r="CM2677"/>
    </row>
    <row r="2678" ht="25.5" customHeight="1">
      <c r="A2678" t="inlineStr">
        <is>
          <t>202921</t>
        </is>
      </c>
      <c r="B2678" s="2"/>
      <c r="C2678"/>
      <c r="D2678" s="3">
        <v>46119.68306712963</v>
      </c>
      <c r="E2678" t="inlineStr">
        <is>
          <t>Q2-W01</t>
        </is>
      </c>
      <c r="F2678" t="inlineStr">
        <is>
          <t>Carmen</t>
        </is>
      </c>
      <c r="G2678" t="inlineStr">
        <is>
          <t>Customer</t>
        </is>
      </c>
      <c r="H2678" s="2" t="str">
        <f>=HYPERLINK("https://upbox.ajobthing.my/customer/202921", "https://upbox.ajobthing.my/customer/202921")</f>
        <v>https://upbox.ajobthing.my/customer/202921</v>
      </c>
      <c r="I2678" t="inlineStr">
        <is>
          <t>PENINSULA BORNEO SHIPPING SDN BHD</t>
        </is>
      </c>
      <c r="J2678" t="inlineStr">
        <is>
          <t>Small Fish</t>
        </is>
      </c>
      <c r="K2678" t="inlineStr">
        <is>
          <t>Carmen</t>
        </is>
      </c>
      <c r="L2678" s="4"/>
      <c r="M2678" s="4">
        <v>46119.1309837963</v>
      </c>
      <c r="N2678"/>
      <c r="O2678">
        <v>3672</v>
      </c>
      <c r="P2678" s="4"/>
      <c r="Q2678" s="4"/>
      <c r="R2678"/>
      <c r="S2678"/>
      <c r="T2678" s="4"/>
      <c r="U2678" s="4"/>
      <c r="V2678"/>
      <c r="W2678"/>
      <c r="X2678"/>
      <c r="Y2678" t="inlineStr">
        <is>
          <t>Pending Appointment</t>
        </is>
      </c>
      <c r="Z2678" t="inlineStr">
        <is>
          <t>Hiring Now</t>
        </is>
      </c>
      <c r="AA2678">
        <v>2</v>
      </c>
      <c r="AB2678" t="inlineStr">
        <is>
          <t>No Appointment Made</t>
        </is>
      </c>
      <c r="AC2678"/>
      <c r="AD2678" t="inlineStr">
        <is>
          <t>2 account executive</t>
        </is>
      </c>
      <c r="AE2678"/>
      <c r="AF2678">
        <v>0</v>
      </c>
      <c r="AG2678" s="4"/>
      <c r="AH2678" s="4"/>
      <c r="AI2678"/>
      <c r="AJ2678"/>
      <c r="AK2678" t="inlineStr">
        <is>
          <t>No, I don't need at all</t>
        </is>
      </c>
      <c r="AL2678"/>
      <c r="AM2678"/>
      <c r="AN2678"/>
      <c r="AO2678"/>
      <c r="AP2678" t="inlineStr">
        <is>
          <t>Once a year (25%)</t>
        </is>
      </c>
      <c r="AQ2678"/>
      <c r="AR2678"/>
      <c r="AS2678" t="inlineStr">
        <is>
          <t>- Headcount: 2
- Hiring Job Details: 2 account executive
- Hiring Urgency: Hiring Now
- Number of outlets: Not provided
- Have recruiter team: No, I don't need at all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678">
        <v>75</v>
      </c>
      <c r="AU2678" t="inlineStr">
        <is>
          <t>0.75</t>
        </is>
      </c>
      <c r="AV2678" t="inlineStr">
        <is>
          <t>15</t>
        </is>
      </c>
      <c r="AW2678" t="inlineStr">
        <is>
          <t>0</t>
        </is>
      </c>
      <c r="AX2678" t="inlineStr">
        <is>
          <t>Not Qualified</t>
        </is>
      </c>
      <c r="AY2678" s="4"/>
      <c r="AZ2678"/>
      <c r="BA2678"/>
      <c r="BB2678"/>
      <c r="BC2678" t="inlineStr">
        <is>
          <t>another company mac bought https://upbox.ajobthing.my/customer/202940</t>
        </is>
      </c>
      <c r="BD2678" s="4">
        <v>46129.74905092592</v>
      </c>
      <c r="BE2678"/>
      <c r="BF2678"/>
      <c r="BG2678" t="inlineStr">
        <is>
          <t>Reschedule</t>
        </is>
      </c>
      <c r="BH2678" t="inlineStr">
        <is>
          <t>Reagen</t>
        </is>
      </c>
      <c r="BI2678"/>
      <c r="BJ2678" s="4">
        <v>46144.754166666666</v>
      </c>
      <c r="BK2678" s="4">
        <v>46119.46428240741</v>
      </c>
      <c r="BL2678" t="inlineStr">
        <is>
          <t>0.0</t>
        </is>
      </c>
      <c r="BM2678" t="inlineStr">
        <is>
          <t>0.0</t>
        </is>
      </c>
      <c r="BN2678"/>
      <c r="BO2678" s="4"/>
      <c r="BP2678">
        <v>165593</v>
      </c>
      <c r="BQ2678"/>
      <c r="BR2678"/>
      <c r="BS2678"/>
      <c r="BT2678"/>
      <c r="BU2678"/>
      <c r="BV2678">
        <v>2713869</v>
      </c>
      <c r="BW2678" t="inlineStr">
        <is>
          <t>Customer Inquiry</t>
        </is>
      </c>
      <c r="BX2678"/>
      <c r="BY2678"/>
      <c r="BZ2678" s="4"/>
      <c r="CA2678"/>
      <c r="CB2678"/>
      <c r="CC2678" s="4"/>
      <c r="CD2678" t="inlineStr">
        <is>
          <t>20</t>
        </is>
      </c>
      <c r="CE2678" t="inlineStr">
        <is>
          <t>0</t>
        </is>
      </c>
      <c r="CF2678" t="inlineStr">
        <is>
          <t>Q2-W01</t>
        </is>
      </c>
      <c r="CG2678"/>
      <c r="CH2678"/>
      <c r="CI2678"/>
      <c r="CJ2678" t="inlineStr">
        <is>
          <t>No Paid</t>
        </is>
      </c>
      <c r="CK2678" t="inlineStr">
        <is>
          <t>Not Eligible</t>
        </is>
      </c>
      <c r="CL2678"/>
      <c r="CM2678"/>
    </row>
    <row r="2679" ht="25.5" customHeight="1">
      <c r="A2679" t="inlineStr">
        <is>
          <t>202869</t>
        </is>
      </c>
      <c r="B2679" s="2"/>
      <c r="C2679"/>
      <c r="D2679" s="3">
        <v>46119.686261574076</v>
      </c>
      <c r="E2679" t="inlineStr">
        <is>
          <t>Q2-W01</t>
        </is>
      </c>
      <c r="F2679" t="inlineStr">
        <is>
          <t>Clover</t>
        </is>
      </c>
      <c r="G2679" t="inlineStr">
        <is>
          <t>Customer</t>
        </is>
      </c>
      <c r="H2679" s="2" t="str">
        <f>=HYPERLINK("https://upbox.ajobthing.my/customer/202869", "https://upbox.ajobthing.my/customer/202869")</f>
        <v>https://upbox.ajobthing.my/customer/202869</v>
      </c>
      <c r="I2679" t="inlineStr">
        <is>
          <t>Lumenvita Group Sdn Bhd</t>
        </is>
      </c>
      <c r="J2679" t="inlineStr">
        <is>
          <t>Small Fish</t>
        </is>
      </c>
      <c r="K2679" t="inlineStr">
        <is>
          <t>Clover</t>
        </is>
      </c>
      <c r="L2679" s="4"/>
      <c r="M2679" s="4">
        <v>46119.68682870371</v>
      </c>
      <c r="N2679"/>
      <c r="O2679">
        <v>3888</v>
      </c>
      <c r="P2679" s="4"/>
      <c r="Q2679" s="4">
        <v>46118.642916666664</v>
      </c>
      <c r="R2679"/>
      <c r="S2679">
        <v>0</v>
      </c>
      <c r="T2679" s="4"/>
      <c r="U2679" s="4"/>
      <c r="V2679"/>
      <c r="W2679"/>
      <c r="X2679"/>
      <c r="Y2679" t="inlineStr">
        <is>
          <t>Pending Appointment</t>
        </is>
      </c>
      <c r="Z2679" t="inlineStr">
        <is>
          <t>Hiring Now</t>
        </is>
      </c>
      <c r="AA2679">
        <v>1</v>
      </c>
      <c r="AB2679" t="inlineStr">
        <is>
          <t>No Appointment Made</t>
        </is>
      </c>
      <c r="AC2679"/>
      <c r="AD2679" t="inlineStr">
        <is>
          <t xml:space="preserve">Hire Digital Marketing Executive x1 chi, beauty products, future hiring not sure, suggest stand </t>
        </is>
      </c>
      <c r="AE2679"/>
      <c r="AF2679">
        <v>3000</v>
      </c>
      <c r="AG2679" s="4"/>
      <c r="AH2679" s="4"/>
      <c r="AI2679">
        <v>3000</v>
      </c>
      <c r="AJ2679">
        <v>1</v>
      </c>
      <c r="AK2679" t="inlineStr">
        <is>
          <t>No, but I want in future</t>
        </is>
      </c>
      <c r="AL2679">
        <v>1</v>
      </c>
      <c r="AM2679" t="inlineStr">
        <is>
          <t>No, but I want in future</t>
        </is>
      </c>
      <c r="AN2679"/>
      <c r="AO2679" t="inlineStr">
        <is>
          <t>No, but I want in future</t>
        </is>
      </c>
      <c r="AP2679" t="inlineStr">
        <is>
          <t>Twice a year (50%)</t>
        </is>
      </c>
      <c r="AQ2679">
        <v>1</v>
      </c>
      <c r="AR2679" t="inlineStr">
        <is>
          <t>Did not use any job portal</t>
        </is>
      </c>
      <c r="AS2679" t="inlineStr">
        <is>
          <t>- Headcount: 1
- Hiring Job Details: 1 Digital Marketing Executive (chi, beauty products, future hiring not sure,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Did not use any</t>
        </is>
      </c>
      <c r="AT2679">
        <v>115</v>
      </c>
      <c r="AU2679" t="inlineStr">
        <is>
          <t>1.15</t>
        </is>
      </c>
      <c r="AV2679" t="inlineStr">
        <is>
          <t>15</t>
        </is>
      </c>
      <c r="AW2679" t="inlineStr">
        <is>
          <t>0</t>
        </is>
      </c>
      <c r="AX2679" t="inlineStr">
        <is>
          <t>Not Qualified</t>
        </is>
      </c>
      <c r="AY2679" s="4"/>
      <c r="AZ2679"/>
      <c r="BA2679"/>
      <c r="BB2679"/>
      <c r="BC2679" t="inlineStr">
        <is>
          <t>Call npu, wa fu</t>
        </is>
      </c>
      <c r="BD2679" s="4">
        <v>46135.69960648148</v>
      </c>
      <c r="BE2679" t="inlineStr">
        <is>
          <t>paid</t>
        </is>
      </c>
      <c r="BF2679"/>
      <c r="BG2679" t="inlineStr">
        <is>
          <t>Reschedule</t>
        </is>
      </c>
      <c r="BH2679" t="inlineStr">
        <is>
          <t>Reagen</t>
        </is>
      </c>
      <c r="BI2679" t="inlineStr">
        <is>
          <t>Healthcare / Medical</t>
        </is>
      </c>
      <c r="BJ2679" s="4">
        <v>46144.75414351852</v>
      </c>
      <c r="BK2679" s="4">
        <v>46118.641921296294</v>
      </c>
      <c r="BL2679" t="inlineStr">
        <is>
          <t>0.0</t>
        </is>
      </c>
      <c r="BM2679" t="inlineStr">
        <is>
          <t>0.0</t>
        </is>
      </c>
      <c r="BN2679" t="inlineStr">
        <is>
          <t>View Create Job Page V4</t>
        </is>
      </c>
      <c r="BO2679" s="4">
        <v>46119.64511574074</v>
      </c>
      <c r="BP2679">
        <v>165746</v>
      </c>
      <c r="BQ2679">
        <v>120190</v>
      </c>
      <c r="BR2679" t="inlineStr">
        <is>
          <t>Proforma</t>
        </is>
      </c>
      <c r="BS2679" t="inlineStr">
        <is>
          <t>Free Freelance Job</t>
        </is>
      </c>
      <c r="BT2679"/>
      <c r="BU2679"/>
      <c r="BV2679">
        <v>2724864</v>
      </c>
      <c r="BW2679" t="inlineStr">
        <is>
          <t>No Answer : Voicemail - WA sent to customer</t>
        </is>
      </c>
      <c r="BX2679"/>
      <c r="BY2679"/>
      <c r="BZ2679" s="4"/>
      <c r="CA2679"/>
      <c r="CB2679"/>
      <c r="CC2679" s="4"/>
      <c r="CD2679" t="inlineStr">
        <is>
          <t>20</t>
        </is>
      </c>
      <c r="CE2679" t="inlineStr">
        <is>
          <t>0</t>
        </is>
      </c>
      <c r="CF2679" t="inlineStr">
        <is>
          <t>Q2-W01</t>
        </is>
      </c>
      <c r="CG2679" t="inlineStr">
        <is>
          <t>Q2-W01</t>
        </is>
      </c>
      <c r="CH2679"/>
      <c r="CI2679"/>
      <c r="CJ2679" t="inlineStr">
        <is>
          <t>No Paid</t>
        </is>
      </c>
      <c r="CK2679" t="inlineStr">
        <is>
          <t>Not Eligible</t>
        </is>
      </c>
      <c r="CL2679"/>
      <c r="CM2679"/>
    </row>
    <row r="2680" ht="25.5" customHeight="1">
      <c r="A2680" t="inlineStr">
        <is>
          <t>202946</t>
        </is>
      </c>
      <c r="B2680" s="2"/>
      <c r="C2680"/>
      <c r="D2680" s="3">
        <v>46119.686585648145</v>
      </c>
      <c r="E2680" t="inlineStr">
        <is>
          <t>Q2-W01</t>
        </is>
      </c>
      <c r="F2680" t="inlineStr">
        <is>
          <t>Lucas</t>
        </is>
      </c>
      <c r="G2680" t="inlineStr">
        <is>
          <t>Customer</t>
        </is>
      </c>
      <c r="H2680" s="2" t="str">
        <f>=HYPERLINK("https://upbox.ajobthing.my/customer/202946", "https://upbox.ajobthing.my/customer/202946")</f>
        <v>https://upbox.ajobthing.my/customer/202946</v>
      </c>
      <c r="I2680" t="inlineStr">
        <is>
          <t>Nexitra Strategic Solution</t>
        </is>
      </c>
      <c r="J2680" t="inlineStr">
        <is>
          <t>Small Fish</t>
        </is>
      </c>
      <c r="K2680" t="inlineStr">
        <is>
          <t>Lucas</t>
        </is>
      </c>
      <c r="L2680" s="4"/>
      <c r="M2680" s="4">
        <v>46119.68295138889</v>
      </c>
      <c r="N2680"/>
      <c r="O2680">
        <v>3672</v>
      </c>
      <c r="P2680" s="4"/>
      <c r="Q2680" s="4">
        <v>46119.63818287037</v>
      </c>
      <c r="R2680"/>
      <c r="S2680">
        <v>0</v>
      </c>
      <c r="T2680" s="4"/>
      <c r="U2680" s="4"/>
      <c r="V2680"/>
      <c r="W2680"/>
      <c r="X2680"/>
      <c r="Y2680" t="inlineStr">
        <is>
          <t>Pending Appointment</t>
        </is>
      </c>
      <c r="Z2680" t="inlineStr">
        <is>
          <t>Hiring Now</t>
        </is>
      </c>
      <c r="AA2680">
        <v>2</v>
      </c>
      <c r="AB2680" t="inlineStr">
        <is>
          <t>No Appointment Made</t>
        </is>
      </c>
      <c r="AC2680"/>
      <c r="AD2680" t="inlineStr">
        <is>
          <t>2 sale executive</t>
        </is>
      </c>
      <c r="AE2680"/>
      <c r="AF2680">
        <v>0</v>
      </c>
      <c r="AG2680" s="4"/>
      <c r="AH2680" s="4"/>
      <c r="AI2680">
        <v>0</v>
      </c>
      <c r="AJ2680"/>
      <c r="AK2680" t="inlineStr">
        <is>
          <t>No, I don't need at all</t>
        </is>
      </c>
      <c r="AL2680">
        <v>0</v>
      </c>
      <c r="AM2680" t="inlineStr">
        <is>
          <t>No, I don't need at all</t>
        </is>
      </c>
      <c r="AN2680"/>
      <c r="AO2680" t="inlineStr">
        <is>
          <t>No, I don't need at all</t>
        </is>
      </c>
      <c r="AP2680" t="inlineStr">
        <is>
          <t>Once a year (25%)</t>
        </is>
      </c>
      <c r="AQ2680">
        <v>2</v>
      </c>
      <c r="AR2680" t="inlineStr">
        <is>
          <t>Did not use any job portal</t>
        </is>
      </c>
      <c r="AS2680" t="inlineStr">
        <is>
          <t>- Headcount: 2
- Hiring Job Details: 2 sale executive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2680">
        <v>110</v>
      </c>
      <c r="AU2680" t="inlineStr">
        <is>
          <t>1.10</t>
        </is>
      </c>
      <c r="AV2680" t="inlineStr">
        <is>
          <t>15</t>
        </is>
      </c>
      <c r="AW2680" t="inlineStr">
        <is>
          <t>0</t>
        </is>
      </c>
      <c r="AX2680" t="inlineStr">
        <is>
          <t>Not Qualified</t>
        </is>
      </c>
      <c r="AY2680" s="4"/>
      <c r="AZ2680"/>
      <c r="BA2680"/>
      <c r="BB2680"/>
      <c r="BC2680" t="inlineStr">
        <is>
          <t>not at this moment</t>
        </is>
      </c>
      <c r="BD2680" s="4">
        <v>46126.73537037037</v>
      </c>
      <c r="BE2680" t="inlineStr">
        <is>
          <t>paid</t>
        </is>
      </c>
      <c r="BF2680"/>
      <c r="BG2680" t="inlineStr">
        <is>
          <t>Reschedule</t>
        </is>
      </c>
      <c r="BH2680" t="inlineStr">
        <is>
          <t>Yee Hang</t>
        </is>
      </c>
      <c r="BI2680"/>
      <c r="BJ2680" s="4">
        <v>46144.754166666666</v>
      </c>
      <c r="BK2680" s="4">
        <v>46119.637650462966</v>
      </c>
      <c r="BL2680" t="inlineStr">
        <is>
          <t>0.0</t>
        </is>
      </c>
      <c r="BM2680" t="inlineStr">
        <is>
          <t>0.0</t>
        </is>
      </c>
      <c r="BN2680" t="inlineStr">
        <is>
          <t>View Company Page</t>
        </is>
      </c>
      <c r="BO2680" s="4">
        <v>46119.64063657408</v>
      </c>
      <c r="BP2680">
        <v>165741</v>
      </c>
      <c r="BQ2680">
        <v>120497</v>
      </c>
      <c r="BR2680" t="inlineStr">
        <is>
          <t>Proforma</t>
        </is>
      </c>
      <c r="BS2680" t="inlineStr">
        <is>
          <t>Free Part-Time Job</t>
        </is>
      </c>
      <c r="BT2680"/>
      <c r="BU2680"/>
      <c r="BV2680">
        <v>2704608</v>
      </c>
      <c r="BW2680" t="inlineStr">
        <is>
          <t>Follow Up : Budget Concern</t>
        </is>
      </c>
      <c r="BX2680"/>
      <c r="BY2680"/>
      <c r="BZ2680" s="4"/>
      <c r="CA2680"/>
      <c r="CB2680"/>
      <c r="CC2680" s="4"/>
      <c r="CD2680" t="inlineStr">
        <is>
          <t>20</t>
        </is>
      </c>
      <c r="CE2680" t="inlineStr">
        <is>
          <t>0</t>
        </is>
      </c>
      <c r="CF2680" t="inlineStr">
        <is>
          <t>Q2-W01</t>
        </is>
      </c>
      <c r="CG2680" t="inlineStr">
        <is>
          <t>Q2-W01</t>
        </is>
      </c>
      <c r="CH2680"/>
      <c r="CI2680"/>
      <c r="CJ2680" t="inlineStr">
        <is>
          <t>No Paid</t>
        </is>
      </c>
      <c r="CK2680" t="inlineStr">
        <is>
          <t>Not Eligible</t>
        </is>
      </c>
      <c r="CL2680"/>
      <c r="CM2680"/>
    </row>
    <row r="2681" ht="25.5" customHeight="1">
      <c r="A2681" t="inlineStr">
        <is>
          <t>202859</t>
        </is>
      </c>
      <c r="B2681" s="2"/>
      <c r="C2681"/>
      <c r="D2681" s="3">
        <v>46119.68765046296</v>
      </c>
      <c r="E2681" t="inlineStr">
        <is>
          <t>Q2-W01</t>
        </is>
      </c>
      <c r="F2681" t="inlineStr">
        <is>
          <t>Eugene</t>
        </is>
      </c>
      <c r="G2681" t="inlineStr">
        <is>
          <t>Customer</t>
        </is>
      </c>
      <c r="H2681" s="2" t="str">
        <f>=HYPERLINK("https://upbox.ajobthing.my/customer/202859", "https://upbox.ajobthing.my/customer/202859")</f>
        <v>https://upbox.ajobthing.my/customer/202859</v>
      </c>
      <c r="I2681" t="inlineStr">
        <is>
          <t>Blaze Official</t>
        </is>
      </c>
      <c r="J2681" t="inlineStr">
        <is>
          <t>Small Fish</t>
        </is>
      </c>
      <c r="K2681" t="inlineStr">
        <is>
          <t>Eugene</t>
        </is>
      </c>
      <c r="L2681" s="4"/>
      <c r="M2681" s="4">
        <v>46118.59238425926</v>
      </c>
      <c r="N2681"/>
      <c r="O2681">
        <v>3888</v>
      </c>
      <c r="P2681" s="4"/>
      <c r="Q2681" s="4">
        <v>46119.686898148146</v>
      </c>
      <c r="R2681"/>
      <c r="S2681">
        <v>1296</v>
      </c>
      <c r="T2681" s="4"/>
      <c r="U2681" s="4"/>
      <c r="V2681"/>
      <c r="W2681"/>
      <c r="X2681"/>
      <c r="Y2681" t="inlineStr">
        <is>
          <t>Pending Appointment</t>
        </is>
      </c>
      <c r="Z2681" t="inlineStr">
        <is>
          <t>Hiring Now</t>
        </is>
      </c>
      <c r="AA2681">
        <v>1</v>
      </c>
      <c r="AB2681" t="inlineStr">
        <is>
          <t>No Appointment Made</t>
        </is>
      </c>
      <c r="AC2681"/>
      <c r="AD2681" t="inlineStr">
        <is>
          <t>1 livehost, based in JB</t>
        </is>
      </c>
      <c r="AE2681"/>
      <c r="AF2681">
        <v>1200</v>
      </c>
      <c r="AG2681" s="4"/>
      <c r="AH2681" s="4"/>
      <c r="AI2681">
        <v>3000</v>
      </c>
      <c r="AJ2681">
        <v>1</v>
      </c>
      <c r="AK2681" t="inlineStr">
        <is>
          <t>No, I don't need at all</t>
        </is>
      </c>
      <c r="AL2681">
        <v>1</v>
      </c>
      <c r="AM2681" t="inlineStr">
        <is>
          <t>No, I don't need at all</t>
        </is>
      </c>
      <c r="AN2681"/>
      <c r="AO2681" t="inlineStr">
        <is>
          <t>No, I don't need at all</t>
        </is>
      </c>
      <c r="AP2681" t="inlineStr">
        <is>
          <t>Once a year (25%)</t>
        </is>
      </c>
      <c r="AQ2681">
        <v>4</v>
      </c>
      <c r="AR2681" t="inlineStr">
        <is>
          <t>Free Job Portal</t>
        </is>
      </c>
      <c r="AS2681" t="inlineStr">
        <is>
          <t>- Headcount: 1
- Hiring Job Details: 1 livehost, based in JB
- Hiring Urgency: Hiring Now
- Number of outlets: 1
- Have recruiter team: No, I don't need at all
- Number of recruiter in company: 1
- Have ATS system: No, I don't need at all
- Have career website: No, I don't need at all
- Current hiring budget: RM1,200
- Whole year budget: RM3,000.00
- Whole year number of vacancies: 4
- Hiring frequency: Once a year (25%)
- External job portal: Free Job Portal</t>
        </is>
      </c>
      <c r="AT2681">
        <v>115</v>
      </c>
      <c r="AU2681" t="inlineStr">
        <is>
          <t>1.15</t>
        </is>
      </c>
      <c r="AV2681" t="inlineStr">
        <is>
          <t>15</t>
        </is>
      </c>
      <c r="AW2681" t="inlineStr">
        <is>
          <t>0</t>
        </is>
      </c>
      <c r="AX2681" t="inlineStr">
        <is>
          <t>Not Qualified</t>
        </is>
      </c>
      <c r="AY2681" s="4"/>
      <c r="AZ2681"/>
      <c r="BA2681"/>
      <c r="BB2681"/>
      <c r="BC2681" t="inlineStr">
        <is>
          <t>proceed in another account</t>
        </is>
      </c>
      <c r="BD2681" s="4">
        <v>46122.40175925926</v>
      </c>
      <c r="BE2681" t="inlineStr">
        <is>
          <t>pending</t>
        </is>
      </c>
      <c r="BF2681"/>
      <c r="BG2681" t="inlineStr">
        <is>
          <t>Reschedule</t>
        </is>
      </c>
      <c r="BH2681" t="inlineStr">
        <is>
          <t>Edward Hoo</t>
        </is>
      </c>
      <c r="BI2681"/>
      <c r="BJ2681" s="4">
        <v>46144.75414351852</v>
      </c>
      <c r="BK2681" s="4">
        <v>46118.592152777775</v>
      </c>
      <c r="BL2681" t="inlineStr">
        <is>
          <t>0.0</t>
        </is>
      </c>
      <c r="BM2681" t="inlineStr">
        <is>
          <t>0.0</t>
        </is>
      </c>
      <c r="BN2681"/>
      <c r="BO2681" s="4"/>
      <c r="BP2681">
        <v>165389</v>
      </c>
      <c r="BQ2681">
        <v>120548</v>
      </c>
      <c r="BR2681" t="inlineStr">
        <is>
          <t>Proforma</t>
        </is>
      </c>
      <c r="BS2681" t="inlineStr">
        <is>
          <t>AI Ala Carte (Jan 26) Plus</t>
        </is>
      </c>
      <c r="BT2681"/>
      <c r="BU2681"/>
      <c r="BV2681">
        <v>2697253</v>
      </c>
      <c r="BW2681" t="inlineStr">
        <is>
          <t>Follow Up : Lost - Free Portal</t>
        </is>
      </c>
      <c r="BX2681"/>
      <c r="BY2681"/>
      <c r="BZ2681" s="4"/>
      <c r="CA2681"/>
      <c r="CB2681"/>
      <c r="CC2681" s="4"/>
      <c r="CD2681" t="inlineStr">
        <is>
          <t>20</t>
        </is>
      </c>
      <c r="CE2681" t="inlineStr">
        <is>
          <t>0</t>
        </is>
      </c>
      <c r="CF2681" t="inlineStr">
        <is>
          <t>Q2-W01</t>
        </is>
      </c>
      <c r="CG2681" t="inlineStr">
        <is>
          <t>Q2-W01</t>
        </is>
      </c>
      <c r="CH2681"/>
      <c r="CI2681"/>
      <c r="CJ2681" t="inlineStr">
        <is>
          <t>No Paid</t>
        </is>
      </c>
      <c r="CK2681" t="inlineStr">
        <is>
          <t>Not Eligible</t>
        </is>
      </c>
      <c r="CL2681"/>
      <c r="CM2681"/>
    </row>
    <row r="2682" ht="25.5" customHeight="1">
      <c r="A2682" t="inlineStr">
        <is>
          <t>202869</t>
        </is>
      </c>
      <c r="B2682" s="2"/>
      <c r="C2682"/>
      <c r="D2682" s="3">
        <v>46119.688993055555</v>
      </c>
      <c r="E2682" t="inlineStr">
        <is>
          <t>Q2-W01</t>
        </is>
      </c>
      <c r="F2682" t="inlineStr">
        <is>
          <t>Clover</t>
        </is>
      </c>
      <c r="G2682" t="inlineStr">
        <is>
          <t>Customer</t>
        </is>
      </c>
      <c r="H2682" s="2" t="str">
        <f>=HYPERLINK("https://upbox.ajobthing.my/customer/202869", "https://upbox.ajobthing.my/customer/202869")</f>
        <v>https://upbox.ajobthing.my/customer/202869</v>
      </c>
      <c r="I2682" t="inlineStr">
        <is>
          <t>Lumenvita Group Sdn Bhd</t>
        </is>
      </c>
      <c r="J2682" t="inlineStr">
        <is>
          <t>Small Fish</t>
        </is>
      </c>
      <c r="K2682" t="inlineStr">
        <is>
          <t>Clover</t>
        </is>
      </c>
      <c r="L2682" s="4"/>
      <c r="M2682" s="4">
        <v>46119.68682870371</v>
      </c>
      <c r="N2682"/>
      <c r="O2682">
        <v>3888</v>
      </c>
      <c r="P2682" s="4"/>
      <c r="Q2682" s="4">
        <v>46118.642916666664</v>
      </c>
      <c r="R2682"/>
      <c r="S2682">
        <v>0</v>
      </c>
      <c r="T2682" s="4"/>
      <c r="U2682" s="4"/>
      <c r="V2682"/>
      <c r="W2682"/>
      <c r="X2682"/>
      <c r="Y2682" t="inlineStr">
        <is>
          <t>Pending Appointment</t>
        </is>
      </c>
      <c r="Z2682" t="inlineStr">
        <is>
          <t>Hiring Now</t>
        </is>
      </c>
      <c r="AA2682">
        <v>1</v>
      </c>
      <c r="AB2682" t="inlineStr">
        <is>
          <t>No Appointment Made</t>
        </is>
      </c>
      <c r="AC2682"/>
      <c r="AD2682" t="inlineStr">
        <is>
          <t xml:space="preserve">Hire Digital Marketing Executive x1 chi, beauty products, future hiring not sure, suggest stand </t>
        </is>
      </c>
      <c r="AE2682"/>
      <c r="AF2682">
        <v>3000</v>
      </c>
      <c r="AG2682" s="4"/>
      <c r="AH2682" s="4"/>
      <c r="AI2682"/>
      <c r="AJ2682"/>
      <c r="AK2682" t="inlineStr">
        <is>
          <t>No, but I want in future</t>
        </is>
      </c>
      <c r="AL2682">
        <v>1</v>
      </c>
      <c r="AM2682" t="inlineStr">
        <is>
          <t>No, but I want in future</t>
        </is>
      </c>
      <c r="AN2682"/>
      <c r="AO2682"/>
      <c r="AP2682" t="inlineStr">
        <is>
          <t>Twice a year (50%)</t>
        </is>
      </c>
      <c r="AQ2682"/>
      <c r="AR2682"/>
      <c r="AS2682" t="inlineStr">
        <is>
          <t>- Headcount: 1
- Hiring Job Details: 1 Digital Marketing Executive (chi, beauty products, future hiring not sure, suggest stand)
- Hiring Urgency: Hiring Now
- Number of outlets: Not provided
- Have recruiter team: No, but want in future
- Number of recruiter in company: 1
- Have ATS system: No, but want in future
- Have career website: Not provided
- Current hiring budget: RM3,000.00
- Whole year budget: Not provided
- Whole year number of vacancies: Not provided
- Hiring frequency: Twice a year (50%)
- External job portal: Not provided</t>
        </is>
      </c>
      <c r="AT2682">
        <v>75</v>
      </c>
      <c r="AU2682" t="inlineStr">
        <is>
          <t>0.75</t>
        </is>
      </c>
      <c r="AV2682" t="inlineStr">
        <is>
          <t>15</t>
        </is>
      </c>
      <c r="AW2682" t="inlineStr">
        <is>
          <t>0</t>
        </is>
      </c>
      <c r="AX2682" t="inlineStr">
        <is>
          <t>Not Qualified</t>
        </is>
      </c>
      <c r="AY2682" s="4"/>
      <c r="AZ2682"/>
      <c r="BA2682"/>
      <c r="BB2682"/>
      <c r="BC2682" t="inlineStr">
        <is>
          <t>Call npu, wa fu</t>
        </is>
      </c>
      <c r="BD2682" s="4">
        <v>46135.69960648148</v>
      </c>
      <c r="BE2682" t="inlineStr">
        <is>
          <t>paid</t>
        </is>
      </c>
      <c r="BF2682"/>
      <c r="BG2682" t="inlineStr">
        <is>
          <t>Reschedule</t>
        </is>
      </c>
      <c r="BH2682" t="inlineStr">
        <is>
          <t>Reagen</t>
        </is>
      </c>
      <c r="BI2682" t="inlineStr">
        <is>
          <t>Healthcare / Medical</t>
        </is>
      </c>
      <c r="BJ2682" s="4">
        <v>46144.75414351852</v>
      </c>
      <c r="BK2682" s="4">
        <v>46118.641921296294</v>
      </c>
      <c r="BL2682" t="inlineStr">
        <is>
          <t>0.0</t>
        </is>
      </c>
      <c r="BM2682" t="inlineStr">
        <is>
          <t>0.0</t>
        </is>
      </c>
      <c r="BN2682" t="inlineStr">
        <is>
          <t>View Create Job Page V4</t>
        </is>
      </c>
      <c r="BO2682" s="4">
        <v>46119.64511574074</v>
      </c>
      <c r="BP2682">
        <v>165746</v>
      </c>
      <c r="BQ2682">
        <v>120190</v>
      </c>
      <c r="BR2682" t="inlineStr">
        <is>
          <t>Proforma</t>
        </is>
      </c>
      <c r="BS2682" t="inlineStr">
        <is>
          <t>Free Freelance Job</t>
        </is>
      </c>
      <c r="BT2682"/>
      <c r="BU2682"/>
      <c r="BV2682">
        <v>2724864</v>
      </c>
      <c r="BW2682" t="inlineStr">
        <is>
          <t>No Answer : Voicemail - WA sent to customer</t>
        </is>
      </c>
      <c r="BX2682"/>
      <c r="BY2682"/>
      <c r="BZ2682" s="4"/>
      <c r="CA2682"/>
      <c r="CB2682"/>
      <c r="CC2682" s="4"/>
      <c r="CD2682" t="inlineStr">
        <is>
          <t>20</t>
        </is>
      </c>
      <c r="CE2682" t="inlineStr">
        <is>
          <t>0</t>
        </is>
      </c>
      <c r="CF2682" t="inlineStr">
        <is>
          <t>Q2-W01</t>
        </is>
      </c>
      <c r="CG2682" t="inlineStr">
        <is>
          <t>Q2-W01</t>
        </is>
      </c>
      <c r="CH2682"/>
      <c r="CI2682"/>
      <c r="CJ2682" t="inlineStr">
        <is>
          <t>No Paid</t>
        </is>
      </c>
      <c r="CK2682" t="inlineStr">
        <is>
          <t>Not Eligible</t>
        </is>
      </c>
      <c r="CL2682"/>
      <c r="CM2682"/>
    </row>
    <row r="2683" ht="25.5" customHeight="1">
      <c r="A2683" t="inlineStr">
        <is>
          <t>136831</t>
        </is>
      </c>
      <c r="B2683" s="2"/>
      <c r="C2683"/>
      <c r="D2683" s="3">
        <v>46119.69085648148</v>
      </c>
      <c r="E2683" t="inlineStr">
        <is>
          <t>Q2-W01</t>
        </is>
      </c>
      <c r="F2683" t="inlineStr">
        <is>
          <t>Lucas</t>
        </is>
      </c>
      <c r="G2683" t="inlineStr">
        <is>
          <t>Customer</t>
        </is>
      </c>
      <c r="H2683" s="2" t="str">
        <f>=HYPERLINK("https://upbox.ajobthing.my/customer/136831", "https://upbox.ajobthing.my/customer/136831")</f>
        <v>https://upbox.ajobthing.my/customer/136831</v>
      </c>
      <c r="I2683" t="inlineStr">
        <is>
          <t>Project Line Asia</t>
        </is>
      </c>
      <c r="J2683" t="inlineStr">
        <is>
          <t>Small Fish</t>
        </is>
      </c>
      <c r="K2683" t="inlineStr">
        <is>
          <t>Lucas</t>
        </is>
      </c>
      <c r="L2683" s="4"/>
      <c r="M2683" s="4">
        <v>46119.68876157407</v>
      </c>
      <c r="N2683"/>
      <c r="O2683">
        <v>3888</v>
      </c>
      <c r="P2683" s="4"/>
      <c r="Q2683" s="4">
        <v>46119.667280092595</v>
      </c>
      <c r="R2683"/>
      <c r="S2683">
        <v>0</v>
      </c>
      <c r="T2683" s="4">
        <v>44721.69005787037</v>
      </c>
      <c r="U2683" s="4"/>
      <c r="V2683"/>
      <c r="W2683">
        <v>636</v>
      </c>
      <c r="X2683"/>
      <c r="Y2683" t="inlineStr">
        <is>
          <t>Pending Appointment</t>
        </is>
      </c>
      <c r="Z2683" t="inlineStr">
        <is>
          <t>Hiring Now</t>
        </is>
      </c>
      <c r="AA2683">
        <v>1</v>
      </c>
      <c r="AB2683" t="inlineStr">
        <is>
          <t>No Appointment Made</t>
        </is>
      </c>
      <c r="AC2683"/>
      <c r="AD2683" t="inlineStr">
        <is>
          <t xml:space="preserve">1 sale </t>
        </is>
      </c>
      <c r="AE2683"/>
      <c r="AF2683">
        <v>0</v>
      </c>
      <c r="AG2683" s="4"/>
      <c r="AH2683" s="4"/>
      <c r="AI2683">
        <v>0</v>
      </c>
      <c r="AJ2683"/>
      <c r="AK2683" t="inlineStr">
        <is>
          <t>No, I don't need at all</t>
        </is>
      </c>
      <c r="AL2683">
        <v>0</v>
      </c>
      <c r="AM2683" t="inlineStr">
        <is>
          <t>No, I don't need at all</t>
        </is>
      </c>
      <c r="AN2683"/>
      <c r="AO2683" t="inlineStr">
        <is>
          <t>No, I don't need at all</t>
        </is>
      </c>
      <c r="AP2683" t="inlineStr">
        <is>
          <t>Once a year (25%)</t>
        </is>
      </c>
      <c r="AQ2683">
        <v>1</v>
      </c>
      <c r="AR2683" t="inlineStr">
        <is>
          <t>Did not use any job portal</t>
        </is>
      </c>
      <c r="AS2683" t="inlineStr">
        <is>
          <t>- Headcount: 1
- Hiring Job Details: 1 sale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683">
        <v>95</v>
      </c>
      <c r="AU2683" t="inlineStr">
        <is>
          <t>0.95</t>
        </is>
      </c>
      <c r="AV2683" t="inlineStr">
        <is>
          <t>15</t>
        </is>
      </c>
      <c r="AW2683" t="inlineStr">
        <is>
          <t>0</t>
        </is>
      </c>
      <c r="AX2683" t="inlineStr">
        <is>
          <t>Not Qualified</t>
        </is>
      </c>
      <c r="AY2683" s="4"/>
      <c r="AZ2683"/>
      <c r="BA2683"/>
      <c r="BB2683"/>
      <c r="BC2683" t="inlineStr">
        <is>
          <t>no</t>
        </is>
      </c>
      <c r="BD2683" s="4">
        <v>46128.47451388889</v>
      </c>
      <c r="BE2683" t="inlineStr">
        <is>
          <t>paid</t>
        </is>
      </c>
      <c r="BF2683"/>
      <c r="BG2683" t="inlineStr">
        <is>
          <t>Reschedule</t>
        </is>
      </c>
      <c r="BH2683" t="inlineStr">
        <is>
          <t>Yee Hang</t>
        </is>
      </c>
      <c r="BI2683" t="inlineStr">
        <is>
          <t>Telecommunication</t>
        </is>
      </c>
      <c r="BJ2683" s="4">
        <v>46144.75059027778</v>
      </c>
      <c r="BK2683" s="4">
        <v>44294.85290509259</v>
      </c>
      <c r="BL2683" t="inlineStr">
        <is>
          <t>0.0</t>
        </is>
      </c>
      <c r="BM2683" t="inlineStr">
        <is>
          <t>0.0</t>
        </is>
      </c>
      <c r="BN2683" t="inlineStr">
        <is>
          <t>View Company Page</t>
        </is>
      </c>
      <c r="BO2683" s="4">
        <v>45038.508310185185</v>
      </c>
      <c r="BP2683">
        <v>165748</v>
      </c>
      <c r="BQ2683">
        <v>120531</v>
      </c>
      <c r="BR2683" t="inlineStr">
        <is>
          <t>Proforma</t>
        </is>
      </c>
      <c r="BS2683" t="inlineStr">
        <is>
          <t>Free Internship Job</t>
        </is>
      </c>
      <c r="BT2683">
        <v>46158</v>
      </c>
      <c r="BU2683"/>
      <c r="BV2683">
        <v>2708449</v>
      </c>
      <c r="BW2683" t="inlineStr">
        <is>
          <t>Follow Up : Budget Concern</t>
        </is>
      </c>
      <c r="BX2683"/>
      <c r="BY2683"/>
      <c r="BZ2683" s="4"/>
      <c r="CA2683"/>
      <c r="CB2683"/>
      <c r="CC2683" s="4"/>
      <c r="CD2683" t="inlineStr">
        <is>
          <t>20</t>
        </is>
      </c>
      <c r="CE2683" t="inlineStr">
        <is>
          <t>0</t>
        </is>
      </c>
      <c r="CF2683" t="inlineStr">
        <is>
          <t>Q2-W01</t>
        </is>
      </c>
      <c r="CG2683" t="inlineStr">
        <is>
          <t>Q2-W01</t>
        </is>
      </c>
      <c r="CH2683"/>
      <c r="CI2683"/>
      <c r="CJ2683" t="inlineStr">
        <is>
          <t>Paid</t>
        </is>
      </c>
      <c r="CK2683" t="inlineStr">
        <is>
          <t>Not Eligible</t>
        </is>
      </c>
      <c r="CL2683"/>
      <c r="CM2683"/>
    </row>
    <row r="2684" ht="25.5" customHeight="1">
      <c r="A2684" t="inlineStr">
        <is>
          <t>53109</t>
        </is>
      </c>
      <c r="B2684" s="2"/>
      <c r="C2684"/>
      <c r="D2684" s="3">
        <v>46119.69168981481</v>
      </c>
      <c r="E2684" t="inlineStr">
        <is>
          <t>Q2-W01</t>
        </is>
      </c>
      <c r="F2684" t="inlineStr">
        <is>
          <t>Dickson</t>
        </is>
      </c>
      <c r="G2684" t="inlineStr">
        <is>
          <t>Customer</t>
        </is>
      </c>
      <c r="H2684" s="2" t="str">
        <f>=HYPERLINK("https://upbox.ajobthing.my/customer/53109", "https://upbox.ajobthing.my/customer/53109")</f>
        <v>https://upbox.ajobthing.my/customer/53109</v>
      </c>
      <c r="I2684" t="inlineStr">
        <is>
          <t xml:space="preserve">Joies Sourdough Cafe </t>
        </is>
      </c>
      <c r="J2684" t="inlineStr">
        <is>
          <t>Small Fish</t>
        </is>
      </c>
      <c r="K2684" t="inlineStr">
        <is>
          <t>Dickson</t>
        </is>
      </c>
      <c r="L2684" s="4"/>
      <c r="M2684" s="4">
        <v>46119.69179398148</v>
      </c>
      <c r="N2684"/>
      <c r="O2684">
        <v>3672</v>
      </c>
      <c r="P2684" s="4"/>
      <c r="Q2684" s="4">
        <v>46066.90429398148</v>
      </c>
      <c r="R2684"/>
      <c r="S2684">
        <v>0</v>
      </c>
      <c r="T2684" s="4"/>
      <c r="U2684" s="4"/>
      <c r="V2684"/>
      <c r="W2684"/>
      <c r="X2684"/>
      <c r="Y2684" t="inlineStr">
        <is>
          <t>Pending Appointment</t>
        </is>
      </c>
      <c r="Z2684" t="inlineStr">
        <is>
          <t>Hiring Now</t>
        </is>
      </c>
      <c r="AA2684">
        <v>1</v>
      </c>
      <c r="AB2684" t="inlineStr">
        <is>
          <t>No Appointment Made</t>
        </is>
      </c>
      <c r="AC2684"/>
      <c r="AD2684" t="inlineStr">
        <is>
          <t>hiring a few positions</t>
        </is>
      </c>
      <c r="AE2684"/>
      <c r="AF2684"/>
      <c r="AG2684" s="4"/>
      <c r="AH2684" s="4"/>
      <c r="AI2684"/>
      <c r="AJ2684">
        <v>1</v>
      </c>
      <c r="AK2684" t="inlineStr">
        <is>
          <t>No, I don't need at all</t>
        </is>
      </c>
      <c r="AL2684"/>
      <c r="AM2684" t="inlineStr">
        <is>
          <t>No, I don't need at all</t>
        </is>
      </c>
      <c r="AN2684"/>
      <c r="AO2684" t="inlineStr">
        <is>
          <t>No, I don't need at all</t>
        </is>
      </c>
      <c r="AP2684" t="inlineStr">
        <is>
          <t>Once per quarter (75%)</t>
        </is>
      </c>
      <c r="AQ2684"/>
      <c r="AR2684"/>
      <c r="AS2684" t="inlineStr">
        <is>
          <t>- Headcount: 1
- Hiring Job Details: hiring a few positions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684">
        <v>50</v>
      </c>
      <c r="AU2684" t="inlineStr">
        <is>
          <t>0.50</t>
        </is>
      </c>
      <c r="AV2684" t="inlineStr">
        <is>
          <t>5</t>
        </is>
      </c>
      <c r="AW2684" t="inlineStr">
        <is>
          <t>0</t>
        </is>
      </c>
      <c r="AX2684" t="inlineStr">
        <is>
          <t>Not Qualified</t>
        </is>
      </c>
      <c r="AY2684" s="4"/>
      <c r="AZ2684"/>
      <c r="BA2684"/>
      <c r="BB2684"/>
      <c r="BC2684" t="inlineStr">
        <is>
          <t>no hiring</t>
        </is>
      </c>
      <c r="BD2684" s="4">
        <v>46120.58739583333</v>
      </c>
      <c r="BE2684" t="inlineStr">
        <is>
          <t>paid</t>
        </is>
      </c>
      <c r="BF2684"/>
      <c r="BG2684" t="inlineStr">
        <is>
          <t>Reschedule</t>
        </is>
      </c>
      <c r="BH2684" t="inlineStr">
        <is>
          <t>Edward Hoo</t>
        </is>
      </c>
      <c r="BI2684"/>
      <c r="BJ2684" s="4">
        <v>46144.756064814814</v>
      </c>
      <c r="BK2684" s="4">
        <v>43326.7896875</v>
      </c>
      <c r="BL2684" t="inlineStr">
        <is>
          <t>0.0</t>
        </is>
      </c>
      <c r="BM2684" t="inlineStr">
        <is>
          <t>0.0</t>
        </is>
      </c>
      <c r="BN2684" t="inlineStr">
        <is>
          <t>View Create Job</t>
        </is>
      </c>
      <c r="BO2684" s="4">
        <v>43338.358252314814</v>
      </c>
      <c r="BP2684">
        <v>165751</v>
      </c>
      <c r="BQ2684">
        <v>115184</v>
      </c>
      <c r="BR2684" t="inlineStr">
        <is>
          <t>Proforma</t>
        </is>
      </c>
      <c r="BS2684" t="inlineStr">
        <is>
          <t>Free Internship Job</t>
        </is>
      </c>
      <c r="BT2684"/>
      <c r="BU2684"/>
      <c r="BV2684">
        <v>2692437</v>
      </c>
      <c r="BW2684" t="inlineStr">
        <is>
          <t>Follow Up : Budget Concern</t>
        </is>
      </c>
      <c r="BX2684"/>
      <c r="BY2684"/>
      <c r="BZ2684" s="4"/>
      <c r="CA2684"/>
      <c r="CB2684"/>
      <c r="CC2684" s="4"/>
      <c r="CD2684" t="inlineStr">
        <is>
          <t>5</t>
        </is>
      </c>
      <c r="CE2684" t="inlineStr">
        <is>
          <t>0</t>
        </is>
      </c>
      <c r="CF2684" t="inlineStr">
        <is>
          <t>Q2-W01</t>
        </is>
      </c>
      <c r="CG2684" t="inlineStr">
        <is>
          <t>Q1-W07</t>
        </is>
      </c>
      <c r="CH2684"/>
      <c r="CI2684"/>
      <c r="CJ2684" t="inlineStr">
        <is>
          <t>No Paid</t>
        </is>
      </c>
      <c r="CK2684" t="inlineStr">
        <is>
          <t>Not Eligible</t>
        </is>
      </c>
      <c r="CL2684"/>
      <c r="CM2684"/>
    </row>
    <row r="2685" ht="25.5" customHeight="1">
      <c r="A2685" t="inlineStr">
        <is>
          <t>153282</t>
        </is>
      </c>
      <c r="B2685" s="2"/>
      <c r="C2685"/>
      <c r="D2685" s="3">
        <v>46119.70135416667</v>
      </c>
      <c r="E2685" t="inlineStr">
        <is>
          <t>Q2-W01</t>
        </is>
      </c>
      <c r="F2685" t="inlineStr">
        <is>
          <t>Clover</t>
        </is>
      </c>
      <c r="G2685" t="inlineStr">
        <is>
          <t>Customer</t>
        </is>
      </c>
      <c r="H2685" s="2" t="str">
        <f>=HYPERLINK("https://upbox.ajobthing.my/customer/153282", "https://upbox.ajobthing.my/customer/153282")</f>
        <v>https://upbox.ajobthing.my/customer/153282</v>
      </c>
      <c r="I2685" t="inlineStr">
        <is>
          <t xml:space="preserve">Lumira Hotels </t>
        </is>
      </c>
      <c r="J2685" t="inlineStr">
        <is>
          <t>Small Fish</t>
        </is>
      </c>
      <c r="K2685" t="inlineStr">
        <is>
          <t>Clover</t>
        </is>
      </c>
      <c r="L2685" s="4"/>
      <c r="M2685" s="4">
        <v>46119.69887731481</v>
      </c>
      <c r="N2685"/>
      <c r="O2685">
        <v>6048</v>
      </c>
      <c r="P2685" s="4"/>
      <c r="Q2685" s="4"/>
      <c r="R2685"/>
      <c r="S2685"/>
      <c r="T2685" s="4"/>
      <c r="U2685" s="4"/>
      <c r="V2685"/>
      <c r="W2685"/>
      <c r="X2685"/>
      <c r="Y2685" t="inlineStr">
        <is>
          <t>Pending Appointment</t>
        </is>
      </c>
      <c r="Z2685" t="inlineStr">
        <is>
          <t>Hiring Later</t>
        </is>
      </c>
      <c r="AA2685">
        <v>3</v>
      </c>
      <c r="AB2685" t="inlineStr">
        <is>
          <t>No Appointment Made</t>
        </is>
      </c>
      <c r="AC2685"/>
      <c r="AD2685" t="inlineStr">
        <is>
          <t>So far no plan allow to wa, previous hire front desk,  waiter/waitress, general manager, estimate 1-2 for each post,  hotel, mount kiara, suggest pro</t>
        </is>
      </c>
      <c r="AE2685"/>
      <c r="AF2685">
        <v>5000</v>
      </c>
      <c r="AG2685" s="4"/>
      <c r="AH2685" s="4"/>
      <c r="AI2685">
        <v>5000</v>
      </c>
      <c r="AJ2685">
        <v>1</v>
      </c>
      <c r="AK2685" t="inlineStr">
        <is>
          <t>No, but I want in future</t>
        </is>
      </c>
      <c r="AL2685">
        <v>1</v>
      </c>
      <c r="AM2685" t="inlineStr">
        <is>
          <t>No, but I want in future</t>
        </is>
      </c>
      <c r="AN2685"/>
      <c r="AO2685" t="inlineStr">
        <is>
          <t>No, but I want in future</t>
        </is>
      </c>
      <c r="AP2685" t="inlineStr">
        <is>
          <t>Twice a year (50%)</t>
        </is>
      </c>
      <c r="AQ2685">
        <v>1</v>
      </c>
      <c r="AR2685" t="inlineStr">
        <is>
          <t>Did not use any job portal</t>
        </is>
      </c>
      <c r="AS2685" t="inlineStr">
        <is>
          <t>- Headcount: 3
- Hiring Job Details: Hotel in Mount Kiara; previous hires: front desk, waiter/waitress, general manager (1-2 each estimated); no waiver plan; suggest professional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1
- Hiring frequency: Twice a year (50%)
- External job portal: None used</t>
        </is>
      </c>
      <c r="AT2685">
        <v>85</v>
      </c>
      <c r="AU2685" t="inlineStr">
        <is>
          <t>0.85</t>
        </is>
      </c>
      <c r="AV2685" t="inlineStr">
        <is>
          <t>15</t>
        </is>
      </c>
      <c r="AW2685" t="inlineStr">
        <is>
          <t>0</t>
        </is>
      </c>
      <c r="AX2685" t="inlineStr">
        <is>
          <t>Not Qualified</t>
        </is>
      </c>
      <c r="AY2685" s="4"/>
      <c r="AZ2685"/>
      <c r="BA2685"/>
      <c r="BB2685"/>
      <c r="BC2685" t="inlineStr">
        <is>
          <t>Call npu, wa fu</t>
        </is>
      </c>
      <c r="BD2685" s="4">
        <v>46135.70097222222</v>
      </c>
      <c r="BE2685"/>
      <c r="BF2685"/>
      <c r="BG2685" t="inlineStr">
        <is>
          <t>Reschedule</t>
        </is>
      </c>
      <c r="BH2685" t="inlineStr">
        <is>
          <t>Reagen</t>
        </is>
      </c>
      <c r="BI2685"/>
      <c r="BJ2685" s="4">
        <v>46144.7509375</v>
      </c>
      <c r="BK2685" s="4">
        <v>44680.613078703704</v>
      </c>
      <c r="BL2685" t="inlineStr">
        <is>
          <t>0.0</t>
        </is>
      </c>
      <c r="BM2685" t="inlineStr">
        <is>
          <t>0.0</t>
        </is>
      </c>
      <c r="BN2685" t="inlineStr">
        <is>
          <t>View Jobmanager Page</t>
        </is>
      </c>
      <c r="BO2685" s="4">
        <v>44712.67181712963</v>
      </c>
      <c r="BP2685">
        <v>165758</v>
      </c>
      <c r="BQ2685"/>
      <c r="BR2685"/>
      <c r="BS2685"/>
      <c r="BT2685"/>
      <c r="BU2685"/>
      <c r="BV2685">
        <v>2724867</v>
      </c>
      <c r="BW2685" t="inlineStr">
        <is>
          <t>No Answer : Voicemail - WA sent to customer</t>
        </is>
      </c>
      <c r="BX2685"/>
      <c r="BY2685"/>
      <c r="BZ2685" s="4"/>
      <c r="CA2685"/>
      <c r="CB2685"/>
      <c r="CC2685" s="4"/>
      <c r="CD2685" t="inlineStr">
        <is>
          <t>20</t>
        </is>
      </c>
      <c r="CE2685" t="inlineStr">
        <is>
          <t>0</t>
        </is>
      </c>
      <c r="CF2685" t="inlineStr">
        <is>
          <t>Q2-W01</t>
        </is>
      </c>
      <c r="CG2685"/>
      <c r="CH2685"/>
      <c r="CI2685"/>
      <c r="CJ2685" t="inlineStr">
        <is>
          <t>No Paid</t>
        </is>
      </c>
      <c r="CK2685" t="inlineStr">
        <is>
          <t>Not Eligible</t>
        </is>
      </c>
      <c r="CL2685"/>
      <c r="CM2685"/>
    </row>
    <row r="2686" ht="25.5" customHeight="1">
      <c r="A2686" t="inlineStr">
        <is>
          <t>4256693</t>
        </is>
      </c>
      <c r="B2686" s="2"/>
      <c r="C2686"/>
      <c r="D2686" s="3">
        <v>46119.70795138889</v>
      </c>
      <c r="E2686" t="inlineStr">
        <is>
          <t>Q2-W01</t>
        </is>
      </c>
      <c r="F2686" t="inlineStr">
        <is>
          <t>Eugene</t>
        </is>
      </c>
      <c r="G2686" t="inlineStr">
        <is>
          <t>Lead</t>
        </is>
      </c>
      <c r="H2686" s="2" t="str">
        <f>=HYPERLINK("https://upbox.ajobthing.my/leads/4256693", "https://upbox.ajobthing.my/leads/4256693")</f>
        <v>https://upbox.ajobthing.my/leads/4256693</v>
      </c>
      <c r="I2686" t="inlineStr">
        <is>
          <t>NSN Technology Sdn Bhd</t>
        </is>
      </c>
      <c r="J2686" t="inlineStr">
        <is>
          <t>Small Fish</t>
        </is>
      </c>
      <c r="K2686" t="inlineStr">
        <is>
          <t>Eugene</t>
        </is>
      </c>
      <c r="L2686" s="4"/>
      <c r="M2686" s="4">
        <v>46119.71074074074</v>
      </c>
      <c r="N2686"/>
      <c r="O2686">
        <v>3888</v>
      </c>
      <c r="P2686" s="4"/>
      <c r="Q2686" s="4"/>
      <c r="R2686"/>
      <c r="S2686"/>
      <c r="T2686" s="4"/>
      <c r="U2686" s="4"/>
      <c r="V2686"/>
      <c r="W2686"/>
      <c r="X2686"/>
      <c r="Y2686" t="inlineStr">
        <is>
          <t>Pending Appointment</t>
        </is>
      </c>
      <c r="Z2686" t="inlineStr">
        <is>
          <t>Hiring Later</t>
        </is>
      </c>
      <c r="AA2686">
        <v>1</v>
      </c>
      <c r="AB2686" t="inlineStr">
        <is>
          <t>No Appointment Made</t>
        </is>
      </c>
      <c r="AC2686"/>
      <c r="AD2686" t="inlineStr">
        <is>
          <t>1 posiions, based in kl</t>
        </is>
      </c>
      <c r="AE2686"/>
      <c r="AF2686">
        <v>3000</v>
      </c>
      <c r="AG2686" s="4"/>
      <c r="AH2686" s="4"/>
      <c r="AI2686">
        <v>3000</v>
      </c>
      <c r="AJ2686">
        <v>1</v>
      </c>
      <c r="AK2686" t="inlineStr">
        <is>
          <t>No, I don't need at all</t>
        </is>
      </c>
      <c r="AL2686">
        <v>1</v>
      </c>
      <c r="AM2686" t="inlineStr">
        <is>
          <t>No, I don't need at all</t>
        </is>
      </c>
      <c r="AN2686"/>
      <c r="AO2686" t="inlineStr">
        <is>
          <t>No, I don't need at all</t>
        </is>
      </c>
      <c r="AP2686" t="inlineStr">
        <is>
          <t>Once a year (25%)</t>
        </is>
      </c>
      <c r="AQ2686">
        <v>3</v>
      </c>
      <c r="AR2686" t="inlineStr">
        <is>
          <t>Jobstreet, Indeed (Paid)</t>
        </is>
      </c>
      <c r="AS2686" t="inlineStr">
        <is>
          <t>- Headcount: 1
- Hiring Job Details: 1 position, based in kl
- Hiring Urgency: Hiring Later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Jobstreet,Indeed (Paid)</t>
        </is>
      </c>
      <c r="AT2686">
        <v>95</v>
      </c>
      <c r="AU2686" t="inlineStr">
        <is>
          <t>0.95</t>
        </is>
      </c>
      <c r="AV2686" t="inlineStr">
        <is>
          <t>15</t>
        </is>
      </c>
      <c r="AW2686" t="inlineStr">
        <is>
          <t>0</t>
        </is>
      </c>
      <c r="AX2686" t="inlineStr">
        <is>
          <t>Not Qualified</t>
        </is>
      </c>
      <c r="AY2686" s="4"/>
      <c r="AZ2686"/>
      <c r="BA2686"/>
      <c r="BB2686"/>
      <c r="BC2686"/>
      <c r="BD2686" s="4"/>
      <c r="BE2686"/>
      <c r="BF2686"/>
      <c r="BG2686" t="inlineStr">
        <is>
          <t>Reschedule</t>
        </is>
      </c>
      <c r="BH2686" t="inlineStr">
        <is>
          <t>Edward Hoo</t>
        </is>
      </c>
      <c r="BI2686"/>
      <c r="BJ2686" s="4">
        <v>46144.755740740744</v>
      </c>
      <c r="BK2686" s="4">
        <v>46119.68755787037</v>
      </c>
      <c r="BL2686" t="inlineStr">
        <is>
          <t>0.0</t>
        </is>
      </c>
      <c r="BM2686" t="inlineStr">
        <is>
          <t>600.0</t>
        </is>
      </c>
      <c r="BN2686"/>
      <c r="BO2686" s="4"/>
      <c r="BP2686">
        <v>165768</v>
      </c>
      <c r="BQ2686"/>
      <c r="BR2686"/>
      <c r="BS2686"/>
      <c r="BT2686"/>
      <c r="BU2686"/>
      <c r="BV2686"/>
      <c r="BW2686"/>
      <c r="BX2686"/>
      <c r="BY2686"/>
      <c r="BZ2686" s="4"/>
      <c r="CA2686"/>
      <c r="CB2686"/>
      <c r="CC2686" s="4"/>
      <c r="CD2686" t="inlineStr">
        <is>
          <t>20</t>
        </is>
      </c>
      <c r="CE2686" t="inlineStr">
        <is>
          <t>0</t>
        </is>
      </c>
      <c r="CF2686" t="inlineStr">
        <is>
          <t>Q2-W01</t>
        </is>
      </c>
      <c r="CG2686"/>
      <c r="CH2686"/>
      <c r="CI2686"/>
      <c r="CJ2686" t="inlineStr">
        <is>
          <t>No Paid</t>
        </is>
      </c>
      <c r="CK2686" t="inlineStr">
        <is>
          <t>Not Eligible</t>
        </is>
      </c>
      <c r="CL2686"/>
      <c r="CM2686"/>
    </row>
    <row r="2687" ht="25.5" customHeight="1">
      <c r="A2687" t="inlineStr">
        <is>
          <t>165177</t>
        </is>
      </c>
      <c r="B2687" s="2"/>
      <c r="C2687"/>
      <c r="D2687" s="3">
        <v>46119.7084837963</v>
      </c>
      <c r="E2687" t="inlineStr">
        <is>
          <t>Q2-W01</t>
        </is>
      </c>
      <c r="F2687" t="inlineStr">
        <is>
          <t>Evan</t>
        </is>
      </c>
      <c r="G2687" t="inlineStr">
        <is>
          <t>Customer</t>
        </is>
      </c>
      <c r="H2687" s="2" t="str">
        <f>=HYPERLINK("https://upbox.ajobthing.my/customer/165177", "https://upbox.ajobthing.my/customer/165177")</f>
        <v>https://upbox.ajobthing.my/customer/165177</v>
      </c>
      <c r="I2687" t="inlineStr">
        <is>
          <t>DGS Solution Sdn. Bhd.</t>
        </is>
      </c>
      <c r="J2687" t="inlineStr">
        <is>
          <t>Small Fish</t>
        </is>
      </c>
      <c r="K2687" t="inlineStr">
        <is>
          <t>Evan</t>
        </is>
      </c>
      <c r="L2687" s="4"/>
      <c r="M2687" s="4">
        <v>46119.70657407407</v>
      </c>
      <c r="N2687"/>
      <c r="O2687">
        <v>3672</v>
      </c>
      <c r="P2687" s="4"/>
      <c r="Q2687" s="4">
        <v>46100.37975694444</v>
      </c>
      <c r="R2687"/>
      <c r="S2687">
        <v>0</v>
      </c>
      <c r="T2687" s="4">
        <v>45345.699907407405</v>
      </c>
      <c r="U2687" s="4"/>
      <c r="V2687"/>
      <c r="W2687">
        <v>636</v>
      </c>
      <c r="X2687"/>
      <c r="Y2687" t="inlineStr">
        <is>
          <t>Pending Appointment</t>
        </is>
      </c>
      <c r="Z2687" t="inlineStr">
        <is>
          <t>Hiring Now</t>
        </is>
      </c>
      <c r="AA2687">
        <v>1</v>
      </c>
      <c r="AB2687" t="inlineStr">
        <is>
          <t>No Appointment Made</t>
        </is>
      </c>
      <c r="AC2687"/>
      <c r="AD2687" t="inlineStr">
        <is>
          <t>1 admin, all base in kl</t>
        </is>
      </c>
      <c r="AE2687"/>
      <c r="AF2687">
        <v>100</v>
      </c>
      <c r="AG2687" s="4"/>
      <c r="AH2687" s="4"/>
      <c r="AI2687">
        <v>100</v>
      </c>
      <c r="AJ2687">
        <v>1</v>
      </c>
      <c r="AK2687" t="inlineStr">
        <is>
          <t>No, I don't need at all</t>
        </is>
      </c>
      <c r="AL2687">
        <v>0</v>
      </c>
      <c r="AM2687" t="inlineStr">
        <is>
          <t>No, I don't need at all</t>
        </is>
      </c>
      <c r="AN2687"/>
      <c r="AO2687" t="inlineStr">
        <is>
          <t>No, I don't need at all</t>
        </is>
      </c>
      <c r="AP2687" t="inlineStr">
        <is>
          <t>Once a year (25%)</t>
        </is>
      </c>
      <c r="AQ2687">
        <v>1</v>
      </c>
      <c r="AR2687" t="inlineStr">
        <is>
          <t>Did not use any job portal</t>
        </is>
      </c>
      <c r="AS2687" t="inlineStr">
        <is>
          <t>- Headcount: 1
- Hiring Job Details: 1 admin, all base in kl
- Hiring Urgency: Hiring Now
- Number of outlets: 1
- Have recruiter team: No, I don't need at all
- Number of recruiter in company: 0
- Have ATS system: No, I don't need at all
- Have career website: No, I don't need at all
- Current hiring budget: RM100
- Whole year budget: RM100.00
- Whole year number of vacancies: 1
- Hiring frequency: Once a year (25%)
- External job portal: Did not use any job portal</t>
        </is>
      </c>
      <c r="AT2687">
        <v>110</v>
      </c>
      <c r="AU2687" t="inlineStr">
        <is>
          <t>1.10</t>
        </is>
      </c>
      <c r="AV2687" t="inlineStr">
        <is>
          <t>15</t>
        </is>
      </c>
      <c r="AW2687" t="inlineStr">
        <is>
          <t>0</t>
        </is>
      </c>
      <c r="AX2687" t="inlineStr">
        <is>
          <t>Not Qualified</t>
        </is>
      </c>
      <c r="AY2687" s="4"/>
      <c r="AZ2687"/>
      <c r="BA2687"/>
      <c r="BB2687"/>
      <c r="BC2687" t="inlineStr">
        <is>
          <t>pending</t>
        </is>
      </c>
      <c r="BD2687" s="4">
        <v>46133.71796296296</v>
      </c>
      <c r="BE2687" t="inlineStr">
        <is>
          <t>paid</t>
        </is>
      </c>
      <c r="BF2687"/>
      <c r="BG2687" t="inlineStr">
        <is>
          <t>Reschedule</t>
        </is>
      </c>
      <c r="BH2687" t="inlineStr">
        <is>
          <t>Edward Hoo</t>
        </is>
      </c>
      <c r="BI2687" t="inlineStr">
        <is>
          <t>IT / Software</t>
        </is>
      </c>
      <c r="BJ2687" s="4">
        <v>46144.751226851855</v>
      </c>
      <c r="BK2687" s="4">
        <v>44993.50833333333</v>
      </c>
      <c r="BL2687" t="inlineStr">
        <is>
          <t>0.0</t>
        </is>
      </c>
      <c r="BM2687" t="inlineStr">
        <is>
          <t>0.0</t>
        </is>
      </c>
      <c r="BN2687" t="inlineStr">
        <is>
          <t>View Company Page</t>
        </is>
      </c>
      <c r="BO2687" s="4">
        <v>46119.7058912037</v>
      </c>
      <c r="BP2687">
        <v>165765</v>
      </c>
      <c r="BQ2687">
        <v>117901</v>
      </c>
      <c r="BR2687" t="inlineStr">
        <is>
          <t>Proforma</t>
        </is>
      </c>
      <c r="BS2687" t="inlineStr">
        <is>
          <t>Free Part-Time Job</t>
        </is>
      </c>
      <c r="BT2687">
        <v>66191</v>
      </c>
      <c r="BU2687"/>
      <c r="BV2687">
        <v>2719021</v>
      </c>
      <c r="BW2687" t="inlineStr">
        <is>
          <t>Follow Up : Decision Pending</t>
        </is>
      </c>
      <c r="BX2687"/>
      <c r="BY2687"/>
      <c r="BZ2687" s="4"/>
      <c r="CA2687"/>
      <c r="CB2687"/>
      <c r="CC2687" s="4"/>
      <c r="CD2687" t="inlineStr">
        <is>
          <t>20</t>
        </is>
      </c>
      <c r="CE2687" t="inlineStr">
        <is>
          <t>0</t>
        </is>
      </c>
      <c r="CF2687" t="inlineStr">
        <is>
          <t>Q2-W01</t>
        </is>
      </c>
      <c r="CG2687" t="inlineStr">
        <is>
          <t>Q1-W11</t>
        </is>
      </c>
      <c r="CH2687"/>
      <c r="CI2687"/>
      <c r="CJ2687" t="inlineStr">
        <is>
          <t>Paid</t>
        </is>
      </c>
      <c r="CK2687" t="inlineStr">
        <is>
          <t>Not Eligible</t>
        </is>
      </c>
      <c r="CL2687"/>
      <c r="CM2687"/>
    </row>
    <row r="2688" ht="25.5" customHeight="1">
      <c r="A2688" t="inlineStr">
        <is>
          <t>146771</t>
        </is>
      </c>
      <c r="B2688" s="2"/>
      <c r="C2688"/>
      <c r="D2688" s="3">
        <v>46119.71167824074</v>
      </c>
      <c r="E2688" t="inlineStr">
        <is>
          <t>Q2-W01</t>
        </is>
      </c>
      <c r="F2688" t="inlineStr">
        <is>
          <t>Lucas</t>
        </is>
      </c>
      <c r="G2688" t="inlineStr">
        <is>
          <t>Customer</t>
        </is>
      </c>
      <c r="H2688" s="2" t="str">
        <f>=HYPERLINK("https://upbox.ajobthing.my/customer/146771", "https://upbox.ajobthing.my/customer/146771")</f>
        <v>https://upbox.ajobthing.my/customer/146771</v>
      </c>
      <c r="I2688" t="inlineStr">
        <is>
          <t>Inaz Beauty Spa</t>
        </is>
      </c>
      <c r="J2688" t="inlineStr">
        <is>
          <t>Small Fish</t>
        </is>
      </c>
      <c r="K2688" t="inlineStr">
        <is>
          <t>Lucas</t>
        </is>
      </c>
      <c r="L2688" s="4"/>
      <c r="M2688" s="4">
        <v>46119.709861111114</v>
      </c>
      <c r="N2688"/>
      <c r="O2688">
        <v>3888</v>
      </c>
      <c r="P2688" s="4"/>
      <c r="Q2688" s="4">
        <v>44573.44525462963</v>
      </c>
      <c r="R2688"/>
      <c r="S2688">
        <v>424</v>
      </c>
      <c r="T2688" s="4">
        <v>44573.44525462963</v>
      </c>
      <c r="U2688" s="4"/>
      <c r="V2688"/>
      <c r="W2688">
        <v>424</v>
      </c>
      <c r="X2688"/>
      <c r="Y2688" t="inlineStr">
        <is>
          <t>Pending Appointment</t>
        </is>
      </c>
      <c r="Z2688" t="inlineStr">
        <is>
          <t>Hiring Now</t>
        </is>
      </c>
      <c r="AA2688">
        <v>2</v>
      </c>
      <c r="AB2688" t="inlineStr">
        <is>
          <t>No Appointment Made</t>
        </is>
      </c>
      <c r="AC2688"/>
      <c r="AD2688" t="inlineStr">
        <is>
          <t xml:space="preserve">2 content creator </t>
        </is>
      </c>
      <c r="AE2688"/>
      <c r="AF2688">
        <v>0</v>
      </c>
      <c r="AG2688" s="4"/>
      <c r="AH2688" s="4"/>
      <c r="AI2688">
        <v>0</v>
      </c>
      <c r="AJ2688">
        <v>0</v>
      </c>
      <c r="AK2688" t="inlineStr">
        <is>
          <t>No, I don't need at all</t>
        </is>
      </c>
      <c r="AL2688">
        <v>0</v>
      </c>
      <c r="AM2688" t="inlineStr">
        <is>
          <t>No, I don't need at all</t>
        </is>
      </c>
      <c r="AN2688"/>
      <c r="AO2688" t="inlineStr">
        <is>
          <t>No, I don't need at all</t>
        </is>
      </c>
      <c r="AP2688" t="inlineStr">
        <is>
          <t>Once a year (25%)</t>
        </is>
      </c>
      <c r="AQ2688">
        <v>2</v>
      </c>
      <c r="AR2688" t="inlineStr">
        <is>
          <t>Did not use any job portal</t>
        </is>
      </c>
      <c r="AS2688" t="inlineStr">
        <is>
          <t>- Headcount: 2
- Hiring Job Details: 2 content creator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Did not use any job portal</t>
        </is>
      </c>
      <c r="AT2688">
        <v>105</v>
      </c>
      <c r="AU2688" t="inlineStr">
        <is>
          <t>1.05</t>
        </is>
      </c>
      <c r="AV2688" t="inlineStr">
        <is>
          <t>15</t>
        </is>
      </c>
      <c r="AW2688" t="inlineStr">
        <is>
          <t>0</t>
        </is>
      </c>
      <c r="AX2688" t="inlineStr">
        <is>
          <t>Not Qualified</t>
        </is>
      </c>
      <c r="AY2688" s="4"/>
      <c r="AZ2688"/>
      <c r="BA2688"/>
      <c r="BB2688"/>
      <c r="BC2688" t="inlineStr">
        <is>
          <t>upfront reject</t>
        </is>
      </c>
      <c r="BD2688" s="4">
        <v>46136.59284722222</v>
      </c>
      <c r="BE2688" t="inlineStr">
        <is>
          <t>paid</t>
        </is>
      </c>
      <c r="BF2688"/>
      <c r="BG2688" t="inlineStr">
        <is>
          <t>Reschedule</t>
        </is>
      </c>
      <c r="BH2688" t="inlineStr">
        <is>
          <t>Yee Hang</t>
        </is>
      </c>
      <c r="BI2688"/>
      <c r="BJ2688" s="4">
        <v>46144.75077546296</v>
      </c>
      <c r="BK2688" s="4">
        <v>44568.57466435185</v>
      </c>
      <c r="BL2688" t="inlineStr">
        <is>
          <t>0.0</t>
        </is>
      </c>
      <c r="BM2688" t="inlineStr">
        <is>
          <t>0.0</t>
        </is>
      </c>
      <c r="BN2688" t="inlineStr">
        <is>
          <t>View Create Job Page V4</t>
        </is>
      </c>
      <c r="BO2688" s="4">
        <v>46116.97052083333</v>
      </c>
      <c r="BP2688">
        <v>165766</v>
      </c>
      <c r="BQ2688">
        <v>39642</v>
      </c>
      <c r="BR2688" t="inlineStr">
        <is>
          <t>Online</t>
        </is>
      </c>
      <c r="BS2688"/>
      <c r="BT2688">
        <v>39642</v>
      </c>
      <c r="BU2688"/>
      <c r="BV2688">
        <v>2726400</v>
      </c>
      <c r="BW2688" t="inlineStr">
        <is>
          <t>Follow Up : Budget Concern</t>
        </is>
      </c>
      <c r="BX2688"/>
      <c r="BY2688"/>
      <c r="BZ2688" s="4"/>
      <c r="CA2688"/>
      <c r="CB2688"/>
      <c r="CC2688" s="4"/>
      <c r="CD2688" t="inlineStr">
        <is>
          <t>20</t>
        </is>
      </c>
      <c r="CE2688" t="inlineStr">
        <is>
          <t>0</t>
        </is>
      </c>
      <c r="CF2688" t="inlineStr">
        <is>
          <t>Q2-W01</t>
        </is>
      </c>
      <c r="CG2688"/>
      <c r="CH2688"/>
      <c r="CI2688"/>
      <c r="CJ2688" t="inlineStr">
        <is>
          <t>Paid</t>
        </is>
      </c>
      <c r="CK2688" t="inlineStr">
        <is>
          <t>Not Eligible</t>
        </is>
      </c>
      <c r="CL2688"/>
      <c r="CM2688"/>
    </row>
    <row r="2689" ht="25.5" customHeight="1">
      <c r="A2689" t="inlineStr">
        <is>
          <t>4255807</t>
        </is>
      </c>
      <c r="B2689" s="2"/>
      <c r="C2689"/>
      <c r="D2689" s="3">
        <v>46119.717986111114</v>
      </c>
      <c r="E2689" t="inlineStr">
        <is>
          <t>Q2-W01</t>
        </is>
      </c>
      <c r="F2689" t="inlineStr">
        <is>
          <t>Angel  Low</t>
        </is>
      </c>
      <c r="G2689" t="inlineStr">
        <is>
          <t>Lead</t>
        </is>
      </c>
      <c r="H2689" s="2" t="str">
        <f>=HYPERLINK("https://upbox.ajobthing.my/leads/4255807", "https://upbox.ajobthing.my/leads/4255807")</f>
        <v>https://upbox.ajobthing.my/leads/4255807</v>
      </c>
      <c r="I2689" t="inlineStr">
        <is>
          <t>The Garden Food Industries (M) Sdn Bhd</t>
        </is>
      </c>
      <c r="J2689" t="inlineStr">
        <is>
          <t>Small Fish</t>
        </is>
      </c>
      <c r="K2689" t="inlineStr">
        <is>
          <t>Angel Low</t>
        </is>
      </c>
      <c r="L2689" s="4"/>
      <c r="M2689" s="4">
        <v>46119.72070601852</v>
      </c>
      <c r="N2689"/>
      <c r="O2689">
        <v>5508</v>
      </c>
      <c r="P2689" s="4"/>
      <c r="Q2689" s="4"/>
      <c r="R2689"/>
      <c r="S2689"/>
      <c r="T2689" s="4"/>
      <c r="U2689" s="4"/>
      <c r="V2689"/>
      <c r="W2689"/>
      <c r="X2689"/>
      <c r="Y2689" t="inlineStr">
        <is>
          <t>Pending Appointment</t>
        </is>
      </c>
      <c r="Z2689"/>
      <c r="AA2689">
        <v>1</v>
      </c>
      <c r="AB2689" t="inlineStr">
        <is>
          <t>No Appointment Made</t>
        </is>
      </c>
      <c r="AC2689"/>
      <c r="AD2689" t="inlineStr">
        <is>
          <t xml:space="preserve">1 operator jalan klang lama </t>
        </is>
      </c>
      <c r="AE2689"/>
      <c r="AF2689"/>
      <c r="AG2689" s="4"/>
      <c r="AH2689" s="4"/>
      <c r="AI2689"/>
      <c r="AJ2689"/>
      <c r="AK2689"/>
      <c r="AL2689"/>
      <c r="AM2689"/>
      <c r="AN2689"/>
      <c r="AO2689"/>
      <c r="AP2689"/>
      <c r="AQ2689"/>
      <c r="AR2689"/>
      <c r="AS2689" t="inlineStr">
        <is>
          <t>- Headcount: 1
- Hiring Job Details: 1 operator jalan klang lama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689">
        <v>65</v>
      </c>
      <c r="AU2689" t="inlineStr">
        <is>
          <t>0.65</t>
        </is>
      </c>
      <c r="AV2689" t="inlineStr">
        <is>
          <t>5</t>
        </is>
      </c>
      <c r="AW2689" t="inlineStr">
        <is>
          <t>0</t>
        </is>
      </c>
      <c r="AX2689" t="inlineStr">
        <is>
          <t>Not Qualified</t>
        </is>
      </c>
      <c r="AY2689" s="4"/>
      <c r="AZ2689"/>
      <c r="BA2689"/>
      <c r="BB2689"/>
      <c r="BC2689"/>
      <c r="BD2689" s="4"/>
      <c r="BE2689"/>
      <c r="BF2689"/>
      <c r="BG2689" t="inlineStr">
        <is>
          <t>Reschedule</t>
        </is>
      </c>
      <c r="BH2689" t="inlineStr">
        <is>
          <t>Fauziah Maharan</t>
        </is>
      </c>
      <c r="BI2689"/>
      <c r="BJ2689" s="4">
        <v>46144.755740740744</v>
      </c>
      <c r="BK2689" s="4">
        <v>46119.53362268519</v>
      </c>
      <c r="BL2689" t="inlineStr">
        <is>
          <t>0.0</t>
        </is>
      </c>
      <c r="BM2689" t="inlineStr">
        <is>
          <t>0.0</t>
        </is>
      </c>
      <c r="BN2689"/>
      <c r="BO2689" s="4"/>
      <c r="BP2689">
        <v>165774</v>
      </c>
      <c r="BQ2689"/>
      <c r="BR2689"/>
      <c r="BS2689"/>
      <c r="BT2689"/>
      <c r="BU2689"/>
      <c r="BV2689"/>
      <c r="BW2689"/>
      <c r="BX2689"/>
      <c r="BY2689"/>
      <c r="BZ2689" s="4"/>
      <c r="CA2689"/>
      <c r="CB2689"/>
      <c r="CC2689" s="4"/>
      <c r="CD2689" t="inlineStr">
        <is>
          <t>5</t>
        </is>
      </c>
      <c r="CE2689" t="inlineStr">
        <is>
          <t>0</t>
        </is>
      </c>
      <c r="CF2689" t="inlineStr">
        <is>
          <t>Q2-W01</t>
        </is>
      </c>
      <c r="CG2689"/>
      <c r="CH2689"/>
      <c r="CI2689"/>
      <c r="CJ2689" t="inlineStr">
        <is>
          <t>No Paid</t>
        </is>
      </c>
      <c r="CK2689" t="inlineStr">
        <is>
          <t>Not Eligible</t>
        </is>
      </c>
      <c r="CL2689"/>
      <c r="CM2689"/>
    </row>
    <row r="2690" ht="25.5" customHeight="1">
      <c r="A2690" t="inlineStr">
        <is>
          <t>189787</t>
        </is>
      </c>
      <c r="B2690" s="2"/>
      <c r="C2690"/>
      <c r="D2690" s="3">
        <v>46119.72498842593</v>
      </c>
      <c r="E2690" t="inlineStr">
        <is>
          <t>Q2-W01</t>
        </is>
      </c>
      <c r="F2690" t="inlineStr">
        <is>
          <t>Clover</t>
        </is>
      </c>
      <c r="G2690" t="inlineStr">
        <is>
          <t>Customer</t>
        </is>
      </c>
      <c r="H2690" s="2" t="str">
        <f>=HYPERLINK("https://upbox.ajobthing.my/customer/189787", "https://upbox.ajobthing.my/customer/189787")</f>
        <v>https://upbox.ajobthing.my/customer/189787</v>
      </c>
      <c r="I2690" t="inlineStr">
        <is>
          <t>Zufaidi &amp; Associates</t>
        </is>
      </c>
      <c r="J2690" t="inlineStr">
        <is>
          <t>Small Fish</t>
        </is>
      </c>
      <c r="K2690" t="inlineStr">
        <is>
          <t>Clover</t>
        </is>
      </c>
      <c r="L2690" s="4"/>
      <c r="M2690" s="4">
        <v>46119.72521990741</v>
      </c>
      <c r="N2690"/>
      <c r="O2690">
        <v>3888</v>
      </c>
      <c r="P2690" s="4"/>
      <c r="Q2690" s="4"/>
      <c r="R2690"/>
      <c r="S2690"/>
      <c r="T2690" s="4"/>
      <c r="U2690" s="4"/>
      <c r="V2690"/>
      <c r="W2690"/>
      <c r="X2690"/>
      <c r="Y2690" t="inlineStr">
        <is>
          <t>Pending Appointment</t>
        </is>
      </c>
      <c r="Z2690" t="inlineStr">
        <is>
          <t>Hiring Later</t>
        </is>
      </c>
      <c r="AA2690">
        <v>0</v>
      </c>
      <c r="AB2690" t="inlineStr">
        <is>
          <t>No Appointment Made</t>
        </is>
      </c>
      <c r="AC2690"/>
      <c r="AD2690" t="inlineStr">
        <is>
          <t>No hiring atm, previous hire video assistant, general clerk, x1-2,  gombark, suggest stand</t>
        </is>
      </c>
      <c r="AE2690"/>
      <c r="AF2690">
        <v>3000</v>
      </c>
      <c r="AG2690" s="4"/>
      <c r="AH2690" s="4"/>
      <c r="AI2690"/>
      <c r="AJ2690"/>
      <c r="AK2690" t="inlineStr">
        <is>
          <t>No, but I want in future</t>
        </is>
      </c>
      <c r="AL2690"/>
      <c r="AM2690"/>
      <c r="AN2690"/>
      <c r="AO2690"/>
      <c r="AP2690" t="inlineStr">
        <is>
          <t>Twice a year (50%)</t>
        </is>
      </c>
      <c r="AQ2690"/>
      <c r="AR2690"/>
      <c r="AS2690" t="inlineStr">
        <is>
          <t>- Headcount: 0
- Hiring Job Details: No hiring atm, previous hire video assistant, general clerk, x1-2, gombark, suggest stand
- Hiring Urgency: Hiring Later
- Number of outlets: Not available
- Have recruiter team: No, but want in future
- Number of recruiter in company: Not available
- Have ATS system: Not available
- Have career website: Not available
- Current hiring budget: RM3,000.00
- Whole year budget: Not available
- Whole year number of vacancies: Not available
- Hiring frequency: Twice a year (50%)
- External job portal: Not available</t>
        </is>
      </c>
      <c r="AT2690">
        <v>45</v>
      </c>
      <c r="AU2690" t="inlineStr">
        <is>
          <t>0.45</t>
        </is>
      </c>
      <c r="AV2690" t="inlineStr">
        <is>
          <t>15</t>
        </is>
      </c>
      <c r="AW2690" t="inlineStr">
        <is>
          <t>0</t>
        </is>
      </c>
      <c r="AX2690" t="inlineStr">
        <is>
          <t>Not Qualified</t>
        </is>
      </c>
      <c r="AY2690" s="4"/>
      <c r="AZ2690"/>
      <c r="BA2690"/>
      <c r="BB2690"/>
      <c r="BC2690" t="inlineStr">
        <is>
          <t>Ms Wani new PIC, job filled, if want will contact, prefer wa no call</t>
        </is>
      </c>
      <c r="BD2690" s="4">
        <v>46135.710648148146</v>
      </c>
      <c r="BE2690"/>
      <c r="BF2690"/>
      <c r="BG2690" t="inlineStr">
        <is>
          <t>Reschedule</t>
        </is>
      </c>
      <c r="BH2690" t="inlineStr">
        <is>
          <t>Reagen</t>
        </is>
      </c>
      <c r="BI2690"/>
      <c r="BJ2690" s="4">
        <v>46144.75232638889</v>
      </c>
      <c r="BK2690" s="4">
        <v>45756.710486111115</v>
      </c>
      <c r="BL2690" t="inlineStr">
        <is>
          <t>0.0</t>
        </is>
      </c>
      <c r="BM2690" t="inlineStr">
        <is>
          <t>0.0</t>
        </is>
      </c>
      <c r="BN2690" t="inlineStr">
        <is>
          <t>View Create Job Page</t>
        </is>
      </c>
      <c r="BO2690" s="4">
        <v>45756.72016203704</v>
      </c>
      <c r="BP2690">
        <v>165777</v>
      </c>
      <c r="BQ2690"/>
      <c r="BR2690"/>
      <c r="BS2690"/>
      <c r="BT2690"/>
      <c r="BU2690"/>
      <c r="BV2690">
        <v>2724944</v>
      </c>
      <c r="BW2690" t="inlineStr">
        <is>
          <t>Follow Up : Lost - Free Portal</t>
        </is>
      </c>
      <c r="BX2690"/>
      <c r="BY2690"/>
      <c r="BZ2690" s="4"/>
      <c r="CA2690"/>
      <c r="CB2690"/>
      <c r="CC2690" s="4"/>
      <c r="CD2690" t="inlineStr">
        <is>
          <t>20</t>
        </is>
      </c>
      <c r="CE2690" t="inlineStr">
        <is>
          <t>0</t>
        </is>
      </c>
      <c r="CF2690" t="inlineStr">
        <is>
          <t>Q2-W01</t>
        </is>
      </c>
      <c r="CG2690"/>
      <c r="CH2690"/>
      <c r="CI2690"/>
      <c r="CJ2690" t="inlineStr">
        <is>
          <t>No Paid</t>
        </is>
      </c>
      <c r="CK2690" t="inlineStr">
        <is>
          <t>Not Eligible</t>
        </is>
      </c>
      <c r="CL2690"/>
      <c r="CM2690"/>
    </row>
    <row r="2691" ht="25.5" customHeight="1">
      <c r="A2691" t="inlineStr">
        <is>
          <t>4256693</t>
        </is>
      </c>
      <c r="B2691" s="2"/>
      <c r="C2691"/>
      <c r="D2691" s="3">
        <v>46119.73707175926</v>
      </c>
      <c r="E2691" t="inlineStr">
        <is>
          <t>Q2-W01</t>
        </is>
      </c>
      <c r="F2691" t="inlineStr">
        <is>
          <t>Eugene</t>
        </is>
      </c>
      <c r="G2691" t="inlineStr">
        <is>
          <t>Lead</t>
        </is>
      </c>
      <c r="H2691" s="2" t="str">
        <f>=HYPERLINK("https://upbox.ajobthing.my/leads/4256693", "https://upbox.ajobthing.my/leads/4256693")</f>
        <v>https://upbox.ajobthing.my/leads/4256693</v>
      </c>
      <c r="I2691" t="inlineStr">
        <is>
          <t>NSN Technology Sdn Bhd</t>
        </is>
      </c>
      <c r="J2691" t="inlineStr">
        <is>
          <t>Small Fish</t>
        </is>
      </c>
      <c r="K2691" t="inlineStr">
        <is>
          <t>Eugene</t>
        </is>
      </c>
      <c r="L2691" s="4"/>
      <c r="M2691" s="4">
        <v>46119.71074074074</v>
      </c>
      <c r="N2691"/>
      <c r="O2691">
        <v>3888</v>
      </c>
      <c r="P2691" s="4"/>
      <c r="Q2691" s="4"/>
      <c r="R2691"/>
      <c r="S2691"/>
      <c r="T2691" s="4"/>
      <c r="U2691" s="4"/>
      <c r="V2691"/>
      <c r="W2691"/>
      <c r="X2691"/>
      <c r="Y2691" t="inlineStr">
        <is>
          <t>Pending Appointment</t>
        </is>
      </c>
      <c r="Z2691" t="inlineStr">
        <is>
          <t>Hiring Now</t>
        </is>
      </c>
      <c r="AA2691">
        <v>1</v>
      </c>
      <c r="AB2691" t="inlineStr">
        <is>
          <t>No Appointment Made</t>
        </is>
      </c>
      <c r="AC2691"/>
      <c r="AD2691" t="inlineStr">
        <is>
          <t>1 position, based in KL</t>
        </is>
      </c>
      <c r="AE2691"/>
      <c r="AF2691">
        <v>3000</v>
      </c>
      <c r="AG2691" s="4"/>
      <c r="AH2691" s="4"/>
      <c r="AI2691">
        <v>3000</v>
      </c>
      <c r="AJ2691">
        <v>1</v>
      </c>
      <c r="AK2691" t="inlineStr">
        <is>
          <t>No, I don't need at all</t>
        </is>
      </c>
      <c r="AL2691">
        <v>1</v>
      </c>
      <c r="AM2691" t="inlineStr">
        <is>
          <t>No, I don't need at all</t>
        </is>
      </c>
      <c r="AN2691"/>
      <c r="AO2691" t="inlineStr">
        <is>
          <t>No, I don't need at all</t>
        </is>
      </c>
      <c r="AP2691" t="inlineStr">
        <is>
          <t>Once a year (25%)</t>
        </is>
      </c>
      <c r="AQ2691">
        <v>3</v>
      </c>
      <c r="AR2691" t="inlineStr">
        <is>
          <t>Jobstreet, Indeed (Paid)</t>
        </is>
      </c>
      <c r="AS2691"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Jobstreet,Indeed (Paid)</t>
        </is>
      </c>
      <c r="AT2691">
        <v>115</v>
      </c>
      <c r="AU2691" t="inlineStr">
        <is>
          <t>1.15</t>
        </is>
      </c>
      <c r="AV2691" t="inlineStr">
        <is>
          <t>15</t>
        </is>
      </c>
      <c r="AW2691" t="inlineStr">
        <is>
          <t>0</t>
        </is>
      </c>
      <c r="AX2691" t="inlineStr">
        <is>
          <t>Not Qualified</t>
        </is>
      </c>
      <c r="AY2691" s="4"/>
      <c r="AZ2691"/>
      <c r="BA2691"/>
      <c r="BB2691"/>
      <c r="BC2691"/>
      <c r="BD2691" s="4"/>
      <c r="BE2691"/>
      <c r="BF2691"/>
      <c r="BG2691" t="inlineStr">
        <is>
          <t>Reschedule</t>
        </is>
      </c>
      <c r="BH2691" t="inlineStr">
        <is>
          <t>Edward Hoo</t>
        </is>
      </c>
      <c r="BI2691"/>
      <c r="BJ2691" s="4">
        <v>46144.755740740744</v>
      </c>
      <c r="BK2691" s="4">
        <v>46119.68755787037</v>
      </c>
      <c r="BL2691" t="inlineStr">
        <is>
          <t>0.0</t>
        </is>
      </c>
      <c r="BM2691" t="inlineStr">
        <is>
          <t>600.0</t>
        </is>
      </c>
      <c r="BN2691"/>
      <c r="BO2691" s="4"/>
      <c r="BP2691">
        <v>165768</v>
      </c>
      <c r="BQ2691"/>
      <c r="BR2691"/>
      <c r="BS2691"/>
      <c r="BT2691"/>
      <c r="BU2691"/>
      <c r="BV2691"/>
      <c r="BW2691"/>
      <c r="BX2691"/>
      <c r="BY2691"/>
      <c r="BZ2691" s="4"/>
      <c r="CA2691"/>
      <c r="CB2691"/>
      <c r="CC2691" s="4"/>
      <c r="CD2691" t="inlineStr">
        <is>
          <t>20</t>
        </is>
      </c>
      <c r="CE2691" t="inlineStr">
        <is>
          <t>0</t>
        </is>
      </c>
      <c r="CF2691" t="inlineStr">
        <is>
          <t>Q2-W01</t>
        </is>
      </c>
      <c r="CG2691"/>
      <c r="CH2691"/>
      <c r="CI2691"/>
      <c r="CJ2691" t="inlineStr">
        <is>
          <t>No Paid</t>
        </is>
      </c>
      <c r="CK2691" t="inlineStr">
        <is>
          <t>Not Eligible</t>
        </is>
      </c>
      <c r="CL2691"/>
      <c r="CM2691"/>
    </row>
    <row r="2692" ht="25.5" customHeight="1">
      <c r="A2692" t="inlineStr">
        <is>
          <t>175473</t>
        </is>
      </c>
      <c r="B2692" s="2"/>
      <c r="C2692"/>
      <c r="D2692" s="3">
        <v>46119.74519675926</v>
      </c>
      <c r="E2692" t="inlineStr">
        <is>
          <t>Q2-W01</t>
        </is>
      </c>
      <c r="F2692" t="inlineStr">
        <is>
          <t>Edward Hoo</t>
        </is>
      </c>
      <c r="G2692" t="inlineStr">
        <is>
          <t>Customer</t>
        </is>
      </c>
      <c r="H2692" s="2" t="str">
        <f>=HYPERLINK("https://upbox.ajobthing.my/customer/175473", "https://upbox.ajobthing.my/customer/175473")</f>
        <v>https://upbox.ajobthing.my/customer/175473</v>
      </c>
      <c r="I2692" t="inlineStr">
        <is>
          <t>Agensi Pekerjaan AJobThing Sdn Bhd</t>
        </is>
      </c>
      <c r="J2692" t="inlineStr">
        <is>
          <t>Small Fish</t>
        </is>
      </c>
      <c r="K2692" t="inlineStr">
        <is>
          <t>Edward</t>
        </is>
      </c>
      <c r="L2692" s="4"/>
      <c r="M2692" s="4">
        <v>46119.729097222225</v>
      </c>
      <c r="N2692"/>
      <c r="O2692">
        <v>3888</v>
      </c>
      <c r="P2692" s="4"/>
      <c r="Q2692" s="4">
        <v>46119.73069444444</v>
      </c>
      <c r="R2692"/>
      <c r="S2692">
        <v>3888</v>
      </c>
      <c r="T2692" s="4"/>
      <c r="U2692" s="4"/>
      <c r="V2692"/>
      <c r="W2692"/>
      <c r="X2692"/>
      <c r="Y2692" t="inlineStr">
        <is>
          <t>Pending Appointment</t>
        </is>
      </c>
      <c r="Z2692" t="inlineStr">
        <is>
          <t>Hiring Now</t>
        </is>
      </c>
      <c r="AA2692">
        <v>1</v>
      </c>
      <c r="AB2692" t="inlineStr">
        <is>
          <t>No Appointment Made</t>
        </is>
      </c>
      <c r="AC2692"/>
      <c r="AD2692" t="inlineStr">
        <is>
          <t>1 admin</t>
        </is>
      </c>
      <c r="AE2692"/>
      <c r="AF2692">
        <v>5000</v>
      </c>
      <c r="AG2692" s="4"/>
      <c r="AH2692" s="4"/>
      <c r="AI2692"/>
      <c r="AJ2692"/>
      <c r="AK2692" t="inlineStr">
        <is>
          <t>No, I don't need at all</t>
        </is>
      </c>
      <c r="AL2692"/>
      <c r="AM2692" t="inlineStr">
        <is>
          <t>No, I don't need at all</t>
        </is>
      </c>
      <c r="AN2692"/>
      <c r="AO2692" t="inlineStr">
        <is>
          <t>No, I don't need at all</t>
        </is>
      </c>
      <c r="AP2692" t="inlineStr">
        <is>
          <t>Once a year (25%)</t>
        </is>
      </c>
      <c r="AQ2692"/>
      <c r="AR2692" t="inlineStr">
        <is>
          <t>Did not use any job portal</t>
        </is>
      </c>
      <c r="AS2692" t="inlineStr">
        <is>
          <t>- Headcount: 1
- Hiring Job Details: 1 admin
- Hiring Urgency: Hiring Now
- Number of outlets: Not provided
- Have recruiter team: No, I don't need at all
- Number of recruiter in company: Not provided
- Have ATS system: No, I don't need at all
- Have career website: No, I don't need at all
- Current hiring budget: RM5,000.00
- Whole year budget: Not provided
- Whole year number of vacancies: Not provided
- Hiring frequency: Once a year (25%)
- External job portal: Did not use any job portal</t>
        </is>
      </c>
      <c r="AT2692">
        <v>95</v>
      </c>
      <c r="AU2692" t="inlineStr">
        <is>
          <t>0.95</t>
        </is>
      </c>
      <c r="AV2692" t="inlineStr">
        <is>
          <t>15</t>
        </is>
      </c>
      <c r="AW2692" t="inlineStr">
        <is>
          <t>0</t>
        </is>
      </c>
      <c r="AX2692" t="inlineStr">
        <is>
          <t>Not Qualified</t>
        </is>
      </c>
      <c r="AY2692" s="4"/>
      <c r="AZ2692"/>
      <c r="BA2692"/>
      <c r="BB2692"/>
      <c r="BC2692" t="inlineStr">
        <is>
          <t>- Headcount: 1
- Hiring Job Details: 1 admin
- Hiring Urgency: Hiring Now
- Number of outlets: Not provided
- Have recruiter team: No, I don't need at all
- Number of recruiter in company: Not provided
- Have ATS system: No, I don't need at all
- Have career website: No, I don't need at all
- Current hiring budget: RM5,000.00
- Whole year budget: Not provided
- Whole year number of vacancies: Not provided
- Hiring frequency: Once a year (25%)
- External job portal: Did not use any job portal</t>
        </is>
      </c>
      <c r="BD2692" s="4">
        <v>46119.75009259259</v>
      </c>
      <c r="BE2692" t="inlineStr">
        <is>
          <t>pending</t>
        </is>
      </c>
      <c r="BF2692"/>
      <c r="BG2692" t="inlineStr">
        <is>
          <t>Reschedule</t>
        </is>
      </c>
      <c r="BH2692"/>
      <c r="BI2692" t="inlineStr">
        <is>
          <t>HR Mgmt / Consulting</t>
        </is>
      </c>
      <c r="BJ2692" s="4">
        <v>46144.751608796294</v>
      </c>
      <c r="BK2692" s="4">
        <v>45341.4684837963</v>
      </c>
      <c r="BL2692" t="inlineStr">
        <is>
          <t>0.0</t>
        </is>
      </c>
      <c r="BM2692" t="inlineStr">
        <is>
          <t>0.0</t>
        </is>
      </c>
      <c r="BN2692" t="inlineStr">
        <is>
          <t>User Visit(Logged In)</t>
        </is>
      </c>
      <c r="BO2692" s="4">
        <v>46140.47027777778</v>
      </c>
      <c r="BP2692">
        <v>165779</v>
      </c>
      <c r="BQ2692">
        <v>120598</v>
      </c>
      <c r="BR2692" t="inlineStr">
        <is>
          <t>Proforma</t>
        </is>
      </c>
      <c r="BS2692" t="inlineStr">
        <is>
          <t>AI Yearly Standard Plan (Jan 26)</t>
        </is>
      </c>
      <c r="BT2692"/>
      <c r="BU2692"/>
      <c r="BV2692">
        <v>2690651</v>
      </c>
      <c r="BW2692" t="inlineStr">
        <is>
          <t>Customer Inquiry</t>
        </is>
      </c>
      <c r="BX2692"/>
      <c r="BY2692"/>
      <c r="BZ2692" s="4"/>
      <c r="CA2692">
        <v>10</v>
      </c>
      <c r="CB2692">
        <v>10</v>
      </c>
      <c r="CC2692" s="4"/>
      <c r="CD2692" t="inlineStr">
        <is>
          <t>20</t>
        </is>
      </c>
      <c r="CE2692" t="inlineStr">
        <is>
          <t>0</t>
        </is>
      </c>
      <c r="CF2692" t="inlineStr">
        <is>
          <t>Q2-W01</t>
        </is>
      </c>
      <c r="CG2692" t="inlineStr">
        <is>
          <t>Q2-W01</t>
        </is>
      </c>
      <c r="CH2692"/>
      <c r="CI2692"/>
      <c r="CJ2692" t="inlineStr">
        <is>
          <t>No Paid</t>
        </is>
      </c>
      <c r="CK2692" t="inlineStr">
        <is>
          <t>Not Eligible</t>
        </is>
      </c>
      <c r="CL2692"/>
      <c r="CM2692"/>
    </row>
    <row r="2693" ht="25.5" customHeight="1">
      <c r="A2693" t="inlineStr">
        <is>
          <t>199572</t>
        </is>
      </c>
      <c r="B2693" s="2"/>
      <c r="C2693"/>
      <c r="D2693" s="3">
        <v>46119.755208333336</v>
      </c>
      <c r="E2693" t="inlineStr">
        <is>
          <t>Q2-W01</t>
        </is>
      </c>
      <c r="F2693" t="inlineStr">
        <is>
          <t>Carmen</t>
        </is>
      </c>
      <c r="G2693" t="inlineStr">
        <is>
          <t>Customer</t>
        </is>
      </c>
      <c r="H2693" s="2" t="str">
        <f>=HYPERLINK("https://upbox.ajobthing.my/customer/199572", "https://upbox.ajobthing.my/customer/199572")</f>
        <v>https://upbox.ajobthing.my/customer/199572</v>
      </c>
      <c r="I2693" t="inlineStr">
        <is>
          <t>Sunny Sky Solutions Sdn. Bhd.</t>
        </is>
      </c>
      <c r="J2693" t="inlineStr">
        <is>
          <t>Small Fish</t>
        </is>
      </c>
      <c r="K2693" t="inlineStr">
        <is>
          <t>Carmen</t>
        </is>
      </c>
      <c r="L2693" s="4"/>
      <c r="M2693" s="4">
        <v>46119.75530092593</v>
      </c>
      <c r="N2693"/>
      <c r="O2693">
        <v>3888</v>
      </c>
      <c r="P2693" s="4"/>
      <c r="Q2693" s="4"/>
      <c r="R2693"/>
      <c r="S2693"/>
      <c r="T2693" s="4"/>
      <c r="U2693" s="4"/>
      <c r="V2693"/>
      <c r="W2693"/>
      <c r="X2693"/>
      <c r="Y2693" t="inlineStr">
        <is>
          <t>Pending Appointment</t>
        </is>
      </c>
      <c r="Z2693" t="inlineStr">
        <is>
          <t>Hiring Now</t>
        </is>
      </c>
      <c r="AA2693">
        <v>2</v>
      </c>
      <c r="AB2693" t="inlineStr">
        <is>
          <t>No Appointment Made</t>
        </is>
      </c>
      <c r="AC2693"/>
      <c r="AD2693" t="inlineStr">
        <is>
          <t>1 admin, 1 project manager</t>
        </is>
      </c>
      <c r="AE2693"/>
      <c r="AF2693">
        <v>200</v>
      </c>
      <c r="AG2693" s="4"/>
      <c r="AH2693" s="4"/>
      <c r="AI2693"/>
      <c r="AJ2693"/>
      <c r="AK2693"/>
      <c r="AL2693"/>
      <c r="AM2693"/>
      <c r="AN2693"/>
      <c r="AO2693"/>
      <c r="AP2693" t="inlineStr">
        <is>
          <t>Once a year (25%)</t>
        </is>
      </c>
      <c r="AQ2693"/>
      <c r="AR2693"/>
      <c r="AS2693" t="inlineStr">
        <is>
          <t>- Headcount: 2
- Hiring Job Details: 1 admin, 1 project manager
- Hiring Urgency: Hiring Now
- Number of outlets: Not available
- Have recruiter team: Not available
- Number of recruiter in company: Not available
- Have ATS system: Not available
- Have career website: Not available
- Current hiring budget: RM200.00
- Whole year budget: Not available
- Whole year number of vacancies: Not available
- Hiring frequency: Once a year (25%)
- External job portal: Not available</t>
        </is>
      </c>
      <c r="AT2693">
        <v>75</v>
      </c>
      <c r="AU2693" t="inlineStr">
        <is>
          <t>0.75</t>
        </is>
      </c>
      <c r="AV2693" t="inlineStr">
        <is>
          <t>15</t>
        </is>
      </c>
      <c r="AW2693" t="inlineStr">
        <is>
          <t>0</t>
        </is>
      </c>
      <c r="AX2693" t="inlineStr">
        <is>
          <t>Not Qualified</t>
        </is>
      </c>
      <c r="AY2693" s="4"/>
      <c r="AZ2693"/>
      <c r="BA2693"/>
      <c r="BB2693"/>
      <c r="BC2693" t="inlineStr">
        <is>
          <t>ask the cdd search package, friendly but long gas</t>
        </is>
      </c>
      <c r="BD2693" s="4">
        <v>46141.6528587963</v>
      </c>
      <c r="BE2693"/>
      <c r="BF2693"/>
      <c r="BG2693" t="inlineStr">
        <is>
          <t>Reschedule</t>
        </is>
      </c>
      <c r="BH2693" t="inlineStr">
        <is>
          <t>Reagen</t>
        </is>
      </c>
      <c r="BI2693"/>
      <c r="BJ2693" s="4">
        <v>46144.75334490741</v>
      </c>
      <c r="BK2693" s="4">
        <v>46010.633125</v>
      </c>
      <c r="BL2693" t="inlineStr">
        <is>
          <t>0.0</t>
        </is>
      </c>
      <c r="BM2693" t="inlineStr">
        <is>
          <t>0.0</t>
        </is>
      </c>
      <c r="BN2693"/>
      <c r="BO2693" s="4"/>
      <c r="BP2693">
        <v>165792</v>
      </c>
      <c r="BQ2693"/>
      <c r="BR2693"/>
      <c r="BS2693"/>
      <c r="BT2693"/>
      <c r="BU2693"/>
      <c r="BV2693">
        <v>2735682</v>
      </c>
      <c r="BW2693" t="inlineStr">
        <is>
          <t>Follow Up : Decision Pending</t>
        </is>
      </c>
      <c r="BX2693"/>
      <c r="BY2693"/>
      <c r="BZ2693" s="4"/>
      <c r="CA2693"/>
      <c r="CB2693"/>
      <c r="CC2693" s="4"/>
      <c r="CD2693" t="inlineStr">
        <is>
          <t>20</t>
        </is>
      </c>
      <c r="CE2693" t="inlineStr">
        <is>
          <t>0</t>
        </is>
      </c>
      <c r="CF2693" t="inlineStr">
        <is>
          <t>Q2-W01</t>
        </is>
      </c>
      <c r="CG2693"/>
      <c r="CH2693"/>
      <c r="CI2693"/>
      <c r="CJ2693" t="inlineStr">
        <is>
          <t>No Paid</t>
        </is>
      </c>
      <c r="CK2693" t="inlineStr">
        <is>
          <t>Not Eligible</t>
        </is>
      </c>
      <c r="CL2693"/>
      <c r="CM2693"/>
    </row>
    <row r="2694" ht="25.5" customHeight="1">
      <c r="A2694" t="inlineStr">
        <is>
          <t>144156</t>
        </is>
      </c>
      <c r="B2694" s="2"/>
      <c r="C2694"/>
      <c r="D2694" s="3">
        <v>46119.758425925924</v>
      </c>
      <c r="E2694" t="inlineStr">
        <is>
          <t>Q2-W01</t>
        </is>
      </c>
      <c r="F2694" t="inlineStr">
        <is>
          <t>Carmen</t>
        </is>
      </c>
      <c r="G2694" t="inlineStr">
        <is>
          <t>Customer</t>
        </is>
      </c>
      <c r="H2694" s="2" t="str">
        <f>=HYPERLINK("https://upbox.ajobthing.my/customer/144156", "https://upbox.ajobthing.my/customer/144156")</f>
        <v>https://upbox.ajobthing.my/customer/144156</v>
      </c>
      <c r="I2694" t="inlineStr">
        <is>
          <t>Frozen  ice Cream</t>
        </is>
      </c>
      <c r="J2694" t="inlineStr">
        <is>
          <t>Small Fish</t>
        </is>
      </c>
      <c r="K2694" t="inlineStr">
        <is>
          <t>Carmen</t>
        </is>
      </c>
      <c r="L2694" s="4"/>
      <c r="M2694" s="4">
        <v>46119.743425925924</v>
      </c>
      <c r="N2694"/>
      <c r="O2694">
        <v>6048</v>
      </c>
      <c r="P2694" s="4"/>
      <c r="Q2694" s="4">
        <v>46111.711539351854</v>
      </c>
      <c r="R2694"/>
      <c r="S2694">
        <v>0</v>
      </c>
      <c r="T2694" s="4"/>
      <c r="U2694" s="4"/>
      <c r="V2694"/>
      <c r="W2694"/>
      <c r="X2694"/>
      <c r="Y2694" t="inlineStr">
        <is>
          <t>Pending Appointment</t>
        </is>
      </c>
      <c r="Z2694" t="inlineStr">
        <is>
          <t>Hiring Later</t>
        </is>
      </c>
      <c r="AA2694">
        <v>9</v>
      </c>
      <c r="AB2694" t="inlineStr">
        <is>
          <t>No Appointment Made</t>
        </is>
      </c>
      <c r="AC2694"/>
      <c r="AD2694" t="inlineStr">
        <is>
          <t>5 kitchen crew, 4 waiters</t>
        </is>
      </c>
      <c r="AE2694"/>
      <c r="AF2694">
        <v>0</v>
      </c>
      <c r="AG2694" s="4"/>
      <c r="AH2694" s="4"/>
      <c r="AI2694"/>
      <c r="AJ2694"/>
      <c r="AK2694" t="inlineStr">
        <is>
          <t>No, I don't need at all</t>
        </is>
      </c>
      <c r="AL2694"/>
      <c r="AM2694"/>
      <c r="AN2694"/>
      <c r="AO2694"/>
      <c r="AP2694" t="inlineStr">
        <is>
          <t>Once a year (25%)</t>
        </is>
      </c>
      <c r="AQ2694"/>
      <c r="AR2694"/>
      <c r="AS2694" t="inlineStr">
        <is>
          <t>- Headcount: 9
- Hiring Job Details: 5 kitchen crew, 4 waiters
- Hiring Urgency: Hiring Later
- Number of outlets: Not available
- Have recruiter team: No, I don't need at all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2694">
        <v>75</v>
      </c>
      <c r="AU2694" t="inlineStr">
        <is>
          <t>0.75</t>
        </is>
      </c>
      <c r="AV2694" t="inlineStr">
        <is>
          <t>20</t>
        </is>
      </c>
      <c r="AW2694" t="inlineStr">
        <is>
          <t>0</t>
        </is>
      </c>
      <c r="AX2694" t="inlineStr">
        <is>
          <t>Not Qualified</t>
        </is>
      </c>
      <c r="AY2694" s="4"/>
      <c r="AZ2694"/>
      <c r="BA2694"/>
      <c r="BB2694"/>
      <c r="BC2694" t="inlineStr">
        <is>
          <t>follow up</t>
        </is>
      </c>
      <c r="BD2694" s="4">
        <v>46133.68770833333</v>
      </c>
      <c r="BE2694" t="inlineStr">
        <is>
          <t>paid</t>
        </is>
      </c>
      <c r="BF2694"/>
      <c r="BG2694" t="inlineStr">
        <is>
          <t>Reschedule</t>
        </is>
      </c>
      <c r="BH2694" t="inlineStr">
        <is>
          <t>Reagen</t>
        </is>
      </c>
      <c r="BI2694"/>
      <c r="BJ2694" s="4">
        <v>46144.75071759259</v>
      </c>
      <c r="BK2694" s="4">
        <v>44519.703668981485</v>
      </c>
      <c r="BL2694" t="inlineStr">
        <is>
          <t>0.0</t>
        </is>
      </c>
      <c r="BM2694" t="inlineStr">
        <is>
          <t>0.0</t>
        </is>
      </c>
      <c r="BN2694" t="inlineStr">
        <is>
          <t>View Create Job Page</t>
        </is>
      </c>
      <c r="BO2694" s="4">
        <v>44519.70394675926</v>
      </c>
      <c r="BP2694">
        <v>165786</v>
      </c>
      <c r="BQ2694">
        <v>118655</v>
      </c>
      <c r="BR2694" t="inlineStr">
        <is>
          <t>Proforma</t>
        </is>
      </c>
      <c r="BS2694" t="inlineStr">
        <is>
          <t>Free High Pay Job</t>
        </is>
      </c>
      <c r="BT2694"/>
      <c r="BU2694"/>
      <c r="BV2694">
        <v>2718833</v>
      </c>
      <c r="BW2694" t="inlineStr">
        <is>
          <t>Follow Up : Callback Request</t>
        </is>
      </c>
      <c r="BX2694"/>
      <c r="BY2694"/>
      <c r="BZ2694" s="4"/>
      <c r="CA2694"/>
      <c r="CB2694"/>
      <c r="CC2694" s="4"/>
      <c r="CD2694" t="inlineStr">
        <is>
          <t>30</t>
        </is>
      </c>
      <c r="CE2694" t="inlineStr">
        <is>
          <t>0</t>
        </is>
      </c>
      <c r="CF2694" t="inlineStr">
        <is>
          <t>Q2-W01</t>
        </is>
      </c>
      <c r="CG2694" t="inlineStr">
        <is>
          <t>Q1-W13</t>
        </is>
      </c>
      <c r="CH2694"/>
      <c r="CI2694"/>
      <c r="CJ2694" t="inlineStr">
        <is>
          <t>No Paid</t>
        </is>
      </c>
      <c r="CK2694" t="inlineStr">
        <is>
          <t>Eligible</t>
        </is>
      </c>
      <c r="CL2694"/>
      <c r="CM2694"/>
    </row>
    <row r="2695" ht="25.5" customHeight="1">
      <c r="A2695" t="inlineStr">
        <is>
          <t>190375</t>
        </is>
      </c>
      <c r="B2695" s="2"/>
      <c r="C2695"/>
      <c r="D2695" s="3">
        <v>46119.882789351854</v>
      </c>
      <c r="E2695" t="inlineStr">
        <is>
          <t>Q2-W01</t>
        </is>
      </c>
      <c r="F2695" t="inlineStr">
        <is>
          <t>Luqman</t>
        </is>
      </c>
      <c r="G2695" t="inlineStr">
        <is>
          <t>Customer</t>
        </is>
      </c>
      <c r="H2695" s="2" t="str">
        <f>=HYPERLINK("https://upbox.ajobthing.my/customer/190375", "https://upbox.ajobthing.my/customer/190375")</f>
        <v>https://upbox.ajobthing.my/customer/190375</v>
      </c>
      <c r="I2695" t="inlineStr">
        <is>
          <t>George Nordin Hashim</t>
        </is>
      </c>
      <c r="J2695" t="inlineStr">
        <is>
          <t>Small Fish</t>
        </is>
      </c>
      <c r="K2695" t="inlineStr">
        <is>
          <t>Luqman</t>
        </is>
      </c>
      <c r="L2695" s="4"/>
      <c r="M2695" s="4">
        <v>46115.477858796294</v>
      </c>
      <c r="N2695"/>
      <c r="O2695">
        <v>648</v>
      </c>
      <c r="P2695" s="4"/>
      <c r="Q2695" s="4">
        <v>45775.57890046296</v>
      </c>
      <c r="R2695"/>
      <c r="S2695">
        <v>648</v>
      </c>
      <c r="T2695" s="4">
        <v>45775.57890046296</v>
      </c>
      <c r="U2695" s="4"/>
      <c r="V2695"/>
      <c r="W2695">
        <v>648</v>
      </c>
      <c r="X2695"/>
      <c r="Y2695" t="inlineStr">
        <is>
          <t>Pending Appointment</t>
        </is>
      </c>
      <c r="Z2695" t="inlineStr">
        <is>
          <t>Hiring Later</t>
        </is>
      </c>
      <c r="AA2695">
        <v>1</v>
      </c>
      <c r="AB2695" t="inlineStr">
        <is>
          <t>No Appointment Made</t>
        </is>
      </c>
      <c r="AC2695"/>
      <c r="AD2695" t="inlineStr">
        <is>
          <t xml:space="preserve">1. Driver </t>
        </is>
      </c>
      <c r="AE2695"/>
      <c r="AF2695">
        <v>800</v>
      </c>
      <c r="AG2695" s="4"/>
      <c r="AH2695" s="4"/>
      <c r="AI2695">
        <v>800</v>
      </c>
      <c r="AJ2695"/>
      <c r="AK2695" t="inlineStr">
        <is>
          <t>No, I don't need at all</t>
        </is>
      </c>
      <c r="AL2695">
        <v>1</v>
      </c>
      <c r="AM2695" t="inlineStr">
        <is>
          <t>No, I don't need at all</t>
        </is>
      </c>
      <c r="AN2695"/>
      <c r="AO2695" t="inlineStr">
        <is>
          <t>No, I don't need at all</t>
        </is>
      </c>
      <c r="AP2695" t="inlineStr">
        <is>
          <t>Once a year (25%)</t>
        </is>
      </c>
      <c r="AQ2695">
        <v>1</v>
      </c>
      <c r="AR2695" t="inlineStr">
        <is>
          <t>Did not use any job portal</t>
        </is>
      </c>
      <c r="AS2695" t="inlineStr">
        <is>
          <t>- Headcount: 1
- Hiring Job Details: 1 Driver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Did not use any job portal</t>
        </is>
      </c>
      <c r="AT2695">
        <v>95</v>
      </c>
      <c r="AU2695" t="inlineStr">
        <is>
          <t>0.95</t>
        </is>
      </c>
      <c r="AV2695" t="inlineStr">
        <is>
          <t>15</t>
        </is>
      </c>
      <c r="AW2695" t="inlineStr">
        <is>
          <t>0</t>
        </is>
      </c>
      <c r="AX2695" t="inlineStr">
        <is>
          <t>Not Qualified</t>
        </is>
      </c>
      <c r="AY2695" s="4"/>
      <c r="AZ2695"/>
      <c r="BA2695"/>
      <c r="BB2695"/>
      <c r="BC2695" t="inlineStr">
        <is>
          <t>- Headcount: 1
- Hiring Job Details: 1 Driver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Did not use any job portal</t>
        </is>
      </c>
      <c r="BD2695" s="4">
        <v>46119.91684027778</v>
      </c>
      <c r="BE2695" t="inlineStr">
        <is>
          <t>paid</t>
        </is>
      </c>
      <c r="BF2695"/>
      <c r="BG2695" t="inlineStr">
        <is>
          <t>Reschedule</t>
        </is>
      </c>
      <c r="BH2695" t="inlineStr">
        <is>
          <t>Edward Hoo</t>
        </is>
      </c>
      <c r="BI2695"/>
      <c r="BJ2695" s="4">
        <v>46144.75234953704</v>
      </c>
      <c r="BK2695" s="4">
        <v>45769.601122685184</v>
      </c>
      <c r="BL2695" t="inlineStr">
        <is>
          <t>648.0</t>
        </is>
      </c>
      <c r="BM2695" t="inlineStr">
        <is>
          <t>0.0</t>
        </is>
      </c>
      <c r="BN2695" t="inlineStr">
        <is>
          <t>User Visit(Logged In)</t>
        </is>
      </c>
      <c r="BO2695" s="4">
        <v>46034.62238425926</v>
      </c>
      <c r="BP2695">
        <v>165143</v>
      </c>
      <c r="BQ2695">
        <v>78832</v>
      </c>
      <c r="BR2695" t="inlineStr">
        <is>
          <t>Online</t>
        </is>
      </c>
      <c r="BS2695"/>
      <c r="BT2695">
        <v>78832</v>
      </c>
      <c r="BU2695"/>
      <c r="BV2695">
        <v>2690788</v>
      </c>
      <c r="BW2695" t="inlineStr">
        <is>
          <t>Customer Inquiry</t>
        </is>
      </c>
      <c r="BX2695"/>
      <c r="BY2695"/>
      <c r="BZ2695" s="4"/>
      <c r="CA2695"/>
      <c r="CB2695"/>
      <c r="CC2695" s="4"/>
      <c r="CD2695" t="inlineStr">
        <is>
          <t>20</t>
        </is>
      </c>
      <c r="CE2695" t="inlineStr">
        <is>
          <t>0</t>
        </is>
      </c>
      <c r="CF2695" t="inlineStr">
        <is>
          <t>Q2-W01</t>
        </is>
      </c>
      <c r="CG2695"/>
      <c r="CH2695"/>
      <c r="CI2695"/>
      <c r="CJ2695" t="inlineStr">
        <is>
          <t>Paid</t>
        </is>
      </c>
      <c r="CK2695" t="inlineStr">
        <is>
          <t>Not Eligible</t>
        </is>
      </c>
      <c r="CL2695"/>
      <c r="CM2695"/>
    </row>
    <row r="2696" ht="25.5" customHeight="1">
      <c r="A2696" t="inlineStr">
        <is>
          <t>202792</t>
        </is>
      </c>
      <c r="B2696" s="2"/>
      <c r="C2696"/>
      <c r="D2696" s="3">
        <v>46119.88390046296</v>
      </c>
      <c r="E2696" t="inlineStr">
        <is>
          <t>Q2-W01</t>
        </is>
      </c>
      <c r="F2696" t="inlineStr">
        <is>
          <t>Luqman</t>
        </is>
      </c>
      <c r="G2696" t="inlineStr">
        <is>
          <t>Customer</t>
        </is>
      </c>
      <c r="H2696" s="2" t="str">
        <f>=HYPERLINK("https://upbox.ajobthing.my/customer/202792", "https://upbox.ajobthing.my/customer/202792")</f>
        <v>https://upbox.ajobthing.my/customer/202792</v>
      </c>
      <c r="I2696" t="inlineStr">
        <is>
          <t>Poliklinik Medikulit Dan Surgery</t>
        </is>
      </c>
      <c r="J2696" t="inlineStr">
        <is>
          <t>Small Fish</t>
        </is>
      </c>
      <c r="K2696" t="inlineStr">
        <is>
          <t>Luqman</t>
        </is>
      </c>
      <c r="L2696" s="4"/>
      <c r="M2696" s="4">
        <v>46115.309212962966</v>
      </c>
      <c r="N2696"/>
      <c r="O2696"/>
      <c r="P2696" s="4"/>
      <c r="Q2696" s="4">
        <v>46115.6433912037</v>
      </c>
      <c r="R2696"/>
      <c r="S2696">
        <v>864</v>
      </c>
      <c r="T2696" s="4"/>
      <c r="U2696" s="4"/>
      <c r="V2696"/>
      <c r="W2696"/>
      <c r="X2696"/>
      <c r="Y2696" t="inlineStr">
        <is>
          <t>Pending Appointment</t>
        </is>
      </c>
      <c r="Z2696" t="inlineStr">
        <is>
          <t>Hiring Later</t>
        </is>
      </c>
      <c r="AA2696">
        <v>1</v>
      </c>
      <c r="AB2696" t="inlineStr">
        <is>
          <t>No Appointment Made</t>
        </is>
      </c>
      <c r="AC2696"/>
      <c r="AD2696" t="inlineStr">
        <is>
          <t xml:space="preserve">1. Clinic Assistant </t>
        </is>
      </c>
      <c r="AE2696"/>
      <c r="AF2696">
        <v>800</v>
      </c>
      <c r="AG2696" s="4"/>
      <c r="AH2696" s="4"/>
      <c r="AI2696">
        <v>800</v>
      </c>
      <c r="AJ2696"/>
      <c r="AK2696" t="inlineStr">
        <is>
          <t>No, I don't need at all</t>
        </is>
      </c>
      <c r="AL2696">
        <v>1</v>
      </c>
      <c r="AM2696" t="inlineStr">
        <is>
          <t>No, I don't need at all</t>
        </is>
      </c>
      <c r="AN2696"/>
      <c r="AO2696" t="inlineStr">
        <is>
          <t>No, I don't need at all</t>
        </is>
      </c>
      <c r="AP2696" t="inlineStr">
        <is>
          <t>Once a year (25%)</t>
        </is>
      </c>
      <c r="AQ2696">
        <v>1</v>
      </c>
      <c r="AR2696" t="inlineStr">
        <is>
          <t>Free Job Portal</t>
        </is>
      </c>
      <c r="AS2696" t="inlineStr">
        <is>
          <t>- Headcount: 1
- Hiring Job Details: 1 Clinic Assistant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is>
      </c>
      <c r="AT2696">
        <v>115</v>
      </c>
      <c r="AU2696" t="inlineStr">
        <is>
          <t>1.15</t>
        </is>
      </c>
      <c r="AV2696" t="inlineStr">
        <is>
          <t>15</t>
        </is>
      </c>
      <c r="AW2696" t="inlineStr">
        <is>
          <t>0</t>
        </is>
      </c>
      <c r="AX2696" t="inlineStr">
        <is>
          <t>Not Qualified</t>
        </is>
      </c>
      <c r="AY2696" s="4"/>
      <c r="AZ2696"/>
      <c r="BA2696"/>
      <c r="BB2696"/>
      <c r="BC2696" t="inlineStr">
        <is>
          <t>- Headcount: 1
- Hiring Job Details: 1 Clinic Assistant
- Hiring Urgency: Hiring Later
- Number of outlets: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Free Job Portal</t>
        </is>
      </c>
      <c r="BD2696" s="4">
        <v>46119.91684027778</v>
      </c>
      <c r="BE2696" t="inlineStr">
        <is>
          <t>pending</t>
        </is>
      </c>
      <c r="BF2696"/>
      <c r="BG2696" t="inlineStr">
        <is>
          <t>Reschedule</t>
        </is>
      </c>
      <c r="BH2696" t="inlineStr">
        <is>
          <t>Edward Hoo</t>
        </is>
      </c>
      <c r="BI2696"/>
      <c r="BJ2696" s="4">
        <v>46144.75412037037</v>
      </c>
      <c r="BK2696" s="4">
        <v>46115.642534722225</v>
      </c>
      <c r="BL2696" t="inlineStr">
        <is>
          <t>0.0</t>
        </is>
      </c>
      <c r="BM2696" t="inlineStr">
        <is>
          <t>0.0</t>
        </is>
      </c>
      <c r="BN2696"/>
      <c r="BO2696" s="4"/>
      <c r="BP2696">
        <v>165215</v>
      </c>
      <c r="BQ2696">
        <v>119895</v>
      </c>
      <c r="BR2696" t="inlineStr">
        <is>
          <t>Proforma</t>
        </is>
      </c>
      <c r="BS2696" t="inlineStr">
        <is>
          <t>AI Ala Carte (Jan 26)</t>
        </is>
      </c>
      <c r="BT2696"/>
      <c r="BU2696"/>
      <c r="BV2696">
        <v>2690789</v>
      </c>
      <c r="BW2696" t="inlineStr">
        <is>
          <t>Customer Inquiry</t>
        </is>
      </c>
      <c r="BX2696"/>
      <c r="BY2696"/>
      <c r="BZ2696" s="4"/>
      <c r="CA2696"/>
      <c r="CB2696"/>
      <c r="CC2696" s="4"/>
      <c r="CD2696" t="inlineStr">
        <is>
          <t>20</t>
        </is>
      </c>
      <c r="CE2696" t="inlineStr">
        <is>
          <t>0</t>
        </is>
      </c>
      <c r="CF2696" t="inlineStr">
        <is>
          <t>Q2-W01</t>
        </is>
      </c>
      <c r="CG2696" t="inlineStr">
        <is>
          <t>Q2-W01</t>
        </is>
      </c>
      <c r="CH2696"/>
      <c r="CI2696"/>
      <c r="CJ2696" t="inlineStr">
        <is>
          <t>No Paid</t>
        </is>
      </c>
      <c r="CK2696" t="inlineStr">
        <is>
          <t>Not Eligible</t>
        </is>
      </c>
      <c r="CL2696"/>
      <c r="CM2696"/>
    </row>
    <row r="2697" ht="25.5" customHeight="1">
      <c r="A2697" t="inlineStr">
        <is>
          <t>202956</t>
        </is>
      </c>
      <c r="B2697" s="2"/>
      <c r="C2697"/>
      <c r="D2697" s="3">
        <v>46120.37511574074</v>
      </c>
      <c r="E2697" t="inlineStr">
        <is>
          <t>Q2-W01</t>
        </is>
      </c>
      <c r="F2697" t="inlineStr">
        <is>
          <t>Eugene</t>
        </is>
      </c>
      <c r="G2697" t="inlineStr">
        <is>
          <t>Customer</t>
        </is>
      </c>
      <c r="H2697" s="2" t="str">
        <f>=HYPERLINK("https://upbox.ajobthing.my/customer/202956", "https://upbox.ajobthing.my/customer/202956")</f>
        <v>https://upbox.ajobthing.my/customer/202956</v>
      </c>
      <c r="I2697" t="inlineStr">
        <is>
          <t>NSN Technology Sdn Bhd</t>
        </is>
      </c>
      <c r="J2697" t="inlineStr">
        <is>
          <t>Small Fish</t>
        </is>
      </c>
      <c r="K2697" t="inlineStr">
        <is>
          <t>Eugene</t>
        </is>
      </c>
      <c r="L2697" s="4"/>
      <c r="M2697" s="4">
        <v>46119.73643518519</v>
      </c>
      <c r="N2697"/>
      <c r="O2697">
        <v>3888</v>
      </c>
      <c r="P2697" s="4"/>
      <c r="Q2697" s="4">
        <v>46120.441087962965</v>
      </c>
      <c r="R2697"/>
      <c r="S2697">
        <v>0</v>
      </c>
      <c r="T2697" s="4"/>
      <c r="U2697" s="4"/>
      <c r="V2697"/>
      <c r="W2697"/>
      <c r="X2697"/>
      <c r="Y2697" t="inlineStr">
        <is>
          <t>Pending Appointment</t>
        </is>
      </c>
      <c r="Z2697" t="inlineStr">
        <is>
          <t>Hiring Now</t>
        </is>
      </c>
      <c r="AA2697">
        <v>1</v>
      </c>
      <c r="AB2697" t="inlineStr">
        <is>
          <t>No Appointment Made</t>
        </is>
      </c>
      <c r="AC2697"/>
      <c r="AD2697" t="inlineStr">
        <is>
          <t>1 positoin, based in KL</t>
        </is>
      </c>
      <c r="AE2697"/>
      <c r="AF2697">
        <v>3000</v>
      </c>
      <c r="AG2697" s="4"/>
      <c r="AH2697" s="4"/>
      <c r="AI2697">
        <v>3000</v>
      </c>
      <c r="AJ2697">
        <v>1</v>
      </c>
      <c r="AK2697" t="inlineStr">
        <is>
          <t>No, I don't need at all</t>
        </is>
      </c>
      <c r="AL2697">
        <v>1</v>
      </c>
      <c r="AM2697" t="inlineStr">
        <is>
          <t>No, I don't need at all</t>
        </is>
      </c>
      <c r="AN2697"/>
      <c r="AO2697" t="inlineStr">
        <is>
          <t>No, I don't need at all</t>
        </is>
      </c>
      <c r="AP2697" t="inlineStr">
        <is>
          <t>Once a year (25%)</t>
        </is>
      </c>
      <c r="AQ2697">
        <v>1</v>
      </c>
      <c r="AR2697" t="inlineStr">
        <is>
          <t>Jobstreet, Indeed (Paid)</t>
        </is>
      </c>
      <c r="AS2697"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1
- Hiring frequency: Once a year (25%)
- External job portal: Jobstreet,Indeed (Paid)</t>
        </is>
      </c>
      <c r="AT2697">
        <v>115</v>
      </c>
      <c r="AU2697" t="inlineStr">
        <is>
          <t>1.15</t>
        </is>
      </c>
      <c r="AV2697" t="inlineStr">
        <is>
          <t>15</t>
        </is>
      </c>
      <c r="AW2697" t="inlineStr">
        <is>
          <t>0</t>
        </is>
      </c>
      <c r="AX2697" t="inlineStr">
        <is>
          <t>Not Qualified</t>
        </is>
      </c>
      <c r="AY2697" s="4"/>
      <c r="AZ2697"/>
      <c r="BA2697"/>
      <c r="BB2697"/>
      <c r="BC2697" t="inlineStr">
        <is>
          <t>free job only</t>
        </is>
      </c>
      <c r="BD2697" s="4">
        <v>46120.46508101852</v>
      </c>
      <c r="BE2697" t="inlineStr">
        <is>
          <t>paid</t>
        </is>
      </c>
      <c r="BF2697"/>
      <c r="BG2697" t="inlineStr">
        <is>
          <t>Reschedule</t>
        </is>
      </c>
      <c r="BH2697" t="inlineStr">
        <is>
          <t>Edward Hoo</t>
        </is>
      </c>
      <c r="BI2697" t="inlineStr">
        <is>
          <t>IT / Software</t>
        </is>
      </c>
      <c r="BJ2697" s="4">
        <v>46144.754166666666</v>
      </c>
      <c r="BK2697" s="4">
        <v>46119.73572916666</v>
      </c>
      <c r="BL2697" t="inlineStr">
        <is>
          <t>0.0</t>
        </is>
      </c>
      <c r="BM2697" t="inlineStr">
        <is>
          <t>600.0</t>
        </is>
      </c>
      <c r="BN2697" t="inlineStr">
        <is>
          <t>View Company Page</t>
        </is>
      </c>
      <c r="BO2697" s="4">
        <v>46135.51756944445</v>
      </c>
      <c r="BP2697">
        <v>165784</v>
      </c>
      <c r="BQ2697">
        <v>120771</v>
      </c>
      <c r="BR2697" t="inlineStr">
        <is>
          <t>Proforma</t>
        </is>
      </c>
      <c r="BS2697" t="inlineStr">
        <is>
          <t>Free Part-Time Job</t>
        </is>
      </c>
      <c r="BT2697"/>
      <c r="BU2697"/>
      <c r="BV2697">
        <v>2691654</v>
      </c>
      <c r="BW2697" t="inlineStr">
        <is>
          <t>Follow Up : Budget Concern</t>
        </is>
      </c>
      <c r="BX2697"/>
      <c r="BY2697"/>
      <c r="BZ2697" s="4"/>
      <c r="CA2697">
        <v>13</v>
      </c>
      <c r="CB2697">
        <v>13</v>
      </c>
      <c r="CC2697" s="4"/>
      <c r="CD2697" t="inlineStr">
        <is>
          <t>20</t>
        </is>
      </c>
      <c r="CE2697" t="inlineStr">
        <is>
          <t>0</t>
        </is>
      </c>
      <c r="CF2697" t="inlineStr">
        <is>
          <t>Q2-W01</t>
        </is>
      </c>
      <c r="CG2697" t="inlineStr">
        <is>
          <t>Q2-W01</t>
        </is>
      </c>
      <c r="CH2697"/>
      <c r="CI2697"/>
      <c r="CJ2697" t="inlineStr">
        <is>
          <t>No Paid</t>
        </is>
      </c>
      <c r="CK2697" t="inlineStr">
        <is>
          <t>Not Eligible</t>
        </is>
      </c>
      <c r="CL2697"/>
      <c r="CM2697"/>
    </row>
    <row r="2698" ht="25.5" customHeight="1">
      <c r="A2698" t="inlineStr">
        <is>
          <t>194641</t>
        </is>
      </c>
      <c r="B2698" s="2"/>
      <c r="C2698"/>
      <c r="D2698" s="3">
        <v>46120.398564814815</v>
      </c>
      <c r="E2698" t="inlineStr">
        <is>
          <t>Q2-W01</t>
        </is>
      </c>
      <c r="F2698" t="inlineStr">
        <is>
          <t>Lucas</t>
        </is>
      </c>
      <c r="G2698" t="inlineStr">
        <is>
          <t>Customer</t>
        </is>
      </c>
      <c r="H2698" s="2" t="str">
        <f>=HYPERLINK("https://upbox.ajobthing.my/customer/194641", "https://upbox.ajobthing.my/customer/194641")</f>
        <v>https://upbox.ajobthing.my/customer/194641</v>
      </c>
      <c r="I2698" t="inlineStr">
        <is>
          <t>G-technologies Sdn Bhd</t>
        </is>
      </c>
      <c r="J2698" t="inlineStr">
        <is>
          <t>Small Fish</t>
        </is>
      </c>
      <c r="K2698" t="inlineStr">
        <is>
          <t>Lucas</t>
        </is>
      </c>
      <c r="L2698" s="4"/>
      <c r="M2698" s="4">
        <v>46120.396585648145</v>
      </c>
      <c r="N2698"/>
      <c r="O2698">
        <v>3888</v>
      </c>
      <c r="P2698" s="4"/>
      <c r="Q2698" s="4"/>
      <c r="R2698"/>
      <c r="S2698"/>
      <c r="T2698" s="4"/>
      <c r="U2698" s="4"/>
      <c r="V2698"/>
      <c r="W2698"/>
      <c r="X2698"/>
      <c r="Y2698" t="inlineStr">
        <is>
          <t>Pending Appointment</t>
        </is>
      </c>
      <c r="Z2698" t="inlineStr">
        <is>
          <t>Hiring Now</t>
        </is>
      </c>
      <c r="AA2698">
        <v>2</v>
      </c>
      <c r="AB2698" t="inlineStr">
        <is>
          <t>No Appointment Made</t>
        </is>
      </c>
      <c r="AC2698"/>
      <c r="AD2698" t="inlineStr">
        <is>
          <t>1 store keeper , 1 qc</t>
        </is>
      </c>
      <c r="AE2698"/>
      <c r="AF2698">
        <v>0</v>
      </c>
      <c r="AG2698" s="4"/>
      <c r="AH2698" s="4"/>
      <c r="AI2698">
        <v>0</v>
      </c>
      <c r="AJ2698">
        <v>0</v>
      </c>
      <c r="AK2698" t="inlineStr">
        <is>
          <t>No, I don't need at all</t>
        </is>
      </c>
      <c r="AL2698">
        <v>0</v>
      </c>
      <c r="AM2698" t="inlineStr">
        <is>
          <t>No, I don't need at all</t>
        </is>
      </c>
      <c r="AN2698"/>
      <c r="AO2698" t="inlineStr">
        <is>
          <t>No, I don't need at all</t>
        </is>
      </c>
      <c r="AP2698" t="inlineStr">
        <is>
          <t>Once a year (25%)</t>
        </is>
      </c>
      <c r="AQ2698">
        <v>2</v>
      </c>
      <c r="AR2698" t="inlineStr">
        <is>
          <t>Did not use any job portal</t>
        </is>
      </c>
      <c r="AS2698" t="inlineStr">
        <is>
          <t>- Headcount: 2
- Hiring Job Details: 1 store keeper, 1 qc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2
- Hiring frequency: Once a year (25%)
- External job portal: Did not use any job portal</t>
        </is>
      </c>
      <c r="AT2698">
        <v>105</v>
      </c>
      <c r="AU2698" t="inlineStr">
        <is>
          <t>1.05</t>
        </is>
      </c>
      <c r="AV2698" t="inlineStr">
        <is>
          <t>15</t>
        </is>
      </c>
      <c r="AW2698" t="inlineStr">
        <is>
          <t>0</t>
        </is>
      </c>
      <c r="AX2698" t="inlineStr">
        <is>
          <t>Not Qualified</t>
        </is>
      </c>
      <c r="AY2698" s="4"/>
      <c r="AZ2698"/>
      <c r="BA2698"/>
      <c r="BB2698"/>
      <c r="BC2698" t="inlineStr">
        <is>
          <t>pending</t>
        </is>
      </c>
      <c r="BD2698" s="4">
        <v>46133.60083333333</v>
      </c>
      <c r="BE2698"/>
      <c r="BF2698"/>
      <c r="BG2698" t="inlineStr">
        <is>
          <t>Reschedule</t>
        </is>
      </c>
      <c r="BH2698" t="inlineStr">
        <is>
          <t>Yee Hang</t>
        </is>
      </c>
      <c r="BI2698"/>
      <c r="BJ2698" s="4">
        <v>46144.75271990741</v>
      </c>
      <c r="BK2698" s="4">
        <v>45874.75252314815</v>
      </c>
      <c r="BL2698" t="inlineStr">
        <is>
          <t>0.0</t>
        </is>
      </c>
      <c r="BM2698" t="inlineStr">
        <is>
          <t>0.0</t>
        </is>
      </c>
      <c r="BN2698" t="inlineStr">
        <is>
          <t>User Visit(Logged In)</t>
        </is>
      </c>
      <c r="BO2698" s="4">
        <v>45874.75255787037</v>
      </c>
      <c r="BP2698">
        <v>165810</v>
      </c>
      <c r="BQ2698"/>
      <c r="BR2698"/>
      <c r="BS2698"/>
      <c r="BT2698"/>
      <c r="BU2698"/>
      <c r="BV2698">
        <v>2718256</v>
      </c>
      <c r="BW2698" t="inlineStr">
        <is>
          <t>Follow Up : Decision Pending</t>
        </is>
      </c>
      <c r="BX2698"/>
      <c r="BY2698"/>
      <c r="BZ2698" s="4"/>
      <c r="CA2698"/>
      <c r="CB2698"/>
      <c r="CC2698" s="4"/>
      <c r="CD2698" t="inlineStr">
        <is>
          <t>20</t>
        </is>
      </c>
      <c r="CE2698" t="inlineStr">
        <is>
          <t>0</t>
        </is>
      </c>
      <c r="CF2698" t="inlineStr">
        <is>
          <t>Q2-W01</t>
        </is>
      </c>
      <c r="CG2698"/>
      <c r="CH2698"/>
      <c r="CI2698"/>
      <c r="CJ2698" t="inlineStr">
        <is>
          <t>No Paid</t>
        </is>
      </c>
      <c r="CK2698" t="inlineStr">
        <is>
          <t>Not Eligible</t>
        </is>
      </c>
      <c r="CL2698"/>
      <c r="CM2698"/>
    </row>
    <row r="2699" ht="25.5" customHeight="1">
      <c r="A2699" t="inlineStr">
        <is>
          <t>194365</t>
        </is>
      </c>
      <c r="B2699" s="2"/>
      <c r="C2699"/>
      <c r="D2699" s="3">
        <v>46120.400555555556</v>
      </c>
      <c r="E2699" t="inlineStr">
        <is>
          <t>Q2-W01</t>
        </is>
      </c>
      <c r="F2699" t="inlineStr">
        <is>
          <t>Xin Quan</t>
        </is>
      </c>
      <c r="G2699" t="inlineStr">
        <is>
          <t>Customer</t>
        </is>
      </c>
      <c r="H2699" s="2" t="str">
        <f>=HYPERLINK("https://upbox.ajobthing.my/customer/194365", "https://upbox.ajobthing.my/customer/194365")</f>
        <v>https://upbox.ajobthing.my/customer/194365</v>
      </c>
      <c r="I2699" t="inlineStr">
        <is>
          <t>Aliran Segar Sdn bhd</t>
        </is>
      </c>
      <c r="J2699" t="inlineStr">
        <is>
          <t>Small Fish</t>
        </is>
      </c>
      <c r="K2699" t="inlineStr">
        <is>
          <t>Xin Quan</t>
        </is>
      </c>
      <c r="L2699" s="4"/>
      <c r="M2699" s="4">
        <v>46120.400821759256</v>
      </c>
      <c r="N2699"/>
      <c r="O2699">
        <v>3888</v>
      </c>
      <c r="P2699" s="4"/>
      <c r="Q2699" s="4"/>
      <c r="R2699"/>
      <c r="S2699"/>
      <c r="T2699" s="4"/>
      <c r="U2699" s="4"/>
      <c r="V2699"/>
      <c r="W2699"/>
      <c r="X2699"/>
      <c r="Y2699" t="inlineStr">
        <is>
          <t>Pending Appointment</t>
        </is>
      </c>
      <c r="Z2699" t="inlineStr">
        <is>
          <t>Hiring Now</t>
        </is>
      </c>
      <c r="AA2699">
        <v>1</v>
      </c>
      <c r="AB2699" t="inlineStr">
        <is>
          <t>No Appointment Made</t>
        </is>
      </c>
      <c r="AC2699"/>
      <c r="AD2699" t="inlineStr">
        <is>
          <t>1 Driver , Base in PERAK</t>
        </is>
      </c>
      <c r="AE2699"/>
      <c r="AF2699">
        <v>2000</v>
      </c>
      <c r="AG2699" s="4"/>
      <c r="AH2699" s="4"/>
      <c r="AI2699">
        <v>24000</v>
      </c>
      <c r="AJ2699">
        <v>1</v>
      </c>
      <c r="AK2699"/>
      <c r="AL2699"/>
      <c r="AM2699"/>
      <c r="AN2699"/>
      <c r="AO2699"/>
      <c r="AP2699" t="inlineStr">
        <is>
          <t>Once a year (25%)</t>
        </is>
      </c>
      <c r="AQ2699">
        <v>1</v>
      </c>
      <c r="AR2699"/>
      <c r="AS2699" t="inlineStr">
        <is>
          <t>- Headcount: 1
- Hiring Job Details: 1 Driver, Base in PERAK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Once a year (25%)
- External job portal: Not specified</t>
        </is>
      </c>
      <c r="AT2699">
        <v>110</v>
      </c>
      <c r="AU2699" t="inlineStr">
        <is>
          <t>1.10</t>
        </is>
      </c>
      <c r="AV2699" t="inlineStr">
        <is>
          <t>15</t>
        </is>
      </c>
      <c r="AW2699" t="inlineStr">
        <is>
          <t>0</t>
        </is>
      </c>
      <c r="AX2699" t="inlineStr">
        <is>
          <t>Not Qualified</t>
        </is>
      </c>
      <c r="AY2699" s="4"/>
      <c r="AZ2699"/>
      <c r="BA2699"/>
      <c r="BB2699"/>
      <c r="BC2699" t="inlineStr">
        <is>
          <t>NO Create new acc , NH</t>
        </is>
      </c>
      <c r="BD2699" s="4">
        <v>46141.56109953704</v>
      </c>
      <c r="BE2699"/>
      <c r="BF2699"/>
      <c r="BG2699" t="inlineStr">
        <is>
          <t>Reschedule</t>
        </is>
      </c>
      <c r="BH2699" t="inlineStr">
        <is>
          <t>Edward Hoo</t>
        </is>
      </c>
      <c r="BI2699"/>
      <c r="BJ2699" s="4">
        <v>46144.75269675926</v>
      </c>
      <c r="BK2699" s="4">
        <v>45867.703194444446</v>
      </c>
      <c r="BL2699" t="inlineStr">
        <is>
          <t>0.0</t>
        </is>
      </c>
      <c r="BM2699" t="inlineStr">
        <is>
          <t>0.0</t>
        </is>
      </c>
      <c r="BN2699" t="inlineStr">
        <is>
          <t>View Create Job Page</t>
        </is>
      </c>
      <c r="BO2699" s="4">
        <v>45867.705625</v>
      </c>
      <c r="BP2699">
        <v>165811</v>
      </c>
      <c r="BQ2699"/>
      <c r="BR2699"/>
      <c r="BS2699"/>
      <c r="BT2699"/>
      <c r="BU2699"/>
      <c r="BV2699">
        <v>2735035</v>
      </c>
      <c r="BW2699" t="inlineStr">
        <is>
          <t>Inquire for Hiring Needs : No Hiring</t>
        </is>
      </c>
      <c r="BX2699"/>
      <c r="BY2699"/>
      <c r="BZ2699" s="4"/>
      <c r="CA2699"/>
      <c r="CB2699"/>
      <c r="CC2699" s="4"/>
      <c r="CD2699" t="inlineStr">
        <is>
          <t>20</t>
        </is>
      </c>
      <c r="CE2699" t="inlineStr">
        <is>
          <t>0</t>
        </is>
      </c>
      <c r="CF2699" t="inlineStr">
        <is>
          <t>Q2-W01</t>
        </is>
      </c>
      <c r="CG2699"/>
      <c r="CH2699"/>
      <c r="CI2699"/>
      <c r="CJ2699" t="inlineStr">
        <is>
          <t>No Paid</t>
        </is>
      </c>
      <c r="CK2699" t="inlineStr">
        <is>
          <t>Not Eligible</t>
        </is>
      </c>
      <c r="CL2699"/>
      <c r="CM2699"/>
    </row>
    <row r="2700" ht="25.5" customHeight="1">
      <c r="A2700" t="inlineStr">
        <is>
          <t>202961</t>
        </is>
      </c>
      <c r="B2700" s="2"/>
      <c r="C2700"/>
      <c r="D2700" s="3">
        <v>46120.40373842593</v>
      </c>
      <c r="E2700" t="inlineStr">
        <is>
          <t>Q2-W01</t>
        </is>
      </c>
      <c r="F2700" t="inlineStr">
        <is>
          <t>Chia Yee</t>
        </is>
      </c>
      <c r="G2700" t="inlineStr">
        <is>
          <t>Customer</t>
        </is>
      </c>
      <c r="H2700" s="2" t="str">
        <f>=HYPERLINK("https://upbox.ajobthing.my/customer/202961", "https://upbox.ajobthing.my/customer/202961")</f>
        <v>https://upbox.ajobthing.my/customer/202961</v>
      </c>
      <c r="I2700" t="inlineStr">
        <is>
          <t>Spectrum</t>
        </is>
      </c>
      <c r="J2700" t="inlineStr">
        <is>
          <t>Small Fish</t>
        </is>
      </c>
      <c r="K2700" t="inlineStr">
        <is>
          <t>Chia Yee</t>
        </is>
      </c>
      <c r="L2700" s="4"/>
      <c r="M2700" s="4">
        <v>46120.40399305556</v>
      </c>
      <c r="N2700"/>
      <c r="O2700">
        <v>6048</v>
      </c>
      <c r="P2700" s="4"/>
      <c r="Q2700" s="4"/>
      <c r="R2700"/>
      <c r="S2700"/>
      <c r="T2700" s="4"/>
      <c r="U2700" s="4"/>
      <c r="V2700"/>
      <c r="W2700"/>
      <c r="X2700"/>
      <c r="Y2700" t="inlineStr">
        <is>
          <t>Pending Appointment</t>
        </is>
      </c>
      <c r="Z2700" t="inlineStr">
        <is>
          <t>Hiring Now</t>
        </is>
      </c>
      <c r="AA2700">
        <v>2</v>
      </c>
      <c r="AB2700" t="inlineStr">
        <is>
          <t>No Appointment Made</t>
        </is>
      </c>
      <c r="AC2700"/>
      <c r="AD2700" t="inlineStr">
        <is>
          <t xml:space="preserve">1 Sales assistance and 1 technician </t>
        </is>
      </c>
      <c r="AE2700"/>
      <c r="AF2700">
        <v>0</v>
      </c>
      <c r="AG2700" s="4"/>
      <c r="AH2700" s="4"/>
      <c r="AI2700">
        <v>0</v>
      </c>
      <c r="AJ2700">
        <v>0</v>
      </c>
      <c r="AK2700" t="inlineStr">
        <is>
          <t>Yes, I have</t>
        </is>
      </c>
      <c r="AL2700">
        <v>1</v>
      </c>
      <c r="AM2700" t="inlineStr">
        <is>
          <t>No, I don't need at all</t>
        </is>
      </c>
      <c r="AN2700"/>
      <c r="AO2700" t="inlineStr">
        <is>
          <t>No, I don't need at all</t>
        </is>
      </c>
      <c r="AP2700" t="inlineStr">
        <is>
          <t>Once a year (25%)</t>
        </is>
      </c>
      <c r="AQ2700">
        <v>2</v>
      </c>
      <c r="AR2700" t="inlineStr">
        <is>
          <t>Did not use any job portal</t>
        </is>
      </c>
      <c r="AS2700" t="inlineStr">
        <is>
          <t>- Headcount: 2
- Hiring Job Details: 1 Sales assistance, 1 technician
- Hiring Urgency: Hiring Now
- Number of outlets: 0
- Have recruiter team: Yes
- Number of recruiter in company: 1
- Have ATS system: No, I don't need at all
- Have career website: No, I don't need at all
- Current hiring budget: RM0.00
- Whole year budget: RM0.00
- Whole year number of vacancies: 2
- Hiring frequency: Once a year (25%)
- External job portal: Did not use any job portal</t>
        </is>
      </c>
      <c r="AT2700">
        <v>110</v>
      </c>
      <c r="AU2700" t="inlineStr">
        <is>
          <t>1.10</t>
        </is>
      </c>
      <c r="AV2700" t="inlineStr">
        <is>
          <t>15</t>
        </is>
      </c>
      <c r="AW2700" t="inlineStr">
        <is>
          <t>0</t>
        </is>
      </c>
      <c r="AX2700" t="inlineStr">
        <is>
          <t>Not Qualified</t>
        </is>
      </c>
      <c r="AY2700" s="4"/>
      <c r="AZ2700"/>
      <c r="BA2700"/>
      <c r="BB2700"/>
      <c r="BC2700" t="inlineStr">
        <is>
          <t>Replied:  we already found worker ya</t>
        </is>
      </c>
      <c r="BD2700" s="4">
        <v>46142.61288194444</v>
      </c>
      <c r="BE2700"/>
      <c r="BF2700"/>
      <c r="BG2700" t="inlineStr">
        <is>
          <t>Reschedule</t>
        </is>
      </c>
      <c r="BH2700" t="inlineStr">
        <is>
          <t>Reagen</t>
        </is>
      </c>
      <c r="BI2700"/>
      <c r="BJ2700" s="4">
        <v>46144.754166666666</v>
      </c>
      <c r="BK2700" s="4">
        <v>46119.86537037037</v>
      </c>
      <c r="BL2700" t="inlineStr">
        <is>
          <t>0.0</t>
        </is>
      </c>
      <c r="BM2700" t="inlineStr">
        <is>
          <t>0.0</t>
        </is>
      </c>
      <c r="BN2700" t="inlineStr">
        <is>
          <t>User Visit(Logged In)</t>
        </is>
      </c>
      <c r="BO2700" s="4">
        <v>46119.86540509259</v>
      </c>
      <c r="BP2700">
        <v>165814</v>
      </c>
      <c r="BQ2700"/>
      <c r="BR2700"/>
      <c r="BS2700"/>
      <c r="BT2700"/>
      <c r="BU2700"/>
      <c r="BV2700">
        <v>2737770</v>
      </c>
      <c r="BW2700" t="inlineStr">
        <is>
          <t>Inquire for Hiring Needs : No Hiring</t>
        </is>
      </c>
      <c r="BX2700"/>
      <c r="BY2700"/>
      <c r="BZ2700" s="4"/>
      <c r="CA2700"/>
      <c r="CB2700"/>
      <c r="CC2700" s="4"/>
      <c r="CD2700" t="inlineStr">
        <is>
          <t>20</t>
        </is>
      </c>
      <c r="CE2700" t="inlineStr">
        <is>
          <t>0</t>
        </is>
      </c>
      <c r="CF2700" t="inlineStr">
        <is>
          <t>Q2-W01</t>
        </is>
      </c>
      <c r="CG2700"/>
      <c r="CH2700"/>
      <c r="CI2700"/>
      <c r="CJ2700" t="inlineStr">
        <is>
          <t>No Paid</t>
        </is>
      </c>
      <c r="CK2700" t="inlineStr">
        <is>
          <t>Not Eligible</t>
        </is>
      </c>
      <c r="CL2700"/>
      <c r="CM2700"/>
    </row>
    <row r="2701" ht="25.5" customHeight="1">
      <c r="A2701" t="inlineStr">
        <is>
          <t>4259095</t>
        </is>
      </c>
      <c r="B2701" s="2"/>
      <c r="C2701"/>
      <c r="D2701" s="3">
        <v>46120.40876157407</v>
      </c>
      <c r="E2701" t="inlineStr">
        <is>
          <t>Q2-W01</t>
        </is>
      </c>
      <c r="F2701" t="inlineStr">
        <is>
          <t>Chia Yee</t>
        </is>
      </c>
      <c r="G2701" t="inlineStr">
        <is>
          <t>Lead</t>
        </is>
      </c>
      <c r="H2701" s="2" t="str">
        <f>=HYPERLINK("https://upbox.ajobthing.my/leads/4259095", "https://upbox.ajobthing.my/leads/4259095")</f>
        <v>https://upbox.ajobthing.my/leads/4259095</v>
      </c>
      <c r="I2701" t="inlineStr">
        <is>
          <t>PREMIO SAFETY DOOR</t>
        </is>
      </c>
      <c r="J2701" t="inlineStr">
        <is>
          <t>Small Fish</t>
        </is>
      </c>
      <c r="K2701" t="inlineStr">
        <is>
          <t>Chia Yee</t>
        </is>
      </c>
      <c r="L2701" s="4"/>
      <c r="M2701" s="4">
        <v>46120.409467592595</v>
      </c>
      <c r="N2701"/>
      <c r="O2701">
        <v>6048</v>
      </c>
      <c r="P2701" s="4"/>
      <c r="Q2701" s="4"/>
      <c r="R2701"/>
      <c r="S2701"/>
      <c r="T2701" s="4"/>
      <c r="U2701" s="4"/>
      <c r="V2701"/>
      <c r="W2701"/>
      <c r="X2701"/>
      <c r="Y2701" t="inlineStr">
        <is>
          <t>Pending Appointment</t>
        </is>
      </c>
      <c r="Z2701" t="inlineStr">
        <is>
          <t>Hiring Now</t>
        </is>
      </c>
      <c r="AA2701">
        <v>4</v>
      </c>
      <c r="AB2701" t="inlineStr">
        <is>
          <t>No Appointment Made</t>
        </is>
      </c>
      <c r="AC2701"/>
      <c r="AD2701" t="inlineStr">
        <is>
          <t>1-2 Safety door installer, 1-2  Retail sales</t>
        </is>
      </c>
      <c r="AE2701"/>
      <c r="AF2701">
        <v>0</v>
      </c>
      <c r="AG2701" s="4"/>
      <c r="AH2701" s="4"/>
      <c r="AI2701">
        <v>0</v>
      </c>
      <c r="AJ2701">
        <v>1</v>
      </c>
      <c r="AK2701" t="inlineStr">
        <is>
          <t>No, I don't need at all</t>
        </is>
      </c>
      <c r="AL2701">
        <v>1</v>
      </c>
      <c r="AM2701" t="inlineStr">
        <is>
          <t>No, I don't need at all</t>
        </is>
      </c>
      <c r="AN2701"/>
      <c r="AO2701" t="inlineStr">
        <is>
          <t>Yes, I have</t>
        </is>
      </c>
      <c r="AP2701"/>
      <c r="AQ2701">
        <v>3</v>
      </c>
      <c r="AR2701" t="inlineStr">
        <is>
          <t>Did not use any job portal</t>
        </is>
      </c>
      <c r="AS2701" t="inlineStr">
        <is>
          <t>- Headcount: 4
- Hiring Job Details: 1-2 Safety door installer, 1-2 Retail sales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3
- Hiring frequency: Not specified
- External job portal: Did not use any job portal</t>
        </is>
      </c>
      <c r="AT2701">
        <v>85</v>
      </c>
      <c r="AU2701" t="inlineStr">
        <is>
          <t>0.85</t>
        </is>
      </c>
      <c r="AV2701" t="inlineStr">
        <is>
          <t>15</t>
        </is>
      </c>
      <c r="AW2701" t="inlineStr">
        <is>
          <t>0</t>
        </is>
      </c>
      <c r="AX2701" t="inlineStr">
        <is>
          <t>Not Qualified</t>
        </is>
      </c>
      <c r="AY2701" s="4"/>
      <c r="AZ2701"/>
      <c r="BA2701"/>
      <c r="BB2701"/>
      <c r="BC2701"/>
      <c r="BD2701" s="4"/>
      <c r="BE2701"/>
      <c r="BF2701"/>
      <c r="BG2701" t="inlineStr">
        <is>
          <t>Reschedule</t>
        </is>
      </c>
      <c r="BH2701" t="inlineStr">
        <is>
          <t>Reagen</t>
        </is>
      </c>
      <c r="BI2701"/>
      <c r="BJ2701" s="4">
        <v>46144.75576388889</v>
      </c>
      <c r="BK2701" s="4">
        <v>46120.3800462963</v>
      </c>
      <c r="BL2701" t="inlineStr">
        <is>
          <t>0.0</t>
        </is>
      </c>
      <c r="BM2701" t="inlineStr">
        <is>
          <t>0.0</t>
        </is>
      </c>
      <c r="BN2701"/>
      <c r="BO2701" s="4"/>
      <c r="BP2701">
        <v>165817</v>
      </c>
      <c r="BQ2701"/>
      <c r="BR2701"/>
      <c r="BS2701"/>
      <c r="BT2701"/>
      <c r="BU2701"/>
      <c r="BV2701"/>
      <c r="BW2701"/>
      <c r="BX2701"/>
      <c r="BY2701"/>
      <c r="BZ2701" s="4"/>
      <c r="CA2701"/>
      <c r="CB2701"/>
      <c r="CC2701" s="4"/>
      <c r="CD2701" t="inlineStr">
        <is>
          <t>20</t>
        </is>
      </c>
      <c r="CE2701" t="inlineStr">
        <is>
          <t>0</t>
        </is>
      </c>
      <c r="CF2701" t="inlineStr">
        <is>
          <t>Q2-W01</t>
        </is>
      </c>
      <c r="CG2701"/>
      <c r="CH2701"/>
      <c r="CI2701"/>
      <c r="CJ2701" t="inlineStr">
        <is>
          <t>No Paid</t>
        </is>
      </c>
      <c r="CK2701" t="inlineStr">
        <is>
          <t>Not Eligible</t>
        </is>
      </c>
      <c r="CL2701"/>
      <c r="CM2701"/>
    </row>
    <row r="2702" ht="25.5" customHeight="1">
      <c r="A2702" t="inlineStr">
        <is>
          <t>4257401</t>
        </is>
      </c>
      <c r="B2702" s="2"/>
      <c r="C2702"/>
      <c r="D2702" s="3">
        <v>46120.410208333335</v>
      </c>
      <c r="E2702" t="inlineStr">
        <is>
          <t>Q2-W01</t>
        </is>
      </c>
      <c r="F2702" t="inlineStr">
        <is>
          <t>Lucas</t>
        </is>
      </c>
      <c r="G2702" t="inlineStr">
        <is>
          <t>Lead</t>
        </is>
      </c>
      <c r="H2702" s="2" t="str">
        <f>=HYPERLINK("https://upbox.ajobthing.my/leads/4257401", "https://upbox.ajobthing.my/leads/4257401")</f>
        <v>https://upbox.ajobthing.my/leads/4257401</v>
      </c>
      <c r="I2702" t="inlineStr">
        <is>
          <t>X design studio</t>
        </is>
      </c>
      <c r="J2702" t="inlineStr">
        <is>
          <t>Small Fish</t>
        </is>
      </c>
      <c r="K2702" t="inlineStr">
        <is>
          <t>Lucas</t>
        </is>
      </c>
      <c r="L2702" s="4"/>
      <c r="M2702" s="4">
        <v>46120.40850694444</v>
      </c>
      <c r="N2702"/>
      <c r="O2702">
        <v>3888</v>
      </c>
      <c r="P2702" s="4"/>
      <c r="Q2702" s="4"/>
      <c r="R2702"/>
      <c r="S2702"/>
      <c r="T2702" s="4"/>
      <c r="U2702" s="4"/>
      <c r="V2702"/>
      <c r="W2702"/>
      <c r="X2702"/>
      <c r="Y2702" t="inlineStr">
        <is>
          <t>Pending Appointment</t>
        </is>
      </c>
      <c r="Z2702" t="inlineStr">
        <is>
          <t>Hiring Now</t>
        </is>
      </c>
      <c r="AA2702">
        <v>1</v>
      </c>
      <c r="AB2702" t="inlineStr">
        <is>
          <t>No Appointment Made</t>
        </is>
      </c>
      <c r="AC2702"/>
      <c r="AD2702" t="inlineStr">
        <is>
          <t xml:space="preserve">1 designer </t>
        </is>
      </c>
      <c r="AE2702"/>
      <c r="AF2702">
        <v>0</v>
      </c>
      <c r="AG2702" s="4"/>
      <c r="AH2702" s="4"/>
      <c r="AI2702">
        <v>0</v>
      </c>
      <c r="AJ2702">
        <v>0</v>
      </c>
      <c r="AK2702" t="inlineStr">
        <is>
          <t>No, I don't need at all</t>
        </is>
      </c>
      <c r="AL2702">
        <v>0</v>
      </c>
      <c r="AM2702" t="inlineStr">
        <is>
          <t>No, I don't need at all</t>
        </is>
      </c>
      <c r="AN2702"/>
      <c r="AO2702" t="inlineStr">
        <is>
          <t>No, I don't need at all</t>
        </is>
      </c>
      <c r="AP2702" t="inlineStr">
        <is>
          <t>Once a year (25%)</t>
        </is>
      </c>
      <c r="AQ2702">
        <v>1</v>
      </c>
      <c r="AR2702" t="inlineStr">
        <is>
          <t>Did not use any job portal</t>
        </is>
      </c>
      <c r="AS2702" t="inlineStr">
        <is>
          <t>- Headcount: 1
- Hiring Job Details: 1 designer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702">
        <v>100</v>
      </c>
      <c r="AU2702" t="inlineStr">
        <is>
          <t>1.00</t>
        </is>
      </c>
      <c r="AV2702" t="inlineStr">
        <is>
          <t>15</t>
        </is>
      </c>
      <c r="AW2702" t="inlineStr">
        <is>
          <t>0</t>
        </is>
      </c>
      <c r="AX2702" t="inlineStr">
        <is>
          <t>Not Qualified</t>
        </is>
      </c>
      <c r="AY2702" s="4"/>
      <c r="AZ2702"/>
      <c r="BA2702"/>
      <c r="BB2702"/>
      <c r="BC2702"/>
      <c r="BD2702" s="4"/>
      <c r="BE2702"/>
      <c r="BF2702"/>
      <c r="BG2702" t="inlineStr">
        <is>
          <t>Reschedule</t>
        </is>
      </c>
      <c r="BH2702" t="inlineStr">
        <is>
          <t>Yee Hang</t>
        </is>
      </c>
      <c r="BI2702"/>
      <c r="BJ2702" s="4">
        <v>46144.755740740744</v>
      </c>
      <c r="BK2702" s="4">
        <v>46119.81549768519</v>
      </c>
      <c r="BL2702" t="inlineStr">
        <is>
          <t>0.0</t>
        </is>
      </c>
      <c r="BM2702" t="inlineStr">
        <is>
          <t>0.0</t>
        </is>
      </c>
      <c r="BN2702"/>
      <c r="BO2702" s="4"/>
      <c r="BP2702">
        <v>165815</v>
      </c>
      <c r="BQ2702"/>
      <c r="BR2702"/>
      <c r="BS2702"/>
      <c r="BT2702"/>
      <c r="BU2702"/>
      <c r="BV2702"/>
      <c r="BW2702"/>
      <c r="BX2702"/>
      <c r="BY2702"/>
      <c r="BZ2702" s="4"/>
      <c r="CA2702"/>
      <c r="CB2702"/>
      <c r="CC2702" s="4"/>
      <c r="CD2702" t="inlineStr">
        <is>
          <t>20</t>
        </is>
      </c>
      <c r="CE2702" t="inlineStr">
        <is>
          <t>0</t>
        </is>
      </c>
      <c r="CF2702" t="inlineStr">
        <is>
          <t>Q2-W01</t>
        </is>
      </c>
      <c r="CG2702"/>
      <c r="CH2702"/>
      <c r="CI2702"/>
      <c r="CJ2702" t="inlineStr">
        <is>
          <t>No Paid</t>
        </is>
      </c>
      <c r="CK2702" t="inlineStr">
        <is>
          <t>Not Eligible</t>
        </is>
      </c>
      <c r="CL2702"/>
      <c r="CM2702"/>
    </row>
    <row r="2703" ht="25.5" customHeight="1">
      <c r="A2703" t="inlineStr">
        <is>
          <t>202954</t>
        </is>
      </c>
      <c r="B2703" s="2"/>
      <c r="C2703"/>
      <c r="D2703" s="3">
        <v>46120.41211805555</v>
      </c>
      <c r="E2703" t="inlineStr">
        <is>
          <t>Q2-W01</t>
        </is>
      </c>
      <c r="F2703" t="inlineStr">
        <is>
          <t>Ken Yi</t>
        </is>
      </c>
      <c r="G2703" t="inlineStr">
        <is>
          <t>Customer</t>
        </is>
      </c>
      <c r="H2703" s="2" t="str">
        <f>=HYPERLINK("https://upbox.ajobthing.my/customer/202954", "https://upbox.ajobthing.my/customer/202954")</f>
        <v>https://upbox.ajobthing.my/customer/202954</v>
      </c>
      <c r="I2703" t="inlineStr">
        <is>
          <t>Abskl Advisory Sdn Bhd</t>
        </is>
      </c>
      <c r="J2703" t="inlineStr">
        <is>
          <t>Small Fish</t>
        </is>
      </c>
      <c r="K2703" t="inlineStr">
        <is>
          <t>Kenyi</t>
        </is>
      </c>
      <c r="L2703" s="4"/>
      <c r="M2703" s="4">
        <v>46120.40167824074</v>
      </c>
      <c r="N2703"/>
      <c r="O2703">
        <v>3672</v>
      </c>
      <c r="P2703" s="4"/>
      <c r="Q2703" s="4">
        <v>46119.75131944445</v>
      </c>
      <c r="R2703"/>
      <c r="S2703">
        <v>0</v>
      </c>
      <c r="T2703" s="4"/>
      <c r="U2703" s="4"/>
      <c r="V2703"/>
      <c r="W2703"/>
      <c r="X2703"/>
      <c r="Y2703" t="inlineStr">
        <is>
          <t>Pending Appointment</t>
        </is>
      </c>
      <c r="Z2703" t="inlineStr">
        <is>
          <t>Hiring Now</t>
        </is>
      </c>
      <c r="AA2703">
        <v>6</v>
      </c>
      <c r="AB2703" t="inlineStr">
        <is>
          <t>No Appointment Made</t>
        </is>
      </c>
      <c r="AC2703"/>
      <c r="AD2703" t="inlineStr">
        <is>
          <t>Admin operation 1 , sales 4, and marketing 1, most important only internship urgent now 1</t>
        </is>
      </c>
      <c r="AE2703"/>
      <c r="AF2703">
        <v>0</v>
      </c>
      <c r="AG2703" s="4"/>
      <c r="AH2703" s="4"/>
      <c r="AI2703">
        <v>0</v>
      </c>
      <c r="AJ2703">
        <v>1</v>
      </c>
      <c r="AK2703" t="inlineStr">
        <is>
          <t>No, I don't need at all</t>
        </is>
      </c>
      <c r="AL2703">
        <v>0</v>
      </c>
      <c r="AM2703" t="inlineStr">
        <is>
          <t>No, I don't need at all</t>
        </is>
      </c>
      <c r="AN2703"/>
      <c r="AO2703" t="inlineStr">
        <is>
          <t>No, I don't need at all</t>
        </is>
      </c>
      <c r="AP2703" t="inlineStr">
        <is>
          <t>Every month (100%)</t>
        </is>
      </c>
      <c r="AQ2703">
        <v>5</v>
      </c>
      <c r="AR2703" t="inlineStr">
        <is>
          <t>Free Job Portal</t>
        </is>
      </c>
      <c r="AS2703" t="inlineStr">
        <is>
          <t>- Headcount: 6
- Hiring Job Details: 1 admin operation, 4 sales, 1 marketing; 1 urgent internship is top priority
- Hiring Urgency: Hiring Now
- Number of outlets: 1
- Have recruiter team: No, don't need at all
- Number of recruiter in company: 0
- Have ATS system: No, don't need at all
- Have career website: No, don't need at all
- Current hiring budget: RM0
- Whole year budget: RM0.00
- Whole year number of vacancies: 5
- Hiring frequency: Every month (100%)
- External job portal: Free Job Portal</t>
        </is>
      </c>
      <c r="AT2703">
        <v>95</v>
      </c>
      <c r="AU2703" t="inlineStr">
        <is>
          <t>0.95</t>
        </is>
      </c>
      <c r="AV2703" t="inlineStr">
        <is>
          <t>20</t>
        </is>
      </c>
      <c r="AW2703" t="inlineStr">
        <is>
          <t>0</t>
        </is>
      </c>
      <c r="AX2703" t="inlineStr">
        <is>
          <t>Not Qualified</t>
        </is>
      </c>
      <c r="AY2703" s="4"/>
      <c r="AZ2703"/>
      <c r="BA2703"/>
      <c r="BB2703"/>
      <c r="BC2703" t="inlineStr">
        <is>
          <t>Follow up again tomorrow at 11 A.M</t>
        </is>
      </c>
      <c r="BD2703" s="4">
        <v>46125.736875</v>
      </c>
      <c r="BE2703" t="inlineStr">
        <is>
          <t>paid</t>
        </is>
      </c>
      <c r="BF2703"/>
      <c r="BG2703" t="inlineStr">
        <is>
          <t>Reschedule</t>
        </is>
      </c>
      <c r="BH2703" t="inlineStr">
        <is>
          <t>Fauziah Maharan</t>
        </is>
      </c>
      <c r="BI2703" t="inlineStr">
        <is>
          <t>Banking / Finance</t>
        </is>
      </c>
      <c r="BJ2703" s="4">
        <v>46144.754166666666</v>
      </c>
      <c r="BK2703" s="4">
        <v>46119.72483796296</v>
      </c>
      <c r="BL2703" t="inlineStr">
        <is>
          <t>0.0</t>
        </is>
      </c>
      <c r="BM2703" t="inlineStr">
        <is>
          <t>0.0</t>
        </is>
      </c>
      <c r="BN2703" t="inlineStr">
        <is>
          <t>View Company Page</t>
        </is>
      </c>
      <c r="BO2703" s="4">
        <v>46119.73253472222</v>
      </c>
      <c r="BP2703">
        <v>165812</v>
      </c>
      <c r="BQ2703">
        <v>120613</v>
      </c>
      <c r="BR2703" t="inlineStr">
        <is>
          <t>Proforma</t>
        </is>
      </c>
      <c r="BS2703" t="inlineStr">
        <is>
          <t>Free Internship Job</t>
        </is>
      </c>
      <c r="BT2703"/>
      <c r="BU2703"/>
      <c r="BV2703">
        <v>2702139</v>
      </c>
      <c r="BW2703" t="inlineStr">
        <is>
          <t>Follow Up : Decision Pending</t>
        </is>
      </c>
      <c r="BX2703"/>
      <c r="BY2703"/>
      <c r="BZ2703" s="4"/>
      <c r="CA2703"/>
      <c r="CB2703"/>
      <c r="CC2703" s="4"/>
      <c r="CD2703" t="inlineStr">
        <is>
          <t>30</t>
        </is>
      </c>
      <c r="CE2703" t="inlineStr">
        <is>
          <t>0</t>
        </is>
      </c>
      <c r="CF2703" t="inlineStr">
        <is>
          <t>Q2-W01</t>
        </is>
      </c>
      <c r="CG2703" t="inlineStr">
        <is>
          <t>Q2-W01</t>
        </is>
      </c>
      <c r="CH2703"/>
      <c r="CI2703"/>
      <c r="CJ2703" t="inlineStr">
        <is>
          <t>No Paid</t>
        </is>
      </c>
      <c r="CK2703" t="inlineStr">
        <is>
          <t>Not Eligible</t>
        </is>
      </c>
      <c r="CL2703"/>
      <c r="CM2703"/>
    </row>
    <row r="2704" ht="25.5" customHeight="1">
      <c r="A2704" t="inlineStr">
        <is>
          <t>202965</t>
        </is>
      </c>
      <c r="B2704" s="2"/>
      <c r="C2704"/>
      <c r="D2704" s="3">
        <v>46120.4155787037</v>
      </c>
      <c r="E2704" t="inlineStr">
        <is>
          <t>Q2-W01</t>
        </is>
      </c>
      <c r="F2704" t="inlineStr">
        <is>
          <t>Keegan</t>
        </is>
      </c>
      <c r="G2704" t="inlineStr">
        <is>
          <t>Customer</t>
        </is>
      </c>
      <c r="H2704" s="2" t="str">
        <f>=HYPERLINK("https://upbox.ajobthing.my/customer/202965", "https://upbox.ajobthing.my/customer/202965")</f>
        <v>https://upbox.ajobthing.my/customer/202965</v>
      </c>
      <c r="I2704" t="inlineStr">
        <is>
          <t>ENSB</t>
        </is>
      </c>
      <c r="J2704" t="inlineStr">
        <is>
          <t>Small Fish</t>
        </is>
      </c>
      <c r="K2704" t="inlineStr">
        <is>
          <t>Keegan</t>
        </is>
      </c>
      <c r="L2704" s="4"/>
      <c r="M2704" s="4">
        <v>46120.41709490741</v>
      </c>
      <c r="N2704"/>
      <c r="O2704">
        <v>6048</v>
      </c>
      <c r="P2704" s="4"/>
      <c r="Q2704" s="4">
        <v>46120.920266203706</v>
      </c>
      <c r="R2704"/>
      <c r="S2704">
        <v>0</v>
      </c>
      <c r="T2704" s="4"/>
      <c r="U2704" s="4"/>
      <c r="V2704"/>
      <c r="W2704"/>
      <c r="X2704"/>
      <c r="Y2704" t="inlineStr">
        <is>
          <t>Pending Appointment</t>
        </is>
      </c>
      <c r="Z2704" t="inlineStr">
        <is>
          <t>Hiring Now</t>
        </is>
      </c>
      <c r="AA2704">
        <v>3</v>
      </c>
      <c r="AB2704" t="inlineStr">
        <is>
          <t>No Appointment Made</t>
        </is>
      </c>
      <c r="AC2704"/>
      <c r="AD2704" t="inlineStr">
        <is>
          <t xml:space="preserve">1. Sales 
2. Admin
3. Marketing </t>
        </is>
      </c>
      <c r="AE2704"/>
      <c r="AF2704"/>
      <c r="AG2704" s="4"/>
      <c r="AH2704" s="4"/>
      <c r="AI2704"/>
      <c r="AJ2704">
        <v>1</v>
      </c>
      <c r="AK2704" t="inlineStr">
        <is>
          <t>No, I don't need at all</t>
        </is>
      </c>
      <c r="AL2704">
        <v>0</v>
      </c>
      <c r="AM2704" t="inlineStr">
        <is>
          <t>No, I don't need at all</t>
        </is>
      </c>
      <c r="AN2704"/>
      <c r="AO2704" t="inlineStr">
        <is>
          <t>No, I don't need at all</t>
        </is>
      </c>
      <c r="AP2704" t="inlineStr">
        <is>
          <t>Once per quarter (75%)</t>
        </is>
      </c>
      <c r="AQ2704"/>
      <c r="AR2704" t="inlineStr">
        <is>
          <t>Did not use any job portal</t>
        </is>
      </c>
      <c r="AS2704" t="inlineStr">
        <is>
          <t>- Headcount: 3
- Hiring Job Details: 1. Sales 2. Admin 3.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704">
        <v>75</v>
      </c>
      <c r="AU2704" t="inlineStr">
        <is>
          <t>0.75</t>
        </is>
      </c>
      <c r="AV2704" t="inlineStr">
        <is>
          <t>5</t>
        </is>
      </c>
      <c r="AW2704" t="inlineStr">
        <is>
          <t>0</t>
        </is>
      </c>
      <c r="AX2704" t="inlineStr">
        <is>
          <t>Not Qualified</t>
        </is>
      </c>
      <c r="AY2704" s="4"/>
      <c r="AZ2704"/>
      <c r="BA2704"/>
      <c r="BB2704"/>
      <c r="BC2704" t="inlineStr">
        <is>
          <t>Still in the midst of discussion phase</t>
        </is>
      </c>
      <c r="BD2704" s="4">
        <v>46136.48289351852</v>
      </c>
      <c r="BE2704" t="inlineStr">
        <is>
          <t>paid</t>
        </is>
      </c>
      <c r="BF2704"/>
      <c r="BG2704" t="inlineStr">
        <is>
          <t>Reschedule</t>
        </is>
      </c>
      <c r="BH2704" t="inlineStr">
        <is>
          <t>Edward Hoo</t>
        </is>
      </c>
      <c r="BI2704"/>
      <c r="BJ2704" s="4">
        <v>46144.754166666666</v>
      </c>
      <c r="BK2704" s="4">
        <v>46120.414618055554</v>
      </c>
      <c r="BL2704" t="inlineStr">
        <is>
          <t>0.0</t>
        </is>
      </c>
      <c r="BM2704" t="inlineStr">
        <is>
          <t>0.0</t>
        </is>
      </c>
      <c r="BN2704"/>
      <c r="BO2704" s="4"/>
      <c r="BP2704">
        <v>165818</v>
      </c>
      <c r="BQ2704">
        <v>121130</v>
      </c>
      <c r="BR2704" t="inlineStr">
        <is>
          <t>Proforma</t>
        </is>
      </c>
      <c r="BS2704" t="inlineStr">
        <is>
          <t>Free Internship Job</t>
        </is>
      </c>
      <c r="BT2704"/>
      <c r="BU2704"/>
      <c r="BV2704">
        <v>2725901</v>
      </c>
      <c r="BW2704" t="inlineStr">
        <is>
          <t>Follow Up : Decision Pending</t>
        </is>
      </c>
      <c r="BX2704"/>
      <c r="BY2704"/>
      <c r="BZ2704" s="4"/>
      <c r="CA2704"/>
      <c r="CB2704"/>
      <c r="CC2704" s="4"/>
      <c r="CD2704" t="inlineStr">
        <is>
          <t>5</t>
        </is>
      </c>
      <c r="CE2704" t="inlineStr">
        <is>
          <t>0</t>
        </is>
      </c>
      <c r="CF2704" t="inlineStr">
        <is>
          <t>Q2-W01</t>
        </is>
      </c>
      <c r="CG2704" t="inlineStr">
        <is>
          <t>Q2-W01</t>
        </is>
      </c>
      <c r="CH2704"/>
      <c r="CI2704"/>
      <c r="CJ2704" t="inlineStr">
        <is>
          <t>No Paid</t>
        </is>
      </c>
      <c r="CK2704" t="inlineStr">
        <is>
          <t>Not Eligible</t>
        </is>
      </c>
      <c r="CL2704"/>
      <c r="CM2704"/>
    </row>
    <row r="2705" ht="25.5" customHeight="1">
      <c r="A2705" t="inlineStr">
        <is>
          <t>4253410</t>
        </is>
      </c>
      <c r="B2705" s="2"/>
      <c r="C2705"/>
      <c r="D2705" s="3">
        <v>46120.41784722222</v>
      </c>
      <c r="E2705" t="inlineStr">
        <is>
          <t>Q2-W01</t>
        </is>
      </c>
      <c r="F2705" t="inlineStr">
        <is>
          <t>Chia Yee</t>
        </is>
      </c>
      <c r="G2705" t="inlineStr">
        <is>
          <t>Lead</t>
        </is>
      </c>
      <c r="H2705" s="2" t="str">
        <f>=HYPERLINK("https://upbox.ajobthing.my/leads/4253410", "https://upbox.ajobthing.my/leads/4253410")</f>
        <v>https://upbox.ajobthing.my/leads/4253410</v>
      </c>
      <c r="I2705" t="inlineStr">
        <is>
          <t>H2o Swimming Academy Sdn Bhd</t>
        </is>
      </c>
      <c r="J2705" t="inlineStr">
        <is>
          <t>Small Fish</t>
        </is>
      </c>
      <c r="K2705" t="inlineStr">
        <is>
          <t>Chia Yee</t>
        </is>
      </c>
      <c r="L2705" s="4"/>
      <c r="M2705" s="4">
        <v>46120.41847222222</v>
      </c>
      <c r="N2705"/>
      <c r="O2705">
        <v>8208</v>
      </c>
      <c r="P2705" s="4"/>
      <c r="Q2705" s="4"/>
      <c r="R2705"/>
      <c r="S2705"/>
      <c r="T2705" s="4"/>
      <c r="U2705" s="4"/>
      <c r="V2705"/>
      <c r="W2705"/>
      <c r="X2705"/>
      <c r="Y2705" t="inlineStr">
        <is>
          <t>Pending Appointment</t>
        </is>
      </c>
      <c r="Z2705" t="inlineStr">
        <is>
          <t>Continuous Hiring</t>
        </is>
      </c>
      <c r="AA2705">
        <v>2</v>
      </c>
      <c r="AB2705" t="inlineStr">
        <is>
          <t>No Appointment Made</t>
        </is>
      </c>
      <c r="AC2705"/>
      <c r="AD2705" t="inlineStr">
        <is>
          <t xml:space="preserve"> Swimming coach, Swimming assistant</t>
        </is>
      </c>
      <c r="AE2705"/>
      <c r="AF2705">
        <v>0</v>
      </c>
      <c r="AG2705" s="4"/>
      <c r="AH2705" s="4"/>
      <c r="AI2705">
        <v>0</v>
      </c>
      <c r="AJ2705">
        <v>4</v>
      </c>
      <c r="AK2705" t="inlineStr">
        <is>
          <t>No, I don't need at all</t>
        </is>
      </c>
      <c r="AL2705">
        <v>1</v>
      </c>
      <c r="AM2705" t="inlineStr">
        <is>
          <t>No, I don't need at all</t>
        </is>
      </c>
      <c r="AN2705"/>
      <c r="AO2705" t="inlineStr">
        <is>
          <t>Yes, I have</t>
        </is>
      </c>
      <c r="AP2705" t="inlineStr">
        <is>
          <t>Once a year (25%)</t>
        </is>
      </c>
      <c r="AQ2705">
        <v>10</v>
      </c>
      <c r="AR2705" t="inlineStr">
        <is>
          <t>Did not use any job portal</t>
        </is>
      </c>
      <c r="AS2705" t="inlineStr">
        <is>
          <t>- Headcount: 2
- Hiring Job Details: Swimming coach, Swimming assistant
- Hiring Urgency: Continuous Hiring
- Number of outlets: 4
- Have recruiter team: No, I don't need at all
- Number of recruiter in company: 1
- Have ATS system: No, I don't need at all
- Have career website: Yes, I have
- Current hiring budget: RM0
- Whole year budget: RM0.00
- Whole year number of vacancies: 10
- Hiring frequency: Once a year (25%)
- External job portal: Did not use any job portal</t>
        </is>
      </c>
      <c r="AT2705">
        <v>75</v>
      </c>
      <c r="AU2705" t="inlineStr">
        <is>
          <t>0.75</t>
        </is>
      </c>
      <c r="AV2705" t="inlineStr">
        <is>
          <t>15</t>
        </is>
      </c>
      <c r="AW2705" t="inlineStr">
        <is>
          <t>0</t>
        </is>
      </c>
      <c r="AX2705" t="inlineStr">
        <is>
          <t>Not Qualified</t>
        </is>
      </c>
      <c r="AY2705" s="4"/>
      <c r="AZ2705"/>
      <c r="BA2705"/>
      <c r="BB2705"/>
      <c r="BC2705"/>
      <c r="BD2705" s="4"/>
      <c r="BE2705"/>
      <c r="BF2705"/>
      <c r="BG2705" t="inlineStr">
        <is>
          <t>Reschedule</t>
        </is>
      </c>
      <c r="BH2705" t="inlineStr">
        <is>
          <t>Reagen</t>
        </is>
      </c>
      <c r="BI2705"/>
      <c r="BJ2705" s="4">
        <v>46144.755740740744</v>
      </c>
      <c r="BK2705" s="4">
        <v>46118.77334490741</v>
      </c>
      <c r="BL2705" t="inlineStr">
        <is>
          <t>0.0</t>
        </is>
      </c>
      <c r="BM2705" t="inlineStr">
        <is>
          <t>0.0</t>
        </is>
      </c>
      <c r="BN2705"/>
      <c r="BO2705" s="4"/>
      <c r="BP2705">
        <v>165820</v>
      </c>
      <c r="BQ2705"/>
      <c r="BR2705"/>
      <c r="BS2705"/>
      <c r="BT2705"/>
      <c r="BU2705"/>
      <c r="BV2705"/>
      <c r="BW2705"/>
      <c r="BX2705"/>
      <c r="BY2705"/>
      <c r="BZ2705" s="4"/>
      <c r="CA2705"/>
      <c r="CB2705"/>
      <c r="CC2705" s="4"/>
      <c r="CD2705" t="inlineStr">
        <is>
          <t>20</t>
        </is>
      </c>
      <c r="CE2705" t="inlineStr">
        <is>
          <t>0</t>
        </is>
      </c>
      <c r="CF2705" t="inlineStr">
        <is>
          <t>Q2-W01</t>
        </is>
      </c>
      <c r="CG2705"/>
      <c r="CH2705"/>
      <c r="CI2705"/>
      <c r="CJ2705" t="inlineStr">
        <is>
          <t>No Paid</t>
        </is>
      </c>
      <c r="CK2705" t="inlineStr">
        <is>
          <t>Not Eligible</t>
        </is>
      </c>
      <c r="CL2705"/>
      <c r="CM2705"/>
    </row>
    <row r="2706" ht="25.5" customHeight="1">
      <c r="A2706" t="inlineStr">
        <is>
          <t>4257223</t>
        </is>
      </c>
      <c r="B2706" s="2"/>
      <c r="C2706"/>
      <c r="D2706" s="3">
        <v>46120.42429398148</v>
      </c>
      <c r="E2706" t="inlineStr">
        <is>
          <t>Q2-W01</t>
        </is>
      </c>
      <c r="F2706" t="inlineStr">
        <is>
          <t>Eugene</t>
        </is>
      </c>
      <c r="G2706" t="inlineStr">
        <is>
          <t>Lead</t>
        </is>
      </c>
      <c r="H2706" s="2" t="str">
        <f>=HYPERLINK("https://upbox.ajobthing.my/leads/4257223", "https://upbox.ajobthing.my/leads/4257223")</f>
        <v>https://upbox.ajobthing.my/leads/4257223</v>
      </c>
      <c r="I2706" t="inlineStr">
        <is>
          <t>Syarikat Elektrik Heap Seng Sdn Bhd</t>
        </is>
      </c>
      <c r="J2706" t="inlineStr">
        <is>
          <t>Small Fish</t>
        </is>
      </c>
      <c r="K2706" t="inlineStr">
        <is>
          <t>Eugene</t>
        </is>
      </c>
      <c r="L2706" s="4"/>
      <c r="M2706" s="4">
        <v>46120.42449074074</v>
      </c>
      <c r="N2706"/>
      <c r="O2706">
        <v>3888</v>
      </c>
      <c r="P2706" s="4"/>
      <c r="Q2706" s="4"/>
      <c r="R2706"/>
      <c r="S2706"/>
      <c r="T2706" s="4"/>
      <c r="U2706" s="4"/>
      <c r="V2706"/>
      <c r="W2706"/>
      <c r="X2706"/>
      <c r="Y2706" t="inlineStr">
        <is>
          <t>Pending Appointment</t>
        </is>
      </c>
      <c r="Z2706" t="inlineStr">
        <is>
          <t>Hiring Now</t>
        </is>
      </c>
      <c r="AA2706">
        <v>1</v>
      </c>
      <c r="AB2706" t="inlineStr">
        <is>
          <t>No Appointment Made</t>
        </is>
      </c>
      <c r="AC2706"/>
      <c r="AD2706" t="inlineStr">
        <is>
          <t>1 account assistant, based in Ipoh</t>
        </is>
      </c>
      <c r="AE2706"/>
      <c r="AF2706">
        <v>3000</v>
      </c>
      <c r="AG2706" s="4"/>
      <c r="AH2706" s="4"/>
      <c r="AI2706">
        <v>3000</v>
      </c>
      <c r="AJ2706">
        <v>1</v>
      </c>
      <c r="AK2706" t="inlineStr">
        <is>
          <t>No, I don't need at all</t>
        </is>
      </c>
      <c r="AL2706">
        <v>1</v>
      </c>
      <c r="AM2706" t="inlineStr">
        <is>
          <t>No, I don't need at all</t>
        </is>
      </c>
      <c r="AN2706"/>
      <c r="AO2706" t="inlineStr">
        <is>
          <t>No, I don't need at all</t>
        </is>
      </c>
      <c r="AP2706" t="inlineStr">
        <is>
          <t>Once a year (25%)</t>
        </is>
      </c>
      <c r="AQ2706">
        <v>2</v>
      </c>
      <c r="AR2706" t="inlineStr">
        <is>
          <t>Did not use any job portal</t>
        </is>
      </c>
      <c r="AS2706" t="inlineStr">
        <is>
          <t>- Headcount: 1
- Hiring Job Details: 1 account assistant, based in Ipoh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Once a year (25%)
- External job portal: Did not use any job portal</t>
        </is>
      </c>
      <c r="AT2706">
        <v>110</v>
      </c>
      <c r="AU2706" t="inlineStr">
        <is>
          <t>1.10</t>
        </is>
      </c>
      <c r="AV2706" t="inlineStr">
        <is>
          <t>15</t>
        </is>
      </c>
      <c r="AW2706" t="inlineStr">
        <is>
          <t>0</t>
        </is>
      </c>
      <c r="AX2706" t="inlineStr">
        <is>
          <t>Not Qualified</t>
        </is>
      </c>
      <c r="AY2706" s="4"/>
      <c r="AZ2706"/>
      <c r="BA2706"/>
      <c r="BB2706"/>
      <c r="BC2706"/>
      <c r="BD2706" s="4"/>
      <c r="BE2706"/>
      <c r="BF2706"/>
      <c r="BG2706" t="inlineStr">
        <is>
          <t>Reschedule</t>
        </is>
      </c>
      <c r="BH2706" t="inlineStr">
        <is>
          <t>Edward Hoo</t>
        </is>
      </c>
      <c r="BI2706"/>
      <c r="BJ2706" s="4">
        <v>46144.755740740744</v>
      </c>
      <c r="BK2706" s="4">
        <v>46119.75331018519</v>
      </c>
      <c r="BL2706" t="inlineStr">
        <is>
          <t>0.0</t>
        </is>
      </c>
      <c r="BM2706" t="inlineStr">
        <is>
          <t>0.0</t>
        </is>
      </c>
      <c r="BN2706"/>
      <c r="BO2706" s="4"/>
      <c r="BP2706">
        <v>165825</v>
      </c>
      <c r="BQ2706"/>
      <c r="BR2706"/>
      <c r="BS2706"/>
      <c r="BT2706"/>
      <c r="BU2706"/>
      <c r="BV2706"/>
      <c r="BW2706"/>
      <c r="BX2706"/>
      <c r="BY2706"/>
      <c r="BZ2706" s="4"/>
      <c r="CA2706"/>
      <c r="CB2706"/>
      <c r="CC2706" s="4"/>
      <c r="CD2706" t="inlineStr">
        <is>
          <t>20</t>
        </is>
      </c>
      <c r="CE2706" t="inlineStr">
        <is>
          <t>0</t>
        </is>
      </c>
      <c r="CF2706" t="inlineStr">
        <is>
          <t>Q2-W01</t>
        </is>
      </c>
      <c r="CG2706"/>
      <c r="CH2706"/>
      <c r="CI2706"/>
      <c r="CJ2706" t="inlineStr">
        <is>
          <t>No Paid</t>
        </is>
      </c>
      <c r="CK2706" t="inlineStr">
        <is>
          <t>Not Eligible</t>
        </is>
      </c>
      <c r="CL2706"/>
      <c r="CM2706"/>
    </row>
    <row r="2707" ht="25.5" customHeight="1">
      <c r="A2707" t="inlineStr">
        <is>
          <t>4258999</t>
        </is>
      </c>
      <c r="B2707" s="2"/>
      <c r="C2707"/>
      <c r="D2707" s="3">
        <v>46120.42450231482</v>
      </c>
      <c r="E2707" t="inlineStr">
        <is>
          <t>Q2-W01</t>
        </is>
      </c>
      <c r="F2707" t="inlineStr">
        <is>
          <t>Luqman</t>
        </is>
      </c>
      <c r="G2707" t="inlineStr">
        <is>
          <t>Lead</t>
        </is>
      </c>
      <c r="H2707" s="2" t="str">
        <f>=HYPERLINK("https://upbox.ajobthing.my/leads/4258999", "https://upbox.ajobthing.my/leads/4258999")</f>
        <v>https://upbox.ajobthing.my/leads/4258999</v>
      </c>
      <c r="I2707" t="inlineStr">
        <is>
          <t>Precision Auto Air Cond &amp; Accessories</t>
        </is>
      </c>
      <c r="J2707" t="inlineStr">
        <is>
          <t>Small Fish</t>
        </is>
      </c>
      <c r="K2707" t="inlineStr">
        <is>
          <t>Luqman</t>
        </is>
      </c>
      <c r="L2707" s="4"/>
      <c r="M2707" s="4">
        <v>46120.42471064815</v>
      </c>
      <c r="N2707"/>
      <c r="O2707">
        <v>1296</v>
      </c>
      <c r="P2707" s="4"/>
      <c r="Q2707" s="4"/>
      <c r="R2707"/>
      <c r="S2707"/>
      <c r="T2707" s="4"/>
      <c r="U2707" s="4"/>
      <c r="V2707"/>
      <c r="W2707"/>
      <c r="X2707"/>
      <c r="Y2707" t="inlineStr">
        <is>
          <t>Pending Appointment</t>
        </is>
      </c>
      <c r="Z2707" t="inlineStr">
        <is>
          <t>Hiring Later</t>
        </is>
      </c>
      <c r="AA2707">
        <v>1</v>
      </c>
      <c r="AB2707" t="inlineStr">
        <is>
          <t>No Appointment Made</t>
        </is>
      </c>
      <c r="AC2707"/>
      <c r="AD2707" t="inlineStr">
        <is>
          <t>1. Mechanic</t>
        </is>
      </c>
      <c r="AE2707"/>
      <c r="AF2707">
        <v>1200</v>
      </c>
      <c r="AG2707" s="4"/>
      <c r="AH2707" s="4"/>
      <c r="AI2707">
        <v>1200</v>
      </c>
      <c r="AJ2707"/>
      <c r="AK2707" t="inlineStr">
        <is>
          <t>No, I don't need at all</t>
        </is>
      </c>
      <c r="AL2707">
        <v>1</v>
      </c>
      <c r="AM2707" t="inlineStr">
        <is>
          <t>No, I don't need at all</t>
        </is>
      </c>
      <c r="AN2707"/>
      <c r="AO2707" t="inlineStr">
        <is>
          <t>No, I don't need at all</t>
        </is>
      </c>
      <c r="AP2707" t="inlineStr">
        <is>
          <t>Once a year (25%)</t>
        </is>
      </c>
      <c r="AQ2707">
        <v>1</v>
      </c>
      <c r="AR2707" t="inlineStr">
        <is>
          <t>Free Job Portal</t>
        </is>
      </c>
      <c r="AS2707" t="inlineStr">
        <is>
          <t>- Headcount: 1
- Hiring Job Details: 1 Mechanic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2707">
        <v>115</v>
      </c>
      <c r="AU2707" t="inlineStr">
        <is>
          <t>1.15</t>
        </is>
      </c>
      <c r="AV2707" t="inlineStr">
        <is>
          <t>15</t>
        </is>
      </c>
      <c r="AW2707" t="inlineStr">
        <is>
          <t>0</t>
        </is>
      </c>
      <c r="AX2707" t="inlineStr">
        <is>
          <t>Not Qualified</t>
        </is>
      </c>
      <c r="AY2707" s="4"/>
      <c r="AZ2707"/>
      <c r="BA2707"/>
      <c r="BB2707"/>
      <c r="BC2707"/>
      <c r="BD2707" s="4"/>
      <c r="BE2707"/>
      <c r="BF2707"/>
      <c r="BG2707" t="inlineStr">
        <is>
          <t>Reschedule</t>
        </is>
      </c>
      <c r="BH2707" t="inlineStr">
        <is>
          <t>Edward Hoo</t>
        </is>
      </c>
      <c r="BI2707"/>
      <c r="BJ2707" s="4">
        <v>46144.75576388889</v>
      </c>
      <c r="BK2707" s="4">
        <v>46120.36686342592</v>
      </c>
      <c r="BL2707" t="inlineStr">
        <is>
          <t>0.0</t>
        </is>
      </c>
      <c r="BM2707" t="inlineStr">
        <is>
          <t>0.0</t>
        </is>
      </c>
      <c r="BN2707"/>
      <c r="BO2707" s="4"/>
      <c r="BP2707">
        <v>165826</v>
      </c>
      <c r="BQ2707"/>
      <c r="BR2707"/>
      <c r="BS2707"/>
      <c r="BT2707"/>
      <c r="BU2707"/>
      <c r="BV2707"/>
      <c r="BW2707"/>
      <c r="BX2707"/>
      <c r="BY2707"/>
      <c r="BZ2707" s="4"/>
      <c r="CA2707"/>
      <c r="CB2707"/>
      <c r="CC2707" s="4"/>
      <c r="CD2707" t="inlineStr">
        <is>
          <t>20</t>
        </is>
      </c>
      <c r="CE2707" t="inlineStr">
        <is>
          <t>0</t>
        </is>
      </c>
      <c r="CF2707" t="inlineStr">
        <is>
          <t>Q2-W01</t>
        </is>
      </c>
      <c r="CG2707"/>
      <c r="CH2707"/>
      <c r="CI2707"/>
      <c r="CJ2707" t="inlineStr">
        <is>
          <t>No Paid</t>
        </is>
      </c>
      <c r="CK2707" t="inlineStr">
        <is>
          <t>Not Eligible</t>
        </is>
      </c>
      <c r="CL2707"/>
      <c r="CM2707"/>
    </row>
    <row r="2708" ht="25.5" customHeight="1">
      <c r="A2708" t="inlineStr">
        <is>
          <t>4259384</t>
        </is>
      </c>
      <c r="B2708" s="2"/>
      <c r="C2708"/>
      <c r="D2708" s="3">
        <v>46120.430925925924</v>
      </c>
      <c r="E2708" t="inlineStr">
        <is>
          <t>Q2-W01</t>
        </is>
      </c>
      <c r="F2708" t="inlineStr">
        <is>
          <t>Carmen</t>
        </is>
      </c>
      <c r="G2708" t="inlineStr">
        <is>
          <t>Lead</t>
        </is>
      </c>
      <c r="H2708" s="2" t="str">
        <f>=HYPERLINK("https://upbox.ajobthing.my/leads/4259384", "https://upbox.ajobthing.my/leads/4259384")</f>
        <v>https://upbox.ajobthing.my/leads/4259384</v>
      </c>
      <c r="I2708" t="inlineStr">
        <is>
          <t>Goh Kim Hea Auto Repair</t>
        </is>
      </c>
      <c r="J2708" t="inlineStr">
        <is>
          <t>Small Fish</t>
        </is>
      </c>
      <c r="K2708" t="inlineStr">
        <is>
          <t>Carmen</t>
        </is>
      </c>
      <c r="L2708" s="4"/>
      <c r="M2708" s="4">
        <v>46120.43109953704</v>
      </c>
      <c r="N2708"/>
      <c r="O2708">
        <v>3888</v>
      </c>
      <c r="P2708" s="4"/>
      <c r="Q2708" s="4"/>
      <c r="R2708"/>
      <c r="S2708"/>
      <c r="T2708" s="4"/>
      <c r="U2708" s="4"/>
      <c r="V2708"/>
      <c r="W2708"/>
      <c r="X2708"/>
      <c r="Y2708" t="inlineStr">
        <is>
          <t>Pending Appointment</t>
        </is>
      </c>
      <c r="Z2708" t="inlineStr">
        <is>
          <t>Hiring Now</t>
        </is>
      </c>
      <c r="AA2708">
        <v>2</v>
      </c>
      <c r="AB2708" t="inlineStr">
        <is>
          <t>No Appointment Made</t>
        </is>
      </c>
      <c r="AC2708"/>
      <c r="AD2708" t="inlineStr">
        <is>
          <t>2 mechanic</t>
        </is>
      </c>
      <c r="AE2708"/>
      <c r="AF2708">
        <v>0</v>
      </c>
      <c r="AG2708" s="4"/>
      <c r="AH2708" s="4"/>
      <c r="AI2708"/>
      <c r="AJ2708"/>
      <c r="AK2708"/>
      <c r="AL2708"/>
      <c r="AM2708"/>
      <c r="AN2708"/>
      <c r="AO2708"/>
      <c r="AP2708" t="inlineStr">
        <is>
          <t>Once a year (25%)</t>
        </is>
      </c>
      <c r="AQ2708"/>
      <c r="AR2708"/>
      <c r="AS2708" t="inlineStr">
        <is>
          <t>- Headcount: 2
- Hiring Job Details: 2 mechanic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708">
        <v>75</v>
      </c>
      <c r="AU2708" t="inlineStr">
        <is>
          <t>0.75</t>
        </is>
      </c>
      <c r="AV2708" t="inlineStr">
        <is>
          <t>15</t>
        </is>
      </c>
      <c r="AW2708" t="inlineStr">
        <is>
          <t>0</t>
        </is>
      </c>
      <c r="AX2708" t="inlineStr">
        <is>
          <t>Not Qualified</t>
        </is>
      </c>
      <c r="AY2708" s="4"/>
      <c r="AZ2708"/>
      <c r="BA2708"/>
      <c r="BB2708"/>
      <c r="BC2708"/>
      <c r="BD2708" s="4"/>
      <c r="BE2708"/>
      <c r="BF2708"/>
      <c r="BG2708" t="inlineStr">
        <is>
          <t>Reschedule</t>
        </is>
      </c>
      <c r="BH2708" t="inlineStr">
        <is>
          <t>Reagen</t>
        </is>
      </c>
      <c r="BI2708"/>
      <c r="BJ2708" s="4">
        <v>46144.75576388889</v>
      </c>
      <c r="BK2708" s="4">
        <v>46120.41820601852</v>
      </c>
      <c r="BL2708" t="inlineStr">
        <is>
          <t>0.0</t>
        </is>
      </c>
      <c r="BM2708" t="inlineStr">
        <is>
          <t>0.0</t>
        </is>
      </c>
      <c r="BN2708"/>
      <c r="BO2708" s="4"/>
      <c r="BP2708">
        <v>165830</v>
      </c>
      <c r="BQ2708"/>
      <c r="BR2708"/>
      <c r="BS2708"/>
      <c r="BT2708"/>
      <c r="BU2708"/>
      <c r="BV2708"/>
      <c r="BW2708"/>
      <c r="BX2708"/>
      <c r="BY2708"/>
      <c r="BZ2708" s="4"/>
      <c r="CA2708"/>
      <c r="CB2708"/>
      <c r="CC2708" s="4"/>
      <c r="CD2708" t="inlineStr">
        <is>
          <t>20</t>
        </is>
      </c>
      <c r="CE2708" t="inlineStr">
        <is>
          <t>0</t>
        </is>
      </c>
      <c r="CF2708" t="inlineStr">
        <is>
          <t>Q2-W01</t>
        </is>
      </c>
      <c r="CG2708"/>
      <c r="CH2708"/>
      <c r="CI2708"/>
      <c r="CJ2708" t="inlineStr">
        <is>
          <t>No Paid</t>
        </is>
      </c>
      <c r="CK2708" t="inlineStr">
        <is>
          <t>Not Eligible</t>
        </is>
      </c>
      <c r="CL2708"/>
      <c r="CM2708"/>
    </row>
    <row r="2709" ht="25.5" customHeight="1">
      <c r="A2709" t="inlineStr">
        <is>
          <t>195462</t>
        </is>
      </c>
      <c r="B2709" s="2"/>
      <c r="C2709"/>
      <c r="D2709" s="3">
        <v>46120.43997685185</v>
      </c>
      <c r="E2709" t="inlineStr">
        <is>
          <t>Q2-W01</t>
        </is>
      </c>
      <c r="F2709" t="inlineStr">
        <is>
          <t>Lucas</t>
        </is>
      </c>
      <c r="G2709" t="inlineStr">
        <is>
          <t>Customer</t>
        </is>
      </c>
      <c r="H2709" s="2" t="str">
        <f>=HYPERLINK("https://upbox.ajobthing.my/customer/195462", "https://upbox.ajobthing.my/customer/195462")</f>
        <v>https://upbox.ajobthing.my/customer/195462</v>
      </c>
      <c r="I2709" t="inlineStr">
        <is>
          <t>Xero Advisors (MM2H) Sdn. Bhd.</t>
        </is>
      </c>
      <c r="J2709" t="inlineStr">
        <is>
          <t>Small Fish</t>
        </is>
      </c>
      <c r="K2709" t="inlineStr">
        <is>
          <t>Lucas</t>
        </is>
      </c>
      <c r="L2709" s="4"/>
      <c r="M2709" s="4">
        <v>46120.438622685186</v>
      </c>
      <c r="N2709"/>
      <c r="O2709">
        <v>3888</v>
      </c>
      <c r="P2709" s="4"/>
      <c r="Q2709" s="4">
        <v>45901.465219907404</v>
      </c>
      <c r="R2709"/>
      <c r="S2709">
        <v>648</v>
      </c>
      <c r="T2709" s="4">
        <v>45901.465219907404</v>
      </c>
      <c r="U2709" s="4"/>
      <c r="V2709"/>
      <c r="W2709">
        <v>648</v>
      </c>
      <c r="X2709"/>
      <c r="Y2709" t="inlineStr">
        <is>
          <t>Pending Appointment</t>
        </is>
      </c>
      <c r="Z2709" t="inlineStr">
        <is>
          <t>Hiring Now</t>
        </is>
      </c>
      <c r="AA2709">
        <v>1</v>
      </c>
      <c r="AB2709" t="inlineStr">
        <is>
          <t>No Appointment Made</t>
        </is>
      </c>
      <c r="AC2709"/>
      <c r="AD2709" t="inlineStr">
        <is>
          <t xml:space="preserve">1 accountant </t>
        </is>
      </c>
      <c r="AE2709"/>
      <c r="AF2709">
        <v>0</v>
      </c>
      <c r="AG2709" s="4"/>
      <c r="AH2709" s="4"/>
      <c r="AI2709">
        <v>0</v>
      </c>
      <c r="AJ2709">
        <v>0</v>
      </c>
      <c r="AK2709" t="inlineStr">
        <is>
          <t>No, I don't need at all</t>
        </is>
      </c>
      <c r="AL2709">
        <v>0</v>
      </c>
      <c r="AM2709" t="inlineStr">
        <is>
          <t>No, I don't need at all</t>
        </is>
      </c>
      <c r="AN2709"/>
      <c r="AO2709" t="inlineStr">
        <is>
          <t>No, I don't need at all</t>
        </is>
      </c>
      <c r="AP2709" t="inlineStr">
        <is>
          <t>Once a year (25%)</t>
        </is>
      </c>
      <c r="AQ2709">
        <v>1</v>
      </c>
      <c r="AR2709" t="inlineStr">
        <is>
          <t>Did not use any job portal</t>
        </is>
      </c>
      <c r="AS2709" t="inlineStr">
        <is>
          <t>- Headcount: 1
- Hiring Job Details: 1 accountant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709">
        <v>110</v>
      </c>
      <c r="AU2709" t="inlineStr">
        <is>
          <t>1.10</t>
        </is>
      </c>
      <c r="AV2709" t="inlineStr">
        <is>
          <t>15</t>
        </is>
      </c>
      <c r="AW2709" t="inlineStr">
        <is>
          <t>0</t>
        </is>
      </c>
      <c r="AX2709" t="inlineStr">
        <is>
          <t>Not Qualified</t>
        </is>
      </c>
      <c r="AY2709" s="4"/>
      <c r="AZ2709"/>
      <c r="BA2709"/>
      <c r="BB2709"/>
      <c r="BC2709" t="inlineStr">
        <is>
          <t>nr, FU2</t>
        </is>
      </c>
      <c r="BD2709" s="4">
        <v>46142.63648148148</v>
      </c>
      <c r="BE2709" t="inlineStr">
        <is>
          <t>paid</t>
        </is>
      </c>
      <c r="BF2709"/>
      <c r="BG2709" t="inlineStr">
        <is>
          <t>Reschedule</t>
        </is>
      </c>
      <c r="BH2709" t="inlineStr">
        <is>
          <t>Yee Hang</t>
        </is>
      </c>
      <c r="BI2709" t="inlineStr">
        <is>
          <t>Travel / Tourism</t>
        </is>
      </c>
      <c r="BJ2709" s="4">
        <v>46144.7527662037</v>
      </c>
      <c r="BK2709" s="4">
        <v>45896.44226851852</v>
      </c>
      <c r="BL2709" t="inlineStr">
        <is>
          <t>648.0</t>
        </is>
      </c>
      <c r="BM2709" t="inlineStr">
        <is>
          <t>0.0</t>
        </is>
      </c>
      <c r="BN2709" t="inlineStr">
        <is>
          <t>View Jobmanager Page</t>
        </is>
      </c>
      <c r="BO2709" s="4">
        <v>46120.48638888889</v>
      </c>
      <c r="BP2709">
        <v>165832</v>
      </c>
      <c r="BQ2709">
        <v>82034</v>
      </c>
      <c r="BR2709" t="inlineStr">
        <is>
          <t>Online</t>
        </is>
      </c>
      <c r="BS2709"/>
      <c r="BT2709">
        <v>82034</v>
      </c>
      <c r="BU2709"/>
      <c r="BV2709">
        <v>2737923</v>
      </c>
      <c r="BW2709" t="inlineStr">
        <is>
          <t>No Answer : Voicemail - WA sent to customer</t>
        </is>
      </c>
      <c r="BX2709"/>
      <c r="BY2709"/>
      <c r="BZ2709" s="4"/>
      <c r="CA2709"/>
      <c r="CB2709"/>
      <c r="CC2709" s="4"/>
      <c r="CD2709" t="inlineStr">
        <is>
          <t>20</t>
        </is>
      </c>
      <c r="CE2709" t="inlineStr">
        <is>
          <t>0</t>
        </is>
      </c>
      <c r="CF2709" t="inlineStr">
        <is>
          <t>Q2-W01</t>
        </is>
      </c>
      <c r="CG2709"/>
      <c r="CH2709"/>
      <c r="CI2709"/>
      <c r="CJ2709" t="inlineStr">
        <is>
          <t>Paid</t>
        </is>
      </c>
      <c r="CK2709" t="inlineStr">
        <is>
          <t>Not Eligible</t>
        </is>
      </c>
      <c r="CL2709"/>
      <c r="CM2709"/>
    </row>
    <row r="2710" ht="25.5" customHeight="1">
      <c r="A2710" t="inlineStr">
        <is>
          <t>188670</t>
        </is>
      </c>
      <c r="B2710" s="2"/>
      <c r="C2710"/>
      <c r="D2710" s="3">
        <v>46120.443449074075</v>
      </c>
      <c r="E2710" t="inlineStr">
        <is>
          <t>Q2-W01</t>
        </is>
      </c>
      <c r="F2710" t="inlineStr">
        <is>
          <t>Eugene</t>
        </is>
      </c>
      <c r="G2710" t="inlineStr">
        <is>
          <t>Customer</t>
        </is>
      </c>
      <c r="H2710" s="2" t="str">
        <f>=HYPERLINK("https://upbox.ajobthing.my/customer/188670", "https://upbox.ajobthing.my/customer/188670")</f>
        <v>https://upbox.ajobthing.my/customer/188670</v>
      </c>
      <c r="I2710" t="inlineStr">
        <is>
          <t>Chin Swee Vegeciting Sdn Bhd</t>
        </is>
      </c>
      <c r="J2710" t="inlineStr">
        <is>
          <t>Small Fish</t>
        </is>
      </c>
      <c r="K2710" t="inlineStr">
        <is>
          <t>Eugene</t>
        </is>
      </c>
      <c r="L2710" s="4"/>
      <c r="M2710" s="4">
        <v>46120.44354166667</v>
      </c>
      <c r="N2710"/>
      <c r="O2710">
        <v>3888</v>
      </c>
      <c r="P2710" s="4"/>
      <c r="Q2710" s="4">
        <v>46135.6277662037</v>
      </c>
      <c r="R2710"/>
      <c r="S2710">
        <v>1296</v>
      </c>
      <c r="T2710" s="4"/>
      <c r="U2710" s="4"/>
      <c r="V2710"/>
      <c r="W2710"/>
      <c r="X2710"/>
      <c r="Y2710" t="inlineStr">
        <is>
          <t>Pending Appointment</t>
        </is>
      </c>
      <c r="Z2710" t="inlineStr">
        <is>
          <t>Hiring Now</t>
        </is>
      </c>
      <c r="AA2710">
        <v>1</v>
      </c>
      <c r="AB2710" t="inlineStr">
        <is>
          <t>No Appointment Made</t>
        </is>
      </c>
      <c r="AC2710"/>
      <c r="AD2710" t="inlineStr">
        <is>
          <t>1 positions, based in KL</t>
        </is>
      </c>
      <c r="AE2710"/>
      <c r="AF2710">
        <v>3000</v>
      </c>
      <c r="AG2710" s="4"/>
      <c r="AH2710" s="4"/>
      <c r="AI2710">
        <v>3000</v>
      </c>
      <c r="AJ2710">
        <v>2</v>
      </c>
      <c r="AK2710" t="inlineStr">
        <is>
          <t>No, I don't need at all</t>
        </is>
      </c>
      <c r="AL2710">
        <v>1</v>
      </c>
      <c r="AM2710" t="inlineStr">
        <is>
          <t>No, I don't need at all</t>
        </is>
      </c>
      <c r="AN2710"/>
      <c r="AO2710" t="inlineStr">
        <is>
          <t>No, I don't need at all</t>
        </is>
      </c>
      <c r="AP2710" t="inlineStr">
        <is>
          <t>Twice a year (50%)</t>
        </is>
      </c>
      <c r="AQ2710">
        <v>2</v>
      </c>
      <c r="AR2710" t="inlineStr">
        <is>
          <t>Free Job Portal</t>
        </is>
      </c>
      <c r="AS2710" t="inlineStr">
        <is>
          <t>- Headcount: 1
- Hiring Job Details: 1 position, based in KL
- Hiring Urgency: Hiring Now
- Number of outlets: 2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is>
      </c>
      <c r="AT2710">
        <v>85</v>
      </c>
      <c r="AU2710" t="inlineStr">
        <is>
          <t>0.85</t>
        </is>
      </c>
      <c r="AV2710" t="inlineStr">
        <is>
          <t>15</t>
        </is>
      </c>
      <c r="AW2710" t="inlineStr">
        <is>
          <t>0</t>
        </is>
      </c>
      <c r="AX2710" t="inlineStr">
        <is>
          <t>Not Qualified</t>
        </is>
      </c>
      <c r="AY2710" s="4"/>
      <c r="AZ2710"/>
      <c r="BA2710"/>
      <c r="BB2710"/>
      <c r="BC2710" t="inlineStr">
        <is>
          <t>proceed in Chin Swee Food</t>
        </is>
      </c>
      <c r="BD2710" s="4">
        <v>46136.590682870374</v>
      </c>
      <c r="BE2710" t="inlineStr">
        <is>
          <t>pending</t>
        </is>
      </c>
      <c r="BF2710"/>
      <c r="BG2710" t="inlineStr">
        <is>
          <t>Reschedule</t>
        </is>
      </c>
      <c r="BH2710" t="inlineStr">
        <is>
          <t>Edward Hoo</t>
        </is>
      </c>
      <c r="BI2710"/>
      <c r="BJ2710" s="4">
        <v>46144.75224537037</v>
      </c>
      <c r="BK2710" s="4">
        <v>45726.70107638889</v>
      </c>
      <c r="BL2710" t="inlineStr">
        <is>
          <t>0.0</t>
        </is>
      </c>
      <c r="BM2710" t="inlineStr">
        <is>
          <t>0.0</t>
        </is>
      </c>
      <c r="BN2710"/>
      <c r="BO2710" s="4"/>
      <c r="BP2710">
        <v>165840</v>
      </c>
      <c r="BQ2710">
        <v>123605</v>
      </c>
      <c r="BR2710" t="inlineStr">
        <is>
          <t>Proforma</t>
        </is>
      </c>
      <c r="BS2710" t="inlineStr">
        <is>
          <t>AI Ala Carte (Jan 26) Plus</t>
        </is>
      </c>
      <c r="BT2710"/>
      <c r="BU2710"/>
      <c r="BV2710">
        <v>2726388</v>
      </c>
      <c r="BW2710" t="inlineStr">
        <is>
          <t>Follow Up : Lost - Free Portal</t>
        </is>
      </c>
      <c r="BX2710"/>
      <c r="BY2710"/>
      <c r="BZ2710" s="4"/>
      <c r="CA2710"/>
      <c r="CB2710"/>
      <c r="CC2710" s="4"/>
      <c r="CD2710" t="inlineStr">
        <is>
          <t>20</t>
        </is>
      </c>
      <c r="CE2710" t="inlineStr">
        <is>
          <t>0</t>
        </is>
      </c>
      <c r="CF2710" t="inlineStr">
        <is>
          <t>Q2-W01</t>
        </is>
      </c>
      <c r="CG2710" t="inlineStr">
        <is>
          <t>Q2-W03</t>
        </is>
      </c>
      <c r="CH2710"/>
      <c r="CI2710"/>
      <c r="CJ2710" t="inlineStr">
        <is>
          <t>No Paid</t>
        </is>
      </c>
      <c r="CK2710" t="inlineStr">
        <is>
          <t>Not Eligible</t>
        </is>
      </c>
      <c r="CL2710"/>
      <c r="CM2710"/>
    </row>
    <row r="2711" ht="25.5" customHeight="1">
      <c r="A2711" t="inlineStr">
        <is>
          <t>40719</t>
        </is>
      </c>
      <c r="B2711" s="2"/>
      <c r="C2711"/>
      <c r="D2711" s="3">
        <v>46120.444872685184</v>
      </c>
      <c r="E2711" t="inlineStr">
        <is>
          <t>Q2-W01</t>
        </is>
      </c>
      <c r="F2711" t="inlineStr">
        <is>
          <t>Eugene</t>
        </is>
      </c>
      <c r="G2711" t="inlineStr">
        <is>
          <t>Customer</t>
        </is>
      </c>
      <c r="H2711" s="2" t="str">
        <f>=HYPERLINK("https://upbox.ajobthing.my/customer/40719", "https://upbox.ajobthing.my/customer/40719")</f>
        <v>https://upbox.ajobthing.my/customer/40719</v>
      </c>
      <c r="I2711" t="inlineStr">
        <is>
          <t>Chin Swee Food Sdn Bhd</t>
        </is>
      </c>
      <c r="J2711" t="inlineStr">
        <is>
          <t>Small Fish</t>
        </is>
      </c>
      <c r="K2711" t="inlineStr">
        <is>
          <t>Eugene</t>
        </is>
      </c>
      <c r="L2711" s="4"/>
      <c r="M2711" s="4">
        <v>46120.444502314815</v>
      </c>
      <c r="N2711"/>
      <c r="O2711">
        <v>1296</v>
      </c>
      <c r="P2711" s="4"/>
      <c r="Q2711" s="4"/>
      <c r="R2711"/>
      <c r="S2711"/>
      <c r="T2711" s="4"/>
      <c r="U2711" s="4"/>
      <c r="V2711"/>
      <c r="W2711"/>
      <c r="X2711"/>
      <c r="Y2711" t="inlineStr">
        <is>
          <t>Pending Appointment</t>
        </is>
      </c>
      <c r="Z2711" t="inlineStr">
        <is>
          <t>Hiring Now</t>
        </is>
      </c>
      <c r="AA2711">
        <v>1</v>
      </c>
      <c r="AB2711" t="inlineStr">
        <is>
          <t>No Appointment Made</t>
        </is>
      </c>
      <c r="AC2711"/>
      <c r="AD2711" t="inlineStr">
        <is>
          <t>1 positions, based in KL</t>
        </is>
      </c>
      <c r="AE2711"/>
      <c r="AF2711">
        <v>1200</v>
      </c>
      <c r="AG2711" s="4"/>
      <c r="AH2711" s="4"/>
      <c r="AI2711">
        <v>1200</v>
      </c>
      <c r="AJ2711">
        <v>2</v>
      </c>
      <c r="AK2711" t="inlineStr">
        <is>
          <t>No, I don't need at all</t>
        </is>
      </c>
      <c r="AL2711">
        <v>1</v>
      </c>
      <c r="AM2711" t="inlineStr">
        <is>
          <t>No, I don't need at all</t>
        </is>
      </c>
      <c r="AN2711"/>
      <c r="AO2711" t="inlineStr">
        <is>
          <t>No, I don't need at all</t>
        </is>
      </c>
      <c r="AP2711" t="inlineStr">
        <is>
          <t>Once a year (25%)</t>
        </is>
      </c>
      <c r="AQ2711">
        <v>1</v>
      </c>
      <c r="AR2711" t="inlineStr">
        <is>
          <t>Free Job Portal</t>
        </is>
      </c>
      <c r="AS2711" t="inlineStr">
        <is>
          <t>- Headcount: 1
- Hiring Job Details: 1 position, based in KL
- Hiring Urgency: Hiring Now
- Number of outlets: 2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2711">
        <v>95</v>
      </c>
      <c r="AU2711" t="inlineStr">
        <is>
          <t>0.95</t>
        </is>
      </c>
      <c r="AV2711" t="inlineStr">
        <is>
          <t>15</t>
        </is>
      </c>
      <c r="AW2711" t="inlineStr">
        <is>
          <t>0</t>
        </is>
      </c>
      <c r="AX2711" t="inlineStr">
        <is>
          <t>Not Qualified</t>
        </is>
      </c>
      <c r="AY2711" s="4"/>
      <c r="AZ2711"/>
      <c r="BA2711"/>
      <c r="BB2711"/>
      <c r="BC2711" t="inlineStr">
        <is>
          <t>in chin swee vegeciting</t>
        </is>
      </c>
      <c r="BD2711" s="4">
        <v>46135.62590277778</v>
      </c>
      <c r="BE2711"/>
      <c r="BF2711"/>
      <c r="BG2711" t="inlineStr">
        <is>
          <t>Reschedule</t>
        </is>
      </c>
      <c r="BH2711" t="inlineStr">
        <is>
          <t>Edward Hoo</t>
        </is>
      </c>
      <c r="BI2711" t="inlineStr">
        <is>
          <t>Food / Beverage</t>
        </is>
      </c>
      <c r="BJ2711" s="4">
        <v>46144.755324074074</v>
      </c>
      <c r="BK2711" s="4">
        <v>42961.773506944446</v>
      </c>
      <c r="BL2711" t="inlineStr">
        <is>
          <t>0.0</t>
        </is>
      </c>
      <c r="BM2711" t="inlineStr">
        <is>
          <t>600.0</t>
        </is>
      </c>
      <c r="BN2711" t="inlineStr">
        <is>
          <t>View Shop</t>
        </is>
      </c>
      <c r="BO2711" s="4">
        <v>43633.50881944445</v>
      </c>
      <c r="BP2711">
        <v>165844</v>
      </c>
      <c r="BQ2711"/>
      <c r="BR2711"/>
      <c r="BS2711"/>
      <c r="BT2711"/>
      <c r="BU2711"/>
      <c r="BV2711">
        <v>2723815</v>
      </c>
      <c r="BW2711" t="inlineStr">
        <is>
          <t>Inquire for Hiring Needs : No Hiring</t>
        </is>
      </c>
      <c r="BX2711"/>
      <c r="BY2711"/>
      <c r="BZ2711" s="4"/>
      <c r="CA2711"/>
      <c r="CB2711"/>
      <c r="CC2711" s="4"/>
      <c r="CD2711" t="inlineStr">
        <is>
          <t>20</t>
        </is>
      </c>
      <c r="CE2711" t="inlineStr">
        <is>
          <t>0</t>
        </is>
      </c>
      <c r="CF2711" t="inlineStr">
        <is>
          <t>Q2-W01</t>
        </is>
      </c>
      <c r="CG2711"/>
      <c r="CH2711"/>
      <c r="CI2711"/>
      <c r="CJ2711" t="inlineStr">
        <is>
          <t>No Paid</t>
        </is>
      </c>
      <c r="CK2711" t="inlineStr">
        <is>
          <t>Not Eligible</t>
        </is>
      </c>
      <c r="CL2711"/>
      <c r="CM2711"/>
    </row>
    <row r="2712" ht="25.5" customHeight="1">
      <c r="A2712" t="inlineStr">
        <is>
          <t>8355</t>
        </is>
      </c>
      <c r="B2712" s="2"/>
      <c r="C2712"/>
      <c r="D2712" s="3">
        <v>46120.450740740744</v>
      </c>
      <c r="E2712" t="inlineStr">
        <is>
          <t>Q2-W01</t>
        </is>
      </c>
      <c r="F2712" t="inlineStr">
        <is>
          <t>Evan</t>
        </is>
      </c>
      <c r="G2712" t="inlineStr">
        <is>
          <t>Customer</t>
        </is>
      </c>
      <c r="H2712" s="2" t="str">
        <f>=HYPERLINK("https://upbox.ajobthing.my/customer/8355", "https://upbox.ajobthing.my/customer/8355")</f>
        <v>https://upbox.ajobthing.my/customer/8355</v>
      </c>
      <c r="I2712" t="inlineStr">
        <is>
          <t>Enetou Solutions Sdn Bhd</t>
        </is>
      </c>
      <c r="J2712" t="inlineStr">
        <is>
          <t>Small Fish</t>
        </is>
      </c>
      <c r="K2712" t="inlineStr">
        <is>
          <t>Evan</t>
        </is>
      </c>
      <c r="L2712" s="4"/>
      <c r="M2712" s="4">
        <v>46120.449108796296</v>
      </c>
      <c r="N2712"/>
      <c r="O2712">
        <v>3888</v>
      </c>
      <c r="P2712" s="4"/>
      <c r="Q2712" s="4"/>
      <c r="R2712"/>
      <c r="S2712"/>
      <c r="T2712" s="4"/>
      <c r="U2712" s="4"/>
      <c r="V2712"/>
      <c r="W2712"/>
      <c r="X2712"/>
      <c r="Y2712" t="inlineStr">
        <is>
          <t>Pending Appointment</t>
        </is>
      </c>
      <c r="Z2712" t="inlineStr">
        <is>
          <t>Hiring Now</t>
        </is>
      </c>
      <c r="AA2712">
        <v>1</v>
      </c>
      <c r="AB2712" t="inlineStr">
        <is>
          <t>No Appointment Made</t>
        </is>
      </c>
      <c r="AC2712"/>
      <c r="AD2712" t="inlineStr">
        <is>
          <t>1 account ass, all base in Kajang</t>
        </is>
      </c>
      <c r="AE2712"/>
      <c r="AF2712">
        <v>1</v>
      </c>
      <c r="AG2712" s="4"/>
      <c r="AH2712" s="4"/>
      <c r="AI2712">
        <v>1</v>
      </c>
      <c r="AJ2712">
        <v>1</v>
      </c>
      <c r="AK2712" t="inlineStr">
        <is>
          <t>No, I don't need at all</t>
        </is>
      </c>
      <c r="AL2712">
        <v>0</v>
      </c>
      <c r="AM2712" t="inlineStr">
        <is>
          <t>No, I don't need at all</t>
        </is>
      </c>
      <c r="AN2712"/>
      <c r="AO2712" t="inlineStr">
        <is>
          <t>No, I don't need at all</t>
        </is>
      </c>
      <c r="AP2712" t="inlineStr">
        <is>
          <t>Once a year (25%)</t>
        </is>
      </c>
      <c r="AQ2712">
        <v>1</v>
      </c>
      <c r="AR2712" t="inlineStr">
        <is>
          <t>Did not use any job portal</t>
        </is>
      </c>
      <c r="AS2712" t="inlineStr">
        <is>
          <t>- Headcount: 1
- Hiring Job Details: 1 account ass, all base in Kajang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1
- Hiring frequency: Once a year (25%)
- External job portal: Did not use any job portal</t>
        </is>
      </c>
      <c r="AT2712">
        <v>115</v>
      </c>
      <c r="AU2712" t="inlineStr">
        <is>
          <t>1.15</t>
        </is>
      </c>
      <c r="AV2712" t="inlineStr">
        <is>
          <t>15</t>
        </is>
      </c>
      <c r="AW2712" t="inlineStr">
        <is>
          <t>0</t>
        </is>
      </c>
      <c r="AX2712" t="inlineStr">
        <is>
          <t>Not Qualified</t>
        </is>
      </c>
      <c r="AY2712" s="4"/>
      <c r="AZ2712"/>
      <c r="BA2712"/>
      <c r="BB2712"/>
      <c r="BC2712" t="inlineStr">
        <is>
          <t>lost have cdd</t>
        </is>
      </c>
      <c r="BD2712" s="4">
        <v>46135.64340277778</v>
      </c>
      <c r="BE2712"/>
      <c r="BF2712"/>
      <c r="BG2712" t="inlineStr">
        <is>
          <t>Reschedule</t>
        </is>
      </c>
      <c r="BH2712" t="inlineStr">
        <is>
          <t>Edward Hoo</t>
        </is>
      </c>
      <c r="BI2712"/>
      <c r="BJ2712" s="4">
        <v>46144.756157407406</v>
      </c>
      <c r="BK2712" s="4">
        <v>42478.856469907405</v>
      </c>
      <c r="BL2712" t="inlineStr">
        <is>
          <t>0.0</t>
        </is>
      </c>
      <c r="BM2712" t="inlineStr">
        <is>
          <t>0.0</t>
        </is>
      </c>
      <c r="BN2712"/>
      <c r="BO2712" s="4"/>
      <c r="BP2712">
        <v>165848</v>
      </c>
      <c r="BQ2712"/>
      <c r="BR2712"/>
      <c r="BS2712"/>
      <c r="BT2712"/>
      <c r="BU2712"/>
      <c r="BV2712">
        <v>2723911</v>
      </c>
      <c r="BW2712" t="inlineStr">
        <is>
          <t>Follow Up : Budget Concern</t>
        </is>
      </c>
      <c r="BX2712"/>
      <c r="BY2712"/>
      <c r="BZ2712" s="4"/>
      <c r="CA2712"/>
      <c r="CB2712"/>
      <c r="CC2712" s="4"/>
      <c r="CD2712" t="inlineStr">
        <is>
          <t>20</t>
        </is>
      </c>
      <c r="CE2712" t="inlineStr">
        <is>
          <t>0</t>
        </is>
      </c>
      <c r="CF2712" t="inlineStr">
        <is>
          <t>Q2-W01</t>
        </is>
      </c>
      <c r="CG2712"/>
      <c r="CH2712"/>
      <c r="CI2712"/>
      <c r="CJ2712" t="inlineStr">
        <is>
          <t>No Paid</t>
        </is>
      </c>
      <c r="CK2712" t="inlineStr">
        <is>
          <t>Not Eligible</t>
        </is>
      </c>
      <c r="CL2712"/>
      <c r="CM2712"/>
    </row>
    <row r="2713" ht="25.5" customHeight="1">
      <c r="A2713" t="inlineStr">
        <is>
          <t>4259697</t>
        </is>
      </c>
      <c r="B2713" s="2"/>
      <c r="C2713"/>
      <c r="D2713" s="3">
        <v>46120.463171296295</v>
      </c>
      <c r="E2713" t="inlineStr">
        <is>
          <t>Q2-W01</t>
        </is>
      </c>
      <c r="F2713" t="inlineStr">
        <is>
          <t>Chia Yee</t>
        </is>
      </c>
      <c r="G2713" t="inlineStr">
        <is>
          <t>Lead</t>
        </is>
      </c>
      <c r="H2713" s="2" t="str">
        <f>=HYPERLINK("https://upbox.ajobthing.my/leads/4259697", "https://upbox.ajobthing.my/leads/4259697")</f>
        <v>https://upbox.ajobthing.my/leads/4259697</v>
      </c>
      <c r="I2713" t="inlineStr">
        <is>
          <t>Sideline Sdn Bhd</t>
        </is>
      </c>
      <c r="J2713" t="inlineStr">
        <is>
          <t>Small Fish</t>
        </is>
      </c>
      <c r="K2713" t="inlineStr">
        <is>
          <t>Chia Yee</t>
        </is>
      </c>
      <c r="L2713" s="4"/>
      <c r="M2713" s="4">
        <v>46120.46364583333</v>
      </c>
      <c r="N2713"/>
      <c r="O2713">
        <v>6048</v>
      </c>
      <c r="P2713" s="4"/>
      <c r="Q2713" s="4"/>
      <c r="R2713"/>
      <c r="S2713"/>
      <c r="T2713" s="4"/>
      <c r="U2713" s="4"/>
      <c r="V2713"/>
      <c r="W2713"/>
      <c r="X2713"/>
      <c r="Y2713" t="inlineStr">
        <is>
          <t>Pending Appointment</t>
        </is>
      </c>
      <c r="Z2713" t="inlineStr">
        <is>
          <t>Hiring Now</t>
        </is>
      </c>
      <c r="AA2713">
        <v>4</v>
      </c>
      <c r="AB2713" t="inlineStr">
        <is>
          <t>No Appointment Made</t>
        </is>
      </c>
      <c r="AC2713"/>
      <c r="AD2713" t="inlineStr">
        <is>
          <t xml:space="preserve"> 1 Restaurant assistant Manager, 1 Sous chef, 1 Account assistant , 1 account executive.</t>
        </is>
      </c>
      <c r="AE2713"/>
      <c r="AF2713">
        <v>0</v>
      </c>
      <c r="AG2713" s="4"/>
      <c r="AH2713" s="4"/>
      <c r="AI2713">
        <v>0</v>
      </c>
      <c r="AJ2713">
        <v>2</v>
      </c>
      <c r="AK2713" t="inlineStr">
        <is>
          <t>No, I don't need at all</t>
        </is>
      </c>
      <c r="AL2713">
        <v>1</v>
      </c>
      <c r="AM2713" t="inlineStr">
        <is>
          <t>No, I don't need at all</t>
        </is>
      </c>
      <c r="AN2713"/>
      <c r="AO2713" t="inlineStr">
        <is>
          <t>Yes, I have</t>
        </is>
      </c>
      <c r="AP2713" t="inlineStr">
        <is>
          <t>Once a year (25%)</t>
        </is>
      </c>
      <c r="AQ2713">
        <v>4</v>
      </c>
      <c r="AR2713" t="inlineStr">
        <is>
          <t>Did not use any job portal</t>
        </is>
      </c>
      <c r="AS2713" t="inlineStr">
        <is>
          <t>- Headcount: 4
- Hiring Job Details: 1 Restaurant assistant Manager, 1 Sous chef, 1 Account assistant, 1 account executive
- Hiring Urgency: Hiring Now
- Number of outlets: 2
- Have recruiter team: No, I don't need at all
- Number of recruiter in company: 1
- Have ATS system: No, I don't need at all
- Have career website: Yes
- Current hiring budget: RM0
- Whole year budget: RM0.00
- Whole year number of vacancies: 4
- Hiring frequency: Once a year (25%)
- External job portal: Did not use any job portal</t>
        </is>
      </c>
      <c r="AT2713">
        <v>105</v>
      </c>
      <c r="AU2713" t="inlineStr">
        <is>
          <t>1.05</t>
        </is>
      </c>
      <c r="AV2713" t="inlineStr">
        <is>
          <t>15</t>
        </is>
      </c>
      <c r="AW2713" t="inlineStr">
        <is>
          <t>0</t>
        </is>
      </c>
      <c r="AX2713" t="inlineStr">
        <is>
          <t>Not Qualified</t>
        </is>
      </c>
      <c r="AY2713" s="4"/>
      <c r="AZ2713"/>
      <c r="BA2713"/>
      <c r="BB2713"/>
      <c r="BC2713"/>
      <c r="BD2713" s="4"/>
      <c r="BE2713"/>
      <c r="BF2713"/>
      <c r="BG2713" t="inlineStr">
        <is>
          <t>Reschedule</t>
        </is>
      </c>
      <c r="BH2713" t="inlineStr">
        <is>
          <t>Reagen</t>
        </is>
      </c>
      <c r="BI2713"/>
      <c r="BJ2713" s="4">
        <v>46144.75576388889</v>
      </c>
      <c r="BK2713" s="4">
        <v>46120.45344907408</v>
      </c>
      <c r="BL2713" t="inlineStr">
        <is>
          <t>0.0</t>
        </is>
      </c>
      <c r="BM2713" t="inlineStr">
        <is>
          <t>0.0</t>
        </is>
      </c>
      <c r="BN2713"/>
      <c r="BO2713" s="4"/>
      <c r="BP2713">
        <v>165857</v>
      </c>
      <c r="BQ2713"/>
      <c r="BR2713"/>
      <c r="BS2713"/>
      <c r="BT2713"/>
      <c r="BU2713"/>
      <c r="BV2713"/>
      <c r="BW2713"/>
      <c r="BX2713"/>
      <c r="BY2713"/>
      <c r="BZ2713" s="4"/>
      <c r="CA2713"/>
      <c r="CB2713"/>
      <c r="CC2713" s="4"/>
      <c r="CD2713" t="inlineStr">
        <is>
          <t>20</t>
        </is>
      </c>
      <c r="CE2713" t="inlineStr">
        <is>
          <t>0</t>
        </is>
      </c>
      <c r="CF2713" t="inlineStr">
        <is>
          <t>Q2-W01</t>
        </is>
      </c>
      <c r="CG2713"/>
      <c r="CH2713"/>
      <c r="CI2713"/>
      <c r="CJ2713" t="inlineStr">
        <is>
          <t>No Paid</t>
        </is>
      </c>
      <c r="CK2713" t="inlineStr">
        <is>
          <t>Not Eligible</t>
        </is>
      </c>
      <c r="CL2713"/>
      <c r="CM2713"/>
    </row>
    <row r="2714" ht="25.5" customHeight="1">
      <c r="A2714" t="inlineStr">
        <is>
          <t>24009</t>
        </is>
      </c>
      <c r="B2714" s="2"/>
      <c r="C2714"/>
      <c r="D2714" s="3">
        <v>46120.464791666665</v>
      </c>
      <c r="E2714" t="inlineStr">
        <is>
          <t>Q2-W01</t>
        </is>
      </c>
      <c r="F2714" t="inlineStr">
        <is>
          <t>Keegan</t>
        </is>
      </c>
      <c r="G2714" t="inlineStr">
        <is>
          <t>Customer</t>
        </is>
      </c>
      <c r="H2714" s="2" t="str">
        <f>=HYPERLINK("https://upbox.ajobthing.my/customer/24009", "https://upbox.ajobthing.my/customer/24009")</f>
        <v>https://upbox.ajobthing.my/customer/24009</v>
      </c>
      <c r="I2714" t="inlineStr">
        <is>
          <t>ACE Power Equipment</t>
        </is>
      </c>
      <c r="J2714" t="inlineStr">
        <is>
          <t>Small Fish</t>
        </is>
      </c>
      <c r="K2714" t="inlineStr">
        <is>
          <t>Keegan</t>
        </is>
      </c>
      <c r="L2714" s="4"/>
      <c r="M2714" s="4">
        <v>46120.46486111111</v>
      </c>
      <c r="N2714"/>
      <c r="O2714">
        <v>6048</v>
      </c>
      <c r="P2714" s="4"/>
      <c r="Q2714" s="4">
        <v>46120.460231481484</v>
      </c>
      <c r="R2714"/>
      <c r="S2714">
        <v>0</v>
      </c>
      <c r="T2714" s="4"/>
      <c r="U2714" s="4"/>
      <c r="V2714"/>
      <c r="W2714"/>
      <c r="X2714"/>
      <c r="Y2714" t="inlineStr">
        <is>
          <t>Pending Appointment</t>
        </is>
      </c>
      <c r="Z2714" t="inlineStr">
        <is>
          <t>Hiring Now</t>
        </is>
      </c>
      <c r="AA2714">
        <v>2</v>
      </c>
      <c r="AB2714" t="inlineStr">
        <is>
          <t>No Appointment Made</t>
        </is>
      </c>
      <c r="AC2714"/>
      <c r="AD2714" t="inlineStr">
        <is>
          <t xml:space="preserve">1. Driver 
2. Sales </t>
        </is>
      </c>
      <c r="AE2714"/>
      <c r="AF2714"/>
      <c r="AG2714" s="4"/>
      <c r="AH2714" s="4"/>
      <c r="AI2714"/>
      <c r="AJ2714">
        <v>1</v>
      </c>
      <c r="AK2714" t="inlineStr">
        <is>
          <t>No, I don't need at all</t>
        </is>
      </c>
      <c r="AL2714">
        <v>0</v>
      </c>
      <c r="AM2714" t="inlineStr">
        <is>
          <t>No, I don't need at all</t>
        </is>
      </c>
      <c r="AN2714"/>
      <c r="AO2714" t="inlineStr">
        <is>
          <t>No, I don't need at all</t>
        </is>
      </c>
      <c r="AP2714" t="inlineStr">
        <is>
          <t>Once per quarter (75%)</t>
        </is>
      </c>
      <c r="AQ2714"/>
      <c r="AR2714" t="inlineStr">
        <is>
          <t>Did not use any job portal</t>
        </is>
      </c>
      <c r="AS2714" t="inlineStr">
        <is>
          <t>- Headcount: 2
- Hiring Job Details: 1. Driver \n2.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714">
        <v>75</v>
      </c>
      <c r="AU2714" t="inlineStr">
        <is>
          <t>0.75</t>
        </is>
      </c>
      <c r="AV2714" t="inlineStr">
        <is>
          <t>5</t>
        </is>
      </c>
      <c r="AW2714" t="inlineStr">
        <is>
          <t>0</t>
        </is>
      </c>
      <c r="AX2714" t="inlineStr">
        <is>
          <t>Not Qualified</t>
        </is>
      </c>
      <c r="AY2714" s="4"/>
      <c r="AZ2714"/>
      <c r="BA2714"/>
      <c r="BB2714"/>
      <c r="BC2714" t="inlineStr">
        <is>
          <t>- Headcount: 2
- Hiring Job Details: 1. Driver \n2. Sales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714" s="4">
        <v>46120.500023148146</v>
      </c>
      <c r="BE2714" t="inlineStr">
        <is>
          <t>paid</t>
        </is>
      </c>
      <c r="BF2714"/>
      <c r="BG2714" t="inlineStr">
        <is>
          <t>Reschedule</t>
        </is>
      </c>
      <c r="BH2714" t="inlineStr">
        <is>
          <t>Edward Hoo</t>
        </is>
      </c>
      <c r="BI2714" t="inlineStr">
        <is>
          <t>Repair / Maintenance</t>
        </is>
      </c>
      <c r="BJ2714" s="4">
        <v>46144.75446759259</v>
      </c>
      <c r="BK2714" s="4">
        <v>42521.050775462965</v>
      </c>
      <c r="BL2714" t="inlineStr">
        <is>
          <t>0.0</t>
        </is>
      </c>
      <c r="BM2714" t="inlineStr">
        <is>
          <t>0.0</t>
        </is>
      </c>
      <c r="BN2714"/>
      <c r="BO2714" s="4"/>
      <c r="BP2714">
        <v>165859</v>
      </c>
      <c r="BQ2714">
        <v>120813</v>
      </c>
      <c r="BR2714" t="inlineStr">
        <is>
          <t>Proforma</t>
        </is>
      </c>
      <c r="BS2714" t="inlineStr">
        <is>
          <t>Free Internship Job</t>
        </is>
      </c>
      <c r="BT2714"/>
      <c r="BU2714"/>
      <c r="BV2714">
        <v>2692040</v>
      </c>
      <c r="BW2714" t="inlineStr">
        <is>
          <t>Customer Inquiry</t>
        </is>
      </c>
      <c r="BX2714"/>
      <c r="BY2714"/>
      <c r="BZ2714" s="4"/>
      <c r="CA2714"/>
      <c r="CB2714"/>
      <c r="CC2714" s="4"/>
      <c r="CD2714" t="inlineStr">
        <is>
          <t>5</t>
        </is>
      </c>
      <c r="CE2714" t="inlineStr">
        <is>
          <t>0</t>
        </is>
      </c>
      <c r="CF2714" t="inlineStr">
        <is>
          <t>Q2-W01</t>
        </is>
      </c>
      <c r="CG2714" t="inlineStr">
        <is>
          <t>Q2-W01</t>
        </is>
      </c>
      <c r="CH2714"/>
      <c r="CI2714"/>
      <c r="CJ2714" t="inlineStr">
        <is>
          <t>No Paid</t>
        </is>
      </c>
      <c r="CK2714" t="inlineStr">
        <is>
          <t>Not Eligible</t>
        </is>
      </c>
      <c r="CL2714"/>
      <c r="CM2714"/>
    </row>
    <row r="2715" ht="25.5" customHeight="1">
      <c r="A2715" t="inlineStr">
        <is>
          <t>4259522</t>
        </is>
      </c>
      <c r="B2715" s="2"/>
      <c r="C2715"/>
      <c r="D2715" s="3">
        <v>46120.46766203704</v>
      </c>
      <c r="E2715" t="inlineStr">
        <is>
          <t>Q2-W01</t>
        </is>
      </c>
      <c r="F2715" t="inlineStr">
        <is>
          <t>Chia Yee</t>
        </is>
      </c>
      <c r="G2715" t="inlineStr">
        <is>
          <t>Lead</t>
        </is>
      </c>
      <c r="H2715" s="2" t="str">
        <f>=HYPERLINK("https://upbox.ajobthing.my/leads/4259522", "https://upbox.ajobthing.my/leads/4259522")</f>
        <v>https://upbox.ajobthing.my/leads/4259522</v>
      </c>
      <c r="I2715" t="inlineStr">
        <is>
          <t>DCHETTYS BRIANY &amp; SPICES SDN BHD</t>
        </is>
      </c>
      <c r="J2715" t="inlineStr">
        <is>
          <t>Small Fish</t>
        </is>
      </c>
      <c r="K2715" t="inlineStr">
        <is>
          <t>Chia Yee</t>
        </is>
      </c>
      <c r="L2715" s="4"/>
      <c r="M2715" s="4">
        <v>46120.46822916667</v>
      </c>
      <c r="N2715"/>
      <c r="O2715">
        <v>3888</v>
      </c>
      <c r="P2715" s="4"/>
      <c r="Q2715" s="4"/>
      <c r="R2715"/>
      <c r="S2715"/>
      <c r="T2715" s="4"/>
      <c r="U2715" s="4"/>
      <c r="V2715"/>
      <c r="W2715"/>
      <c r="X2715"/>
      <c r="Y2715" t="inlineStr">
        <is>
          <t>Pending Appointment</t>
        </is>
      </c>
      <c r="Z2715" t="inlineStr">
        <is>
          <t>Hiring Now</t>
        </is>
      </c>
      <c r="AA2715">
        <v>1</v>
      </c>
      <c r="AB2715" t="inlineStr">
        <is>
          <t>No Appointment Made</t>
        </is>
      </c>
      <c r="AC2715"/>
      <c r="AD2715" t="inlineStr">
        <is>
          <t xml:space="preserve">1 outlet supervisor </t>
        </is>
      </c>
      <c r="AE2715"/>
      <c r="AF2715">
        <v>0</v>
      </c>
      <c r="AG2715" s="4"/>
      <c r="AH2715" s="4"/>
      <c r="AI2715">
        <v>0</v>
      </c>
      <c r="AJ2715">
        <v>1</v>
      </c>
      <c r="AK2715" t="inlineStr">
        <is>
          <t>No, I don't need at all</t>
        </is>
      </c>
      <c r="AL2715">
        <v>1</v>
      </c>
      <c r="AM2715" t="inlineStr">
        <is>
          <t>No, I don't need at all</t>
        </is>
      </c>
      <c r="AN2715"/>
      <c r="AO2715" t="inlineStr">
        <is>
          <t>Yes, I have</t>
        </is>
      </c>
      <c r="AP2715" t="inlineStr">
        <is>
          <t>Once a year (25%)</t>
        </is>
      </c>
      <c r="AQ2715">
        <v>1</v>
      </c>
      <c r="AR2715" t="inlineStr">
        <is>
          <t>Did not use any job portal</t>
        </is>
      </c>
      <c r="AS2715" t="inlineStr">
        <is>
          <t>- Headcount: 1
- Hiring Job Details: 1 outlet supervisor
- Hiring Urgency: Hiring Now
- Number of outlets: 1
- Have recruiter team: No, I don't need at all
- Number of recruiter in company: 1
- Have ATS system: No, I don't need at all
- Have career website: Yes
- Current hiring budget: RM0.00
- Whole year budget: RM0.00
- Whole year number of vacancies: 1
- Hiring frequency: Once a year (25%)
- External job portal: Did not use any job portal</t>
        </is>
      </c>
      <c r="AT2715">
        <v>110</v>
      </c>
      <c r="AU2715" t="inlineStr">
        <is>
          <t>1.10</t>
        </is>
      </c>
      <c r="AV2715" t="inlineStr">
        <is>
          <t>15</t>
        </is>
      </c>
      <c r="AW2715" t="inlineStr">
        <is>
          <t>0</t>
        </is>
      </c>
      <c r="AX2715" t="inlineStr">
        <is>
          <t>Not Qualified</t>
        </is>
      </c>
      <c r="AY2715" s="4"/>
      <c r="AZ2715"/>
      <c r="BA2715"/>
      <c r="BB2715"/>
      <c r="BC2715"/>
      <c r="BD2715" s="4"/>
      <c r="BE2715"/>
      <c r="BF2715"/>
      <c r="BG2715" t="inlineStr">
        <is>
          <t>Reschedule</t>
        </is>
      </c>
      <c r="BH2715" t="inlineStr">
        <is>
          <t>Reagen</t>
        </is>
      </c>
      <c r="BI2715"/>
      <c r="BJ2715" s="4">
        <v>46144.75576388889</v>
      </c>
      <c r="BK2715" s="4">
        <v>46120.431550925925</v>
      </c>
      <c r="BL2715" t="inlineStr">
        <is>
          <t>0.0</t>
        </is>
      </c>
      <c r="BM2715" t="inlineStr">
        <is>
          <t>0.0</t>
        </is>
      </c>
      <c r="BN2715"/>
      <c r="BO2715" s="4"/>
      <c r="BP2715">
        <v>165862</v>
      </c>
      <c r="BQ2715"/>
      <c r="BR2715"/>
      <c r="BS2715"/>
      <c r="BT2715"/>
      <c r="BU2715"/>
      <c r="BV2715"/>
      <c r="BW2715"/>
      <c r="BX2715"/>
      <c r="BY2715"/>
      <c r="BZ2715" s="4"/>
      <c r="CA2715"/>
      <c r="CB2715"/>
      <c r="CC2715" s="4"/>
      <c r="CD2715" t="inlineStr">
        <is>
          <t>20</t>
        </is>
      </c>
      <c r="CE2715" t="inlineStr">
        <is>
          <t>0</t>
        </is>
      </c>
      <c r="CF2715" t="inlineStr">
        <is>
          <t>Q2-W01</t>
        </is>
      </c>
      <c r="CG2715"/>
      <c r="CH2715"/>
      <c r="CI2715"/>
      <c r="CJ2715" t="inlineStr">
        <is>
          <t>No Paid</t>
        </is>
      </c>
      <c r="CK2715" t="inlineStr">
        <is>
          <t>Not Eligible</t>
        </is>
      </c>
      <c r="CL2715"/>
      <c r="CM2715"/>
    </row>
    <row r="2716" ht="25.5" customHeight="1">
      <c r="A2716" t="inlineStr">
        <is>
          <t>201242</t>
        </is>
      </c>
      <c r="B2716" s="2"/>
      <c r="C2716"/>
      <c r="D2716" s="3">
        <v>46120.47106481482</v>
      </c>
      <c r="E2716" t="inlineStr">
        <is>
          <t>Q2-W01</t>
        </is>
      </c>
      <c r="F2716" t="inlineStr">
        <is>
          <t>Derek Lim</t>
        </is>
      </c>
      <c r="G2716" t="inlineStr">
        <is>
          <t>Customer</t>
        </is>
      </c>
      <c r="H2716" s="2" t="str">
        <f>=HYPERLINK("https://upbox.ajobthing.my/customer/201242", "https://upbox.ajobthing.my/customer/201242")</f>
        <v>https://upbox.ajobthing.my/customer/201242</v>
      </c>
      <c r="I2716" t="inlineStr">
        <is>
          <t>Carrisa</t>
        </is>
      </c>
      <c r="J2716" t="inlineStr">
        <is>
          <t>Small Fish</t>
        </is>
      </c>
      <c r="K2716" t="inlineStr">
        <is>
          <t>Derek Lim</t>
        </is>
      </c>
      <c r="L2716" s="4"/>
      <c r="M2716" s="4">
        <v>46120.4712037037</v>
      </c>
      <c r="N2716"/>
      <c r="O2716">
        <v>6048</v>
      </c>
      <c r="P2716" s="4"/>
      <c r="Q2716" s="4"/>
      <c r="R2716"/>
      <c r="S2716"/>
      <c r="T2716" s="4"/>
      <c r="U2716" s="4"/>
      <c r="V2716"/>
      <c r="W2716"/>
      <c r="X2716"/>
      <c r="Y2716" t="inlineStr">
        <is>
          <t>Pending Appointment</t>
        </is>
      </c>
      <c r="Z2716" t="inlineStr">
        <is>
          <t>Hiring Now</t>
        </is>
      </c>
      <c r="AA2716">
        <v>2</v>
      </c>
      <c r="AB2716" t="inlineStr">
        <is>
          <t>No Appointment Made</t>
        </is>
      </c>
      <c r="AC2716"/>
      <c r="AD2716" t="inlineStr">
        <is>
          <t>Content Creator - 1, Admin - 1</t>
        </is>
      </c>
      <c r="AE2716"/>
      <c r="AF2716">
        <v>200</v>
      </c>
      <c r="AG2716" s="4"/>
      <c r="AH2716" s="4"/>
      <c r="AI2716">
        <v>500</v>
      </c>
      <c r="AJ2716">
        <v>1</v>
      </c>
      <c r="AK2716" t="inlineStr">
        <is>
          <t>No, I don't need at all</t>
        </is>
      </c>
      <c r="AL2716">
        <v>0</v>
      </c>
      <c r="AM2716" t="inlineStr">
        <is>
          <t>No, I don't need at all</t>
        </is>
      </c>
      <c r="AN2716"/>
      <c r="AO2716" t="inlineStr">
        <is>
          <t>No, I don't need at all</t>
        </is>
      </c>
      <c r="AP2716" t="inlineStr">
        <is>
          <t>Twice a year (50%)</t>
        </is>
      </c>
      <c r="AQ2716">
        <v>2</v>
      </c>
      <c r="AR2716" t="inlineStr">
        <is>
          <t>Free Job Portal</t>
        </is>
      </c>
      <c r="AS2716" t="inlineStr">
        <is>
          <t>- Headcount: 2
- Hiring Job Details: 1 Content Creator, 1 Admin
- Hiring Urgency: Hiring Now
- Number of outlets: 1
- Have recruiter team: No, I don't need at all
- Number of recruiter in company: 0
- Have ATS system: No, I don't need at all
- Have career website: No, I don't need at all
- Current hiring budget: RM200
- Whole year budget: RM500.00
- Whole year number of vacancies: 2
- Hiring frequency: Twice a year (50%)
- External job portal: Free Job Portal</t>
        </is>
      </c>
      <c r="AT2716">
        <v>115</v>
      </c>
      <c r="AU2716" t="inlineStr">
        <is>
          <t>1.15</t>
        </is>
      </c>
      <c r="AV2716" t="inlineStr">
        <is>
          <t>15</t>
        </is>
      </c>
      <c r="AW2716" t="inlineStr">
        <is>
          <t>0</t>
        </is>
      </c>
      <c r="AX2716" t="inlineStr">
        <is>
          <t>Not Qualified</t>
        </is>
      </c>
      <c r="AY2716" s="4"/>
      <c r="AZ2716"/>
      <c r="BA2716"/>
      <c r="BB2716"/>
      <c r="BC2716" t="inlineStr">
        <is>
          <t>NO ANSWER MORE THAN 3 TIMES,  WHATSAPP NO RESPONSE</t>
        </is>
      </c>
      <c r="BD2716" s="4">
        <v>46141.63741898148</v>
      </c>
      <c r="BE2716"/>
      <c r="BF2716"/>
      <c r="BG2716" t="inlineStr">
        <is>
          <t>Reschedule</t>
        </is>
      </c>
      <c r="BH2716" t="inlineStr">
        <is>
          <t>Edward Hoo</t>
        </is>
      </c>
      <c r="BI2716"/>
      <c r="BJ2716" s="4">
        <v>46144.75375</v>
      </c>
      <c r="BK2716" s="4">
        <v>46066.60523148148</v>
      </c>
      <c r="BL2716" t="inlineStr">
        <is>
          <t>0.0</t>
        </is>
      </c>
      <c r="BM2716" t="inlineStr">
        <is>
          <t>0.0</t>
        </is>
      </c>
      <c r="BN2716" t="inlineStr">
        <is>
          <t>View Account User</t>
        </is>
      </c>
      <c r="BO2716" s="4">
        <v>46066.60658564815</v>
      </c>
      <c r="BP2716">
        <v>165866</v>
      </c>
      <c r="BQ2716"/>
      <c r="BR2716"/>
      <c r="BS2716"/>
      <c r="BT2716"/>
      <c r="BU2716"/>
      <c r="BV2716">
        <v>2735585</v>
      </c>
      <c r="BW2716" t="inlineStr">
        <is>
          <t>No Answer : 3 Days No Response</t>
        </is>
      </c>
      <c r="BX2716"/>
      <c r="BY2716"/>
      <c r="BZ2716" s="4"/>
      <c r="CA2716"/>
      <c r="CB2716"/>
      <c r="CC2716" s="4"/>
      <c r="CD2716" t="inlineStr">
        <is>
          <t>20</t>
        </is>
      </c>
      <c r="CE2716" t="inlineStr">
        <is>
          <t>0</t>
        </is>
      </c>
      <c r="CF2716" t="inlineStr">
        <is>
          <t>Q2-W01</t>
        </is>
      </c>
      <c r="CG2716"/>
      <c r="CH2716"/>
      <c r="CI2716"/>
      <c r="CJ2716" t="inlineStr">
        <is>
          <t>No Paid</t>
        </is>
      </c>
      <c r="CK2716" t="inlineStr">
        <is>
          <t>Not Eligible</t>
        </is>
      </c>
      <c r="CL2716"/>
      <c r="CM2716"/>
    </row>
    <row r="2717" ht="25.5" customHeight="1">
      <c r="A2717" t="inlineStr">
        <is>
          <t>4259198</t>
        </is>
      </c>
      <c r="B2717" s="2"/>
      <c r="C2717"/>
      <c r="D2717" s="3">
        <v>46120.471967592595</v>
      </c>
      <c r="E2717" t="inlineStr">
        <is>
          <t>Q2-W01</t>
        </is>
      </c>
      <c r="F2717" t="inlineStr">
        <is>
          <t>Lucas</t>
        </is>
      </c>
      <c r="G2717" t="inlineStr">
        <is>
          <t>Lead</t>
        </is>
      </c>
      <c r="H2717" s="2" t="str">
        <f>=HYPERLINK("https://upbox.ajobthing.my/leads/4259198", "https://upbox.ajobthing.my/leads/4259198")</f>
        <v>https://upbox.ajobthing.my/leads/4259198</v>
      </c>
      <c r="I2717" t="inlineStr">
        <is>
          <t>Sumitomo Electric Hardmetal Asia Pacific Pte Ltd</t>
        </is>
      </c>
      <c r="J2717" t="inlineStr">
        <is>
          <t>Small Fish</t>
        </is>
      </c>
      <c r="K2717" t="inlineStr">
        <is>
          <t>Lucas</t>
        </is>
      </c>
      <c r="L2717" s="4"/>
      <c r="M2717" s="4">
        <v>46120.46854166667</v>
      </c>
      <c r="N2717"/>
      <c r="O2717">
        <v>3888</v>
      </c>
      <c r="P2717" s="4"/>
      <c r="Q2717" s="4"/>
      <c r="R2717"/>
      <c r="S2717"/>
      <c r="T2717" s="4"/>
      <c r="U2717" s="4"/>
      <c r="V2717"/>
      <c r="W2717"/>
      <c r="X2717"/>
      <c r="Y2717" t="inlineStr">
        <is>
          <t>Pending Appointment</t>
        </is>
      </c>
      <c r="Z2717" t="inlineStr">
        <is>
          <t>Hiring Now</t>
        </is>
      </c>
      <c r="AA2717">
        <v>1</v>
      </c>
      <c r="AB2717" t="inlineStr">
        <is>
          <t>No Appointment Made</t>
        </is>
      </c>
      <c r="AC2717"/>
      <c r="AD2717" t="inlineStr">
        <is>
          <t>1 sale coordinator</t>
        </is>
      </c>
      <c r="AE2717"/>
      <c r="AF2717">
        <v>0</v>
      </c>
      <c r="AG2717" s="4"/>
      <c r="AH2717" s="4"/>
      <c r="AI2717">
        <v>0</v>
      </c>
      <c r="AJ2717">
        <v>0</v>
      </c>
      <c r="AK2717" t="inlineStr">
        <is>
          <t>No, I don't need at all</t>
        </is>
      </c>
      <c r="AL2717">
        <v>0</v>
      </c>
      <c r="AM2717" t="inlineStr">
        <is>
          <t>No, I don't need at all</t>
        </is>
      </c>
      <c r="AN2717"/>
      <c r="AO2717" t="inlineStr">
        <is>
          <t>No, I don't need at all</t>
        </is>
      </c>
      <c r="AP2717" t="inlineStr">
        <is>
          <t>Once a year (25%)</t>
        </is>
      </c>
      <c r="AQ2717">
        <v>1</v>
      </c>
      <c r="AR2717" t="inlineStr">
        <is>
          <t>Jobstreet</t>
        </is>
      </c>
      <c r="AS2717" t="inlineStr">
        <is>
          <t>- Headcount: 1
- Hiring Job Details: 1 sale coordinator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717">
        <v>100</v>
      </c>
      <c r="AU2717" t="inlineStr">
        <is>
          <t>1.00</t>
        </is>
      </c>
      <c r="AV2717" t="inlineStr">
        <is>
          <t>15</t>
        </is>
      </c>
      <c r="AW2717" t="inlineStr">
        <is>
          <t>0</t>
        </is>
      </c>
      <c r="AX2717" t="inlineStr">
        <is>
          <t>Not Qualified</t>
        </is>
      </c>
      <c r="AY2717" s="4"/>
      <c r="AZ2717"/>
      <c r="BA2717"/>
      <c r="BB2717"/>
      <c r="BC2717"/>
      <c r="BD2717" s="4"/>
      <c r="BE2717"/>
      <c r="BF2717"/>
      <c r="BG2717" t="inlineStr">
        <is>
          <t>Reschedule</t>
        </is>
      </c>
      <c r="BH2717" t="inlineStr">
        <is>
          <t>Yee Hang</t>
        </is>
      </c>
      <c r="BI2717"/>
      <c r="BJ2717" s="4">
        <v>46144.75576388889</v>
      </c>
      <c r="BK2717" s="4">
        <v>46120.39278935185</v>
      </c>
      <c r="BL2717" t="inlineStr">
        <is>
          <t>0.0</t>
        </is>
      </c>
      <c r="BM2717" t="inlineStr">
        <is>
          <t>600.0</t>
        </is>
      </c>
      <c r="BN2717"/>
      <c r="BO2717" s="4"/>
      <c r="BP2717">
        <v>165863</v>
      </c>
      <c r="BQ2717"/>
      <c r="BR2717"/>
      <c r="BS2717"/>
      <c r="BT2717"/>
      <c r="BU2717"/>
      <c r="BV2717"/>
      <c r="BW2717"/>
      <c r="BX2717"/>
      <c r="BY2717"/>
      <c r="BZ2717" s="4"/>
      <c r="CA2717"/>
      <c r="CB2717"/>
      <c r="CC2717" s="4"/>
      <c r="CD2717" t="inlineStr">
        <is>
          <t>20</t>
        </is>
      </c>
      <c r="CE2717" t="inlineStr">
        <is>
          <t>0</t>
        </is>
      </c>
      <c r="CF2717" t="inlineStr">
        <is>
          <t>Q2-W01</t>
        </is>
      </c>
      <c r="CG2717"/>
      <c r="CH2717"/>
      <c r="CI2717"/>
      <c r="CJ2717" t="inlineStr">
        <is>
          <t>No Paid</t>
        </is>
      </c>
      <c r="CK2717" t="inlineStr">
        <is>
          <t>Not Eligible</t>
        </is>
      </c>
      <c r="CL2717"/>
      <c r="CM2717"/>
    </row>
    <row r="2718" ht="25.5" customHeight="1">
      <c r="A2718" t="inlineStr">
        <is>
          <t>202831</t>
        </is>
      </c>
      <c r="B2718" s="2"/>
      <c r="C2718"/>
      <c r="D2718" s="3">
        <v>46120.47484953704</v>
      </c>
      <c r="E2718" t="inlineStr">
        <is>
          <t>Q2-W01</t>
        </is>
      </c>
      <c r="F2718" t="inlineStr">
        <is>
          <t>Angel  Low</t>
        </is>
      </c>
      <c r="G2718" t="inlineStr">
        <is>
          <t>Customer</t>
        </is>
      </c>
      <c r="H2718" s="2" t="str">
        <f>=HYPERLINK("https://upbox.ajobthing.my/customer/202831", "https://upbox.ajobthing.my/customer/202831")</f>
        <v>https://upbox.ajobthing.my/customer/202831</v>
      </c>
      <c r="I2718" t="inlineStr">
        <is>
          <t>Finnture Advisory</t>
        </is>
      </c>
      <c r="J2718" t="inlineStr">
        <is>
          <t>Small Fish</t>
        </is>
      </c>
      <c r="K2718" t="inlineStr">
        <is>
          <t>Angel Low</t>
        </is>
      </c>
      <c r="L2718" s="4"/>
      <c r="M2718" s="4">
        <v>46120.47525462963</v>
      </c>
      <c r="N2718"/>
      <c r="O2718">
        <v>5508</v>
      </c>
      <c r="P2718" s="4"/>
      <c r="Q2718" s="4"/>
      <c r="R2718"/>
      <c r="S2718"/>
      <c r="T2718" s="4"/>
      <c r="U2718" s="4"/>
      <c r="V2718"/>
      <c r="W2718"/>
      <c r="X2718"/>
      <c r="Y2718" t="inlineStr">
        <is>
          <t>Pending Appointment</t>
        </is>
      </c>
      <c r="Z2718"/>
      <c r="AA2718">
        <v>6</v>
      </c>
      <c r="AB2718" t="inlineStr">
        <is>
          <t>No Appointment Made</t>
        </is>
      </c>
      <c r="AC2718"/>
      <c r="AD2718" t="inlineStr">
        <is>
          <t xml:space="preserve">6 telesales </t>
        </is>
      </c>
      <c r="AE2718"/>
      <c r="AF2718"/>
      <c r="AG2718" s="4"/>
      <c r="AH2718" s="4"/>
      <c r="AI2718"/>
      <c r="AJ2718"/>
      <c r="AK2718"/>
      <c r="AL2718"/>
      <c r="AM2718"/>
      <c r="AN2718"/>
      <c r="AO2718"/>
      <c r="AP2718"/>
      <c r="AQ2718"/>
      <c r="AR2718"/>
      <c r="AS2718" t="inlineStr">
        <is>
          <t>- Headcount: 6
- Hiring Job Details: 6 telesales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718">
        <v>60</v>
      </c>
      <c r="AU2718" t="inlineStr">
        <is>
          <t>0.60</t>
        </is>
      </c>
      <c r="AV2718" t="inlineStr">
        <is>
          <t>10</t>
        </is>
      </c>
      <c r="AW2718" t="inlineStr">
        <is>
          <t>0</t>
        </is>
      </c>
      <c r="AX2718" t="inlineStr">
        <is>
          <t>Not Qualified</t>
        </is>
      </c>
      <c r="AY2718" s="4"/>
      <c r="AZ2718"/>
      <c r="BA2718"/>
      <c r="BB2718"/>
      <c r="BC2718" t="inlineStr">
        <is>
          <t>- Headcount: 6
- Hiring Job Details: 6 telesales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718" s="4">
        <v>46120.500023148146</v>
      </c>
      <c r="BE2718"/>
      <c r="BF2718"/>
      <c r="BG2718" t="inlineStr">
        <is>
          <t>Reschedule</t>
        </is>
      </c>
      <c r="BH2718" t="inlineStr">
        <is>
          <t>Fauziah Maharan</t>
        </is>
      </c>
      <c r="BI2718"/>
      <c r="BJ2718" s="4">
        <v>46144.75412037037</v>
      </c>
      <c r="BK2718" s="4">
        <v>46117.67752314815</v>
      </c>
      <c r="BL2718" t="inlineStr">
        <is>
          <t>0.0</t>
        </is>
      </c>
      <c r="BM2718" t="inlineStr">
        <is>
          <t>0.0</t>
        </is>
      </c>
      <c r="BN2718" t="inlineStr">
        <is>
          <t>View Create Job Page V4</t>
        </is>
      </c>
      <c r="BO2718" s="4">
        <v>46117.68577546296</v>
      </c>
      <c r="BP2718">
        <v>165870</v>
      </c>
      <c r="BQ2718"/>
      <c r="BR2718"/>
      <c r="BS2718"/>
      <c r="BT2718"/>
      <c r="BU2718"/>
      <c r="BV2718">
        <v>2692047</v>
      </c>
      <c r="BW2718" t="inlineStr">
        <is>
          <t>Customer Inquiry</t>
        </is>
      </c>
      <c r="BX2718"/>
      <c r="BY2718"/>
      <c r="BZ2718" s="4"/>
      <c r="CA2718"/>
      <c r="CB2718"/>
      <c r="CC2718" s="4"/>
      <c r="CD2718" t="inlineStr">
        <is>
          <t>15</t>
        </is>
      </c>
      <c r="CE2718" t="inlineStr">
        <is>
          <t>0</t>
        </is>
      </c>
      <c r="CF2718" t="inlineStr">
        <is>
          <t>Q2-W01</t>
        </is>
      </c>
      <c r="CG2718"/>
      <c r="CH2718"/>
      <c r="CI2718"/>
      <c r="CJ2718" t="inlineStr">
        <is>
          <t>No Paid</t>
        </is>
      </c>
      <c r="CK2718" t="inlineStr">
        <is>
          <t>Not Eligible</t>
        </is>
      </c>
      <c r="CL2718"/>
      <c r="CM2718"/>
    </row>
    <row r="2719" ht="25.5" customHeight="1">
      <c r="A2719" t="inlineStr">
        <is>
          <t>202830</t>
        </is>
      </c>
      <c r="B2719" s="2"/>
      <c r="C2719"/>
      <c r="D2719" s="3">
        <v>46120.475069444445</v>
      </c>
      <c r="E2719" t="inlineStr">
        <is>
          <t>Q2-W01</t>
        </is>
      </c>
      <c r="F2719" t="inlineStr">
        <is>
          <t>Lucas</t>
        </is>
      </c>
      <c r="G2719" t="inlineStr">
        <is>
          <t>Customer</t>
        </is>
      </c>
      <c r="H2719" s="2" t="str">
        <f>=HYPERLINK("https://upbox.ajobthing.my/customer/202830", "https://upbox.ajobthing.my/customer/202830")</f>
        <v>https://upbox.ajobthing.my/customer/202830</v>
      </c>
      <c r="I2719" t="inlineStr">
        <is>
          <t xml:space="preserve">Norman Veterinary Vet </t>
        </is>
      </c>
      <c r="J2719" t="inlineStr">
        <is>
          <t>Small Fish</t>
        </is>
      </c>
      <c r="K2719" t="inlineStr">
        <is>
          <t>Lucas</t>
        </is>
      </c>
      <c r="L2719" s="4"/>
      <c r="M2719" s="4">
        <v>46120.473391203705</v>
      </c>
      <c r="N2719"/>
      <c r="O2719">
        <v>3888</v>
      </c>
      <c r="P2719" s="4"/>
      <c r="Q2719" s="4"/>
      <c r="R2719"/>
      <c r="S2719"/>
      <c r="T2719" s="4"/>
      <c r="U2719" s="4"/>
      <c r="V2719"/>
      <c r="W2719"/>
      <c r="X2719"/>
      <c r="Y2719" t="inlineStr">
        <is>
          <t>Pending Appointment</t>
        </is>
      </c>
      <c r="Z2719" t="inlineStr">
        <is>
          <t>Hiring Now</t>
        </is>
      </c>
      <c r="AA2719">
        <v>1</v>
      </c>
      <c r="AB2719" t="inlineStr">
        <is>
          <t>No Appointment Made</t>
        </is>
      </c>
      <c r="AC2719"/>
      <c r="AD2719" t="inlineStr">
        <is>
          <t>1 veterinary assistant</t>
        </is>
      </c>
      <c r="AE2719"/>
      <c r="AF2719">
        <v>0</v>
      </c>
      <c r="AG2719" s="4"/>
      <c r="AH2719" s="4"/>
      <c r="AI2719">
        <v>0</v>
      </c>
      <c r="AJ2719">
        <v>0</v>
      </c>
      <c r="AK2719" t="inlineStr">
        <is>
          <t>No, I don't need at all</t>
        </is>
      </c>
      <c r="AL2719">
        <v>0</v>
      </c>
      <c r="AM2719" t="inlineStr">
        <is>
          <t>No, I don't need at all</t>
        </is>
      </c>
      <c r="AN2719"/>
      <c r="AO2719" t="inlineStr">
        <is>
          <t>No, I don't need at all</t>
        </is>
      </c>
      <c r="AP2719" t="inlineStr">
        <is>
          <t>Once a year (25%)</t>
        </is>
      </c>
      <c r="AQ2719">
        <v>1</v>
      </c>
      <c r="AR2719" t="inlineStr">
        <is>
          <t>Did not use any job portal</t>
        </is>
      </c>
      <c r="AS2719" t="inlineStr">
        <is>
          <t>- Headcount: 1
- Hiring Job Details: 1 veterinary assistant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719">
        <v>110</v>
      </c>
      <c r="AU2719" t="inlineStr">
        <is>
          <t>1.10</t>
        </is>
      </c>
      <c r="AV2719" t="inlineStr">
        <is>
          <t>15</t>
        </is>
      </c>
      <c r="AW2719" t="inlineStr">
        <is>
          <t>0</t>
        </is>
      </c>
      <c r="AX2719" t="inlineStr">
        <is>
          <t>Not Qualified</t>
        </is>
      </c>
      <c r="AY2719" s="4"/>
      <c r="AZ2719"/>
      <c r="BA2719"/>
      <c r="BB2719"/>
      <c r="BC2719" t="inlineStr">
        <is>
          <t>nr</t>
        </is>
      </c>
      <c r="BD2719" s="4">
        <v>46122.59716435185</v>
      </c>
      <c r="BE2719"/>
      <c r="BF2719"/>
      <c r="BG2719" t="inlineStr">
        <is>
          <t>Reschedule</t>
        </is>
      </c>
      <c r="BH2719" t="inlineStr">
        <is>
          <t>Yee Hang</t>
        </is>
      </c>
      <c r="BI2719"/>
      <c r="BJ2719" s="4">
        <v>46144.75412037037</v>
      </c>
      <c r="BK2719" s="4">
        <v>46117.598020833335</v>
      </c>
      <c r="BL2719" t="inlineStr">
        <is>
          <t>0.0</t>
        </is>
      </c>
      <c r="BM2719" t="inlineStr">
        <is>
          <t>0.0</t>
        </is>
      </c>
      <c r="BN2719" t="inlineStr">
        <is>
          <t>View Create Job Page V4</t>
        </is>
      </c>
      <c r="BO2719" s="4">
        <v>46119.42695601852</v>
      </c>
      <c r="BP2719">
        <v>165868</v>
      </c>
      <c r="BQ2719"/>
      <c r="BR2719"/>
      <c r="BS2719"/>
      <c r="BT2719"/>
      <c r="BU2719"/>
      <c r="BV2719">
        <v>2698135</v>
      </c>
      <c r="BW2719" t="inlineStr">
        <is>
          <t>No Answer : Voicemail - WA sent to customer</t>
        </is>
      </c>
      <c r="BX2719"/>
      <c r="BY2719"/>
      <c r="BZ2719" s="4"/>
      <c r="CA2719"/>
      <c r="CB2719"/>
      <c r="CC2719" s="4"/>
      <c r="CD2719" t="inlineStr">
        <is>
          <t>20</t>
        </is>
      </c>
      <c r="CE2719" t="inlineStr">
        <is>
          <t>0</t>
        </is>
      </c>
      <c r="CF2719" t="inlineStr">
        <is>
          <t>Q2-W01</t>
        </is>
      </c>
      <c r="CG2719"/>
      <c r="CH2719"/>
      <c r="CI2719"/>
      <c r="CJ2719" t="inlineStr">
        <is>
          <t>No Paid</t>
        </is>
      </c>
      <c r="CK2719" t="inlineStr">
        <is>
          <t>Not Eligible</t>
        </is>
      </c>
      <c r="CL2719"/>
      <c r="CM2719"/>
    </row>
    <row r="2720" ht="25.5" customHeight="1">
      <c r="A2720" t="inlineStr">
        <is>
          <t>202974</t>
        </is>
      </c>
      <c r="B2720" s="2"/>
      <c r="C2720"/>
      <c r="D2720" s="3">
        <v>46120.4765625</v>
      </c>
      <c r="E2720" t="inlineStr">
        <is>
          <t>Q2-W01</t>
        </is>
      </c>
      <c r="F2720" t="inlineStr">
        <is>
          <t>Keegan</t>
        </is>
      </c>
      <c r="G2720" t="inlineStr">
        <is>
          <t>Customer</t>
        </is>
      </c>
      <c r="H2720" s="2" t="str">
        <f>=HYPERLINK("https://upbox.ajobthing.my/customer/202974", "https://upbox.ajobthing.my/customer/202974")</f>
        <v>https://upbox.ajobthing.my/customer/202974</v>
      </c>
      <c r="I2720" t="inlineStr">
        <is>
          <t>Renewlife Healthcare</t>
        </is>
      </c>
      <c r="J2720" t="inlineStr">
        <is>
          <t>Small Fish</t>
        </is>
      </c>
      <c r="K2720" t="inlineStr">
        <is>
          <t>Keegan</t>
        </is>
      </c>
      <c r="L2720" s="4"/>
      <c r="M2720" s="4">
        <v>46120.47671296296</v>
      </c>
      <c r="N2720"/>
      <c r="O2720">
        <v>6048</v>
      </c>
      <c r="P2720" s="4"/>
      <c r="Q2720" s="4">
        <v>46127.50163194445</v>
      </c>
      <c r="R2720"/>
      <c r="S2720">
        <v>0</v>
      </c>
      <c r="T2720" s="4"/>
      <c r="U2720" s="4"/>
      <c r="V2720"/>
      <c r="W2720"/>
      <c r="X2720"/>
      <c r="Y2720" t="inlineStr">
        <is>
          <t>Pending Appointment</t>
        </is>
      </c>
      <c r="Z2720" t="inlineStr">
        <is>
          <t>Hiring Now</t>
        </is>
      </c>
      <c r="AA2720">
        <v>4</v>
      </c>
      <c r="AB2720" t="inlineStr">
        <is>
          <t>No Appointment Made</t>
        </is>
      </c>
      <c r="AC2720"/>
      <c r="AD2720" t="inlineStr">
        <is>
          <t xml:space="preserve">1. Customer Service 
2. Nutrionist 
3. Admin
4. Marketing Executive </t>
        </is>
      </c>
      <c r="AE2720"/>
      <c r="AF2720"/>
      <c r="AG2720" s="4"/>
      <c r="AH2720" s="4"/>
      <c r="AI2720"/>
      <c r="AJ2720">
        <v>1</v>
      </c>
      <c r="AK2720" t="inlineStr">
        <is>
          <t>No, I don't need at all</t>
        </is>
      </c>
      <c r="AL2720">
        <v>0</v>
      </c>
      <c r="AM2720" t="inlineStr">
        <is>
          <t>No, I don't need at all</t>
        </is>
      </c>
      <c r="AN2720"/>
      <c r="AO2720" t="inlineStr">
        <is>
          <t>No, I don't need at all</t>
        </is>
      </c>
      <c r="AP2720" t="inlineStr">
        <is>
          <t>Once per quarter (75%)</t>
        </is>
      </c>
      <c r="AQ2720"/>
      <c r="AR2720" t="inlineStr">
        <is>
          <t>Did not use any job portal</t>
        </is>
      </c>
      <c r="AS2720" t="inlineStr">
        <is>
          <t>- Headcount: 4
- Hiring Job Details: 1. Customer Service 2. Nutrionist 3. Admin 4. Marketing Executive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720">
        <v>65</v>
      </c>
      <c r="AU2720" t="inlineStr">
        <is>
          <t>0.65</t>
        </is>
      </c>
      <c r="AV2720" t="inlineStr">
        <is>
          <t>5</t>
        </is>
      </c>
      <c r="AW2720" t="inlineStr">
        <is>
          <t>0</t>
        </is>
      </c>
      <c r="AX2720" t="inlineStr">
        <is>
          <t>Not Qualified</t>
        </is>
      </c>
      <c r="AY2720" s="4"/>
      <c r="AZ2720"/>
      <c r="BA2720"/>
      <c r="BB2720"/>
      <c r="BC2720" t="inlineStr">
        <is>
          <t>Inform client that she lack of one document for verification</t>
        </is>
      </c>
      <c r="BD2720" s="4">
        <v>46141.46847222222</v>
      </c>
      <c r="BE2720" t="inlineStr">
        <is>
          <t>paid</t>
        </is>
      </c>
      <c r="BF2720"/>
      <c r="BG2720" t="inlineStr">
        <is>
          <t>Reschedule</t>
        </is>
      </c>
      <c r="BH2720" t="inlineStr">
        <is>
          <t>Edward Hoo</t>
        </is>
      </c>
      <c r="BI2720" t="inlineStr">
        <is>
          <t>Healthcare / Medical</t>
        </is>
      </c>
      <c r="BJ2720" s="4">
        <v>46144.754166666666</v>
      </c>
      <c r="BK2720" s="4">
        <v>46120.47505787037</v>
      </c>
      <c r="BL2720" t="inlineStr">
        <is>
          <t>0.0</t>
        </is>
      </c>
      <c r="BM2720" t="inlineStr">
        <is>
          <t>0.0</t>
        </is>
      </c>
      <c r="BN2720" t="inlineStr">
        <is>
          <t>View Company Page</t>
        </is>
      </c>
      <c r="BO2720" s="4">
        <v>46141.489953703705</v>
      </c>
      <c r="BP2720">
        <v>165872</v>
      </c>
      <c r="BQ2720">
        <v>122483</v>
      </c>
      <c r="BR2720" t="inlineStr">
        <is>
          <t>Proforma</t>
        </is>
      </c>
      <c r="BS2720" t="inlineStr">
        <is>
          <t>Free High Pay Job</t>
        </is>
      </c>
      <c r="BT2720"/>
      <c r="BU2720"/>
      <c r="BV2720">
        <v>2734674</v>
      </c>
      <c r="BW2720" t="inlineStr">
        <is>
          <t>Service / Technical : Job Outcome Enquiry</t>
        </is>
      </c>
      <c r="BX2720"/>
      <c r="BY2720"/>
      <c r="BZ2720" s="4"/>
      <c r="CA2720"/>
      <c r="CB2720"/>
      <c r="CC2720" s="4"/>
      <c r="CD2720" t="inlineStr">
        <is>
          <t>5</t>
        </is>
      </c>
      <c r="CE2720" t="inlineStr">
        <is>
          <t>0</t>
        </is>
      </c>
      <c r="CF2720" t="inlineStr">
        <is>
          <t>Q2-W01</t>
        </is>
      </c>
      <c r="CG2720" t="inlineStr">
        <is>
          <t>Q2-W02</t>
        </is>
      </c>
      <c r="CH2720"/>
      <c r="CI2720"/>
      <c r="CJ2720" t="inlineStr">
        <is>
          <t>No Paid</t>
        </is>
      </c>
      <c r="CK2720" t="inlineStr">
        <is>
          <t>Not Eligible</t>
        </is>
      </c>
      <c r="CL2720"/>
      <c r="CM2720"/>
    </row>
    <row r="2721" ht="25.5" customHeight="1">
      <c r="A2721" t="inlineStr">
        <is>
          <t>170143</t>
        </is>
      </c>
      <c r="B2721" s="2"/>
      <c r="C2721"/>
      <c r="D2721" s="3">
        <v>46120.51023148148</v>
      </c>
      <c r="E2721" t="inlineStr">
        <is>
          <t>Q2-W01</t>
        </is>
      </c>
      <c r="F2721" t="inlineStr">
        <is>
          <t>Luqman</t>
        </is>
      </c>
      <c r="G2721" t="inlineStr">
        <is>
          <t>Customer</t>
        </is>
      </c>
      <c r="H2721" s="2" t="str">
        <f>=HYPERLINK("https://upbox.ajobthing.my/customer/170143", "https://upbox.ajobthing.my/customer/170143")</f>
        <v>https://upbox.ajobthing.my/customer/170143</v>
      </c>
      <c r="I2721" t="inlineStr">
        <is>
          <t>Luxville Sdn Bhd</t>
        </is>
      </c>
      <c r="J2721" t="inlineStr">
        <is>
          <t>Small Fish</t>
        </is>
      </c>
      <c r="K2721" t="inlineStr">
        <is>
          <t>Luqman</t>
        </is>
      </c>
      <c r="L2721" s="4"/>
      <c r="M2721" s="4">
        <v>46120.5103125</v>
      </c>
      <c r="N2721"/>
      <c r="O2721">
        <v>3888</v>
      </c>
      <c r="P2721" s="4"/>
      <c r="Q2721" s="4">
        <v>46120.506585648145</v>
      </c>
      <c r="R2721"/>
      <c r="S2721">
        <v>0</v>
      </c>
      <c r="T2721" s="4">
        <v>45217.76106481482</v>
      </c>
      <c r="U2721" s="4"/>
      <c r="V2721"/>
      <c r="W2721">
        <v>954</v>
      </c>
      <c r="X2721"/>
      <c r="Y2721" t="inlineStr">
        <is>
          <t>Pending Appointment</t>
        </is>
      </c>
      <c r="Z2721" t="inlineStr">
        <is>
          <t>Hiring Later</t>
        </is>
      </c>
      <c r="AA2721">
        <v>1</v>
      </c>
      <c r="AB2721" t="inlineStr">
        <is>
          <t>No Appointment Made</t>
        </is>
      </c>
      <c r="AC2721"/>
      <c r="AD2721" t="inlineStr">
        <is>
          <t xml:space="preserve">1. Admin </t>
        </is>
      </c>
      <c r="AE2721"/>
      <c r="AF2721">
        <v>1200</v>
      </c>
      <c r="AG2721" s="4"/>
      <c r="AH2721" s="4"/>
      <c r="AI2721">
        <v>1200</v>
      </c>
      <c r="AJ2721"/>
      <c r="AK2721" t="inlineStr">
        <is>
          <t>No, I don't need at all</t>
        </is>
      </c>
      <c r="AL2721">
        <v>1</v>
      </c>
      <c r="AM2721" t="inlineStr">
        <is>
          <t>No, I don't need at all</t>
        </is>
      </c>
      <c r="AN2721"/>
      <c r="AO2721" t="inlineStr">
        <is>
          <t>No, I don't need at all</t>
        </is>
      </c>
      <c r="AP2721" t="inlineStr">
        <is>
          <t>Once a year (25%)</t>
        </is>
      </c>
      <c r="AQ2721">
        <v>1</v>
      </c>
      <c r="AR2721" t="inlineStr">
        <is>
          <t>Free Job Portal</t>
        </is>
      </c>
      <c r="AS2721" t="inlineStr">
        <is>
          <t>- Headcount: 1
- Hiring Job Details: 1 Admin
- Hiring Urgency: Hiring Later
- Number of outlets: Not specified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2721">
        <v>110</v>
      </c>
      <c r="AU2721" t="inlineStr">
        <is>
          <t>1.10</t>
        </is>
      </c>
      <c r="AV2721" t="inlineStr">
        <is>
          <t>15</t>
        </is>
      </c>
      <c r="AW2721" t="inlineStr">
        <is>
          <t>0</t>
        </is>
      </c>
      <c r="AX2721" t="inlineStr">
        <is>
          <t>Not Qualified</t>
        </is>
      </c>
      <c r="AY2721" s="4"/>
      <c r="AZ2721"/>
      <c r="BA2721"/>
      <c r="BB2721"/>
      <c r="BC2721" t="inlineStr">
        <is>
          <t>Business utilize social media platform</t>
        </is>
      </c>
      <c r="BD2721" s="4">
        <v>46125.73856481481</v>
      </c>
      <c r="BE2721" t="inlineStr">
        <is>
          <t>paid</t>
        </is>
      </c>
      <c r="BF2721"/>
      <c r="BG2721" t="inlineStr">
        <is>
          <t>Reschedule</t>
        </is>
      </c>
      <c r="BH2721" t="inlineStr">
        <is>
          <t>Edward Hoo</t>
        </is>
      </c>
      <c r="BI2721"/>
      <c r="BJ2721" s="4">
        <v>46144.75140046296</v>
      </c>
      <c r="BK2721" s="4">
        <v>45152.68009259259</v>
      </c>
      <c r="BL2721" t="inlineStr">
        <is>
          <t>0.0</t>
        </is>
      </c>
      <c r="BM2721" t="inlineStr">
        <is>
          <t>0.0</t>
        </is>
      </c>
      <c r="BN2721" t="inlineStr">
        <is>
          <t>View Company Page</t>
        </is>
      </c>
      <c r="BO2721" s="4">
        <v>46120.528703703705</v>
      </c>
      <c r="BP2721">
        <v>165894</v>
      </c>
      <c r="BQ2721">
        <v>120882</v>
      </c>
      <c r="BR2721" t="inlineStr">
        <is>
          <t>Proforma</t>
        </is>
      </c>
      <c r="BS2721" t="inlineStr">
        <is>
          <t>Free Part-Time Job</t>
        </is>
      </c>
      <c r="BT2721">
        <v>63069</v>
      </c>
      <c r="BU2721"/>
      <c r="BV2721">
        <v>2702143</v>
      </c>
      <c r="BW2721" t="inlineStr">
        <is>
          <t>Follow Up : Budget Concern</t>
        </is>
      </c>
      <c r="BX2721"/>
      <c r="BY2721"/>
      <c r="BZ2721" s="4"/>
      <c r="CA2721"/>
      <c r="CB2721"/>
      <c r="CC2721" s="4"/>
      <c r="CD2721" t="inlineStr">
        <is>
          <t>20</t>
        </is>
      </c>
      <c r="CE2721" t="inlineStr">
        <is>
          <t>0</t>
        </is>
      </c>
      <c r="CF2721" t="inlineStr">
        <is>
          <t>Q2-W01</t>
        </is>
      </c>
      <c r="CG2721" t="inlineStr">
        <is>
          <t>Q2-W01</t>
        </is>
      </c>
      <c r="CH2721"/>
      <c r="CI2721"/>
      <c r="CJ2721" t="inlineStr">
        <is>
          <t>Paid</t>
        </is>
      </c>
      <c r="CK2721" t="inlineStr">
        <is>
          <t>Not Eligible</t>
        </is>
      </c>
      <c r="CL2721"/>
      <c r="CM2721"/>
    </row>
    <row r="2722" ht="25.5" customHeight="1">
      <c r="A2722" t="inlineStr">
        <is>
          <t>202932</t>
        </is>
      </c>
      <c r="B2722" s="2"/>
      <c r="C2722"/>
      <c r="D2722" s="3">
        <v>46120.57378472222</v>
      </c>
      <c r="E2722" t="inlineStr">
        <is>
          <t>Q2-W01</t>
        </is>
      </c>
      <c r="F2722" t="inlineStr">
        <is>
          <t>Eugene</t>
        </is>
      </c>
      <c r="G2722" t="inlineStr">
        <is>
          <t>Customer</t>
        </is>
      </c>
      <c r="H2722" s="2" t="str">
        <f>=HYPERLINK("https://upbox.ajobthing.my/customer/202932", "https://upbox.ajobthing.my/customer/202932")</f>
        <v>https://upbox.ajobthing.my/customer/202932</v>
      </c>
      <c r="I2722" t="inlineStr">
        <is>
          <t>Pusat Tuisyen Sri Kreatif</t>
        </is>
      </c>
      <c r="J2722" t="inlineStr">
        <is>
          <t>Small Fish</t>
        </is>
      </c>
      <c r="K2722" t="inlineStr">
        <is>
          <t>Eugene</t>
        </is>
      </c>
      <c r="L2722" s="4"/>
      <c r="M2722" s="4">
        <v>46120.57334490741</v>
      </c>
      <c r="N2722"/>
      <c r="O2722">
        <v>3888</v>
      </c>
      <c r="P2722" s="4"/>
      <c r="Q2722" s="4">
        <v>46119.5255787037</v>
      </c>
      <c r="R2722"/>
      <c r="S2722">
        <v>0</v>
      </c>
      <c r="T2722" s="4"/>
      <c r="U2722" s="4"/>
      <c r="V2722"/>
      <c r="W2722"/>
      <c r="X2722"/>
      <c r="Y2722" t="inlineStr">
        <is>
          <t>Pending Appointment</t>
        </is>
      </c>
      <c r="Z2722" t="inlineStr">
        <is>
          <t>Hiring Now</t>
        </is>
      </c>
      <c r="AA2722">
        <v>2</v>
      </c>
      <c r="AB2722" t="inlineStr">
        <is>
          <t>No Appointment Made</t>
        </is>
      </c>
      <c r="AC2722"/>
      <c r="AD2722" t="inlineStr">
        <is>
          <t>2 teachers, based in KL</t>
        </is>
      </c>
      <c r="AE2722"/>
      <c r="AF2722">
        <v>3000</v>
      </c>
      <c r="AG2722" s="4"/>
      <c r="AH2722" s="4"/>
      <c r="AI2722">
        <v>3000</v>
      </c>
      <c r="AJ2722">
        <v>1</v>
      </c>
      <c r="AK2722" t="inlineStr">
        <is>
          <t>No, I don't need at all</t>
        </is>
      </c>
      <c r="AL2722">
        <v>1</v>
      </c>
      <c r="AM2722" t="inlineStr">
        <is>
          <t>No, I don't need at all</t>
        </is>
      </c>
      <c r="AN2722"/>
      <c r="AO2722" t="inlineStr">
        <is>
          <t>No, I don't need at all</t>
        </is>
      </c>
      <c r="AP2722" t="inlineStr">
        <is>
          <t>Twice a year (50%)</t>
        </is>
      </c>
      <c r="AQ2722">
        <v>3</v>
      </c>
      <c r="AR2722" t="inlineStr">
        <is>
          <t>Free Job Portal</t>
        </is>
      </c>
      <c r="AS2722" t="inlineStr">
        <is>
          <t>- Headcount: 2
- Hiring Job Details: 2 teachers,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Free Job Portal</t>
        </is>
      </c>
      <c r="AT2722">
        <v>105</v>
      </c>
      <c r="AU2722" t="inlineStr">
        <is>
          <t>1.05</t>
        </is>
      </c>
      <c r="AV2722" t="inlineStr">
        <is>
          <t>15</t>
        </is>
      </c>
      <c r="AW2722" t="inlineStr">
        <is>
          <t>0</t>
        </is>
      </c>
      <c r="AX2722" t="inlineStr">
        <is>
          <t>Not Qualified</t>
        </is>
      </c>
      <c r="AY2722" s="4"/>
      <c r="AZ2722"/>
      <c r="BA2722"/>
      <c r="BB2722"/>
      <c r="BC2722" t="inlineStr">
        <is>
          <t>share ala carte</t>
        </is>
      </c>
      <c r="BD2722" s="4">
        <v>46121.68515046296</v>
      </c>
      <c r="BE2722" t="inlineStr">
        <is>
          <t>paid</t>
        </is>
      </c>
      <c r="BF2722"/>
      <c r="BG2722" t="inlineStr">
        <is>
          <t>Reschedule</t>
        </is>
      </c>
      <c r="BH2722" t="inlineStr">
        <is>
          <t>Edward Hoo</t>
        </is>
      </c>
      <c r="BI2722"/>
      <c r="BJ2722" s="4">
        <v>46144.754166666666</v>
      </c>
      <c r="BK2722" s="4">
        <v>46119.524722222224</v>
      </c>
      <c r="BL2722" t="inlineStr">
        <is>
          <t>0.0</t>
        </is>
      </c>
      <c r="BM2722" t="inlineStr">
        <is>
          <t>0.0</t>
        </is>
      </c>
      <c r="BN2722" t="inlineStr">
        <is>
          <t>View Company Page</t>
        </is>
      </c>
      <c r="BO2722" s="4">
        <v>46119.52615740741</v>
      </c>
      <c r="BP2722">
        <v>165902</v>
      </c>
      <c r="BQ2722">
        <v>120334</v>
      </c>
      <c r="BR2722" t="inlineStr">
        <is>
          <t>Proforma</t>
        </is>
      </c>
      <c r="BS2722" t="inlineStr">
        <is>
          <t>Free Internship Job</t>
        </is>
      </c>
      <c r="BT2722"/>
      <c r="BU2722"/>
      <c r="BV2722">
        <v>2696635</v>
      </c>
      <c r="BW2722" t="inlineStr">
        <is>
          <t>Follow Up : Budget Concern</t>
        </is>
      </c>
      <c r="BX2722"/>
      <c r="BY2722"/>
      <c r="BZ2722" s="4"/>
      <c r="CA2722"/>
      <c r="CB2722"/>
      <c r="CC2722" s="4"/>
      <c r="CD2722" t="inlineStr">
        <is>
          <t>20</t>
        </is>
      </c>
      <c r="CE2722" t="inlineStr">
        <is>
          <t>0</t>
        </is>
      </c>
      <c r="CF2722" t="inlineStr">
        <is>
          <t>Q2-W01</t>
        </is>
      </c>
      <c r="CG2722" t="inlineStr">
        <is>
          <t>Q2-W01</t>
        </is>
      </c>
      <c r="CH2722"/>
      <c r="CI2722"/>
      <c r="CJ2722" t="inlineStr">
        <is>
          <t>No Paid</t>
        </is>
      </c>
      <c r="CK2722" t="inlineStr">
        <is>
          <t>Not Eligible</t>
        </is>
      </c>
      <c r="CL2722"/>
      <c r="CM2722"/>
    </row>
    <row r="2723" ht="25.5" customHeight="1">
      <c r="A2723" t="inlineStr">
        <is>
          <t>201207</t>
        </is>
      </c>
      <c r="B2723" s="2"/>
      <c r="C2723"/>
      <c r="D2723" s="3">
        <v>46120.582395833335</v>
      </c>
      <c r="E2723" t="inlineStr">
        <is>
          <t>Q2-W01</t>
        </is>
      </c>
      <c r="F2723" t="inlineStr">
        <is>
          <t>Janice Yap</t>
        </is>
      </c>
      <c r="G2723" t="inlineStr">
        <is>
          <t>Customer</t>
        </is>
      </c>
      <c r="H2723" s="2" t="str">
        <f>=HYPERLINK("https://upbox.ajobthing.my/customer/201207", "https://upbox.ajobthing.my/customer/201207")</f>
        <v>https://upbox.ajobthing.my/customer/201207</v>
      </c>
      <c r="I2723" t="inlineStr">
        <is>
          <t>Victons Malasyia Sdn Bhd</t>
        </is>
      </c>
      <c r="J2723" t="inlineStr">
        <is>
          <t>Small Fish</t>
        </is>
      </c>
      <c r="K2723" t="inlineStr">
        <is>
          <t>Janice</t>
        </is>
      </c>
      <c r="L2723" s="4"/>
      <c r="M2723" s="4">
        <v>46127.69028935185</v>
      </c>
      <c r="N2723"/>
      <c r="O2723">
        <v>3888</v>
      </c>
      <c r="P2723" s="4"/>
      <c r="Q2723" s="4"/>
      <c r="R2723"/>
      <c r="S2723"/>
      <c r="T2723" s="4"/>
      <c r="U2723" s="4"/>
      <c r="V2723"/>
      <c r="W2723"/>
      <c r="X2723"/>
      <c r="Y2723" t="inlineStr">
        <is>
          <t>Pending Appointment</t>
        </is>
      </c>
      <c r="Z2723" t="inlineStr">
        <is>
          <t>Hiring Now</t>
        </is>
      </c>
      <c r="AA2723">
        <v>1</v>
      </c>
      <c r="AB2723" t="inlineStr">
        <is>
          <t>No Appointment Made</t>
        </is>
      </c>
      <c r="AC2723"/>
      <c r="AD2723" t="inlineStr">
        <is>
          <t>1 manager</t>
        </is>
      </c>
      <c r="AE2723"/>
      <c r="AF2723">
        <v>0</v>
      </c>
      <c r="AG2723" s="4"/>
      <c r="AH2723" s="4"/>
      <c r="AI2723">
        <v>0</v>
      </c>
      <c r="AJ2723"/>
      <c r="AK2723" t="inlineStr">
        <is>
          <t>No, I don't need at all</t>
        </is>
      </c>
      <c r="AL2723">
        <v>0</v>
      </c>
      <c r="AM2723" t="inlineStr">
        <is>
          <t>No, I don't need at all</t>
        </is>
      </c>
      <c r="AN2723"/>
      <c r="AO2723" t="inlineStr">
        <is>
          <t>No, I don't need at all</t>
        </is>
      </c>
      <c r="AP2723" t="inlineStr">
        <is>
          <t>Once a year (25%)</t>
        </is>
      </c>
      <c r="AQ2723">
        <v>1</v>
      </c>
      <c r="AR2723"/>
      <c r="AS2723" t="inlineStr">
        <is>
          <t>- Headcount: 1
- Hiring Job Details: 1 manager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2723">
        <v>110</v>
      </c>
      <c r="AU2723" t="inlineStr">
        <is>
          <t>1.10</t>
        </is>
      </c>
      <c r="AV2723" t="inlineStr">
        <is>
          <t>15</t>
        </is>
      </c>
      <c r="AW2723" t="inlineStr">
        <is>
          <t>0</t>
        </is>
      </c>
      <c r="AX2723" t="inlineStr">
        <is>
          <t>Not Qualified</t>
        </is>
      </c>
      <c r="AY2723" s="4"/>
      <c r="AZ2723"/>
      <c r="BA2723"/>
      <c r="BB2723"/>
      <c r="BC2723" t="inlineStr">
        <is>
          <t>Pending decision // wil update me once confirm</t>
        </is>
      </c>
      <c r="BD2723" s="4">
        <v>46139.645682870374</v>
      </c>
      <c r="BE2723"/>
      <c r="BF2723"/>
      <c r="BG2723" t="inlineStr">
        <is>
          <t>Reschedule</t>
        </is>
      </c>
      <c r="BH2723" t="inlineStr">
        <is>
          <t>Yee Hang</t>
        </is>
      </c>
      <c r="BI2723"/>
      <c r="BJ2723" s="4">
        <v>46144.75375</v>
      </c>
      <c r="BK2723" s="4">
        <v>46065.55153935185</v>
      </c>
      <c r="BL2723" t="inlineStr">
        <is>
          <t>0.0</t>
        </is>
      </c>
      <c r="BM2723" t="inlineStr">
        <is>
          <t>0.0</t>
        </is>
      </c>
      <c r="BN2723" t="inlineStr">
        <is>
          <t>User Visit(Logged In)</t>
        </is>
      </c>
      <c r="BO2723" s="4">
        <v>46122.43361111111</v>
      </c>
      <c r="BP2723">
        <v>167239</v>
      </c>
      <c r="BQ2723"/>
      <c r="BR2723"/>
      <c r="BS2723"/>
      <c r="BT2723"/>
      <c r="BU2723"/>
      <c r="BV2723">
        <v>2730267</v>
      </c>
      <c r="BW2723" t="inlineStr">
        <is>
          <t>Follow Up : Decision Pending</t>
        </is>
      </c>
      <c r="BX2723"/>
      <c r="BY2723"/>
      <c r="BZ2723" s="4"/>
      <c r="CA2723"/>
      <c r="CB2723"/>
      <c r="CC2723" s="4"/>
      <c r="CD2723" t="inlineStr">
        <is>
          <t>20</t>
        </is>
      </c>
      <c r="CE2723" t="inlineStr">
        <is>
          <t>0</t>
        </is>
      </c>
      <c r="CF2723" t="inlineStr">
        <is>
          <t>Q2-W02</t>
        </is>
      </c>
      <c r="CG2723"/>
      <c r="CH2723"/>
      <c r="CI2723"/>
      <c r="CJ2723" t="inlineStr">
        <is>
          <t>No Paid</t>
        </is>
      </c>
      <c r="CK2723" t="inlineStr">
        <is>
          <t>Not Eligible</t>
        </is>
      </c>
      <c r="CL2723"/>
      <c r="CM2723"/>
    </row>
    <row r="2724" ht="25.5" customHeight="1">
      <c r="A2724" t="inlineStr">
        <is>
          <t>3857131</t>
        </is>
      </c>
      <c r="B2724" s="2"/>
      <c r="C2724"/>
      <c r="D2724" s="3">
        <v>46120.58950231481</v>
      </c>
      <c r="E2724" t="inlineStr">
        <is>
          <t>Q2-W01</t>
        </is>
      </c>
      <c r="F2724" t="inlineStr">
        <is>
          <t>Yuli</t>
        </is>
      </c>
      <c r="G2724" t="inlineStr">
        <is>
          <t>Lead</t>
        </is>
      </c>
      <c r="H2724" s="2" t="str">
        <f>=HYPERLINK("https://upbox.ajobthing.my/leads/3857131", "https://upbox.ajobthing.my/leads/3857131")</f>
        <v>https://upbox.ajobthing.my/leads/3857131</v>
      </c>
      <c r="I2724" t="inlineStr">
        <is>
          <t>SRKAY Consulting Sdn Bhd</t>
        </is>
      </c>
      <c r="J2724" t="inlineStr">
        <is>
          <t>Small Fish</t>
        </is>
      </c>
      <c r="K2724" t="inlineStr">
        <is>
          <t>YuLi</t>
        </is>
      </c>
      <c r="L2724" s="4"/>
      <c r="M2724" s="4">
        <v>46139.67680555556</v>
      </c>
      <c r="N2724"/>
      <c r="O2724">
        <v>18252</v>
      </c>
      <c r="P2724" s="4"/>
      <c r="Q2724" s="4"/>
      <c r="R2724"/>
      <c r="S2724"/>
      <c r="T2724" s="4"/>
      <c r="U2724" s="4"/>
      <c r="V2724"/>
      <c r="W2724"/>
      <c r="X2724" t="inlineStr">
        <is>
          <t>Yuli</t>
        </is>
      </c>
      <c r="Y2724" t="inlineStr">
        <is>
          <t>Pending Appointment</t>
        </is>
      </c>
      <c r="Z2724" t="inlineStr">
        <is>
          <t>Hiring Now</t>
        </is>
      </c>
      <c r="AA2724">
        <v>3</v>
      </c>
      <c r="AB2724" t="inlineStr">
        <is>
          <t>Appointment Made</t>
        </is>
      </c>
      <c r="AC2724" t="inlineStr">
        <is>
          <t>SME (&lt;50 employees)</t>
        </is>
      </c>
      <c r="AD2724" t="inlineStr">
        <is>
          <t>Customer Service, telesales account finance, sales</t>
        </is>
      </c>
      <c r="AE2724" t="inlineStr">
        <is>
          <t>HR Director / Senior HR Lead</t>
        </is>
      </c>
      <c r="AF2724">
        <v>20000</v>
      </c>
      <c r="AG2724" s="4">
        <v>46120.458333333336</v>
      </c>
      <c r="AH2724" s="4">
        <v>46120.520833333336</v>
      </c>
      <c r="AI2724"/>
      <c r="AJ2724"/>
      <c r="AK2724" t="inlineStr">
        <is>
          <t>Yes, I have</t>
        </is>
      </c>
      <c r="AL2724">
        <v>15</v>
      </c>
      <c r="AM2724"/>
      <c r="AN2724"/>
      <c r="AO2724"/>
      <c r="AP2724"/>
      <c r="AQ2724"/>
      <c r="AR2724" t="inlineStr">
        <is>
          <t>Linkedin (Paid)</t>
        </is>
      </c>
      <c r="AS2724" t="inlineStr">
        <is>
          <t>- Headcount: 3
- Hiring Job Details: Customer Service, telesales account finance, sales
- Hiring Urgency: Hiring Now
- Number of outlets: Not provided
- Have recruiter team: Yes
- Number of recruiter in company: 15
- Have ATS system: Not provided
- Have career website: Not provided
- Current hiring budget: RM20,000.00
- Whole year budget: Not provided
- Whole year number of vacancies: Not provided
- Hiring frequency: Not provided
- External job portal: Linkedin (Paid)</t>
        </is>
      </c>
      <c r="AT2724">
        <v>65</v>
      </c>
      <c r="AU2724" t="inlineStr">
        <is>
          <t>0.65</t>
        </is>
      </c>
      <c r="AV2724" t="inlineStr">
        <is>
          <t>40</t>
        </is>
      </c>
      <c r="AW2724" t="inlineStr">
        <is>
          <t>0.5</t>
        </is>
      </c>
      <c r="AX2724" t="inlineStr">
        <is>
          <t>Not Qualified</t>
        </is>
      </c>
      <c r="AY2724" s="4"/>
      <c r="AZ2724"/>
      <c r="BA2724"/>
      <c r="BB2724"/>
      <c r="BC2724"/>
      <c r="BD2724" s="4"/>
      <c r="BE2724"/>
      <c r="BF2724"/>
      <c r="BG2724" t="inlineStr">
        <is>
          <t>Reschedule</t>
        </is>
      </c>
      <c r="BH2724" t="inlineStr">
        <is>
          <t>Fauziah Maharan</t>
        </is>
      </c>
      <c r="BI2724"/>
      <c r="BJ2724" s="4">
        <v>46144.75497685185</v>
      </c>
      <c r="BK2724" s="4">
        <v>46009.478854166664</v>
      </c>
      <c r="BL2724" t="inlineStr">
        <is>
          <t>0.0</t>
        </is>
      </c>
      <c r="BM2724" t="inlineStr">
        <is>
          <t>0.0</t>
        </is>
      </c>
      <c r="BN2724"/>
      <c r="BO2724" s="4"/>
      <c r="BP2724">
        <v>169079</v>
      </c>
      <c r="BQ2724"/>
      <c r="BR2724"/>
      <c r="BS2724"/>
      <c r="BT2724"/>
      <c r="BU2724"/>
      <c r="BV2724"/>
      <c r="BW2724"/>
      <c r="BX2724"/>
      <c r="BY2724"/>
      <c r="BZ2724" s="4"/>
      <c r="CA2724"/>
      <c r="CB2724"/>
      <c r="CC2724" s="4"/>
      <c r="CD2724" t="inlineStr">
        <is>
          <t>50</t>
        </is>
      </c>
      <c r="CE2724" t="inlineStr">
        <is>
          <t>0</t>
        </is>
      </c>
      <c r="CF2724" t="inlineStr">
        <is>
          <t>Q2-W04</t>
        </is>
      </c>
      <c r="CG2724"/>
      <c r="CH2724"/>
      <c r="CI2724"/>
      <c r="CJ2724" t="inlineStr">
        <is>
          <t>No Paid</t>
        </is>
      </c>
      <c r="CK2724" t="inlineStr">
        <is>
          <t>Not Eligible</t>
        </is>
      </c>
      <c r="CL2724"/>
      <c r="CM2724"/>
    </row>
    <row r="2725" ht="25.5" customHeight="1">
      <c r="A2725" t="inlineStr">
        <is>
          <t>4257998</t>
        </is>
      </c>
      <c r="B2725" s="2"/>
      <c r="C2725"/>
      <c r="D2725" s="3">
        <v>46120.592777777776</v>
      </c>
      <c r="E2725" t="inlineStr">
        <is>
          <t>Q2-W01</t>
        </is>
      </c>
      <c r="F2725" t="inlineStr">
        <is>
          <t>Josh</t>
        </is>
      </c>
      <c r="G2725" t="inlineStr">
        <is>
          <t>Lead</t>
        </is>
      </c>
      <c r="H2725" s="2" t="str">
        <f>=HYPERLINK("https://upbox.ajobthing.my/leads/4257998", "https://upbox.ajobthing.my/leads/4257998")</f>
        <v>https://upbox.ajobthing.my/leads/4257998</v>
      </c>
      <c r="I2725" t="inlineStr">
        <is>
          <t>DEZLA EMPIRE</t>
        </is>
      </c>
      <c r="J2725" t="inlineStr">
        <is>
          <t>Small Fish</t>
        </is>
      </c>
      <c r="K2725" t="inlineStr">
        <is>
          <t>Josh</t>
        </is>
      </c>
      <c r="L2725" s="4"/>
      <c r="M2725" s="4">
        <v>46120.59311342592</v>
      </c>
      <c r="N2725"/>
      <c r="O2725">
        <v>6048</v>
      </c>
      <c r="P2725" s="4"/>
      <c r="Q2725" s="4"/>
      <c r="R2725"/>
      <c r="S2725"/>
      <c r="T2725" s="4"/>
      <c r="U2725" s="4"/>
      <c r="V2725"/>
      <c r="W2725"/>
      <c r="X2725"/>
      <c r="Y2725" t="inlineStr">
        <is>
          <t>Pending Appointment</t>
        </is>
      </c>
      <c r="Z2725" t="inlineStr">
        <is>
          <t>Hiring Now</t>
        </is>
      </c>
      <c r="AA2725">
        <v>1</v>
      </c>
      <c r="AB2725" t="inlineStr">
        <is>
          <t>No Appointment Made</t>
        </is>
      </c>
      <c r="AC2725"/>
      <c r="AD2725" t="inlineStr">
        <is>
          <t xml:space="preserve">1 hairstylist </t>
        </is>
      </c>
      <c r="AE2725"/>
      <c r="AF2725">
        <v>1000</v>
      </c>
      <c r="AG2725" s="4"/>
      <c r="AH2725" s="4"/>
      <c r="AI2725"/>
      <c r="AJ2725"/>
      <c r="AK2725" t="inlineStr">
        <is>
          <t>Yes, I have</t>
        </is>
      </c>
      <c r="AL2725"/>
      <c r="AM2725"/>
      <c r="AN2725"/>
      <c r="AO2725"/>
      <c r="AP2725" t="inlineStr">
        <is>
          <t>Once a year (25%)</t>
        </is>
      </c>
      <c r="AQ2725"/>
      <c r="AR2725"/>
      <c r="AS2725" t="inlineStr">
        <is>
          <t>- Headcount: 1
- Hiring Job Details: 1 hairstylist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2725">
        <v>95</v>
      </c>
      <c r="AU2725" t="inlineStr">
        <is>
          <t>0.95</t>
        </is>
      </c>
      <c r="AV2725" t="inlineStr">
        <is>
          <t>15</t>
        </is>
      </c>
      <c r="AW2725" t="inlineStr">
        <is>
          <t>0</t>
        </is>
      </c>
      <c r="AX2725" t="inlineStr">
        <is>
          <t>Not Qualified</t>
        </is>
      </c>
      <c r="AY2725" s="4"/>
      <c r="AZ2725"/>
      <c r="BA2725"/>
      <c r="BB2725"/>
      <c r="BC2725"/>
      <c r="BD2725" s="4"/>
      <c r="BE2725"/>
      <c r="BF2725"/>
      <c r="BG2725" t="inlineStr">
        <is>
          <t>Reschedule</t>
        </is>
      </c>
      <c r="BH2725" t="inlineStr">
        <is>
          <t>Fauziah Maharan</t>
        </is>
      </c>
      <c r="BI2725"/>
      <c r="BJ2725" s="4">
        <v>46144.755740740744</v>
      </c>
      <c r="BK2725" s="4">
        <v>46120.18436342593</v>
      </c>
      <c r="BL2725" t="inlineStr">
        <is>
          <t>0.0</t>
        </is>
      </c>
      <c r="BM2725" t="inlineStr">
        <is>
          <t>0.0</t>
        </is>
      </c>
      <c r="BN2725"/>
      <c r="BO2725" s="4"/>
      <c r="BP2725">
        <v>165907</v>
      </c>
      <c r="BQ2725"/>
      <c r="BR2725"/>
      <c r="BS2725"/>
      <c r="BT2725"/>
      <c r="BU2725"/>
      <c r="BV2725"/>
      <c r="BW2725"/>
      <c r="BX2725"/>
      <c r="BY2725"/>
      <c r="BZ2725" s="4"/>
      <c r="CA2725"/>
      <c r="CB2725"/>
      <c r="CC2725" s="4"/>
      <c r="CD2725" t="inlineStr">
        <is>
          <t>20</t>
        </is>
      </c>
      <c r="CE2725" t="inlineStr">
        <is>
          <t>0</t>
        </is>
      </c>
      <c r="CF2725" t="inlineStr">
        <is>
          <t>Q2-W01</t>
        </is>
      </c>
      <c r="CG2725"/>
      <c r="CH2725"/>
      <c r="CI2725"/>
      <c r="CJ2725" t="inlineStr">
        <is>
          <t>No Paid</t>
        </is>
      </c>
      <c r="CK2725" t="inlineStr">
        <is>
          <t>Not Eligible</t>
        </is>
      </c>
      <c r="CL2725"/>
      <c r="CM2725"/>
    </row>
    <row r="2726" ht="25.5" customHeight="1">
      <c r="A2726" t="inlineStr">
        <is>
          <t>4260347</t>
        </is>
      </c>
      <c r="B2726" s="2"/>
      <c r="C2726"/>
      <c r="D2726" s="3">
        <v>46120.593460648146</v>
      </c>
      <c r="E2726" t="inlineStr">
        <is>
          <t>Q2-W01</t>
        </is>
      </c>
      <c r="F2726" t="inlineStr">
        <is>
          <t>Janice Yap</t>
        </is>
      </c>
      <c r="G2726" t="inlineStr">
        <is>
          <t>Lead</t>
        </is>
      </c>
      <c r="H2726" s="2" t="str">
        <f>=HYPERLINK("https://upbox.ajobthing.my/leads/4260347", "https://upbox.ajobthing.my/leads/4260347")</f>
        <v>https://upbox.ajobthing.my/leads/4260347</v>
      </c>
      <c r="I2726" t="inlineStr">
        <is>
          <t>GE-SUNNY DALE INDUSTRIES SDN BHD</t>
        </is>
      </c>
      <c r="J2726" t="inlineStr">
        <is>
          <t>Small Fish</t>
        </is>
      </c>
      <c r="K2726" t="inlineStr">
        <is>
          <t>Janice</t>
        </is>
      </c>
      <c r="L2726" s="4"/>
      <c r="M2726" s="4">
        <v>46122.43680555555</v>
      </c>
      <c r="N2726"/>
      <c r="O2726">
        <v>1296</v>
      </c>
      <c r="P2726" s="4"/>
      <c r="Q2726" s="4"/>
      <c r="R2726"/>
      <c r="S2726"/>
      <c r="T2726" s="4"/>
      <c r="U2726" s="4"/>
      <c r="V2726"/>
      <c r="W2726"/>
      <c r="X2726"/>
      <c r="Y2726" t="inlineStr">
        <is>
          <t>Pending Appointment</t>
        </is>
      </c>
      <c r="Z2726" t="inlineStr">
        <is>
          <t>Hiring Now</t>
        </is>
      </c>
      <c r="AA2726">
        <v>1</v>
      </c>
      <c r="AB2726" t="inlineStr">
        <is>
          <t>No Appointment Made</t>
        </is>
      </c>
      <c r="AC2726"/>
      <c r="AD2726" t="inlineStr">
        <is>
          <t>1 QC</t>
        </is>
      </c>
      <c r="AE2726"/>
      <c r="AF2726">
        <v>0</v>
      </c>
      <c r="AG2726" s="4"/>
      <c r="AH2726" s="4"/>
      <c r="AI2726">
        <v>0</v>
      </c>
      <c r="AJ2726"/>
      <c r="AK2726" t="inlineStr">
        <is>
          <t>No, I don't need at all</t>
        </is>
      </c>
      <c r="AL2726">
        <v>0</v>
      </c>
      <c r="AM2726" t="inlineStr">
        <is>
          <t>No, I don't need at all</t>
        </is>
      </c>
      <c r="AN2726"/>
      <c r="AO2726" t="inlineStr">
        <is>
          <t>No, I don't need at all</t>
        </is>
      </c>
      <c r="AP2726" t="inlineStr">
        <is>
          <t>Once a year (25%)</t>
        </is>
      </c>
      <c r="AQ2726">
        <v>1</v>
      </c>
      <c r="AR2726"/>
      <c r="AS2726" t="inlineStr">
        <is>
          <t>- Headcount: 1
- Hiring Job Details: 1 QC
- Hiring Urgency: Hiring Now
- Number of outlets: N/A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N/A</t>
        </is>
      </c>
      <c r="AT2726">
        <v>110</v>
      </c>
      <c r="AU2726" t="inlineStr">
        <is>
          <t>1.10</t>
        </is>
      </c>
      <c r="AV2726" t="inlineStr">
        <is>
          <t>15</t>
        </is>
      </c>
      <c r="AW2726" t="inlineStr">
        <is>
          <t>0</t>
        </is>
      </c>
      <c r="AX2726" t="inlineStr">
        <is>
          <t>Not Qualified</t>
        </is>
      </c>
      <c r="AY2726" s="4"/>
      <c r="AZ2726"/>
      <c r="BA2726"/>
      <c r="BB2726"/>
      <c r="BC2726"/>
      <c r="BD2726" s="4"/>
      <c r="BE2726"/>
      <c r="BF2726"/>
      <c r="BG2726" t="inlineStr">
        <is>
          <t>Reschedule</t>
        </is>
      </c>
      <c r="BH2726" t="inlineStr">
        <is>
          <t>Yee Hang</t>
        </is>
      </c>
      <c r="BI2726"/>
      <c r="BJ2726" s="4">
        <v>46144.75576388889</v>
      </c>
      <c r="BK2726" s="4">
        <v>46120.560648148145</v>
      </c>
      <c r="BL2726" t="inlineStr">
        <is>
          <t>0.0</t>
        </is>
      </c>
      <c r="BM2726" t="inlineStr">
        <is>
          <t>0.0</t>
        </is>
      </c>
      <c r="BN2726"/>
      <c r="BO2726" s="4"/>
      <c r="BP2726">
        <v>166349</v>
      </c>
      <c r="BQ2726"/>
      <c r="BR2726"/>
      <c r="BS2726"/>
      <c r="BT2726"/>
      <c r="BU2726"/>
      <c r="BV2726"/>
      <c r="BW2726"/>
      <c r="BX2726"/>
      <c r="BY2726"/>
      <c r="BZ2726" s="4"/>
      <c r="CA2726"/>
      <c r="CB2726"/>
      <c r="CC2726" s="4"/>
      <c r="CD2726" t="inlineStr">
        <is>
          <t>20</t>
        </is>
      </c>
      <c r="CE2726" t="inlineStr">
        <is>
          <t>0</t>
        </is>
      </c>
      <c r="CF2726" t="inlineStr">
        <is>
          <t>Q2-W02</t>
        </is>
      </c>
      <c r="CG2726"/>
      <c r="CH2726"/>
      <c r="CI2726"/>
      <c r="CJ2726" t="inlineStr">
        <is>
          <t>No Paid</t>
        </is>
      </c>
      <c r="CK2726" t="inlineStr">
        <is>
          <t>Not Eligible</t>
        </is>
      </c>
      <c r="CL2726"/>
      <c r="CM2726"/>
    </row>
    <row r="2727" ht="25.5" customHeight="1">
      <c r="A2727" t="inlineStr">
        <is>
          <t>130049</t>
        </is>
      </c>
      <c r="B2727" s="2"/>
      <c r="C2727"/>
      <c r="D2727" s="3">
        <v>46120.59431712963</v>
      </c>
      <c r="E2727" t="inlineStr">
        <is>
          <t>Q2-W01</t>
        </is>
      </c>
      <c r="F2727" t="inlineStr">
        <is>
          <t>Clover</t>
        </is>
      </c>
      <c r="G2727" t="inlineStr">
        <is>
          <t>Customer</t>
        </is>
      </c>
      <c r="H2727" s="2" t="str">
        <f>=HYPERLINK("https://upbox.ajobthing.my/customer/130049", "https://upbox.ajobthing.my/customer/130049")</f>
        <v>https://upbox.ajobthing.my/customer/130049</v>
      </c>
      <c r="I2727" t="inlineStr">
        <is>
          <t xml:space="preserve">Lean Hwa Poultry Processing Sdn Bhd </t>
        </is>
      </c>
      <c r="J2727" t="inlineStr">
        <is>
          <t>Small Fish</t>
        </is>
      </c>
      <c r="K2727" t="inlineStr">
        <is>
          <t>Clover</t>
        </is>
      </c>
      <c r="L2727" s="4"/>
      <c r="M2727" s="4">
        <v>46120.59384259259</v>
      </c>
      <c r="N2727"/>
      <c r="O2727">
        <v>6048</v>
      </c>
      <c r="P2727" s="4"/>
      <c r="Q2727" s="4">
        <v>46120.460069444445</v>
      </c>
      <c r="R2727"/>
      <c r="S2727">
        <v>0</v>
      </c>
      <c r="T2727" s="4"/>
      <c r="U2727" s="4"/>
      <c r="V2727"/>
      <c r="W2727"/>
      <c r="X2727"/>
      <c r="Y2727" t="inlineStr">
        <is>
          <t>Pending Appointment</t>
        </is>
      </c>
      <c r="Z2727" t="inlineStr">
        <is>
          <t>Hiring Later</t>
        </is>
      </c>
      <c r="AA2727">
        <v>3</v>
      </c>
      <c r="AB2727" t="inlineStr">
        <is>
          <t>No Appointment Made</t>
        </is>
      </c>
      <c r="AC2727"/>
      <c r="AD2727" t="inlineStr">
        <is>
          <t>So far no plan, maybe future hiring admin exec, account exec, BU,  x1-2,  duck process wholesale,  penang, KL,  allow to share promo, suggest pro</t>
        </is>
      </c>
      <c r="AE2727"/>
      <c r="AF2727">
        <v>5000</v>
      </c>
      <c r="AG2727" s="4"/>
      <c r="AH2727" s="4"/>
      <c r="AI2727"/>
      <c r="AJ2727"/>
      <c r="AK2727" t="inlineStr">
        <is>
          <t>No, but I want in future</t>
        </is>
      </c>
      <c r="AL2727"/>
      <c r="AM2727"/>
      <c r="AN2727"/>
      <c r="AO2727"/>
      <c r="AP2727" t="inlineStr">
        <is>
          <t>Once per quarter (75%)</t>
        </is>
      </c>
      <c r="AQ2727"/>
      <c r="AR2727"/>
      <c r="AS2727" t="inlineStr">
        <is>
          <t>- Headcount: 3
- Hiring Job Details: No plan now, may hire 1-2 admin exec/account exec/BU later for duck process wholesale in Penang/KL, allow promo sharing and professional suggestions
- Hiring Urgency: Hiring Later
- Number of outlets: Not specified
- Have recruiter team: No, but want in future
- Number of recruiter in company: Not specified
- Have ATS system: Not specified
- Have career website: Not specified
- Current hiring budget: RM5,000.00
- Whole year budget: Not specified
- Whole year number of vacancies: Not specified
- Hiring frequency: Once per quarter (75%)
- External job portal: Not specified</t>
        </is>
      </c>
      <c r="AT2727">
        <v>50</v>
      </c>
      <c r="AU2727" t="inlineStr">
        <is>
          <t>0.50</t>
        </is>
      </c>
      <c r="AV2727" t="inlineStr">
        <is>
          <t>15</t>
        </is>
      </c>
      <c r="AW2727" t="inlineStr">
        <is>
          <t>0</t>
        </is>
      </c>
      <c r="AX2727" t="inlineStr">
        <is>
          <t>Not Qualified</t>
        </is>
      </c>
      <c r="AY2727" s="4"/>
      <c r="AZ2727"/>
      <c r="BA2727"/>
      <c r="BB2727"/>
      <c r="BC2727" t="inlineStr">
        <is>
          <t>On hold first , if want will contact again</t>
        </is>
      </c>
      <c r="BD2727" s="4">
        <v>46135.72577546296</v>
      </c>
      <c r="BE2727" t="inlineStr">
        <is>
          <t>paid</t>
        </is>
      </c>
      <c r="BF2727"/>
      <c r="BG2727" t="inlineStr">
        <is>
          <t>Reschedule</t>
        </is>
      </c>
      <c r="BH2727" t="inlineStr">
        <is>
          <t>Reagen</t>
        </is>
      </c>
      <c r="BI2727"/>
      <c r="BJ2727" s="4">
        <v>46144.750451388885</v>
      </c>
      <c r="BK2727" s="4">
        <v>44092.61158564815</v>
      </c>
      <c r="BL2727" t="inlineStr">
        <is>
          <t>0.0</t>
        </is>
      </c>
      <c r="BM2727" t="inlineStr">
        <is>
          <t>0.0</t>
        </is>
      </c>
      <c r="BN2727" t="inlineStr">
        <is>
          <t>User Visit(Logged In)</t>
        </is>
      </c>
      <c r="BO2727" s="4">
        <v>45922.46802083333</v>
      </c>
      <c r="BP2727">
        <v>165908</v>
      </c>
      <c r="BQ2727">
        <v>120809</v>
      </c>
      <c r="BR2727" t="inlineStr">
        <is>
          <t>Proforma</t>
        </is>
      </c>
      <c r="BS2727" t="inlineStr">
        <is>
          <t>Free Internship Job</t>
        </is>
      </c>
      <c r="BT2727"/>
      <c r="BU2727"/>
      <c r="BV2727">
        <v>2725032</v>
      </c>
      <c r="BW2727" t="inlineStr">
        <is>
          <t>Follow Up : Lost - Free Portal</t>
        </is>
      </c>
      <c r="BX2727"/>
      <c r="BY2727"/>
      <c r="BZ2727" s="4"/>
      <c r="CA2727"/>
      <c r="CB2727"/>
      <c r="CC2727" s="4"/>
      <c r="CD2727" t="inlineStr">
        <is>
          <t>20</t>
        </is>
      </c>
      <c r="CE2727" t="inlineStr">
        <is>
          <t>0</t>
        </is>
      </c>
      <c r="CF2727" t="inlineStr">
        <is>
          <t>Q2-W01</t>
        </is>
      </c>
      <c r="CG2727" t="inlineStr">
        <is>
          <t>Q2-W01</t>
        </is>
      </c>
      <c r="CH2727"/>
      <c r="CI2727"/>
      <c r="CJ2727" t="inlineStr">
        <is>
          <t>No Paid</t>
        </is>
      </c>
      <c r="CK2727" t="inlineStr">
        <is>
          <t>Not Eligible</t>
        </is>
      </c>
      <c r="CL2727"/>
      <c r="CM2727"/>
    </row>
    <row r="2728" ht="25.5" customHeight="1">
      <c r="A2728" t="inlineStr">
        <is>
          <t>183758</t>
        </is>
      </c>
      <c r="B2728" s="2"/>
      <c r="C2728"/>
      <c r="D2728" s="3">
        <v>46120.595717592594</v>
      </c>
      <c r="E2728" t="inlineStr">
        <is>
          <t>Q2-W01</t>
        </is>
      </c>
      <c r="F2728" t="inlineStr">
        <is>
          <t>Angel  Low</t>
        </is>
      </c>
      <c r="G2728" t="inlineStr">
        <is>
          <t>Customer</t>
        </is>
      </c>
      <c r="H2728" s="2" t="str">
        <f>=HYPERLINK("https://upbox.ajobthing.my/customer/183758", "https://upbox.ajobthing.my/customer/183758")</f>
        <v>https://upbox.ajobthing.my/customer/183758</v>
      </c>
      <c r="I2728" t="inlineStr">
        <is>
          <t>Jederns international sdn bhd</t>
        </is>
      </c>
      <c r="J2728" t="inlineStr">
        <is>
          <t>Small Fish</t>
        </is>
      </c>
      <c r="K2728" t="inlineStr">
        <is>
          <t>Angel Low</t>
        </is>
      </c>
      <c r="L2728" s="4"/>
      <c r="M2728" s="4">
        <v>46120.59658564815</v>
      </c>
      <c r="N2728"/>
      <c r="O2728">
        <v>5508</v>
      </c>
      <c r="P2728" s="4"/>
      <c r="Q2728" s="4">
        <v>46120.46059027778</v>
      </c>
      <c r="R2728"/>
      <c r="S2728">
        <v>0</v>
      </c>
      <c r="T2728" s="4"/>
      <c r="U2728" s="4"/>
      <c r="V2728"/>
      <c r="W2728"/>
      <c r="X2728"/>
      <c r="Y2728" t="inlineStr">
        <is>
          <t>Pending Appointment</t>
        </is>
      </c>
      <c r="Z2728"/>
      <c r="AA2728">
        <v>3</v>
      </c>
      <c r="AB2728" t="inlineStr">
        <is>
          <t>No Appointment Made</t>
        </is>
      </c>
      <c r="AC2728"/>
      <c r="AD2728" t="inlineStr">
        <is>
          <t xml:space="preserve">3 project executive </t>
        </is>
      </c>
      <c r="AE2728"/>
      <c r="AF2728"/>
      <c r="AG2728" s="4"/>
      <c r="AH2728" s="4"/>
      <c r="AI2728"/>
      <c r="AJ2728"/>
      <c r="AK2728"/>
      <c r="AL2728"/>
      <c r="AM2728"/>
      <c r="AN2728"/>
      <c r="AO2728"/>
      <c r="AP2728"/>
      <c r="AQ2728"/>
      <c r="AR2728"/>
      <c r="AS2728" t="inlineStr">
        <is>
          <t>- Headcount: 3
- Hiring Job Details: 3 project executive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728">
        <v>60</v>
      </c>
      <c r="AU2728" t="inlineStr">
        <is>
          <t>0.60</t>
        </is>
      </c>
      <c r="AV2728" t="inlineStr">
        <is>
          <t>5</t>
        </is>
      </c>
      <c r="AW2728" t="inlineStr">
        <is>
          <t>0</t>
        </is>
      </c>
      <c r="AX2728" t="inlineStr">
        <is>
          <t>Not Qualified</t>
        </is>
      </c>
      <c r="AY2728" s="4"/>
      <c r="AZ2728"/>
      <c r="BA2728"/>
      <c r="BB2728"/>
      <c r="BC2728" t="inlineStr">
        <is>
          <t>pending - budget</t>
        </is>
      </c>
      <c r="BD2728" s="4">
        <v>46121.696435185186</v>
      </c>
      <c r="BE2728" t="inlineStr">
        <is>
          <t>paid</t>
        </is>
      </c>
      <c r="BF2728"/>
      <c r="BG2728" t="inlineStr">
        <is>
          <t>Reschedule</t>
        </is>
      </c>
      <c r="BH2728" t="inlineStr">
        <is>
          <t>Fauziah Maharan</t>
        </is>
      </c>
      <c r="BI2728"/>
      <c r="BJ2728" s="4">
        <v>46144.751967592594</v>
      </c>
      <c r="BK2728" s="4">
        <v>45579.42842592593</v>
      </c>
      <c r="BL2728" t="inlineStr">
        <is>
          <t>0.0</t>
        </is>
      </c>
      <c r="BM2728" t="inlineStr">
        <is>
          <t>0.0</t>
        </is>
      </c>
      <c r="BN2728"/>
      <c r="BO2728" s="4"/>
      <c r="BP2728">
        <v>165910</v>
      </c>
      <c r="BQ2728">
        <v>120818</v>
      </c>
      <c r="BR2728" t="inlineStr">
        <is>
          <t>Proforma</t>
        </is>
      </c>
      <c r="BS2728" t="inlineStr">
        <is>
          <t>Free Internship Job</t>
        </is>
      </c>
      <c r="BT2728"/>
      <c r="BU2728"/>
      <c r="BV2728">
        <v>2696690</v>
      </c>
      <c r="BW2728" t="inlineStr">
        <is>
          <t>Follow Up : Decision Pending</t>
        </is>
      </c>
      <c r="BX2728"/>
      <c r="BY2728"/>
      <c r="BZ2728" s="4"/>
      <c r="CA2728"/>
      <c r="CB2728"/>
      <c r="CC2728" s="4"/>
      <c r="CD2728" t="inlineStr">
        <is>
          <t>5</t>
        </is>
      </c>
      <c r="CE2728" t="inlineStr">
        <is>
          <t>0</t>
        </is>
      </c>
      <c r="CF2728" t="inlineStr">
        <is>
          <t>Q2-W01</t>
        </is>
      </c>
      <c r="CG2728" t="inlineStr">
        <is>
          <t>Q2-W01</t>
        </is>
      </c>
      <c r="CH2728"/>
      <c r="CI2728"/>
      <c r="CJ2728" t="inlineStr">
        <is>
          <t>No Paid</t>
        </is>
      </c>
      <c r="CK2728" t="inlineStr">
        <is>
          <t>Not Eligible</t>
        </is>
      </c>
      <c r="CL2728"/>
      <c r="CM2728"/>
    </row>
    <row r="2729" ht="25.5" customHeight="1">
      <c r="A2729" t="inlineStr">
        <is>
          <t>162648</t>
        </is>
      </c>
      <c r="B2729" s="2"/>
      <c r="C2729"/>
      <c r="D2729" s="3">
        <v>46120.60372685185</v>
      </c>
      <c r="E2729" t="inlineStr">
        <is>
          <t>Q2-W01</t>
        </is>
      </c>
      <c r="F2729" t="inlineStr">
        <is>
          <t>Clover</t>
        </is>
      </c>
      <c r="G2729" t="inlineStr">
        <is>
          <t>Customer</t>
        </is>
      </c>
      <c r="H2729" s="2" t="str">
        <f>=HYPERLINK("https://upbox.ajobthing.my/customer/162648", "https://upbox.ajobthing.my/customer/162648")</f>
        <v>https://upbox.ajobthing.my/customer/162648</v>
      </c>
      <c r="I2729" t="inlineStr">
        <is>
          <t>Leeca Sdn Bhd</t>
        </is>
      </c>
      <c r="J2729" t="inlineStr">
        <is>
          <t>Small Fish</t>
        </is>
      </c>
      <c r="K2729" t="inlineStr">
        <is>
          <t>Clover</t>
        </is>
      </c>
      <c r="L2729" s="4"/>
      <c r="M2729" s="4">
        <v>46120.604166666664</v>
      </c>
      <c r="N2729"/>
      <c r="O2729">
        <v>6048</v>
      </c>
      <c r="P2729" s="4"/>
      <c r="Q2729" s="4">
        <v>46120.45961805555</v>
      </c>
      <c r="R2729"/>
      <c r="S2729">
        <v>0</v>
      </c>
      <c r="T2729" s="4">
        <v>44901.70777777778</v>
      </c>
      <c r="U2729" s="4"/>
      <c r="V2729"/>
      <c r="W2729">
        <v>636</v>
      </c>
      <c r="X2729"/>
      <c r="Y2729" t="inlineStr">
        <is>
          <t>Pending Appointment</t>
        </is>
      </c>
      <c r="Z2729" t="inlineStr">
        <is>
          <t>Hiring Later</t>
        </is>
      </c>
      <c r="AA2729">
        <v>2</v>
      </c>
      <c r="AB2729" t="inlineStr">
        <is>
          <t>No Appointment Made</t>
        </is>
      </c>
      <c r="AC2729"/>
      <c r="AD2729" t="inlineStr">
        <is>
          <t>Survey first, business not good budget concern, only 1 HR need handle, future might hire account x1, adminx1, Shah Alam, Selangor, suggest stand/pro</t>
        </is>
      </c>
      <c r="AE2729"/>
      <c r="AF2729">
        <v>5000</v>
      </c>
      <c r="AG2729" s="4"/>
      <c r="AH2729" s="4"/>
      <c r="AI2729"/>
      <c r="AJ2729"/>
      <c r="AK2729" t="inlineStr">
        <is>
          <t>No, but I want in future</t>
        </is>
      </c>
      <c r="AL2729"/>
      <c r="AM2729"/>
      <c r="AN2729"/>
      <c r="AO2729"/>
      <c r="AP2729" t="inlineStr">
        <is>
          <t>Once per quarter (75%)</t>
        </is>
      </c>
      <c r="AQ2729"/>
      <c r="AR2729"/>
      <c r="AS2729" t="inlineStr">
        <is>
          <t>- Headcount: 2
- Hiring Job Details: Survey first, business not good budget concern, only 1 HR need handle, future might hire account x1, adminx1, Shah Alam, Selangor, suggest stand/pro
- Hiring Urgency: Hiring Later
- Number of outlets: N/A
- Have recruiter team: No, but want in future
- Number of recruiter in company: N/A
- Have ATS system: N/A
- Have career website: N/A
- Current hiring budget: RM5,000.00
- Whole year budget: N/A
- Whole year number of vacancies: N/A
- Hiring frequency: Once per quarter (75%)
- External job portal: N/A</t>
        </is>
      </c>
      <c r="AT2729">
        <v>50</v>
      </c>
      <c r="AU2729" t="inlineStr">
        <is>
          <t>0.50</t>
        </is>
      </c>
      <c r="AV2729" t="inlineStr">
        <is>
          <t>15</t>
        </is>
      </c>
      <c r="AW2729" t="inlineStr">
        <is>
          <t>0</t>
        </is>
      </c>
      <c r="AX2729" t="inlineStr">
        <is>
          <t>Not Qualified</t>
        </is>
      </c>
      <c r="AY2729" s="4"/>
      <c r="AZ2729"/>
      <c r="BA2729"/>
      <c r="BB2729"/>
      <c r="BC2729" t="inlineStr">
        <is>
          <t>Call npu, wa fu</t>
        </is>
      </c>
      <c r="BD2729" s="4">
        <v>46135.7296875</v>
      </c>
      <c r="BE2729" t="inlineStr">
        <is>
          <t>paid</t>
        </is>
      </c>
      <c r="BF2729"/>
      <c r="BG2729" t="inlineStr">
        <is>
          <t>Reschedule</t>
        </is>
      </c>
      <c r="BH2729" t="inlineStr">
        <is>
          <t>Reagen</t>
        </is>
      </c>
      <c r="BI2729" t="inlineStr">
        <is>
          <t>Construction / Building</t>
        </is>
      </c>
      <c r="BJ2729" s="4">
        <v>46144.751180555555</v>
      </c>
      <c r="BK2729" s="4">
        <v>44900.66006944444</v>
      </c>
      <c r="BL2729" t="inlineStr">
        <is>
          <t>0.0</t>
        </is>
      </c>
      <c r="BM2729" t="inlineStr">
        <is>
          <t>0.0</t>
        </is>
      </c>
      <c r="BN2729" t="inlineStr">
        <is>
          <t>View Applicant Page</t>
        </is>
      </c>
      <c r="BO2729" s="4">
        <v>44926.538148148145</v>
      </c>
      <c r="BP2729">
        <v>165919</v>
      </c>
      <c r="BQ2729">
        <v>120801</v>
      </c>
      <c r="BR2729" t="inlineStr">
        <is>
          <t>Proforma</t>
        </is>
      </c>
      <c r="BS2729" t="inlineStr">
        <is>
          <t>Free Internship Job</t>
        </is>
      </c>
      <c r="BT2729">
        <v>53301</v>
      </c>
      <c r="BU2729"/>
      <c r="BV2729">
        <v>2725064</v>
      </c>
      <c r="BW2729" t="inlineStr">
        <is>
          <t>No Answer : Voicemail - WA sent to customer</t>
        </is>
      </c>
      <c r="BX2729"/>
      <c r="BY2729"/>
      <c r="BZ2729" s="4"/>
      <c r="CA2729"/>
      <c r="CB2729"/>
      <c r="CC2729" s="4"/>
      <c r="CD2729" t="inlineStr">
        <is>
          <t>20</t>
        </is>
      </c>
      <c r="CE2729" t="inlineStr">
        <is>
          <t>0</t>
        </is>
      </c>
      <c r="CF2729" t="inlineStr">
        <is>
          <t>Q2-W01</t>
        </is>
      </c>
      <c r="CG2729" t="inlineStr">
        <is>
          <t>Q2-W01</t>
        </is>
      </c>
      <c r="CH2729"/>
      <c r="CI2729"/>
      <c r="CJ2729" t="inlineStr">
        <is>
          <t>Paid</t>
        </is>
      </c>
      <c r="CK2729" t="inlineStr">
        <is>
          <t>Not Eligible</t>
        </is>
      </c>
      <c r="CL2729"/>
      <c r="CM2729"/>
    </row>
    <row r="2730" ht="25.5" customHeight="1">
      <c r="A2730" t="inlineStr">
        <is>
          <t>162648</t>
        </is>
      </c>
      <c r="B2730" s="2"/>
      <c r="C2730"/>
      <c r="D2730" s="3">
        <v>46120.60865740741</v>
      </c>
      <c r="E2730" t="inlineStr">
        <is>
          <t>Q2-W01</t>
        </is>
      </c>
      <c r="F2730" t="inlineStr">
        <is>
          <t>Clover</t>
        </is>
      </c>
      <c r="G2730" t="inlineStr">
        <is>
          <t>Customer</t>
        </is>
      </c>
      <c r="H2730" s="2" t="str">
        <f>=HYPERLINK("https://upbox.ajobthing.my/customer/162648", "https://upbox.ajobthing.my/customer/162648")</f>
        <v>https://upbox.ajobthing.my/customer/162648</v>
      </c>
      <c r="I2730" t="inlineStr">
        <is>
          <t>Leeca Sdn Bhd</t>
        </is>
      </c>
      <c r="J2730" t="inlineStr">
        <is>
          <t>Small Fish</t>
        </is>
      </c>
      <c r="K2730" t="inlineStr">
        <is>
          <t>Clover</t>
        </is>
      </c>
      <c r="L2730" s="4"/>
      <c r="M2730" s="4">
        <v>46120.604166666664</v>
      </c>
      <c r="N2730"/>
      <c r="O2730">
        <v>6048</v>
      </c>
      <c r="P2730" s="4"/>
      <c r="Q2730" s="4">
        <v>46120.45961805555</v>
      </c>
      <c r="R2730"/>
      <c r="S2730">
        <v>0</v>
      </c>
      <c r="T2730" s="4">
        <v>44901.70777777778</v>
      </c>
      <c r="U2730" s="4"/>
      <c r="V2730"/>
      <c r="W2730">
        <v>636</v>
      </c>
      <c r="X2730"/>
      <c r="Y2730" t="inlineStr">
        <is>
          <t>Pending Appointment</t>
        </is>
      </c>
      <c r="Z2730" t="inlineStr">
        <is>
          <t>Hiring Later</t>
        </is>
      </c>
      <c r="AA2730">
        <v>2</v>
      </c>
      <c r="AB2730" t="inlineStr">
        <is>
          <t>No Appointment Made</t>
        </is>
      </c>
      <c r="AC2730"/>
      <c r="AD2730" t="inlineStr">
        <is>
          <t>Survey first, business not good budget concern, only 1 HR need handle, future might hire account x1, adminx1, Shah Alam, Selangor, suggest stand/pro
</t>
        </is>
      </c>
      <c r="AE2730"/>
      <c r="AF2730">
        <v>5000</v>
      </c>
      <c r="AG2730" s="4"/>
      <c r="AH2730" s="4"/>
      <c r="AI2730"/>
      <c r="AJ2730"/>
      <c r="AK2730" t="inlineStr">
        <is>
          <t>No, but I want in future</t>
        </is>
      </c>
      <c r="AL2730"/>
      <c r="AM2730"/>
      <c r="AN2730"/>
      <c r="AO2730"/>
      <c r="AP2730" t="inlineStr">
        <is>
          <t>Twice a year (50%)</t>
        </is>
      </c>
      <c r="AQ2730"/>
      <c r="AR2730"/>
      <c r="AS2730" t="inlineStr">
        <is>
          <t>- Headcount: 2
- Hiring Job Details: Survey first, business not good budget concern, only 1 HR need handle, future might hire account x1, adminx1, Shah Alam, Selangor, suggest stand/pro
- Hiring Urgency: Hiring Later
- Number of outlets: N/A
- Have recruiter team: No, but want in future
- Number of recruiter in company: N/A
- Have ATS system: N/A
- Have career website: N/A
- Current hiring budget: RM5,000.00
- Whole year budget: N/A
- Whole year number of vacancies: N/A
- Hiring frequency: Twice a year (50%)
- External job portal: N/A</t>
        </is>
      </c>
      <c r="AT2730">
        <v>55</v>
      </c>
      <c r="AU2730" t="inlineStr">
        <is>
          <t>0.55</t>
        </is>
      </c>
      <c r="AV2730" t="inlineStr">
        <is>
          <t>15</t>
        </is>
      </c>
      <c r="AW2730" t="inlineStr">
        <is>
          <t>0</t>
        </is>
      </c>
      <c r="AX2730" t="inlineStr">
        <is>
          <t>Not Qualified</t>
        </is>
      </c>
      <c r="AY2730" s="4"/>
      <c r="AZ2730"/>
      <c r="BA2730"/>
      <c r="BB2730"/>
      <c r="BC2730" t="inlineStr">
        <is>
          <t>Call npu, wa fu</t>
        </is>
      </c>
      <c r="BD2730" s="4">
        <v>46135.7296875</v>
      </c>
      <c r="BE2730" t="inlineStr">
        <is>
          <t>paid</t>
        </is>
      </c>
      <c r="BF2730"/>
      <c r="BG2730" t="inlineStr">
        <is>
          <t>Reschedule</t>
        </is>
      </c>
      <c r="BH2730" t="inlineStr">
        <is>
          <t>Reagen</t>
        </is>
      </c>
      <c r="BI2730" t="inlineStr">
        <is>
          <t>Construction / Building</t>
        </is>
      </c>
      <c r="BJ2730" s="4">
        <v>46144.751180555555</v>
      </c>
      <c r="BK2730" s="4">
        <v>44900.66006944444</v>
      </c>
      <c r="BL2730" t="inlineStr">
        <is>
          <t>0.0</t>
        </is>
      </c>
      <c r="BM2730" t="inlineStr">
        <is>
          <t>0.0</t>
        </is>
      </c>
      <c r="BN2730" t="inlineStr">
        <is>
          <t>View Applicant Page</t>
        </is>
      </c>
      <c r="BO2730" s="4">
        <v>44926.538148148145</v>
      </c>
      <c r="BP2730">
        <v>165919</v>
      </c>
      <c r="BQ2730">
        <v>120801</v>
      </c>
      <c r="BR2730" t="inlineStr">
        <is>
          <t>Proforma</t>
        </is>
      </c>
      <c r="BS2730" t="inlineStr">
        <is>
          <t>Free Internship Job</t>
        </is>
      </c>
      <c r="BT2730">
        <v>53301</v>
      </c>
      <c r="BU2730"/>
      <c r="BV2730">
        <v>2725064</v>
      </c>
      <c r="BW2730" t="inlineStr">
        <is>
          <t>No Answer : Voicemail - WA sent to customer</t>
        </is>
      </c>
      <c r="BX2730"/>
      <c r="BY2730"/>
      <c r="BZ2730" s="4"/>
      <c r="CA2730"/>
      <c r="CB2730"/>
      <c r="CC2730" s="4"/>
      <c r="CD2730" t="inlineStr">
        <is>
          <t>20</t>
        </is>
      </c>
      <c r="CE2730" t="inlineStr">
        <is>
          <t>0</t>
        </is>
      </c>
      <c r="CF2730" t="inlineStr">
        <is>
          <t>Q2-W01</t>
        </is>
      </c>
      <c r="CG2730" t="inlineStr">
        <is>
          <t>Q2-W01</t>
        </is>
      </c>
      <c r="CH2730"/>
      <c r="CI2730"/>
      <c r="CJ2730" t="inlineStr">
        <is>
          <t>Paid</t>
        </is>
      </c>
      <c r="CK2730" t="inlineStr">
        <is>
          <t>Not Eligible</t>
        </is>
      </c>
      <c r="CL2730"/>
      <c r="CM2730"/>
    </row>
    <row r="2731" ht="25.5" customHeight="1">
      <c r="A2731" t="inlineStr">
        <is>
          <t>192090</t>
        </is>
      </c>
      <c r="B2731" s="2"/>
      <c r="C2731"/>
      <c r="D2731" s="3">
        <v>46120.61436342593</v>
      </c>
      <c r="E2731" t="inlineStr">
        <is>
          <t>Q2-W01</t>
        </is>
      </c>
      <c r="F2731" t="inlineStr">
        <is>
          <t>Xin Quan</t>
        </is>
      </c>
      <c r="G2731" t="inlineStr">
        <is>
          <t>Customer</t>
        </is>
      </c>
      <c r="H2731" s="2" t="str">
        <f>=HYPERLINK("https://upbox.ajobthing.my/customer/192090", "https://upbox.ajobthing.my/customer/192090")</f>
        <v>https://upbox.ajobthing.my/customer/192090</v>
      </c>
      <c r="I2731" t="inlineStr">
        <is>
          <t>Pro S Consult Plt</t>
        </is>
      </c>
      <c r="J2731" t="inlineStr">
        <is>
          <t>Small Fish</t>
        </is>
      </c>
      <c r="K2731" t="inlineStr">
        <is>
          <t>Xin Quan</t>
        </is>
      </c>
      <c r="L2731" s="4"/>
      <c r="M2731" s="4">
        <v>46120.61451388889</v>
      </c>
      <c r="N2731"/>
      <c r="O2731">
        <v>1296</v>
      </c>
      <c r="P2731" s="4"/>
      <c r="Q2731" s="4"/>
      <c r="R2731"/>
      <c r="S2731"/>
      <c r="T2731" s="4"/>
      <c r="U2731" s="4"/>
      <c r="V2731"/>
      <c r="W2731"/>
      <c r="X2731"/>
      <c r="Y2731" t="inlineStr">
        <is>
          <t>Pending Appointment</t>
        </is>
      </c>
      <c r="Z2731" t="inlineStr">
        <is>
          <t>Hiring Now</t>
        </is>
      </c>
      <c r="AA2731">
        <v>1</v>
      </c>
      <c r="AB2731" t="inlineStr">
        <is>
          <t>No Appointment Made</t>
        </is>
      </c>
      <c r="AC2731"/>
      <c r="AD2731" t="inlineStr">
        <is>
          <t xml:space="preserve">1 Engineer , Base in PAHANG </t>
        </is>
      </c>
      <c r="AE2731"/>
      <c r="AF2731">
        <v>4000</v>
      </c>
      <c r="AG2731" s="4"/>
      <c r="AH2731" s="4"/>
      <c r="AI2731">
        <v>48000</v>
      </c>
      <c r="AJ2731">
        <v>1</v>
      </c>
      <c r="AK2731"/>
      <c r="AL2731"/>
      <c r="AM2731"/>
      <c r="AN2731"/>
      <c r="AO2731"/>
      <c r="AP2731"/>
      <c r="AQ2731">
        <v>2</v>
      </c>
      <c r="AR2731"/>
      <c r="AS2731" t="inlineStr">
        <is>
          <t>- Headcount: 1
- Hiring Job Details: 1 Engineer, Base in PAHANG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2731">
        <v>95</v>
      </c>
      <c r="AU2731" t="inlineStr">
        <is>
          <t>0.95</t>
        </is>
      </c>
      <c r="AV2731" t="inlineStr">
        <is>
          <t>15</t>
        </is>
      </c>
      <c r="AW2731" t="inlineStr">
        <is>
          <t>0</t>
        </is>
      </c>
      <c r="AX2731" t="inlineStr">
        <is>
          <t>Not Qualified</t>
        </is>
      </c>
      <c r="AY2731" s="4"/>
      <c r="AZ2731"/>
      <c r="BA2731"/>
      <c r="BB2731"/>
      <c r="BC2731" t="inlineStr">
        <is>
          <t>NH</t>
        </is>
      </c>
      <c r="BD2731" s="4">
        <v>46125.44409722222</v>
      </c>
      <c r="BE2731"/>
      <c r="BF2731"/>
      <c r="BG2731" t="inlineStr">
        <is>
          <t>Reschedule</t>
        </is>
      </c>
      <c r="BH2731" t="inlineStr">
        <is>
          <t>Edward Hoo</t>
        </is>
      </c>
      <c r="BI2731"/>
      <c r="BJ2731" s="4">
        <v>46144.752546296295</v>
      </c>
      <c r="BK2731" s="4">
        <v>45811.39292824074</v>
      </c>
      <c r="BL2731" t="inlineStr">
        <is>
          <t>0.0</t>
        </is>
      </c>
      <c r="BM2731" t="inlineStr">
        <is>
          <t>600.0</t>
        </is>
      </c>
      <c r="BN2731" t="inlineStr">
        <is>
          <t>View Candidate Search Page</t>
        </is>
      </c>
      <c r="BO2731" s="4">
        <v>46120.60612268518</v>
      </c>
      <c r="BP2731">
        <v>165928</v>
      </c>
      <c r="BQ2731"/>
      <c r="BR2731"/>
      <c r="BS2731"/>
      <c r="BT2731"/>
      <c r="BU2731"/>
      <c r="BV2731">
        <v>2700152</v>
      </c>
      <c r="BW2731" t="inlineStr">
        <is>
          <t>Inquire for Hiring Needs : No Hiring</t>
        </is>
      </c>
      <c r="BX2731"/>
      <c r="BY2731"/>
      <c r="BZ2731" s="4"/>
      <c r="CA2731"/>
      <c r="CB2731"/>
      <c r="CC2731" s="4"/>
      <c r="CD2731" t="inlineStr">
        <is>
          <t>20</t>
        </is>
      </c>
      <c r="CE2731" t="inlineStr">
        <is>
          <t>0</t>
        </is>
      </c>
      <c r="CF2731" t="inlineStr">
        <is>
          <t>Q2-W01</t>
        </is>
      </c>
      <c r="CG2731"/>
      <c r="CH2731"/>
      <c r="CI2731"/>
      <c r="CJ2731" t="inlineStr">
        <is>
          <t>No Paid</t>
        </is>
      </c>
      <c r="CK2731" t="inlineStr">
        <is>
          <t>Not Eligible</t>
        </is>
      </c>
      <c r="CL2731"/>
      <c r="CM2731"/>
    </row>
    <row r="2732" ht="25.5" customHeight="1">
      <c r="A2732" t="inlineStr">
        <is>
          <t>4219109</t>
        </is>
      </c>
      <c r="B2732" s="2"/>
      <c r="C2732"/>
      <c r="D2732" s="3">
        <v>46120.61759259259</v>
      </c>
      <c r="E2732" t="inlineStr">
        <is>
          <t>Q2-W01</t>
        </is>
      </c>
      <c r="F2732" t="inlineStr">
        <is>
          <t>Josh</t>
        </is>
      </c>
      <c r="G2732" t="inlineStr">
        <is>
          <t>Lead</t>
        </is>
      </c>
      <c r="H2732" s="2" t="str">
        <f>=HYPERLINK("https://upbox.ajobthing.my/leads/4219109", "https://upbox.ajobthing.my/leads/4219109")</f>
        <v>https://upbox.ajobthing.my/leads/4219109</v>
      </c>
      <c r="I2732" t="inlineStr">
        <is>
          <t>WK MAJU AUTO</t>
        </is>
      </c>
      <c r="J2732" t="inlineStr">
        <is>
          <t>Small Fish</t>
        </is>
      </c>
      <c r="K2732" t="inlineStr">
        <is>
          <t>Josh</t>
        </is>
      </c>
      <c r="L2732" s="4"/>
      <c r="M2732" s="4">
        <v>46120.618425925924</v>
      </c>
      <c r="N2732"/>
      <c r="O2732">
        <v>3888</v>
      </c>
      <c r="P2732" s="4"/>
      <c r="Q2732" s="4"/>
      <c r="R2732"/>
      <c r="S2732"/>
      <c r="T2732" s="4"/>
      <c r="U2732" s="4"/>
      <c r="V2732"/>
      <c r="W2732"/>
      <c r="X2732"/>
      <c r="Y2732" t="inlineStr">
        <is>
          <t>Pending Appointment</t>
        </is>
      </c>
      <c r="Z2732" t="inlineStr">
        <is>
          <t>Hiring Now</t>
        </is>
      </c>
      <c r="AA2732">
        <v>2</v>
      </c>
      <c r="AB2732" t="inlineStr">
        <is>
          <t>No Appointment Made</t>
        </is>
      </c>
      <c r="AC2732"/>
      <c r="AD2732" t="inlineStr">
        <is>
          <t xml:space="preserve">2 sales </t>
        </is>
      </c>
      <c r="AE2732"/>
      <c r="AF2732">
        <v>3000</v>
      </c>
      <c r="AG2732" s="4"/>
      <c r="AH2732" s="4"/>
      <c r="AI2732"/>
      <c r="AJ2732"/>
      <c r="AK2732" t="inlineStr">
        <is>
          <t>Yes, I have</t>
        </is>
      </c>
      <c r="AL2732"/>
      <c r="AM2732"/>
      <c r="AN2732"/>
      <c r="AO2732"/>
      <c r="AP2732" t="inlineStr">
        <is>
          <t>Once a year (25%)</t>
        </is>
      </c>
      <c r="AQ2732"/>
      <c r="AR2732"/>
      <c r="AS2732" t="inlineStr">
        <is>
          <t>- Headcount: 2
- Hiring Job Details: 2 sales
- Number of outlets: N/A
- Have recruiter team: Yes
- Number of recruiter in company: N/A
- Have ATS system: N/A
- Have career website: N/A
- Current hiring budget: RM3,000.00
- Whole year budget: N/A
- Whole year number of vacancies: N/A
- Hiring frequency: Once a year (25%)
- External job portal: N/A
- Hiring Urgency: Hiring Now</t>
        </is>
      </c>
      <c r="AT2732">
        <v>95</v>
      </c>
      <c r="AU2732" t="inlineStr">
        <is>
          <t>0.95</t>
        </is>
      </c>
      <c r="AV2732" t="inlineStr">
        <is>
          <t>15</t>
        </is>
      </c>
      <c r="AW2732" t="inlineStr">
        <is>
          <t>0</t>
        </is>
      </c>
      <c r="AX2732" t="inlineStr">
        <is>
          <t>Not Qualified</t>
        </is>
      </c>
      <c r="AY2732" s="4"/>
      <c r="AZ2732"/>
      <c r="BA2732"/>
      <c r="BB2732"/>
      <c r="BC2732"/>
      <c r="BD2732" s="4"/>
      <c r="BE2732"/>
      <c r="BF2732"/>
      <c r="BG2732" t="inlineStr">
        <is>
          <t>Reschedule</t>
        </is>
      </c>
      <c r="BH2732" t="inlineStr">
        <is>
          <t>Fauziah Maharan</t>
        </is>
      </c>
      <c r="BI2732"/>
      <c r="BJ2732" s="4">
        <v>46144.7556712963</v>
      </c>
      <c r="BK2732" s="4">
        <v>46111.64953703704</v>
      </c>
      <c r="BL2732" t="inlineStr">
        <is>
          <t>0.0</t>
        </is>
      </c>
      <c r="BM2732" t="inlineStr">
        <is>
          <t>0.0</t>
        </is>
      </c>
      <c r="BN2732"/>
      <c r="BO2732" s="4"/>
      <c r="BP2732">
        <v>165934</v>
      </c>
      <c r="BQ2732"/>
      <c r="BR2732"/>
      <c r="BS2732"/>
      <c r="BT2732"/>
      <c r="BU2732"/>
      <c r="BV2732"/>
      <c r="BW2732"/>
      <c r="BX2732"/>
      <c r="BY2732"/>
      <c r="BZ2732" s="4"/>
      <c r="CA2732"/>
      <c r="CB2732"/>
      <c r="CC2732" s="4"/>
      <c r="CD2732" t="inlineStr">
        <is>
          <t>20</t>
        </is>
      </c>
      <c r="CE2732" t="inlineStr">
        <is>
          <t>0</t>
        </is>
      </c>
      <c r="CF2732" t="inlineStr">
        <is>
          <t>Q2-W01</t>
        </is>
      </c>
      <c r="CG2732"/>
      <c r="CH2732"/>
      <c r="CI2732"/>
      <c r="CJ2732" t="inlineStr">
        <is>
          <t>No Paid</t>
        </is>
      </c>
      <c r="CK2732" t="inlineStr">
        <is>
          <t>Not Eligible</t>
        </is>
      </c>
      <c r="CL2732"/>
      <c r="CM2732"/>
    </row>
    <row r="2733" ht="25.5" customHeight="1">
      <c r="A2733" t="inlineStr">
        <is>
          <t>4259785</t>
        </is>
      </c>
      <c r="B2733" s="2"/>
      <c r="C2733"/>
      <c r="D2733" s="3">
        <v>46120.61798611111</v>
      </c>
      <c r="E2733" t="inlineStr">
        <is>
          <t>Q2-W01</t>
        </is>
      </c>
      <c r="F2733" t="inlineStr">
        <is>
          <t>Ken Yi</t>
        </is>
      </c>
      <c r="G2733" t="inlineStr">
        <is>
          <t>Lead</t>
        </is>
      </c>
      <c r="H2733" s="2" t="str">
        <f>=HYPERLINK("https://upbox.ajobthing.my/leads/4259785", "https://upbox.ajobthing.my/leads/4259785")</f>
        <v>https://upbox.ajobthing.my/leads/4259785</v>
      </c>
      <c r="I2733" t="inlineStr">
        <is>
          <t>Bittele Electronics Sdn Bhd</t>
        </is>
      </c>
      <c r="J2733" t="inlineStr">
        <is>
          <t>Small Fish</t>
        </is>
      </c>
      <c r="K2733" t="inlineStr">
        <is>
          <t>Kenyi</t>
        </is>
      </c>
      <c r="L2733" s="4"/>
      <c r="M2733" s="4">
        <v>46120.66179398148</v>
      </c>
      <c r="N2733"/>
      <c r="O2733">
        <v>8208</v>
      </c>
      <c r="P2733" s="4"/>
      <c r="Q2733" s="4"/>
      <c r="R2733"/>
      <c r="S2733"/>
      <c r="T2733" s="4"/>
      <c r="U2733" s="4"/>
      <c r="V2733"/>
      <c r="W2733"/>
      <c r="X2733"/>
      <c r="Y2733" t="inlineStr">
        <is>
          <t>Pending Appointment</t>
        </is>
      </c>
      <c r="Z2733" t="inlineStr">
        <is>
          <t>Hiring Now</t>
        </is>
      </c>
      <c r="AA2733">
        <v>2</v>
      </c>
      <c r="AB2733" t="inlineStr">
        <is>
          <t>No Appointment Made</t>
        </is>
      </c>
      <c r="AC2733"/>
      <c r="AD2733" t="inlineStr">
        <is>
          <t>General Manager 1, Sales Executive 1</t>
        </is>
      </c>
      <c r="AE2733"/>
      <c r="AF2733">
        <v>0</v>
      </c>
      <c r="AG2733" s="4"/>
      <c r="AH2733" s="4"/>
      <c r="AI2733">
        <v>1</v>
      </c>
      <c r="AJ2733">
        <v>1</v>
      </c>
      <c r="AK2733" t="inlineStr">
        <is>
          <t>Yes, I have</t>
        </is>
      </c>
      <c r="AL2733">
        <v>1</v>
      </c>
      <c r="AM2733" t="inlineStr">
        <is>
          <t>No, I don't need at all</t>
        </is>
      </c>
      <c r="AN2733"/>
      <c r="AO2733" t="inlineStr">
        <is>
          <t>No, I don't need at all</t>
        </is>
      </c>
      <c r="AP2733" t="inlineStr">
        <is>
          <t>Every month (100%)</t>
        </is>
      </c>
      <c r="AQ2733">
        <v>1</v>
      </c>
      <c r="AR2733" t="inlineStr">
        <is>
          <t>Jobstreet, Hiredly, Jobstore, Free Job Portal</t>
        </is>
      </c>
      <c r="AS2733" t="inlineStr">
        <is>
          <t>- Headcount: 2
- Hiring Job Details: 1 General Manager, 1 Sales Executive
- Hiring Urgency: Hiring Now
- Number of outlets: 1
- Have recruiter team: Yes
- Number of recruiter in company: 1
- Have ATS system: No, I don't need at all
- Have career website: No, I don't need at all
- Current hiring budget: RM0.00
- Whole year budget: RM1.00
- Whole year number of vacancies: 1
- Hiring frequency: Every month (100%)
- External job portal: Jobstreet, Hiredly, Jobstore, Free Job Portal</t>
        </is>
      </c>
      <c r="AT2733">
        <v>115</v>
      </c>
      <c r="AU2733" t="inlineStr">
        <is>
          <t>1.15</t>
        </is>
      </c>
      <c r="AV2733" t="inlineStr">
        <is>
          <t>15</t>
        </is>
      </c>
      <c r="AW2733" t="inlineStr">
        <is>
          <t>0</t>
        </is>
      </c>
      <c r="AX2733" t="inlineStr">
        <is>
          <t>Not Qualified</t>
        </is>
      </c>
      <c r="AY2733" s="4"/>
      <c r="AZ2733"/>
      <c r="BA2733"/>
      <c r="BB2733"/>
      <c r="BC2733"/>
      <c r="BD2733" s="4"/>
      <c r="BE2733"/>
      <c r="BF2733"/>
      <c r="BG2733" t="inlineStr">
        <is>
          <t>Reschedule</t>
        </is>
      </c>
      <c r="BH2733" t="inlineStr">
        <is>
          <t>Fauziah Maharan</t>
        </is>
      </c>
      <c r="BI2733"/>
      <c r="BJ2733" s="4">
        <v>46144.75576388889</v>
      </c>
      <c r="BK2733" s="4">
        <v>46120.466469907406</v>
      </c>
      <c r="BL2733" t="inlineStr">
        <is>
          <t>0.0</t>
        </is>
      </c>
      <c r="BM2733" t="inlineStr">
        <is>
          <t>600.0</t>
        </is>
      </c>
      <c r="BN2733"/>
      <c r="BO2733" s="4"/>
      <c r="BP2733">
        <v>165971</v>
      </c>
      <c r="BQ2733"/>
      <c r="BR2733"/>
      <c r="BS2733"/>
      <c r="BT2733"/>
      <c r="BU2733"/>
      <c r="BV2733"/>
      <c r="BW2733"/>
      <c r="BX2733"/>
      <c r="BY2733"/>
      <c r="BZ2733" s="4"/>
      <c r="CA2733"/>
      <c r="CB2733"/>
      <c r="CC2733" s="4"/>
      <c r="CD2733" t="inlineStr">
        <is>
          <t>20</t>
        </is>
      </c>
      <c r="CE2733" t="inlineStr">
        <is>
          <t>0</t>
        </is>
      </c>
      <c r="CF2733" t="inlineStr">
        <is>
          <t>Q2-W01</t>
        </is>
      </c>
      <c r="CG2733"/>
      <c r="CH2733"/>
      <c r="CI2733"/>
      <c r="CJ2733" t="inlineStr">
        <is>
          <t>No Paid</t>
        </is>
      </c>
      <c r="CK2733" t="inlineStr">
        <is>
          <t>Not Eligible</t>
        </is>
      </c>
      <c r="CL2733"/>
      <c r="CM2733"/>
    </row>
    <row r="2734" ht="25.5" customHeight="1">
      <c r="A2734" t="inlineStr">
        <is>
          <t>130049</t>
        </is>
      </c>
      <c r="B2734" s="2"/>
      <c r="C2734"/>
      <c r="D2734" s="3">
        <v>46120.62005787037</v>
      </c>
      <c r="E2734" t="inlineStr">
        <is>
          <t>Q2-W01</t>
        </is>
      </c>
      <c r="F2734" t="inlineStr">
        <is>
          <t>Clover</t>
        </is>
      </c>
      <c r="G2734" t="inlineStr">
        <is>
          <t>Customer</t>
        </is>
      </c>
      <c r="H2734" s="2" t="str">
        <f>=HYPERLINK("https://upbox.ajobthing.my/customer/130049", "https://upbox.ajobthing.my/customer/130049")</f>
        <v>https://upbox.ajobthing.my/customer/130049</v>
      </c>
      <c r="I2734" t="inlineStr">
        <is>
          <t xml:space="preserve">Lean Hwa Poultry Processing Sdn Bhd </t>
        </is>
      </c>
      <c r="J2734" t="inlineStr">
        <is>
          <t>Small Fish</t>
        </is>
      </c>
      <c r="K2734" t="inlineStr">
        <is>
          <t>Clover</t>
        </is>
      </c>
      <c r="L2734" s="4"/>
      <c r="M2734" s="4">
        <v>46120.59384259259</v>
      </c>
      <c r="N2734"/>
      <c r="O2734">
        <v>6048</v>
      </c>
      <c r="P2734" s="4"/>
      <c r="Q2734" s="4">
        <v>46120.460069444445</v>
      </c>
      <c r="R2734"/>
      <c r="S2734">
        <v>0</v>
      </c>
      <c r="T2734" s="4"/>
      <c r="U2734" s="4"/>
      <c r="V2734"/>
      <c r="W2734"/>
      <c r="X2734"/>
      <c r="Y2734" t="inlineStr">
        <is>
          <t>Pending Appointment</t>
        </is>
      </c>
      <c r="Z2734" t="inlineStr">
        <is>
          <t>Hiring Later</t>
        </is>
      </c>
      <c r="AA2734">
        <v>3</v>
      </c>
      <c r="AB2734" t="inlineStr">
        <is>
          <t>No Appointment Made</t>
        </is>
      </c>
      <c r="AC2734"/>
      <c r="AD2734" t="inlineStr">
        <is>
          <t>So far no plan, maybe future hiring admin exec, account exec, BU, x1-2, duck process wholesale, penang, KL, allow to share promo, suggest pro</t>
        </is>
      </c>
      <c r="AE2734"/>
      <c r="AF2734">
        <v>5000</v>
      </c>
      <c r="AG2734" s="4"/>
      <c r="AH2734" s="4"/>
      <c r="AI2734">
        <v>5000</v>
      </c>
      <c r="AJ2734">
        <v>1</v>
      </c>
      <c r="AK2734" t="inlineStr">
        <is>
          <t>No, but I want in future</t>
        </is>
      </c>
      <c r="AL2734">
        <v>1</v>
      </c>
      <c r="AM2734" t="inlineStr">
        <is>
          <t>No, but I want in future</t>
        </is>
      </c>
      <c r="AN2734"/>
      <c r="AO2734" t="inlineStr">
        <is>
          <t>No, but I want in future</t>
        </is>
      </c>
      <c r="AP2734" t="inlineStr">
        <is>
          <t>Twice a year (50%)</t>
        </is>
      </c>
      <c r="AQ2734">
        <v>6</v>
      </c>
      <c r="AR2734" t="inlineStr">
        <is>
          <t>Did not use any job portal</t>
        </is>
      </c>
      <c r="AS2734" t="inlineStr">
        <is>
          <t>- Headcount: 3
- Hiring Job Details: No plan now, may hire 1-2 admin exec, account exec, BU later; related to duck process wholesale, Penang/KL; allow promo sharing,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6
- Hiring frequency: Twice a year (50%)
- External job portal: Did not use any</t>
        </is>
      </c>
      <c r="AT2734">
        <v>85</v>
      </c>
      <c r="AU2734" t="inlineStr">
        <is>
          <t>0.85</t>
        </is>
      </c>
      <c r="AV2734" t="inlineStr">
        <is>
          <t>15</t>
        </is>
      </c>
      <c r="AW2734" t="inlineStr">
        <is>
          <t>0</t>
        </is>
      </c>
      <c r="AX2734" t="inlineStr">
        <is>
          <t>Not Qualified</t>
        </is>
      </c>
      <c r="AY2734" s="4"/>
      <c r="AZ2734"/>
      <c r="BA2734"/>
      <c r="BB2734"/>
      <c r="BC2734" t="inlineStr">
        <is>
          <t>On hold first , if want will contact again</t>
        </is>
      </c>
      <c r="BD2734" s="4">
        <v>46135.72577546296</v>
      </c>
      <c r="BE2734" t="inlineStr">
        <is>
          <t>paid</t>
        </is>
      </c>
      <c r="BF2734"/>
      <c r="BG2734" t="inlineStr">
        <is>
          <t>Reschedule</t>
        </is>
      </c>
      <c r="BH2734" t="inlineStr">
        <is>
          <t>Reagen</t>
        </is>
      </c>
      <c r="BI2734"/>
      <c r="BJ2734" s="4">
        <v>46144.750451388885</v>
      </c>
      <c r="BK2734" s="4">
        <v>44092.61158564815</v>
      </c>
      <c r="BL2734" t="inlineStr">
        <is>
          <t>0.0</t>
        </is>
      </c>
      <c r="BM2734" t="inlineStr">
        <is>
          <t>0.0</t>
        </is>
      </c>
      <c r="BN2734" t="inlineStr">
        <is>
          <t>User Visit(Logged In)</t>
        </is>
      </c>
      <c r="BO2734" s="4">
        <v>45922.46802083333</v>
      </c>
      <c r="BP2734">
        <v>165908</v>
      </c>
      <c r="BQ2734">
        <v>120809</v>
      </c>
      <c r="BR2734" t="inlineStr">
        <is>
          <t>Proforma</t>
        </is>
      </c>
      <c r="BS2734" t="inlineStr">
        <is>
          <t>Free Internship Job</t>
        </is>
      </c>
      <c r="BT2734"/>
      <c r="BU2734"/>
      <c r="BV2734">
        <v>2725032</v>
      </c>
      <c r="BW2734" t="inlineStr">
        <is>
          <t>Follow Up : Lost - Free Portal</t>
        </is>
      </c>
      <c r="BX2734"/>
      <c r="BY2734"/>
      <c r="BZ2734" s="4"/>
      <c r="CA2734"/>
      <c r="CB2734"/>
      <c r="CC2734" s="4"/>
      <c r="CD2734" t="inlineStr">
        <is>
          <t>20</t>
        </is>
      </c>
      <c r="CE2734" t="inlineStr">
        <is>
          <t>0</t>
        </is>
      </c>
      <c r="CF2734" t="inlineStr">
        <is>
          <t>Q2-W01</t>
        </is>
      </c>
      <c r="CG2734" t="inlineStr">
        <is>
          <t>Q2-W01</t>
        </is>
      </c>
      <c r="CH2734"/>
      <c r="CI2734"/>
      <c r="CJ2734" t="inlineStr">
        <is>
          <t>No Paid</t>
        </is>
      </c>
      <c r="CK2734" t="inlineStr">
        <is>
          <t>Not Eligible</t>
        </is>
      </c>
      <c r="CL2734"/>
      <c r="CM2734"/>
    </row>
    <row r="2735" ht="25.5" customHeight="1">
      <c r="A2735" t="inlineStr">
        <is>
          <t>162648</t>
        </is>
      </c>
      <c r="B2735" s="2"/>
      <c r="C2735"/>
      <c r="D2735" s="3">
        <v>46120.62061342593</v>
      </c>
      <c r="E2735" t="inlineStr">
        <is>
          <t>Q2-W01</t>
        </is>
      </c>
      <c r="F2735" t="inlineStr">
        <is>
          <t>Clover</t>
        </is>
      </c>
      <c r="G2735" t="inlineStr">
        <is>
          <t>Customer</t>
        </is>
      </c>
      <c r="H2735" s="2" t="str">
        <f>=HYPERLINK("https://upbox.ajobthing.my/customer/162648", "https://upbox.ajobthing.my/customer/162648")</f>
        <v>https://upbox.ajobthing.my/customer/162648</v>
      </c>
      <c r="I2735" t="inlineStr">
        <is>
          <t>Leeca Sdn Bhd</t>
        </is>
      </c>
      <c r="J2735" t="inlineStr">
        <is>
          <t>Small Fish</t>
        </is>
      </c>
      <c r="K2735" t="inlineStr">
        <is>
          <t>Clover</t>
        </is>
      </c>
      <c r="L2735" s="4"/>
      <c r="M2735" s="4">
        <v>46120.604166666664</v>
      </c>
      <c r="N2735"/>
      <c r="O2735">
        <v>6048</v>
      </c>
      <c r="P2735" s="4"/>
      <c r="Q2735" s="4">
        <v>46120.45961805555</v>
      </c>
      <c r="R2735"/>
      <c r="S2735">
        <v>0</v>
      </c>
      <c r="T2735" s="4">
        <v>44901.70777777778</v>
      </c>
      <c r="U2735" s="4"/>
      <c r="V2735"/>
      <c r="W2735">
        <v>636</v>
      </c>
      <c r="X2735"/>
      <c r="Y2735" t="inlineStr">
        <is>
          <t>Pending Appointment</t>
        </is>
      </c>
      <c r="Z2735" t="inlineStr">
        <is>
          <t>Hiring Later</t>
        </is>
      </c>
      <c r="AA2735">
        <v>2</v>
      </c>
      <c r="AB2735" t="inlineStr">
        <is>
          <t>No Appointment Made</t>
        </is>
      </c>
      <c r="AC2735"/>
      <c r="AD2735" t="inlineStr">
        <is>
          <t>Survey first, business not good budget concern, only 1 HR need handle, future might hire account x1, adminx1, Shah Alam, Selangor, suggest stand/pro</t>
        </is>
      </c>
      <c r="AE2735"/>
      <c r="AF2735">
        <v>3000</v>
      </c>
      <c r="AG2735" s="4"/>
      <c r="AH2735" s="4"/>
      <c r="AI2735">
        <v>3000</v>
      </c>
      <c r="AJ2735">
        <v>1</v>
      </c>
      <c r="AK2735" t="inlineStr">
        <is>
          <t>No, but I want in future</t>
        </is>
      </c>
      <c r="AL2735">
        <v>1</v>
      </c>
      <c r="AM2735" t="inlineStr">
        <is>
          <t>No, but I want in future</t>
        </is>
      </c>
      <c r="AN2735"/>
      <c r="AO2735" t="inlineStr">
        <is>
          <t>No, but I want in future</t>
        </is>
      </c>
      <c r="AP2735" t="inlineStr">
        <is>
          <t>Twice a year (50%)</t>
        </is>
      </c>
      <c r="AQ2735">
        <v>2</v>
      </c>
      <c r="AR2735" t="inlineStr">
        <is>
          <t>Did not use any job portal</t>
        </is>
      </c>
      <c r="AS2735" t="inlineStr">
        <is>
          <t>- Headcount: 2
- Hiring Job Details: Survey first, business not good budget concern, only 1 HR need handle, future might hire account x1, adminx1, Shah Alam, Selangor, suggest stand/pro
- Hiring Urgency: Hiring Later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 job portal</t>
        </is>
      </c>
      <c r="AT2735">
        <v>95</v>
      </c>
      <c r="AU2735" t="inlineStr">
        <is>
          <t>0.95</t>
        </is>
      </c>
      <c r="AV2735" t="inlineStr">
        <is>
          <t>15</t>
        </is>
      </c>
      <c r="AW2735" t="inlineStr">
        <is>
          <t>0</t>
        </is>
      </c>
      <c r="AX2735" t="inlineStr">
        <is>
          <t>Not Qualified</t>
        </is>
      </c>
      <c r="AY2735" s="4"/>
      <c r="AZ2735"/>
      <c r="BA2735"/>
      <c r="BB2735"/>
      <c r="BC2735" t="inlineStr">
        <is>
          <t>Call npu, wa fu</t>
        </is>
      </c>
      <c r="BD2735" s="4">
        <v>46135.7296875</v>
      </c>
      <c r="BE2735" t="inlineStr">
        <is>
          <t>paid</t>
        </is>
      </c>
      <c r="BF2735"/>
      <c r="BG2735" t="inlineStr">
        <is>
          <t>Reschedule</t>
        </is>
      </c>
      <c r="BH2735" t="inlineStr">
        <is>
          <t>Reagen</t>
        </is>
      </c>
      <c r="BI2735" t="inlineStr">
        <is>
          <t>Construction / Building</t>
        </is>
      </c>
      <c r="BJ2735" s="4">
        <v>46144.751180555555</v>
      </c>
      <c r="BK2735" s="4">
        <v>44900.66006944444</v>
      </c>
      <c r="BL2735" t="inlineStr">
        <is>
          <t>0.0</t>
        </is>
      </c>
      <c r="BM2735" t="inlineStr">
        <is>
          <t>0.0</t>
        </is>
      </c>
      <c r="BN2735" t="inlineStr">
        <is>
          <t>View Applicant Page</t>
        </is>
      </c>
      <c r="BO2735" s="4">
        <v>44926.538148148145</v>
      </c>
      <c r="BP2735">
        <v>165919</v>
      </c>
      <c r="BQ2735">
        <v>120801</v>
      </c>
      <c r="BR2735" t="inlineStr">
        <is>
          <t>Proforma</t>
        </is>
      </c>
      <c r="BS2735" t="inlineStr">
        <is>
          <t>Free Internship Job</t>
        </is>
      </c>
      <c r="BT2735">
        <v>53301</v>
      </c>
      <c r="BU2735"/>
      <c r="BV2735">
        <v>2725064</v>
      </c>
      <c r="BW2735" t="inlineStr">
        <is>
          <t>No Answer : Voicemail - WA sent to customer</t>
        </is>
      </c>
      <c r="BX2735"/>
      <c r="BY2735"/>
      <c r="BZ2735" s="4"/>
      <c r="CA2735"/>
      <c r="CB2735"/>
      <c r="CC2735" s="4"/>
      <c r="CD2735" t="inlineStr">
        <is>
          <t>20</t>
        </is>
      </c>
      <c r="CE2735" t="inlineStr">
        <is>
          <t>0</t>
        </is>
      </c>
      <c r="CF2735" t="inlineStr">
        <is>
          <t>Q2-W01</t>
        </is>
      </c>
      <c r="CG2735" t="inlineStr">
        <is>
          <t>Q2-W01</t>
        </is>
      </c>
      <c r="CH2735"/>
      <c r="CI2735"/>
      <c r="CJ2735" t="inlineStr">
        <is>
          <t>Paid</t>
        </is>
      </c>
      <c r="CK2735" t="inlineStr">
        <is>
          <t>Not Eligible</t>
        </is>
      </c>
      <c r="CL2735"/>
      <c r="CM2735"/>
    </row>
    <row r="2736" ht="25.5" customHeight="1">
      <c r="A2736" t="inlineStr">
        <is>
          <t>4260545</t>
        </is>
      </c>
      <c r="B2736" s="2"/>
      <c r="C2736"/>
      <c r="D2736" s="3">
        <v>46120.626597222225</v>
      </c>
      <c r="E2736" t="inlineStr">
        <is>
          <t>Q2-W01</t>
        </is>
      </c>
      <c r="F2736" t="inlineStr">
        <is>
          <t>Derek Lim</t>
        </is>
      </c>
      <c r="G2736" t="inlineStr">
        <is>
          <t>Lead</t>
        </is>
      </c>
      <c r="H2736" s="2" t="str">
        <f>=HYPERLINK("https://upbox.ajobthing.my/leads/4260545", "https://upbox.ajobthing.my/leads/4260545")</f>
        <v>https://upbox.ajobthing.my/leads/4260545</v>
      </c>
      <c r="I2736" t="inlineStr">
        <is>
          <t>NEW LEAF (M) SDN BHD</t>
        </is>
      </c>
      <c r="J2736" t="inlineStr">
        <is>
          <t>Small Fish</t>
        </is>
      </c>
      <c r="K2736" t="inlineStr">
        <is>
          <t>Derek Lim</t>
        </is>
      </c>
      <c r="L2736" s="4"/>
      <c r="M2736" s="4">
        <v>46120.62701388889</v>
      </c>
      <c r="N2736"/>
      <c r="O2736">
        <v>3888</v>
      </c>
      <c r="P2736" s="4"/>
      <c r="Q2736" s="4"/>
      <c r="R2736"/>
      <c r="S2736"/>
      <c r="T2736" s="4"/>
      <c r="U2736" s="4"/>
      <c r="V2736"/>
      <c r="W2736"/>
      <c r="X2736"/>
      <c r="Y2736" t="inlineStr">
        <is>
          <t>Pending Appointment</t>
        </is>
      </c>
      <c r="Z2736" t="inlineStr">
        <is>
          <t>Hiring Now</t>
        </is>
      </c>
      <c r="AA2736">
        <v>3</v>
      </c>
      <c r="AB2736" t="inlineStr">
        <is>
          <t>No Appointment Made</t>
        </is>
      </c>
      <c r="AC2736"/>
      <c r="AD2736" t="inlineStr">
        <is>
          <t>Technician - 1, site supervisor - 1, marketing</t>
        </is>
      </c>
      <c r="AE2736"/>
      <c r="AF2736">
        <v>0</v>
      </c>
      <c r="AG2736" s="4"/>
      <c r="AH2736" s="4"/>
      <c r="AI2736">
        <v>0</v>
      </c>
      <c r="AJ2736">
        <v>1</v>
      </c>
      <c r="AK2736" t="inlineStr">
        <is>
          <t>No, but I want in future</t>
        </is>
      </c>
      <c r="AL2736">
        <v>0</v>
      </c>
      <c r="AM2736" t="inlineStr">
        <is>
          <t>No, I don't need at all</t>
        </is>
      </c>
      <c r="AN2736"/>
      <c r="AO2736" t="inlineStr">
        <is>
          <t>No, but I want in future</t>
        </is>
      </c>
      <c r="AP2736" t="inlineStr">
        <is>
          <t>Once a year (25%)</t>
        </is>
      </c>
      <c r="AQ2736">
        <v>3</v>
      </c>
      <c r="AR2736" t="inlineStr">
        <is>
          <t>Did not use any job portal</t>
        </is>
      </c>
      <c r="AS2736" t="inlineStr">
        <is>
          <t>- Headcount: 3
- Hiring Job Details: Technician - 1, site supervisor - 1, marketing
- Hiring Urgency: Hiring Now
- Number of outlets: 1
- Have recruiter team: No, but I want in future
- Number of recruiter in company: 0
- Have ATS system: No, I don't need at all
- Have career website: No, but I want in future
- Current hiring budget: RM0
- Whole year budget: RM0.00
- Whole year number of vacancies: 3
- Hiring frequency: Once a year (25%)
- External job portal: Did not use any job portal</t>
        </is>
      </c>
      <c r="AT2736">
        <v>75</v>
      </c>
      <c r="AU2736" t="inlineStr">
        <is>
          <t>0.75</t>
        </is>
      </c>
      <c r="AV2736" t="inlineStr">
        <is>
          <t>15</t>
        </is>
      </c>
      <c r="AW2736" t="inlineStr">
        <is>
          <t>0</t>
        </is>
      </c>
      <c r="AX2736" t="inlineStr">
        <is>
          <t>Not Qualified</t>
        </is>
      </c>
      <c r="AY2736" s="4"/>
      <c r="AZ2736"/>
      <c r="BA2736"/>
      <c r="BB2736"/>
      <c r="BC2736"/>
      <c r="BD2736" s="4"/>
      <c r="BE2736"/>
      <c r="BF2736"/>
      <c r="BG2736" t="inlineStr">
        <is>
          <t>Reschedule</t>
        </is>
      </c>
      <c r="BH2736" t="inlineStr">
        <is>
          <t>Edward Hoo</t>
        </is>
      </c>
      <c r="BI2736"/>
      <c r="BJ2736" s="4">
        <v>46144.75576388889</v>
      </c>
      <c r="BK2736" s="4">
        <v>46120.59706018519</v>
      </c>
      <c r="BL2736" t="inlineStr">
        <is>
          <t>0.0</t>
        </is>
      </c>
      <c r="BM2736" t="inlineStr">
        <is>
          <t>0.0</t>
        </is>
      </c>
      <c r="BN2736"/>
      <c r="BO2736" s="4"/>
      <c r="BP2736">
        <v>165944</v>
      </c>
      <c r="BQ2736"/>
      <c r="BR2736"/>
      <c r="BS2736"/>
      <c r="BT2736"/>
      <c r="BU2736"/>
      <c r="BV2736"/>
      <c r="BW2736"/>
      <c r="BX2736"/>
      <c r="BY2736"/>
      <c r="BZ2736" s="4"/>
      <c r="CA2736"/>
      <c r="CB2736"/>
      <c r="CC2736" s="4"/>
      <c r="CD2736" t="inlineStr">
        <is>
          <t>20</t>
        </is>
      </c>
      <c r="CE2736" t="inlineStr">
        <is>
          <t>0</t>
        </is>
      </c>
      <c r="CF2736" t="inlineStr">
        <is>
          <t>Q2-W01</t>
        </is>
      </c>
      <c r="CG2736"/>
      <c r="CH2736"/>
      <c r="CI2736"/>
      <c r="CJ2736" t="inlineStr">
        <is>
          <t>No Paid</t>
        </is>
      </c>
      <c r="CK2736" t="inlineStr">
        <is>
          <t>Not Eligible</t>
        </is>
      </c>
      <c r="CL2736"/>
      <c r="CM2736"/>
    </row>
    <row r="2737" ht="25.5" customHeight="1">
      <c r="A2737" t="inlineStr">
        <is>
          <t>198395</t>
        </is>
      </c>
      <c r="B2737" s="2"/>
      <c r="C2737"/>
      <c r="D2737" s="3">
        <v>46120.6277662037</v>
      </c>
      <c r="E2737" t="inlineStr">
        <is>
          <t>Q2-W01</t>
        </is>
      </c>
      <c r="F2737" t="inlineStr">
        <is>
          <t>Ken Yi</t>
        </is>
      </c>
      <c r="G2737" t="inlineStr">
        <is>
          <t>Customer</t>
        </is>
      </c>
      <c r="H2737" s="2" t="str">
        <f>=HYPERLINK("https://upbox.ajobthing.my/customer/198395", "https://upbox.ajobthing.my/customer/198395")</f>
        <v>https://upbox.ajobthing.my/customer/198395</v>
      </c>
      <c r="I2737" t="inlineStr">
        <is>
          <t>IChamp Technology Sdn. Bhd.	</t>
        </is>
      </c>
      <c r="J2737" t="inlineStr">
        <is>
          <t>Small Fish</t>
        </is>
      </c>
      <c r="K2737" t="inlineStr">
        <is>
          <t>Kenyi</t>
        </is>
      </c>
      <c r="L2737" s="4"/>
      <c r="M2737" s="4">
        <v>46120.625451388885</v>
      </c>
      <c r="N2737"/>
      <c r="O2737">
        <v>3672</v>
      </c>
      <c r="P2737" s="4"/>
      <c r="Q2737" s="4">
        <v>46120.4597337963</v>
      </c>
      <c r="R2737"/>
      <c r="S2737">
        <v>0</v>
      </c>
      <c r="T2737" s="4">
        <v>45982.373252314814</v>
      </c>
      <c r="U2737" s="4"/>
      <c r="V2737"/>
      <c r="W2737">
        <v>648</v>
      </c>
      <c r="X2737"/>
      <c r="Y2737" t="inlineStr">
        <is>
          <t>Pending Appointment</t>
        </is>
      </c>
      <c r="Z2737" t="inlineStr">
        <is>
          <t>Hiring Now</t>
        </is>
      </c>
      <c r="AA2737">
        <v>1</v>
      </c>
      <c r="AB2737" t="inlineStr">
        <is>
          <t>No Appointment Made</t>
        </is>
      </c>
      <c r="AC2737"/>
      <c r="AD2737" t="inlineStr">
        <is>
          <t>Sales Executive - Mandarin speaker</t>
        </is>
      </c>
      <c r="AE2737"/>
      <c r="AF2737">
        <v>0</v>
      </c>
      <c r="AG2737" s="4"/>
      <c r="AH2737" s="4"/>
      <c r="AI2737">
        <v>1</v>
      </c>
      <c r="AJ2737">
        <v>1</v>
      </c>
      <c r="AK2737" t="inlineStr">
        <is>
          <t>Yes, I have</t>
        </is>
      </c>
      <c r="AL2737">
        <v>1</v>
      </c>
      <c r="AM2737" t="inlineStr">
        <is>
          <t>No, I don't need at all</t>
        </is>
      </c>
      <c r="AN2737"/>
      <c r="AO2737" t="inlineStr">
        <is>
          <t>No, I don't need at all</t>
        </is>
      </c>
      <c r="AP2737" t="inlineStr">
        <is>
          <t>Every month (100%)</t>
        </is>
      </c>
      <c r="AQ2737">
        <v>2</v>
      </c>
      <c r="AR2737" t="inlineStr">
        <is>
          <t>Jobstreet, Free Job Portal</t>
        </is>
      </c>
      <c r="AS2737" t="inlineStr">
        <is>
          <t>- Headcount: 1
- Hiring Job Details: 1 Sales Executive - Mandarin speaker
- Hiring Urgency: Hiring Now
- Number of outlets: 1
- Have recruiter team: Yes
- Number of recruiter in company: 1
- Have ATS system: No, I don't need at all
- Have career website: No, I don't need at all
- Current hiring budget: RM0.00
- Whole year budget: RM1.00
- Whole year number of vacancies: 2
- Hiring frequency: Every month (100%)
- External job portal: Jobstreet, Free Job Portal</t>
        </is>
      </c>
      <c r="AT2737">
        <v>115</v>
      </c>
      <c r="AU2737" t="inlineStr">
        <is>
          <t>1.15</t>
        </is>
      </c>
      <c r="AV2737" t="inlineStr">
        <is>
          <t>15</t>
        </is>
      </c>
      <c r="AW2737" t="inlineStr">
        <is>
          <t>0</t>
        </is>
      </c>
      <c r="AX2737" t="inlineStr">
        <is>
          <t>Not Qualified</t>
        </is>
      </c>
      <c r="AY2737" s="4"/>
      <c r="AZ2737"/>
      <c r="BA2737"/>
      <c r="BB2737"/>
      <c r="BC2737" t="inlineStr">
        <is>
          <t>- Headcount: 1
- Hiring Job Details: 1 Sales Executive - Mandarin speaker
- Hiring Urgency: Hiring Now
- Number of outlets: 1
- Have recruiter team: Yes
- Number of recruiter in company: 1
- Have ATS system: No, I don't need at all
- Have career website: No, I don't need at all
- Current hiring budget: RM0.00
- Whole year budget: RM1.00
- Whole year number of vacancies: 2
- Hiring frequency: Every month (100%)
- External job portal: Jobstreet, Free Job Portal</t>
        </is>
      </c>
      <c r="BD2737" s="4">
        <v>46120.66670138889</v>
      </c>
      <c r="BE2737" t="inlineStr">
        <is>
          <t>paid</t>
        </is>
      </c>
      <c r="BF2737"/>
      <c r="BG2737" t="inlineStr">
        <is>
          <t>Reschedule</t>
        </is>
      </c>
      <c r="BH2737" t="inlineStr">
        <is>
          <t>Fauziah Maharan</t>
        </is>
      </c>
      <c r="BI2737" t="inlineStr">
        <is>
          <t>General / Wholesale Trading</t>
        </is>
      </c>
      <c r="BJ2737" s="4">
        <v>46144.75304398148</v>
      </c>
      <c r="BK2737" s="4">
        <v>45979.77381944445</v>
      </c>
      <c r="BL2737" t="inlineStr">
        <is>
          <t>648.0</t>
        </is>
      </c>
      <c r="BM2737" t="inlineStr">
        <is>
          <t>0.0</t>
        </is>
      </c>
      <c r="BN2737" t="inlineStr">
        <is>
          <t>PA Visit - Job Card</t>
        </is>
      </c>
      <c r="BO2737" s="4">
        <v>46134.38118055555</v>
      </c>
      <c r="BP2737">
        <v>165943</v>
      </c>
      <c r="BQ2737">
        <v>120803</v>
      </c>
      <c r="BR2737" t="inlineStr">
        <is>
          <t>Proforma</t>
        </is>
      </c>
      <c r="BS2737" t="inlineStr">
        <is>
          <t>Free Internship Job</t>
        </is>
      </c>
      <c r="BT2737">
        <v>84378</v>
      </c>
      <c r="BU2737"/>
      <c r="BV2737">
        <v>2693290</v>
      </c>
      <c r="BW2737" t="inlineStr">
        <is>
          <t>Customer Inquiry</t>
        </is>
      </c>
      <c r="BX2737"/>
      <c r="BY2737"/>
      <c r="BZ2737" s="4"/>
      <c r="CA2737"/>
      <c r="CB2737"/>
      <c r="CC2737" s="4"/>
      <c r="CD2737" t="inlineStr">
        <is>
          <t>20</t>
        </is>
      </c>
      <c r="CE2737" t="inlineStr">
        <is>
          <t>0</t>
        </is>
      </c>
      <c r="CF2737" t="inlineStr">
        <is>
          <t>Q2-W01</t>
        </is>
      </c>
      <c r="CG2737" t="inlineStr">
        <is>
          <t>Q2-W01</t>
        </is>
      </c>
      <c r="CH2737"/>
      <c r="CI2737"/>
      <c r="CJ2737" t="inlineStr">
        <is>
          <t>Paid</t>
        </is>
      </c>
      <c r="CK2737" t="inlineStr">
        <is>
          <t>Not Eligible</t>
        </is>
      </c>
      <c r="CL2737"/>
      <c r="CM2737"/>
    </row>
    <row r="2738" ht="25.5" customHeight="1">
      <c r="A2738" t="inlineStr">
        <is>
          <t>24435</t>
        </is>
      </c>
      <c r="B2738" s="2"/>
      <c r="C2738"/>
      <c r="D2738" s="3">
        <v>46120.63185185185</v>
      </c>
      <c r="E2738" t="inlineStr">
        <is>
          <t>Q2-W01</t>
        </is>
      </c>
      <c r="F2738" t="inlineStr">
        <is>
          <t>Jia Hui</t>
        </is>
      </c>
      <c r="G2738" t="inlineStr">
        <is>
          <t>Customer</t>
        </is>
      </c>
      <c r="H2738" s="2" t="str">
        <f>=HYPERLINK("https://upbox.ajobthing.my/customer/24435", "https://upbox.ajobthing.my/customer/24435")</f>
        <v>https://upbox.ajobthing.my/customer/24435</v>
      </c>
      <c r="I2738" t="inlineStr">
        <is>
          <t>JS Advance Management Services</t>
        </is>
      </c>
      <c r="J2738" t="inlineStr">
        <is>
          <t>Small Fish</t>
        </is>
      </c>
      <c r="K2738" t="inlineStr">
        <is>
          <t>Jia Hui</t>
        </is>
      </c>
      <c r="L2738" s="4"/>
      <c r="M2738" s="4">
        <v>46120.63196759259</v>
      </c>
      <c r="N2738"/>
      <c r="O2738">
        <v>6048</v>
      </c>
      <c r="P2738" s="4"/>
      <c r="Q2738" s="4">
        <v>46120.54177083333</v>
      </c>
      <c r="R2738"/>
      <c r="S2738">
        <v>0</v>
      </c>
      <c r="T2738" s="4">
        <v>43538.399560185186</v>
      </c>
      <c r="U2738" s="4"/>
      <c r="V2738"/>
      <c r="W2738">
        <v>678.4</v>
      </c>
      <c r="X2738"/>
      <c r="Y2738" t="inlineStr">
        <is>
          <t>Pending Appointment</t>
        </is>
      </c>
      <c r="Z2738" t="inlineStr">
        <is>
          <t>Hiring Later</t>
        </is>
      </c>
      <c r="AA2738">
        <v>2</v>
      </c>
      <c r="AB2738" t="inlineStr">
        <is>
          <t>No Appointment Made</t>
        </is>
      </c>
      <c r="AC2738"/>
      <c r="AD2738" t="inlineStr">
        <is>
          <t>1 admin, 1 account</t>
        </is>
      </c>
      <c r="AE2738"/>
      <c r="AF2738">
        <v>1000</v>
      </c>
      <c r="AG2738" s="4"/>
      <c r="AH2738" s="4"/>
      <c r="AI2738"/>
      <c r="AJ2738"/>
      <c r="AK2738" t="inlineStr">
        <is>
          <t>Yes, I have</t>
        </is>
      </c>
      <c r="AL2738"/>
      <c r="AM2738"/>
      <c r="AN2738"/>
      <c r="AO2738"/>
      <c r="AP2738" t="inlineStr">
        <is>
          <t>Once a year (25%)</t>
        </is>
      </c>
      <c r="AQ2738"/>
      <c r="AR2738"/>
      <c r="AS2738" t="inlineStr">
        <is>
          <t>- Headcount: 2
- Hiring Job Details: 1 admin, 1 account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
- Hiring Urgency: Hiring Later</t>
        </is>
      </c>
      <c r="AT2738">
        <v>50</v>
      </c>
      <c r="AU2738" t="inlineStr">
        <is>
          <t>0.50</t>
        </is>
      </c>
      <c r="AV2738" t="inlineStr">
        <is>
          <t>15</t>
        </is>
      </c>
      <c r="AW2738" t="inlineStr">
        <is>
          <t>0</t>
        </is>
      </c>
      <c r="AX2738" t="inlineStr">
        <is>
          <t>Not Qualified</t>
        </is>
      </c>
      <c r="AY2738" s="4"/>
      <c r="AZ2738"/>
      <c r="BA2738"/>
      <c r="BB2738"/>
      <c r="BC2738" t="inlineStr">
        <is>
          <t>f/up on july</t>
        </is>
      </c>
      <c r="BD2738" s="4">
        <v>46121.48881944444</v>
      </c>
      <c r="BE2738" t="inlineStr">
        <is>
          <t>paid</t>
        </is>
      </c>
      <c r="BF2738"/>
      <c r="BG2738" t="inlineStr">
        <is>
          <t>Reschedule</t>
        </is>
      </c>
      <c r="BH2738" t="inlineStr">
        <is>
          <t>Reagen</t>
        </is>
      </c>
      <c r="BI2738" t="inlineStr">
        <is>
          <t>Business / Mgmt Consulting</t>
        </is>
      </c>
      <c r="BJ2738" s="4">
        <v>46144.75446759259</v>
      </c>
      <c r="BK2738" s="4">
        <v>42529.944652777776</v>
      </c>
      <c r="BL2738" t="inlineStr">
        <is>
          <t>0.0</t>
        </is>
      </c>
      <c r="BM2738" t="inlineStr">
        <is>
          <t>0.0</t>
        </is>
      </c>
      <c r="BN2738" t="inlineStr">
        <is>
          <t>View Job Applicants Page</t>
        </is>
      </c>
      <c r="BO2738" s="4">
        <v>43641.62458333333</v>
      </c>
      <c r="BP2738">
        <v>165947</v>
      </c>
      <c r="BQ2738">
        <v>120899</v>
      </c>
      <c r="BR2738" t="inlineStr">
        <is>
          <t>Proforma</t>
        </is>
      </c>
      <c r="BS2738" t="inlineStr">
        <is>
          <t>Free Internship Job</t>
        </is>
      </c>
      <c r="BT2738">
        <v>16813</v>
      </c>
      <c r="BU2738"/>
      <c r="BV2738">
        <v>2695139</v>
      </c>
      <c r="BW2738" t="inlineStr">
        <is>
          <t>Customer Inquiry</t>
        </is>
      </c>
      <c r="BX2738"/>
      <c r="BY2738"/>
      <c r="BZ2738" s="4"/>
      <c r="CA2738"/>
      <c r="CB2738"/>
      <c r="CC2738" s="4"/>
      <c r="CD2738" t="inlineStr">
        <is>
          <t>20</t>
        </is>
      </c>
      <c r="CE2738" t="inlineStr">
        <is>
          <t>0</t>
        </is>
      </c>
      <c r="CF2738" t="inlineStr">
        <is>
          <t>Q2-W01</t>
        </is>
      </c>
      <c r="CG2738" t="inlineStr">
        <is>
          <t>Q2-W01</t>
        </is>
      </c>
      <c r="CH2738"/>
      <c r="CI2738"/>
      <c r="CJ2738" t="inlineStr">
        <is>
          <t>Paid</t>
        </is>
      </c>
      <c r="CK2738" t="inlineStr">
        <is>
          <t>Not Eligible</t>
        </is>
      </c>
      <c r="CL2738"/>
      <c r="CM2738"/>
    </row>
    <row r="2739" ht="25.5" customHeight="1">
      <c r="A2739" t="inlineStr">
        <is>
          <t>168415</t>
        </is>
      </c>
      <c r="B2739" s="2"/>
      <c r="C2739"/>
      <c r="D2739" s="3">
        <v>46120.65068287037</v>
      </c>
      <c r="E2739" t="inlineStr">
        <is>
          <t>Q2-W01</t>
        </is>
      </c>
      <c r="F2739" t="inlineStr">
        <is>
          <t>Angel  Low</t>
        </is>
      </c>
      <c r="G2739" t="inlineStr">
        <is>
          <t>Customer</t>
        </is>
      </c>
      <c r="H2739" s="2" t="str">
        <f>=HYPERLINK("https://upbox.ajobthing.my/customer/168415", "https://upbox.ajobthing.my/customer/168415")</f>
        <v>https://upbox.ajobthing.my/customer/168415</v>
      </c>
      <c r="I2739" t="inlineStr">
        <is>
          <t>Iconic Training Solutions Sdn Bhd</t>
        </is>
      </c>
      <c r="J2739" t="inlineStr">
        <is>
          <t>Small Fish</t>
        </is>
      </c>
      <c r="K2739" t="inlineStr">
        <is>
          <t>Angel Low</t>
        </is>
      </c>
      <c r="L2739" s="4"/>
      <c r="M2739" s="4">
        <v>46120.654398148145</v>
      </c>
      <c r="N2739"/>
      <c r="O2739">
        <v>3672</v>
      </c>
      <c r="P2739" s="4"/>
      <c r="Q2739" s="4"/>
      <c r="R2739"/>
      <c r="S2739"/>
      <c r="T2739" s="4"/>
      <c r="U2739" s="4"/>
      <c r="V2739"/>
      <c r="W2739"/>
      <c r="X2739"/>
      <c r="Y2739" t="inlineStr">
        <is>
          <t>Pending Appointment</t>
        </is>
      </c>
      <c r="Z2739" t="inlineStr">
        <is>
          <t>Hiring Now</t>
        </is>
      </c>
      <c r="AA2739">
        <v>2</v>
      </c>
      <c r="AB2739" t="inlineStr">
        <is>
          <t>No Appointment Made</t>
        </is>
      </c>
      <c r="AC2739"/>
      <c r="AD2739" t="inlineStr">
        <is>
          <t xml:space="preserve">2 marketing intern </t>
        </is>
      </c>
      <c r="AE2739"/>
      <c r="AF2739"/>
      <c r="AG2739" s="4"/>
      <c r="AH2739" s="4"/>
      <c r="AI2739"/>
      <c r="AJ2739"/>
      <c r="AK2739" t="inlineStr">
        <is>
          <t>No, I don't need at all</t>
        </is>
      </c>
      <c r="AL2739"/>
      <c r="AM2739"/>
      <c r="AN2739"/>
      <c r="AO2739"/>
      <c r="AP2739" t="inlineStr">
        <is>
          <t>Once a year (25%)</t>
        </is>
      </c>
      <c r="AQ2739"/>
      <c r="AR2739"/>
      <c r="AS2739" t="inlineStr">
        <is>
          <t>- Headcount: 2
- Hiring Job Details: 2 marketing intern
- Hiring Urgency: Hiring Now
- Number of outlets: Not available
- Have recruiter team: No, I don't need at all
- Number of recruiter in company: Not available
- Have ATS system: Not available
- Have career website: Not available
- Current hiring budget: Not available
- Whole year budget: Not available
- Whole year number of vacancies: Not available
- Hiring frequency: Once a year (25%)
- External job portal: Not available</t>
        </is>
      </c>
      <c r="AT2739">
        <v>75</v>
      </c>
      <c r="AU2739" t="inlineStr">
        <is>
          <t>0.75</t>
        </is>
      </c>
      <c r="AV2739" t="inlineStr">
        <is>
          <t>5</t>
        </is>
      </c>
      <c r="AW2739" t="inlineStr">
        <is>
          <t>0</t>
        </is>
      </c>
      <c r="AX2739" t="inlineStr">
        <is>
          <t>Not Qualified</t>
        </is>
      </c>
      <c r="AY2739" s="4"/>
      <c r="AZ2739"/>
      <c r="BA2739"/>
      <c r="BB2739"/>
      <c r="BC2739" t="inlineStr">
        <is>
          <t>- Headcount: 2
- Hiring Job Details: 2 marketing intern
- Hiring Urgency: Hiring Now
- Number of outlets: Not available
- Have recruiter team: No, I don't need at all
- Number of recruiter in company: Not available
- Have ATS system: Not available
- Have career website: Not available
- Current hiring budget: Not available
- Whole year budget: Not available
- Whole year number of vacancies: Not available
- Hiring frequency: Once a year (25%)
- External job portal: Not available</t>
        </is>
      </c>
      <c r="BD2739" s="4">
        <v>46120.666712962964</v>
      </c>
      <c r="BE2739"/>
      <c r="BF2739"/>
      <c r="BG2739" t="inlineStr">
        <is>
          <t>Reschedule</t>
        </is>
      </c>
      <c r="BH2739" t="inlineStr">
        <is>
          <t>Fauziah Maharan</t>
        </is>
      </c>
      <c r="BI2739" t="inlineStr">
        <is>
          <t>Education / Training</t>
        </is>
      </c>
      <c r="BJ2739" s="4">
        <v>46144.75134259259</v>
      </c>
      <c r="BK2739" s="4">
        <v>45099.49585648148</v>
      </c>
      <c r="BL2739" t="inlineStr">
        <is>
          <t>0.0</t>
        </is>
      </c>
      <c r="BM2739" t="inlineStr">
        <is>
          <t>600.0</t>
        </is>
      </c>
      <c r="BN2739" t="inlineStr">
        <is>
          <t>View Company Page</t>
        </is>
      </c>
      <c r="BO2739" s="4">
        <v>45563.6408912037</v>
      </c>
      <c r="BP2739">
        <v>165964</v>
      </c>
      <c r="BQ2739"/>
      <c r="BR2739"/>
      <c r="BS2739"/>
      <c r="BT2739"/>
      <c r="BU2739"/>
      <c r="BV2739">
        <v>2693302</v>
      </c>
      <c r="BW2739" t="inlineStr">
        <is>
          <t>Customer Inquiry</t>
        </is>
      </c>
      <c r="BX2739"/>
      <c r="BY2739"/>
      <c r="BZ2739" s="4"/>
      <c r="CA2739"/>
      <c r="CB2739"/>
      <c r="CC2739" s="4"/>
      <c r="CD2739" t="inlineStr">
        <is>
          <t>5</t>
        </is>
      </c>
      <c r="CE2739" t="inlineStr">
        <is>
          <t>0</t>
        </is>
      </c>
      <c r="CF2739" t="inlineStr">
        <is>
          <t>Q2-W01</t>
        </is>
      </c>
      <c r="CG2739"/>
      <c r="CH2739"/>
      <c r="CI2739"/>
      <c r="CJ2739" t="inlineStr">
        <is>
          <t>No Paid</t>
        </is>
      </c>
      <c r="CK2739" t="inlineStr">
        <is>
          <t>Not Eligible</t>
        </is>
      </c>
      <c r="CL2739"/>
      <c r="CM2739"/>
    </row>
    <row r="2740" ht="25.5" customHeight="1">
      <c r="A2740" t="inlineStr">
        <is>
          <t>4259618</t>
        </is>
      </c>
      <c r="B2740" s="2"/>
      <c r="C2740"/>
      <c r="D2740" s="3">
        <v>46120.65503472222</v>
      </c>
      <c r="E2740" t="inlineStr">
        <is>
          <t>Q2-W01</t>
        </is>
      </c>
      <c r="F2740" t="inlineStr">
        <is>
          <t>Carmen</t>
        </is>
      </c>
      <c r="G2740" t="inlineStr">
        <is>
          <t>Lead</t>
        </is>
      </c>
      <c r="H2740" s="2" t="str">
        <f>=HYPERLINK("https://upbox.ajobthing.my/leads/4259618", "https://upbox.ajobthing.my/leads/4259618")</f>
        <v>https://upbox.ajobthing.my/leads/4259618</v>
      </c>
      <c r="I2740" t="inlineStr">
        <is>
          <t>mados plantation</t>
        </is>
      </c>
      <c r="J2740" t="inlineStr">
        <is>
          <t>Small Fish</t>
        </is>
      </c>
      <c r="K2740" t="inlineStr">
        <is>
          <t>Carmen</t>
        </is>
      </c>
      <c r="L2740" s="4"/>
      <c r="M2740" s="4">
        <v>46120.65523148148</v>
      </c>
      <c r="N2740"/>
      <c r="O2740">
        <v>3888</v>
      </c>
      <c r="P2740" s="4"/>
      <c r="Q2740" s="4"/>
      <c r="R2740"/>
      <c r="S2740"/>
      <c r="T2740" s="4"/>
      <c r="U2740" s="4"/>
      <c r="V2740"/>
      <c r="W2740"/>
      <c r="X2740"/>
      <c r="Y2740" t="inlineStr">
        <is>
          <t>Pending Appointment</t>
        </is>
      </c>
      <c r="Z2740" t="inlineStr">
        <is>
          <t>Hiring Now</t>
        </is>
      </c>
      <c r="AA2740">
        <v>1</v>
      </c>
      <c r="AB2740" t="inlineStr">
        <is>
          <t>No Appointment Made</t>
        </is>
      </c>
      <c r="AC2740"/>
      <c r="AD2740" t="inlineStr">
        <is>
          <t>1 field supervisor</t>
        </is>
      </c>
      <c r="AE2740"/>
      <c r="AF2740">
        <v>0</v>
      </c>
      <c r="AG2740" s="4"/>
      <c r="AH2740" s="4"/>
      <c r="AI2740"/>
      <c r="AJ2740"/>
      <c r="AK2740"/>
      <c r="AL2740"/>
      <c r="AM2740"/>
      <c r="AN2740"/>
      <c r="AO2740"/>
      <c r="AP2740" t="inlineStr">
        <is>
          <t>Once a year (25%)</t>
        </is>
      </c>
      <c r="AQ2740"/>
      <c r="AR2740"/>
      <c r="AS2740" t="inlineStr">
        <is>
          <t>- Headcount: 1
- Hiring Job Details: 1 field supervisor
- Hiring Urgency: Hiring Now
- Number of outlets: Not provided
- Have recruiter team: Not provided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740">
        <v>75</v>
      </c>
      <c r="AU2740" t="inlineStr">
        <is>
          <t>0.75</t>
        </is>
      </c>
      <c r="AV2740" t="inlineStr">
        <is>
          <t>15</t>
        </is>
      </c>
      <c r="AW2740" t="inlineStr">
        <is>
          <t>0</t>
        </is>
      </c>
      <c r="AX2740" t="inlineStr">
        <is>
          <t>Not Qualified</t>
        </is>
      </c>
      <c r="AY2740" s="4"/>
      <c r="AZ2740"/>
      <c r="BA2740"/>
      <c r="BB2740"/>
      <c r="BC2740"/>
      <c r="BD2740" s="4"/>
      <c r="BE2740"/>
      <c r="BF2740"/>
      <c r="BG2740" t="inlineStr">
        <is>
          <t>Reschedule</t>
        </is>
      </c>
      <c r="BH2740" t="inlineStr">
        <is>
          <t>Reagen</t>
        </is>
      </c>
      <c r="BI2740"/>
      <c r="BJ2740" s="4">
        <v>46144.75576388889</v>
      </c>
      <c r="BK2740" s="4">
        <v>46120.442974537036</v>
      </c>
      <c r="BL2740" t="inlineStr">
        <is>
          <t>0.0</t>
        </is>
      </c>
      <c r="BM2740" t="inlineStr">
        <is>
          <t>0.0</t>
        </is>
      </c>
      <c r="BN2740"/>
      <c r="BO2740" s="4"/>
      <c r="BP2740">
        <v>165965</v>
      </c>
      <c r="BQ2740"/>
      <c r="BR2740"/>
      <c r="BS2740"/>
      <c r="BT2740"/>
      <c r="BU2740"/>
      <c r="BV2740"/>
      <c r="BW2740"/>
      <c r="BX2740"/>
      <c r="BY2740"/>
      <c r="BZ2740" s="4"/>
      <c r="CA2740"/>
      <c r="CB2740"/>
      <c r="CC2740" s="4"/>
      <c r="CD2740" t="inlineStr">
        <is>
          <t>20</t>
        </is>
      </c>
      <c r="CE2740" t="inlineStr">
        <is>
          <t>0</t>
        </is>
      </c>
      <c r="CF2740" t="inlineStr">
        <is>
          <t>Q2-W01</t>
        </is>
      </c>
      <c r="CG2740"/>
      <c r="CH2740"/>
      <c r="CI2740"/>
      <c r="CJ2740" t="inlineStr">
        <is>
          <t>No Paid</t>
        </is>
      </c>
      <c r="CK2740" t="inlineStr">
        <is>
          <t>Not Eligible</t>
        </is>
      </c>
      <c r="CL2740"/>
      <c r="CM2740"/>
    </row>
    <row r="2741" ht="25.5" customHeight="1">
      <c r="A2741" t="inlineStr">
        <is>
          <t>50324</t>
        </is>
      </c>
      <c r="B2741" s="2"/>
      <c r="C2741"/>
      <c r="D2741" s="3">
        <v>46120.66170138889</v>
      </c>
      <c r="E2741" t="inlineStr">
        <is>
          <t>Q2-W01</t>
        </is>
      </c>
      <c r="F2741" t="inlineStr">
        <is>
          <t>Eugene</t>
        </is>
      </c>
      <c r="G2741" t="inlineStr">
        <is>
          <t>Customer</t>
        </is>
      </c>
      <c r="H2741" s="2" t="str">
        <f>=HYPERLINK("https://upbox.ajobthing.my/customer/50324", "https://upbox.ajobthing.my/customer/50324")</f>
        <v>https://upbox.ajobthing.my/customer/50324</v>
      </c>
      <c r="I2741" t="inlineStr">
        <is>
          <t>DE ZEL Marketing Sdn Bhd</t>
        </is>
      </c>
      <c r="J2741" t="inlineStr">
        <is>
          <t>Small Fish</t>
        </is>
      </c>
      <c r="K2741" t="inlineStr">
        <is>
          <t>Eugene</t>
        </is>
      </c>
      <c r="L2741" s="4"/>
      <c r="M2741" s="4">
        <v>46122.63376157408</v>
      </c>
      <c r="N2741"/>
      <c r="O2741">
        <v>1296</v>
      </c>
      <c r="P2741" s="4"/>
      <c r="Q2741" s="4"/>
      <c r="R2741"/>
      <c r="S2741"/>
      <c r="T2741" s="4"/>
      <c r="U2741" s="4"/>
      <c r="V2741"/>
      <c r="W2741"/>
      <c r="X2741"/>
      <c r="Y2741" t="inlineStr">
        <is>
          <t>Pending Appointment</t>
        </is>
      </c>
      <c r="Z2741" t="inlineStr">
        <is>
          <t>Hiring Now</t>
        </is>
      </c>
      <c r="AA2741">
        <v>2</v>
      </c>
      <c r="AB2741" t="inlineStr">
        <is>
          <t>No Appointment Made</t>
        </is>
      </c>
      <c r="AC2741"/>
      <c r="AD2741" t="inlineStr">
        <is>
          <t>2 admin assistant, based in Selangor</t>
        </is>
      </c>
      <c r="AE2741"/>
      <c r="AF2741">
        <v>3000</v>
      </c>
      <c r="AG2741" s="4"/>
      <c r="AH2741" s="4"/>
      <c r="AI2741">
        <v>3000</v>
      </c>
      <c r="AJ2741">
        <v>1</v>
      </c>
      <c r="AK2741" t="inlineStr">
        <is>
          <t>No, I don't need at all</t>
        </is>
      </c>
      <c r="AL2741">
        <v>1</v>
      </c>
      <c r="AM2741" t="inlineStr">
        <is>
          <t>No, I don't need at all</t>
        </is>
      </c>
      <c r="AN2741"/>
      <c r="AO2741" t="inlineStr">
        <is>
          <t>No, I don't need at all</t>
        </is>
      </c>
      <c r="AP2741" t="inlineStr">
        <is>
          <t>Once a year (25%)</t>
        </is>
      </c>
      <c r="AQ2741">
        <v>3</v>
      </c>
      <c r="AR2741" t="inlineStr">
        <is>
          <t>Free Job Portal</t>
        </is>
      </c>
      <c r="AS2741" t="inlineStr">
        <is>
          <t>- Headcount: 2
- Hiring Job Details: 2 admin assistant, based in Selangor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is>
      </c>
      <c r="AT2741">
        <v>115</v>
      </c>
      <c r="AU2741" t="inlineStr">
        <is>
          <t>1.15</t>
        </is>
      </c>
      <c r="AV2741" t="inlineStr">
        <is>
          <t>15</t>
        </is>
      </c>
      <c r="AW2741" t="inlineStr">
        <is>
          <t>0</t>
        </is>
      </c>
      <c r="AX2741" t="inlineStr">
        <is>
          <t>Not Qualified</t>
        </is>
      </c>
      <c r="AY2741" s="4"/>
      <c r="AZ2741"/>
      <c r="BA2741"/>
      <c r="BB2741"/>
      <c r="BC2741" t="inlineStr">
        <is>
          <t>managed to hire from JS</t>
        </is>
      </c>
      <c r="BD2741" s="4">
        <v>46127.398564814815</v>
      </c>
      <c r="BE2741"/>
      <c r="BF2741"/>
      <c r="BG2741" t="inlineStr">
        <is>
          <t>Reschedule</t>
        </is>
      </c>
      <c r="BH2741" t="inlineStr">
        <is>
          <t>Edward Hoo</t>
        </is>
      </c>
      <c r="BI2741" t="inlineStr">
        <is>
          <t>Manufacturing / Production</t>
        </is>
      </c>
      <c r="BJ2741" s="4">
        <v>46144.756064814814</v>
      </c>
      <c r="BK2741" s="4">
        <v>43291.692083333335</v>
      </c>
      <c r="BL2741" t="inlineStr">
        <is>
          <t>0.0</t>
        </is>
      </c>
      <c r="BM2741" t="inlineStr">
        <is>
          <t>0.0</t>
        </is>
      </c>
      <c r="BN2741" t="inlineStr">
        <is>
          <t>View Create Job Page V4</t>
        </is>
      </c>
      <c r="BO2741" s="4">
        <v>46120.61208333333</v>
      </c>
      <c r="BP2741">
        <v>166467</v>
      </c>
      <c r="BQ2741"/>
      <c r="BR2741"/>
      <c r="BS2741"/>
      <c r="BT2741"/>
      <c r="BU2741"/>
      <c r="BV2741">
        <v>2704927</v>
      </c>
      <c r="BW2741" t="inlineStr">
        <is>
          <t>Follow Up : Lost - Free Portal</t>
        </is>
      </c>
      <c r="BX2741"/>
      <c r="BY2741"/>
      <c r="BZ2741" s="4"/>
      <c r="CA2741"/>
      <c r="CB2741"/>
      <c r="CC2741" s="4"/>
      <c r="CD2741" t="inlineStr">
        <is>
          <t>20</t>
        </is>
      </c>
      <c r="CE2741" t="inlineStr">
        <is>
          <t>0</t>
        </is>
      </c>
      <c r="CF2741" t="inlineStr">
        <is>
          <t>Q2-W02</t>
        </is>
      </c>
      <c r="CG2741"/>
      <c r="CH2741"/>
      <c r="CI2741"/>
      <c r="CJ2741" t="inlineStr">
        <is>
          <t>No Paid</t>
        </is>
      </c>
      <c r="CK2741" t="inlineStr">
        <is>
          <t>Not Eligible</t>
        </is>
      </c>
      <c r="CL2741"/>
      <c r="CM2741"/>
    </row>
    <row r="2742" ht="25.5" customHeight="1">
      <c r="A2742" t="inlineStr">
        <is>
          <t>4259785</t>
        </is>
      </c>
      <c r="B2742" s="2"/>
      <c r="C2742"/>
      <c r="D2742" s="3">
        <v>46120.665289351855</v>
      </c>
      <c r="E2742" t="inlineStr">
        <is>
          <t>Q2-W01</t>
        </is>
      </c>
      <c r="F2742" t="inlineStr">
        <is>
          <t>Ken Yi</t>
        </is>
      </c>
      <c r="G2742" t="inlineStr">
        <is>
          <t>Lead</t>
        </is>
      </c>
      <c r="H2742" s="2" t="str">
        <f>=HYPERLINK("https://upbox.ajobthing.my/leads/4259785", "https://upbox.ajobthing.my/leads/4259785")</f>
        <v>https://upbox.ajobthing.my/leads/4259785</v>
      </c>
      <c r="I2742" t="inlineStr">
        <is>
          <t>Bittele Electronics Sdn Bhd</t>
        </is>
      </c>
      <c r="J2742" t="inlineStr">
        <is>
          <t>Small Fish</t>
        </is>
      </c>
      <c r="K2742" t="inlineStr">
        <is>
          <t>Kenyi</t>
        </is>
      </c>
      <c r="L2742" s="4"/>
      <c r="M2742" s="4">
        <v>46120.66179398148</v>
      </c>
      <c r="N2742"/>
      <c r="O2742">
        <v>8208</v>
      </c>
      <c r="P2742" s="4"/>
      <c r="Q2742" s="4"/>
      <c r="R2742"/>
      <c r="S2742"/>
      <c r="T2742" s="4"/>
      <c r="U2742" s="4"/>
      <c r="V2742"/>
      <c r="W2742"/>
      <c r="X2742"/>
      <c r="Y2742" t="inlineStr">
        <is>
          <t>Pending Appointment</t>
        </is>
      </c>
      <c r="Z2742" t="inlineStr">
        <is>
          <t>Hiring Now</t>
        </is>
      </c>
      <c r="AA2742">
        <v>2</v>
      </c>
      <c r="AB2742" t="inlineStr">
        <is>
          <t>No Appointment Made</t>
        </is>
      </c>
      <c r="AC2742"/>
      <c r="AD2742" t="inlineStr">
        <is>
          <t>General Manager 1, Sales Executive 1</t>
        </is>
      </c>
      <c r="AE2742"/>
      <c r="AF2742">
        <v>0</v>
      </c>
      <c r="AG2742" s="4"/>
      <c r="AH2742" s="4"/>
      <c r="AI2742">
        <v>0</v>
      </c>
      <c r="AJ2742">
        <v>1</v>
      </c>
      <c r="AK2742" t="inlineStr">
        <is>
          <t>Yes, I have</t>
        </is>
      </c>
      <c r="AL2742">
        <v>1</v>
      </c>
      <c r="AM2742" t="inlineStr">
        <is>
          <t>No, I don't need at all</t>
        </is>
      </c>
      <c r="AN2742"/>
      <c r="AO2742" t="inlineStr">
        <is>
          <t>No, I don't need at all</t>
        </is>
      </c>
      <c r="AP2742" t="inlineStr">
        <is>
          <t>Every month (100%)</t>
        </is>
      </c>
      <c r="AQ2742">
        <v>2</v>
      </c>
      <c r="AR2742" t="inlineStr">
        <is>
          <t>Jobstreet</t>
        </is>
      </c>
      <c r="AS2742" t="inlineStr">
        <is>
          <t>- Headcount: 2
- Hiring Job Details: 1 General Manager, 1 Sales Executive
- Hiring Urgency: Hiring Now
- Number of outlets: 1
- Have recruiter team: Yes
- Number of recruiter in company: 1
- Have ATS system: No, I don't need at all
- Have career website: No, I don't need at all
- Current hiring budget: RM0
- Whole year budget: RM0.00
- Whole year number of vacancies: 2
- Hiring frequency: Every month (100%)
- External job portal: Jobstreet</t>
        </is>
      </c>
      <c r="AT2742">
        <v>115</v>
      </c>
      <c r="AU2742" t="inlineStr">
        <is>
          <t>1.15</t>
        </is>
      </c>
      <c r="AV2742" t="inlineStr">
        <is>
          <t>15</t>
        </is>
      </c>
      <c r="AW2742" t="inlineStr">
        <is>
          <t>0</t>
        </is>
      </c>
      <c r="AX2742" t="inlineStr">
        <is>
          <t>Not Qualified</t>
        </is>
      </c>
      <c r="AY2742" s="4"/>
      <c r="AZ2742"/>
      <c r="BA2742"/>
      <c r="BB2742"/>
      <c r="BC2742"/>
      <c r="BD2742" s="4"/>
      <c r="BE2742"/>
      <c r="BF2742"/>
      <c r="BG2742" t="inlineStr">
        <is>
          <t>Reschedule</t>
        </is>
      </c>
      <c r="BH2742" t="inlineStr">
        <is>
          <t>Fauziah Maharan</t>
        </is>
      </c>
      <c r="BI2742"/>
      <c r="BJ2742" s="4">
        <v>46144.75576388889</v>
      </c>
      <c r="BK2742" s="4">
        <v>46120.466469907406</v>
      </c>
      <c r="BL2742" t="inlineStr">
        <is>
          <t>0.0</t>
        </is>
      </c>
      <c r="BM2742" t="inlineStr">
        <is>
          <t>600.0</t>
        </is>
      </c>
      <c r="BN2742"/>
      <c r="BO2742" s="4"/>
      <c r="BP2742">
        <v>165971</v>
      </c>
      <c r="BQ2742"/>
      <c r="BR2742"/>
      <c r="BS2742"/>
      <c r="BT2742"/>
      <c r="BU2742"/>
      <c r="BV2742"/>
      <c r="BW2742"/>
      <c r="BX2742"/>
      <c r="BY2742"/>
      <c r="BZ2742" s="4"/>
      <c r="CA2742"/>
      <c r="CB2742"/>
      <c r="CC2742" s="4"/>
      <c r="CD2742" t="inlineStr">
        <is>
          <t>20</t>
        </is>
      </c>
      <c r="CE2742" t="inlineStr">
        <is>
          <t>0</t>
        </is>
      </c>
      <c r="CF2742" t="inlineStr">
        <is>
          <t>Q2-W01</t>
        </is>
      </c>
      <c r="CG2742"/>
      <c r="CH2742"/>
      <c r="CI2742"/>
      <c r="CJ2742" t="inlineStr">
        <is>
          <t>No Paid</t>
        </is>
      </c>
      <c r="CK2742" t="inlineStr">
        <is>
          <t>Not Eligible</t>
        </is>
      </c>
      <c r="CL2742"/>
      <c r="CM2742"/>
    </row>
    <row r="2743" ht="25.5" customHeight="1">
      <c r="A2743" t="inlineStr">
        <is>
          <t>203003</t>
        </is>
      </c>
      <c r="B2743" s="2"/>
      <c r="C2743"/>
      <c r="D2743" s="3">
        <v>46120.687256944446</v>
      </c>
      <c r="E2743" t="inlineStr">
        <is>
          <t>Q2-W01</t>
        </is>
      </c>
      <c r="F2743" t="inlineStr">
        <is>
          <t>Angel  Low</t>
        </is>
      </c>
      <c r="G2743" t="inlineStr">
        <is>
          <t>Customer</t>
        </is>
      </c>
      <c r="H2743" s="2" t="str">
        <f>=HYPERLINK("https://upbox.ajobthing.my/customer/203003", "https://upbox.ajobthing.my/customer/203003")</f>
        <v>https://upbox.ajobthing.my/customer/203003</v>
      </c>
      <c r="I2743" t="inlineStr">
        <is>
          <t>PHRI Bio-Tech Sdn Bhd</t>
        </is>
      </c>
      <c r="J2743" t="inlineStr">
        <is>
          <t>Small Fish</t>
        </is>
      </c>
      <c r="K2743" t="inlineStr">
        <is>
          <t>Angel Low</t>
        </is>
      </c>
      <c r="L2743" s="4"/>
      <c r="M2743" s="4">
        <v>46120.68761574074</v>
      </c>
      <c r="N2743"/>
      <c r="O2743">
        <v>3672</v>
      </c>
      <c r="P2743" s="4"/>
      <c r="Q2743" s="4"/>
      <c r="R2743"/>
      <c r="S2743"/>
      <c r="T2743" s="4"/>
      <c r="U2743" s="4"/>
      <c r="V2743"/>
      <c r="W2743"/>
      <c r="X2743"/>
      <c r="Y2743" t="inlineStr">
        <is>
          <t>Pending Appointment</t>
        </is>
      </c>
      <c r="Z2743"/>
      <c r="AA2743">
        <v>1</v>
      </c>
      <c r="AB2743" t="inlineStr">
        <is>
          <t>No Appointment Made</t>
        </is>
      </c>
      <c r="AC2743"/>
      <c r="AD2743" t="inlineStr">
        <is>
          <t xml:space="preserve">1 account </t>
        </is>
      </c>
      <c r="AE2743"/>
      <c r="AF2743"/>
      <c r="AG2743" s="4"/>
      <c r="AH2743" s="4"/>
      <c r="AI2743"/>
      <c r="AJ2743"/>
      <c r="AK2743"/>
      <c r="AL2743"/>
      <c r="AM2743"/>
      <c r="AN2743"/>
      <c r="AO2743"/>
      <c r="AP2743"/>
      <c r="AQ2743"/>
      <c r="AR2743"/>
      <c r="AS2743" t="inlineStr">
        <is>
          <t>- Headcount: 1
- Hiring Job Details: 1 account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743">
        <v>20</v>
      </c>
      <c r="AU2743" t="inlineStr">
        <is>
          <t>0.20</t>
        </is>
      </c>
      <c r="AV2743" t="inlineStr">
        <is>
          <t>5</t>
        </is>
      </c>
      <c r="AW2743" t="inlineStr">
        <is>
          <t>0</t>
        </is>
      </c>
      <c r="AX2743" t="inlineStr">
        <is>
          <t>Not Qualified</t>
        </is>
      </c>
      <c r="AY2743" s="4"/>
      <c r="AZ2743"/>
      <c r="BA2743"/>
      <c r="BB2743"/>
      <c r="BC2743" t="inlineStr">
        <is>
          <t>- Headcount: 1
- Hiring Job Details: 1 account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743" s="4">
        <v>46120.70921296296</v>
      </c>
      <c r="BE2743"/>
      <c r="BF2743"/>
      <c r="BG2743" t="inlineStr">
        <is>
          <t>Reschedule</t>
        </is>
      </c>
      <c r="BH2743" t="inlineStr">
        <is>
          <t>Fauziah Maharan</t>
        </is>
      </c>
      <c r="BI2743"/>
      <c r="BJ2743" s="4">
        <v>46144.75418981481</v>
      </c>
      <c r="BK2743" s="4">
        <v>46120.68619212963</v>
      </c>
      <c r="BL2743" t="inlineStr">
        <is>
          <t>0.0</t>
        </is>
      </c>
      <c r="BM2743" t="inlineStr">
        <is>
          <t>0.0</t>
        </is>
      </c>
      <c r="BN2743"/>
      <c r="BO2743" s="4"/>
      <c r="BP2743">
        <v>165993</v>
      </c>
      <c r="BQ2743"/>
      <c r="BR2743"/>
      <c r="BS2743"/>
      <c r="BT2743"/>
      <c r="BU2743"/>
      <c r="BV2743">
        <v>2693723</v>
      </c>
      <c r="BW2743" t="inlineStr">
        <is>
          <t>Customer Inquiry</t>
        </is>
      </c>
      <c r="BX2743"/>
      <c r="BY2743"/>
      <c r="BZ2743" s="4"/>
      <c r="CA2743"/>
      <c r="CB2743"/>
      <c r="CC2743" s="4"/>
      <c r="CD2743" t="inlineStr">
        <is>
          <t>5</t>
        </is>
      </c>
      <c r="CE2743" t="inlineStr">
        <is>
          <t>0</t>
        </is>
      </c>
      <c r="CF2743" t="inlineStr">
        <is>
          <t>Q2-W01</t>
        </is>
      </c>
      <c r="CG2743"/>
      <c r="CH2743"/>
      <c r="CI2743"/>
      <c r="CJ2743" t="inlineStr">
        <is>
          <t>No Paid</t>
        </is>
      </c>
      <c r="CK2743" t="inlineStr">
        <is>
          <t>Not Eligible</t>
        </is>
      </c>
      <c r="CL2743"/>
      <c r="CM2743"/>
    </row>
    <row r="2744" ht="25.5" customHeight="1">
      <c r="A2744" t="inlineStr">
        <is>
          <t>24359</t>
        </is>
      </c>
      <c r="B2744" s="2"/>
      <c r="C2744"/>
      <c r="D2744" s="3">
        <v>46120.68744212963</v>
      </c>
      <c r="E2744" t="inlineStr">
        <is>
          <t>Q2-W01</t>
        </is>
      </c>
      <c r="F2744" t="inlineStr">
        <is>
          <t>Lucas</t>
        </is>
      </c>
      <c r="G2744" t="inlineStr">
        <is>
          <t>Customer</t>
        </is>
      </c>
      <c r="H2744" s="2" t="str">
        <f>=HYPERLINK("https://upbox.ajobthing.my/customer/24359", "https://upbox.ajobthing.my/customer/24359")</f>
        <v>https://upbox.ajobthing.my/customer/24359</v>
      </c>
      <c r="I2744" t="inlineStr">
        <is>
          <t>Eversafe Universal Sdn Bhd</t>
        </is>
      </c>
      <c r="J2744" t="inlineStr">
        <is>
          <t>Small Fish</t>
        </is>
      </c>
      <c r="K2744" t="inlineStr">
        <is>
          <t>Lucas</t>
        </is>
      </c>
      <c r="L2744" s="4"/>
      <c r="M2744" s="4">
        <v>46120.685648148145</v>
      </c>
      <c r="N2744"/>
      <c r="O2744">
        <v>3888</v>
      </c>
      <c r="P2744" s="4"/>
      <c r="Q2744" s="4">
        <v>42683.496666666666</v>
      </c>
      <c r="R2744"/>
      <c r="S2744">
        <v>15.9</v>
      </c>
      <c r="T2744" s="4">
        <v>42683.496666666666</v>
      </c>
      <c r="U2744" s="4"/>
      <c r="V2744"/>
      <c r="W2744">
        <v>15.9</v>
      </c>
      <c r="X2744"/>
      <c r="Y2744" t="inlineStr">
        <is>
          <t>Pending Appointment</t>
        </is>
      </c>
      <c r="Z2744" t="inlineStr">
        <is>
          <t>Hiring Now</t>
        </is>
      </c>
      <c r="AA2744">
        <v>1</v>
      </c>
      <c r="AB2744" t="inlineStr">
        <is>
          <t>No Appointment Made</t>
        </is>
      </c>
      <c r="AC2744"/>
      <c r="AD2744" t="inlineStr">
        <is>
          <t xml:space="preserve">1 technician </t>
        </is>
      </c>
      <c r="AE2744"/>
      <c r="AF2744">
        <v>0</v>
      </c>
      <c r="AG2744" s="4"/>
      <c r="AH2744" s="4"/>
      <c r="AI2744">
        <v>0</v>
      </c>
      <c r="AJ2744">
        <v>0</v>
      </c>
      <c r="AK2744" t="inlineStr">
        <is>
          <t>No, I don't need at all</t>
        </is>
      </c>
      <c r="AL2744">
        <v>0</v>
      </c>
      <c r="AM2744" t="inlineStr">
        <is>
          <t>No, I don't need at all</t>
        </is>
      </c>
      <c r="AN2744"/>
      <c r="AO2744" t="inlineStr">
        <is>
          <t>No, I don't need at all</t>
        </is>
      </c>
      <c r="AP2744" t="inlineStr">
        <is>
          <t>Once a year (25%)</t>
        </is>
      </c>
      <c r="AQ2744">
        <v>1</v>
      </c>
      <c r="AR2744" t="inlineStr">
        <is>
          <t>Did not use any job portal</t>
        </is>
      </c>
      <c r="AS2744" t="inlineStr">
        <is>
          <t>- Headcount: 1
- Hiring Job Details: 1 technician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744">
        <v>100</v>
      </c>
      <c r="AU2744" t="inlineStr">
        <is>
          <t>1.00</t>
        </is>
      </c>
      <c r="AV2744" t="inlineStr">
        <is>
          <t>15</t>
        </is>
      </c>
      <c r="AW2744" t="inlineStr">
        <is>
          <t>0</t>
        </is>
      </c>
      <c r="AX2744" t="inlineStr">
        <is>
          <t>Not Qualified</t>
        </is>
      </c>
      <c r="AY2744" s="4"/>
      <c r="AZ2744"/>
      <c r="BA2744"/>
      <c r="BB2744"/>
      <c r="BC2744" t="inlineStr">
        <is>
          <t>not interested</t>
        </is>
      </c>
      <c r="BD2744" s="4">
        <v>46125.67091435185</v>
      </c>
      <c r="BE2744" t="inlineStr">
        <is>
          <t>paid</t>
        </is>
      </c>
      <c r="BF2744"/>
      <c r="BG2744" t="inlineStr">
        <is>
          <t>Reschedule</t>
        </is>
      </c>
      <c r="BH2744" t="inlineStr">
        <is>
          <t>Yee Hang</t>
        </is>
      </c>
      <c r="BI2744" t="inlineStr">
        <is>
          <t>Education / Training</t>
        </is>
      </c>
      <c r="BJ2744" s="4">
        <v>46144.75446759259</v>
      </c>
      <c r="BK2744" s="4">
        <v>42529.43181712963</v>
      </c>
      <c r="BL2744" t="inlineStr">
        <is>
          <t>0.0</t>
        </is>
      </c>
      <c r="BM2744" t="inlineStr">
        <is>
          <t>0.0</t>
        </is>
      </c>
      <c r="BN2744" t="inlineStr">
        <is>
          <t>View Create Job Page</t>
        </is>
      </c>
      <c r="BO2744" s="4">
        <v>45399.514652777776</v>
      </c>
      <c r="BP2744">
        <v>165990</v>
      </c>
      <c r="BQ2744">
        <v>4383</v>
      </c>
      <c r="BR2744" t="inlineStr">
        <is>
          <t>Online</t>
        </is>
      </c>
      <c r="BS2744" t="inlineStr">
        <is>
          <t>-It must be paid in Aug. 
-The voucher only can be used from 1 Sept 2021.					
-One company can purchase one time only.					
-Cash voucher can be redeemed only when purchasing any package in Shop or Power Plan package				
-Cash voucher is not credits they got and can not be redeemed as credits. 					
-One cash voucher can be redeemed for one time only. 					
-Cash voucher can not be used with other promotion.
Wrong invoice (Yuli)</t>
        </is>
      </c>
      <c r="BT2744">
        <v>4383</v>
      </c>
      <c r="BU2744"/>
      <c r="BV2744">
        <v>2701527</v>
      </c>
      <c r="BW2744" t="inlineStr">
        <is>
          <t>Follow Up : Lost - Free Portal</t>
        </is>
      </c>
      <c r="BX2744"/>
      <c r="BY2744"/>
      <c r="BZ2744" s="4"/>
      <c r="CA2744"/>
      <c r="CB2744"/>
      <c r="CC2744" s="4"/>
      <c r="CD2744" t="inlineStr">
        <is>
          <t>20</t>
        </is>
      </c>
      <c r="CE2744" t="inlineStr">
        <is>
          <t>0</t>
        </is>
      </c>
      <c r="CF2744" t="inlineStr">
        <is>
          <t>Q2-W01</t>
        </is>
      </c>
      <c r="CG2744"/>
      <c r="CH2744"/>
      <c r="CI2744"/>
      <c r="CJ2744" t="inlineStr">
        <is>
          <t>Paid</t>
        </is>
      </c>
      <c r="CK2744" t="inlineStr">
        <is>
          <t>Not Eligible</t>
        </is>
      </c>
      <c r="CL2744"/>
      <c r="CM2744"/>
    </row>
    <row r="2745" ht="25.5" customHeight="1">
      <c r="A2745" t="inlineStr">
        <is>
          <t>19755</t>
        </is>
      </c>
      <c r="B2745" s="2"/>
      <c r="C2745"/>
      <c r="D2745" s="3">
        <v>46120.68766203704</v>
      </c>
      <c r="E2745" t="inlineStr">
        <is>
          <t>Q2-W01</t>
        </is>
      </c>
      <c r="F2745" t="inlineStr">
        <is>
          <t>Eugene</t>
        </is>
      </c>
      <c r="G2745" t="inlineStr">
        <is>
          <t>Customer</t>
        </is>
      </c>
      <c r="H2745" s="2" t="str">
        <f>=HYPERLINK("https://upbox.ajobthing.my/customer/19755", "https://upbox.ajobthing.my/customer/19755")</f>
        <v>https://upbox.ajobthing.my/customer/19755</v>
      </c>
      <c r="I2745" t="inlineStr">
        <is>
          <t>Ezsolve Sdn Bhd</t>
        </is>
      </c>
      <c r="J2745" t="inlineStr">
        <is>
          <t>Small Fish</t>
        </is>
      </c>
      <c r="K2745" t="inlineStr">
        <is>
          <t>Eugene</t>
        </is>
      </c>
      <c r="L2745" s="4"/>
      <c r="M2745" s="4">
        <v>46120.68775462963</v>
      </c>
      <c r="N2745"/>
      <c r="O2745">
        <v>3888</v>
      </c>
      <c r="P2745" s="4"/>
      <c r="Q2745" s="4"/>
      <c r="R2745"/>
      <c r="S2745"/>
      <c r="T2745" s="4"/>
      <c r="U2745" s="4"/>
      <c r="V2745"/>
      <c r="W2745"/>
      <c r="X2745"/>
      <c r="Y2745" t="inlineStr">
        <is>
          <t>Pending Appointment</t>
        </is>
      </c>
      <c r="Z2745" t="inlineStr">
        <is>
          <t>Hiring Now</t>
        </is>
      </c>
      <c r="AA2745">
        <v>1</v>
      </c>
      <c r="AB2745" t="inlineStr">
        <is>
          <t>No Appointment Made</t>
        </is>
      </c>
      <c r="AC2745"/>
      <c r="AD2745" t="inlineStr">
        <is>
          <t>1 position, based in KL</t>
        </is>
      </c>
      <c r="AE2745"/>
      <c r="AF2745">
        <v>3000</v>
      </c>
      <c r="AG2745" s="4"/>
      <c r="AH2745" s="4"/>
      <c r="AI2745">
        <v>3000</v>
      </c>
      <c r="AJ2745">
        <v>1</v>
      </c>
      <c r="AK2745" t="inlineStr">
        <is>
          <t>No, I don't need at all</t>
        </is>
      </c>
      <c r="AL2745">
        <v>1</v>
      </c>
      <c r="AM2745" t="inlineStr">
        <is>
          <t>No, I don't need at all</t>
        </is>
      </c>
      <c r="AN2745"/>
      <c r="AO2745" t="inlineStr">
        <is>
          <t>No, I don't need at all</t>
        </is>
      </c>
      <c r="AP2745" t="inlineStr">
        <is>
          <t>Once a year (25%)</t>
        </is>
      </c>
      <c r="AQ2745">
        <v>3</v>
      </c>
      <c r="AR2745" t="inlineStr">
        <is>
          <t>Free Job Portal</t>
        </is>
      </c>
      <c r="AS2745" t="inlineStr">
        <is>
          <t>- Headcount: 1
- Hiring Job Details: 1 position,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a year (25%)
- External job portal: Free Job Portal</t>
        </is>
      </c>
      <c r="AT2745">
        <v>85</v>
      </c>
      <c r="AU2745" t="inlineStr">
        <is>
          <t>0.85</t>
        </is>
      </c>
      <c r="AV2745" t="inlineStr">
        <is>
          <t>15</t>
        </is>
      </c>
      <c r="AW2745" t="inlineStr">
        <is>
          <t>0</t>
        </is>
      </c>
      <c r="AX2745" t="inlineStr">
        <is>
          <t>Not Qualified</t>
        </is>
      </c>
      <c r="AY2745" s="4"/>
      <c r="AZ2745"/>
      <c r="BA2745"/>
      <c r="BB2745"/>
      <c r="BC2745" t="inlineStr">
        <is>
          <t>nh</t>
        </is>
      </c>
      <c r="BD2745" s="4">
        <v>46120.68784722222</v>
      </c>
      <c r="BE2745"/>
      <c r="BF2745"/>
      <c r="BG2745" t="inlineStr">
        <is>
          <t>Reschedule</t>
        </is>
      </c>
      <c r="BH2745" t="inlineStr">
        <is>
          <t>Edward Hoo</t>
        </is>
      </c>
      <c r="BI2745"/>
      <c r="BJ2745" s="4">
        <v>46144.752905092595</v>
      </c>
      <c r="BK2745" s="4">
        <v>42478.85664351852</v>
      </c>
      <c r="BL2745" t="inlineStr">
        <is>
          <t>0.0</t>
        </is>
      </c>
      <c r="BM2745" t="inlineStr">
        <is>
          <t>0.0</t>
        </is>
      </c>
      <c r="BN2745" t="inlineStr">
        <is>
          <t>User Visit(Logged In)</t>
        </is>
      </c>
      <c r="BO2745" s="4">
        <v>45420.39344907407</v>
      </c>
      <c r="BP2745">
        <v>165994</v>
      </c>
      <c r="BQ2745"/>
      <c r="BR2745"/>
      <c r="BS2745"/>
      <c r="BT2745"/>
      <c r="BU2745"/>
      <c r="BV2745">
        <v>2693519</v>
      </c>
      <c r="BW2745" t="inlineStr">
        <is>
          <t>Inquire for Hiring Needs : No Hiring</t>
        </is>
      </c>
      <c r="BX2745"/>
      <c r="BY2745"/>
      <c r="BZ2745" s="4"/>
      <c r="CA2745"/>
      <c r="CB2745"/>
      <c r="CC2745" s="4"/>
      <c r="CD2745" t="inlineStr">
        <is>
          <t>20</t>
        </is>
      </c>
      <c r="CE2745" t="inlineStr">
        <is>
          <t>0</t>
        </is>
      </c>
      <c r="CF2745" t="inlineStr">
        <is>
          <t>Q2-W01</t>
        </is>
      </c>
      <c r="CG2745"/>
      <c r="CH2745"/>
      <c r="CI2745"/>
      <c r="CJ2745" t="inlineStr">
        <is>
          <t>No Paid</t>
        </is>
      </c>
      <c r="CK2745" t="inlineStr">
        <is>
          <t>Not Eligible</t>
        </is>
      </c>
      <c r="CL2745"/>
      <c r="CM2745"/>
    </row>
    <row r="2746" ht="25.5" customHeight="1">
      <c r="A2746" t="inlineStr">
        <is>
          <t>203003</t>
        </is>
      </c>
      <c r="B2746" s="2"/>
      <c r="C2746"/>
      <c r="D2746" s="3">
        <v>46120.690833333334</v>
      </c>
      <c r="E2746" t="inlineStr">
        <is>
          <t>Q2-W01</t>
        </is>
      </c>
      <c r="F2746" t="inlineStr">
        <is>
          <t>Angel  Low</t>
        </is>
      </c>
      <c r="G2746" t="inlineStr">
        <is>
          <t>Customer</t>
        </is>
      </c>
      <c r="H2746" s="2" t="str">
        <f>=HYPERLINK("https://upbox.ajobthing.my/customer/203003", "https://upbox.ajobthing.my/customer/203003")</f>
        <v>https://upbox.ajobthing.my/customer/203003</v>
      </c>
      <c r="I2746" t="inlineStr">
        <is>
          <t>PHRI Bio-Tech Sdn Bhd</t>
        </is>
      </c>
      <c r="J2746" t="inlineStr">
        <is>
          <t>Small Fish</t>
        </is>
      </c>
      <c r="K2746" t="inlineStr">
        <is>
          <t>Angel Low</t>
        </is>
      </c>
      <c r="L2746" s="4"/>
      <c r="M2746" s="4">
        <v>46120.68761574074</v>
      </c>
      <c r="N2746"/>
      <c r="O2746">
        <v>3672</v>
      </c>
      <c r="P2746" s="4"/>
      <c r="Q2746" s="4"/>
      <c r="R2746"/>
      <c r="S2746"/>
      <c r="T2746" s="4"/>
      <c r="U2746" s="4"/>
      <c r="V2746"/>
      <c r="W2746"/>
      <c r="X2746"/>
      <c r="Y2746" t="inlineStr">
        <is>
          <t>Pending Appointment</t>
        </is>
      </c>
      <c r="Z2746"/>
      <c r="AA2746">
        <v>1</v>
      </c>
      <c r="AB2746" t="inlineStr">
        <is>
          <t>No Appointment Made</t>
        </is>
      </c>
      <c r="AC2746"/>
      <c r="AD2746" t="inlineStr">
        <is>
          <t xml:space="preserve">1 account </t>
        </is>
      </c>
      <c r="AE2746"/>
      <c r="AF2746"/>
      <c r="AG2746" s="4"/>
      <c r="AH2746" s="4"/>
      <c r="AI2746"/>
      <c r="AJ2746"/>
      <c r="AK2746"/>
      <c r="AL2746"/>
      <c r="AM2746"/>
      <c r="AN2746"/>
      <c r="AO2746"/>
      <c r="AP2746"/>
      <c r="AQ2746"/>
      <c r="AR2746"/>
      <c r="AS2746" t="inlineStr">
        <is>
          <t>- Headcount: 1
- Hiring Job Details: 1 account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746">
        <v>20</v>
      </c>
      <c r="AU2746" t="inlineStr">
        <is>
          <t>0.20</t>
        </is>
      </c>
      <c r="AV2746" t="inlineStr">
        <is>
          <t>5</t>
        </is>
      </c>
      <c r="AW2746" t="inlineStr">
        <is>
          <t>0</t>
        </is>
      </c>
      <c r="AX2746" t="inlineStr">
        <is>
          <t>Not Qualified</t>
        </is>
      </c>
      <c r="AY2746" s="4"/>
      <c r="AZ2746"/>
      <c r="BA2746"/>
      <c r="BB2746"/>
      <c r="BC2746" t="inlineStr">
        <is>
          <t>- Headcount: 1
- Hiring Job Details: 1 account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746" s="4">
        <v>46120.70921296296</v>
      </c>
      <c r="BE2746"/>
      <c r="BF2746"/>
      <c r="BG2746" t="inlineStr">
        <is>
          <t>Reschedule</t>
        </is>
      </c>
      <c r="BH2746" t="inlineStr">
        <is>
          <t>Fauziah Maharan</t>
        </is>
      </c>
      <c r="BI2746"/>
      <c r="BJ2746" s="4">
        <v>46144.75418981481</v>
      </c>
      <c r="BK2746" s="4">
        <v>46120.68619212963</v>
      </c>
      <c r="BL2746" t="inlineStr">
        <is>
          <t>0.0</t>
        </is>
      </c>
      <c r="BM2746" t="inlineStr">
        <is>
          <t>0.0</t>
        </is>
      </c>
      <c r="BN2746"/>
      <c r="BO2746" s="4"/>
      <c r="BP2746">
        <v>165993</v>
      </c>
      <c r="BQ2746"/>
      <c r="BR2746"/>
      <c r="BS2746"/>
      <c r="BT2746"/>
      <c r="BU2746"/>
      <c r="BV2746">
        <v>2693723</v>
      </c>
      <c r="BW2746" t="inlineStr">
        <is>
          <t>Customer Inquiry</t>
        </is>
      </c>
      <c r="BX2746"/>
      <c r="BY2746"/>
      <c r="BZ2746" s="4"/>
      <c r="CA2746"/>
      <c r="CB2746"/>
      <c r="CC2746" s="4"/>
      <c r="CD2746" t="inlineStr">
        <is>
          <t>5</t>
        </is>
      </c>
      <c r="CE2746" t="inlineStr">
        <is>
          <t>0</t>
        </is>
      </c>
      <c r="CF2746" t="inlineStr">
        <is>
          <t>Q2-W01</t>
        </is>
      </c>
      <c r="CG2746"/>
      <c r="CH2746"/>
      <c r="CI2746"/>
      <c r="CJ2746" t="inlineStr">
        <is>
          <t>No Paid</t>
        </is>
      </c>
      <c r="CK2746" t="inlineStr">
        <is>
          <t>Not Eligible</t>
        </is>
      </c>
      <c r="CL2746"/>
      <c r="CM2746"/>
    </row>
    <row r="2747" ht="25.5" customHeight="1">
      <c r="A2747" t="inlineStr">
        <is>
          <t>202978</t>
        </is>
      </c>
      <c r="B2747" s="2"/>
      <c r="C2747"/>
      <c r="D2747" s="3">
        <v>46120.69872685185</v>
      </c>
      <c r="E2747" t="inlineStr">
        <is>
          <t>Q2-W01</t>
        </is>
      </c>
      <c r="F2747" t="inlineStr">
        <is>
          <t>Eugene</t>
        </is>
      </c>
      <c r="G2747" t="inlineStr">
        <is>
          <t>Customer</t>
        </is>
      </c>
      <c r="H2747" s="2" t="str">
        <f>=HYPERLINK("https://upbox.ajobthing.my/customer/202978", "https://upbox.ajobthing.my/customer/202978")</f>
        <v>https://upbox.ajobthing.my/customer/202978</v>
      </c>
      <c r="I2747" t="inlineStr">
        <is>
          <t>Petit Bubs Sdn Bhd</t>
        </is>
      </c>
      <c r="J2747" t="inlineStr">
        <is>
          <t>Small Fish</t>
        </is>
      </c>
      <c r="K2747" t="inlineStr">
        <is>
          <t>Eugene</t>
        </is>
      </c>
      <c r="L2747" s="4"/>
      <c r="M2747" s="4">
        <v>46120.698796296296</v>
      </c>
      <c r="N2747"/>
      <c r="O2747">
        <v>3888</v>
      </c>
      <c r="P2747" s="4"/>
      <c r="Q2747" s="4">
        <v>46128.60125</v>
      </c>
      <c r="R2747"/>
      <c r="S2747">
        <v>3672</v>
      </c>
      <c r="T2747" s="4"/>
      <c r="U2747" s="4"/>
      <c r="V2747"/>
      <c r="W2747"/>
      <c r="X2747"/>
      <c r="Y2747" t="inlineStr">
        <is>
          <t>Pending Appointment</t>
        </is>
      </c>
      <c r="Z2747" t="inlineStr">
        <is>
          <t>Hiring Now</t>
        </is>
      </c>
      <c r="AA2747">
        <v>1</v>
      </c>
      <c r="AB2747" t="inlineStr">
        <is>
          <t>No Appointment Made</t>
        </is>
      </c>
      <c r="AC2747"/>
      <c r="AD2747" t="inlineStr">
        <is>
          <t>1 retail assistant, based in Bangsar</t>
        </is>
      </c>
      <c r="AE2747"/>
      <c r="AF2747">
        <v>3000</v>
      </c>
      <c r="AG2747" s="4"/>
      <c r="AH2747" s="4"/>
      <c r="AI2747">
        <v>3000</v>
      </c>
      <c r="AJ2747">
        <v>1</v>
      </c>
      <c r="AK2747" t="inlineStr">
        <is>
          <t>No, I don't need at all</t>
        </is>
      </c>
      <c r="AL2747">
        <v>1</v>
      </c>
      <c r="AM2747" t="inlineStr">
        <is>
          <t>No, I don't need at all</t>
        </is>
      </c>
      <c r="AN2747"/>
      <c r="AO2747" t="inlineStr">
        <is>
          <t>No, I don't need at all</t>
        </is>
      </c>
      <c r="AP2747" t="inlineStr">
        <is>
          <t>Twice a year (50%)</t>
        </is>
      </c>
      <c r="AQ2747">
        <v>2</v>
      </c>
      <c r="AR2747" t="inlineStr">
        <is>
          <t>Free Job Portal</t>
        </is>
      </c>
      <c r="AS2747" t="inlineStr">
        <is>
          <t>- Headcount: 1
- Hiring Job Details: 1 retail assistant, based in Bangsar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2
- Hiring frequency: Twice a year (50%)
- External job portal: Free Job Portal</t>
        </is>
      </c>
      <c r="AT2747">
        <v>115</v>
      </c>
      <c r="AU2747" t="inlineStr">
        <is>
          <t>1.15</t>
        </is>
      </c>
      <c r="AV2747" t="inlineStr">
        <is>
          <t>15</t>
        </is>
      </c>
      <c r="AW2747" t="inlineStr">
        <is>
          <t>0</t>
        </is>
      </c>
      <c r="AX2747" t="inlineStr">
        <is>
          <t>Not Qualified</t>
        </is>
      </c>
      <c r="AY2747" s="4"/>
      <c r="AZ2747"/>
      <c r="BA2747"/>
      <c r="BB2747"/>
      <c r="BC2747" t="inlineStr">
        <is>
          <t>pending</t>
        </is>
      </c>
      <c r="BD2747" s="4">
        <v>46140.48311342593</v>
      </c>
      <c r="BE2747" t="inlineStr">
        <is>
          <t>pending</t>
        </is>
      </c>
      <c r="BF2747"/>
      <c r="BG2747" t="inlineStr">
        <is>
          <t>Reschedule</t>
        </is>
      </c>
      <c r="BH2747" t="inlineStr">
        <is>
          <t>Edward Hoo</t>
        </is>
      </c>
      <c r="BI2747"/>
      <c r="BJ2747" s="4">
        <v>46144.754166666666</v>
      </c>
      <c r="BK2747" s="4">
        <v>46120.49133101852</v>
      </c>
      <c r="BL2747" t="inlineStr">
        <is>
          <t>0.0</t>
        </is>
      </c>
      <c r="BM2747" t="inlineStr">
        <is>
          <t>0.0</t>
        </is>
      </c>
      <c r="BN2747" t="inlineStr">
        <is>
          <t>User Visit(Logged In)</t>
        </is>
      </c>
      <c r="BO2747" s="4">
        <v>46120.49136574074</v>
      </c>
      <c r="BP2747">
        <v>166006</v>
      </c>
      <c r="BQ2747">
        <v>7642</v>
      </c>
      <c r="BR2747" t="inlineStr">
        <is>
          <t>Manual</t>
        </is>
      </c>
      <c r="BS2747"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- 24 Free Intern / Manager / Part-time / Volunteer / Freelance / Singapore Job
- 1 Free Company Page
- Package valid for 14 months
- AI Capability for each AI Job Ad
- AI Instant Match for 30 profiles
- AI Daily Talent Recommendation for 2 profiles daily
- AI "Open to Work" Detector for 2 profiles
- AI Smart Filter
- AI Post Job Assistant
- Ajobthing CARE
**EXTRA: 2-month extension for total 14-month package validity.
**RM200 Special Discount
**Extra 10 Candidate Profiles Unlock</t>
        </is>
      </c>
      <c r="BT2747"/>
      <c r="BU2747"/>
      <c r="BV2747">
        <v>2732183</v>
      </c>
      <c r="BW2747" t="inlineStr">
        <is>
          <t>Follow Up : Decision Pending</t>
        </is>
      </c>
      <c r="BX2747"/>
      <c r="BY2747"/>
      <c r="BZ2747" s="4"/>
      <c r="CA2747"/>
      <c r="CB2747"/>
      <c r="CC2747" s="4"/>
      <c r="CD2747" t="inlineStr">
        <is>
          <t>20</t>
        </is>
      </c>
      <c r="CE2747" t="inlineStr">
        <is>
          <t>0</t>
        </is>
      </c>
      <c r="CF2747" t="inlineStr">
        <is>
          <t>Q2-W01</t>
        </is>
      </c>
      <c r="CG2747" t="inlineStr">
        <is>
          <t>Q2-W02</t>
        </is>
      </c>
      <c r="CH2747"/>
      <c r="CI2747"/>
      <c r="CJ2747" t="inlineStr">
        <is>
          <t>No Paid</t>
        </is>
      </c>
      <c r="CK2747" t="inlineStr">
        <is>
          <t>Not Eligible</t>
        </is>
      </c>
      <c r="CL2747"/>
      <c r="CM2747"/>
    </row>
    <row r="2748" ht="25.5" customHeight="1">
      <c r="A2748" t="inlineStr">
        <is>
          <t>190107</t>
        </is>
      </c>
      <c r="B2748" s="2"/>
      <c r="C2748"/>
      <c r="D2748" s="3">
        <v>46120.70340277778</v>
      </c>
      <c r="E2748" t="inlineStr">
        <is>
          <t>Q2-W01</t>
        </is>
      </c>
      <c r="F2748" t="inlineStr">
        <is>
          <t>Ken Yi</t>
        </is>
      </c>
      <c r="G2748" t="inlineStr">
        <is>
          <t>Customer</t>
        </is>
      </c>
      <c r="H2748" s="2" t="str">
        <f>=HYPERLINK("https://upbox.ajobthing.my/customer/190107", "https://upbox.ajobthing.my/customer/190107")</f>
        <v>https://upbox.ajobthing.my/customer/190107</v>
      </c>
      <c r="I2748" t="inlineStr">
        <is>
          <t>Property Genie</t>
        </is>
      </c>
      <c r="J2748" t="inlineStr">
        <is>
          <t>Small Fish</t>
        </is>
      </c>
      <c r="K2748" t="inlineStr">
        <is>
          <t>Kenyi</t>
        </is>
      </c>
      <c r="L2748" s="4"/>
      <c r="M2748" s="4">
        <v>46134.67883101852</v>
      </c>
      <c r="N2748"/>
      <c r="O2748">
        <v>3888</v>
      </c>
      <c r="P2748" s="4"/>
      <c r="Q2748" s="4"/>
      <c r="R2748"/>
      <c r="S2748"/>
      <c r="T2748" s="4"/>
      <c r="U2748" s="4"/>
      <c r="V2748"/>
      <c r="W2748"/>
      <c r="X2748"/>
      <c r="Y2748" t="inlineStr">
        <is>
          <t>Pending Appointment</t>
        </is>
      </c>
      <c r="Z2748" t="inlineStr">
        <is>
          <t>Hiring Now</t>
        </is>
      </c>
      <c r="AA2748">
        <v>1</v>
      </c>
      <c r="AB2748" t="inlineStr">
        <is>
          <t>No Appointment Made</t>
        </is>
      </c>
      <c r="AC2748"/>
      <c r="AD2748" t="inlineStr">
        <is>
          <t>Operator 2</t>
        </is>
      </c>
      <c r="AE2748"/>
      <c r="AF2748">
        <v>0</v>
      </c>
      <c r="AG2748" s="4"/>
      <c r="AH2748" s="4"/>
      <c r="AI2748">
        <v>0</v>
      </c>
      <c r="AJ2748">
        <v>1</v>
      </c>
      <c r="AK2748" t="inlineStr">
        <is>
          <t>Yes, I have</t>
        </is>
      </c>
      <c r="AL2748">
        <v>1</v>
      </c>
      <c r="AM2748" t="inlineStr">
        <is>
          <t>No, I don't need at all</t>
        </is>
      </c>
      <c r="AN2748"/>
      <c r="AO2748" t="inlineStr">
        <is>
          <t>No, I don't need at all</t>
        </is>
      </c>
      <c r="AP2748" t="inlineStr">
        <is>
          <t>Every month (100%)</t>
        </is>
      </c>
      <c r="AQ2748">
        <v>2</v>
      </c>
      <c r="AR2748" t="inlineStr">
        <is>
          <t>Jobstreet, Indeed (Paid), Free Job Portal</t>
        </is>
      </c>
      <c r="AS2748" t="inlineStr">
        <is>
          <t>- Headcount: 1
- Hiring Job Details: Operator 2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Every month (100%)
- External job portal: Jobstreet,Indeed (Paid),Free Job Portal</t>
        </is>
      </c>
      <c r="AT2748">
        <v>115</v>
      </c>
      <c r="AU2748" t="inlineStr">
        <is>
          <t>1.15</t>
        </is>
      </c>
      <c r="AV2748" t="inlineStr">
        <is>
          <t>15</t>
        </is>
      </c>
      <c r="AW2748" t="inlineStr">
        <is>
          <t>0</t>
        </is>
      </c>
      <c r="AX2748" t="inlineStr">
        <is>
          <t>Not Qualified</t>
        </is>
      </c>
      <c r="AY2748" s="4"/>
      <c r="AZ2748"/>
      <c r="BA2748"/>
      <c r="BB2748"/>
      <c r="BC2748" t="inlineStr">
        <is>
          <t>- Headcount: 1
- Hiring Job Details: Operator 2
- Hiring Urgency: Hiring Now
- Number of outlets: 1
- Have recruiter team: Yes
- Number of recruiter in company: 1
- Have ATS system: No, I don't need at all
- Have career website: No, I don't need at all
- Current hiring budget: RM0.00
- Whole year budget: RM0.00
- Whole year number of vacancies: 2
- Hiring frequency: Every month (100%)
- External job portal: Jobstreet,Indeed (Paid),Free Job Portal</t>
        </is>
      </c>
      <c r="BD2748" s="4">
        <v>46120.70921296296</v>
      </c>
      <c r="BE2748"/>
      <c r="BF2748"/>
      <c r="BG2748" t="inlineStr">
        <is>
          <t>Reschedule</t>
        </is>
      </c>
      <c r="BH2748" t="inlineStr">
        <is>
          <t>Fauziah Maharan</t>
        </is>
      </c>
      <c r="BI2748"/>
      <c r="BJ2748" s="4">
        <v>46144.75234953704</v>
      </c>
      <c r="BK2748" s="4">
        <v>45763.47652777778</v>
      </c>
      <c r="BL2748" t="inlineStr">
        <is>
          <t>0.0</t>
        </is>
      </c>
      <c r="BM2748" t="inlineStr">
        <is>
          <t>0.0</t>
        </is>
      </c>
      <c r="BN2748" t="inlineStr">
        <is>
          <t>Instant Register</t>
        </is>
      </c>
      <c r="BO2748" s="4">
        <v>45763.476539351854</v>
      </c>
      <c r="BP2748">
        <v>168369</v>
      </c>
      <c r="BQ2748"/>
      <c r="BR2748"/>
      <c r="BS2748"/>
      <c r="BT2748"/>
      <c r="BU2748"/>
      <c r="BV2748">
        <v>2693734</v>
      </c>
      <c r="BW2748" t="inlineStr">
        <is>
          <t>Customer Inquiry</t>
        </is>
      </c>
      <c r="BX2748"/>
      <c r="BY2748"/>
      <c r="BZ2748" s="4"/>
      <c r="CA2748"/>
      <c r="CB2748"/>
      <c r="CC2748" s="4"/>
      <c r="CD2748" t="inlineStr">
        <is>
          <t>20</t>
        </is>
      </c>
      <c r="CE2748" t="inlineStr">
        <is>
          <t>0</t>
        </is>
      </c>
      <c r="CF2748" t="inlineStr">
        <is>
          <t>Q2-W03</t>
        </is>
      </c>
      <c r="CG2748"/>
      <c r="CH2748"/>
      <c r="CI2748"/>
      <c r="CJ2748" t="inlineStr">
        <is>
          <t>No Paid</t>
        </is>
      </c>
      <c r="CK2748" t="inlineStr">
        <is>
          <t>Not Eligible</t>
        </is>
      </c>
      <c r="CL2748"/>
      <c r="CM2748"/>
    </row>
    <row r="2749" ht="25.5" customHeight="1">
      <c r="A2749" t="inlineStr">
        <is>
          <t>4260956</t>
        </is>
      </c>
      <c r="B2749" s="2"/>
      <c r="C2749"/>
      <c r="D2749" s="3">
        <v>46120.71244212963</v>
      </c>
      <c r="E2749" t="inlineStr">
        <is>
          <t>Q2-W01</t>
        </is>
      </c>
      <c r="F2749" t="inlineStr">
        <is>
          <t>Eugene</t>
        </is>
      </c>
      <c r="G2749" t="inlineStr">
        <is>
          <t>Lead</t>
        </is>
      </c>
      <c r="H2749" s="2" t="str">
        <f>=HYPERLINK("https://upbox.ajobthing.my/leads/4260956", "https://upbox.ajobthing.my/leads/4260956")</f>
        <v>https://upbox.ajobthing.my/leads/4260956</v>
      </c>
      <c r="I2749" t="inlineStr">
        <is>
          <t>MS ASSET SDN BHD</t>
        </is>
      </c>
      <c r="J2749" t="inlineStr">
        <is>
          <t>Small Fish</t>
        </is>
      </c>
      <c r="K2749" t="inlineStr">
        <is>
          <t>Eugene</t>
        </is>
      </c>
      <c r="L2749" s="4"/>
      <c r="M2749" s="4">
        <v>46120.712916666664</v>
      </c>
      <c r="N2749"/>
      <c r="O2749">
        <v>3888</v>
      </c>
      <c r="P2749" s="4"/>
      <c r="Q2749" s="4"/>
      <c r="R2749"/>
      <c r="S2749"/>
      <c r="T2749" s="4"/>
      <c r="U2749" s="4"/>
      <c r="V2749"/>
      <c r="W2749"/>
      <c r="X2749"/>
      <c r="Y2749" t="inlineStr">
        <is>
          <t>Pending Appointment</t>
        </is>
      </c>
      <c r="Z2749" t="inlineStr">
        <is>
          <t>Hiring Now</t>
        </is>
      </c>
      <c r="AA2749">
        <v>1</v>
      </c>
      <c r="AB2749" t="inlineStr">
        <is>
          <t>No Appointment Made</t>
        </is>
      </c>
      <c r="AC2749"/>
      <c r="AD2749" t="inlineStr">
        <is>
          <t>1 senior account, based in Cheras</t>
        </is>
      </c>
      <c r="AE2749"/>
      <c r="AF2749">
        <v>1200</v>
      </c>
      <c r="AG2749" s="4"/>
      <c r="AH2749" s="4"/>
      <c r="AI2749">
        <v>3600</v>
      </c>
      <c r="AJ2749">
        <v>1</v>
      </c>
      <c r="AK2749" t="inlineStr">
        <is>
          <t>No, I don't need at all</t>
        </is>
      </c>
      <c r="AL2749">
        <v>1</v>
      </c>
      <c r="AM2749" t="inlineStr">
        <is>
          <t>No, I don't need at all</t>
        </is>
      </c>
      <c r="AN2749"/>
      <c r="AO2749" t="inlineStr">
        <is>
          <t>No, I don't need at all</t>
        </is>
      </c>
      <c r="AP2749" t="inlineStr">
        <is>
          <t>Once a year (25%)</t>
        </is>
      </c>
      <c r="AQ2749">
        <v>3</v>
      </c>
      <c r="AR2749" t="inlineStr">
        <is>
          <t>Free Job Portal</t>
        </is>
      </c>
      <c r="AS2749" t="inlineStr">
        <is>
          <t>- Headcount: 1
- Hiring Job Details: 1 senior account, based in Cheras
- Hiring Urgency: Hiring Now
- Number of outlets: 1
- Have recruiter team: No, I don't need at all
- Number of recruiter in company: 1
- Have ATS system: No, I don't need at all
- Have career website: No, I don't need at all
- Current hiring budget: RM1,200
- Whole year budget: RM3,600.00
- Whole year number of vacancies: 3
- Hiring frequency: Once a year (25%)
- External job portal: Free Job Portal</t>
        </is>
      </c>
      <c r="AT2749">
        <v>110</v>
      </c>
      <c r="AU2749" t="inlineStr">
        <is>
          <t>1.10</t>
        </is>
      </c>
      <c r="AV2749" t="inlineStr">
        <is>
          <t>15</t>
        </is>
      </c>
      <c r="AW2749" t="inlineStr">
        <is>
          <t>0</t>
        </is>
      </c>
      <c r="AX2749" t="inlineStr">
        <is>
          <t>Not Qualified</t>
        </is>
      </c>
      <c r="AY2749" s="4"/>
      <c r="AZ2749"/>
      <c r="BA2749"/>
      <c r="BB2749"/>
      <c r="BC2749"/>
      <c r="BD2749" s="4"/>
      <c r="BE2749"/>
      <c r="BF2749"/>
      <c r="BG2749" t="inlineStr">
        <is>
          <t>Reschedule</t>
        </is>
      </c>
      <c r="BH2749" t="inlineStr">
        <is>
          <t>Edward Hoo</t>
        </is>
      </c>
      <c r="BI2749"/>
      <c r="BJ2749" s="4">
        <v>46144.75576388889</v>
      </c>
      <c r="BK2749" s="4">
        <v>46120.664618055554</v>
      </c>
      <c r="BL2749" t="inlineStr">
        <is>
          <t>0.0</t>
        </is>
      </c>
      <c r="BM2749" t="inlineStr">
        <is>
          <t>0.0</t>
        </is>
      </c>
      <c r="BN2749"/>
      <c r="BO2749" s="4"/>
      <c r="BP2749">
        <v>166016</v>
      </c>
      <c r="BQ2749"/>
      <c r="BR2749"/>
      <c r="BS2749"/>
      <c r="BT2749"/>
      <c r="BU2749"/>
      <c r="BV2749"/>
      <c r="BW2749"/>
      <c r="BX2749"/>
      <c r="BY2749"/>
      <c r="BZ2749" s="4"/>
      <c r="CA2749"/>
      <c r="CB2749"/>
      <c r="CC2749" s="4"/>
      <c r="CD2749" t="inlineStr">
        <is>
          <t>20</t>
        </is>
      </c>
      <c r="CE2749" t="inlineStr">
        <is>
          <t>0</t>
        </is>
      </c>
      <c r="CF2749" t="inlineStr">
        <is>
          <t>Q2-W01</t>
        </is>
      </c>
      <c r="CG2749"/>
      <c r="CH2749"/>
      <c r="CI2749"/>
      <c r="CJ2749" t="inlineStr">
        <is>
          <t>No Paid</t>
        </is>
      </c>
      <c r="CK2749" t="inlineStr">
        <is>
          <t>Not Eligible</t>
        </is>
      </c>
      <c r="CL2749"/>
      <c r="CM2749"/>
    </row>
    <row r="2750" ht="25.5" customHeight="1">
      <c r="A2750" t="inlineStr">
        <is>
          <t>196479</t>
        </is>
      </c>
      <c r="B2750" s="2"/>
      <c r="C2750"/>
      <c r="D2750" s="3">
        <v>46120.715995370374</v>
      </c>
      <c r="E2750" t="inlineStr">
        <is>
          <t>Q2-W01</t>
        </is>
      </c>
      <c r="F2750" t="inlineStr">
        <is>
          <t>Clover</t>
        </is>
      </c>
      <c r="G2750" t="inlineStr">
        <is>
          <t>Customer</t>
        </is>
      </c>
      <c r="H2750" s="2" t="str">
        <f>=HYPERLINK("https://upbox.ajobthing.my/customer/196479", "https://upbox.ajobthing.my/customer/196479")</f>
        <v>https://upbox.ajobthing.my/customer/196479</v>
      </c>
      <c r="I2750" t="inlineStr">
        <is>
          <t>I Engsolution Sdn Bhd</t>
        </is>
      </c>
      <c r="J2750" t="inlineStr">
        <is>
          <t>Small Fish</t>
        </is>
      </c>
      <c r="K2750" t="inlineStr">
        <is>
          <t>Clover</t>
        </is>
      </c>
      <c r="L2750" s="4"/>
      <c r="M2750" s="4">
        <v>46120.716261574074</v>
      </c>
      <c r="N2750"/>
      <c r="O2750">
        <v>3888</v>
      </c>
      <c r="P2750" s="4"/>
      <c r="Q2750" s="4">
        <v>46120.68519675926</v>
      </c>
      <c r="R2750"/>
      <c r="S2750">
        <v>0</v>
      </c>
      <c r="T2750" s="4">
        <v>45933.451527777775</v>
      </c>
      <c r="U2750" s="4"/>
      <c r="V2750"/>
      <c r="W2750">
        <v>864</v>
      </c>
      <c r="X2750"/>
      <c r="Y2750" t="inlineStr">
        <is>
          <t>Pending Appointment</t>
        </is>
      </c>
      <c r="Z2750" t="inlineStr">
        <is>
          <t>Hiring Later</t>
        </is>
      </c>
      <c r="AA2750">
        <v>2</v>
      </c>
      <c r="AB2750" t="inlineStr">
        <is>
          <t>No Appointment Made</t>
        </is>
      </c>
      <c r="AC2750"/>
      <c r="AD2750" t="inlineStr">
        <is>
          <t>Inform 3 free ads, future maybe hiring technician x1-2,  klang &amp; sepang,  suggest stand</t>
        </is>
      </c>
      <c r="AE2750"/>
      <c r="AF2750">
        <v>3000</v>
      </c>
      <c r="AG2750" s="4"/>
      <c r="AH2750" s="4"/>
      <c r="AI2750">
        <v>3000</v>
      </c>
      <c r="AJ2750">
        <v>1</v>
      </c>
      <c r="AK2750" t="inlineStr">
        <is>
          <t>No, but I want in future</t>
        </is>
      </c>
      <c r="AL2750">
        <v>1</v>
      </c>
      <c r="AM2750" t="inlineStr">
        <is>
          <t>No, but I want in future</t>
        </is>
      </c>
      <c r="AN2750"/>
      <c r="AO2750" t="inlineStr">
        <is>
          <t>No, but I want in future</t>
        </is>
      </c>
      <c r="AP2750" t="inlineStr">
        <is>
          <t>Twice a year (50%)</t>
        </is>
      </c>
      <c r="AQ2750">
        <v>2</v>
      </c>
      <c r="AR2750" t="inlineStr">
        <is>
          <t>Did not use any job portal</t>
        </is>
      </c>
      <c r="AS2750" t="inlineStr">
        <is>
          <t>- Headcount: 2
- Hiring Job Details: Inform 3 free ads; future possible hire 1-2 technicians in Klang &amp; Sepang;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750">
        <v>95</v>
      </c>
      <c r="AU2750" t="inlineStr">
        <is>
          <t>0.95</t>
        </is>
      </c>
      <c r="AV2750" t="inlineStr">
        <is>
          <t>15</t>
        </is>
      </c>
      <c r="AW2750" t="inlineStr">
        <is>
          <t>0</t>
        </is>
      </c>
      <c r="AX2750" t="inlineStr">
        <is>
          <t>Not Qualified</t>
        </is>
      </c>
      <c r="AY2750" s="4"/>
      <c r="AZ2750"/>
      <c r="BA2750"/>
      <c r="BB2750"/>
      <c r="BC2750" t="inlineStr">
        <is>
          <t>Call npu</t>
        </is>
      </c>
      <c r="BD2750" s="4">
        <v>46135.73844907407</v>
      </c>
      <c r="BE2750" t="inlineStr">
        <is>
          <t>paid</t>
        </is>
      </c>
      <c r="BF2750"/>
      <c r="BG2750" t="inlineStr">
        <is>
          <t>Reschedule</t>
        </is>
      </c>
      <c r="BH2750" t="inlineStr">
        <is>
          <t>Reagen</t>
        </is>
      </c>
      <c r="BI2750" t="inlineStr">
        <is>
          <t>Repair / Maintenance</t>
        </is>
      </c>
      <c r="BJ2750" s="4">
        <v>46144.75283564815</v>
      </c>
      <c r="BK2750" s="4">
        <v>45924.46363425926</v>
      </c>
      <c r="BL2750" t="inlineStr">
        <is>
          <t>864.0</t>
        </is>
      </c>
      <c r="BM2750" t="inlineStr">
        <is>
          <t>0.0</t>
        </is>
      </c>
      <c r="BN2750" t="inlineStr">
        <is>
          <t>View Jobmanager Page</t>
        </is>
      </c>
      <c r="BO2750" s="4">
        <v>46135.73788194444</v>
      </c>
      <c r="BP2750">
        <v>166019</v>
      </c>
      <c r="BQ2750">
        <v>121059</v>
      </c>
      <c r="BR2750" t="inlineStr">
        <is>
          <t>Proforma</t>
        </is>
      </c>
      <c r="BS2750" t="inlineStr">
        <is>
          <t>Free Part-Time Job</t>
        </is>
      </c>
      <c r="BT2750">
        <v>82966</v>
      </c>
      <c r="BU2750"/>
      <c r="BV2750">
        <v>2725110</v>
      </c>
      <c r="BW2750" t="inlineStr">
        <is>
          <t>No Answer : Voicemail - WA sent to customer</t>
        </is>
      </c>
      <c r="BX2750"/>
      <c r="BY2750"/>
      <c r="BZ2750" s="4"/>
      <c r="CA2750"/>
      <c r="CB2750"/>
      <c r="CC2750" s="4"/>
      <c r="CD2750" t="inlineStr">
        <is>
          <t>20</t>
        </is>
      </c>
      <c r="CE2750" t="inlineStr">
        <is>
          <t>0</t>
        </is>
      </c>
      <c r="CF2750" t="inlineStr">
        <is>
          <t>Q2-W01</t>
        </is>
      </c>
      <c r="CG2750" t="inlineStr">
        <is>
          <t>Q2-W01</t>
        </is>
      </c>
      <c r="CH2750"/>
      <c r="CI2750"/>
      <c r="CJ2750" t="inlineStr">
        <is>
          <t>Paid</t>
        </is>
      </c>
      <c r="CK2750" t="inlineStr">
        <is>
          <t>Not Eligible</t>
        </is>
      </c>
      <c r="CL2750"/>
      <c r="CM2750"/>
    </row>
    <row r="2751" ht="25.5" customHeight="1">
      <c r="A2751" t="inlineStr">
        <is>
          <t>203010</t>
        </is>
      </c>
      <c r="B2751" s="2"/>
      <c r="C2751"/>
      <c r="D2751" s="3">
        <v>46120.73412037037</v>
      </c>
      <c r="E2751" t="inlineStr">
        <is>
          <t>Q2-W01</t>
        </is>
      </c>
      <c r="F2751" t="inlineStr">
        <is>
          <t>Clover</t>
        </is>
      </c>
      <c r="G2751" t="inlineStr">
        <is>
          <t>Customer</t>
        </is>
      </c>
      <c r="H2751" s="2" t="str">
        <f>=HYPERLINK("https://upbox.ajobthing.my/customer/203010", "https://upbox.ajobthing.my/customer/203010")</f>
        <v>https://upbox.ajobthing.my/customer/203010</v>
      </c>
      <c r="I2751" t="inlineStr">
        <is>
          <t>Niture Sdn Bhd</t>
        </is>
      </c>
      <c r="J2751" t="inlineStr">
        <is>
          <t>Small Fish</t>
        </is>
      </c>
      <c r="K2751" t="inlineStr">
        <is>
          <t>Clover</t>
        </is>
      </c>
      <c r="L2751" s="4"/>
      <c r="M2751" s="4">
        <v>46120.73436342592</v>
      </c>
      <c r="N2751"/>
      <c r="O2751">
        <v>3888</v>
      </c>
      <c r="P2751" s="4"/>
      <c r="Q2751" s="4"/>
      <c r="R2751"/>
      <c r="S2751"/>
      <c r="T2751" s="4"/>
      <c r="U2751" s="4"/>
      <c r="V2751"/>
      <c r="W2751"/>
      <c r="X2751"/>
      <c r="Y2751" t="inlineStr">
        <is>
          <t>Pending Appointment</t>
        </is>
      </c>
      <c r="Z2751" t="inlineStr">
        <is>
          <t>Hiring Now</t>
        </is>
      </c>
      <c r="AA2751">
        <v>1</v>
      </c>
      <c r="AB2751" t="inlineStr">
        <is>
          <t>No Appointment Made</t>
        </is>
      </c>
      <c r="AC2751"/>
      <c r="AD2751" t="inlineStr">
        <is>
          <t>Pic Ms Lian, hire marketing exec x1, all races, fresh grads / junior, handle social media,  2500 salary, previous use Indeed, ergonomic puchong, suggest stand</t>
        </is>
      </c>
      <c r="AE2751"/>
      <c r="AF2751">
        <v>3000</v>
      </c>
      <c r="AG2751" s="4"/>
      <c r="AH2751" s="4"/>
      <c r="AI2751">
        <v>3000</v>
      </c>
      <c r="AJ2751">
        <v>1</v>
      </c>
      <c r="AK2751" t="inlineStr">
        <is>
          <t>No, but I want in future</t>
        </is>
      </c>
      <c r="AL2751">
        <v>1</v>
      </c>
      <c r="AM2751" t="inlineStr">
        <is>
          <t>No, but I want in future</t>
        </is>
      </c>
      <c r="AN2751"/>
      <c r="AO2751" t="inlineStr">
        <is>
          <t>No, but I want in future</t>
        </is>
      </c>
      <c r="AP2751" t="inlineStr">
        <is>
          <t>Twice a year (50%)</t>
        </is>
      </c>
      <c r="AQ2751">
        <v>1</v>
      </c>
      <c r="AR2751" t="inlineStr">
        <is>
          <t>Indeed (Paid)</t>
        </is>
      </c>
      <c r="AS2751" t="inlineStr">
        <is>
          <t>- Headcount: 1
- Hiring Job Details: 1 marketing exec (all races, fresh grads/junior, handle social media, RM2500 salary, previous Indeed use, ergonomic Puchong, suggest stand; contact Pic Ms Lian)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1
- Hiring frequency: Twice a year (50%)
- External job portal: Indeed (Paid)</t>
        </is>
      </c>
      <c r="AT2751">
        <v>115</v>
      </c>
      <c r="AU2751" t="inlineStr">
        <is>
          <t>1.15</t>
        </is>
      </c>
      <c r="AV2751" t="inlineStr">
        <is>
          <t>15</t>
        </is>
      </c>
      <c r="AW2751" t="inlineStr">
        <is>
          <t>0</t>
        </is>
      </c>
      <c r="AX2751" t="inlineStr">
        <is>
          <t>Not Qualified</t>
        </is>
      </c>
      <c r="AY2751" s="4"/>
      <c r="AZ2751"/>
      <c r="BA2751"/>
      <c r="BB2751"/>
      <c r="BC2751" t="inlineStr">
        <is>
          <t>Prefer free</t>
        </is>
      </c>
      <c r="BD2751" s="4">
        <v>46121.4597337963</v>
      </c>
      <c r="BE2751"/>
      <c r="BF2751"/>
      <c r="BG2751" t="inlineStr">
        <is>
          <t>Reschedule</t>
        </is>
      </c>
      <c r="BH2751" t="inlineStr">
        <is>
          <t>Reagen</t>
        </is>
      </c>
      <c r="BI2751" t="inlineStr">
        <is>
          <t>Retail / Merchandise</t>
        </is>
      </c>
      <c r="BJ2751" s="4">
        <v>46144.75418981481</v>
      </c>
      <c r="BK2751" s="4">
        <v>46120.70946759259</v>
      </c>
      <c r="BL2751" t="inlineStr">
        <is>
          <t>0.0</t>
        </is>
      </c>
      <c r="BM2751" t="inlineStr">
        <is>
          <t>0.0</t>
        </is>
      </c>
      <c r="BN2751" t="inlineStr">
        <is>
          <t>View Company Page</t>
        </is>
      </c>
      <c r="BO2751" s="4">
        <v>46120.71487268519</v>
      </c>
      <c r="BP2751">
        <v>166028</v>
      </c>
      <c r="BQ2751"/>
      <c r="BR2751"/>
      <c r="BS2751"/>
      <c r="BT2751"/>
      <c r="BU2751"/>
      <c r="BV2751">
        <v>2694880</v>
      </c>
      <c r="BW2751" t="inlineStr">
        <is>
          <t>Follow Up : Lost - Free Portal</t>
        </is>
      </c>
      <c r="BX2751"/>
      <c r="BY2751"/>
      <c r="BZ2751" s="4"/>
      <c r="CA2751"/>
      <c r="CB2751"/>
      <c r="CC2751" s="4"/>
      <c r="CD2751" t="inlineStr">
        <is>
          <t>20</t>
        </is>
      </c>
      <c r="CE2751" t="inlineStr">
        <is>
          <t>0</t>
        </is>
      </c>
      <c r="CF2751" t="inlineStr">
        <is>
          <t>Q2-W01</t>
        </is>
      </c>
      <c r="CG2751"/>
      <c r="CH2751"/>
      <c r="CI2751"/>
      <c r="CJ2751" t="inlineStr">
        <is>
          <t>No Paid</t>
        </is>
      </c>
      <c r="CK2751" t="inlineStr">
        <is>
          <t>Not Eligible</t>
        </is>
      </c>
      <c r="CL2751"/>
      <c r="CM2751"/>
    </row>
    <row r="2752" ht="25.5" customHeight="1">
      <c r="A2752" t="inlineStr">
        <is>
          <t>202996</t>
        </is>
      </c>
      <c r="B2752" s="2"/>
      <c r="C2752"/>
      <c r="D2752" s="3">
        <v>46120.74166666667</v>
      </c>
      <c r="E2752" t="inlineStr">
        <is>
          <t>Q2-W01</t>
        </is>
      </c>
      <c r="F2752" t="inlineStr">
        <is>
          <t>Luqman</t>
        </is>
      </c>
      <c r="G2752" t="inlineStr">
        <is>
          <t>Customer</t>
        </is>
      </c>
      <c r="H2752" s="2" t="str">
        <f>=HYPERLINK("https://upbox.ajobthing.my/customer/202996", "https://upbox.ajobthing.my/customer/202996")</f>
        <v>https://upbox.ajobthing.my/customer/202996</v>
      </c>
      <c r="I2752" t="inlineStr">
        <is>
          <t>Ikhwan Group</t>
        </is>
      </c>
      <c r="J2752" t="inlineStr">
        <is>
          <t>Small Fish</t>
        </is>
      </c>
      <c r="K2752" t="inlineStr">
        <is>
          <t>Luqman</t>
        </is>
      </c>
      <c r="L2752" s="4"/>
      <c r="M2752" s="4">
        <v>46125.464953703704</v>
      </c>
      <c r="N2752"/>
      <c r="O2752">
        <v>1512</v>
      </c>
      <c r="P2752" s="4"/>
      <c r="Q2752" s="4">
        <v>46120.661770833336</v>
      </c>
      <c r="R2752"/>
      <c r="S2752">
        <v>0</v>
      </c>
      <c r="T2752" s="4"/>
      <c r="U2752" s="4"/>
      <c r="V2752"/>
      <c r="W2752"/>
      <c r="X2752"/>
      <c r="Y2752" t="inlineStr">
        <is>
          <t>Pending Appointment</t>
        </is>
      </c>
      <c r="Z2752" t="inlineStr">
        <is>
          <t>Hiring Later</t>
        </is>
      </c>
      <c r="AA2752">
        <v>1</v>
      </c>
      <c r="AB2752" t="inlineStr">
        <is>
          <t>No Appointment Made</t>
        </is>
      </c>
      <c r="AC2752"/>
      <c r="AD2752" t="inlineStr">
        <is>
          <t xml:space="preserve">1. Telesales Agent </t>
        </is>
      </c>
      <c r="AE2752"/>
      <c r="AF2752">
        <v>1200</v>
      </c>
      <c r="AG2752" s="4"/>
      <c r="AH2752" s="4"/>
      <c r="AI2752">
        <v>1200</v>
      </c>
      <c r="AJ2752"/>
      <c r="AK2752" t="inlineStr">
        <is>
          <t>No, I don't need at all</t>
        </is>
      </c>
      <c r="AL2752">
        <v>1</v>
      </c>
      <c r="AM2752" t="inlineStr">
        <is>
          <t>No, I don't need at all</t>
        </is>
      </c>
      <c r="AN2752"/>
      <c r="AO2752" t="inlineStr">
        <is>
          <t>No, I don't need at all</t>
        </is>
      </c>
      <c r="AP2752" t="inlineStr">
        <is>
          <t>Once a year (25%)</t>
        </is>
      </c>
      <c r="AQ2752">
        <v>1</v>
      </c>
      <c r="AR2752" t="inlineStr">
        <is>
          <t>Free Job Portal</t>
        </is>
      </c>
      <c r="AS2752" t="inlineStr">
        <is>
          <t>- Headcount: 1
- Hiring Job Details: 1 Telesales Agent
- Hiring Urgency: Hiring Later
- Number of outlets: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2752">
        <v>115</v>
      </c>
      <c r="AU2752" t="inlineStr">
        <is>
          <t>1.15</t>
        </is>
      </c>
      <c r="AV2752" t="inlineStr">
        <is>
          <t>15</t>
        </is>
      </c>
      <c r="AW2752" t="inlineStr">
        <is>
          <t>0</t>
        </is>
      </c>
      <c r="AX2752" t="inlineStr">
        <is>
          <t>Not Qualified</t>
        </is>
      </c>
      <c r="AY2752" s="4"/>
      <c r="AZ2752"/>
      <c r="BA2752"/>
      <c r="BB2752"/>
      <c r="BC2752" t="inlineStr">
        <is>
          <t>Budget concern</t>
        </is>
      </c>
      <c r="BD2752" s="4">
        <v>46125.743425925924</v>
      </c>
      <c r="BE2752" t="inlineStr">
        <is>
          <t>paid</t>
        </is>
      </c>
      <c r="BF2752"/>
      <c r="BG2752" t="inlineStr">
        <is>
          <t>Reschedule</t>
        </is>
      </c>
      <c r="BH2752" t="inlineStr">
        <is>
          <t>Edward Hoo</t>
        </is>
      </c>
      <c r="BI2752" t="inlineStr">
        <is>
          <t>Insurance</t>
        </is>
      </c>
      <c r="BJ2752" s="4">
        <v>46144.75418981481</v>
      </c>
      <c r="BK2752" s="4">
        <v>46120.643055555556</v>
      </c>
      <c r="BL2752" t="inlineStr">
        <is>
          <t>0.0</t>
        </is>
      </c>
      <c r="BM2752" t="inlineStr">
        <is>
          <t>0.0</t>
        </is>
      </c>
      <c r="BN2752" t="inlineStr">
        <is>
          <t>View Create Job Page V4</t>
        </is>
      </c>
      <c r="BO2752" s="4">
        <v>46120.668761574074</v>
      </c>
      <c r="BP2752">
        <v>166665</v>
      </c>
      <c r="BQ2752">
        <v>121029</v>
      </c>
      <c r="BR2752" t="inlineStr">
        <is>
          <t>Proforma</t>
        </is>
      </c>
      <c r="BS2752" t="inlineStr">
        <is>
          <t>Free Part-Time Job</t>
        </is>
      </c>
      <c r="BT2752"/>
      <c r="BU2752"/>
      <c r="BV2752">
        <v>2702182</v>
      </c>
      <c r="BW2752" t="inlineStr">
        <is>
          <t>Follow Up : Budget Concern</t>
        </is>
      </c>
      <c r="BX2752"/>
      <c r="BY2752"/>
      <c r="BZ2752" s="4"/>
      <c r="CA2752"/>
      <c r="CB2752"/>
      <c r="CC2752" s="4"/>
      <c r="CD2752" t="inlineStr">
        <is>
          <t>20</t>
        </is>
      </c>
      <c r="CE2752" t="inlineStr">
        <is>
          <t>0</t>
        </is>
      </c>
      <c r="CF2752" t="inlineStr">
        <is>
          <t>Q2-W02</t>
        </is>
      </c>
      <c r="CG2752" t="inlineStr">
        <is>
          <t>Q2-W01</t>
        </is>
      </c>
      <c r="CH2752"/>
      <c r="CI2752"/>
      <c r="CJ2752" t="inlineStr">
        <is>
          <t>No Paid</t>
        </is>
      </c>
      <c r="CK2752" t="inlineStr">
        <is>
          <t>Not Eligible</t>
        </is>
      </c>
      <c r="CL2752"/>
      <c r="CM2752"/>
    </row>
    <row r="2753" ht="25.5" customHeight="1">
      <c r="A2753" t="inlineStr">
        <is>
          <t>49798</t>
        </is>
      </c>
      <c r="B2753" s="2"/>
      <c r="C2753"/>
      <c r="D2753" s="3">
        <v>46120.74864583334</v>
      </c>
      <c r="E2753" t="inlineStr">
        <is>
          <t>Q2-W01</t>
        </is>
      </c>
      <c r="F2753" t="inlineStr">
        <is>
          <t>Angel  Low</t>
        </is>
      </c>
      <c r="G2753" t="inlineStr">
        <is>
          <t>Customer</t>
        </is>
      </c>
      <c r="H2753" s="2" t="str">
        <f>=HYPERLINK("https://upbox.ajobthing.my/customer/49798", "https://upbox.ajobthing.my/customer/49798")</f>
        <v>https://upbox.ajobthing.my/customer/49798</v>
      </c>
      <c r="I2753" t="inlineStr">
        <is>
          <t>Ehsan Bakti Sdn Bhd</t>
        </is>
      </c>
      <c r="J2753" t="inlineStr">
        <is>
          <t>Small Fish</t>
        </is>
      </c>
      <c r="K2753" t="inlineStr">
        <is>
          <t>Angel Low</t>
        </is>
      </c>
      <c r="L2753" s="4"/>
      <c r="M2753" s="4">
        <v>46120.75219907407</v>
      </c>
      <c r="N2753"/>
      <c r="O2753">
        <v>3672</v>
      </c>
      <c r="P2753" s="4"/>
      <c r="Q2753" s="4"/>
      <c r="R2753"/>
      <c r="S2753"/>
      <c r="T2753" s="4"/>
      <c r="U2753" s="4"/>
      <c r="V2753"/>
      <c r="W2753"/>
      <c r="X2753"/>
      <c r="Y2753" t="inlineStr">
        <is>
          <t>Pending Appointment</t>
        </is>
      </c>
      <c r="Z2753"/>
      <c r="AA2753">
        <v>1</v>
      </c>
      <c r="AB2753" t="inlineStr">
        <is>
          <t>No Appointment Made</t>
        </is>
      </c>
      <c r="AC2753"/>
      <c r="AD2753" t="inlineStr">
        <is>
          <t xml:space="preserve">1 purchasing exec </t>
        </is>
      </c>
      <c r="AE2753"/>
      <c r="AF2753"/>
      <c r="AG2753" s="4"/>
      <c r="AH2753" s="4"/>
      <c r="AI2753"/>
      <c r="AJ2753"/>
      <c r="AK2753"/>
      <c r="AL2753"/>
      <c r="AM2753"/>
      <c r="AN2753"/>
      <c r="AO2753"/>
      <c r="AP2753"/>
      <c r="AQ2753"/>
      <c r="AR2753"/>
      <c r="AS2753" t="inlineStr">
        <is>
          <t>- Headcount: 1
- Hiring Job Details: 1 purchasing exec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753">
        <v>60</v>
      </c>
      <c r="AU2753" t="inlineStr">
        <is>
          <t>0.60</t>
        </is>
      </c>
      <c r="AV2753" t="inlineStr">
        <is>
          <t>5</t>
        </is>
      </c>
      <c r="AW2753" t="inlineStr">
        <is>
          <t>0</t>
        </is>
      </c>
      <c r="AX2753" t="inlineStr">
        <is>
          <t>Not Qualified</t>
        </is>
      </c>
      <c r="AY2753" s="4"/>
      <c r="AZ2753"/>
      <c r="BA2753"/>
      <c r="BB2753"/>
      <c r="BC2753" t="inlineStr">
        <is>
          <t>new lead PIC send in lead , Mr Navin 019-5970212.  handle operation</t>
        </is>
      </c>
      <c r="BD2753" s="4">
        <v>46120.756944444445</v>
      </c>
      <c r="BE2753"/>
      <c r="BF2753"/>
      <c r="BG2753" t="inlineStr">
        <is>
          <t>Reschedule</t>
        </is>
      </c>
      <c r="BH2753" t="inlineStr">
        <is>
          <t>Fauziah Maharan</t>
        </is>
      </c>
      <c r="BI2753" t="inlineStr">
        <is>
          <t>Electrical / Electronics</t>
        </is>
      </c>
      <c r="BJ2753" s="4">
        <v>46144.75604166667</v>
      </c>
      <c r="BK2753" s="4">
        <v>43272.87055555556</v>
      </c>
      <c r="BL2753" t="inlineStr">
        <is>
          <t>0.0</t>
        </is>
      </c>
      <c r="BM2753" t="inlineStr">
        <is>
          <t>0.0</t>
        </is>
      </c>
      <c r="BN2753" t="inlineStr">
        <is>
          <t>View Shop Buy1Free1</t>
        </is>
      </c>
      <c r="BO2753" s="4">
        <v>43272.88303240741</v>
      </c>
      <c r="BP2753">
        <v>166042</v>
      </c>
      <c r="BQ2753"/>
      <c r="BR2753"/>
      <c r="BS2753"/>
      <c r="BT2753"/>
      <c r="BU2753"/>
      <c r="BV2753">
        <v>2694001</v>
      </c>
      <c r="BW2753" t="inlineStr">
        <is>
          <t>Inquire for Hiring Needs : Quotation Sent 50%</t>
        </is>
      </c>
      <c r="BX2753"/>
      <c r="BY2753"/>
      <c r="BZ2753" s="4"/>
      <c r="CA2753"/>
      <c r="CB2753"/>
      <c r="CC2753" s="4"/>
      <c r="CD2753" t="inlineStr">
        <is>
          <t>5</t>
        </is>
      </c>
      <c r="CE2753" t="inlineStr">
        <is>
          <t>0</t>
        </is>
      </c>
      <c r="CF2753" t="inlineStr">
        <is>
          <t>Q2-W01</t>
        </is>
      </c>
      <c r="CG2753"/>
      <c r="CH2753"/>
      <c r="CI2753"/>
      <c r="CJ2753" t="inlineStr">
        <is>
          <t>No Paid</t>
        </is>
      </c>
      <c r="CK2753" t="inlineStr">
        <is>
          <t>Not Eligible</t>
        </is>
      </c>
      <c r="CL2753"/>
      <c r="CM2753"/>
    </row>
    <row r="2754" ht="25.5" customHeight="1">
      <c r="A2754" t="inlineStr">
        <is>
          <t>191615</t>
        </is>
      </c>
      <c r="B2754" s="2"/>
      <c r="C2754"/>
      <c r="D2754" s="3">
        <v>46120.74982638889</v>
      </c>
      <c r="E2754" t="inlineStr">
        <is>
          <t>Q2-W01</t>
        </is>
      </c>
      <c r="F2754" t="inlineStr">
        <is>
          <t>Dickson</t>
        </is>
      </c>
      <c r="G2754" t="inlineStr">
        <is>
          <t>Customer</t>
        </is>
      </c>
      <c r="H2754" s="2" t="str">
        <f>=HYPERLINK("https://upbox.ajobthing.my/customer/191615", "https://upbox.ajobthing.my/customer/191615")</f>
        <v>https://upbox.ajobthing.my/customer/191615</v>
      </c>
      <c r="I2754" t="inlineStr">
        <is>
          <t>H&amp;t Industries (j.b.) Sdn Bhd</t>
        </is>
      </c>
      <c r="J2754" t="inlineStr">
        <is>
          <t>Small Fish</t>
        </is>
      </c>
      <c r="K2754" t="inlineStr">
        <is>
          <t>Dickson</t>
        </is>
      </c>
      <c r="L2754" s="4"/>
      <c r="M2754" s="4">
        <v>46120.74990740741</v>
      </c>
      <c r="N2754"/>
      <c r="O2754">
        <v>3888</v>
      </c>
      <c r="P2754" s="4"/>
      <c r="Q2754" s="4"/>
      <c r="R2754"/>
      <c r="S2754"/>
      <c r="T2754" s="4"/>
      <c r="U2754" s="4"/>
      <c r="V2754"/>
      <c r="W2754"/>
      <c r="X2754"/>
      <c r="Y2754" t="inlineStr">
        <is>
          <t>Pending Appointment</t>
        </is>
      </c>
      <c r="Z2754" t="inlineStr">
        <is>
          <t>Hiring Now</t>
        </is>
      </c>
      <c r="AA2754">
        <v>3</v>
      </c>
      <c r="AB2754" t="inlineStr">
        <is>
          <t>No Appointment Made</t>
        </is>
      </c>
      <c r="AC2754"/>
      <c r="AD2754" t="inlineStr">
        <is>
          <t>1 machining, 1 sales engineer, 1 admin</t>
        </is>
      </c>
      <c r="AE2754"/>
      <c r="AF2754"/>
      <c r="AG2754" s="4"/>
      <c r="AH2754" s="4"/>
      <c r="AI2754"/>
      <c r="AJ2754">
        <v>1</v>
      </c>
      <c r="AK2754" t="inlineStr">
        <is>
          <t>No, I don't need at all</t>
        </is>
      </c>
      <c r="AL2754"/>
      <c r="AM2754" t="inlineStr">
        <is>
          <t>No, I don't need at all</t>
        </is>
      </c>
      <c r="AN2754"/>
      <c r="AO2754" t="inlineStr">
        <is>
          <t>No, I don't need at all</t>
        </is>
      </c>
      <c r="AP2754" t="inlineStr">
        <is>
          <t>Once per quarter (75%)</t>
        </is>
      </c>
      <c r="AQ2754"/>
      <c r="AR2754"/>
      <c r="AS2754" t="inlineStr">
        <is>
          <t>- Headcount: 3
- Hiring Job Details: 1 machining, 1 sales engineer, 1 admin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2754">
        <v>95</v>
      </c>
      <c r="AU2754" t="inlineStr">
        <is>
          <t>0.95</t>
        </is>
      </c>
      <c r="AV2754" t="inlineStr">
        <is>
          <t>5</t>
        </is>
      </c>
      <c r="AW2754" t="inlineStr">
        <is>
          <t>0</t>
        </is>
      </c>
      <c r="AX2754" t="inlineStr">
        <is>
          <t>Not Qualified</t>
        </is>
      </c>
      <c r="AY2754" s="4"/>
      <c r="AZ2754"/>
      <c r="BA2754"/>
      <c r="BB2754"/>
      <c r="BC2754" t="inlineStr">
        <is>
          <t>no response</t>
        </is>
      </c>
      <c r="BD2754" s="4">
        <v>46125.67865740741</v>
      </c>
      <c r="BE2754"/>
      <c r="BF2754"/>
      <c r="BG2754" t="inlineStr">
        <is>
          <t>Reschedule</t>
        </is>
      </c>
      <c r="BH2754" t="inlineStr">
        <is>
          <t>Edward Hoo</t>
        </is>
      </c>
      <c r="BI2754"/>
      <c r="BJ2754" s="4">
        <v>46144.752430555556</v>
      </c>
      <c r="BK2754" s="4">
        <v>45798.71637731481</v>
      </c>
      <c r="BL2754" t="inlineStr">
        <is>
          <t>0.0</t>
        </is>
      </c>
      <c r="BM2754" t="inlineStr">
        <is>
          <t>0.0</t>
        </is>
      </c>
      <c r="BN2754" t="inlineStr">
        <is>
          <t>View Company Page</t>
        </is>
      </c>
      <c r="BO2754" s="4">
        <v>45799.68586805555</v>
      </c>
      <c r="BP2754">
        <v>166039</v>
      </c>
      <c r="BQ2754"/>
      <c r="BR2754"/>
      <c r="BS2754"/>
      <c r="BT2754"/>
      <c r="BU2754"/>
      <c r="BV2754">
        <v>2701586</v>
      </c>
      <c r="BW2754" t="inlineStr">
        <is>
          <t>No Answer : Voicemail - WA sent to customer</t>
        </is>
      </c>
      <c r="BX2754"/>
      <c r="BY2754"/>
      <c r="BZ2754" s="4"/>
      <c r="CA2754"/>
      <c r="CB2754"/>
      <c r="CC2754" s="4"/>
      <c r="CD2754" t="inlineStr">
        <is>
          <t>5</t>
        </is>
      </c>
      <c r="CE2754" t="inlineStr">
        <is>
          <t>0</t>
        </is>
      </c>
      <c r="CF2754" t="inlineStr">
        <is>
          <t>Q2-W01</t>
        </is>
      </c>
      <c r="CG2754"/>
      <c r="CH2754"/>
      <c r="CI2754"/>
      <c r="CJ2754" t="inlineStr">
        <is>
          <t>No Paid</t>
        </is>
      </c>
      <c r="CK2754" t="inlineStr">
        <is>
          <t>Not Eligible</t>
        </is>
      </c>
      <c r="CL2754"/>
      <c r="CM2754"/>
    </row>
    <row r="2755" ht="25.5" customHeight="1">
      <c r="A2755" t="inlineStr">
        <is>
          <t>203013</t>
        </is>
      </c>
      <c r="B2755" s="2"/>
      <c r="C2755"/>
      <c r="D2755" s="3">
        <v>46120.76931712963</v>
      </c>
      <c r="E2755" t="inlineStr">
        <is>
          <t>Q2-W01</t>
        </is>
      </c>
      <c r="F2755" t="inlineStr">
        <is>
          <t>Luqman</t>
        </is>
      </c>
      <c r="G2755" t="inlineStr">
        <is>
          <t>Customer</t>
        </is>
      </c>
      <c r="H2755" s="2" t="str">
        <f>=HYPERLINK("https://upbox.ajobthing.my/customer/203013", "https://upbox.ajobthing.my/customer/203013")</f>
        <v>https://upbox.ajobthing.my/customer/203013</v>
      </c>
      <c r="I2755" t="inlineStr">
        <is>
          <t>Proacc System Consulting (sea) Sdn Bhd</t>
        </is>
      </c>
      <c r="J2755" t="inlineStr">
        <is>
          <t>Small Fish</t>
        </is>
      </c>
      <c r="K2755" t="inlineStr">
        <is>
          <t>Luqman</t>
        </is>
      </c>
      <c r="L2755" s="4"/>
      <c r="M2755" s="4">
        <v>46120.77140046296</v>
      </c>
      <c r="N2755"/>
      <c r="O2755">
        <v>1512</v>
      </c>
      <c r="P2755" s="4"/>
      <c r="Q2755" s="4"/>
      <c r="R2755"/>
      <c r="S2755"/>
      <c r="T2755" s="4"/>
      <c r="U2755" s="4"/>
      <c r="V2755"/>
      <c r="W2755"/>
      <c r="X2755"/>
      <c r="Y2755" t="inlineStr">
        <is>
          <t>Pending Appointment</t>
        </is>
      </c>
      <c r="Z2755" t="inlineStr">
        <is>
          <t>Hiring Later</t>
        </is>
      </c>
      <c r="AA2755">
        <v>2</v>
      </c>
      <c r="AB2755" t="inlineStr">
        <is>
          <t>No Appointment Made</t>
        </is>
      </c>
      <c r="AC2755"/>
      <c r="AD2755" t="inlineStr">
        <is>
          <t xml:space="preserve">1. Software Developer Full time and Intern </t>
        </is>
      </c>
      <c r="AE2755"/>
      <c r="AF2755">
        <v>1200</v>
      </c>
      <c r="AG2755" s="4"/>
      <c r="AH2755" s="4"/>
      <c r="AI2755">
        <v>1200</v>
      </c>
      <c r="AJ2755"/>
      <c r="AK2755" t="inlineStr">
        <is>
          <t>No, I don't need at all</t>
        </is>
      </c>
      <c r="AL2755">
        <v>1</v>
      </c>
      <c r="AM2755" t="inlineStr">
        <is>
          <t>No, I don't need at all</t>
        </is>
      </c>
      <c r="AN2755"/>
      <c r="AO2755" t="inlineStr">
        <is>
          <t>No, I don't need at all</t>
        </is>
      </c>
      <c r="AP2755" t="inlineStr">
        <is>
          <t>Once a year (25%)</t>
        </is>
      </c>
      <c r="AQ2755">
        <v>1</v>
      </c>
      <c r="AR2755" t="inlineStr">
        <is>
          <t>Did not use any job portal</t>
        </is>
      </c>
      <c r="AS2755" t="inlineStr">
        <is>
          <t>- Headcount: 2
- Hiring Job Details: 1. Software Developer Full time and Intern
- Number of outlets: N/A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Did not use any job portal
- Hiring Urgency: Hiring Later</t>
        </is>
      </c>
      <c r="AT2755">
        <v>75</v>
      </c>
      <c r="AU2755" t="inlineStr">
        <is>
          <t>0.75</t>
        </is>
      </c>
      <c r="AV2755" t="inlineStr">
        <is>
          <t>15</t>
        </is>
      </c>
      <c r="AW2755" t="inlineStr">
        <is>
          <t>0</t>
        </is>
      </c>
      <c r="AX2755" t="inlineStr">
        <is>
          <t>Not Qualified</t>
        </is>
      </c>
      <c r="AY2755" s="4"/>
      <c r="AZ2755"/>
      <c r="BA2755"/>
      <c r="BB2755"/>
      <c r="BC2755" t="inlineStr">
        <is>
          <t>NA Dropped a text via Whatsapp</t>
        </is>
      </c>
      <c r="BD2755" s="4">
        <v>46126.413090277776</v>
      </c>
      <c r="BE2755"/>
      <c r="BF2755"/>
      <c r="BG2755" t="inlineStr">
        <is>
          <t>Reschedule</t>
        </is>
      </c>
      <c r="BH2755" t="inlineStr">
        <is>
          <t>Edward Hoo</t>
        </is>
      </c>
      <c r="BI2755" t="inlineStr">
        <is>
          <t>IT / Software</t>
        </is>
      </c>
      <c r="BJ2755" s="4">
        <v>46144.75418981481</v>
      </c>
      <c r="BK2755" s="4">
        <v>46120.74381944445</v>
      </c>
      <c r="BL2755" t="inlineStr">
        <is>
          <t>0.0</t>
        </is>
      </c>
      <c r="BM2755" t="inlineStr">
        <is>
          <t>0.0</t>
        </is>
      </c>
      <c r="BN2755" t="inlineStr">
        <is>
          <t>View Jobmanager Page</t>
        </is>
      </c>
      <c r="BO2755" s="4">
        <v>46120.77878472222</v>
      </c>
      <c r="BP2755">
        <v>166050</v>
      </c>
      <c r="BQ2755"/>
      <c r="BR2755"/>
      <c r="BS2755"/>
      <c r="BT2755"/>
      <c r="BU2755"/>
      <c r="BV2755">
        <v>2702502</v>
      </c>
      <c r="BW2755" t="inlineStr">
        <is>
          <t>No Answer : Voicemail - WA sent to customer</t>
        </is>
      </c>
      <c r="BX2755"/>
      <c r="BY2755"/>
      <c r="BZ2755" s="4"/>
      <c r="CA2755"/>
      <c r="CB2755"/>
      <c r="CC2755" s="4"/>
      <c r="CD2755" t="inlineStr">
        <is>
          <t>20</t>
        </is>
      </c>
      <c r="CE2755" t="inlineStr">
        <is>
          <t>0</t>
        </is>
      </c>
      <c r="CF2755" t="inlineStr">
        <is>
          <t>Q2-W01</t>
        </is>
      </c>
      <c r="CG2755"/>
      <c r="CH2755"/>
      <c r="CI2755"/>
      <c r="CJ2755" t="inlineStr">
        <is>
          <t>No Paid</t>
        </is>
      </c>
      <c r="CK2755" t="inlineStr">
        <is>
          <t>Not Eligible</t>
        </is>
      </c>
      <c r="CL2755"/>
      <c r="CM2755"/>
    </row>
    <row r="2756" ht="25.5" customHeight="1">
      <c r="A2756" t="inlineStr">
        <is>
          <t>193901</t>
        </is>
      </c>
      <c r="B2756" s="2"/>
      <c r="C2756"/>
      <c r="D2756" s="3">
        <v>46120.77190972222</v>
      </c>
      <c r="E2756" t="inlineStr">
        <is>
          <t>Q2-W01</t>
        </is>
      </c>
      <c r="F2756" t="inlineStr">
        <is>
          <t>Clover</t>
        </is>
      </c>
      <c r="G2756" t="inlineStr">
        <is>
          <t>Customer</t>
        </is>
      </c>
      <c r="H2756" s="2" t="str">
        <f>=HYPERLINK("https://upbox.ajobthing.my/customer/193901", "https://upbox.ajobthing.my/customer/193901")</f>
        <v>https://upbox.ajobthing.my/customer/193901</v>
      </c>
      <c r="I2756" t="inlineStr">
        <is>
          <t>Very Important Baby Setapak</t>
        </is>
      </c>
      <c r="J2756" t="inlineStr">
        <is>
          <t>Small Fish</t>
        </is>
      </c>
      <c r="K2756" t="inlineStr">
        <is>
          <t>Clover</t>
        </is>
      </c>
      <c r="L2756" s="4"/>
      <c r="M2756" s="4">
        <v>46120.77209490741</v>
      </c>
      <c r="N2756"/>
      <c r="O2756">
        <v>3888</v>
      </c>
      <c r="P2756" s="4"/>
      <c r="Q2756" s="4"/>
      <c r="R2756"/>
      <c r="S2756"/>
      <c r="T2756" s="4"/>
      <c r="U2756" s="4"/>
      <c r="V2756"/>
      <c r="W2756"/>
      <c r="X2756"/>
      <c r="Y2756" t="inlineStr">
        <is>
          <t>Pending Appointment</t>
        </is>
      </c>
      <c r="Z2756" t="inlineStr">
        <is>
          <t>Hiring Later</t>
        </is>
      </c>
      <c r="AA2756">
        <v>2</v>
      </c>
      <c r="AB2756" t="inlineStr">
        <is>
          <t>No Appointment Made</t>
        </is>
      </c>
      <c r="AC2756"/>
      <c r="AD2756" t="inlineStr">
        <is>
          <t>Future might hiring retails assistant x1-2, retail shop, setapak, suggest stand</t>
        </is>
      </c>
      <c r="AE2756"/>
      <c r="AF2756">
        <v>3000</v>
      </c>
      <c r="AG2756" s="4"/>
      <c r="AH2756" s="4"/>
      <c r="AI2756">
        <v>3000</v>
      </c>
      <c r="AJ2756">
        <v>1</v>
      </c>
      <c r="AK2756" t="inlineStr">
        <is>
          <t>No, but I want in future</t>
        </is>
      </c>
      <c r="AL2756">
        <v>1</v>
      </c>
      <c r="AM2756" t="inlineStr">
        <is>
          <t>No, but I want in future</t>
        </is>
      </c>
      <c r="AN2756"/>
      <c r="AO2756" t="inlineStr">
        <is>
          <t>No, but I want in future</t>
        </is>
      </c>
      <c r="AP2756" t="inlineStr">
        <is>
          <t>Twice a year (50%)</t>
        </is>
      </c>
      <c r="AQ2756">
        <v>1</v>
      </c>
      <c r="AR2756" t="inlineStr">
        <is>
          <t>Did not use any job portal</t>
        </is>
      </c>
      <c r="AS2756" t="inlineStr">
        <is>
          <t>- Headcount: 2
- Hiring Job Details: Might hire 1-2 retail assistants for Setapak retail shop,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2756">
        <v>95</v>
      </c>
      <c r="AU2756" t="inlineStr">
        <is>
          <t>0.95</t>
        </is>
      </c>
      <c r="AV2756" t="inlineStr">
        <is>
          <t>15</t>
        </is>
      </c>
      <c r="AW2756" t="inlineStr">
        <is>
          <t>0</t>
        </is>
      </c>
      <c r="AX2756" t="inlineStr">
        <is>
          <t>Not Qualified</t>
        </is>
      </c>
      <c r="AY2756" s="4"/>
      <c r="AZ2756"/>
      <c r="BA2756"/>
      <c r="BB2756"/>
      <c r="BC2756" t="inlineStr">
        <is>
          <t>No hiring atm, prefer not to call</t>
        </is>
      </c>
      <c r="BD2756" s="4">
        <v>46140.726631944446</v>
      </c>
      <c r="BE2756"/>
      <c r="BF2756"/>
      <c r="BG2756" t="inlineStr">
        <is>
          <t>Reschedule</t>
        </is>
      </c>
      <c r="BH2756" t="inlineStr">
        <is>
          <t>Reagen</t>
        </is>
      </c>
      <c r="BI2756"/>
      <c r="BJ2756" s="4">
        <v>46144.75267361111</v>
      </c>
      <c r="BK2756" s="4">
        <v>45855.61399305556</v>
      </c>
      <c r="BL2756" t="inlineStr">
        <is>
          <t>0.0</t>
        </is>
      </c>
      <c r="BM2756" t="inlineStr">
        <is>
          <t>0.0</t>
        </is>
      </c>
      <c r="BN2756" t="inlineStr">
        <is>
          <t>Instant Register</t>
        </is>
      </c>
      <c r="BO2756" s="4">
        <v>45855.61399305556</v>
      </c>
      <c r="BP2756">
        <v>166051</v>
      </c>
      <c r="BQ2756"/>
      <c r="BR2756"/>
      <c r="BS2756"/>
      <c r="BT2756"/>
      <c r="BU2756"/>
      <c r="BV2756">
        <v>2733846</v>
      </c>
      <c r="BW2756" t="inlineStr">
        <is>
          <t>Inquire for Hiring Needs : No Hiring</t>
        </is>
      </c>
      <c r="BX2756"/>
      <c r="BY2756"/>
      <c r="BZ2756" s="4"/>
      <c r="CA2756"/>
      <c r="CB2756"/>
      <c r="CC2756" s="4"/>
      <c r="CD2756" t="inlineStr">
        <is>
          <t>20</t>
        </is>
      </c>
      <c r="CE2756" t="inlineStr">
        <is>
          <t>0</t>
        </is>
      </c>
      <c r="CF2756" t="inlineStr">
        <is>
          <t>Q2-W01</t>
        </is>
      </c>
      <c r="CG2756"/>
      <c r="CH2756"/>
      <c r="CI2756"/>
      <c r="CJ2756" t="inlineStr">
        <is>
          <t>No Paid</t>
        </is>
      </c>
      <c r="CK2756" t="inlineStr">
        <is>
          <t>Not Eligible</t>
        </is>
      </c>
      <c r="CL2756"/>
      <c r="CM2756"/>
    </row>
    <row r="2757" ht="25.5" customHeight="1">
      <c r="A2757" t="inlineStr">
        <is>
          <t>193901</t>
        </is>
      </c>
      <c r="B2757" s="2"/>
      <c r="C2757"/>
      <c r="D2757" s="3">
        <v>46120.77417824074</v>
      </c>
      <c r="E2757" t="inlineStr">
        <is>
          <t>Q2-W01</t>
        </is>
      </c>
      <c r="F2757" t="inlineStr">
        <is>
          <t>Clover</t>
        </is>
      </c>
      <c r="G2757" t="inlineStr">
        <is>
          <t>Customer</t>
        </is>
      </c>
      <c r="H2757" s="2" t="str">
        <f>=HYPERLINK("https://upbox.ajobthing.my/customer/193901", "https://upbox.ajobthing.my/customer/193901")</f>
        <v>https://upbox.ajobthing.my/customer/193901</v>
      </c>
      <c r="I2757" t="inlineStr">
        <is>
          <t>Very Important Baby Setapak</t>
        </is>
      </c>
      <c r="J2757" t="inlineStr">
        <is>
          <t>Small Fish</t>
        </is>
      </c>
      <c r="K2757" t="inlineStr">
        <is>
          <t>Clover</t>
        </is>
      </c>
      <c r="L2757" s="4"/>
      <c r="M2757" s="4">
        <v>46120.77209490741</v>
      </c>
      <c r="N2757"/>
      <c r="O2757">
        <v>3888</v>
      </c>
      <c r="P2757" s="4"/>
      <c r="Q2757" s="4"/>
      <c r="R2757"/>
      <c r="S2757"/>
      <c r="T2757" s="4"/>
      <c r="U2757" s="4"/>
      <c r="V2757"/>
      <c r="W2757"/>
      <c r="X2757"/>
      <c r="Y2757" t="inlineStr">
        <is>
          <t>Pending Appointment</t>
        </is>
      </c>
      <c r="Z2757" t="inlineStr">
        <is>
          <t>Hiring Later</t>
        </is>
      </c>
      <c r="AA2757">
        <v>2</v>
      </c>
      <c r="AB2757" t="inlineStr">
        <is>
          <t>No Appointment Made</t>
        </is>
      </c>
      <c r="AC2757"/>
      <c r="AD2757" t="inlineStr">
        <is>
          <t>Future might hiring retails assistant x1-2, retail shop, setapak, suggest stand</t>
        </is>
      </c>
      <c r="AE2757"/>
      <c r="AF2757">
        <v>3000</v>
      </c>
      <c r="AG2757" s="4"/>
      <c r="AH2757" s="4"/>
      <c r="AI2757">
        <v>3000</v>
      </c>
      <c r="AJ2757">
        <v>1</v>
      </c>
      <c r="AK2757" t="inlineStr">
        <is>
          <t>No, but I want in future</t>
        </is>
      </c>
      <c r="AL2757">
        <v>1</v>
      </c>
      <c r="AM2757" t="inlineStr">
        <is>
          <t>No, but I want in future</t>
        </is>
      </c>
      <c r="AN2757"/>
      <c r="AO2757" t="inlineStr">
        <is>
          <t>No, but I want in future</t>
        </is>
      </c>
      <c r="AP2757" t="inlineStr">
        <is>
          <t>Twice a year (50%)</t>
        </is>
      </c>
      <c r="AQ2757">
        <v>1</v>
      </c>
      <c r="AR2757" t="inlineStr">
        <is>
          <t>Did not use any job portal</t>
        </is>
      </c>
      <c r="AS2757" t="inlineStr">
        <is>
          <t>- Headcount: 2
- Hiring Job Details: Might hire 1-2 retail assistants for Setapak retail shop; suggest stand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1
- Hiring frequency: Twice a year (50%)
- External job portal: Did not use any</t>
        </is>
      </c>
      <c r="AT2757">
        <v>110</v>
      </c>
      <c r="AU2757" t="inlineStr">
        <is>
          <t>1.10</t>
        </is>
      </c>
      <c r="AV2757" t="inlineStr">
        <is>
          <t>15</t>
        </is>
      </c>
      <c r="AW2757" t="inlineStr">
        <is>
          <t>0</t>
        </is>
      </c>
      <c r="AX2757" t="inlineStr">
        <is>
          <t>Not Qualified</t>
        </is>
      </c>
      <c r="AY2757" s="4"/>
      <c r="AZ2757"/>
      <c r="BA2757"/>
      <c r="BB2757"/>
      <c r="BC2757" t="inlineStr">
        <is>
          <t>No hiring atm, prefer not to call</t>
        </is>
      </c>
      <c r="BD2757" s="4">
        <v>46140.726631944446</v>
      </c>
      <c r="BE2757"/>
      <c r="BF2757"/>
      <c r="BG2757" t="inlineStr">
        <is>
          <t>Reschedule</t>
        </is>
      </c>
      <c r="BH2757" t="inlineStr">
        <is>
          <t>Reagen</t>
        </is>
      </c>
      <c r="BI2757"/>
      <c r="BJ2757" s="4">
        <v>46144.75267361111</v>
      </c>
      <c r="BK2757" s="4">
        <v>45855.61399305556</v>
      </c>
      <c r="BL2757" t="inlineStr">
        <is>
          <t>0.0</t>
        </is>
      </c>
      <c r="BM2757" t="inlineStr">
        <is>
          <t>0.0</t>
        </is>
      </c>
      <c r="BN2757" t="inlineStr">
        <is>
          <t>Instant Register</t>
        </is>
      </c>
      <c r="BO2757" s="4">
        <v>45855.61399305556</v>
      </c>
      <c r="BP2757">
        <v>166051</v>
      </c>
      <c r="BQ2757"/>
      <c r="BR2757"/>
      <c r="BS2757"/>
      <c r="BT2757"/>
      <c r="BU2757"/>
      <c r="BV2757">
        <v>2733846</v>
      </c>
      <c r="BW2757" t="inlineStr">
        <is>
          <t>Inquire for Hiring Needs : No Hiring</t>
        </is>
      </c>
      <c r="BX2757"/>
      <c r="BY2757"/>
      <c r="BZ2757" s="4"/>
      <c r="CA2757"/>
      <c r="CB2757"/>
      <c r="CC2757" s="4"/>
      <c r="CD2757" t="inlineStr">
        <is>
          <t>20</t>
        </is>
      </c>
      <c r="CE2757" t="inlineStr">
        <is>
          <t>0</t>
        </is>
      </c>
      <c r="CF2757" t="inlineStr">
        <is>
          <t>Q2-W01</t>
        </is>
      </c>
      <c r="CG2757"/>
      <c r="CH2757"/>
      <c r="CI2757"/>
      <c r="CJ2757" t="inlineStr">
        <is>
          <t>No Paid</t>
        </is>
      </c>
      <c r="CK2757" t="inlineStr">
        <is>
          <t>Not Eligible</t>
        </is>
      </c>
      <c r="CL2757"/>
      <c r="CM2757"/>
    </row>
    <row r="2758" ht="25.5" customHeight="1">
      <c r="A2758" t="inlineStr">
        <is>
          <t>4260173</t>
        </is>
      </c>
      <c r="B2758" s="2"/>
      <c r="C2758"/>
      <c r="D2758" s="3">
        <v>46120.92042824074</v>
      </c>
      <c r="E2758" t="inlineStr">
        <is>
          <t>Q2-W01</t>
        </is>
      </c>
      <c r="F2758" t="inlineStr">
        <is>
          <t>Alan KY</t>
        </is>
      </c>
      <c r="G2758" t="inlineStr">
        <is>
          <t>Lead</t>
        </is>
      </c>
      <c r="H2758" s="2" t="str">
        <f>=HYPERLINK("https://upbox.ajobthing.my/leads/4260173", "https://upbox.ajobthing.my/leads/4260173")</f>
        <v>https://upbox.ajobthing.my/leads/4260173</v>
      </c>
      <c r="I2758" t="inlineStr">
        <is>
          <t>Shine Child Care Centre S/B - Lynn Yeap</t>
        </is>
      </c>
      <c r="J2758" t="inlineStr">
        <is>
          <t>Small Fish</t>
        </is>
      </c>
      <c r="K2758" t="inlineStr">
        <is>
          <t>Alan KY</t>
        </is>
      </c>
      <c r="L2758" s="4"/>
      <c r="M2758" s="4">
        <v>46121.49019675926</v>
      </c>
      <c r="N2758"/>
      <c r="O2758">
        <v>3888</v>
      </c>
      <c r="P2758" s="4"/>
      <c r="Q2758" s="4"/>
      <c r="R2758"/>
      <c r="S2758"/>
      <c r="T2758" s="4"/>
      <c r="U2758" s="4"/>
      <c r="V2758"/>
      <c r="W2758"/>
      <c r="X2758"/>
      <c r="Y2758" t="inlineStr">
        <is>
          <t>Pending Appointment</t>
        </is>
      </c>
      <c r="Z2758" t="inlineStr">
        <is>
          <t>Hiring Now</t>
        </is>
      </c>
      <c r="AA2758">
        <v>3</v>
      </c>
      <c r="AB2758" t="inlineStr">
        <is>
          <t>No Appointment Made</t>
        </is>
      </c>
      <c r="AC2758"/>
      <c r="AD2758" t="inlineStr">
        <is>
          <t xml:space="preserve">3 teacher, might on and off opening. Seremban &amp; selangor </t>
        </is>
      </c>
      <c r="AE2758"/>
      <c r="AF2758">
        <v>1000</v>
      </c>
      <c r="AG2758" s="4"/>
      <c r="AH2758" s="4"/>
      <c r="AI2758"/>
      <c r="AJ2758"/>
      <c r="AK2758"/>
      <c r="AL2758"/>
      <c r="AM2758"/>
      <c r="AN2758"/>
      <c r="AO2758"/>
      <c r="AP2758" t="inlineStr">
        <is>
          <t>Once per quarter (75%)</t>
        </is>
      </c>
      <c r="AQ2758"/>
      <c r="AR2758"/>
      <c r="AS2758" t="inlineStr">
        <is>
          <t>- Headcount: 3
- Hiring Job Details: 3 teacher, might on and off opening. Seremban &amp; selangor
- Hiring Urgency: Hiring Now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per quarter (75%)
- External job portal: Not available</t>
        </is>
      </c>
      <c r="AT2758">
        <v>95</v>
      </c>
      <c r="AU2758" t="inlineStr">
        <is>
          <t>0.95</t>
        </is>
      </c>
      <c r="AV2758" t="inlineStr">
        <is>
          <t>15</t>
        </is>
      </c>
      <c r="AW2758" t="inlineStr">
        <is>
          <t>0</t>
        </is>
      </c>
      <c r="AX2758" t="inlineStr">
        <is>
          <t>Not Qualified</t>
        </is>
      </c>
      <c r="AY2758" s="4"/>
      <c r="AZ2758"/>
      <c r="BA2758"/>
      <c r="BB2758"/>
      <c r="BC2758"/>
      <c r="BD2758" s="4"/>
      <c r="BE2758"/>
      <c r="BF2758"/>
      <c r="BG2758" t="inlineStr">
        <is>
          <t>Reschedule</t>
        </is>
      </c>
      <c r="BH2758" t="inlineStr">
        <is>
          <t>Reagen</t>
        </is>
      </c>
      <c r="BI2758"/>
      <c r="BJ2758" s="4">
        <v>46144.75576388889</v>
      </c>
      <c r="BK2758" s="4">
        <v>46120.52637731482</v>
      </c>
      <c r="BL2758" t="inlineStr">
        <is>
          <t>0.0</t>
        </is>
      </c>
      <c r="BM2758" t="inlineStr">
        <is>
          <t>0.0</t>
        </is>
      </c>
      <c r="BN2758"/>
      <c r="BO2758" s="4"/>
      <c r="BP2758">
        <v>166153</v>
      </c>
      <c r="BQ2758"/>
      <c r="BR2758"/>
      <c r="BS2758"/>
      <c r="BT2758"/>
      <c r="BU2758"/>
      <c r="BV2758"/>
      <c r="BW2758"/>
      <c r="BX2758"/>
      <c r="BY2758"/>
      <c r="BZ2758" s="4"/>
      <c r="CA2758"/>
      <c r="CB2758"/>
      <c r="CC2758" s="4"/>
      <c r="CD2758" t="inlineStr">
        <is>
          <t>20</t>
        </is>
      </c>
      <c r="CE2758" t="inlineStr">
        <is>
          <t>0</t>
        </is>
      </c>
      <c r="CF2758" t="inlineStr">
        <is>
          <t>Q2-W01</t>
        </is>
      </c>
      <c r="CG2758"/>
      <c r="CH2758"/>
      <c r="CI2758"/>
      <c r="CJ2758" t="inlineStr">
        <is>
          <t>No Paid</t>
        </is>
      </c>
      <c r="CK2758" t="inlineStr">
        <is>
          <t>Not Eligible</t>
        </is>
      </c>
      <c r="CL2758"/>
      <c r="CM2758"/>
    </row>
    <row r="2759" ht="25.5" customHeight="1">
      <c r="A2759" t="inlineStr">
        <is>
          <t>203027</t>
        </is>
      </c>
      <c r="B2759" s="2"/>
      <c r="C2759"/>
      <c r="D2759" s="3">
        <v>46121.40523148148</v>
      </c>
      <c r="E2759" t="inlineStr">
        <is>
          <t>Q2-W01</t>
        </is>
      </c>
      <c r="F2759" t="inlineStr">
        <is>
          <t>Janice Yap</t>
        </is>
      </c>
      <c r="G2759" t="inlineStr">
        <is>
          <t>Customer</t>
        </is>
      </c>
      <c r="H2759" s="2" t="str">
        <f>=HYPERLINK("https://upbox.ajobthing.my/customer/203027", "https://upbox.ajobthing.my/customer/203027")</f>
        <v>https://upbox.ajobthing.my/customer/203027</v>
      </c>
      <c r="I2759" t="inlineStr">
        <is>
          <t>Karmarstone Marketing Sdn Bhd</t>
        </is>
      </c>
      <c r="J2759" t="inlineStr">
        <is>
          <t>Small Fish</t>
        </is>
      </c>
      <c r="K2759" t="inlineStr">
        <is>
          <t>Janice</t>
        </is>
      </c>
      <c r="L2759" s="4"/>
      <c r="M2759" s="4">
        <v>46121.40280092593</v>
      </c>
      <c r="N2759"/>
      <c r="O2759">
        <v>3888</v>
      </c>
      <c r="P2759" s="4"/>
      <c r="Q2759" s="4">
        <v>46121.38611111111</v>
      </c>
      <c r="R2759"/>
      <c r="S2759">
        <v>0</v>
      </c>
      <c r="T2759" s="4"/>
      <c r="U2759" s="4"/>
      <c r="V2759"/>
      <c r="W2759"/>
      <c r="X2759"/>
      <c r="Y2759" t="inlineStr">
        <is>
          <t>Pending Appointment</t>
        </is>
      </c>
      <c r="Z2759" t="inlineStr">
        <is>
          <t>Hiring Now</t>
        </is>
      </c>
      <c r="AA2759">
        <v>1</v>
      </c>
      <c r="AB2759" t="inlineStr">
        <is>
          <t>No Appointment Made</t>
        </is>
      </c>
      <c r="AC2759"/>
      <c r="AD2759" t="inlineStr">
        <is>
          <t>1 general worker</t>
        </is>
      </c>
      <c r="AE2759"/>
      <c r="AF2759">
        <v>0</v>
      </c>
      <c r="AG2759" s="4"/>
      <c r="AH2759" s="4"/>
      <c r="AI2759">
        <v>0</v>
      </c>
      <c r="AJ2759"/>
      <c r="AK2759" t="inlineStr">
        <is>
          <t>No, I don't need at all</t>
        </is>
      </c>
      <c r="AL2759">
        <v>0</v>
      </c>
      <c r="AM2759" t="inlineStr">
        <is>
          <t>No, I don't need at all</t>
        </is>
      </c>
      <c r="AN2759"/>
      <c r="AO2759" t="inlineStr">
        <is>
          <t>No, I don't need at all</t>
        </is>
      </c>
      <c r="AP2759" t="inlineStr">
        <is>
          <t>Once a year (25%)</t>
        </is>
      </c>
      <c r="AQ2759">
        <v>1</v>
      </c>
      <c r="AR2759" t="inlineStr">
        <is>
          <t>Free Job Portal</t>
        </is>
      </c>
      <c r="AS2759" t="inlineStr">
        <is>
          <t>- Headcount: 1
- Hiring Job Details: 1 general worker
- Hiring Urgency: Hiring Now
- Number of outlets: Not specified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2759">
        <v>110</v>
      </c>
      <c r="AU2759" t="inlineStr">
        <is>
          <t>1.10</t>
        </is>
      </c>
      <c r="AV2759" t="inlineStr">
        <is>
          <t>15</t>
        </is>
      </c>
      <c r="AW2759" t="inlineStr">
        <is>
          <t>0</t>
        </is>
      </c>
      <c r="AX2759" t="inlineStr">
        <is>
          <t>Not Qualified</t>
        </is>
      </c>
      <c r="AY2759" s="4"/>
      <c r="AZ2759"/>
      <c r="BA2759"/>
      <c r="BB2759"/>
      <c r="BC2759" t="inlineStr">
        <is>
          <t>Prefer free posting only // if need hirng a lot ppl only consider paid</t>
        </is>
      </c>
      <c r="BD2759" s="4">
        <v>46129.45956018518</v>
      </c>
      <c r="BE2759" t="inlineStr">
        <is>
          <t>paid</t>
        </is>
      </c>
      <c r="BF2759"/>
      <c r="BG2759" t="inlineStr">
        <is>
          <t>Reschedule</t>
        </is>
      </c>
      <c r="BH2759" t="inlineStr">
        <is>
          <t>Yee Hang</t>
        </is>
      </c>
      <c r="BI2759"/>
      <c r="BJ2759" s="4">
        <v>46144.75418981481</v>
      </c>
      <c r="BK2759" s="4">
        <v>46121.38487268519</v>
      </c>
      <c r="BL2759" t="inlineStr">
        <is>
          <t>0.0</t>
        </is>
      </c>
      <c r="BM2759" t="inlineStr">
        <is>
          <t>0.0</t>
        </is>
      </c>
      <c r="BN2759" t="inlineStr">
        <is>
          <t>View Create Job Page V4</t>
        </is>
      </c>
      <c r="BO2759" s="4">
        <v>46121.40944444444</v>
      </c>
      <c r="BP2759">
        <v>166066</v>
      </c>
      <c r="BQ2759">
        <v>121166</v>
      </c>
      <c r="BR2759" t="inlineStr">
        <is>
          <t>Proforma</t>
        </is>
      </c>
      <c r="BS2759" t="inlineStr">
        <is>
          <t>Free Part-Time Job</t>
        </is>
      </c>
      <c r="BT2759"/>
      <c r="BU2759"/>
      <c r="BV2759">
        <v>2711389</v>
      </c>
      <c r="BW2759" t="inlineStr">
        <is>
          <t>Follow Up : Lost - Free Portal</t>
        </is>
      </c>
      <c r="BX2759"/>
      <c r="BY2759"/>
      <c r="BZ2759" s="4"/>
      <c r="CA2759"/>
      <c r="CB2759"/>
      <c r="CC2759" s="4"/>
      <c r="CD2759" t="inlineStr">
        <is>
          <t>20</t>
        </is>
      </c>
      <c r="CE2759" t="inlineStr">
        <is>
          <t>0</t>
        </is>
      </c>
      <c r="CF2759" t="inlineStr">
        <is>
          <t>Q2-W01</t>
        </is>
      </c>
      <c r="CG2759" t="inlineStr">
        <is>
          <t>Q2-W01</t>
        </is>
      </c>
      <c r="CH2759"/>
      <c r="CI2759"/>
      <c r="CJ2759" t="inlineStr">
        <is>
          <t>No Paid</t>
        </is>
      </c>
      <c r="CK2759" t="inlineStr">
        <is>
          <t>Not Eligible</t>
        </is>
      </c>
      <c r="CL2759"/>
      <c r="CM2759"/>
    </row>
    <row r="2760" ht="25.5" customHeight="1">
      <c r="A2760" t="inlineStr">
        <is>
          <t>202999</t>
        </is>
      </c>
      <c r="B2760" s="2"/>
      <c r="C2760"/>
      <c r="D2760" s="3">
        <v>46121.40788194445</v>
      </c>
      <c r="E2760" t="inlineStr">
        <is>
          <t>Q2-W01</t>
        </is>
      </c>
      <c r="F2760" t="inlineStr">
        <is>
          <t>Dickson</t>
        </is>
      </c>
      <c r="G2760" t="inlineStr">
        <is>
          <t>Customer</t>
        </is>
      </c>
      <c r="H2760" s="2" t="str">
        <f>=HYPERLINK("https://upbox.ajobthing.my/customer/202999", "https://upbox.ajobthing.my/customer/202999")</f>
        <v>https://upbox.ajobthing.my/customer/202999</v>
      </c>
      <c r="I2760" t="inlineStr">
        <is>
          <t>Engu Tech Commerce Sdn. Bhd.</t>
        </is>
      </c>
      <c r="J2760" t="inlineStr">
        <is>
          <t>Small Fish</t>
        </is>
      </c>
      <c r="K2760" t="inlineStr">
        <is>
          <t>Dickson</t>
        </is>
      </c>
      <c r="L2760" s="4"/>
      <c r="M2760" s="4">
        <v>46121.409733796296</v>
      </c>
      <c r="N2760"/>
      <c r="O2760">
        <v>3672</v>
      </c>
      <c r="P2760" s="4"/>
      <c r="Q2760" s="4">
        <v>46120.670277777775</v>
      </c>
      <c r="R2760"/>
      <c r="S2760">
        <v>0</v>
      </c>
      <c r="T2760" s="4"/>
      <c r="U2760" s="4"/>
      <c r="V2760"/>
      <c r="W2760"/>
      <c r="X2760"/>
      <c r="Y2760" t="inlineStr">
        <is>
          <t>Pending Appointment</t>
        </is>
      </c>
      <c r="Z2760" t="inlineStr">
        <is>
          <t>Hiring Now</t>
        </is>
      </c>
      <c r="AA2760">
        <v>1</v>
      </c>
      <c r="AB2760" t="inlineStr">
        <is>
          <t>No Appointment Made</t>
        </is>
      </c>
      <c r="AC2760"/>
      <c r="AD2760" t="inlineStr">
        <is>
          <t>1 warehouse supervisor</t>
        </is>
      </c>
      <c r="AE2760"/>
      <c r="AF2760"/>
      <c r="AG2760" s="4"/>
      <c r="AH2760" s="4"/>
      <c r="AI2760"/>
      <c r="AJ2760">
        <v>1</v>
      </c>
      <c r="AK2760" t="inlineStr">
        <is>
          <t>No, I don't need at all</t>
        </is>
      </c>
      <c r="AL2760"/>
      <c r="AM2760" t="inlineStr">
        <is>
          <t>No, I don't need at all</t>
        </is>
      </c>
      <c r="AN2760"/>
      <c r="AO2760" t="inlineStr">
        <is>
          <t>No, I don't need at all</t>
        </is>
      </c>
      <c r="AP2760" t="inlineStr">
        <is>
          <t>Once per quarter (75%)</t>
        </is>
      </c>
      <c r="AQ2760"/>
      <c r="AR2760" t="inlineStr">
        <is>
          <t>Free Job Portal</t>
        </is>
      </c>
      <c r="AS2760" t="inlineStr">
        <is>
          <t>- Headcount: 1
- Hiring Job Details: 1 warehouse supervisor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Free Job Portal</t>
        </is>
      </c>
      <c r="AT2760">
        <v>95</v>
      </c>
      <c r="AU2760" t="inlineStr">
        <is>
          <t>0.95</t>
        </is>
      </c>
      <c r="AV2760" t="inlineStr">
        <is>
          <t>5</t>
        </is>
      </c>
      <c r="AW2760" t="inlineStr">
        <is>
          <t>0</t>
        </is>
      </c>
      <c r="AX2760" t="inlineStr">
        <is>
          <t>Not Qualified</t>
        </is>
      </c>
      <c r="AY2760" s="4"/>
      <c r="AZ2760"/>
      <c r="BA2760"/>
      <c r="BB2760"/>
      <c r="BC2760" t="inlineStr">
        <is>
          <t>no response</t>
        </is>
      </c>
      <c r="BD2760" s="4">
        <v>46139.739282407405</v>
      </c>
      <c r="BE2760" t="inlineStr">
        <is>
          <t>paid</t>
        </is>
      </c>
      <c r="BF2760"/>
      <c r="BG2760" t="inlineStr">
        <is>
          <t>Reschedule</t>
        </is>
      </c>
      <c r="BH2760" t="inlineStr">
        <is>
          <t>Edward Hoo</t>
        </is>
      </c>
      <c r="BI2760" t="inlineStr">
        <is>
          <t>Retail / Merchandise</t>
        </is>
      </c>
      <c r="BJ2760" s="4">
        <v>46144.75418981481</v>
      </c>
      <c r="BK2760" s="4">
        <v>46120.652974537035</v>
      </c>
      <c r="BL2760" t="inlineStr">
        <is>
          <t>0.0</t>
        </is>
      </c>
      <c r="BM2760" t="inlineStr">
        <is>
          <t>600.0</t>
        </is>
      </c>
      <c r="BN2760" t="inlineStr">
        <is>
          <t>View Company Page</t>
        </is>
      </c>
      <c r="BO2760" s="4">
        <v>46125.776550925926</v>
      </c>
      <c r="BP2760">
        <v>166071</v>
      </c>
      <c r="BQ2760">
        <v>121044</v>
      </c>
      <c r="BR2760" t="inlineStr">
        <is>
          <t>Proforma</t>
        </is>
      </c>
      <c r="BS2760" t="inlineStr">
        <is>
          <t>Free Part-Time Job</t>
        </is>
      </c>
      <c r="BT2760"/>
      <c r="BU2760"/>
      <c r="BV2760">
        <v>2731504</v>
      </c>
      <c r="BW2760" t="inlineStr">
        <is>
          <t>No Answer : Voicemail - WA sent to customer</t>
        </is>
      </c>
      <c r="BX2760"/>
      <c r="BY2760"/>
      <c r="BZ2760" s="4"/>
      <c r="CA2760"/>
      <c r="CB2760"/>
      <c r="CC2760" s="4"/>
      <c r="CD2760" t="inlineStr">
        <is>
          <t>5</t>
        </is>
      </c>
      <c r="CE2760" t="inlineStr">
        <is>
          <t>0</t>
        </is>
      </c>
      <c r="CF2760" t="inlineStr">
        <is>
          <t>Q2-W01</t>
        </is>
      </c>
      <c r="CG2760" t="inlineStr">
        <is>
          <t>Q2-W01</t>
        </is>
      </c>
      <c r="CH2760"/>
      <c r="CI2760"/>
      <c r="CJ2760" t="inlineStr">
        <is>
          <t>No Paid</t>
        </is>
      </c>
      <c r="CK2760" t="inlineStr">
        <is>
          <t>Not Eligible</t>
        </is>
      </c>
      <c r="CL2760"/>
      <c r="CM2760"/>
    </row>
    <row r="2761" ht="25.5" customHeight="1">
      <c r="A2761" t="inlineStr">
        <is>
          <t>179628</t>
        </is>
      </c>
      <c r="B2761" s="2"/>
      <c r="C2761"/>
      <c r="D2761" s="3">
        <v>46121.40819444445</v>
      </c>
      <c r="E2761" t="inlineStr">
        <is>
          <t>Q2-W01</t>
        </is>
      </c>
      <c r="F2761" t="inlineStr">
        <is>
          <t>Luqman</t>
        </is>
      </c>
      <c r="G2761" t="inlineStr">
        <is>
          <t>Customer</t>
        </is>
      </c>
      <c r="H2761" s="2" t="str">
        <f>=HYPERLINK("https://upbox.ajobthing.my/customer/179628", "https://upbox.ajobthing.my/customer/179628")</f>
        <v>https://upbox.ajobthing.my/customer/179628</v>
      </c>
      <c r="I2761" t="inlineStr">
        <is>
          <t>Eastern Executive Sdn Bhd</t>
        </is>
      </c>
      <c r="J2761" t="inlineStr">
        <is>
          <t>Small Fish</t>
        </is>
      </c>
      <c r="K2761" t="inlineStr">
        <is>
          <t>Luqman</t>
        </is>
      </c>
      <c r="L2761" s="4"/>
      <c r="M2761" s="4">
        <v>46121.41074074074</v>
      </c>
      <c r="N2761"/>
      <c r="O2761">
        <v>6048</v>
      </c>
      <c r="P2761" s="4"/>
      <c r="Q2761" s="4"/>
      <c r="R2761"/>
      <c r="S2761"/>
      <c r="T2761" s="4"/>
      <c r="U2761" s="4"/>
      <c r="V2761"/>
      <c r="W2761"/>
      <c r="X2761"/>
      <c r="Y2761" t="inlineStr">
        <is>
          <t>Pending Appointment</t>
        </is>
      </c>
      <c r="Z2761" t="inlineStr">
        <is>
          <t>Hiring Later</t>
        </is>
      </c>
      <c r="AA2761">
        <v>7</v>
      </c>
      <c r="AB2761" t="inlineStr">
        <is>
          <t>No Appointment Made</t>
        </is>
      </c>
      <c r="AC2761"/>
      <c r="AD2761" t="inlineStr">
        <is>
          <t xml:space="preserve">1. BD 2. PM 3. PE 4. ne 5. Admin 6. Account 7. Marketing </t>
        </is>
      </c>
      <c r="AE2761"/>
      <c r="AF2761">
        <v>3600</v>
      </c>
      <c r="AG2761" s="4"/>
      <c r="AH2761" s="4"/>
      <c r="AI2761">
        <v>3600</v>
      </c>
      <c r="AJ2761"/>
      <c r="AK2761" t="inlineStr">
        <is>
          <t>No, I don't need at all</t>
        </is>
      </c>
      <c r="AL2761">
        <v>1</v>
      </c>
      <c r="AM2761" t="inlineStr">
        <is>
          <t>No, I don't need at all</t>
        </is>
      </c>
      <c r="AN2761"/>
      <c r="AO2761" t="inlineStr">
        <is>
          <t>No, I don't need at all</t>
        </is>
      </c>
      <c r="AP2761" t="inlineStr">
        <is>
          <t>Once a year (25%)</t>
        </is>
      </c>
      <c r="AQ2761">
        <v>6</v>
      </c>
      <c r="AR2761" t="inlineStr">
        <is>
          <t>Free Job Portal</t>
        </is>
      </c>
      <c r="AS2761" t="inlineStr">
        <is>
          <t>- Headcount: 7
- Hiring Job Details: 1.BD, 2.PM, 3.PE, 4.ne, 5.Admin, 6.Account, 7.Marketing
- Hiring Urgency: Hiring Later
- Number of outlets: None
- Have recruiter team: No, I don't need at all
- Number of recruiter in company: 1
- Have ATS system: No, I don't need at all
- Have career website: No, I don't need at all
- Current hiring budget: RM3,600
- Whole year budget: RM3,600.00
- Whole year number of vacancies: 6
- Hiring frequency: Once a year (25%)
- External job portal: Free Job Portal</t>
        </is>
      </c>
      <c r="AT2761">
        <v>65</v>
      </c>
      <c r="AU2761" t="inlineStr">
        <is>
          <t>0.65</t>
        </is>
      </c>
      <c r="AV2761" t="inlineStr">
        <is>
          <t>20</t>
        </is>
      </c>
      <c r="AW2761" t="inlineStr">
        <is>
          <t>0</t>
        </is>
      </c>
      <c r="AX2761" t="inlineStr">
        <is>
          <t>Not Qualified</t>
        </is>
      </c>
      <c r="AY2761" s="4"/>
      <c r="AZ2761"/>
      <c r="BA2761"/>
      <c r="BB2761"/>
      <c r="BC2761" t="inlineStr">
        <is>
          <t>Business not hiring atm</t>
        </is>
      </c>
      <c r="BD2761" s="4">
        <v>46133.610601851855</v>
      </c>
      <c r="BE2761"/>
      <c r="BF2761"/>
      <c r="BG2761" t="inlineStr">
        <is>
          <t>Reschedule</t>
        </is>
      </c>
      <c r="BH2761" t="inlineStr">
        <is>
          <t>Edward Hoo</t>
        </is>
      </c>
      <c r="BI2761" t="inlineStr">
        <is>
          <t>Business / Mgmt Consulting</t>
        </is>
      </c>
      <c r="BJ2761" s="4">
        <v>46144.75178240741</v>
      </c>
      <c r="BK2761" s="4">
        <v>45463.454513888886</v>
      </c>
      <c r="BL2761" t="inlineStr">
        <is>
          <t>0.0</t>
        </is>
      </c>
      <c r="BM2761" t="inlineStr">
        <is>
          <t>0.0</t>
        </is>
      </c>
      <c r="BN2761" t="inlineStr">
        <is>
          <t>View Company Page</t>
        </is>
      </c>
      <c r="BO2761" s="4">
        <v>45463.63726851852</v>
      </c>
      <c r="BP2761">
        <v>166073</v>
      </c>
      <c r="BQ2761"/>
      <c r="BR2761"/>
      <c r="BS2761"/>
      <c r="BT2761"/>
      <c r="BU2761"/>
      <c r="BV2761">
        <v>2718312</v>
      </c>
      <c r="BW2761" t="inlineStr">
        <is>
          <t>Inquire for Hiring Needs : No Hiring</t>
        </is>
      </c>
      <c r="BX2761"/>
      <c r="BY2761"/>
      <c r="BZ2761" s="4"/>
      <c r="CA2761"/>
      <c r="CB2761"/>
      <c r="CC2761" s="4"/>
      <c r="CD2761" t="inlineStr">
        <is>
          <t>30</t>
        </is>
      </c>
      <c r="CE2761" t="inlineStr">
        <is>
          <t>0</t>
        </is>
      </c>
      <c r="CF2761" t="inlineStr">
        <is>
          <t>Q2-W01</t>
        </is>
      </c>
      <c r="CG2761"/>
      <c r="CH2761"/>
      <c r="CI2761"/>
      <c r="CJ2761" t="inlineStr">
        <is>
          <t>No Paid</t>
        </is>
      </c>
      <c r="CK2761" t="inlineStr">
        <is>
          <t>Not Eligible</t>
        </is>
      </c>
      <c r="CL2761"/>
      <c r="CM2761"/>
    </row>
    <row r="2762" ht="25.5" customHeight="1">
      <c r="A2762" t="inlineStr">
        <is>
          <t>4262123</t>
        </is>
      </c>
      <c r="B2762" s="2"/>
      <c r="C2762"/>
      <c r="D2762" s="3">
        <v>46121.41701388889</v>
      </c>
      <c r="E2762" t="inlineStr">
        <is>
          <t>Q2-W01</t>
        </is>
      </c>
      <c r="F2762" t="inlineStr">
        <is>
          <t>Ken Yi</t>
        </is>
      </c>
      <c r="G2762" t="inlineStr">
        <is>
          <t>Lead</t>
        </is>
      </c>
      <c r="H2762" s="2" t="str">
        <f>=HYPERLINK("https://upbox.ajobthing.my/leads/4262123", "https://upbox.ajobthing.my/leads/4262123")</f>
        <v>https://upbox.ajobthing.my/leads/4262123</v>
      </c>
      <c r="I2762" t="inlineStr">
        <is>
          <t>REEF INTERNATIONAL RESORT &amp; SPA SDN BHD</t>
        </is>
      </c>
      <c r="J2762" t="inlineStr">
        <is>
          <t>Small Fish</t>
        </is>
      </c>
      <c r="K2762" t="inlineStr">
        <is>
          <t>Kenyi</t>
        </is>
      </c>
      <c r="L2762" s="4"/>
      <c r="M2762" s="4">
        <v>46140.42675925926</v>
      </c>
      <c r="N2762"/>
      <c r="O2762">
        <v>5508</v>
      </c>
      <c r="P2762" s="4"/>
      <c r="Q2762" s="4"/>
      <c r="R2762"/>
      <c r="S2762"/>
      <c r="T2762" s="4"/>
      <c r="U2762" s="4"/>
      <c r="V2762"/>
      <c r="W2762"/>
      <c r="X2762"/>
      <c r="Y2762" t="inlineStr">
        <is>
          <t>Pending Appointment</t>
        </is>
      </c>
      <c r="Z2762" t="inlineStr">
        <is>
          <t>Hiring Now</t>
        </is>
      </c>
      <c r="AA2762">
        <v>4</v>
      </c>
      <c r="AB2762" t="inlineStr">
        <is>
          <t>No Appointment Made</t>
        </is>
      </c>
      <c r="AC2762"/>
      <c r="AD2762" t="inlineStr">
        <is>
          <t>Engineer 1, operation 2, Support role 1</t>
        </is>
      </c>
      <c r="AE2762"/>
      <c r="AF2762">
        <v>5000</v>
      </c>
      <c r="AG2762" s="4"/>
      <c r="AH2762" s="4"/>
      <c r="AI2762">
        <v>0</v>
      </c>
      <c r="AJ2762">
        <v>1</v>
      </c>
      <c r="AK2762" t="inlineStr">
        <is>
          <t>Yes, I have</t>
        </is>
      </c>
      <c r="AL2762">
        <v>1</v>
      </c>
      <c r="AM2762" t="inlineStr">
        <is>
          <t>No, I don't need at all</t>
        </is>
      </c>
      <c r="AN2762"/>
      <c r="AO2762" t="inlineStr">
        <is>
          <t>No, I don't need at all</t>
        </is>
      </c>
      <c r="AP2762" t="inlineStr">
        <is>
          <t>Every month (100%)</t>
        </is>
      </c>
      <c r="AQ2762">
        <v>5</v>
      </c>
      <c r="AR2762" t="inlineStr">
        <is>
          <t>Did not use any job portal</t>
        </is>
      </c>
      <c r="AS2762" t="inlineStr">
        <is>
          <t>- Headcount: 4
- Hiring Job Details: Engineer 1, operation 2, Support role 1
- Hiring Urgency: Hiring Now
- Number of outlets: 1
- Have recruiter team: Yes
- Number of recruiter in company: 1
- Have ATS system: No, I don't need at all
- Have career website: No, I don't need at all
- Current hiring budget: RM5,000
- Whole year budget: RM0.00
- Whole year number of vacancies: 5
- Hiring frequency: Every month (100%)
- External job portal: Did not use any job portal</t>
        </is>
      </c>
      <c r="AT2762">
        <v>115</v>
      </c>
      <c r="AU2762" t="inlineStr">
        <is>
          <t>1.15</t>
        </is>
      </c>
      <c r="AV2762" t="inlineStr">
        <is>
          <t>15</t>
        </is>
      </c>
      <c r="AW2762" t="inlineStr">
        <is>
          <t>0</t>
        </is>
      </c>
      <c r="AX2762" t="inlineStr">
        <is>
          <t>Not Qualified</t>
        </is>
      </c>
      <c r="AY2762" s="4"/>
      <c r="AZ2762"/>
      <c r="BA2762"/>
      <c r="BB2762"/>
      <c r="BC2762"/>
      <c r="BD2762" s="4"/>
      <c r="BE2762"/>
      <c r="BF2762"/>
      <c r="BG2762" t="inlineStr">
        <is>
          <t>Reschedule</t>
        </is>
      </c>
      <c r="BH2762" t="inlineStr">
        <is>
          <t>Fauziah Maharan</t>
        </is>
      </c>
      <c r="BI2762"/>
      <c r="BJ2762" s="4">
        <v>46144.75576388889</v>
      </c>
      <c r="BK2762" s="4">
        <v>46120.95730324074</v>
      </c>
      <c r="BL2762" t="inlineStr">
        <is>
          <t>0.0</t>
        </is>
      </c>
      <c r="BM2762" t="inlineStr">
        <is>
          <t>0.0</t>
        </is>
      </c>
      <c r="BN2762"/>
      <c r="BO2762" s="4"/>
      <c r="BP2762">
        <v>169137</v>
      </c>
      <c r="BQ2762"/>
      <c r="BR2762"/>
      <c r="BS2762"/>
      <c r="BT2762"/>
      <c r="BU2762"/>
      <c r="BV2762"/>
      <c r="BW2762"/>
      <c r="BX2762"/>
      <c r="BY2762"/>
      <c r="BZ2762" s="4"/>
      <c r="CA2762"/>
      <c r="CB2762"/>
      <c r="CC2762" s="4"/>
      <c r="CD2762" t="inlineStr">
        <is>
          <t>20</t>
        </is>
      </c>
      <c r="CE2762" t="inlineStr">
        <is>
          <t>0</t>
        </is>
      </c>
      <c r="CF2762" t="inlineStr">
        <is>
          <t>Q2-W04</t>
        </is>
      </c>
      <c r="CG2762"/>
      <c r="CH2762"/>
      <c r="CI2762"/>
      <c r="CJ2762" t="inlineStr">
        <is>
          <t>No Paid</t>
        </is>
      </c>
      <c r="CK2762" t="inlineStr">
        <is>
          <t>Not Eligible</t>
        </is>
      </c>
      <c r="CL2762"/>
      <c r="CM2762"/>
    </row>
    <row r="2763" ht="25.5" customHeight="1">
      <c r="A2763" t="inlineStr">
        <is>
          <t>201503</t>
        </is>
      </c>
      <c r="B2763" s="2"/>
      <c r="C2763"/>
      <c r="D2763" s="3">
        <v>46121.41943287037</v>
      </c>
      <c r="E2763" t="inlineStr">
        <is>
          <t>Q2-W01</t>
        </is>
      </c>
      <c r="F2763" t="inlineStr">
        <is>
          <t>Eugene</t>
        </is>
      </c>
      <c r="G2763" t="inlineStr">
        <is>
          <t>Customer</t>
        </is>
      </c>
      <c r="H2763" s="2" t="str">
        <f>=HYPERLINK("https://upbox.ajobthing.my/customer/201503", "https://upbox.ajobthing.my/customer/201503")</f>
        <v>https://upbox.ajobthing.my/customer/201503</v>
      </c>
      <c r="I2763" t="inlineStr">
        <is>
          <t>Cerpoint Sdn Bhd</t>
        </is>
      </c>
      <c r="J2763" t="inlineStr">
        <is>
          <t>Small Fish</t>
        </is>
      </c>
      <c r="K2763" t="inlineStr">
        <is>
          <t>Eugene</t>
        </is>
      </c>
      <c r="L2763" s="4"/>
      <c r="M2763" s="4">
        <v>46121.41951388889</v>
      </c>
      <c r="N2763"/>
      <c r="O2763">
        <v>6048</v>
      </c>
      <c r="P2763" s="4"/>
      <c r="Q2763" s="4">
        <v>46122.446967592594</v>
      </c>
      <c r="R2763"/>
      <c r="S2763">
        <v>0</v>
      </c>
      <c r="T2763" s="4"/>
      <c r="U2763" s="4"/>
      <c r="V2763"/>
      <c r="W2763"/>
      <c r="X2763"/>
      <c r="Y2763" t="inlineStr">
        <is>
          <t>Pending Appointment</t>
        </is>
      </c>
      <c r="Z2763" t="inlineStr">
        <is>
          <t>Hiring Now</t>
        </is>
      </c>
      <c r="AA2763">
        <v>3</v>
      </c>
      <c r="AB2763" t="inlineStr">
        <is>
          <t>No Appointment Made</t>
        </is>
      </c>
      <c r="AC2763"/>
      <c r="AD2763" t="inlineStr">
        <is>
          <t>2 technicians, 1 intern, based in KL</t>
        </is>
      </c>
      <c r="AE2763"/>
      <c r="AF2763">
        <v>3000</v>
      </c>
      <c r="AG2763" s="4"/>
      <c r="AH2763" s="4"/>
      <c r="AI2763">
        <v>3000</v>
      </c>
      <c r="AJ2763">
        <v>1</v>
      </c>
      <c r="AK2763" t="inlineStr">
        <is>
          <t>No, I don't need at all</t>
        </is>
      </c>
      <c r="AL2763">
        <v>1</v>
      </c>
      <c r="AM2763" t="inlineStr">
        <is>
          <t>No, I don't need at all</t>
        </is>
      </c>
      <c r="AN2763"/>
      <c r="AO2763" t="inlineStr">
        <is>
          <t>No, I don't need at all</t>
        </is>
      </c>
      <c r="AP2763" t="inlineStr">
        <is>
          <t>Twice a year (50%)</t>
        </is>
      </c>
      <c r="AQ2763">
        <v>4</v>
      </c>
      <c r="AR2763" t="inlineStr">
        <is>
          <t>Jobstreet</t>
        </is>
      </c>
      <c r="AS2763" t="inlineStr">
        <is>
          <t>- Headcount: 3
- Hiring Job Details: 2 technicians, 1 intern,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Jobstreet</t>
        </is>
      </c>
      <c r="AT2763">
        <v>105</v>
      </c>
      <c r="AU2763" t="inlineStr">
        <is>
          <t>1.05</t>
        </is>
      </c>
      <c r="AV2763" t="inlineStr">
        <is>
          <t>15</t>
        </is>
      </c>
      <c r="AW2763" t="inlineStr">
        <is>
          <t>0</t>
        </is>
      </c>
      <c r="AX2763" t="inlineStr">
        <is>
          <t>Not Qualified</t>
        </is>
      </c>
      <c r="AY2763" s="4"/>
      <c r="AZ2763"/>
      <c r="BA2763"/>
      <c r="BB2763"/>
      <c r="BC2763" t="inlineStr">
        <is>
          <t>- Headcount: 3
- Hiring Job Details: 2 technicians, 1 intern,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Jobstreet</t>
        </is>
      </c>
      <c r="BD2763" s="4">
        <v>46121.45835648148</v>
      </c>
      <c r="BE2763" t="inlineStr">
        <is>
          <t>paid</t>
        </is>
      </c>
      <c r="BF2763"/>
      <c r="BG2763" t="inlineStr">
        <is>
          <t>Reschedule</t>
        </is>
      </c>
      <c r="BH2763" t="inlineStr">
        <is>
          <t>Edward Hoo</t>
        </is>
      </c>
      <c r="BI2763"/>
      <c r="BJ2763" s="4">
        <v>46144.75380787037</v>
      </c>
      <c r="BK2763" s="4">
        <v>46080.430914351855</v>
      </c>
      <c r="BL2763" t="inlineStr">
        <is>
          <t>0.0</t>
        </is>
      </c>
      <c r="BM2763" t="inlineStr">
        <is>
          <t>0.0</t>
        </is>
      </c>
      <c r="BN2763" t="inlineStr">
        <is>
          <t>View Account User</t>
        </is>
      </c>
      <c r="BO2763" s="4">
        <v>46122.58814814815</v>
      </c>
      <c r="BP2763">
        <v>166089</v>
      </c>
      <c r="BQ2763">
        <v>121597</v>
      </c>
      <c r="BR2763" t="inlineStr">
        <is>
          <t>Proforma</t>
        </is>
      </c>
      <c r="BS2763" t="inlineStr">
        <is>
          <t>Free Part-Time Job</t>
        </is>
      </c>
      <c r="BT2763"/>
      <c r="BU2763"/>
      <c r="BV2763">
        <v>2694838</v>
      </c>
      <c r="BW2763" t="inlineStr">
        <is>
          <t>Customer Inquiry</t>
        </is>
      </c>
      <c r="BX2763"/>
      <c r="BY2763"/>
      <c r="BZ2763" s="4"/>
      <c r="CA2763"/>
      <c r="CB2763"/>
      <c r="CC2763" s="4"/>
      <c r="CD2763" t="inlineStr">
        <is>
          <t>20</t>
        </is>
      </c>
      <c r="CE2763" t="inlineStr">
        <is>
          <t>0</t>
        </is>
      </c>
      <c r="CF2763" t="inlineStr">
        <is>
          <t>Q2-W01</t>
        </is>
      </c>
      <c r="CG2763" t="inlineStr">
        <is>
          <t>Q2-W02</t>
        </is>
      </c>
      <c r="CH2763"/>
      <c r="CI2763"/>
      <c r="CJ2763" t="inlineStr">
        <is>
          <t>No Paid</t>
        </is>
      </c>
      <c r="CK2763" t="inlineStr">
        <is>
          <t>Not Eligible</t>
        </is>
      </c>
      <c r="CL2763"/>
      <c r="CM2763"/>
    </row>
    <row r="2764" ht="25.5" customHeight="1">
      <c r="A2764" t="inlineStr">
        <is>
          <t>184309</t>
        </is>
      </c>
      <c r="B2764" s="2"/>
      <c r="C2764"/>
      <c r="D2764" s="3">
        <v>46121.41945601852</v>
      </c>
      <c r="E2764" t="inlineStr">
        <is>
          <t>Q2-W01</t>
        </is>
      </c>
      <c r="F2764" t="inlineStr">
        <is>
          <t>Luqman</t>
        </is>
      </c>
      <c r="G2764" t="inlineStr">
        <is>
          <t>Customer</t>
        </is>
      </c>
      <c r="H2764" s="2" t="str">
        <f>=HYPERLINK("https://upbox.ajobthing.my/customer/184309", "https://upbox.ajobthing.my/customer/184309")</f>
        <v>https://upbox.ajobthing.my/customer/184309</v>
      </c>
      <c r="I2764" t="inlineStr">
        <is>
          <t>Mutiara Metropolis Sdn Bhd</t>
        </is>
      </c>
      <c r="J2764" t="inlineStr">
        <is>
          <t>Small Fish</t>
        </is>
      </c>
      <c r="K2764" t="inlineStr">
        <is>
          <t>Luqman</t>
        </is>
      </c>
      <c r="L2764" s="4"/>
      <c r="M2764" s="4">
        <v>46121.41967592593</v>
      </c>
      <c r="N2764"/>
      <c r="O2764">
        <v>1512</v>
      </c>
      <c r="P2764" s="4"/>
      <c r="Q2764" s="4">
        <v>46121.418645833335</v>
      </c>
      <c r="R2764"/>
      <c r="S2764">
        <v>0</v>
      </c>
      <c r="T2764" s="4">
        <v>45625.70193287037</v>
      </c>
      <c r="U2764" s="4"/>
      <c r="V2764"/>
      <c r="W2764">
        <v>648</v>
      </c>
      <c r="X2764"/>
      <c r="Y2764" t="inlineStr">
        <is>
          <t>Pending Appointment</t>
        </is>
      </c>
      <c r="Z2764" t="inlineStr">
        <is>
          <t>Hiring Later</t>
        </is>
      </c>
      <c r="AA2764">
        <v>1</v>
      </c>
      <c r="AB2764" t="inlineStr">
        <is>
          <t>No Appointment Made</t>
        </is>
      </c>
      <c r="AC2764"/>
      <c r="AD2764" t="inlineStr">
        <is>
          <t>1. Operation Exec</t>
        </is>
      </c>
      <c r="AE2764"/>
      <c r="AF2764">
        <v>1200</v>
      </c>
      <c r="AG2764" s="4"/>
      <c r="AH2764" s="4"/>
      <c r="AI2764">
        <v>1200</v>
      </c>
      <c r="AJ2764"/>
      <c r="AK2764" t="inlineStr">
        <is>
          <t>No, I don't need at all</t>
        </is>
      </c>
      <c r="AL2764">
        <v>1</v>
      </c>
      <c r="AM2764" t="inlineStr">
        <is>
          <t>No, I don't need at all</t>
        </is>
      </c>
      <c r="AN2764"/>
      <c r="AO2764" t="inlineStr">
        <is>
          <t>No, I don't need at all</t>
        </is>
      </c>
      <c r="AP2764" t="inlineStr">
        <is>
          <t>Twice a year (50%)</t>
        </is>
      </c>
      <c r="AQ2764">
        <v>1</v>
      </c>
      <c r="AR2764" t="inlineStr">
        <is>
          <t>Free Job Portal</t>
        </is>
      </c>
      <c r="AS2764" t="inlineStr">
        <is>
          <t>- Headcount: 1
- Hiring Job Details: 1 Operation Exec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Twice a year (50%)
- External job portal: Free Job Portal</t>
        </is>
      </c>
      <c r="AT2764">
        <v>115</v>
      </c>
      <c r="AU2764" t="inlineStr">
        <is>
          <t>1.15</t>
        </is>
      </c>
      <c r="AV2764" t="inlineStr">
        <is>
          <t>15</t>
        </is>
      </c>
      <c r="AW2764" t="inlineStr">
        <is>
          <t>0</t>
        </is>
      </c>
      <c r="AX2764" t="inlineStr">
        <is>
          <t>Not Qualified</t>
        </is>
      </c>
      <c r="AY2764" s="4"/>
      <c r="AZ2764"/>
      <c r="BA2764"/>
      <c r="BB2764"/>
      <c r="BC2764" t="inlineStr">
        <is>
          <t>Relog Sunday interaction 19/4/2026</t>
        </is>
      </c>
      <c r="BD2764" s="4">
        <v>46132.40045138889</v>
      </c>
      <c r="BE2764" t="inlineStr">
        <is>
          <t>paid</t>
        </is>
      </c>
      <c r="BF2764"/>
      <c r="BG2764" t="inlineStr">
        <is>
          <t>Reschedule</t>
        </is>
      </c>
      <c r="BH2764" t="inlineStr">
        <is>
          <t>Edward Hoo</t>
        </is>
      </c>
      <c r="BI2764"/>
      <c r="BJ2764" s="4">
        <v>46144.75199074074</v>
      </c>
      <c r="BK2764" s="4">
        <v>45594.669074074074</v>
      </c>
      <c r="BL2764" t="inlineStr">
        <is>
          <t>0.0</t>
        </is>
      </c>
      <c r="BM2764" t="inlineStr">
        <is>
          <t>0.0</t>
        </is>
      </c>
      <c r="BN2764" t="inlineStr">
        <is>
          <t>User Visit(Logged In)</t>
        </is>
      </c>
      <c r="BO2764" s="4">
        <v>45779.736238425925</v>
      </c>
      <c r="BP2764">
        <v>166091</v>
      </c>
      <c r="BQ2764">
        <v>121209</v>
      </c>
      <c r="BR2764" t="inlineStr">
        <is>
          <t>Proforma</t>
        </is>
      </c>
      <c r="BS2764" t="inlineStr">
        <is>
          <t>Free Internship Job</t>
        </is>
      </c>
      <c r="BT2764">
        <v>75048</v>
      </c>
      <c r="BU2764"/>
      <c r="BV2764">
        <v>2714620</v>
      </c>
      <c r="BW2764" t="inlineStr">
        <is>
          <t>Inquire for Hiring Needs : No Hiring</t>
        </is>
      </c>
      <c r="BX2764"/>
      <c r="BY2764"/>
      <c r="BZ2764" s="4"/>
      <c r="CA2764"/>
      <c r="CB2764"/>
      <c r="CC2764" s="4"/>
      <c r="CD2764" t="inlineStr">
        <is>
          <t>20</t>
        </is>
      </c>
      <c r="CE2764" t="inlineStr">
        <is>
          <t>0</t>
        </is>
      </c>
      <c r="CF2764" t="inlineStr">
        <is>
          <t>Q2-W01</t>
        </is>
      </c>
      <c r="CG2764" t="inlineStr">
        <is>
          <t>Q2-W01</t>
        </is>
      </c>
      <c r="CH2764"/>
      <c r="CI2764"/>
      <c r="CJ2764" t="inlineStr">
        <is>
          <t>Paid</t>
        </is>
      </c>
      <c r="CK2764" t="inlineStr">
        <is>
          <t>Not Eligible</t>
        </is>
      </c>
      <c r="CL2764"/>
      <c r="CM2764"/>
    </row>
    <row r="2765" ht="25.5" customHeight="1">
      <c r="A2765" t="inlineStr">
        <is>
          <t>203033</t>
        </is>
      </c>
      <c r="B2765" s="2"/>
      <c r="C2765"/>
      <c r="D2765" s="3">
        <v>46121.43087962963</v>
      </c>
      <c r="E2765" t="inlineStr">
        <is>
          <t>Q2-W01</t>
        </is>
      </c>
      <c r="F2765" t="inlineStr">
        <is>
          <t>Xin Quan</t>
        </is>
      </c>
      <c r="G2765" t="inlineStr">
        <is>
          <t>Customer</t>
        </is>
      </c>
      <c r="H2765" s="2" t="str">
        <f>=HYPERLINK("https://upbox.ajobthing.my/customer/203033", "https://upbox.ajobthing.my/customer/203033")</f>
        <v>https://upbox.ajobthing.my/customer/203033</v>
      </c>
      <c r="I2765" t="inlineStr">
        <is>
          <t>Lkh Daily Aircond</t>
        </is>
      </c>
      <c r="J2765" t="inlineStr">
        <is>
          <t>Small Fish</t>
        </is>
      </c>
      <c r="K2765" t="inlineStr">
        <is>
          <t>Xin Quan</t>
        </is>
      </c>
      <c r="L2765" s="4"/>
      <c r="M2765" s="4">
        <v>46121.43108796296</v>
      </c>
      <c r="N2765"/>
      <c r="O2765">
        <v>1296</v>
      </c>
      <c r="P2765" s="4"/>
      <c r="Q2765" s="4">
        <v>46121.422106481485</v>
      </c>
      <c r="R2765"/>
      <c r="S2765">
        <v>0</v>
      </c>
      <c r="T2765" s="4"/>
      <c r="U2765" s="4"/>
      <c r="V2765"/>
      <c r="W2765"/>
      <c r="X2765"/>
      <c r="Y2765" t="inlineStr">
        <is>
          <t>Pending Appointment</t>
        </is>
      </c>
      <c r="Z2765" t="inlineStr">
        <is>
          <t>Hiring Now</t>
        </is>
      </c>
      <c r="AA2765">
        <v>2</v>
      </c>
      <c r="AB2765" t="inlineStr">
        <is>
          <t>No Appointment Made</t>
        </is>
      </c>
      <c r="AC2765"/>
      <c r="AD2765" t="inlineStr">
        <is>
          <t>2 CS , Base in KL</t>
        </is>
      </c>
      <c r="AE2765"/>
      <c r="AF2765">
        <v>4000</v>
      </c>
      <c r="AG2765" s="4"/>
      <c r="AH2765" s="4"/>
      <c r="AI2765">
        <v>48000</v>
      </c>
      <c r="AJ2765">
        <v>1</v>
      </c>
      <c r="AK2765"/>
      <c r="AL2765"/>
      <c r="AM2765"/>
      <c r="AN2765"/>
      <c r="AO2765"/>
      <c r="AP2765"/>
      <c r="AQ2765">
        <v>2</v>
      </c>
      <c r="AR2765"/>
      <c r="AS2765" t="inlineStr">
        <is>
          <t>- Headcount: 2
- Hiring Job Details: 2 CS, Base in KL
- Hiring Urgency: Hiring Now
- Number of outlets: 1
- Have recruiter team: Not specified
- Number of recruiter in company: Not specified
- Have ATS system: Not specified
- Have career website: Not specified
- Current hiring budget: RM4,000
- Whole year budget: RM48,000.00
- Whole year number of vacancies: 2
- Hiring frequency: Not specified
- External job portal: Not specified</t>
        </is>
      </c>
      <c r="AT2765">
        <v>105</v>
      </c>
      <c r="AU2765" t="inlineStr">
        <is>
          <t>1.05</t>
        </is>
      </c>
      <c r="AV2765" t="inlineStr">
        <is>
          <t>15</t>
        </is>
      </c>
      <c r="AW2765" t="inlineStr">
        <is>
          <t>0</t>
        </is>
      </c>
      <c r="AX2765" t="inlineStr">
        <is>
          <t>Not Qualified</t>
        </is>
      </c>
      <c r="AY2765" s="4"/>
      <c r="AZ2765"/>
      <c r="BA2765"/>
      <c r="BB2765"/>
      <c r="BC2765" t="inlineStr">
        <is>
          <t>NA</t>
        </is>
      </c>
      <c r="BD2765" s="4">
        <v>46140.49291666667</v>
      </c>
      <c r="BE2765" t="inlineStr">
        <is>
          <t>paid</t>
        </is>
      </c>
      <c r="BF2765"/>
      <c r="BG2765" t="inlineStr">
        <is>
          <t>Reschedule</t>
        </is>
      </c>
      <c r="BH2765" t="inlineStr">
        <is>
          <t>Edward Hoo</t>
        </is>
      </c>
      <c r="BI2765"/>
      <c r="BJ2765" s="4">
        <v>46144.75418981481</v>
      </c>
      <c r="BK2765" s="4">
        <v>46121.42078703704</v>
      </c>
      <c r="BL2765" t="inlineStr">
        <is>
          <t>0.0</t>
        </is>
      </c>
      <c r="BM2765" t="inlineStr">
        <is>
          <t>0.0</t>
        </is>
      </c>
      <c r="BN2765" t="inlineStr">
        <is>
          <t>View Company Page</t>
        </is>
      </c>
      <c r="BO2765" s="4">
        <v>46121.424791666665</v>
      </c>
      <c r="BP2765">
        <v>166097</v>
      </c>
      <c r="BQ2765">
        <v>121217</v>
      </c>
      <c r="BR2765" t="inlineStr">
        <is>
          <t>Proforma</t>
        </is>
      </c>
      <c r="BS2765" t="inlineStr">
        <is>
          <t>Free Part-Time Job</t>
        </is>
      </c>
      <c r="BT2765"/>
      <c r="BU2765"/>
      <c r="BV2765">
        <v>2732257</v>
      </c>
      <c r="BW2765" t="inlineStr">
        <is>
          <t>No Answer : 3 Days No Response</t>
        </is>
      </c>
      <c r="BX2765"/>
      <c r="BY2765"/>
      <c r="BZ2765" s="4"/>
      <c r="CA2765"/>
      <c r="CB2765"/>
      <c r="CC2765" s="4"/>
      <c r="CD2765" t="inlineStr">
        <is>
          <t>20</t>
        </is>
      </c>
      <c r="CE2765" t="inlineStr">
        <is>
          <t>0</t>
        </is>
      </c>
      <c r="CF2765" t="inlineStr">
        <is>
          <t>Q2-W01</t>
        </is>
      </c>
      <c r="CG2765" t="inlineStr">
        <is>
          <t>Q2-W01</t>
        </is>
      </c>
      <c r="CH2765"/>
      <c r="CI2765"/>
      <c r="CJ2765" t="inlineStr">
        <is>
          <t>No Paid</t>
        </is>
      </c>
      <c r="CK2765" t="inlineStr">
        <is>
          <t>Not Eligible</t>
        </is>
      </c>
      <c r="CL2765"/>
      <c r="CM2765"/>
    </row>
    <row r="2766" ht="25.5" customHeight="1">
      <c r="A2766" t="inlineStr">
        <is>
          <t>48134</t>
        </is>
      </c>
      <c r="B2766" s="2"/>
      <c r="C2766"/>
      <c r="D2766" s="3">
        <v>46121.43150462963</v>
      </c>
      <c r="E2766" t="inlineStr">
        <is>
          <t>Q2-W01</t>
        </is>
      </c>
      <c r="F2766" t="inlineStr">
        <is>
          <t>Luqman</t>
        </is>
      </c>
      <c r="G2766" t="inlineStr">
        <is>
          <t>Customer</t>
        </is>
      </c>
      <c r="H2766" s="2" t="str">
        <f>=HYPERLINK("https://upbox.ajobthing.my/customer/48134", "https://upbox.ajobthing.my/customer/48134")</f>
        <v>https://upbox.ajobthing.my/customer/48134</v>
      </c>
      <c r="I2766" t="inlineStr">
        <is>
          <t>Gates Trading</t>
        </is>
      </c>
      <c r="J2766" t="inlineStr">
        <is>
          <t>Small Fish</t>
        </is>
      </c>
      <c r="K2766" t="inlineStr">
        <is>
          <t>Luqman</t>
        </is>
      </c>
      <c r="L2766" s="4"/>
      <c r="M2766" s="4">
        <v>46121.43168981482</v>
      </c>
      <c r="N2766"/>
      <c r="O2766">
        <v>1512</v>
      </c>
      <c r="P2766" s="4"/>
      <c r="Q2766" s="4"/>
      <c r="R2766"/>
      <c r="S2766"/>
      <c r="T2766" s="4"/>
      <c r="U2766" s="4"/>
      <c r="V2766"/>
      <c r="W2766"/>
      <c r="X2766"/>
      <c r="Y2766" t="inlineStr">
        <is>
          <t>Pending Appointment</t>
        </is>
      </c>
      <c r="Z2766" t="inlineStr">
        <is>
          <t>Hiring Later</t>
        </is>
      </c>
      <c r="AA2766">
        <v>1</v>
      </c>
      <c r="AB2766" t="inlineStr">
        <is>
          <t>No Appointment Made</t>
        </is>
      </c>
      <c r="AC2766"/>
      <c r="AD2766" t="inlineStr">
        <is>
          <t xml:space="preserve">1. HR </t>
        </is>
      </c>
      <c r="AE2766"/>
      <c r="AF2766">
        <v>1200</v>
      </c>
      <c r="AG2766" s="4"/>
      <c r="AH2766" s="4"/>
      <c r="AI2766">
        <v>1200</v>
      </c>
      <c r="AJ2766"/>
      <c r="AK2766" t="inlineStr">
        <is>
          <t>No, I don't need at all</t>
        </is>
      </c>
      <c r="AL2766">
        <v>1</v>
      </c>
      <c r="AM2766" t="inlineStr">
        <is>
          <t>No, I don't need at all</t>
        </is>
      </c>
      <c r="AN2766"/>
      <c r="AO2766" t="inlineStr">
        <is>
          <t>No, I don't need at all</t>
        </is>
      </c>
      <c r="AP2766" t="inlineStr">
        <is>
          <t>Once a year (25%)</t>
        </is>
      </c>
      <c r="AQ2766">
        <v>1</v>
      </c>
      <c r="AR2766" t="inlineStr">
        <is>
          <t>Free Job Portal</t>
        </is>
      </c>
      <c r="AS2766" t="inlineStr">
        <is>
          <t>- Headcount: 1
- Hiring Job Details: 1 HR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Free Job Portal</t>
        </is>
      </c>
      <c r="AT2766">
        <v>115</v>
      </c>
      <c r="AU2766" t="inlineStr">
        <is>
          <t>1.15</t>
        </is>
      </c>
      <c r="AV2766" t="inlineStr">
        <is>
          <t>15</t>
        </is>
      </c>
      <c r="AW2766" t="inlineStr">
        <is>
          <t>0</t>
        </is>
      </c>
      <c r="AX2766" t="inlineStr">
        <is>
          <t>Not Qualified</t>
        </is>
      </c>
      <c r="AY2766" s="4"/>
      <c r="AZ2766"/>
      <c r="BA2766"/>
      <c r="BB2766"/>
      <c r="BC2766" t="inlineStr">
        <is>
          <t>Business utilize free portal</t>
        </is>
      </c>
      <c r="BD2766" s="4">
        <v>46127.64482638889</v>
      </c>
      <c r="BE2766"/>
      <c r="BF2766"/>
      <c r="BG2766" t="inlineStr">
        <is>
          <t>Reschedule</t>
        </is>
      </c>
      <c r="BH2766" t="inlineStr">
        <is>
          <t>Edward Hoo</t>
        </is>
      </c>
      <c r="BI2766"/>
      <c r="BJ2766" s="4">
        <v>46144.75604166667</v>
      </c>
      <c r="BK2766" s="4">
        <v>43213.41866898148</v>
      </c>
      <c r="BL2766" t="inlineStr">
        <is>
          <t>0.0</t>
        </is>
      </c>
      <c r="BM2766" t="inlineStr">
        <is>
          <t>0.0</t>
        </is>
      </c>
      <c r="BN2766"/>
      <c r="BO2766" s="4"/>
      <c r="BP2766">
        <v>166101</v>
      </c>
      <c r="BQ2766"/>
      <c r="BR2766"/>
      <c r="BS2766"/>
      <c r="BT2766"/>
      <c r="BU2766"/>
      <c r="BV2766">
        <v>2706238</v>
      </c>
      <c r="BW2766" t="inlineStr">
        <is>
          <t>Follow Up : Lost - Free Portal</t>
        </is>
      </c>
      <c r="BX2766"/>
      <c r="BY2766"/>
      <c r="BZ2766" s="4"/>
      <c r="CA2766"/>
      <c r="CB2766"/>
      <c r="CC2766" s="4"/>
      <c r="CD2766" t="inlineStr">
        <is>
          <t>20</t>
        </is>
      </c>
      <c r="CE2766" t="inlineStr">
        <is>
          <t>0</t>
        </is>
      </c>
      <c r="CF2766" t="inlineStr">
        <is>
          <t>Q2-W01</t>
        </is>
      </c>
      <c r="CG2766"/>
      <c r="CH2766"/>
      <c r="CI2766"/>
      <c r="CJ2766" t="inlineStr">
        <is>
          <t>No Paid</t>
        </is>
      </c>
      <c r="CK2766" t="inlineStr">
        <is>
          <t>Not Eligible</t>
        </is>
      </c>
      <c r="CL2766"/>
      <c r="CM2766"/>
    </row>
    <row r="2767" ht="25.5" customHeight="1">
      <c r="A2767" t="inlineStr">
        <is>
          <t>203023</t>
        </is>
      </c>
      <c r="B2767" s="2"/>
      <c r="C2767"/>
      <c r="D2767" s="3">
        <v>46121.43194444444</v>
      </c>
      <c r="E2767" t="inlineStr">
        <is>
          <t>Q2-W01</t>
        </is>
      </c>
      <c r="F2767" t="inlineStr">
        <is>
          <t>Clover</t>
        </is>
      </c>
      <c r="G2767" t="inlineStr">
        <is>
          <t>Customer</t>
        </is>
      </c>
      <c r="H2767" s="2" t="str">
        <f>=HYPERLINK("https://upbox.ajobthing.my/customer/203023", "https://upbox.ajobthing.my/customer/203023")</f>
        <v>https://upbox.ajobthing.my/customer/203023</v>
      </c>
      <c r="I2767" t="inlineStr">
        <is>
          <t>Lcy Accessories Autohaus</t>
        </is>
      </c>
      <c r="J2767" t="inlineStr">
        <is>
          <t>Small Fish</t>
        </is>
      </c>
      <c r="K2767" t="inlineStr">
        <is>
          <t>Clover</t>
        </is>
      </c>
      <c r="L2767" s="4"/>
      <c r="M2767" s="4">
        <v>46121.428819444445</v>
      </c>
      <c r="N2767"/>
      <c r="O2767">
        <v>3888</v>
      </c>
      <c r="P2767" s="4"/>
      <c r="Q2767" s="4"/>
      <c r="R2767"/>
      <c r="S2767"/>
      <c r="T2767" s="4"/>
      <c r="U2767" s="4"/>
      <c r="V2767"/>
      <c r="W2767"/>
      <c r="X2767"/>
      <c r="Y2767" t="inlineStr">
        <is>
          <t>Pending Appointment</t>
        </is>
      </c>
      <c r="Z2767" t="inlineStr">
        <is>
          <t>Hiring Now</t>
        </is>
      </c>
      <c r="AA2767">
        <v>3</v>
      </c>
      <c r="AB2767" t="inlineStr">
        <is>
          <t>No Appointment Made</t>
        </is>
      </c>
      <c r="AC2767"/>
      <c r="AD2767" t="inlineStr">
        <is>
          <t>Hire technician x1-2 chi, admin x1 chi,  auto accessories KL, start hiring later, survey now, suggest stand</t>
        </is>
      </c>
      <c r="AE2767"/>
      <c r="AF2767">
        <v>3000</v>
      </c>
      <c r="AG2767" s="4"/>
      <c r="AH2767" s="4"/>
      <c r="AI2767">
        <v>3000</v>
      </c>
      <c r="AJ2767">
        <v>1</v>
      </c>
      <c r="AK2767" t="inlineStr">
        <is>
          <t>No, but I want in future</t>
        </is>
      </c>
      <c r="AL2767">
        <v>1</v>
      </c>
      <c r="AM2767" t="inlineStr">
        <is>
          <t>No, but I want in future</t>
        </is>
      </c>
      <c r="AN2767"/>
      <c r="AO2767" t="inlineStr">
        <is>
          <t>No, but I want in future</t>
        </is>
      </c>
      <c r="AP2767" t="inlineStr">
        <is>
          <t>Twice a year (50%)</t>
        </is>
      </c>
      <c r="AQ2767">
        <v>3</v>
      </c>
      <c r="AR2767" t="inlineStr">
        <is>
          <t>Did not use any job portal</t>
        </is>
      </c>
      <c r="AS2767" t="inlineStr">
        <is>
          <t>- Headcount: 3
- Hiring Job Details: Hire technician x1-2 chi, admin x1 chi, auto accessories KL, start hiring later, survey now,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3
- Hiring frequency: Twice a year (50%)
- External job portal: Did not use any</t>
        </is>
      </c>
      <c r="AT2767">
        <v>95</v>
      </c>
      <c r="AU2767" t="inlineStr">
        <is>
          <t>0.95</t>
        </is>
      </c>
      <c r="AV2767" t="inlineStr">
        <is>
          <t>15</t>
        </is>
      </c>
      <c r="AW2767" t="inlineStr">
        <is>
          <t>0</t>
        </is>
      </c>
      <c r="AX2767" t="inlineStr">
        <is>
          <t>Not Qualified</t>
        </is>
      </c>
      <c r="AY2767" s="4"/>
      <c r="AZ2767"/>
      <c r="BA2767"/>
      <c r="BB2767"/>
      <c r="BC2767" t="inlineStr">
        <is>
          <t>On hold first</t>
        </is>
      </c>
      <c r="BD2767" s="4">
        <v>46125.69787037037</v>
      </c>
      <c r="BE2767"/>
      <c r="BF2767"/>
      <c r="BG2767" t="inlineStr">
        <is>
          <t>Reschedule</t>
        </is>
      </c>
      <c r="BH2767" t="inlineStr">
        <is>
          <t>Reagen</t>
        </is>
      </c>
      <c r="BI2767" t="inlineStr">
        <is>
          <t>Automobile / Automotive</t>
        </is>
      </c>
      <c r="BJ2767" s="4">
        <v>46144.75418981481</v>
      </c>
      <c r="BK2767" s="4">
        <v>46120.996666666666</v>
      </c>
      <c r="BL2767" t="inlineStr">
        <is>
          <t>0.0</t>
        </is>
      </c>
      <c r="BM2767" t="inlineStr">
        <is>
          <t>0.0</t>
        </is>
      </c>
      <c r="BN2767" t="inlineStr">
        <is>
          <t>View Company Page</t>
        </is>
      </c>
      <c r="BO2767" s="4">
        <v>46121.01703703704</v>
      </c>
      <c r="BP2767">
        <v>166094</v>
      </c>
      <c r="BQ2767"/>
      <c r="BR2767"/>
      <c r="BS2767"/>
      <c r="BT2767"/>
      <c r="BU2767"/>
      <c r="BV2767">
        <v>2701731</v>
      </c>
      <c r="BW2767" t="inlineStr">
        <is>
          <t>Inquire for Hiring Needs : No Hiring</t>
        </is>
      </c>
      <c r="BX2767"/>
      <c r="BY2767"/>
      <c r="BZ2767" s="4"/>
      <c r="CA2767"/>
      <c r="CB2767"/>
      <c r="CC2767" s="4"/>
      <c r="CD2767" t="inlineStr">
        <is>
          <t>20</t>
        </is>
      </c>
      <c r="CE2767" t="inlineStr">
        <is>
          <t>0</t>
        </is>
      </c>
      <c r="CF2767" t="inlineStr">
        <is>
          <t>Q2-W01</t>
        </is>
      </c>
      <c r="CG2767"/>
      <c r="CH2767"/>
      <c r="CI2767"/>
      <c r="CJ2767" t="inlineStr">
        <is>
          <t>No Paid</t>
        </is>
      </c>
      <c r="CK2767" t="inlineStr">
        <is>
          <t>Not Eligible</t>
        </is>
      </c>
      <c r="CL2767"/>
      <c r="CM2767"/>
    </row>
    <row r="2768" ht="25.5" customHeight="1">
      <c r="A2768" t="inlineStr">
        <is>
          <t>4263346</t>
        </is>
      </c>
      <c r="B2768" s="2"/>
      <c r="C2768"/>
      <c r="D2768" s="3">
        <v>46121.43449074074</v>
      </c>
      <c r="E2768" t="inlineStr">
        <is>
          <t>Q2-W01</t>
        </is>
      </c>
      <c r="F2768" t="inlineStr">
        <is>
          <t>Janice Yap</t>
        </is>
      </c>
      <c r="G2768" t="inlineStr">
        <is>
          <t>Lead</t>
        </is>
      </c>
      <c r="H2768" s="2" t="str">
        <f>=HYPERLINK("https://upbox.ajobthing.my/leads/4263346", "https://upbox.ajobthing.my/leads/4263346")</f>
        <v>https://upbox.ajobthing.my/leads/4263346</v>
      </c>
      <c r="I2768" t="inlineStr">
        <is>
          <t>Ammodago International Academy Of Excellence Sdn Bhd</t>
        </is>
      </c>
      <c r="J2768" t="inlineStr">
        <is>
          <t>Small Fish</t>
        </is>
      </c>
      <c r="K2768" t="inlineStr">
        <is>
          <t>Janice</t>
        </is>
      </c>
      <c r="L2768" s="4"/>
      <c r="M2768" s="4">
        <v>46121.430914351855</v>
      </c>
      <c r="N2768"/>
      <c r="O2768">
        <v>3888</v>
      </c>
      <c r="P2768" s="4"/>
      <c r="Q2768" s="4"/>
      <c r="R2768"/>
      <c r="S2768"/>
      <c r="T2768" s="4"/>
      <c r="U2768" s="4"/>
      <c r="V2768"/>
      <c r="W2768"/>
      <c r="X2768"/>
      <c r="Y2768" t="inlineStr">
        <is>
          <t>Pending Appointment</t>
        </is>
      </c>
      <c r="Z2768" t="inlineStr">
        <is>
          <t>Hiring Now</t>
        </is>
      </c>
      <c r="AA2768">
        <v>1</v>
      </c>
      <c r="AB2768" t="inlineStr">
        <is>
          <t>No Appointment Made</t>
        </is>
      </c>
      <c r="AC2768"/>
      <c r="AD2768" t="inlineStr">
        <is>
          <t>1 sales</t>
        </is>
      </c>
      <c r="AE2768"/>
      <c r="AF2768">
        <v>0</v>
      </c>
      <c r="AG2768" s="4"/>
      <c r="AH2768" s="4"/>
      <c r="AI2768">
        <v>0</v>
      </c>
      <c r="AJ2768"/>
      <c r="AK2768" t="inlineStr">
        <is>
          <t>No, I don't need at all</t>
        </is>
      </c>
      <c r="AL2768">
        <v>0</v>
      </c>
      <c r="AM2768" t="inlineStr">
        <is>
          <t>No, I don't need at all</t>
        </is>
      </c>
      <c r="AN2768"/>
      <c r="AO2768" t="inlineStr">
        <is>
          <t>No, I don't need at all</t>
        </is>
      </c>
      <c r="AP2768" t="inlineStr">
        <is>
          <t>Once a year (25%)</t>
        </is>
      </c>
      <c r="AQ2768">
        <v>1</v>
      </c>
      <c r="AR2768" t="inlineStr">
        <is>
          <t>Did not use any job portal</t>
        </is>
      </c>
      <c r="AS2768" t="inlineStr">
        <is>
          <t>- Headcount: 1
- Hiring Job Details: 1 sales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768">
        <v>110</v>
      </c>
      <c r="AU2768" t="inlineStr">
        <is>
          <t>1.10</t>
        </is>
      </c>
      <c r="AV2768" t="inlineStr">
        <is>
          <t>15</t>
        </is>
      </c>
      <c r="AW2768" t="inlineStr">
        <is>
          <t>0</t>
        </is>
      </c>
      <c r="AX2768" t="inlineStr">
        <is>
          <t>Not Qualified</t>
        </is>
      </c>
      <c r="AY2768" s="4"/>
      <c r="AZ2768"/>
      <c r="BA2768"/>
      <c r="BB2768"/>
      <c r="BC2768"/>
      <c r="BD2768" s="4"/>
      <c r="BE2768"/>
      <c r="BF2768"/>
      <c r="BG2768" t="inlineStr">
        <is>
          <t>Reschedule</t>
        </is>
      </c>
      <c r="BH2768" t="inlineStr">
        <is>
          <t>Yee Hang</t>
        </is>
      </c>
      <c r="BI2768"/>
      <c r="BJ2768" s="4">
        <v>46144.75576388889</v>
      </c>
      <c r="BK2768" s="4">
        <v>46121.374398148146</v>
      </c>
      <c r="BL2768" t="inlineStr">
        <is>
          <t>0.0</t>
        </is>
      </c>
      <c r="BM2768" t="inlineStr">
        <is>
          <t>0.0</t>
        </is>
      </c>
      <c r="BN2768"/>
      <c r="BO2768" s="4"/>
      <c r="BP2768">
        <v>166096</v>
      </c>
      <c r="BQ2768"/>
      <c r="BR2768"/>
      <c r="BS2768"/>
      <c r="BT2768"/>
      <c r="BU2768"/>
      <c r="BV2768"/>
      <c r="BW2768"/>
      <c r="BX2768"/>
      <c r="BY2768"/>
      <c r="BZ2768" s="4"/>
      <c r="CA2768"/>
      <c r="CB2768"/>
      <c r="CC2768" s="4"/>
      <c r="CD2768" t="inlineStr">
        <is>
          <t>20</t>
        </is>
      </c>
      <c r="CE2768" t="inlineStr">
        <is>
          <t>0</t>
        </is>
      </c>
      <c r="CF2768" t="inlineStr">
        <is>
          <t>Q2-W01</t>
        </is>
      </c>
      <c r="CG2768"/>
      <c r="CH2768"/>
      <c r="CI2768"/>
      <c r="CJ2768" t="inlineStr">
        <is>
          <t>No Paid</t>
        </is>
      </c>
      <c r="CK2768" t="inlineStr">
        <is>
          <t>Not Eligible</t>
        </is>
      </c>
      <c r="CL2768"/>
      <c r="CM2768"/>
    </row>
    <row r="2769" ht="25.5" customHeight="1">
      <c r="A2769" t="inlineStr">
        <is>
          <t>4263644</t>
        </is>
      </c>
      <c r="B2769" s="2"/>
      <c r="C2769"/>
      <c r="D2769" s="3">
        <v>46121.44001157407</v>
      </c>
      <c r="E2769" t="inlineStr">
        <is>
          <t>Q2-W01</t>
        </is>
      </c>
      <c r="F2769" t="inlineStr">
        <is>
          <t>Chia Yee</t>
        </is>
      </c>
      <c r="G2769" t="inlineStr">
        <is>
          <t>Lead</t>
        </is>
      </c>
      <c r="H2769" s="2" t="str">
        <f>=HYPERLINK("https://upbox.ajobthing.my/leads/4263644", "https://upbox.ajobthing.my/leads/4263644")</f>
        <v>https://upbox.ajobthing.my/leads/4263644</v>
      </c>
      <c r="I2769" t="inlineStr">
        <is>
          <t>House of Ingredients Sdn Bhd</t>
        </is>
      </c>
      <c r="J2769" t="inlineStr">
        <is>
          <t>Small Fish</t>
        </is>
      </c>
      <c r="K2769" t="inlineStr">
        <is>
          <t>Chia Yee</t>
        </is>
      </c>
      <c r="L2769" s="4"/>
      <c r="M2769" s="4">
        <v>46140.519212962965</v>
      </c>
      <c r="N2769"/>
      <c r="O2769">
        <v>3576.96</v>
      </c>
      <c r="P2769" s="4"/>
      <c r="Q2769" s="4"/>
      <c r="R2769"/>
      <c r="S2769"/>
      <c r="T2769" s="4"/>
      <c r="U2769" s="4"/>
      <c r="V2769"/>
      <c r="W2769"/>
      <c r="X2769"/>
      <c r="Y2769" t="inlineStr">
        <is>
          <t>Pending Appointment</t>
        </is>
      </c>
      <c r="Z2769" t="inlineStr">
        <is>
          <t>Hiring Now</t>
        </is>
      </c>
      <c r="AA2769">
        <v>5</v>
      </c>
      <c r="AB2769" t="inlineStr">
        <is>
          <t>No Appointment Made</t>
        </is>
      </c>
      <c r="AC2769"/>
      <c r="AD2769" t="inlineStr">
        <is>
          <t>2 Purcashing  (Chinese), 2 Account (Chinese), 1 Retail Manager</t>
        </is>
      </c>
      <c r="AE2769"/>
      <c r="AF2769">
        <v>0</v>
      </c>
      <c r="AG2769" s="4"/>
      <c r="AH2769" s="4"/>
      <c r="AI2769">
        <v>0</v>
      </c>
      <c r="AJ2769">
        <v>3</v>
      </c>
      <c r="AK2769" t="inlineStr">
        <is>
          <t>No, I don't need at all</t>
        </is>
      </c>
      <c r="AL2769">
        <v>1</v>
      </c>
      <c r="AM2769" t="inlineStr">
        <is>
          <t>No, I don't need at all</t>
        </is>
      </c>
      <c r="AN2769"/>
      <c r="AO2769" t="inlineStr">
        <is>
          <t>No, I don't need at all</t>
        </is>
      </c>
      <c r="AP2769" t="inlineStr">
        <is>
          <t>Once a year (25%)</t>
        </is>
      </c>
      <c r="AQ2769">
        <v>5</v>
      </c>
      <c r="AR2769" t="inlineStr">
        <is>
          <t>Did not use any job portal</t>
        </is>
      </c>
      <c r="AS2769" t="inlineStr">
        <is>
          <t>- Headcount: 5
- Hiring Job Details: 2 Purcashing (Chinese), 2 Account (Chinese), 1 Retail Manager
- Hiring Urgency: Hiring Now
- Number of outlets: 3
- Have recruiter team: No, I don't need at all
- Number of recruiter in company: 1
- Have ATS system: No, I don't need at all
- Have career website: No, I don't need at all
- Current hiring budget: RM0
- Whole year budget: RM0.00
- Whole year number of vacancies: 5
- Hiring frequency: Once a year (25%)
- External job portal: Did not use any job portal</t>
        </is>
      </c>
      <c r="AT2769">
        <v>105</v>
      </c>
      <c r="AU2769" t="inlineStr">
        <is>
          <t>1.05</t>
        </is>
      </c>
      <c r="AV2769" t="inlineStr">
        <is>
          <t>20</t>
        </is>
      </c>
      <c r="AW2769" t="inlineStr">
        <is>
          <t>0</t>
        </is>
      </c>
      <c r="AX2769" t="inlineStr">
        <is>
          <t>Not Qualified</t>
        </is>
      </c>
      <c r="AY2769" s="4"/>
      <c r="AZ2769"/>
      <c r="BA2769"/>
      <c r="BB2769"/>
      <c r="BC2769"/>
      <c r="BD2769" s="4"/>
      <c r="BE2769"/>
      <c r="BF2769"/>
      <c r="BG2769" t="inlineStr">
        <is>
          <t>Reschedule</t>
        </is>
      </c>
      <c r="BH2769" t="inlineStr">
        <is>
          <t>Reagen</t>
        </is>
      </c>
      <c r="BI2769"/>
      <c r="BJ2769" s="4">
        <v>46144.75576388889</v>
      </c>
      <c r="BK2769" s="4">
        <v>46121.40960648148</v>
      </c>
      <c r="BL2769" t="inlineStr">
        <is>
          <t>0.0</t>
        </is>
      </c>
      <c r="BM2769" t="inlineStr">
        <is>
          <t>600.0</t>
        </is>
      </c>
      <c r="BN2769"/>
      <c r="BO2769" s="4"/>
      <c r="BP2769">
        <v>169229</v>
      </c>
      <c r="BQ2769"/>
      <c r="BR2769"/>
      <c r="BS2769"/>
      <c r="BT2769"/>
      <c r="BU2769"/>
      <c r="BV2769"/>
      <c r="BW2769"/>
      <c r="BX2769"/>
      <c r="BY2769"/>
      <c r="BZ2769" s="4"/>
      <c r="CA2769"/>
      <c r="CB2769"/>
      <c r="CC2769" s="4"/>
      <c r="CD2769" t="inlineStr">
        <is>
          <t>30</t>
        </is>
      </c>
      <c r="CE2769" t="inlineStr">
        <is>
          <t>0</t>
        </is>
      </c>
      <c r="CF2769" t="inlineStr">
        <is>
          <t>Q2-W04</t>
        </is>
      </c>
      <c r="CG2769"/>
      <c r="CH2769"/>
      <c r="CI2769"/>
      <c r="CJ2769" t="inlineStr">
        <is>
          <t>No Paid</t>
        </is>
      </c>
      <c r="CK2769" t="inlineStr">
        <is>
          <t>Not Eligible</t>
        </is>
      </c>
      <c r="CL2769"/>
      <c r="CM2769"/>
    </row>
    <row r="2770" ht="25.5" customHeight="1">
      <c r="A2770" t="inlineStr">
        <is>
          <t>4261148</t>
        </is>
      </c>
      <c r="B2770" s="2"/>
      <c r="C2770"/>
      <c r="D2770" s="3">
        <v>46121.44113425926</v>
      </c>
      <c r="E2770" t="inlineStr">
        <is>
          <t>Q2-W01</t>
        </is>
      </c>
      <c r="F2770" t="inlineStr">
        <is>
          <t>Lucas</t>
        </is>
      </c>
      <c r="G2770" t="inlineStr">
        <is>
          <t>Lead</t>
        </is>
      </c>
      <c r="H2770" s="2" t="str">
        <f>=HYPERLINK("https://upbox.ajobthing.my/leads/4261148", "https://upbox.ajobthing.my/leads/4261148")</f>
        <v>https://upbox.ajobthing.my/leads/4261148</v>
      </c>
      <c r="I2770" t="inlineStr">
        <is>
          <t>Barado trading</t>
        </is>
      </c>
      <c r="J2770" t="inlineStr">
        <is>
          <t>Small Fish</t>
        </is>
      </c>
      <c r="K2770" t="inlineStr">
        <is>
          <t>Lucas</t>
        </is>
      </c>
      <c r="L2770" s="4"/>
      <c r="M2770" s="4">
        <v>46121.43945601852</v>
      </c>
      <c r="N2770"/>
      <c r="O2770">
        <v>3888</v>
      </c>
      <c r="P2770" s="4"/>
      <c r="Q2770" s="4"/>
      <c r="R2770"/>
      <c r="S2770"/>
      <c r="T2770" s="4"/>
      <c r="U2770" s="4"/>
      <c r="V2770"/>
      <c r="W2770"/>
      <c r="X2770"/>
      <c r="Y2770" t="inlineStr">
        <is>
          <t>Pending Appointment</t>
        </is>
      </c>
      <c r="Z2770" t="inlineStr">
        <is>
          <t>Hiring Now</t>
        </is>
      </c>
      <c r="AA2770">
        <v>3</v>
      </c>
      <c r="AB2770" t="inlineStr">
        <is>
          <t>No Appointment Made</t>
        </is>
      </c>
      <c r="AC2770"/>
      <c r="AD2770" t="inlineStr">
        <is>
          <t>1 service crew, 1 kitchen crew  dan 1 pembancuh air</t>
        </is>
      </c>
      <c r="AE2770"/>
      <c r="AF2770">
        <v>0</v>
      </c>
      <c r="AG2770" s="4"/>
      <c r="AH2770" s="4"/>
      <c r="AI2770">
        <v>0</v>
      </c>
      <c r="AJ2770">
        <v>0</v>
      </c>
      <c r="AK2770" t="inlineStr">
        <is>
          <t>No, I don't need at all</t>
        </is>
      </c>
      <c r="AL2770">
        <v>0</v>
      </c>
      <c r="AM2770" t="inlineStr">
        <is>
          <t>No, I don't need at all</t>
        </is>
      </c>
      <c r="AN2770"/>
      <c r="AO2770" t="inlineStr">
        <is>
          <t>No, I don't need at all</t>
        </is>
      </c>
      <c r="AP2770" t="inlineStr">
        <is>
          <t>Once a year (25%)</t>
        </is>
      </c>
      <c r="AQ2770">
        <v>3</v>
      </c>
      <c r="AR2770" t="inlineStr">
        <is>
          <t>Did not use any job portal</t>
        </is>
      </c>
      <c r="AS2770" t="inlineStr">
        <is>
          <t>- Headcount: 3
- Hiring Job Details: 1 service crew, 1 kitchen crew dan 1 pembancuh air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3
- Hiring frequency: Once a year (25%)
- External job portal: Did not use any job portal</t>
        </is>
      </c>
      <c r="AT2770">
        <v>95</v>
      </c>
      <c r="AU2770" t="inlineStr">
        <is>
          <t>0.95</t>
        </is>
      </c>
      <c r="AV2770" t="inlineStr">
        <is>
          <t>15</t>
        </is>
      </c>
      <c r="AW2770" t="inlineStr">
        <is>
          <t>0</t>
        </is>
      </c>
      <c r="AX2770" t="inlineStr">
        <is>
          <t>Not Qualified</t>
        </is>
      </c>
      <c r="AY2770" s="4"/>
      <c r="AZ2770"/>
      <c r="BA2770"/>
      <c r="BB2770"/>
      <c r="BC2770"/>
      <c r="BD2770" s="4"/>
      <c r="BE2770"/>
      <c r="BF2770"/>
      <c r="BG2770" t="inlineStr">
        <is>
          <t>Reschedule</t>
        </is>
      </c>
      <c r="BH2770" t="inlineStr">
        <is>
          <t>Yee Hang</t>
        </is>
      </c>
      <c r="BI2770"/>
      <c r="BJ2770" s="4">
        <v>46144.75576388889</v>
      </c>
      <c r="BK2770" s="4">
        <v>46120.692777777775</v>
      </c>
      <c r="BL2770" t="inlineStr">
        <is>
          <t>0.0</t>
        </is>
      </c>
      <c r="BM2770" t="inlineStr">
        <is>
          <t>0.0</t>
        </is>
      </c>
      <c r="BN2770"/>
      <c r="BO2770" s="4"/>
      <c r="BP2770">
        <v>166111</v>
      </c>
      <c r="BQ2770"/>
      <c r="BR2770"/>
      <c r="BS2770"/>
      <c r="BT2770"/>
      <c r="BU2770"/>
      <c r="BV2770"/>
      <c r="BW2770"/>
      <c r="BX2770"/>
      <c r="BY2770"/>
      <c r="BZ2770" s="4"/>
      <c r="CA2770"/>
      <c r="CB2770"/>
      <c r="CC2770" s="4"/>
      <c r="CD2770" t="inlineStr">
        <is>
          <t>20</t>
        </is>
      </c>
      <c r="CE2770" t="inlineStr">
        <is>
          <t>0</t>
        </is>
      </c>
      <c r="CF2770" t="inlineStr">
        <is>
          <t>Q2-W01</t>
        </is>
      </c>
      <c r="CG2770"/>
      <c r="CH2770"/>
      <c r="CI2770"/>
      <c r="CJ2770" t="inlineStr">
        <is>
          <t>No Paid</t>
        </is>
      </c>
      <c r="CK2770" t="inlineStr">
        <is>
          <t>Not Eligible</t>
        </is>
      </c>
      <c r="CL2770"/>
      <c r="CM2770"/>
    </row>
    <row r="2771" ht="25.5" customHeight="1">
      <c r="A2771" t="inlineStr">
        <is>
          <t>202997</t>
        </is>
      </c>
      <c r="B2771" s="2"/>
      <c r="C2771"/>
      <c r="D2771" s="3">
        <v>46121.446435185186</v>
      </c>
      <c r="E2771" t="inlineStr">
        <is>
          <t>Q2-W01</t>
        </is>
      </c>
      <c r="F2771" t="inlineStr">
        <is>
          <t>Dickson</t>
        </is>
      </c>
      <c r="G2771" t="inlineStr">
        <is>
          <t>Customer</t>
        </is>
      </c>
      <c r="H2771" s="2" t="str">
        <f>=HYPERLINK("https://upbox.ajobthing.my/customer/202997", "https://upbox.ajobthing.my/customer/202997")</f>
        <v>https://upbox.ajobthing.my/customer/202997</v>
      </c>
      <c r="I2771" t="inlineStr">
        <is>
          <t>Cooling Star Service</t>
        </is>
      </c>
      <c r="J2771" t="inlineStr">
        <is>
          <t>Small Fish</t>
        </is>
      </c>
      <c r="K2771" t="inlineStr">
        <is>
          <t>Dickson</t>
        </is>
      </c>
      <c r="L2771" s="4"/>
      <c r="M2771" s="4">
        <v>46121.44658564815</v>
      </c>
      <c r="N2771"/>
      <c r="O2771">
        <v>1296</v>
      </c>
      <c r="P2771" s="4"/>
      <c r="Q2771" s="4"/>
      <c r="R2771"/>
      <c r="S2771"/>
      <c r="T2771" s="4"/>
      <c r="U2771" s="4"/>
      <c r="V2771"/>
      <c r="W2771"/>
      <c r="X2771"/>
      <c r="Y2771" t="inlineStr">
        <is>
          <t>Pending Appointment</t>
        </is>
      </c>
      <c r="Z2771" t="inlineStr">
        <is>
          <t>Hiring Now</t>
        </is>
      </c>
      <c r="AA2771">
        <v>1</v>
      </c>
      <c r="AB2771" t="inlineStr">
        <is>
          <t>No Appointment Made</t>
        </is>
      </c>
      <c r="AC2771"/>
      <c r="AD2771" t="inlineStr">
        <is>
          <t>1 Admin</t>
        </is>
      </c>
      <c r="AE2771"/>
      <c r="AF2771"/>
      <c r="AG2771" s="4"/>
      <c r="AH2771" s="4"/>
      <c r="AI2771"/>
      <c r="AJ2771">
        <v>1</v>
      </c>
      <c r="AK2771" t="inlineStr">
        <is>
          <t>No, I don't need at all</t>
        </is>
      </c>
      <c r="AL2771"/>
      <c r="AM2771" t="inlineStr">
        <is>
          <t>No, I don't need at all</t>
        </is>
      </c>
      <c r="AN2771"/>
      <c r="AO2771" t="inlineStr">
        <is>
          <t>No, I don't need at all</t>
        </is>
      </c>
      <c r="AP2771" t="inlineStr">
        <is>
          <t>Once per quarter (75%)</t>
        </is>
      </c>
      <c r="AQ2771"/>
      <c r="AR2771"/>
      <c r="AS2771" t="inlineStr">
        <is>
          <t>- Headcount: 1
- Hiring Job Details: 1 Admin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is>
      </c>
      <c r="AT2771">
        <v>95</v>
      </c>
      <c r="AU2771" t="inlineStr">
        <is>
          <t>0.95</t>
        </is>
      </c>
      <c r="AV2771" t="inlineStr">
        <is>
          <t>5</t>
        </is>
      </c>
      <c r="AW2771" t="inlineStr">
        <is>
          <t>0</t>
        </is>
      </c>
      <c r="AX2771" t="inlineStr">
        <is>
          <t>Not Qualified</t>
        </is>
      </c>
      <c r="AY2771" s="4"/>
      <c r="AZ2771"/>
      <c r="BA2771"/>
      <c r="BB2771"/>
      <c r="BC2771" t="inlineStr">
        <is>
          <t>dont wish to proceed</t>
        </is>
      </c>
      <c r="BD2771" s="4">
        <v>46139.74579861111</v>
      </c>
      <c r="BE2771"/>
      <c r="BF2771"/>
      <c r="BG2771" t="inlineStr">
        <is>
          <t>Reschedule</t>
        </is>
      </c>
      <c r="BH2771" t="inlineStr">
        <is>
          <t>Edward Hoo</t>
        </is>
      </c>
      <c r="BI2771" t="inlineStr">
        <is>
          <t>Automobile / Automotive</t>
        </is>
      </c>
      <c r="BJ2771" s="4">
        <v>46144.75418981481</v>
      </c>
      <c r="BK2771" s="4">
        <v>46120.64627314815</v>
      </c>
      <c r="BL2771" t="inlineStr">
        <is>
          <t>0.0</t>
        </is>
      </c>
      <c r="BM2771" t="inlineStr">
        <is>
          <t>0.0</t>
        </is>
      </c>
      <c r="BN2771" t="inlineStr">
        <is>
          <t>View Company Page</t>
        </is>
      </c>
      <c r="BO2771" s="4">
        <v>46137.59038194444</v>
      </c>
      <c r="BP2771">
        <v>166118</v>
      </c>
      <c r="BQ2771"/>
      <c r="BR2771"/>
      <c r="BS2771"/>
      <c r="BT2771"/>
      <c r="BU2771"/>
      <c r="BV2771">
        <v>2731538</v>
      </c>
      <c r="BW2771" t="inlineStr">
        <is>
          <t>Follow Up : Lost - Free Portal</t>
        </is>
      </c>
      <c r="BX2771"/>
      <c r="BY2771"/>
      <c r="BZ2771" s="4"/>
      <c r="CA2771"/>
      <c r="CB2771"/>
      <c r="CC2771" s="4"/>
      <c r="CD2771" t="inlineStr">
        <is>
          <t>5</t>
        </is>
      </c>
      <c r="CE2771" t="inlineStr">
        <is>
          <t>0</t>
        </is>
      </c>
      <c r="CF2771" t="inlineStr">
        <is>
          <t>Q2-W01</t>
        </is>
      </c>
      <c r="CG2771"/>
      <c r="CH2771"/>
      <c r="CI2771"/>
      <c r="CJ2771" t="inlineStr">
        <is>
          <t>No Paid</t>
        </is>
      </c>
      <c r="CK2771" t="inlineStr">
        <is>
          <t>Not Eligible</t>
        </is>
      </c>
      <c r="CL2771"/>
      <c r="CM2771"/>
    </row>
    <row r="2772" ht="25.5" customHeight="1">
      <c r="A2772" t="inlineStr">
        <is>
          <t>4261942</t>
        </is>
      </c>
      <c r="B2772" s="2"/>
      <c r="C2772"/>
      <c r="D2772" s="3">
        <v>46121.45195601852</v>
      </c>
      <c r="E2772" t="inlineStr">
        <is>
          <t>Q2-W01</t>
        </is>
      </c>
      <c r="F2772" t="inlineStr">
        <is>
          <t>Jia Hui</t>
        </is>
      </c>
      <c r="G2772" t="inlineStr">
        <is>
          <t>Lead</t>
        </is>
      </c>
      <c r="H2772" s="2" t="str">
        <f>=HYPERLINK("https://upbox.ajobthing.my/leads/4261942", "https://upbox.ajobthing.my/leads/4261942")</f>
        <v>https://upbox.ajobthing.my/leads/4261942</v>
      </c>
      <c r="I2772" t="inlineStr">
        <is>
          <t>Persian Collections</t>
        </is>
      </c>
      <c r="J2772" t="inlineStr">
        <is>
          <t>Small Fish</t>
        </is>
      </c>
      <c r="K2772" t="inlineStr">
        <is>
          <t>Jia Hui</t>
        </is>
      </c>
      <c r="L2772" s="4"/>
      <c r="M2772" s="4">
        <v>46121.4522337963</v>
      </c>
      <c r="N2772"/>
      <c r="O2772">
        <v>3888</v>
      </c>
      <c r="P2772" s="4"/>
      <c r="Q2772" s="4"/>
      <c r="R2772"/>
      <c r="S2772"/>
      <c r="T2772" s="4"/>
      <c r="U2772" s="4"/>
      <c r="V2772"/>
      <c r="W2772"/>
      <c r="X2772"/>
      <c r="Y2772" t="inlineStr">
        <is>
          <t>Pending Appointment</t>
        </is>
      </c>
      <c r="Z2772" t="inlineStr">
        <is>
          <t>Hiring Now</t>
        </is>
      </c>
      <c r="AA2772">
        <v>2</v>
      </c>
      <c r="AB2772" t="inlineStr">
        <is>
          <t>No Appointment Made</t>
        </is>
      </c>
      <c r="AC2772"/>
      <c r="AD2772" t="inlineStr">
        <is>
          <t>1 delivery driver, 1 account cum admin</t>
        </is>
      </c>
      <c r="AE2772"/>
      <c r="AF2772">
        <v>500</v>
      </c>
      <c r="AG2772" s="4"/>
      <c r="AH2772" s="4"/>
      <c r="AI2772"/>
      <c r="AJ2772"/>
      <c r="AK2772" t="inlineStr">
        <is>
          <t>No, but I want in future</t>
        </is>
      </c>
      <c r="AL2772"/>
      <c r="AM2772"/>
      <c r="AN2772"/>
      <c r="AO2772"/>
      <c r="AP2772" t="inlineStr">
        <is>
          <t>Once a year (25%)</t>
        </is>
      </c>
      <c r="AQ2772"/>
      <c r="AR2772"/>
      <c r="AS2772" t="inlineStr">
        <is>
          <t>- Headcount: 2
- Hiring Job Details: 1 delivery driver, 1 account cum admin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772">
        <v>75</v>
      </c>
      <c r="AU2772" t="inlineStr">
        <is>
          <t>0.75</t>
        </is>
      </c>
      <c r="AV2772" t="inlineStr">
        <is>
          <t>15</t>
        </is>
      </c>
      <c r="AW2772" t="inlineStr">
        <is>
          <t>0</t>
        </is>
      </c>
      <c r="AX2772" t="inlineStr">
        <is>
          <t>Not Qualified</t>
        </is>
      </c>
      <c r="AY2772" s="4"/>
      <c r="AZ2772"/>
      <c r="BA2772"/>
      <c r="BB2772"/>
      <c r="BC2772"/>
      <c r="BD2772" s="4"/>
      <c r="BE2772"/>
      <c r="BF2772"/>
      <c r="BG2772" t="inlineStr">
        <is>
          <t>Reschedule</t>
        </is>
      </c>
      <c r="BH2772" t="inlineStr">
        <is>
          <t>Reagen</t>
        </is>
      </c>
      <c r="BI2772"/>
      <c r="BJ2772" s="4">
        <v>46144.75576388889</v>
      </c>
      <c r="BK2772" s="4">
        <v>46120.88538194444</v>
      </c>
      <c r="BL2772" t="inlineStr">
        <is>
          <t>0.0</t>
        </is>
      </c>
      <c r="BM2772" t="inlineStr">
        <is>
          <t>0.0</t>
        </is>
      </c>
      <c r="BN2772"/>
      <c r="BO2772" s="4"/>
      <c r="BP2772">
        <v>166121</v>
      </c>
      <c r="BQ2772"/>
      <c r="BR2772"/>
      <c r="BS2772"/>
      <c r="BT2772"/>
      <c r="BU2772"/>
      <c r="BV2772"/>
      <c r="BW2772"/>
      <c r="BX2772"/>
      <c r="BY2772"/>
      <c r="BZ2772" s="4"/>
      <c r="CA2772"/>
      <c r="CB2772"/>
      <c r="CC2772" s="4"/>
      <c r="CD2772" t="inlineStr">
        <is>
          <t>20</t>
        </is>
      </c>
      <c r="CE2772" t="inlineStr">
        <is>
          <t>0</t>
        </is>
      </c>
      <c r="CF2772" t="inlineStr">
        <is>
          <t>Q2-W01</t>
        </is>
      </c>
      <c r="CG2772"/>
      <c r="CH2772"/>
      <c r="CI2772"/>
      <c r="CJ2772" t="inlineStr">
        <is>
          <t>No Paid</t>
        </is>
      </c>
      <c r="CK2772" t="inlineStr">
        <is>
          <t>Not Eligible</t>
        </is>
      </c>
      <c r="CL2772"/>
      <c r="CM2772"/>
    </row>
    <row r="2773" ht="25.5" customHeight="1">
      <c r="A2773" t="inlineStr">
        <is>
          <t>202848</t>
        </is>
      </c>
      <c r="B2773" s="2"/>
      <c r="C2773"/>
      <c r="D2773" s="3">
        <v>46121.452685185184</v>
      </c>
      <c r="E2773" t="inlineStr">
        <is>
          <t>Q2-W01</t>
        </is>
      </c>
      <c r="F2773" t="inlineStr">
        <is>
          <t>Luqman</t>
        </is>
      </c>
      <c r="G2773" t="inlineStr">
        <is>
          <t>Customer</t>
        </is>
      </c>
      <c r="H2773" s="2" t="str">
        <f>=HYPERLINK("https://upbox.ajobthing.my/customer/202848", "https://upbox.ajobthing.my/customer/202848")</f>
        <v>https://upbox.ajobthing.my/customer/202848</v>
      </c>
      <c r="I2773" t="inlineStr">
        <is>
          <t xml:space="preserve">Yondazgreen Sdn Bhd </t>
        </is>
      </c>
      <c r="J2773" t="inlineStr">
        <is>
          <t>Small Fish</t>
        </is>
      </c>
      <c r="K2773" t="inlineStr">
        <is>
          <t>Luqman</t>
        </is>
      </c>
      <c r="L2773" s="4"/>
      <c r="M2773" s="4">
        <v>46121.45349537037</v>
      </c>
      <c r="N2773"/>
      <c r="O2773">
        <v>1512</v>
      </c>
      <c r="P2773" s="4"/>
      <c r="Q2773" s="4">
        <v>46140.39460648148</v>
      </c>
      <c r="R2773"/>
      <c r="S2773">
        <v>864</v>
      </c>
      <c r="T2773" s="4">
        <v>46140.39460648148</v>
      </c>
      <c r="U2773" s="4"/>
      <c r="V2773"/>
      <c r="W2773">
        <v>864</v>
      </c>
      <c r="X2773"/>
      <c r="Y2773" t="inlineStr">
        <is>
          <t>Pending Appointment</t>
        </is>
      </c>
      <c r="Z2773" t="inlineStr">
        <is>
          <t>Hiring Now</t>
        </is>
      </c>
      <c r="AA2773">
        <v>1</v>
      </c>
      <c r="AB2773" t="inlineStr">
        <is>
          <t>No Appointment Made</t>
        </is>
      </c>
      <c r="AC2773"/>
      <c r="AD2773" t="inlineStr">
        <is>
          <t xml:space="preserve">1. Personal Assistant </t>
        </is>
      </c>
      <c r="AE2773"/>
      <c r="AF2773">
        <v>1200</v>
      </c>
      <c r="AG2773" s="4"/>
      <c r="AH2773" s="4"/>
      <c r="AI2773">
        <v>1200</v>
      </c>
      <c r="AJ2773"/>
      <c r="AK2773" t="inlineStr">
        <is>
          <t>No, I don't need at all</t>
        </is>
      </c>
      <c r="AL2773">
        <v>0</v>
      </c>
      <c r="AM2773" t="inlineStr">
        <is>
          <t>No, I don't need at all</t>
        </is>
      </c>
      <c r="AN2773"/>
      <c r="AO2773" t="inlineStr">
        <is>
          <t>No, I don't need at all</t>
        </is>
      </c>
      <c r="AP2773" t="inlineStr">
        <is>
          <t>Once a year (25%)</t>
        </is>
      </c>
      <c r="AQ2773">
        <v>1</v>
      </c>
      <c r="AR2773" t="inlineStr">
        <is>
          <t>Did not use any job portal</t>
        </is>
      </c>
      <c r="AS2773" t="inlineStr">
        <is>
          <t>- Headcount: 1
- Hiring Job Details: 1 Personal Assistant
- Hiring Urgency: Hiring Now
- Number of outlets: 
- Have recruiter team: No, I don't need at all
- Number of recruiter in company: 0
- Have ATS system: No, I don't need at all
- Have career website: No, I don't need at all
- Current hiring budget: RM1,200
- Whole year budget: RM1,200.00
- Whole year number of vacancies: 1
- Hiring frequency: Once a year (25%)
- External job portal: Did not use any job portal</t>
        </is>
      </c>
      <c r="AT2773">
        <v>110</v>
      </c>
      <c r="AU2773" t="inlineStr">
        <is>
          <t>1.10</t>
        </is>
      </c>
      <c r="AV2773" t="inlineStr">
        <is>
          <t>15</t>
        </is>
      </c>
      <c r="AW2773" t="inlineStr">
        <is>
          <t>0</t>
        </is>
      </c>
      <c r="AX2773" t="inlineStr">
        <is>
          <t>Not Qualified</t>
        </is>
      </c>
      <c r="AY2773" s="4"/>
      <c r="AZ2773"/>
      <c r="BA2773"/>
      <c r="BB2773"/>
      <c r="BC2773" t="inlineStr">
        <is>
          <t>Whatsapp video call navigating system interface</t>
        </is>
      </c>
      <c r="BD2773" s="4">
        <v>46142.39108796296</v>
      </c>
      <c r="BE2773" t="inlineStr">
        <is>
          <t>paid</t>
        </is>
      </c>
      <c r="BF2773" t="inlineStr">
        <is>
          <t>Q2-W04</t>
        </is>
      </c>
      <c r="BG2773" t="inlineStr">
        <is>
          <t>Reschedule</t>
        </is>
      </c>
      <c r="BH2773" t="inlineStr">
        <is>
          <t>Edward Hoo</t>
        </is>
      </c>
      <c r="BI2773"/>
      <c r="BJ2773" s="4">
        <v>46144.75414351852</v>
      </c>
      <c r="BK2773" s="4">
        <v>46118.51215277778</v>
      </c>
      <c r="BL2773" t="inlineStr">
        <is>
          <t>864.0</t>
        </is>
      </c>
      <c r="BM2773" t="inlineStr">
        <is>
          <t>0.0</t>
        </is>
      </c>
      <c r="BN2773" t="inlineStr">
        <is>
          <t>PA Visit - Job Card</t>
        </is>
      </c>
      <c r="BO2773" s="4">
        <v>46144.60306712963</v>
      </c>
      <c r="BP2773">
        <v>166124</v>
      </c>
      <c r="BQ2773">
        <v>94852</v>
      </c>
      <c r="BR2773" t="inlineStr">
        <is>
          <t>Online</t>
        </is>
      </c>
      <c r="BS2773"/>
      <c r="BT2773">
        <v>94852</v>
      </c>
      <c r="BU2773"/>
      <c r="BV2773">
        <v>2736459</v>
      </c>
      <c r="BW2773" t="inlineStr">
        <is>
          <t>Service / Technical : Help To Post Job</t>
        </is>
      </c>
      <c r="BX2773">
        <v>2</v>
      </c>
      <c r="BY2773">
        <v>0</v>
      </c>
      <c r="BZ2773" s="4">
        <v>46142.80459490741</v>
      </c>
      <c r="CA2773">
        <v>10</v>
      </c>
      <c r="CB2773">
        <v>10</v>
      </c>
      <c r="CC2773" s="4"/>
      <c r="CD2773" t="inlineStr">
        <is>
          <t>20</t>
        </is>
      </c>
      <c r="CE2773" t="inlineStr">
        <is>
          <t>0</t>
        </is>
      </c>
      <c r="CF2773" t="inlineStr">
        <is>
          <t>Q2-W01</t>
        </is>
      </c>
      <c r="CG2773" t="inlineStr">
        <is>
          <t>Q2-W04</t>
        </is>
      </c>
      <c r="CH2773" t="inlineStr">
        <is>
          <t>Q2-W04</t>
        </is>
      </c>
      <c r="CI2773"/>
      <c r="CJ2773" t="inlineStr">
        <is>
          <t>Paid</t>
        </is>
      </c>
      <c r="CK2773" t="inlineStr">
        <is>
          <t>Not Eligible</t>
        </is>
      </c>
      <c r="CL2773"/>
      <c r="CM2773"/>
    </row>
    <row r="2774" ht="25.5" customHeight="1">
      <c r="A2774" t="inlineStr">
        <is>
          <t>120365</t>
        </is>
      </c>
      <c r="B2774" s="2"/>
      <c r="C2774"/>
      <c r="D2774" s="3">
        <v>46121.46146990741</v>
      </c>
      <c r="E2774" t="inlineStr">
        <is>
          <t>Q2-W01</t>
        </is>
      </c>
      <c r="F2774" t="inlineStr">
        <is>
          <t>Alex Chan</t>
        </is>
      </c>
      <c r="G2774" t="inlineStr">
        <is>
          <t>Customer</t>
        </is>
      </c>
      <c r="H2774" s="2" t="str">
        <f>=HYPERLINK("https://upbox.ajobthing.my/customer/120365", "https://upbox.ajobthing.my/customer/120365")</f>
        <v>https://upbox.ajobthing.my/customer/120365</v>
      </c>
      <c r="I2774" t="inlineStr">
        <is>
          <t>3I Smart Resources</t>
        </is>
      </c>
      <c r="J2774" t="inlineStr">
        <is>
          <t>Small Fish</t>
        </is>
      </c>
      <c r="K2774" t="inlineStr">
        <is>
          <t>Alex Chan</t>
        </is>
      </c>
      <c r="L2774" s="4"/>
      <c r="M2774" s="4">
        <v>46121.461875</v>
      </c>
      <c r="N2774"/>
      <c r="O2774">
        <v>3888</v>
      </c>
      <c r="P2774" s="4"/>
      <c r="Q2774" s="4">
        <v>46121.460868055554</v>
      </c>
      <c r="R2774"/>
      <c r="S2774">
        <v>0</v>
      </c>
      <c r="T2774" s="4"/>
      <c r="U2774" s="4"/>
      <c r="V2774"/>
      <c r="W2774"/>
      <c r="X2774"/>
      <c r="Y2774" t="inlineStr">
        <is>
          <t>Pending Appointment</t>
        </is>
      </c>
      <c r="Z2774" t="inlineStr">
        <is>
          <t>Hiring Now</t>
        </is>
      </c>
      <c r="AA2774">
        <v>1</v>
      </c>
      <c r="AB2774" t="inlineStr">
        <is>
          <t>No Appointment Made</t>
        </is>
      </c>
      <c r="AC2774"/>
      <c r="AD2774" t="inlineStr">
        <is>
          <t>1x Assistant Coach (Mandarin, SPM)</t>
        </is>
      </c>
      <c r="AE2774"/>
      <c r="AF2774">
        <v>3600</v>
      </c>
      <c r="AG2774" s="4"/>
      <c r="AH2774" s="4"/>
      <c r="AI2774">
        <v>3600</v>
      </c>
      <c r="AJ2774">
        <v>1</v>
      </c>
      <c r="AK2774" t="inlineStr">
        <is>
          <t>No, I don't need at all</t>
        </is>
      </c>
      <c r="AL2774">
        <v>1</v>
      </c>
      <c r="AM2774" t="inlineStr">
        <is>
          <t>No, I don't need at all</t>
        </is>
      </c>
      <c r="AN2774"/>
      <c r="AO2774" t="inlineStr">
        <is>
          <t>No, I don't need at all</t>
        </is>
      </c>
      <c r="AP2774" t="inlineStr">
        <is>
          <t>Once a year (25%)</t>
        </is>
      </c>
      <c r="AQ2774">
        <v>1</v>
      </c>
      <c r="AR2774" t="inlineStr">
        <is>
          <t>Free Job Portal</t>
        </is>
      </c>
      <c r="AS2774" t="inlineStr">
        <is>
          <t>- Headcount: 1
- Hiring Job Details: 1x Assistant Coach (Mandarin, SPM)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AT2774">
        <v>115</v>
      </c>
      <c r="AU2774" t="inlineStr">
        <is>
          <t>1.15</t>
        </is>
      </c>
      <c r="AV2774" t="inlineStr">
        <is>
          <t>15</t>
        </is>
      </c>
      <c r="AW2774" t="inlineStr">
        <is>
          <t>0</t>
        </is>
      </c>
      <c r="AX2774" t="inlineStr">
        <is>
          <t>Not Qualified</t>
        </is>
      </c>
      <c r="AY2774" s="4"/>
      <c r="AZ2774"/>
      <c r="BA2774"/>
      <c r="BB2774"/>
      <c r="BC2774" t="inlineStr">
        <is>
          <t>- Called - Hired</t>
        </is>
      </c>
      <c r="BD2774" s="4">
        <v>46126.59394675926</v>
      </c>
      <c r="BE2774" t="inlineStr">
        <is>
          <t>paid</t>
        </is>
      </c>
      <c r="BF2774"/>
      <c r="BG2774" t="inlineStr">
        <is>
          <t>Reschedule</t>
        </is>
      </c>
      <c r="BH2774" t="inlineStr">
        <is>
          <t>Reagen</t>
        </is>
      </c>
      <c r="BI2774" t="inlineStr">
        <is>
          <t>Education / Training</t>
        </is>
      </c>
      <c r="BJ2774" s="4">
        <v>46144.750231481485</v>
      </c>
      <c r="BK2774" s="4">
        <v>43670.70311342592</v>
      </c>
      <c r="BL2774" t="inlineStr">
        <is>
          <t>0.0</t>
        </is>
      </c>
      <c r="BM2774" t="inlineStr">
        <is>
          <t>0.0</t>
        </is>
      </c>
      <c r="BN2774" t="inlineStr">
        <is>
          <t>View Job Applicants Page</t>
        </is>
      </c>
      <c r="BO2774" s="4">
        <v>44032.74296296296</v>
      </c>
      <c r="BP2774">
        <v>166130</v>
      </c>
      <c r="BQ2774">
        <v>121264</v>
      </c>
      <c r="BR2774" t="inlineStr">
        <is>
          <t>Proforma</t>
        </is>
      </c>
      <c r="BS2774" t="inlineStr">
        <is>
          <t>Free Internship Job</t>
        </is>
      </c>
      <c r="BT2774"/>
      <c r="BU2774"/>
      <c r="BV2774">
        <v>2703574</v>
      </c>
      <c r="BW2774" t="inlineStr">
        <is>
          <t>Follow Up : Lost - Free Portal</t>
        </is>
      </c>
      <c r="BX2774"/>
      <c r="BY2774"/>
      <c r="BZ2774" s="4"/>
      <c r="CA2774"/>
      <c r="CB2774"/>
      <c r="CC2774" s="4"/>
      <c r="CD2774" t="inlineStr">
        <is>
          <t>20</t>
        </is>
      </c>
      <c r="CE2774" t="inlineStr">
        <is>
          <t>0</t>
        </is>
      </c>
      <c r="CF2774" t="inlineStr">
        <is>
          <t>Q2-W01</t>
        </is>
      </c>
      <c r="CG2774" t="inlineStr">
        <is>
          <t>Q2-W01</t>
        </is>
      </c>
      <c r="CH2774"/>
      <c r="CI2774"/>
      <c r="CJ2774" t="inlineStr">
        <is>
          <t>No Paid</t>
        </is>
      </c>
      <c r="CK2774" t="inlineStr">
        <is>
          <t>Not Eligible</t>
        </is>
      </c>
      <c r="CL2774"/>
      <c r="CM2774"/>
    </row>
    <row r="2775" ht="25.5" customHeight="1">
      <c r="A2775" t="inlineStr">
        <is>
          <t>4173867</t>
        </is>
      </c>
      <c r="B2775" s="2"/>
      <c r="C2775"/>
      <c r="D2775" s="3">
        <v>46121.46486111111</v>
      </c>
      <c r="E2775" t="inlineStr">
        <is>
          <t>Q2-W01</t>
        </is>
      </c>
      <c r="F2775" t="inlineStr">
        <is>
          <t>Eugene</t>
        </is>
      </c>
      <c r="G2775" t="inlineStr">
        <is>
          <t>Lead</t>
        </is>
      </c>
      <c r="H2775" s="2" t="str">
        <f>=HYPERLINK("https://upbox.ajobthing.my/leads/4173867", "https://upbox.ajobthing.my/leads/4173867")</f>
        <v>https://upbox.ajobthing.my/leads/4173867</v>
      </c>
      <c r="I2775" t="inlineStr">
        <is>
          <t>Multiplex Groups</t>
        </is>
      </c>
      <c r="J2775" t="inlineStr">
        <is>
          <t>Small Fish</t>
        </is>
      </c>
      <c r="K2775" t="inlineStr">
        <is>
          <t>Eugene</t>
        </is>
      </c>
      <c r="L2775" s="4"/>
      <c r="M2775" s="4">
        <v>46121.46501157407</v>
      </c>
      <c r="N2775"/>
      <c r="O2775">
        <v>6048</v>
      </c>
      <c r="P2775" s="4"/>
      <c r="Q2775" s="4"/>
      <c r="R2775"/>
      <c r="S2775"/>
      <c r="T2775" s="4"/>
      <c r="U2775" s="4"/>
      <c r="V2775"/>
      <c r="W2775"/>
      <c r="X2775"/>
      <c r="Y2775" t="inlineStr">
        <is>
          <t>Pending Appointment</t>
        </is>
      </c>
      <c r="Z2775" t="inlineStr">
        <is>
          <t>Hiring Later</t>
        </is>
      </c>
      <c r="AA2775">
        <v>2</v>
      </c>
      <c r="AB2775" t="inlineStr">
        <is>
          <t>No Appointment Made</t>
        </is>
      </c>
      <c r="AC2775"/>
      <c r="AD2775" t="inlineStr">
        <is>
          <t>2 site supervisors, based in Seremban</t>
        </is>
      </c>
      <c r="AE2775"/>
      <c r="AF2775">
        <v>5000</v>
      </c>
      <c r="AG2775" s="4"/>
      <c r="AH2775" s="4"/>
      <c r="AI2775">
        <v>5000</v>
      </c>
      <c r="AJ2775">
        <v>2</v>
      </c>
      <c r="AK2775" t="inlineStr">
        <is>
          <t>No, I don't need at all</t>
        </is>
      </c>
      <c r="AL2775">
        <v>1</v>
      </c>
      <c r="AM2775" t="inlineStr">
        <is>
          <t>No, I don't need at all</t>
        </is>
      </c>
      <c r="AN2775"/>
      <c r="AO2775" t="inlineStr">
        <is>
          <t>No, I don't need at all</t>
        </is>
      </c>
      <c r="AP2775" t="inlineStr">
        <is>
          <t>Twice a year (50%)</t>
        </is>
      </c>
      <c r="AQ2775">
        <v>4</v>
      </c>
      <c r="AR2775" t="inlineStr">
        <is>
          <t>Did not use any job portal</t>
        </is>
      </c>
      <c r="AS2775" t="inlineStr">
        <is>
          <t>- Headcount: 2
- Hiring Job Details: 2 site supervisors, based in Seremban
- Hiring Urgency: Hiring Later
- Number of outlets: 2
- Have recruiter team: No, I don't need at all
- Number of recruiter in company: 1
- Have ATS system: No, I don't need at all
- Have career website: No, I don't need at all
- Current hiring budget: RM5,000
- Whole year budget: RM5,000.00
- Whole year number of vacancies: 4
- Hiring frequency: Twice a year (50%)
- External job portal: Did not use any job portal</t>
        </is>
      </c>
      <c r="AT2775">
        <v>115</v>
      </c>
      <c r="AU2775" t="inlineStr">
        <is>
          <t>1.15</t>
        </is>
      </c>
      <c r="AV2775" t="inlineStr">
        <is>
          <t>15</t>
        </is>
      </c>
      <c r="AW2775" t="inlineStr">
        <is>
          <t>0</t>
        </is>
      </c>
      <c r="AX2775" t="inlineStr">
        <is>
          <t>Not Qualified</t>
        </is>
      </c>
      <c r="AY2775" s="4"/>
      <c r="AZ2775"/>
      <c r="BA2775"/>
      <c r="BB2775"/>
      <c r="BC2775"/>
      <c r="BD2775" s="4"/>
      <c r="BE2775"/>
      <c r="BF2775"/>
      <c r="BG2775" t="inlineStr">
        <is>
          <t>Reschedule</t>
        </is>
      </c>
      <c r="BH2775" t="inlineStr">
        <is>
          <t>Edward Hoo</t>
        </is>
      </c>
      <c r="BI2775"/>
      <c r="BJ2775" s="4">
        <v>46144.755578703705</v>
      </c>
      <c r="BK2775" s="4">
        <v>46099.596655092595</v>
      </c>
      <c r="BL2775" t="inlineStr">
        <is>
          <t>0.0</t>
        </is>
      </c>
      <c r="BM2775" t="inlineStr">
        <is>
          <t>0.0</t>
        </is>
      </c>
      <c r="BN2775"/>
      <c r="BO2775" s="4"/>
      <c r="BP2775">
        <v>166131</v>
      </c>
      <c r="BQ2775"/>
      <c r="BR2775"/>
      <c r="BS2775"/>
      <c r="BT2775"/>
      <c r="BU2775"/>
      <c r="BV2775"/>
      <c r="BW2775"/>
      <c r="BX2775"/>
      <c r="BY2775"/>
      <c r="BZ2775" s="4"/>
      <c r="CA2775"/>
      <c r="CB2775"/>
      <c r="CC2775" s="4"/>
      <c r="CD2775" t="inlineStr">
        <is>
          <t>20</t>
        </is>
      </c>
      <c r="CE2775" t="inlineStr">
        <is>
          <t>0</t>
        </is>
      </c>
      <c r="CF2775" t="inlineStr">
        <is>
          <t>Q2-W01</t>
        </is>
      </c>
      <c r="CG2775"/>
      <c r="CH2775"/>
      <c r="CI2775"/>
      <c r="CJ2775" t="inlineStr">
        <is>
          <t>No Paid</t>
        </is>
      </c>
      <c r="CK2775" t="inlineStr">
        <is>
          <t>Not Eligible</t>
        </is>
      </c>
      <c r="CL2775"/>
      <c r="CM2775"/>
    </row>
    <row r="2776" ht="25.5" customHeight="1">
      <c r="A2776" t="inlineStr">
        <is>
          <t>203038</t>
        </is>
      </c>
      <c r="B2776" s="2"/>
      <c r="C2776"/>
      <c r="D2776" s="3">
        <v>46121.47046296296</v>
      </c>
      <c r="E2776" t="inlineStr">
        <is>
          <t>Q2-W01</t>
        </is>
      </c>
      <c r="F2776" t="inlineStr">
        <is>
          <t>Keegan</t>
        </is>
      </c>
      <c r="G2776" t="inlineStr">
        <is>
          <t>Customer</t>
        </is>
      </c>
      <c r="H2776" s="2" t="str">
        <f>=HYPERLINK("https://upbox.ajobthing.my/customer/203038", "https://upbox.ajobthing.my/customer/203038")</f>
        <v>https://upbox.ajobthing.my/customer/203038</v>
      </c>
      <c r="I2776" t="inlineStr">
        <is>
          <t>Syscore academy</t>
        </is>
      </c>
      <c r="J2776" t="inlineStr">
        <is>
          <t>Small Fish</t>
        </is>
      </c>
      <c r="K2776" t="inlineStr">
        <is>
          <t>Keegan</t>
        </is>
      </c>
      <c r="L2776" s="4"/>
      <c r="M2776" s="4">
        <v>46121.470821759256</v>
      </c>
      <c r="N2776"/>
      <c r="O2776">
        <v>3672</v>
      </c>
      <c r="P2776" s="4"/>
      <c r="Q2776" s="4"/>
      <c r="R2776"/>
      <c r="S2776"/>
      <c r="T2776" s="4"/>
      <c r="U2776" s="4"/>
      <c r="V2776"/>
      <c r="W2776"/>
      <c r="X2776"/>
      <c r="Y2776" t="inlineStr">
        <is>
          <t>Pending Appointment</t>
        </is>
      </c>
      <c r="Z2776" t="inlineStr">
        <is>
          <t>Hiring Now</t>
        </is>
      </c>
      <c r="AA2776">
        <v>1</v>
      </c>
      <c r="AB2776" t="inlineStr">
        <is>
          <t>No Appointment Made</t>
        </is>
      </c>
      <c r="AC2776"/>
      <c r="AD2776" t="inlineStr">
        <is>
          <t xml:space="preserve">1. IT Tutor </t>
        </is>
      </c>
      <c r="AE2776"/>
      <c r="AF2776"/>
      <c r="AG2776" s="4"/>
      <c r="AH2776" s="4"/>
      <c r="AI2776"/>
      <c r="AJ2776">
        <v>1</v>
      </c>
      <c r="AK2776" t="inlineStr">
        <is>
          <t>No, I don't need at all</t>
        </is>
      </c>
      <c r="AL2776">
        <v>0</v>
      </c>
      <c r="AM2776" t="inlineStr">
        <is>
          <t>No, I don't need at all</t>
        </is>
      </c>
      <c r="AN2776"/>
      <c r="AO2776" t="inlineStr">
        <is>
          <t>No, I don't need at all</t>
        </is>
      </c>
      <c r="AP2776" t="inlineStr">
        <is>
          <t>Once per quarter (75%)</t>
        </is>
      </c>
      <c r="AQ2776"/>
      <c r="AR2776" t="inlineStr">
        <is>
          <t>Did not use any job portal</t>
        </is>
      </c>
      <c r="AS2776" t="inlineStr">
        <is>
          <t>- Headcount: 1
- Hiring Job Details: 1 IT Tutor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776">
        <v>105</v>
      </c>
      <c r="AU2776" t="inlineStr">
        <is>
          <t>1.05</t>
        </is>
      </c>
      <c r="AV2776" t="inlineStr">
        <is>
          <t>5</t>
        </is>
      </c>
      <c r="AW2776" t="inlineStr">
        <is>
          <t>0</t>
        </is>
      </c>
      <c r="AX2776" t="inlineStr">
        <is>
          <t>Not Qualified</t>
        </is>
      </c>
      <c r="AY2776" s="4"/>
      <c r="AZ2776"/>
      <c r="BA2776"/>
      <c r="BB2776"/>
      <c r="BC2776" t="inlineStr">
        <is>
          <t>- Headcount: 1
- Hiring Job Details: 1 IT Tutor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776" s="4">
        <v>46121.50016203704</v>
      </c>
      <c r="BE2776"/>
      <c r="BF2776"/>
      <c r="BG2776" t="inlineStr">
        <is>
          <t>Reschedule</t>
        </is>
      </c>
      <c r="BH2776" t="inlineStr">
        <is>
          <t>Edward Hoo</t>
        </is>
      </c>
      <c r="BI2776"/>
      <c r="BJ2776" s="4">
        <v>46144.75418981481</v>
      </c>
      <c r="BK2776" s="4">
        <v>46121.46921296296</v>
      </c>
      <c r="BL2776" t="inlineStr">
        <is>
          <t>0.0</t>
        </is>
      </c>
      <c r="BM2776" t="inlineStr">
        <is>
          <t>0.0</t>
        </is>
      </c>
      <c r="BN2776"/>
      <c r="BO2776" s="4"/>
      <c r="BP2776">
        <v>166137</v>
      </c>
      <c r="BQ2776"/>
      <c r="BR2776"/>
      <c r="BS2776"/>
      <c r="BT2776"/>
      <c r="BU2776"/>
      <c r="BV2776">
        <v>2695499</v>
      </c>
      <c r="BW2776" t="inlineStr">
        <is>
          <t>Customer Inquiry</t>
        </is>
      </c>
      <c r="BX2776"/>
      <c r="BY2776"/>
      <c r="BZ2776" s="4"/>
      <c r="CA2776"/>
      <c r="CB2776"/>
      <c r="CC2776" s="4"/>
      <c r="CD2776" t="inlineStr">
        <is>
          <t>5</t>
        </is>
      </c>
      <c r="CE2776" t="inlineStr">
        <is>
          <t>0</t>
        </is>
      </c>
      <c r="CF2776" t="inlineStr">
        <is>
          <t>Q2-W01</t>
        </is>
      </c>
      <c r="CG2776"/>
      <c r="CH2776"/>
      <c r="CI2776"/>
      <c r="CJ2776" t="inlineStr">
        <is>
          <t>No Paid</t>
        </is>
      </c>
      <c r="CK2776" t="inlineStr">
        <is>
          <t>Not Eligible</t>
        </is>
      </c>
      <c r="CL2776"/>
      <c r="CM2776"/>
    </row>
    <row r="2777" ht="25.5" customHeight="1">
      <c r="A2777" t="inlineStr">
        <is>
          <t>4261151</t>
        </is>
      </c>
      <c r="B2777" s="2"/>
      <c r="C2777"/>
      <c r="D2777" s="3">
        <v>46121.47084490741</v>
      </c>
      <c r="E2777" t="inlineStr">
        <is>
          <t>Q2-W01</t>
        </is>
      </c>
      <c r="F2777" t="inlineStr">
        <is>
          <t>Luqman</t>
        </is>
      </c>
      <c r="G2777" t="inlineStr">
        <is>
          <t>Lead</t>
        </is>
      </c>
      <c r="H2777" s="2" t="str">
        <f>=HYPERLINK("https://upbox.ajobthing.my/leads/4261151", "https://upbox.ajobthing.my/leads/4261151")</f>
        <v>https://upbox.ajobthing.my/leads/4261151</v>
      </c>
      <c r="I2777" t="inlineStr">
        <is>
          <t>Gerbang alaf restaurant sdn bhd</t>
        </is>
      </c>
      <c r="J2777" t="inlineStr">
        <is>
          <t>Small Fish</t>
        </is>
      </c>
      <c r="K2777" t="inlineStr">
        <is>
          <t>Luqman</t>
        </is>
      </c>
      <c r="L2777" s="4"/>
      <c r="M2777" s="4">
        <v>46121.47167824074</v>
      </c>
      <c r="N2777"/>
      <c r="O2777">
        <v>6048</v>
      </c>
      <c r="P2777" s="4"/>
      <c r="Q2777" s="4"/>
      <c r="R2777"/>
      <c r="S2777"/>
      <c r="T2777" s="4"/>
      <c r="U2777" s="4"/>
      <c r="V2777"/>
      <c r="W2777"/>
      <c r="X2777"/>
      <c r="Y2777" t="inlineStr">
        <is>
          <t>Pending Appointment</t>
        </is>
      </c>
      <c r="Z2777" t="inlineStr">
        <is>
          <t>Hiring Later</t>
        </is>
      </c>
      <c r="AA2777">
        <v>3</v>
      </c>
      <c r="AB2777" t="inlineStr">
        <is>
          <t>No Appointment Made</t>
        </is>
      </c>
      <c r="AC2777"/>
      <c r="AD2777" t="inlineStr">
        <is>
          <t>1. Service Crew 2. Cashier 3. Production crew</t>
        </is>
      </c>
      <c r="AE2777"/>
      <c r="AF2777">
        <v>2600</v>
      </c>
      <c r="AG2777" s="4"/>
      <c r="AH2777" s="4"/>
      <c r="AI2777">
        <v>2600</v>
      </c>
      <c r="AJ2777"/>
      <c r="AK2777" t="inlineStr">
        <is>
          <t>Yes, I have</t>
        </is>
      </c>
      <c r="AL2777">
        <v>3</v>
      </c>
      <c r="AM2777" t="inlineStr">
        <is>
          <t>No, I don't need at all</t>
        </is>
      </c>
      <c r="AN2777"/>
      <c r="AO2777" t="inlineStr">
        <is>
          <t>No, I don't need at all</t>
        </is>
      </c>
      <c r="AP2777" t="inlineStr">
        <is>
          <t>Once a year (25%)</t>
        </is>
      </c>
      <c r="AQ2777">
        <v>3</v>
      </c>
      <c r="AR2777" t="inlineStr">
        <is>
          <t>Jobstreet</t>
        </is>
      </c>
      <c r="AS2777" t="inlineStr">
        <is>
          <t>- Headcount: 3
- Hiring Job Details: 1. Service Crew 2. Cashier 3. Production crew
- Hiring Urgency: Hiring Later
- Number of outlets: Not provided
- Have recruiter team: Yes
- Number of recruiter in company: 3
- Have ATS system: No, I don't need at all
- Have career website: No, I don't need at all
- Current hiring budget: RM2,600
- Whole year budget: RM2,600.00
- Whole year number of vacancies: 3
- Hiring frequency: Once a year (25%)
- External job portal: Jobstreet</t>
        </is>
      </c>
      <c r="AT2777">
        <v>95</v>
      </c>
      <c r="AU2777" t="inlineStr">
        <is>
          <t>0.95</t>
        </is>
      </c>
      <c r="AV2777" t="inlineStr">
        <is>
          <t>15</t>
        </is>
      </c>
      <c r="AW2777" t="inlineStr">
        <is>
          <t>0</t>
        </is>
      </c>
      <c r="AX2777" t="inlineStr">
        <is>
          <t>Not Qualified</t>
        </is>
      </c>
      <c r="AY2777" s="4"/>
      <c r="AZ2777"/>
      <c r="BA2777"/>
      <c r="BB2777"/>
      <c r="BC2777"/>
      <c r="BD2777" s="4"/>
      <c r="BE2777"/>
      <c r="BF2777"/>
      <c r="BG2777" t="inlineStr">
        <is>
          <t>Reschedule</t>
        </is>
      </c>
      <c r="BH2777" t="inlineStr">
        <is>
          <t>Edward Hoo</t>
        </is>
      </c>
      <c r="BI2777"/>
      <c r="BJ2777" s="4">
        <v>46144.75576388889</v>
      </c>
      <c r="BK2777" s="4">
        <v>46120.693125</v>
      </c>
      <c r="BL2777" t="inlineStr">
        <is>
          <t>0.0</t>
        </is>
      </c>
      <c r="BM2777" t="inlineStr">
        <is>
          <t>0.0</t>
        </is>
      </c>
      <c r="BN2777"/>
      <c r="BO2777" s="4"/>
      <c r="BP2777">
        <v>166141</v>
      </c>
      <c r="BQ2777"/>
      <c r="BR2777"/>
      <c r="BS2777"/>
      <c r="BT2777"/>
      <c r="BU2777"/>
      <c r="BV2777"/>
      <c r="BW2777"/>
      <c r="BX2777"/>
      <c r="BY2777"/>
      <c r="BZ2777" s="4"/>
      <c r="CA2777"/>
      <c r="CB2777"/>
      <c r="CC2777" s="4"/>
      <c r="CD2777" t="inlineStr">
        <is>
          <t>20</t>
        </is>
      </c>
      <c r="CE2777" t="inlineStr">
        <is>
          <t>0</t>
        </is>
      </c>
      <c r="CF2777" t="inlineStr">
        <is>
          <t>Q2-W01</t>
        </is>
      </c>
      <c r="CG2777"/>
      <c r="CH2777"/>
      <c r="CI2777"/>
      <c r="CJ2777" t="inlineStr">
        <is>
          <t>No Paid</t>
        </is>
      </c>
      <c r="CK2777" t="inlineStr">
        <is>
          <t>Not Eligible</t>
        </is>
      </c>
      <c r="CL2777"/>
      <c r="CM2777"/>
    </row>
    <row r="2778" ht="25.5" customHeight="1">
      <c r="A2778" t="inlineStr">
        <is>
          <t>22626</t>
        </is>
      </c>
      <c r="B2778" s="2"/>
      <c r="C2778"/>
      <c r="D2778" s="3">
        <v>46121.475023148145</v>
      </c>
      <c r="E2778" t="inlineStr">
        <is>
          <t>Q2-W01</t>
        </is>
      </c>
      <c r="F2778" t="inlineStr">
        <is>
          <t>Xin Quan</t>
        </is>
      </c>
      <c r="G2778" t="inlineStr">
        <is>
          <t>Customer</t>
        </is>
      </c>
      <c r="H2778" s="2" t="str">
        <f>=HYPERLINK("https://upbox.ajobthing.my/customer/22626", "https://upbox.ajobthing.my/customer/22626")</f>
        <v>https://upbox.ajobthing.my/customer/22626</v>
      </c>
      <c r="I2778" t="inlineStr">
        <is>
          <t>Pusat Tuisyen Inspirasi</t>
        </is>
      </c>
      <c r="J2778" t="inlineStr">
        <is>
          <t>Small Fish</t>
        </is>
      </c>
      <c r="K2778" t="inlineStr">
        <is>
          <t>Xin Quan</t>
        </is>
      </c>
      <c r="L2778" s="4"/>
      <c r="M2778" s="4">
        <v>46126.5825462963</v>
      </c>
      <c r="N2778"/>
      <c r="O2778">
        <v>864</v>
      </c>
      <c r="P2778" s="4"/>
      <c r="Q2778" s="4">
        <v>43381.01820601852</v>
      </c>
      <c r="R2778"/>
      <c r="S2778">
        <v>530</v>
      </c>
      <c r="T2778" s="4">
        <v>43381.01820601852</v>
      </c>
      <c r="U2778" s="4"/>
      <c r="V2778"/>
      <c r="W2778">
        <v>530</v>
      </c>
      <c r="X2778"/>
      <c r="Y2778" t="inlineStr">
        <is>
          <t>Pending Appointment</t>
        </is>
      </c>
      <c r="Z2778" t="inlineStr">
        <is>
          <t>Hiring Now</t>
        </is>
      </c>
      <c r="AA2778">
        <v>1</v>
      </c>
      <c r="AB2778" t="inlineStr">
        <is>
          <t>No Appointment Made</t>
        </is>
      </c>
      <c r="AC2778"/>
      <c r="AD2778" t="inlineStr">
        <is>
          <t>1 Admin , Base in KL</t>
        </is>
      </c>
      <c r="AE2778"/>
      <c r="AF2778">
        <v>2000</v>
      </c>
      <c r="AG2778" s="4"/>
      <c r="AH2778" s="4"/>
      <c r="AI2778">
        <v>24000</v>
      </c>
      <c r="AJ2778">
        <v>1</v>
      </c>
      <c r="AK2778"/>
      <c r="AL2778"/>
      <c r="AM2778"/>
      <c r="AN2778"/>
      <c r="AO2778"/>
      <c r="AP2778"/>
      <c r="AQ2778">
        <v>1</v>
      </c>
      <c r="AR2778"/>
      <c r="AS2778" t="inlineStr">
        <is>
          <t>- Headcount: 1
- Hiring Job Details: 1 Admin,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2778">
        <v>95</v>
      </c>
      <c r="AU2778" t="inlineStr">
        <is>
          <t>0.95</t>
        </is>
      </c>
      <c r="AV2778" t="inlineStr">
        <is>
          <t>15</t>
        </is>
      </c>
      <c r="AW2778" t="inlineStr">
        <is>
          <t>0</t>
        </is>
      </c>
      <c r="AX2778" t="inlineStr">
        <is>
          <t>Not Qualified</t>
        </is>
      </c>
      <c r="AY2778" s="4"/>
      <c r="AZ2778"/>
      <c r="BA2778"/>
      <c r="BB2778"/>
      <c r="BC2778" t="inlineStr">
        <is>
          <t>800 Also over budget</t>
        </is>
      </c>
      <c r="BD2778" s="4">
        <v>46129.45914351852</v>
      </c>
      <c r="BE2778" t="inlineStr">
        <is>
          <t>paid</t>
        </is>
      </c>
      <c r="BF2778"/>
      <c r="BG2778" t="inlineStr">
        <is>
          <t>Reschedule</t>
        </is>
      </c>
      <c r="BH2778" t="inlineStr">
        <is>
          <t>Edward Hoo</t>
        </is>
      </c>
      <c r="BI2778" t="inlineStr">
        <is>
          <t>Education / Training</t>
        </is>
      </c>
      <c r="BJ2778" s="4">
        <v>46144.75444444444</v>
      </c>
      <c r="BK2778" s="4">
        <v>42496.91701388889</v>
      </c>
      <c r="BL2778" t="inlineStr">
        <is>
          <t>0.0</t>
        </is>
      </c>
      <c r="BM2778" t="inlineStr">
        <is>
          <t>0.0</t>
        </is>
      </c>
      <c r="BN2778" t="inlineStr">
        <is>
          <t>User Visit(Logged In)</t>
        </is>
      </c>
      <c r="BO2778" s="4">
        <v>46113.90903935185</v>
      </c>
      <c r="BP2778">
        <v>166947</v>
      </c>
      <c r="BQ2778">
        <v>14481</v>
      </c>
      <c r="BR2778" t="inlineStr">
        <is>
          <t>Online</t>
        </is>
      </c>
      <c r="BS2778"/>
      <c r="BT2778">
        <v>14481</v>
      </c>
      <c r="BU2778"/>
      <c r="BV2778">
        <v>2711385</v>
      </c>
      <c r="BW2778" t="inlineStr">
        <is>
          <t>Inquire for Hiring Needs : Budget Concern</t>
        </is>
      </c>
      <c r="BX2778"/>
      <c r="BY2778"/>
      <c r="BZ2778" s="4"/>
      <c r="CA2778"/>
      <c r="CB2778"/>
      <c r="CC2778" s="4"/>
      <c r="CD2778" t="inlineStr">
        <is>
          <t>20</t>
        </is>
      </c>
      <c r="CE2778" t="inlineStr">
        <is>
          <t>0</t>
        </is>
      </c>
      <c r="CF2778" t="inlineStr">
        <is>
          <t>Q2-W02</t>
        </is>
      </c>
      <c r="CG2778"/>
      <c r="CH2778"/>
      <c r="CI2778"/>
      <c r="CJ2778" t="inlineStr">
        <is>
          <t>Paid</t>
        </is>
      </c>
      <c r="CK2778" t="inlineStr">
        <is>
          <t>Not Eligible</t>
        </is>
      </c>
      <c r="CL2778"/>
      <c r="CM2778"/>
    </row>
    <row r="2779" ht="25.5" customHeight="1">
      <c r="A2779" t="inlineStr">
        <is>
          <t>153094</t>
        </is>
      </c>
      <c r="B2779" s="2"/>
      <c r="C2779"/>
      <c r="D2779" s="3">
        <v>46121.478483796294</v>
      </c>
      <c r="E2779" t="inlineStr">
        <is>
          <t>Q2-W01</t>
        </is>
      </c>
      <c r="F2779" t="inlineStr">
        <is>
          <t>Luqman</t>
        </is>
      </c>
      <c r="G2779" t="inlineStr">
        <is>
          <t>Customer</t>
        </is>
      </c>
      <c r="H2779" s="2" t="str">
        <f>=HYPERLINK("https://upbox.ajobthing.my/customer/153094", "https://upbox.ajobthing.my/customer/153094")</f>
        <v>https://upbox.ajobthing.my/customer/153094</v>
      </c>
      <c r="I2779" t="inlineStr">
        <is>
          <t>DK Teknologi Maju</t>
        </is>
      </c>
      <c r="J2779" t="inlineStr">
        <is>
          <t>Small Fish</t>
        </is>
      </c>
      <c r="K2779" t="inlineStr">
        <is>
          <t>Luqman</t>
        </is>
      </c>
      <c r="L2779" s="4"/>
      <c r="M2779" s="4">
        <v>46121.47865740741</v>
      </c>
      <c r="N2779"/>
      <c r="O2779">
        <v>3888</v>
      </c>
      <c r="P2779" s="4"/>
      <c r="Q2779" s="4">
        <v>46121.460393518515</v>
      </c>
      <c r="R2779"/>
      <c r="S2779">
        <v>0</v>
      </c>
      <c r="T2779" s="4">
        <v>44677.65017361111</v>
      </c>
      <c r="U2779" s="4"/>
      <c r="V2779"/>
      <c r="W2779">
        <v>636</v>
      </c>
      <c r="X2779"/>
      <c r="Y2779" t="inlineStr">
        <is>
          <t>Pending Appointment</t>
        </is>
      </c>
      <c r="Z2779" t="inlineStr">
        <is>
          <t>Hiring Later</t>
        </is>
      </c>
      <c r="AA2779">
        <v>1</v>
      </c>
      <c r="AB2779" t="inlineStr">
        <is>
          <t>No Appointment Made</t>
        </is>
      </c>
      <c r="AC2779"/>
      <c r="AD2779" t="inlineStr">
        <is>
          <t xml:space="preserve">1. Technician </t>
        </is>
      </c>
      <c r="AE2779"/>
      <c r="AF2779">
        <v>1200</v>
      </c>
      <c r="AG2779" s="4"/>
      <c r="AH2779" s="4"/>
      <c r="AI2779">
        <v>1200</v>
      </c>
      <c r="AJ2779"/>
      <c r="AK2779" t="inlineStr">
        <is>
          <t>No, I don't need at all</t>
        </is>
      </c>
      <c r="AL2779">
        <v>1</v>
      </c>
      <c r="AM2779" t="inlineStr">
        <is>
          <t>No, I don't need at all</t>
        </is>
      </c>
      <c r="AN2779"/>
      <c r="AO2779" t="inlineStr">
        <is>
          <t>No, I don't need at all</t>
        </is>
      </c>
      <c r="AP2779" t="inlineStr">
        <is>
          <t>Once a year (25%)</t>
        </is>
      </c>
      <c r="AQ2779">
        <v>1</v>
      </c>
      <c r="AR2779" t="inlineStr">
        <is>
          <t>Jobstreet</t>
        </is>
      </c>
      <c r="AS2779" t="inlineStr">
        <is>
          <t>- Headcount: 1
- Hiring Job Details: 1 Technician
- Hiring Urgency: Hiring Later
- Number of outlets: None
- Have recruiter team: No, I don't need at all
- Number of recruiter in company: 1
- Have ATS system: No, I don't need at all
- Have career website: No, I don't need at all
- Current hiring budget: RM1,200
- Whole year budget: RM1,200.00
- Whole year number of vacancies: 1
- Hiring frequency: Once a year (25%)
- External job portal: Jobstreet</t>
        </is>
      </c>
      <c r="AT2779">
        <v>110</v>
      </c>
      <c r="AU2779" t="inlineStr">
        <is>
          <t>1.10</t>
        </is>
      </c>
      <c r="AV2779" t="inlineStr">
        <is>
          <t>15</t>
        </is>
      </c>
      <c r="AW2779" t="inlineStr">
        <is>
          <t>0</t>
        </is>
      </c>
      <c r="AX2779" t="inlineStr">
        <is>
          <t>Not Qualified</t>
        </is>
      </c>
      <c r="AY2779" s="4"/>
      <c r="AZ2779"/>
      <c r="BA2779"/>
      <c r="BB2779"/>
      <c r="BC2779" t="inlineStr">
        <is>
          <t>NA Dropped a text via Whatsapp</t>
        </is>
      </c>
      <c r="BD2779" s="4">
        <v>46127.654270833336</v>
      </c>
      <c r="BE2779" t="inlineStr">
        <is>
          <t>paid</t>
        </is>
      </c>
      <c r="BF2779"/>
      <c r="BG2779" t="inlineStr">
        <is>
          <t>Reschedule</t>
        </is>
      </c>
      <c r="BH2779" t="inlineStr">
        <is>
          <t>Edward Hoo</t>
        </is>
      </c>
      <c r="BI2779"/>
      <c r="BJ2779" s="4">
        <v>46144.750914351855</v>
      </c>
      <c r="BK2779" s="4">
        <v>44677.63746527778</v>
      </c>
      <c r="BL2779" t="inlineStr">
        <is>
          <t>0.0</t>
        </is>
      </c>
      <c r="BM2779" t="inlineStr">
        <is>
          <t>0.0</t>
        </is>
      </c>
      <c r="BN2779" t="inlineStr">
        <is>
          <t>View Create Job Page</t>
        </is>
      </c>
      <c r="BO2779" s="4">
        <v>44677.64864583333</v>
      </c>
      <c r="BP2779">
        <v>166146</v>
      </c>
      <c r="BQ2779">
        <v>121259</v>
      </c>
      <c r="BR2779" t="inlineStr">
        <is>
          <t>Proforma</t>
        </is>
      </c>
      <c r="BS2779" t="inlineStr">
        <is>
          <t>Free Internship Job</t>
        </is>
      </c>
      <c r="BT2779">
        <v>44155</v>
      </c>
      <c r="BU2779"/>
      <c r="BV2779">
        <v>2706309</v>
      </c>
      <c r="BW2779" t="inlineStr">
        <is>
          <t>No Answer : Voicemail - WA sent to customer</t>
        </is>
      </c>
      <c r="BX2779"/>
      <c r="BY2779"/>
      <c r="BZ2779" s="4"/>
      <c r="CA2779"/>
      <c r="CB2779"/>
      <c r="CC2779" s="4"/>
      <c r="CD2779" t="inlineStr">
        <is>
          <t>20</t>
        </is>
      </c>
      <c r="CE2779" t="inlineStr">
        <is>
          <t>0</t>
        </is>
      </c>
      <c r="CF2779" t="inlineStr">
        <is>
          <t>Q2-W01</t>
        </is>
      </c>
      <c r="CG2779" t="inlineStr">
        <is>
          <t>Q2-W01</t>
        </is>
      </c>
      <c r="CH2779"/>
      <c r="CI2779"/>
      <c r="CJ2779" t="inlineStr">
        <is>
          <t>Paid</t>
        </is>
      </c>
      <c r="CK2779" t="inlineStr">
        <is>
          <t>Not Eligible</t>
        </is>
      </c>
      <c r="CL2779"/>
      <c r="CM2779"/>
    </row>
    <row r="2780" ht="25.5" customHeight="1">
      <c r="A2780" t="inlineStr">
        <is>
          <t>191593</t>
        </is>
      </c>
      <c r="B2780" s="2"/>
      <c r="C2780"/>
      <c r="D2780" s="3">
        <v>46121.481145833335</v>
      </c>
      <c r="E2780" t="inlineStr">
        <is>
          <t>Q2-W01</t>
        </is>
      </c>
      <c r="F2780" t="inlineStr">
        <is>
          <t>Dickson</t>
        </is>
      </c>
      <c r="G2780" t="inlineStr">
        <is>
          <t>Customer</t>
        </is>
      </c>
      <c r="H2780" s="2" t="str">
        <f>=HYPERLINK("https://upbox.ajobthing.my/customer/191593", "https://upbox.ajobthing.my/customer/191593")</f>
        <v>https://upbox.ajobthing.my/customer/191593</v>
      </c>
      <c r="I2780" t="inlineStr">
        <is>
          <t>Akar Global Solution</t>
        </is>
      </c>
      <c r="J2780" t="inlineStr">
        <is>
          <t>Small Fish</t>
        </is>
      </c>
      <c r="K2780" t="inlineStr">
        <is>
          <t>Dickson</t>
        </is>
      </c>
      <c r="L2780" s="4"/>
      <c r="M2780" s="4">
        <v>46121.48131944444</v>
      </c>
      <c r="N2780"/>
      <c r="O2780">
        <v>3672</v>
      </c>
      <c r="P2780" s="4"/>
      <c r="Q2780" s="4"/>
      <c r="R2780"/>
      <c r="S2780"/>
      <c r="T2780" s="4"/>
      <c r="U2780" s="4"/>
      <c r="V2780"/>
      <c r="W2780"/>
      <c r="X2780"/>
      <c r="Y2780" t="inlineStr">
        <is>
          <t>Pending Appointment</t>
        </is>
      </c>
      <c r="Z2780" t="inlineStr">
        <is>
          <t>Hiring Later</t>
        </is>
      </c>
      <c r="AA2780">
        <v>2</v>
      </c>
      <c r="AB2780" t="inlineStr">
        <is>
          <t>No Appointment Made</t>
        </is>
      </c>
      <c r="AC2780"/>
      <c r="AD2780" t="inlineStr">
        <is>
          <t>2 content creators</t>
        </is>
      </c>
      <c r="AE2780"/>
      <c r="AF2780"/>
      <c r="AG2780" s="4"/>
      <c r="AH2780" s="4"/>
      <c r="AI2780"/>
      <c r="AJ2780">
        <v>1</v>
      </c>
      <c r="AK2780" t="inlineStr">
        <is>
          <t>No, I don't need at all</t>
        </is>
      </c>
      <c r="AL2780"/>
      <c r="AM2780" t="inlineStr">
        <is>
          <t>No, I don't need at all</t>
        </is>
      </c>
      <c r="AN2780"/>
      <c r="AO2780" t="inlineStr">
        <is>
          <t>No, I don't need at all</t>
        </is>
      </c>
      <c r="AP2780" t="inlineStr">
        <is>
          <t>Once per quarter (75%)</t>
        </is>
      </c>
      <c r="AQ2780"/>
      <c r="AR2780"/>
      <c r="AS2780" t="inlineStr">
        <is>
          <t>- Headcount: 2
- Hiring Job Details: 2 content creators
- Hiring Urgency: Hiring Later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780">
        <v>95</v>
      </c>
      <c r="AU2780" t="inlineStr">
        <is>
          <t>0.95</t>
        </is>
      </c>
      <c r="AV2780" t="inlineStr">
        <is>
          <t>5</t>
        </is>
      </c>
      <c r="AW2780" t="inlineStr">
        <is>
          <t>0</t>
        </is>
      </c>
      <c r="AX2780" t="inlineStr">
        <is>
          <t>Not Qualified</t>
        </is>
      </c>
      <c r="AY2780" s="4"/>
      <c r="AZ2780"/>
      <c r="BA2780"/>
      <c r="BB2780"/>
      <c r="BC2780" t="inlineStr">
        <is>
          <t>no response</t>
        </is>
      </c>
      <c r="BD2780" s="4">
        <v>46142.47881944444</v>
      </c>
      <c r="BE2780"/>
      <c r="BF2780"/>
      <c r="BG2780" t="inlineStr">
        <is>
          <t>Reschedule</t>
        </is>
      </c>
      <c r="BH2780" t="inlineStr">
        <is>
          <t>Edward Hoo</t>
        </is>
      </c>
      <c r="BI2780" t="inlineStr">
        <is>
          <t>Advertising / Marketing</t>
        </is>
      </c>
      <c r="BJ2780" s="4">
        <v>46144.752430555556</v>
      </c>
      <c r="BK2780" s="4">
        <v>45798.55667824074</v>
      </c>
      <c r="BL2780" t="inlineStr">
        <is>
          <t>0.0</t>
        </is>
      </c>
      <c r="BM2780" t="inlineStr">
        <is>
          <t>0.0</t>
        </is>
      </c>
      <c r="BN2780" t="inlineStr">
        <is>
          <t>View Jobmanager Page</t>
        </is>
      </c>
      <c r="BO2780" s="4">
        <v>45798.691655092596</v>
      </c>
      <c r="BP2780">
        <v>166147</v>
      </c>
      <c r="BQ2780"/>
      <c r="BR2780"/>
      <c r="BS2780"/>
      <c r="BT2780"/>
      <c r="BU2780"/>
      <c r="BV2780">
        <v>2737137</v>
      </c>
      <c r="BW2780" t="inlineStr">
        <is>
          <t>No Answer : Voicemail - WA sent to customer</t>
        </is>
      </c>
      <c r="BX2780"/>
      <c r="BY2780"/>
      <c r="BZ2780" s="4"/>
      <c r="CA2780"/>
      <c r="CB2780"/>
      <c r="CC2780" s="4"/>
      <c r="CD2780" t="inlineStr">
        <is>
          <t>5</t>
        </is>
      </c>
      <c r="CE2780" t="inlineStr">
        <is>
          <t>0</t>
        </is>
      </c>
      <c r="CF2780" t="inlineStr">
        <is>
          <t>Q2-W01</t>
        </is>
      </c>
      <c r="CG2780"/>
      <c r="CH2780"/>
      <c r="CI2780"/>
      <c r="CJ2780" t="inlineStr">
        <is>
          <t>No Paid</t>
        </is>
      </c>
      <c r="CK2780" t="inlineStr">
        <is>
          <t>Not Eligible</t>
        </is>
      </c>
      <c r="CL2780"/>
      <c r="CM2780"/>
    </row>
    <row r="2781" ht="25.5" customHeight="1">
      <c r="A2781" t="inlineStr">
        <is>
          <t>201239</t>
        </is>
      </c>
      <c r="B2781" s="2"/>
      <c r="C2781"/>
      <c r="D2781" s="3">
        <v>46121.48127314815</v>
      </c>
      <c r="E2781" t="inlineStr">
        <is>
          <t>Q2-W01</t>
        </is>
      </c>
      <c r="F2781" t="inlineStr">
        <is>
          <t>Angel  Low</t>
        </is>
      </c>
      <c r="G2781" t="inlineStr">
        <is>
          <t>Customer</t>
        </is>
      </c>
      <c r="H2781" s="2" t="str">
        <f>=HYPERLINK("https://upbox.ajobthing.my/customer/201239", "https://upbox.ajobthing.my/customer/201239")</f>
        <v>https://upbox.ajobthing.my/customer/201239</v>
      </c>
      <c r="I2781" t="inlineStr">
        <is>
          <t>Bravo Living Interior</t>
        </is>
      </c>
      <c r="J2781" t="inlineStr">
        <is>
          <t>Small Fish</t>
        </is>
      </c>
      <c r="K2781" t="inlineStr">
        <is>
          <t>Angel Low</t>
        </is>
      </c>
      <c r="L2781" s="4"/>
      <c r="M2781" s="4">
        <v>46121.48149305556</v>
      </c>
      <c r="N2781"/>
      <c r="O2781">
        <v>3672</v>
      </c>
      <c r="P2781" s="4"/>
      <c r="Q2781" s="4"/>
      <c r="R2781"/>
      <c r="S2781"/>
      <c r="T2781" s="4"/>
      <c r="U2781" s="4"/>
      <c r="V2781"/>
      <c r="W2781"/>
      <c r="X2781"/>
      <c r="Y2781" t="inlineStr">
        <is>
          <t>Pending Appointment</t>
        </is>
      </c>
      <c r="Z2781"/>
      <c r="AA2781">
        <v>1</v>
      </c>
      <c r="AB2781" t="inlineStr">
        <is>
          <t>No Appointment Made</t>
        </is>
      </c>
      <c r="AC2781"/>
      <c r="AD2781" t="inlineStr">
        <is>
          <t xml:space="preserve">1 admin </t>
        </is>
      </c>
      <c r="AE2781"/>
      <c r="AF2781"/>
      <c r="AG2781" s="4"/>
      <c r="AH2781" s="4"/>
      <c r="AI2781"/>
      <c r="AJ2781"/>
      <c r="AK2781"/>
      <c r="AL2781"/>
      <c r="AM2781"/>
      <c r="AN2781"/>
      <c r="AO2781"/>
      <c r="AP2781"/>
      <c r="AQ2781"/>
      <c r="AR2781"/>
      <c r="AS2781" t="inlineStr">
        <is>
          <t>- Headcount: 1
- Hiring Job Details: 1 admin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781">
        <v>60</v>
      </c>
      <c r="AU2781" t="inlineStr">
        <is>
          <t>0.60</t>
        </is>
      </c>
      <c r="AV2781" t="inlineStr">
        <is>
          <t>5</t>
        </is>
      </c>
      <c r="AW2781" t="inlineStr">
        <is>
          <t>0</t>
        </is>
      </c>
      <c r="AX2781" t="inlineStr">
        <is>
          <t>Not Qualified</t>
        </is>
      </c>
      <c r="AY2781" s="4"/>
      <c r="AZ2781"/>
      <c r="BA2781"/>
      <c r="BB2781"/>
      <c r="BC2781" t="inlineStr">
        <is>
          <t>- Headcount: 1
- Hiring Job Details: 1 admin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BD2781" s="4">
        <v>46121.50016203704</v>
      </c>
      <c r="BE2781"/>
      <c r="BF2781"/>
      <c r="BG2781" t="inlineStr">
        <is>
          <t>Reschedule</t>
        </is>
      </c>
      <c r="BH2781" t="inlineStr">
        <is>
          <t>Fauziah Maharan</t>
        </is>
      </c>
      <c r="BI2781"/>
      <c r="BJ2781" s="4">
        <v>46144.75375</v>
      </c>
      <c r="BK2781" s="4">
        <v>46066.50342592593</v>
      </c>
      <c r="BL2781" t="inlineStr">
        <is>
          <t>0.0</t>
        </is>
      </c>
      <c r="BM2781" t="inlineStr">
        <is>
          <t>0.0</t>
        </is>
      </c>
      <c r="BN2781" t="inlineStr">
        <is>
          <t>Instant Register</t>
        </is>
      </c>
      <c r="BO2781" s="4">
        <v>46066.5034375</v>
      </c>
      <c r="BP2781">
        <v>166148</v>
      </c>
      <c r="BQ2781"/>
      <c r="BR2781"/>
      <c r="BS2781"/>
      <c r="BT2781"/>
      <c r="BU2781"/>
      <c r="BV2781">
        <v>2695508</v>
      </c>
      <c r="BW2781" t="inlineStr">
        <is>
          <t>Customer Inquiry</t>
        </is>
      </c>
      <c r="BX2781"/>
      <c r="BY2781"/>
      <c r="BZ2781" s="4"/>
      <c r="CA2781"/>
      <c r="CB2781"/>
      <c r="CC2781" s="4"/>
      <c r="CD2781" t="inlineStr">
        <is>
          <t>5</t>
        </is>
      </c>
      <c r="CE2781" t="inlineStr">
        <is>
          <t>0</t>
        </is>
      </c>
      <c r="CF2781" t="inlineStr">
        <is>
          <t>Q2-W01</t>
        </is>
      </c>
      <c r="CG2781"/>
      <c r="CH2781"/>
      <c r="CI2781"/>
      <c r="CJ2781" t="inlineStr">
        <is>
          <t>No Paid</t>
        </is>
      </c>
      <c r="CK2781" t="inlineStr">
        <is>
          <t>Not Eligible</t>
        </is>
      </c>
      <c r="CL2781"/>
      <c r="CM2781"/>
    </row>
    <row r="2782" ht="25.5" customHeight="1">
      <c r="A2782" t="inlineStr">
        <is>
          <t>202982</t>
        </is>
      </c>
      <c r="B2782" s="2"/>
      <c r="C2782"/>
      <c r="D2782" s="3">
        <v>46121.48981481481</v>
      </c>
      <c r="E2782" t="inlineStr">
        <is>
          <t>Q2-W01</t>
        </is>
      </c>
      <c r="F2782" t="inlineStr">
        <is>
          <t>Clover</t>
        </is>
      </c>
      <c r="G2782" t="inlineStr">
        <is>
          <t>Customer</t>
        </is>
      </c>
      <c r="H2782" s="2" t="str">
        <f>=HYPERLINK("https://upbox.ajobthing.my/customer/202982", "https://upbox.ajobthing.my/customer/202982")</f>
        <v>https://upbox.ajobthing.my/customer/202982</v>
      </c>
      <c r="I2782" t="inlineStr">
        <is>
          <t>infinity Dental lab</t>
        </is>
      </c>
      <c r="J2782" t="inlineStr">
        <is>
          <t>Small Fish</t>
        </is>
      </c>
      <c r="K2782" t="inlineStr">
        <is>
          <t>Clover</t>
        </is>
      </c>
      <c r="L2782" s="4"/>
      <c r="M2782" s="4">
        <v>46140.49826388889</v>
      </c>
      <c r="N2782"/>
      <c r="O2782">
        <v>3576.96</v>
      </c>
      <c r="P2782" s="4"/>
      <c r="Q2782" s="4"/>
      <c r="R2782"/>
      <c r="S2782"/>
      <c r="T2782" s="4"/>
      <c r="U2782" s="4"/>
      <c r="V2782"/>
      <c r="W2782"/>
      <c r="X2782"/>
      <c r="Y2782" t="inlineStr">
        <is>
          <t>Pending Appointment</t>
        </is>
      </c>
      <c r="Z2782" t="inlineStr">
        <is>
          <t>Hiring Now</t>
        </is>
      </c>
      <c r="AA2782">
        <v>3</v>
      </c>
      <c r="AB2782" t="inlineStr">
        <is>
          <t>No Appointment Made</t>
        </is>
      </c>
      <c r="AC2782"/>
      <c r="AD2782" t="inlineStr">
        <is>
          <t xml:space="preserve">Want to hire admin x1 chi, business development x1 chi, account assistant x1 chi,  future have hiring, previous try JS not suitable, sub company - total 6 vacancies, suggest pro </t>
        </is>
      </c>
      <c r="AE2782"/>
      <c r="AF2782">
        <v>5000</v>
      </c>
      <c r="AG2782" s="4"/>
      <c r="AH2782" s="4"/>
      <c r="AI2782">
        <v>5000</v>
      </c>
      <c r="AJ2782">
        <v>2</v>
      </c>
      <c r="AK2782" t="inlineStr">
        <is>
          <t>No, but I want in future</t>
        </is>
      </c>
      <c r="AL2782">
        <v>1</v>
      </c>
      <c r="AM2782" t="inlineStr">
        <is>
          <t>No, but I want in future</t>
        </is>
      </c>
      <c r="AN2782"/>
      <c r="AO2782" t="inlineStr">
        <is>
          <t>No, but I want in future</t>
        </is>
      </c>
      <c r="AP2782" t="inlineStr">
        <is>
          <t>Once per quarter (75%)</t>
        </is>
      </c>
      <c r="AQ2782">
        <v>6</v>
      </c>
      <c r="AR2782" t="inlineStr">
        <is>
          <t>Jobstreet</t>
        </is>
      </c>
      <c r="AS2782" t="inlineStr">
        <is>
          <t>- Headcount: 3
- Hiring Job Details: 1 admin, 1 business development, 1 account assistant; 6 sub-company vacancies total, future hiring plan, previous JS unsuitable, suggest pro
- Hiring Urgency: Hiring Now
- Number of outlets: 2
- Have recruiter team: No, but want in future
- Number of recruiter in company: 1
- Have ATS system: No, but want in future
- Have career website: No, but want in future
- Current hiring budget: RM5,000
- Whole year budget: RM5,000.00
- Whole year number of vacancies: 6
- Hiring frequency: Once per quarter (75%)
- External job portal: Jobstreet</t>
        </is>
      </c>
      <c r="AT2782">
        <v>105</v>
      </c>
      <c r="AU2782" t="inlineStr">
        <is>
          <t>1.05</t>
        </is>
      </c>
      <c r="AV2782" t="inlineStr">
        <is>
          <t>15</t>
        </is>
      </c>
      <c r="AW2782" t="inlineStr">
        <is>
          <t>0</t>
        </is>
      </c>
      <c r="AX2782" t="inlineStr">
        <is>
          <t>Not Qualified</t>
        </is>
      </c>
      <c r="AY2782" s="4"/>
      <c r="AZ2782"/>
      <c r="BA2782"/>
      <c r="BB2782"/>
      <c r="BC2782" t="inlineStr">
        <is>
          <t>Call npu, wa share new promo stand 288</t>
        </is>
      </c>
      <c r="BD2782" s="4">
        <v>46140.50078703704</v>
      </c>
      <c r="BE2782"/>
      <c r="BF2782"/>
      <c r="BG2782" t="inlineStr">
        <is>
          <t>Reschedule</t>
        </is>
      </c>
      <c r="BH2782" t="inlineStr">
        <is>
          <t>Reagen</t>
        </is>
      </c>
      <c r="BI2782"/>
      <c r="BJ2782" s="4">
        <v>46144.75418981481</v>
      </c>
      <c r="BK2782" s="4">
        <v>46120.51259259259</v>
      </c>
      <c r="BL2782" t="inlineStr">
        <is>
          <t>0.0</t>
        </is>
      </c>
      <c r="BM2782" t="inlineStr">
        <is>
          <t>0.0</t>
        </is>
      </c>
      <c r="BN2782" t="inlineStr">
        <is>
          <t>View Jobmanager Page</t>
        </is>
      </c>
      <c r="BO2782" s="4">
        <v>46127.59079861111</v>
      </c>
      <c r="BP2782">
        <v>169209</v>
      </c>
      <c r="BQ2782"/>
      <c r="BR2782"/>
      <c r="BS2782"/>
      <c r="BT2782"/>
      <c r="BU2782"/>
      <c r="BV2782">
        <v>2732325</v>
      </c>
      <c r="BW2782" t="inlineStr">
        <is>
          <t>No Answer : Voicemail - WA sent to customer</t>
        </is>
      </c>
      <c r="BX2782"/>
      <c r="BY2782"/>
      <c r="BZ2782" s="4"/>
      <c r="CA2782"/>
      <c r="CB2782"/>
      <c r="CC2782" s="4"/>
      <c r="CD2782" t="inlineStr">
        <is>
          <t>20</t>
        </is>
      </c>
      <c r="CE2782" t="inlineStr">
        <is>
          <t>0</t>
        </is>
      </c>
      <c r="CF2782" t="inlineStr">
        <is>
          <t>Q2-W04</t>
        </is>
      </c>
      <c r="CG2782"/>
      <c r="CH2782"/>
      <c r="CI2782"/>
      <c r="CJ2782" t="inlineStr">
        <is>
          <t>No Paid</t>
        </is>
      </c>
      <c r="CK2782" t="inlineStr">
        <is>
          <t>Not Eligible</t>
        </is>
      </c>
      <c r="CL2782"/>
      <c r="CM2782"/>
    </row>
    <row r="2783" ht="25.5" customHeight="1">
      <c r="A2783" t="inlineStr">
        <is>
          <t>138220</t>
        </is>
      </c>
      <c r="B2783" s="2"/>
      <c r="C2783"/>
      <c r="D2783" s="3">
        <v>46121.49239583333</v>
      </c>
      <c r="E2783" t="inlineStr">
        <is>
          <t>Q2-W01</t>
        </is>
      </c>
      <c r="F2783" t="inlineStr">
        <is>
          <t>Eugene</t>
        </is>
      </c>
      <c r="G2783" t="inlineStr">
        <is>
          <t>Customer</t>
        </is>
      </c>
      <c r="H2783" s="2" t="str">
        <f>=HYPERLINK("https://upbox.ajobthing.my/customer/138220", "https://upbox.ajobthing.my/customer/138220")</f>
        <v>https://upbox.ajobthing.my/customer/138220</v>
      </c>
      <c r="I2783" t="inlineStr">
        <is>
          <t xml:space="preserve">Core Edge Products Sdn Bhd </t>
        </is>
      </c>
      <c r="J2783" t="inlineStr">
        <is>
          <t>Small Fish</t>
        </is>
      </c>
      <c r="K2783" t="inlineStr">
        <is>
          <t>Eugene</t>
        </is>
      </c>
      <c r="L2783" s="4"/>
      <c r="M2783" s="4">
        <v>46121.492476851854</v>
      </c>
      <c r="N2783"/>
      <c r="O2783">
        <v>3888</v>
      </c>
      <c r="P2783" s="4"/>
      <c r="Q2783" s="4"/>
      <c r="R2783"/>
      <c r="S2783"/>
      <c r="T2783" s="4"/>
      <c r="U2783" s="4"/>
      <c r="V2783"/>
      <c r="W2783"/>
      <c r="X2783"/>
      <c r="Y2783" t="inlineStr">
        <is>
          <t>Pending Appointment</t>
        </is>
      </c>
      <c r="Z2783" t="inlineStr">
        <is>
          <t>Hiring Later</t>
        </is>
      </c>
      <c r="AA2783">
        <v>1</v>
      </c>
      <c r="AB2783" t="inlineStr">
        <is>
          <t>No Appointment Made</t>
        </is>
      </c>
      <c r="AC2783"/>
      <c r="AD2783" t="inlineStr">
        <is>
          <t>1 positions, based in Rawang</t>
        </is>
      </c>
      <c r="AE2783"/>
      <c r="AF2783">
        <v>1200</v>
      </c>
      <c r="AG2783" s="4"/>
      <c r="AH2783" s="4"/>
      <c r="AI2783">
        <v>3600</v>
      </c>
      <c r="AJ2783">
        <v>1</v>
      </c>
      <c r="AK2783" t="inlineStr">
        <is>
          <t>No, I don't need at all</t>
        </is>
      </c>
      <c r="AL2783">
        <v>1</v>
      </c>
      <c r="AM2783" t="inlineStr">
        <is>
          <t>No, I don't need at all</t>
        </is>
      </c>
      <c r="AN2783"/>
      <c r="AO2783" t="inlineStr">
        <is>
          <t>No, I don't need at all</t>
        </is>
      </c>
      <c r="AP2783" t="inlineStr">
        <is>
          <t>Once a year (25%)</t>
        </is>
      </c>
      <c r="AQ2783">
        <v>1</v>
      </c>
      <c r="AR2783" t="inlineStr">
        <is>
          <t>Free Job Portal</t>
        </is>
      </c>
      <c r="AS2783" t="inlineStr">
        <is>
          <t>- Headcount: 1
- Hiring Job Details: 1 position, based in Rawang
- Hiring Urgency: Hiring Later
- Number of outlets: 1
- Have recruiter team: No, I don't need at all
- Number of recruiter in company: 1
- Have ATS system: No, I don't need at all
- Have career website: No, I don't need at all
- Current hiring budget: RM1,200
- Whole year budget: RM3,600.00
- Whole year number of vacancies: 1
- Hiring frequency: Once a year (25%)
- External job portal: Free Job Portal</t>
        </is>
      </c>
      <c r="AT2783">
        <v>95</v>
      </c>
      <c r="AU2783" t="inlineStr">
        <is>
          <t>0.95</t>
        </is>
      </c>
      <c r="AV2783" t="inlineStr">
        <is>
          <t>15</t>
        </is>
      </c>
      <c r="AW2783" t="inlineStr">
        <is>
          <t>0</t>
        </is>
      </c>
      <c r="AX2783" t="inlineStr">
        <is>
          <t>Not Qualified</t>
        </is>
      </c>
      <c r="AY2783" s="4"/>
      <c r="AZ2783"/>
      <c r="BA2783"/>
      <c r="BB2783"/>
      <c r="BC2783" t="inlineStr">
        <is>
          <t>- Headcount: 1
- Hiring Job Details: 1 position, based in Rawang
- Hiring Urgency: Hiring Later
- Number of outlets: 1
- Have recruiter team: No, I don't need at all
- Number of recruiter in company: 1
- Have ATS system: No, I don't need at all
- Have career website: No, I don't need at all
- Current hiring budget: RM1,200
- Whole year budget: RM3,600.00
- Whole year number of vacancies: 1
- Hiring frequency: Once a year (25%)
- External job portal: Free Job Portal</t>
        </is>
      </c>
      <c r="BD2783" s="4">
        <v>46121.50016203704</v>
      </c>
      <c r="BE2783"/>
      <c r="BF2783"/>
      <c r="BG2783" t="inlineStr">
        <is>
          <t>Reschedule</t>
        </is>
      </c>
      <c r="BH2783" t="inlineStr">
        <is>
          <t>Edward Hoo</t>
        </is>
      </c>
      <c r="BI2783"/>
      <c r="BJ2783" s="4">
        <v>46144.750613425924</v>
      </c>
      <c r="BK2783" s="4">
        <v>44334.48881944444</v>
      </c>
      <c r="BL2783" t="inlineStr">
        <is>
          <t>0.0</t>
        </is>
      </c>
      <c r="BM2783" t="inlineStr">
        <is>
          <t>0.0</t>
        </is>
      </c>
      <c r="BN2783" t="inlineStr">
        <is>
          <t>View Jobmanager Page</t>
        </is>
      </c>
      <c r="BO2783" s="4">
        <v>44396.33520833333</v>
      </c>
      <c r="BP2783">
        <v>166155</v>
      </c>
      <c r="BQ2783"/>
      <c r="BR2783"/>
      <c r="BS2783"/>
      <c r="BT2783"/>
      <c r="BU2783"/>
      <c r="BV2783">
        <v>2695513</v>
      </c>
      <c r="BW2783" t="inlineStr">
        <is>
          <t>Customer Inquiry</t>
        </is>
      </c>
      <c r="BX2783"/>
      <c r="BY2783"/>
      <c r="BZ2783" s="4"/>
      <c r="CA2783"/>
      <c r="CB2783"/>
      <c r="CC2783" s="4"/>
      <c r="CD2783" t="inlineStr">
        <is>
          <t>20</t>
        </is>
      </c>
      <c r="CE2783" t="inlineStr">
        <is>
          <t>0</t>
        </is>
      </c>
      <c r="CF2783" t="inlineStr">
        <is>
          <t>Q2-W01</t>
        </is>
      </c>
      <c r="CG2783"/>
      <c r="CH2783"/>
      <c r="CI2783"/>
      <c r="CJ2783" t="inlineStr">
        <is>
          <t>No Paid</t>
        </is>
      </c>
      <c r="CK2783" t="inlineStr">
        <is>
          <t>Not Eligible</t>
        </is>
      </c>
      <c r="CL2783"/>
      <c r="CM2783"/>
    </row>
    <row r="2784" ht="25.5" customHeight="1">
      <c r="A2784" t="inlineStr">
        <is>
          <t>202151</t>
        </is>
      </c>
      <c r="B2784" s="2"/>
      <c r="C2784"/>
      <c r="D2784" s="3">
        <v>46121.49684027778</v>
      </c>
      <c r="E2784" t="inlineStr">
        <is>
          <t>Q2-W01</t>
        </is>
      </c>
      <c r="F2784" t="inlineStr">
        <is>
          <t>Josh</t>
        </is>
      </c>
      <c r="G2784" t="inlineStr">
        <is>
          <t>Customer</t>
        </is>
      </c>
      <c r="H2784" s="2" t="str">
        <f>=HYPERLINK("https://upbox.ajobthing.my/customer/202151", "https://upbox.ajobthing.my/customer/202151")</f>
        <v>https://upbox.ajobthing.my/customer/202151</v>
      </c>
      <c r="I2784" t="inlineStr">
        <is>
          <t>C12227368000</t>
        </is>
      </c>
      <c r="J2784" t="inlineStr">
        <is>
          <t>Small Fish</t>
        </is>
      </c>
      <c r="K2784" t="inlineStr">
        <is>
          <t>Josh</t>
        </is>
      </c>
      <c r="L2784" s="4"/>
      <c r="M2784" s="4">
        <v>46121.49283564815</v>
      </c>
      <c r="N2784"/>
      <c r="O2784">
        <v>3672</v>
      </c>
      <c r="P2784" s="4"/>
      <c r="Q2784" s="4"/>
      <c r="R2784"/>
      <c r="S2784"/>
      <c r="T2784" s="4"/>
      <c r="U2784" s="4"/>
      <c r="V2784"/>
      <c r="W2784"/>
      <c r="X2784"/>
      <c r="Y2784" t="inlineStr">
        <is>
          <t>Pending Appointment</t>
        </is>
      </c>
      <c r="Z2784" t="inlineStr">
        <is>
          <t>Hiring Now</t>
        </is>
      </c>
      <c r="AA2784">
        <v>2</v>
      </c>
      <c r="AB2784" t="inlineStr">
        <is>
          <t>No Appointment Made</t>
        </is>
      </c>
      <c r="AC2784"/>
      <c r="AD2784" t="inlineStr">
        <is>
          <t xml:space="preserve">2 sales </t>
        </is>
      </c>
      <c r="AE2784"/>
      <c r="AF2784">
        <v>3000</v>
      </c>
      <c r="AG2784" s="4"/>
      <c r="AH2784" s="4"/>
      <c r="AI2784"/>
      <c r="AJ2784"/>
      <c r="AK2784" t="inlineStr">
        <is>
          <t>Yes, I have</t>
        </is>
      </c>
      <c r="AL2784"/>
      <c r="AM2784"/>
      <c r="AN2784"/>
      <c r="AO2784"/>
      <c r="AP2784" t="inlineStr">
        <is>
          <t>Once a year (25%)</t>
        </is>
      </c>
      <c r="AQ2784"/>
      <c r="AR2784"/>
      <c r="AS2784" t="inlineStr">
        <is>
          <t>- Headcount: 2
- Hiring Job Details: 2 sales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
- Hiring Urgency: Hiring Now</t>
        </is>
      </c>
      <c r="AT2784">
        <v>95</v>
      </c>
      <c r="AU2784" t="inlineStr">
        <is>
          <t>0.95</t>
        </is>
      </c>
      <c r="AV2784" t="inlineStr">
        <is>
          <t>15</t>
        </is>
      </c>
      <c r="AW2784" t="inlineStr">
        <is>
          <t>0</t>
        </is>
      </c>
      <c r="AX2784" t="inlineStr">
        <is>
          <t>Not Qualified</t>
        </is>
      </c>
      <c r="AY2784" s="4"/>
      <c r="AZ2784"/>
      <c r="BA2784"/>
      <c r="BB2784"/>
      <c r="BC2784" t="inlineStr">
        <is>
          <t>- Headcount: 2
- Hiring Job Details: 2 sales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
- Hiring Urgency: Hiring Now</t>
        </is>
      </c>
      <c r="BD2784" s="4">
        <v>46121.50016203704</v>
      </c>
      <c r="BE2784"/>
      <c r="BF2784"/>
      <c r="BG2784" t="inlineStr">
        <is>
          <t>Reschedule</t>
        </is>
      </c>
      <c r="BH2784" t="inlineStr">
        <is>
          <t>Fauziah Maharan</t>
        </is>
      </c>
      <c r="BI2784"/>
      <c r="BJ2784" s="4">
        <v>46144.75394675926</v>
      </c>
      <c r="BK2784" s="4">
        <v>46097.59841435185</v>
      </c>
      <c r="BL2784" t="inlineStr">
        <is>
          <t>0.0</t>
        </is>
      </c>
      <c r="BM2784" t="inlineStr">
        <is>
          <t>0.0</t>
        </is>
      </c>
      <c r="BN2784" t="inlineStr">
        <is>
          <t>View Company Page</t>
        </is>
      </c>
      <c r="BO2784" s="4">
        <v>46107.6396875</v>
      </c>
      <c r="BP2784">
        <v>166157</v>
      </c>
      <c r="BQ2784"/>
      <c r="BR2784"/>
      <c r="BS2784"/>
      <c r="BT2784"/>
      <c r="BU2784"/>
      <c r="BV2784">
        <v>2695515</v>
      </c>
      <c r="BW2784" t="inlineStr">
        <is>
          <t>Customer Inquiry</t>
        </is>
      </c>
      <c r="BX2784"/>
      <c r="BY2784"/>
      <c r="BZ2784" s="4"/>
      <c r="CA2784"/>
      <c r="CB2784"/>
      <c r="CC2784" s="4"/>
      <c r="CD2784" t="inlineStr">
        <is>
          <t>20</t>
        </is>
      </c>
      <c r="CE2784" t="inlineStr">
        <is>
          <t>0</t>
        </is>
      </c>
      <c r="CF2784" t="inlineStr">
        <is>
          <t>Q2-W01</t>
        </is>
      </c>
      <c r="CG2784"/>
      <c r="CH2784"/>
      <c r="CI2784"/>
      <c r="CJ2784" t="inlineStr">
        <is>
          <t>No Paid</t>
        </is>
      </c>
      <c r="CK2784" t="inlineStr">
        <is>
          <t>Not Eligible</t>
        </is>
      </c>
      <c r="CL2784"/>
      <c r="CM2784"/>
    </row>
    <row r="2785" ht="25.5" customHeight="1">
      <c r="A2785" t="inlineStr">
        <is>
          <t>184155</t>
        </is>
      </c>
      <c r="B2785" s="2"/>
      <c r="C2785"/>
      <c r="D2785" s="3">
        <v>46121.4975462963</v>
      </c>
      <c r="E2785" t="inlineStr">
        <is>
          <t>Q2-W01</t>
        </is>
      </c>
      <c r="F2785" t="inlineStr">
        <is>
          <t>Keegan</t>
        </is>
      </c>
      <c r="G2785" t="inlineStr">
        <is>
          <t>Customer</t>
        </is>
      </c>
      <c r="H2785" s="2" t="str">
        <f>=HYPERLINK("https://upbox.ajobthing.my/customer/184155", "https://upbox.ajobthing.my/customer/184155")</f>
        <v>https://upbox.ajobthing.my/customer/184155</v>
      </c>
      <c r="I2785" t="inlineStr">
        <is>
          <t>Fikma Travel &amp; Agency Sdn Bhd</t>
        </is>
      </c>
      <c r="J2785" t="inlineStr">
        <is>
          <t>Small Fish</t>
        </is>
      </c>
      <c r="K2785" t="inlineStr">
        <is>
          <t>Keegan</t>
        </is>
      </c>
      <c r="L2785" s="4"/>
      <c r="M2785" s="4">
        <v>46121.49797453704</v>
      </c>
      <c r="N2785"/>
      <c r="O2785">
        <v>3672</v>
      </c>
      <c r="P2785" s="4"/>
      <c r="Q2785" s="4"/>
      <c r="R2785"/>
      <c r="S2785"/>
      <c r="T2785" s="4"/>
      <c r="U2785" s="4"/>
      <c r="V2785"/>
      <c r="W2785"/>
      <c r="X2785"/>
      <c r="Y2785" t="inlineStr">
        <is>
          <t>Pending Appointment</t>
        </is>
      </c>
      <c r="Z2785" t="inlineStr">
        <is>
          <t>Hiring Now</t>
        </is>
      </c>
      <c r="AA2785">
        <v>1</v>
      </c>
      <c r="AB2785" t="inlineStr">
        <is>
          <t>No Appointment Made</t>
        </is>
      </c>
      <c r="AC2785"/>
      <c r="AD2785" t="inlineStr">
        <is>
          <t xml:space="preserve">1. senior marketing </t>
        </is>
      </c>
      <c r="AE2785"/>
      <c r="AF2785"/>
      <c r="AG2785" s="4"/>
      <c r="AH2785" s="4"/>
      <c r="AI2785"/>
      <c r="AJ2785">
        <v>1</v>
      </c>
      <c r="AK2785" t="inlineStr">
        <is>
          <t>No, I don't need at all</t>
        </is>
      </c>
      <c r="AL2785">
        <v>0</v>
      </c>
      <c r="AM2785" t="inlineStr">
        <is>
          <t>No, I don't need at all</t>
        </is>
      </c>
      <c r="AN2785"/>
      <c r="AO2785" t="inlineStr">
        <is>
          <t>No, I don't need at all</t>
        </is>
      </c>
      <c r="AP2785" t="inlineStr">
        <is>
          <t>Once per quarter (75%)</t>
        </is>
      </c>
      <c r="AQ2785"/>
      <c r="AR2785" t="inlineStr">
        <is>
          <t>Did not use any job portal</t>
        </is>
      </c>
      <c r="AS2785" t="inlineStr">
        <is>
          <t>- Headcount: 1
- Hiring Job Details: 1 senior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785">
        <v>95</v>
      </c>
      <c r="AU2785" t="inlineStr">
        <is>
          <t>0.95</t>
        </is>
      </c>
      <c r="AV2785" t="inlineStr">
        <is>
          <t>5</t>
        </is>
      </c>
      <c r="AW2785" t="inlineStr">
        <is>
          <t>0</t>
        </is>
      </c>
      <c r="AX2785" t="inlineStr">
        <is>
          <t>Not Qualified</t>
        </is>
      </c>
      <c r="AY2785" s="4"/>
      <c r="AZ2785"/>
      <c r="BA2785"/>
      <c r="BB2785"/>
      <c r="BC2785" t="inlineStr">
        <is>
          <t>- Headcount: 1
- Hiring Job Details: 1 senior marketing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785" s="4">
        <v>46121.50016203704</v>
      </c>
      <c r="BE2785"/>
      <c r="BF2785"/>
      <c r="BG2785" t="inlineStr">
        <is>
          <t>Reschedule</t>
        </is>
      </c>
      <c r="BH2785" t="inlineStr">
        <is>
          <t>Edward Hoo</t>
        </is>
      </c>
      <c r="BI2785" t="inlineStr">
        <is>
          <t>Travel / Tourism</t>
        </is>
      </c>
      <c r="BJ2785" s="4">
        <v>46144.75199074074</v>
      </c>
      <c r="BK2785" s="4">
        <v>45589.60366898148</v>
      </c>
      <c r="BL2785" t="inlineStr">
        <is>
          <t>0.0</t>
        </is>
      </c>
      <c r="BM2785" t="inlineStr">
        <is>
          <t>0.0</t>
        </is>
      </c>
      <c r="BN2785" t="inlineStr">
        <is>
          <t>View Company Page</t>
        </is>
      </c>
      <c r="BO2785" s="4">
        <v>46121.421168981484</v>
      </c>
      <c r="BP2785">
        <v>166161</v>
      </c>
      <c r="BQ2785"/>
      <c r="BR2785"/>
      <c r="BS2785"/>
      <c r="BT2785"/>
      <c r="BU2785"/>
      <c r="BV2785">
        <v>2695516</v>
      </c>
      <c r="BW2785" t="inlineStr">
        <is>
          <t>Customer Inquiry</t>
        </is>
      </c>
      <c r="BX2785"/>
      <c r="BY2785"/>
      <c r="BZ2785" s="4"/>
      <c r="CA2785"/>
      <c r="CB2785"/>
      <c r="CC2785" s="4"/>
      <c r="CD2785" t="inlineStr">
        <is>
          <t>5</t>
        </is>
      </c>
      <c r="CE2785" t="inlineStr">
        <is>
          <t>0</t>
        </is>
      </c>
      <c r="CF2785" t="inlineStr">
        <is>
          <t>Q2-W01</t>
        </is>
      </c>
      <c r="CG2785"/>
      <c r="CH2785"/>
      <c r="CI2785"/>
      <c r="CJ2785" t="inlineStr">
        <is>
          <t>No Paid</t>
        </is>
      </c>
      <c r="CK2785" t="inlineStr">
        <is>
          <t>Not Eligible</t>
        </is>
      </c>
      <c r="CL2785"/>
      <c r="CM2785"/>
    </row>
    <row r="2786" ht="25.5" customHeight="1">
      <c r="A2786" t="inlineStr">
        <is>
          <t>203018</t>
        </is>
      </c>
      <c r="B2786" s="2"/>
      <c r="C2786"/>
      <c r="D2786" s="3">
        <v>46121.49778935185</v>
      </c>
      <c r="E2786" t="inlineStr">
        <is>
          <t>Q2-W01</t>
        </is>
      </c>
      <c r="F2786" t="inlineStr">
        <is>
          <t>Angel  Low</t>
        </is>
      </c>
      <c r="G2786" t="inlineStr">
        <is>
          <t>Customer</t>
        </is>
      </c>
      <c r="H2786" s="2" t="str">
        <f>=HYPERLINK("https://upbox.ajobthing.my/customer/203018", "https://upbox.ajobthing.my/customer/203018")</f>
        <v>https://upbox.ajobthing.my/customer/203018</v>
      </c>
      <c r="I2786" t="inlineStr">
        <is>
          <t>Chemcool Sdn Bhd</t>
        </is>
      </c>
      <c r="J2786" t="inlineStr">
        <is>
          <t>Small Fish</t>
        </is>
      </c>
      <c r="K2786" t="inlineStr">
        <is>
          <t>Angel Low</t>
        </is>
      </c>
      <c r="L2786" s="4"/>
      <c r="M2786" s="4">
        <v>46121.49800925926</v>
      </c>
      <c r="N2786"/>
      <c r="O2786">
        <v>3672</v>
      </c>
      <c r="P2786" s="4"/>
      <c r="Q2786" s="4">
        <v>46120.872141203705</v>
      </c>
      <c r="R2786"/>
      <c r="S2786">
        <v>0</v>
      </c>
      <c r="T2786" s="4"/>
      <c r="U2786" s="4"/>
      <c r="V2786"/>
      <c r="W2786"/>
      <c r="X2786"/>
      <c r="Y2786" t="inlineStr">
        <is>
          <t>Pending Appointment</t>
        </is>
      </c>
      <c r="Z2786"/>
      <c r="AA2786">
        <v>1</v>
      </c>
      <c r="AB2786" t="inlineStr">
        <is>
          <t>No Appointment Made</t>
        </is>
      </c>
      <c r="AC2786"/>
      <c r="AD2786" t="inlineStr">
        <is>
          <t xml:space="preserve">1 production </t>
        </is>
      </c>
      <c r="AE2786"/>
      <c r="AF2786"/>
      <c r="AG2786" s="4"/>
      <c r="AH2786" s="4"/>
      <c r="AI2786"/>
      <c r="AJ2786"/>
      <c r="AK2786"/>
      <c r="AL2786"/>
      <c r="AM2786"/>
      <c r="AN2786"/>
      <c r="AO2786"/>
      <c r="AP2786"/>
      <c r="AQ2786"/>
      <c r="AR2786"/>
      <c r="AS2786" t="inlineStr">
        <is>
          <t>- Headcount: Not provided
- Hiring Job Details: 1 production
- Hiring Urgency: Not provided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is>
      </c>
      <c r="AT2786">
        <v>60</v>
      </c>
      <c r="AU2786" t="inlineStr">
        <is>
          <t>0.60</t>
        </is>
      </c>
      <c r="AV2786" t="inlineStr">
        <is>
          <t>5</t>
        </is>
      </c>
      <c r="AW2786" t="inlineStr">
        <is>
          <t>0</t>
        </is>
      </c>
      <c r="AX2786" t="inlineStr">
        <is>
          <t>Not Qualified</t>
        </is>
      </c>
      <c r="AY2786" s="4"/>
      <c r="AZ2786"/>
      <c r="BA2786"/>
      <c r="BB2786"/>
      <c r="BC2786" t="inlineStr">
        <is>
          <t>on hold</t>
        </is>
      </c>
      <c r="BD2786" s="4">
        <v>46127.45984953704</v>
      </c>
      <c r="BE2786" t="inlineStr">
        <is>
          <t>paid</t>
        </is>
      </c>
      <c r="BF2786"/>
      <c r="BG2786" t="inlineStr">
        <is>
          <t>Reschedule</t>
        </is>
      </c>
      <c r="BH2786" t="inlineStr">
        <is>
          <t>Fauziah Maharan</t>
        </is>
      </c>
      <c r="BI2786"/>
      <c r="BJ2786" s="4">
        <v>46144.75418981481</v>
      </c>
      <c r="BK2786" s="4">
        <v>46120.87136574074</v>
      </c>
      <c r="BL2786" t="inlineStr">
        <is>
          <t>0.0</t>
        </is>
      </c>
      <c r="BM2786" t="inlineStr">
        <is>
          <t>0.0</t>
        </is>
      </c>
      <c r="BN2786" t="inlineStr">
        <is>
          <t>View Company Page</t>
        </is>
      </c>
      <c r="BO2786" s="4">
        <v>46120.874768518515</v>
      </c>
      <c r="BP2786">
        <v>166162</v>
      </c>
      <c r="BQ2786">
        <v>121120</v>
      </c>
      <c r="BR2786" t="inlineStr">
        <is>
          <t>Proforma</t>
        </is>
      </c>
      <c r="BS2786" t="inlineStr">
        <is>
          <t>Free Internship Job</t>
        </is>
      </c>
      <c r="BT2786"/>
      <c r="BU2786"/>
      <c r="BV2786">
        <v>2705322</v>
      </c>
      <c r="BW2786" t="inlineStr">
        <is>
          <t>Follow Up : Lost - Free Portal</t>
        </is>
      </c>
      <c r="BX2786"/>
      <c r="BY2786"/>
      <c r="BZ2786" s="4"/>
      <c r="CA2786"/>
      <c r="CB2786"/>
      <c r="CC2786" s="4"/>
      <c r="CD2786" t="inlineStr">
        <is>
          <t>5</t>
        </is>
      </c>
      <c r="CE2786" t="inlineStr">
        <is>
          <t>0</t>
        </is>
      </c>
      <c r="CF2786" t="inlineStr">
        <is>
          <t>Q2-W01</t>
        </is>
      </c>
      <c r="CG2786" t="inlineStr">
        <is>
          <t>Q2-W01</t>
        </is>
      </c>
      <c r="CH2786"/>
      <c r="CI2786"/>
      <c r="CJ2786" t="inlineStr">
        <is>
          <t>No Paid</t>
        </is>
      </c>
      <c r="CK2786" t="inlineStr">
        <is>
          <t>Not Eligible</t>
        </is>
      </c>
      <c r="CL2786"/>
      <c r="CM2786"/>
    </row>
    <row r="2787" ht="25.5" customHeight="1">
      <c r="A2787" t="inlineStr">
        <is>
          <t>203039</t>
        </is>
      </c>
      <c r="B2787" s="2"/>
      <c r="C2787"/>
      <c r="D2787" s="3">
        <v>46121.50653935185</v>
      </c>
      <c r="E2787" t="inlineStr">
        <is>
          <t>Q2-W01</t>
        </is>
      </c>
      <c r="F2787" t="inlineStr">
        <is>
          <t>Xin Quan</t>
        </is>
      </c>
      <c r="G2787" t="inlineStr">
        <is>
          <t>Customer</t>
        </is>
      </c>
      <c r="H2787" s="2" t="str">
        <f>=HYPERLINK("https://upbox.ajobthing.my/customer/203039", "https://upbox.ajobthing.my/customer/203039")</f>
        <v>https://upbox.ajobthing.my/customer/203039</v>
      </c>
      <c r="I2787" t="inlineStr">
        <is>
          <t>J&amp;T EXRPESS</t>
        </is>
      </c>
      <c r="J2787" t="inlineStr">
        <is>
          <t>Small Fish</t>
        </is>
      </c>
      <c r="K2787" t="inlineStr">
        <is>
          <t>Xin Quan</t>
        </is>
      </c>
      <c r="L2787" s="4"/>
      <c r="M2787" s="4">
        <v>46127.47445601852</v>
      </c>
      <c r="N2787"/>
      <c r="O2787">
        <v>864</v>
      </c>
      <c r="P2787" s="4"/>
      <c r="Q2787" s="4"/>
      <c r="R2787"/>
      <c r="S2787"/>
      <c r="T2787" s="4"/>
      <c r="U2787" s="4"/>
      <c r="V2787"/>
      <c r="W2787"/>
      <c r="X2787"/>
      <c r="Y2787" t="inlineStr">
        <is>
          <t>Pending Appointment</t>
        </is>
      </c>
      <c r="Z2787" t="inlineStr">
        <is>
          <t>Hiring Now</t>
        </is>
      </c>
      <c r="AA2787">
        <v>1</v>
      </c>
      <c r="AB2787" t="inlineStr">
        <is>
          <t>No Appointment Made</t>
        </is>
      </c>
      <c r="AC2787"/>
      <c r="AD2787" t="inlineStr">
        <is>
          <t>1 Admin , Base in KL</t>
        </is>
      </c>
      <c r="AE2787"/>
      <c r="AF2787">
        <v>2000</v>
      </c>
      <c r="AG2787" s="4"/>
      <c r="AH2787" s="4"/>
      <c r="AI2787">
        <v>24000</v>
      </c>
      <c r="AJ2787">
        <v>1</v>
      </c>
      <c r="AK2787"/>
      <c r="AL2787"/>
      <c r="AM2787"/>
      <c r="AN2787"/>
      <c r="AO2787"/>
      <c r="AP2787"/>
      <c r="AQ2787">
        <v>1</v>
      </c>
      <c r="AR2787"/>
      <c r="AS2787" t="inlineStr">
        <is>
          <t>- Headcount: 1
- Hiring Job Details: 1 Admin, Base in KL
- Hiring Urgency: Hiring Now
- Number of outlets: 1
- Have recruiter team: Not specified
- Number of recruiter in company: Not specified
- Have ATS system: Not specified
- Have career website: Not specified
- Current hiring budget: RM2,000
- Whole year budget: RM24,000.00
- Whole year number of vacancies: 1
- Hiring frequency: Not specified
- External job portal: Not specified</t>
        </is>
      </c>
      <c r="AT2787">
        <v>105</v>
      </c>
      <c r="AU2787" t="inlineStr">
        <is>
          <t>1.05</t>
        </is>
      </c>
      <c r="AV2787" t="inlineStr">
        <is>
          <t>15</t>
        </is>
      </c>
      <c r="AW2787" t="inlineStr">
        <is>
          <t>0</t>
        </is>
      </c>
      <c r="AX2787" t="inlineStr">
        <is>
          <t>Not Qualified</t>
        </is>
      </c>
      <c r="AY2787" s="4"/>
      <c r="AZ2787"/>
      <c r="BA2787"/>
      <c r="BB2787"/>
      <c r="BC2787" t="inlineStr">
        <is>
          <t>MIA</t>
        </is>
      </c>
      <c r="BD2787" s="4">
        <v>46135.59722222222</v>
      </c>
      <c r="BE2787"/>
      <c r="BF2787"/>
      <c r="BG2787" t="inlineStr">
        <is>
          <t>Reschedule</t>
        </is>
      </c>
      <c r="BH2787" t="inlineStr">
        <is>
          <t>Edward Hoo</t>
        </is>
      </c>
      <c r="BI2787"/>
      <c r="BJ2787" s="4">
        <v>46144.75418981481</v>
      </c>
      <c r="BK2787" s="4">
        <v>46121.486863425926</v>
      </c>
      <c r="BL2787" t="inlineStr">
        <is>
          <t>0.0</t>
        </is>
      </c>
      <c r="BM2787" t="inlineStr">
        <is>
          <t>0.0</t>
        </is>
      </c>
      <c r="BN2787" t="inlineStr">
        <is>
          <t>View Create Job Page V4</t>
        </is>
      </c>
      <c r="BO2787" s="4">
        <v>46121.51917824074</v>
      </c>
      <c r="BP2787">
        <v>167147</v>
      </c>
      <c r="BQ2787"/>
      <c r="BR2787"/>
      <c r="BS2787"/>
      <c r="BT2787"/>
      <c r="BU2787"/>
      <c r="BV2787">
        <v>2723392</v>
      </c>
      <c r="BW2787" t="inlineStr">
        <is>
          <t>Inquire for Hiring Needs : No Hiring</t>
        </is>
      </c>
      <c r="BX2787"/>
      <c r="BY2787"/>
      <c r="BZ2787" s="4"/>
      <c r="CA2787"/>
      <c r="CB2787"/>
      <c r="CC2787" s="4"/>
      <c r="CD2787" t="inlineStr">
        <is>
          <t>20</t>
        </is>
      </c>
      <c r="CE2787" t="inlineStr">
        <is>
          <t>0</t>
        </is>
      </c>
      <c r="CF2787" t="inlineStr">
        <is>
          <t>Q2-W02</t>
        </is>
      </c>
      <c r="CG2787"/>
      <c r="CH2787"/>
      <c r="CI2787"/>
      <c r="CJ2787" t="inlineStr">
        <is>
          <t>No Paid</t>
        </is>
      </c>
      <c r="CK2787" t="inlineStr">
        <is>
          <t>Not Eligible</t>
        </is>
      </c>
      <c r="CL2787"/>
      <c r="CM2787"/>
    </row>
    <row r="2788" ht="25.5" customHeight="1">
      <c r="A2788" t="inlineStr">
        <is>
          <t>191444</t>
        </is>
      </c>
      <c r="B2788" s="2"/>
      <c r="C2788"/>
      <c r="D2788" s="3">
        <v>46121.520520833335</v>
      </c>
      <c r="E2788" t="inlineStr">
        <is>
          <t>Q2-W01</t>
        </is>
      </c>
      <c r="F2788" t="inlineStr">
        <is>
          <t>Dickson</t>
        </is>
      </c>
      <c r="G2788" t="inlineStr">
        <is>
          <t>Customer</t>
        </is>
      </c>
      <c r="H2788" s="2" t="str">
        <f>=HYPERLINK("https://upbox.ajobthing.my/customer/191444", "https://upbox.ajobthing.my/customer/191444")</f>
        <v>https://upbox.ajobthing.my/customer/191444</v>
      </c>
      <c r="I2788" t="inlineStr">
        <is>
          <t>K&amp;e Advisory</t>
        </is>
      </c>
      <c r="J2788" t="inlineStr">
        <is>
          <t>Small Fish</t>
        </is>
      </c>
      <c r="K2788" t="inlineStr">
        <is>
          <t>Dickson</t>
        </is>
      </c>
      <c r="L2788" s="4"/>
      <c r="M2788" s="4">
        <v>46121.52222222222</v>
      </c>
      <c r="N2788"/>
      <c r="O2788">
        <v>3888</v>
      </c>
      <c r="P2788" s="4"/>
      <c r="Q2788" s="4"/>
      <c r="R2788"/>
      <c r="S2788"/>
      <c r="T2788" s="4"/>
      <c r="U2788" s="4"/>
      <c r="V2788"/>
      <c r="W2788"/>
      <c r="X2788"/>
      <c r="Y2788" t="inlineStr">
        <is>
          <t>Pending Appointment</t>
        </is>
      </c>
      <c r="Z2788" t="inlineStr">
        <is>
          <t>Hiring Now</t>
        </is>
      </c>
      <c r="AA2788">
        <v>5</v>
      </c>
      <c r="AB2788" t="inlineStr">
        <is>
          <t>No Appointment Made</t>
        </is>
      </c>
      <c r="AC2788"/>
      <c r="AD2788" t="inlineStr">
        <is>
          <t>hiring more than 5 insurance agent</t>
        </is>
      </c>
      <c r="AE2788"/>
      <c r="AF2788"/>
      <c r="AG2788" s="4"/>
      <c r="AH2788" s="4"/>
      <c r="AI2788"/>
      <c r="AJ2788">
        <v>1</v>
      </c>
      <c r="AK2788" t="inlineStr">
        <is>
          <t>No, I don't need at all</t>
        </is>
      </c>
      <c r="AL2788"/>
      <c r="AM2788" t="inlineStr">
        <is>
          <t>No, I don't need at all</t>
        </is>
      </c>
      <c r="AN2788"/>
      <c r="AO2788" t="inlineStr">
        <is>
          <t>No, I don't need at all</t>
        </is>
      </c>
      <c r="AP2788" t="inlineStr">
        <is>
          <t>Once per quarter (75%)</t>
        </is>
      </c>
      <c r="AQ2788"/>
      <c r="AR2788"/>
      <c r="AS2788" t="inlineStr">
        <is>
          <t>- Headcount: 5
- Hiring Job Details: hiring more than 5 insurance agent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788">
        <v>75</v>
      </c>
      <c r="AU2788" t="inlineStr">
        <is>
          <t>0.75</t>
        </is>
      </c>
      <c r="AV2788" t="inlineStr">
        <is>
          <t>10</t>
        </is>
      </c>
      <c r="AW2788" t="inlineStr">
        <is>
          <t>0</t>
        </is>
      </c>
      <c r="AX2788" t="inlineStr">
        <is>
          <t>Not Qualified</t>
        </is>
      </c>
      <c r="AY2788" s="4"/>
      <c r="AZ2788"/>
      <c r="BA2788"/>
      <c r="BB2788"/>
      <c r="BC2788" t="inlineStr">
        <is>
          <t>too exp</t>
        </is>
      </c>
      <c r="BD2788" s="4">
        <v>46128.49984953704</v>
      </c>
      <c r="BE2788"/>
      <c r="BF2788"/>
      <c r="BG2788" t="inlineStr">
        <is>
          <t>Reschedule</t>
        </is>
      </c>
      <c r="BH2788" t="inlineStr">
        <is>
          <t>Edward Hoo</t>
        </is>
      </c>
      <c r="BI2788"/>
      <c r="BJ2788" s="4">
        <v>46144.752430555556</v>
      </c>
      <c r="BK2788" s="4">
        <v>45796.532858796294</v>
      </c>
      <c r="BL2788" t="inlineStr">
        <is>
          <t>0.0</t>
        </is>
      </c>
      <c r="BM2788" t="inlineStr">
        <is>
          <t>150.0</t>
        </is>
      </c>
      <c r="BN2788" t="inlineStr">
        <is>
          <t>View Company Page</t>
        </is>
      </c>
      <c r="BO2788" s="4">
        <v>45796.57450231481</v>
      </c>
      <c r="BP2788">
        <v>166172</v>
      </c>
      <c r="BQ2788"/>
      <c r="BR2788"/>
      <c r="BS2788"/>
      <c r="BT2788"/>
      <c r="BU2788"/>
      <c r="BV2788">
        <v>2708644</v>
      </c>
      <c r="BW2788" t="inlineStr">
        <is>
          <t>Follow Up : Budget Concern</t>
        </is>
      </c>
      <c r="BX2788"/>
      <c r="BY2788"/>
      <c r="BZ2788" s="4"/>
      <c r="CA2788"/>
      <c r="CB2788"/>
      <c r="CC2788" s="4"/>
      <c r="CD2788" t="inlineStr">
        <is>
          <t>15</t>
        </is>
      </c>
      <c r="CE2788" t="inlineStr">
        <is>
          <t>0</t>
        </is>
      </c>
      <c r="CF2788" t="inlineStr">
        <is>
          <t>Q2-W01</t>
        </is>
      </c>
      <c r="CG2788"/>
      <c r="CH2788"/>
      <c r="CI2788"/>
      <c r="CJ2788" t="inlineStr">
        <is>
          <t>No Paid</t>
        </is>
      </c>
      <c r="CK2788" t="inlineStr">
        <is>
          <t>Not Eligible</t>
        </is>
      </c>
      <c r="CL2788"/>
      <c r="CM2788"/>
    </row>
    <row r="2789" ht="25.5" customHeight="1">
      <c r="A2789" t="inlineStr">
        <is>
          <t>4264375</t>
        </is>
      </c>
      <c r="B2789" s="2"/>
      <c r="C2789"/>
      <c r="D2789" s="3">
        <v>46121.522569444445</v>
      </c>
      <c r="E2789" t="inlineStr">
        <is>
          <t>Q2-W01</t>
        </is>
      </c>
      <c r="F2789" t="inlineStr">
        <is>
          <t>Josh</t>
        </is>
      </c>
      <c r="G2789" t="inlineStr">
        <is>
          <t>Lead</t>
        </is>
      </c>
      <c r="H2789" s="2" t="str">
        <f>=HYPERLINK("https://upbox.ajobthing.my/leads/4264375", "https://upbox.ajobthing.my/leads/4264375")</f>
        <v>https://upbox.ajobthing.my/leads/4264375</v>
      </c>
      <c r="I2789" t="inlineStr">
        <is>
          <t>Allmotion Auto Parts Sdn Bhd</t>
        </is>
      </c>
      <c r="J2789" t="inlineStr">
        <is>
          <t>Small Fish</t>
        </is>
      </c>
      <c r="K2789" t="inlineStr">
        <is>
          <t>Josh</t>
        </is>
      </c>
      <c r="L2789" s="4"/>
      <c r="M2789" s="4">
        <v>46121.523148148146</v>
      </c>
      <c r="N2789"/>
      <c r="O2789">
        <v>3672</v>
      </c>
      <c r="P2789" s="4"/>
      <c r="Q2789" s="4"/>
      <c r="R2789"/>
      <c r="S2789"/>
      <c r="T2789" s="4"/>
      <c r="U2789" s="4"/>
      <c r="V2789"/>
      <c r="W2789"/>
      <c r="X2789"/>
      <c r="Y2789" t="inlineStr">
        <is>
          <t>Pending Appointment</t>
        </is>
      </c>
      <c r="Z2789" t="inlineStr">
        <is>
          <t>Hiring Now</t>
        </is>
      </c>
      <c r="AA2789">
        <v>2</v>
      </c>
      <c r="AB2789" t="inlineStr">
        <is>
          <t>No Appointment Made</t>
        </is>
      </c>
      <c r="AC2789"/>
      <c r="AD2789" t="inlineStr">
        <is>
          <t>1 admin, 1 sales</t>
        </is>
      </c>
      <c r="AE2789"/>
      <c r="AF2789">
        <v>3000</v>
      </c>
      <c r="AG2789" s="4"/>
      <c r="AH2789" s="4"/>
      <c r="AI2789"/>
      <c r="AJ2789"/>
      <c r="AK2789" t="inlineStr">
        <is>
          <t>Yes, I have</t>
        </is>
      </c>
      <c r="AL2789"/>
      <c r="AM2789"/>
      <c r="AN2789"/>
      <c r="AO2789"/>
      <c r="AP2789" t="inlineStr">
        <is>
          <t>Once a year (25%)</t>
        </is>
      </c>
      <c r="AQ2789"/>
      <c r="AR2789"/>
      <c r="AS2789" t="inlineStr">
        <is>
          <t>- Headcount: 2
- Hiring Job Details: 1 admin, 1 sales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2789">
        <v>95</v>
      </c>
      <c r="AU2789" t="inlineStr">
        <is>
          <t>0.95</t>
        </is>
      </c>
      <c r="AV2789" t="inlineStr">
        <is>
          <t>15</t>
        </is>
      </c>
      <c r="AW2789" t="inlineStr">
        <is>
          <t>0</t>
        </is>
      </c>
      <c r="AX2789" t="inlineStr">
        <is>
          <t>Not Qualified</t>
        </is>
      </c>
      <c r="AY2789" s="4"/>
      <c r="AZ2789"/>
      <c r="BA2789"/>
      <c r="BB2789"/>
      <c r="BC2789"/>
      <c r="BD2789" s="4"/>
      <c r="BE2789"/>
      <c r="BF2789"/>
      <c r="BG2789" t="inlineStr">
        <is>
          <t>Reschedule</t>
        </is>
      </c>
      <c r="BH2789" t="inlineStr">
        <is>
          <t>Fauziah Maharan</t>
        </is>
      </c>
      <c r="BI2789"/>
      <c r="BJ2789" s="4">
        <v>46144.75578703704</v>
      </c>
      <c r="BK2789" s="4">
        <v>46121.505057870374</v>
      </c>
      <c r="BL2789" t="inlineStr">
        <is>
          <t>0.0</t>
        </is>
      </c>
      <c r="BM2789" t="inlineStr">
        <is>
          <t>0.0</t>
        </is>
      </c>
      <c r="BN2789"/>
      <c r="BO2789" s="4"/>
      <c r="BP2789">
        <v>166173</v>
      </c>
      <c r="BQ2789"/>
      <c r="BR2789"/>
      <c r="BS2789"/>
      <c r="BT2789"/>
      <c r="BU2789"/>
      <c r="BV2789"/>
      <c r="BW2789"/>
      <c r="BX2789"/>
      <c r="BY2789"/>
      <c r="BZ2789" s="4"/>
      <c r="CA2789"/>
      <c r="CB2789"/>
      <c r="CC2789" s="4"/>
      <c r="CD2789" t="inlineStr">
        <is>
          <t>20</t>
        </is>
      </c>
      <c r="CE2789" t="inlineStr">
        <is>
          <t>0</t>
        </is>
      </c>
      <c r="CF2789" t="inlineStr">
        <is>
          <t>Q2-W01</t>
        </is>
      </c>
      <c r="CG2789"/>
      <c r="CH2789"/>
      <c r="CI2789"/>
      <c r="CJ2789" t="inlineStr">
        <is>
          <t>No Paid</t>
        </is>
      </c>
      <c r="CK2789" t="inlineStr">
        <is>
          <t>Not Eligible</t>
        </is>
      </c>
      <c r="CL2789"/>
      <c r="CM2789"/>
    </row>
    <row r="2790" ht="25.5" customHeight="1">
      <c r="A2790" t="inlineStr">
        <is>
          <t>144353</t>
        </is>
      </c>
      <c r="B2790" s="2"/>
      <c r="C2790"/>
      <c r="D2790" s="3">
        <v>46121.572604166664</v>
      </c>
      <c r="E2790" t="inlineStr">
        <is>
          <t>Q2-W01</t>
        </is>
      </c>
      <c r="F2790" t="inlineStr">
        <is>
          <t>Josh</t>
        </is>
      </c>
      <c r="G2790" t="inlineStr">
        <is>
          <t>Customer</t>
        </is>
      </c>
      <c r="H2790" s="2" t="str">
        <f>=HYPERLINK("https://upbox.ajobthing.my/customer/144353", "https://upbox.ajobthing.my/customer/144353")</f>
        <v>https://upbox.ajobthing.my/customer/144353</v>
      </c>
      <c r="I2790" t="inlineStr">
        <is>
          <t>SLL Group Plt</t>
        </is>
      </c>
      <c r="J2790" t="inlineStr">
        <is>
          <t>Small Fish</t>
        </is>
      </c>
      <c r="K2790" t="inlineStr">
        <is>
          <t>Josh</t>
        </is>
      </c>
      <c r="L2790" s="4"/>
      <c r="M2790" s="4">
        <v>46121.572696759256</v>
      </c>
      <c r="N2790"/>
      <c r="O2790">
        <v>864</v>
      </c>
      <c r="P2790" s="4"/>
      <c r="Q2790" s="4">
        <v>45032.706030092595</v>
      </c>
      <c r="R2790"/>
      <c r="S2790">
        <v>636</v>
      </c>
      <c r="T2790" s="4">
        <v>45032.706030092595</v>
      </c>
      <c r="U2790" s="4"/>
      <c r="V2790"/>
      <c r="W2790">
        <v>636</v>
      </c>
      <c r="X2790"/>
      <c r="Y2790" t="inlineStr">
        <is>
          <t>Pending Appointment</t>
        </is>
      </c>
      <c r="Z2790" t="inlineStr">
        <is>
          <t>Hiring Now</t>
        </is>
      </c>
      <c r="AA2790">
        <v>1</v>
      </c>
      <c r="AB2790" t="inlineStr">
        <is>
          <t>No Appointment Made</t>
        </is>
      </c>
      <c r="AC2790"/>
      <c r="AD2790" t="inlineStr">
        <is>
          <t>1 shop assistant</t>
        </is>
      </c>
      <c r="AE2790"/>
      <c r="AF2790">
        <v>1000</v>
      </c>
      <c r="AG2790" s="4"/>
      <c r="AH2790" s="4"/>
      <c r="AI2790"/>
      <c r="AJ2790"/>
      <c r="AK2790" t="inlineStr">
        <is>
          <t>Yes, I have</t>
        </is>
      </c>
      <c r="AL2790"/>
      <c r="AM2790"/>
      <c r="AN2790"/>
      <c r="AO2790"/>
      <c r="AP2790" t="inlineStr">
        <is>
          <t>Once a year (25%)</t>
        </is>
      </c>
      <c r="AQ2790"/>
      <c r="AR2790"/>
      <c r="AS2790" t="inlineStr">
        <is>
          <t>- Headcount: 1
- Hiring Job Details: 1 shop assistant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2790">
        <v>95</v>
      </c>
      <c r="AU2790" t="inlineStr">
        <is>
          <t>0.95</t>
        </is>
      </c>
      <c r="AV2790" t="inlineStr">
        <is>
          <t>15</t>
        </is>
      </c>
      <c r="AW2790" t="inlineStr">
        <is>
          <t>0</t>
        </is>
      </c>
      <c r="AX2790" t="inlineStr">
        <is>
          <t>Not Qualified</t>
        </is>
      </c>
      <c r="AY2790" s="4"/>
      <c r="AZ2790"/>
      <c r="BA2790"/>
      <c r="BB2790"/>
      <c r="BC2790" t="inlineStr">
        <is>
          <t>found cdd</t>
        </is>
      </c>
      <c r="BD2790" s="4">
        <v>46127.76820601852</v>
      </c>
      <c r="BE2790" t="inlineStr">
        <is>
          <t>paid</t>
        </is>
      </c>
      <c r="BF2790"/>
      <c r="BG2790" t="inlineStr">
        <is>
          <t>Reschedule</t>
        </is>
      </c>
      <c r="BH2790" t="inlineStr">
        <is>
          <t>Fauziah Maharan</t>
        </is>
      </c>
      <c r="BI2790" t="inlineStr">
        <is>
          <t>Retail / Merchandise</t>
        </is>
      </c>
      <c r="BJ2790" s="4">
        <v>46144.75071759259</v>
      </c>
      <c r="BK2790" s="4">
        <v>44523.91633101852</v>
      </c>
      <c r="BL2790" t="inlineStr">
        <is>
          <t>0.0</t>
        </is>
      </c>
      <c r="BM2790" t="inlineStr">
        <is>
          <t>0.0</t>
        </is>
      </c>
      <c r="BN2790" t="inlineStr">
        <is>
          <t>View Company Page</t>
        </is>
      </c>
      <c r="BO2790" s="4">
        <v>45211.63701388889</v>
      </c>
      <c r="BP2790">
        <v>166183</v>
      </c>
      <c r="BQ2790">
        <v>57696</v>
      </c>
      <c r="BR2790" t="inlineStr">
        <is>
          <t>Online</t>
        </is>
      </c>
      <c r="BS2790"/>
      <c r="BT2790">
        <v>57696</v>
      </c>
      <c r="BU2790"/>
      <c r="BV2790">
        <v>2707193</v>
      </c>
      <c r="BW2790" t="inlineStr">
        <is>
          <t>Inquire for Hiring Needs : No Hiring</t>
        </is>
      </c>
      <c r="BX2790"/>
      <c r="BY2790"/>
      <c r="BZ2790" s="4"/>
      <c r="CA2790"/>
      <c r="CB2790"/>
      <c r="CC2790" s="4"/>
      <c r="CD2790" t="inlineStr">
        <is>
          <t>20</t>
        </is>
      </c>
      <c r="CE2790" t="inlineStr">
        <is>
          <t>0</t>
        </is>
      </c>
      <c r="CF2790" t="inlineStr">
        <is>
          <t>Q2-W01</t>
        </is>
      </c>
      <c r="CG2790"/>
      <c r="CH2790"/>
      <c r="CI2790"/>
      <c r="CJ2790" t="inlineStr">
        <is>
          <t>Paid</t>
        </is>
      </c>
      <c r="CK2790" t="inlineStr">
        <is>
          <t>Not Eligible</t>
        </is>
      </c>
      <c r="CL2790"/>
      <c r="CM2790"/>
    </row>
    <row r="2791" ht="25.5" customHeight="1">
      <c r="A2791" t="inlineStr">
        <is>
          <t>203042</t>
        </is>
      </c>
      <c r="B2791" s="2"/>
      <c r="C2791"/>
      <c r="D2791" s="3">
        <v>46121.58146990741</v>
      </c>
      <c r="E2791" t="inlineStr">
        <is>
          <t>Q2-W01</t>
        </is>
      </c>
      <c r="F2791" t="inlineStr">
        <is>
          <t>Derek Lim</t>
        </is>
      </c>
      <c r="G2791" t="inlineStr">
        <is>
          <t>Customer</t>
        </is>
      </c>
      <c r="H2791" s="2" t="str">
        <f>=HYPERLINK("https://upbox.ajobthing.my/customer/203042", "https://upbox.ajobthing.my/customer/203042")</f>
        <v>https://upbox.ajobthing.my/customer/203042</v>
      </c>
      <c r="I2791" t="inlineStr">
        <is>
          <t>Pineapple Creative And Marketing Service</t>
        </is>
      </c>
      <c r="J2791" t="inlineStr">
        <is>
          <t>Small Fish</t>
        </is>
      </c>
      <c r="K2791" t="inlineStr">
        <is>
          <t>Derek Lim</t>
        </is>
      </c>
      <c r="L2791" s="4"/>
      <c r="M2791" s="4">
        <v>46121.581655092596</v>
      </c>
      <c r="N2791"/>
      <c r="O2791">
        <v>3888</v>
      </c>
      <c r="P2791" s="4"/>
      <c r="Q2791" s="4">
        <v>46121.51855324074</v>
      </c>
      <c r="R2791"/>
      <c r="S2791">
        <v>0</v>
      </c>
      <c r="T2791" s="4"/>
      <c r="U2791" s="4"/>
      <c r="V2791"/>
      <c r="W2791"/>
      <c r="X2791"/>
      <c r="Y2791" t="inlineStr">
        <is>
          <t>Pending Appointment</t>
        </is>
      </c>
      <c r="Z2791" t="inlineStr">
        <is>
          <t>Hiring Now</t>
        </is>
      </c>
      <c r="AA2791">
        <v>1</v>
      </c>
      <c r="AB2791" t="inlineStr">
        <is>
          <t>No Appointment Made</t>
        </is>
      </c>
      <c r="AC2791"/>
      <c r="AD2791" t="inlineStr">
        <is>
          <t>Customer service - 1, Petaling jaya</t>
        </is>
      </c>
      <c r="AE2791"/>
      <c r="AF2791">
        <v>0</v>
      </c>
      <c r="AG2791" s="4"/>
      <c r="AH2791" s="4"/>
      <c r="AI2791">
        <v>0</v>
      </c>
      <c r="AJ2791">
        <v>1</v>
      </c>
      <c r="AK2791" t="inlineStr">
        <is>
          <t>No, I don't need at all</t>
        </is>
      </c>
      <c r="AL2791">
        <v>0</v>
      </c>
      <c r="AM2791" t="inlineStr">
        <is>
          <t>No, I don't need at all</t>
        </is>
      </c>
      <c r="AN2791"/>
      <c r="AO2791" t="inlineStr">
        <is>
          <t>No, but I want in future</t>
        </is>
      </c>
      <c r="AP2791" t="inlineStr">
        <is>
          <t>Once a year (25%)</t>
        </is>
      </c>
      <c r="AQ2791">
        <v>2</v>
      </c>
      <c r="AR2791" t="inlineStr">
        <is>
          <t>Free Job Portal</t>
        </is>
      </c>
      <c r="AS2791" t="inlineStr">
        <is>
          <t>- Headcount: 1
- Hiring Job Details: 1 customer service (Petaling jaya)
- Hiring Urgency: Hiring Now
- Number of outlets: 1
- Have recruiter team: No, I don't need at all
- Number of recruiter in company: 0
- Have ATS system: No, I don't need at all
- Have career website: No, but I want in future
- Current hiring budget: RM0.00
- Whole year budget: RM0.00
- Whole year number of vacancies: 2
- Hiring frequency: Once a year (25%)
- External job portal: Free Job Portal</t>
        </is>
      </c>
      <c r="AT2791">
        <v>115</v>
      </c>
      <c r="AU2791" t="inlineStr">
        <is>
          <t>1.15</t>
        </is>
      </c>
      <c r="AV2791" t="inlineStr">
        <is>
          <t>15</t>
        </is>
      </c>
      <c r="AW2791" t="inlineStr">
        <is>
          <t>0</t>
        </is>
      </c>
      <c r="AX2791" t="inlineStr">
        <is>
          <t>Not Qualified</t>
        </is>
      </c>
      <c r="AY2791" s="4"/>
      <c r="AZ2791"/>
      <c r="BA2791"/>
      <c r="BB2791"/>
      <c r="BC2791" t="inlineStr">
        <is>
          <t>SHE SAY MANAGEMENT DECIDE TO KIV THE HIRING, IF NEED ONLY WILL UPDATE ME AGAIN</t>
        </is>
      </c>
      <c r="BD2791" s="4">
        <v>46134.730219907404</v>
      </c>
      <c r="BE2791" t="inlineStr">
        <is>
          <t>paid</t>
        </is>
      </c>
      <c r="BF2791"/>
      <c r="BG2791" t="inlineStr">
        <is>
          <t>Reschedule</t>
        </is>
      </c>
      <c r="BH2791" t="inlineStr">
        <is>
          <t>Edward Hoo</t>
        </is>
      </c>
      <c r="BI2791" t="inlineStr">
        <is>
          <t>Advertising / Marketing</t>
        </is>
      </c>
      <c r="BJ2791" s="4">
        <v>46144.75418981481</v>
      </c>
      <c r="BK2791" s="4">
        <v>46121.5155787037</v>
      </c>
      <c r="BL2791" t="inlineStr">
        <is>
          <t>0.0</t>
        </is>
      </c>
      <c r="BM2791" t="inlineStr">
        <is>
          <t>0.0</t>
        </is>
      </c>
      <c r="BN2791" t="inlineStr">
        <is>
          <t>View Create Job Page V4</t>
        </is>
      </c>
      <c r="BO2791" s="4">
        <v>46121.5465625</v>
      </c>
      <c r="BP2791">
        <v>166188</v>
      </c>
      <c r="BQ2791">
        <v>121303</v>
      </c>
      <c r="BR2791" t="inlineStr">
        <is>
          <t>Proforma</t>
        </is>
      </c>
      <c r="BS2791" t="inlineStr">
        <is>
          <t>Free Part-Time Job</t>
        </is>
      </c>
      <c r="BT2791"/>
      <c r="BU2791"/>
      <c r="BV2791">
        <v>2721896</v>
      </c>
      <c r="BW2791" t="inlineStr">
        <is>
          <t>Follow Up : Budget Concern</t>
        </is>
      </c>
      <c r="BX2791"/>
      <c r="BY2791"/>
      <c r="BZ2791" s="4"/>
      <c r="CA2791"/>
      <c r="CB2791"/>
      <c r="CC2791" s="4"/>
      <c r="CD2791" t="inlineStr">
        <is>
          <t>20</t>
        </is>
      </c>
      <c r="CE2791" t="inlineStr">
        <is>
          <t>0</t>
        </is>
      </c>
      <c r="CF2791" t="inlineStr">
        <is>
          <t>Q2-W01</t>
        </is>
      </c>
      <c r="CG2791" t="inlineStr">
        <is>
          <t>Q2-W01</t>
        </is>
      </c>
      <c r="CH2791"/>
      <c r="CI2791"/>
      <c r="CJ2791" t="inlineStr">
        <is>
          <t>No Paid</t>
        </is>
      </c>
      <c r="CK2791" t="inlineStr">
        <is>
          <t>Not Eligible</t>
        </is>
      </c>
      <c r="CL2791"/>
      <c r="CM2791"/>
    </row>
    <row r="2792" ht="25.5" customHeight="1">
      <c r="A2792" t="inlineStr">
        <is>
          <t>191632</t>
        </is>
      </c>
      <c r="B2792" s="2"/>
      <c r="C2792"/>
      <c r="D2792" s="3">
        <v>46121.587164351855</v>
      </c>
      <c r="E2792" t="inlineStr">
        <is>
          <t>Q2-W01</t>
        </is>
      </c>
      <c r="F2792" t="inlineStr">
        <is>
          <t>Janice Yap</t>
        </is>
      </c>
      <c r="G2792" t="inlineStr">
        <is>
          <t>Customer</t>
        </is>
      </c>
      <c r="H2792" s="2" t="str">
        <f>=HYPERLINK("https://upbox.ajobthing.my/customer/191632", "https://upbox.ajobthing.my/customer/191632")</f>
        <v>https://upbox.ajobthing.my/customer/191632</v>
      </c>
      <c r="I2792" t="inlineStr">
        <is>
          <t>Star Ultimate Network</t>
        </is>
      </c>
      <c r="J2792" t="inlineStr">
        <is>
          <t>Small Fish</t>
        </is>
      </c>
      <c r="K2792" t="inlineStr">
        <is>
          <t>Janice</t>
        </is>
      </c>
      <c r="L2792" s="4"/>
      <c r="M2792" s="4">
        <v>46121.58362268518</v>
      </c>
      <c r="N2792"/>
      <c r="O2792">
        <v>3888</v>
      </c>
      <c r="P2792" s="4"/>
      <c r="Q2792" s="4"/>
      <c r="R2792"/>
      <c r="S2792"/>
      <c r="T2792" s="4"/>
      <c r="U2792" s="4"/>
      <c r="V2792"/>
      <c r="W2792"/>
      <c r="X2792"/>
      <c r="Y2792" t="inlineStr">
        <is>
          <t>Pending Appointment</t>
        </is>
      </c>
      <c r="Z2792" t="inlineStr">
        <is>
          <t>Hiring Now</t>
        </is>
      </c>
      <c r="AA2792">
        <v>1</v>
      </c>
      <c r="AB2792" t="inlineStr">
        <is>
          <t>No Appointment Made</t>
        </is>
      </c>
      <c r="AC2792"/>
      <c r="AD2792" t="inlineStr">
        <is>
          <t>1 marketing</t>
        </is>
      </c>
      <c r="AE2792"/>
      <c r="AF2792">
        <v>0</v>
      </c>
      <c r="AG2792" s="4"/>
      <c r="AH2792" s="4"/>
      <c r="AI2792">
        <v>0</v>
      </c>
      <c r="AJ2792"/>
      <c r="AK2792" t="inlineStr">
        <is>
          <t>No, I don't need at all</t>
        </is>
      </c>
      <c r="AL2792">
        <v>0</v>
      </c>
      <c r="AM2792" t="inlineStr">
        <is>
          <t>No, I don't need at all</t>
        </is>
      </c>
      <c r="AN2792"/>
      <c r="AO2792" t="inlineStr">
        <is>
          <t>No, I don't need at all</t>
        </is>
      </c>
      <c r="AP2792" t="inlineStr">
        <is>
          <t>Once a year (25%)</t>
        </is>
      </c>
      <c r="AQ2792">
        <v>1</v>
      </c>
      <c r="AR2792" t="inlineStr">
        <is>
          <t>Linkedin (Paid)</t>
        </is>
      </c>
      <c r="AS2792" t="inlineStr">
        <is>
          <t>- Headcount: 1
- Hiring Job Details: 1 marketing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Linkedin (Paid)</t>
        </is>
      </c>
      <c r="AT2792">
        <v>115</v>
      </c>
      <c r="AU2792" t="inlineStr">
        <is>
          <t>1.15</t>
        </is>
      </c>
      <c r="AV2792" t="inlineStr">
        <is>
          <t>15</t>
        </is>
      </c>
      <c r="AW2792" t="inlineStr">
        <is>
          <t>0</t>
        </is>
      </c>
      <c r="AX2792" t="inlineStr">
        <is>
          <t>Not Qualified</t>
        </is>
      </c>
      <c r="AY2792" s="4"/>
      <c r="AZ2792"/>
      <c r="BA2792"/>
      <c r="BB2792"/>
      <c r="BC2792" t="inlineStr">
        <is>
          <t>Mentioned no hiring in WA // lost</t>
        </is>
      </c>
      <c r="BD2792" s="4">
        <v>46126.48303240741</v>
      </c>
      <c r="BE2792"/>
      <c r="BF2792"/>
      <c r="BG2792" t="inlineStr">
        <is>
          <t>Reschedule</t>
        </is>
      </c>
      <c r="BH2792" t="inlineStr">
        <is>
          <t>Yee Hang</t>
        </is>
      </c>
      <c r="BI2792" t="inlineStr">
        <is>
          <t>Insurance</t>
        </is>
      </c>
      <c r="BJ2792" s="4">
        <v>46144.752430555556</v>
      </c>
      <c r="BK2792" s="4">
        <v>45799.37415509259</v>
      </c>
      <c r="BL2792" t="inlineStr">
        <is>
          <t>0.0</t>
        </is>
      </c>
      <c r="BM2792" t="inlineStr">
        <is>
          <t>0.0</t>
        </is>
      </c>
      <c r="BN2792" t="inlineStr">
        <is>
          <t>View Company Page</t>
        </is>
      </c>
      <c r="BO2792" s="4">
        <v>45799.408587962964</v>
      </c>
      <c r="BP2792">
        <v>166190</v>
      </c>
      <c r="BQ2792"/>
      <c r="BR2792"/>
      <c r="BS2792"/>
      <c r="BT2792"/>
      <c r="BU2792"/>
      <c r="BV2792">
        <v>2703107</v>
      </c>
      <c r="BW2792" t="inlineStr">
        <is>
          <t>Follow Up : Lost - Free Portal</t>
        </is>
      </c>
      <c r="BX2792"/>
      <c r="BY2792"/>
      <c r="BZ2792" s="4"/>
      <c r="CA2792"/>
      <c r="CB2792"/>
      <c r="CC2792" s="4"/>
      <c r="CD2792" t="inlineStr">
        <is>
          <t>20</t>
        </is>
      </c>
      <c r="CE2792" t="inlineStr">
        <is>
          <t>0</t>
        </is>
      </c>
      <c r="CF2792" t="inlineStr">
        <is>
          <t>Q2-W01</t>
        </is>
      </c>
      <c r="CG2792"/>
      <c r="CH2792"/>
      <c r="CI2792"/>
      <c r="CJ2792" t="inlineStr">
        <is>
          <t>No Paid</t>
        </is>
      </c>
      <c r="CK2792" t="inlineStr">
        <is>
          <t>Not Eligible</t>
        </is>
      </c>
      <c r="CL2792"/>
      <c r="CM2792"/>
    </row>
    <row r="2793" ht="25.5" customHeight="1">
      <c r="A2793" t="inlineStr">
        <is>
          <t>203041</t>
        </is>
      </c>
      <c r="B2793" s="2"/>
      <c r="C2793"/>
      <c r="D2793" s="3">
        <v>46121.58907407407</v>
      </c>
      <c r="E2793" t="inlineStr">
        <is>
          <t>Q2-W01</t>
        </is>
      </c>
      <c r="F2793" t="inlineStr">
        <is>
          <t>Jia Hui</t>
        </is>
      </c>
      <c r="G2793" t="inlineStr">
        <is>
          <t>Customer</t>
        </is>
      </c>
      <c r="H2793" s="2" t="str">
        <f>=HYPERLINK("https://upbox.ajobthing.my/customer/203041", "https://upbox.ajobthing.my/customer/203041")</f>
        <v>https://upbox.ajobthing.my/customer/203041</v>
      </c>
      <c r="I2793" t="inlineStr">
        <is>
          <t>Sk Osh Management</t>
        </is>
      </c>
      <c r="J2793" t="inlineStr">
        <is>
          <t>Small Fish</t>
        </is>
      </c>
      <c r="K2793" t="inlineStr">
        <is>
          <t>Jia Hui</t>
        </is>
      </c>
      <c r="L2793" s="4"/>
      <c r="M2793" s="4">
        <v>46121.58930555556</v>
      </c>
      <c r="N2793"/>
      <c r="O2793">
        <v>6048</v>
      </c>
      <c r="P2793" s="4"/>
      <c r="Q2793" s="4">
        <v>46121.5066087963</v>
      </c>
      <c r="R2793"/>
      <c r="S2793">
        <v>0</v>
      </c>
      <c r="T2793" s="4"/>
      <c r="U2793" s="4"/>
      <c r="V2793"/>
      <c r="W2793"/>
      <c r="X2793"/>
      <c r="Y2793" t="inlineStr">
        <is>
          <t>Pending Appointment</t>
        </is>
      </c>
      <c r="Z2793" t="inlineStr">
        <is>
          <t>Hiring Now</t>
        </is>
      </c>
      <c r="AA2793">
        <v>3</v>
      </c>
      <c r="AB2793" t="inlineStr">
        <is>
          <t>No Appointment Made</t>
        </is>
      </c>
      <c r="AC2793"/>
      <c r="AD2793" t="inlineStr">
        <is>
          <t>1 safety supervisor, 1 head officer, 1 assistant admin</t>
        </is>
      </c>
      <c r="AE2793"/>
      <c r="AF2793">
        <v>500</v>
      </c>
      <c r="AG2793" s="4"/>
      <c r="AH2793" s="4"/>
      <c r="AI2793"/>
      <c r="AJ2793"/>
      <c r="AK2793" t="inlineStr">
        <is>
          <t>Yes, I have</t>
        </is>
      </c>
      <c r="AL2793"/>
      <c r="AM2793"/>
      <c r="AN2793"/>
      <c r="AO2793"/>
      <c r="AP2793" t="inlineStr">
        <is>
          <t>Once a year (25%)</t>
        </is>
      </c>
      <c r="AQ2793"/>
      <c r="AR2793"/>
      <c r="AS2793" t="inlineStr">
        <is>
          <t>- Headcount: 3
- Hiring Job Details: 1 safety supervisor, 1 head officer, 1 assistant admin
- Hiring Urgency: Hiring Now
- Number of outlets: Not specified
- Have recruiter team: Yes
- Number of recruiter in company: Not specified
- Have ATS system: Not specified
- Have career website: Not specified
- Current hiring budget: RM500.00
- Whole year budget: Not specified
- Whole year number of vacancies: Not specified
- Hiring frequency: Once a year (25%)
- External job portal: Not specified</t>
        </is>
      </c>
      <c r="AT2793">
        <v>95</v>
      </c>
      <c r="AU2793" t="inlineStr">
        <is>
          <t>0.95</t>
        </is>
      </c>
      <c r="AV2793" t="inlineStr">
        <is>
          <t>15</t>
        </is>
      </c>
      <c r="AW2793" t="inlineStr">
        <is>
          <t>0</t>
        </is>
      </c>
      <c r="AX2793" t="inlineStr">
        <is>
          <t>Not Qualified</t>
        </is>
      </c>
      <c r="AY2793" s="4"/>
      <c r="AZ2793"/>
      <c r="BA2793"/>
      <c r="BB2793"/>
      <c r="BC2793" t="inlineStr">
        <is>
          <t>budget concern, prefer for free job portal</t>
        </is>
      </c>
      <c r="BD2793" s="4">
        <v>46126.415358796294</v>
      </c>
      <c r="BE2793" t="inlineStr">
        <is>
          <t>paid</t>
        </is>
      </c>
      <c r="BF2793"/>
      <c r="BG2793" t="inlineStr">
        <is>
          <t>Reschedule</t>
        </is>
      </c>
      <c r="BH2793" t="inlineStr">
        <is>
          <t>Reagen</t>
        </is>
      </c>
      <c r="BI2793"/>
      <c r="BJ2793" s="4">
        <v>46144.75418981481</v>
      </c>
      <c r="BK2793" s="4">
        <v>46121.50634259259</v>
      </c>
      <c r="BL2793" t="inlineStr">
        <is>
          <t>0.0</t>
        </is>
      </c>
      <c r="BM2793" t="inlineStr">
        <is>
          <t>0.0</t>
        </is>
      </c>
      <c r="BN2793" t="inlineStr">
        <is>
          <t>View Company Page</t>
        </is>
      </c>
      <c r="BO2793" s="4">
        <v>46121.517847222225</v>
      </c>
      <c r="BP2793">
        <v>166191</v>
      </c>
      <c r="BQ2793">
        <v>121294</v>
      </c>
      <c r="BR2793" t="inlineStr">
        <is>
          <t>Proforma</t>
        </is>
      </c>
      <c r="BS2793" t="inlineStr">
        <is>
          <t>Free Internship Job</t>
        </is>
      </c>
      <c r="BT2793"/>
      <c r="BU2793"/>
      <c r="BV2793">
        <v>2702515</v>
      </c>
      <c r="BW2793" t="inlineStr">
        <is>
          <t>Follow Up : Budget Concern</t>
        </is>
      </c>
      <c r="BX2793"/>
      <c r="BY2793"/>
      <c r="BZ2793" s="4"/>
      <c r="CA2793"/>
      <c r="CB2793"/>
      <c r="CC2793" s="4"/>
      <c r="CD2793" t="inlineStr">
        <is>
          <t>20</t>
        </is>
      </c>
      <c r="CE2793" t="inlineStr">
        <is>
          <t>0</t>
        </is>
      </c>
      <c r="CF2793" t="inlineStr">
        <is>
          <t>Q2-W01</t>
        </is>
      </c>
      <c r="CG2793" t="inlineStr">
        <is>
          <t>Q2-W01</t>
        </is>
      </c>
      <c r="CH2793"/>
      <c r="CI2793"/>
      <c r="CJ2793" t="inlineStr">
        <is>
          <t>No Paid</t>
        </is>
      </c>
      <c r="CK2793" t="inlineStr">
        <is>
          <t>Not Eligible</t>
        </is>
      </c>
      <c r="CL2793"/>
      <c r="CM2793"/>
    </row>
    <row r="2794" ht="25.5" customHeight="1">
      <c r="A2794" t="inlineStr">
        <is>
          <t>131575</t>
        </is>
      </c>
      <c r="B2794" s="2"/>
      <c r="C2794"/>
      <c r="D2794" s="3">
        <v>46121.591203703705</v>
      </c>
      <c r="E2794" t="inlineStr">
        <is>
          <t>Q2-W01</t>
        </is>
      </c>
      <c r="F2794" t="inlineStr">
        <is>
          <t>Keegan</t>
        </is>
      </c>
      <c r="G2794" t="inlineStr">
        <is>
          <t>Customer</t>
        </is>
      </c>
      <c r="H2794" s="2" t="str">
        <f>=HYPERLINK("https://upbox.ajobthing.my/customer/131575", "https://upbox.ajobthing.my/customer/131575")</f>
        <v>https://upbox.ajobthing.my/customer/131575</v>
      </c>
      <c r="I2794" t="inlineStr">
        <is>
          <t>Edge Petra Marketing Sdn Bhd</t>
        </is>
      </c>
      <c r="J2794" t="inlineStr">
        <is>
          <t>Small Fish</t>
        </is>
      </c>
      <c r="K2794" t="inlineStr">
        <is>
          <t>Keegan</t>
        </is>
      </c>
      <c r="L2794" s="4"/>
      <c r="M2794" s="4">
        <v>46121.59135416667</v>
      </c>
      <c r="N2794"/>
      <c r="O2794">
        <v>6048</v>
      </c>
      <c r="P2794" s="4"/>
      <c r="Q2794" s="4">
        <v>46121.54075231482</v>
      </c>
      <c r="R2794"/>
      <c r="S2794">
        <v>0</v>
      </c>
      <c r="T2794" s="4"/>
      <c r="U2794" s="4"/>
      <c r="V2794"/>
      <c r="W2794"/>
      <c r="X2794"/>
      <c r="Y2794" t="inlineStr">
        <is>
          <t>Pending Appointment</t>
        </is>
      </c>
      <c r="Z2794" t="inlineStr">
        <is>
          <t>Hiring Now</t>
        </is>
      </c>
      <c r="AA2794">
        <v>2</v>
      </c>
      <c r="AB2794" t="inlineStr">
        <is>
          <t>No Appointment Made</t>
        </is>
      </c>
      <c r="AC2794"/>
      <c r="AD2794" t="inlineStr">
        <is>
          <t xml:space="preserve">1. Marketing Executive 
2. Admin </t>
        </is>
      </c>
      <c r="AE2794"/>
      <c r="AF2794"/>
      <c r="AG2794" s="4"/>
      <c r="AH2794" s="4"/>
      <c r="AI2794"/>
      <c r="AJ2794">
        <v>1</v>
      </c>
      <c r="AK2794" t="inlineStr">
        <is>
          <t>No, I don't need at all</t>
        </is>
      </c>
      <c r="AL2794">
        <v>0</v>
      </c>
      <c r="AM2794" t="inlineStr">
        <is>
          <t>No, I don't need at all</t>
        </is>
      </c>
      <c r="AN2794"/>
      <c r="AO2794" t="inlineStr">
        <is>
          <t>No, I don't need at all</t>
        </is>
      </c>
      <c r="AP2794" t="inlineStr">
        <is>
          <t>Once per quarter (75%)</t>
        </is>
      </c>
      <c r="AQ2794"/>
      <c r="AR2794" t="inlineStr">
        <is>
          <t>Did not use any job portal</t>
        </is>
      </c>
      <c r="AS2794" t="inlineStr">
        <is>
          <t>- Headcount: 2
- Hiring Job Details: 1. Marketing Executive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794">
        <v>95</v>
      </c>
      <c r="AU2794" t="inlineStr">
        <is>
          <t>0.95</t>
        </is>
      </c>
      <c r="AV2794" t="inlineStr">
        <is>
          <t>5</t>
        </is>
      </c>
      <c r="AW2794" t="inlineStr">
        <is>
          <t>0</t>
        </is>
      </c>
      <c r="AX2794" t="inlineStr">
        <is>
          <t>Not Qualified</t>
        </is>
      </c>
      <c r="AY2794" s="4"/>
      <c r="AZ2794"/>
      <c r="BA2794"/>
      <c r="BB2794"/>
      <c r="BC2794" t="inlineStr">
        <is>
          <t>- Headcount: 2
- Hiring Job Details: 1. Marketing Executive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BD2794" s="4">
        <v>46121.62503472222</v>
      </c>
      <c r="BE2794" t="inlineStr">
        <is>
          <t>paid</t>
        </is>
      </c>
      <c r="BF2794"/>
      <c r="BG2794" t="inlineStr">
        <is>
          <t>Reschedule</t>
        </is>
      </c>
      <c r="BH2794" t="inlineStr">
        <is>
          <t>Edward Hoo</t>
        </is>
      </c>
      <c r="BI2794" t="inlineStr">
        <is>
          <t>Architecture / Interior Design</t>
        </is>
      </c>
      <c r="BJ2794" s="4">
        <v>46144.75047453704</v>
      </c>
      <c r="BK2794" s="4">
        <v>44140.73327546296</v>
      </c>
      <c r="BL2794" t="inlineStr">
        <is>
          <t>0.0</t>
        </is>
      </c>
      <c r="BM2794" t="inlineStr">
        <is>
          <t>0.0</t>
        </is>
      </c>
      <c r="BN2794" t="inlineStr">
        <is>
          <t>View Create Job Page V4</t>
        </is>
      </c>
      <c r="BO2794" s="4">
        <v>46121.552037037036</v>
      </c>
      <c r="BP2794">
        <v>166193</v>
      </c>
      <c r="BQ2794">
        <v>121315</v>
      </c>
      <c r="BR2794" t="inlineStr">
        <is>
          <t>Proforma</t>
        </is>
      </c>
      <c r="BS2794" t="inlineStr">
        <is>
          <t>Free Part-Time Job</t>
        </is>
      </c>
      <c r="BT2794"/>
      <c r="BU2794"/>
      <c r="BV2794">
        <v>2696195</v>
      </c>
      <c r="BW2794" t="inlineStr">
        <is>
          <t>Customer Inquiry</t>
        </is>
      </c>
      <c r="BX2794"/>
      <c r="BY2794"/>
      <c r="BZ2794" s="4"/>
      <c r="CA2794"/>
      <c r="CB2794"/>
      <c r="CC2794" s="4"/>
      <c r="CD2794" t="inlineStr">
        <is>
          <t>5</t>
        </is>
      </c>
      <c r="CE2794" t="inlineStr">
        <is>
          <t>0</t>
        </is>
      </c>
      <c r="CF2794" t="inlineStr">
        <is>
          <t>Q2-W01</t>
        </is>
      </c>
      <c r="CG2794" t="inlineStr">
        <is>
          <t>Q2-W01</t>
        </is>
      </c>
      <c r="CH2794"/>
      <c r="CI2794"/>
      <c r="CJ2794" t="inlineStr">
        <is>
          <t>No Paid</t>
        </is>
      </c>
      <c r="CK2794" t="inlineStr">
        <is>
          <t>Not Eligible</t>
        </is>
      </c>
      <c r="CL2794"/>
      <c r="CM2794"/>
    </row>
    <row r="2795" ht="25.5" customHeight="1">
      <c r="A2795" t="inlineStr">
        <is>
          <t>182411</t>
        </is>
      </c>
      <c r="B2795" s="2"/>
      <c r="C2795"/>
      <c r="D2795" s="3">
        <v>46121.59583333333</v>
      </c>
      <c r="E2795" t="inlineStr">
        <is>
          <t>Q2-W01</t>
        </is>
      </c>
      <c r="F2795" t="inlineStr">
        <is>
          <t>Josh</t>
        </is>
      </c>
      <c r="G2795" t="inlineStr">
        <is>
          <t>Customer</t>
        </is>
      </c>
      <c r="H2795" s="2" t="str">
        <f>=HYPERLINK("https://upbox.ajobthing.my/customer/182411", "https://upbox.ajobthing.my/customer/182411")</f>
        <v>https://upbox.ajobthing.my/customer/182411</v>
      </c>
      <c r="I2795" t="inlineStr">
        <is>
          <t>Tem Technology S/B</t>
        </is>
      </c>
      <c r="J2795" t="inlineStr">
        <is>
          <t>Small Fish</t>
        </is>
      </c>
      <c r="K2795" t="inlineStr">
        <is>
          <t>Josh</t>
        </is>
      </c>
      <c r="L2795" s="4"/>
      <c r="M2795" s="4">
        <v>46121.5959375</v>
      </c>
      <c r="N2795"/>
      <c r="O2795">
        <v>3888</v>
      </c>
      <c r="P2795" s="4"/>
      <c r="Q2795" s="4"/>
      <c r="R2795"/>
      <c r="S2795"/>
      <c r="T2795" s="4"/>
      <c r="U2795" s="4"/>
      <c r="V2795"/>
      <c r="W2795"/>
      <c r="X2795"/>
      <c r="Y2795" t="inlineStr">
        <is>
          <t>Pending Appointment</t>
        </is>
      </c>
      <c r="Z2795" t="inlineStr">
        <is>
          <t>Hiring Later</t>
        </is>
      </c>
      <c r="AA2795">
        <v>1</v>
      </c>
      <c r="AB2795" t="inlineStr">
        <is>
          <t>No Appointment Made</t>
        </is>
      </c>
      <c r="AC2795"/>
      <c r="AD2795" t="inlineStr">
        <is>
          <t xml:space="preserve">1 Engineer </t>
        </is>
      </c>
      <c r="AE2795"/>
      <c r="AF2795">
        <v>1000</v>
      </c>
      <c r="AG2795" s="4"/>
      <c r="AH2795" s="4"/>
      <c r="AI2795"/>
      <c r="AJ2795"/>
      <c r="AK2795"/>
      <c r="AL2795"/>
      <c r="AM2795"/>
      <c r="AN2795"/>
      <c r="AO2795"/>
      <c r="AP2795" t="inlineStr">
        <is>
          <t>Once a year (25%)</t>
        </is>
      </c>
      <c r="AQ2795"/>
      <c r="AR2795"/>
      <c r="AS2795" t="inlineStr">
        <is>
          <t>- Headcount: 1
- Hiring Job Details: 1 Engineer
- Hiring Urgency: Hiring Later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795">
        <v>75</v>
      </c>
      <c r="AU2795" t="inlineStr">
        <is>
          <t>0.75</t>
        </is>
      </c>
      <c r="AV2795" t="inlineStr">
        <is>
          <t>15</t>
        </is>
      </c>
      <c r="AW2795" t="inlineStr">
        <is>
          <t>0</t>
        </is>
      </c>
      <c r="AX2795" t="inlineStr">
        <is>
          <t>Not Qualified</t>
        </is>
      </c>
      <c r="AY2795" s="4"/>
      <c r="AZ2795"/>
      <c r="BA2795"/>
      <c r="BB2795"/>
      <c r="BC2795" t="inlineStr">
        <is>
          <t>- Headcount: 1
- Hiring Job Details: 1 Engineer
- Hiring Urgency: Hiring Later
- Number of outlets: Not available
- Have recruiter team: Not available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BD2795" s="4">
        <v>46121.62503472222</v>
      </c>
      <c r="BE2795"/>
      <c r="BF2795"/>
      <c r="BG2795" t="inlineStr">
        <is>
          <t>Reschedule</t>
        </is>
      </c>
      <c r="BH2795" t="inlineStr">
        <is>
          <t>Fauziah Maharan</t>
        </is>
      </c>
      <c r="BI2795"/>
      <c r="BJ2795" s="4">
        <v>46144.751921296294</v>
      </c>
      <c r="BK2795" s="4">
        <v>45540.48355324074</v>
      </c>
      <c r="BL2795" t="inlineStr">
        <is>
          <t>0.0</t>
        </is>
      </c>
      <c r="BM2795" t="inlineStr">
        <is>
          <t>0.0</t>
        </is>
      </c>
      <c r="BN2795" t="inlineStr">
        <is>
          <t>View Company Page</t>
        </is>
      </c>
      <c r="BO2795" s="4">
        <v>45540.496516203704</v>
      </c>
      <c r="BP2795">
        <v>166198</v>
      </c>
      <c r="BQ2795"/>
      <c r="BR2795"/>
      <c r="BS2795"/>
      <c r="BT2795"/>
      <c r="BU2795"/>
      <c r="BV2795">
        <v>2696197</v>
      </c>
      <c r="BW2795" t="inlineStr">
        <is>
          <t>Customer Inquiry</t>
        </is>
      </c>
      <c r="BX2795"/>
      <c r="BY2795"/>
      <c r="BZ2795" s="4"/>
      <c r="CA2795"/>
      <c r="CB2795"/>
      <c r="CC2795" s="4"/>
      <c r="CD2795" t="inlineStr">
        <is>
          <t>20</t>
        </is>
      </c>
      <c r="CE2795" t="inlineStr">
        <is>
          <t>0</t>
        </is>
      </c>
      <c r="CF2795" t="inlineStr">
        <is>
          <t>Q2-W01</t>
        </is>
      </c>
      <c r="CG2795"/>
      <c r="CH2795"/>
      <c r="CI2795"/>
      <c r="CJ2795" t="inlineStr">
        <is>
          <t>No Paid</t>
        </is>
      </c>
      <c r="CK2795" t="inlineStr">
        <is>
          <t>Not Eligible</t>
        </is>
      </c>
      <c r="CL2795"/>
      <c r="CM2795"/>
    </row>
    <row r="2796" ht="25.5" customHeight="1">
      <c r="A2796" t="inlineStr">
        <is>
          <t>189587</t>
        </is>
      </c>
      <c r="B2796" s="2"/>
      <c r="C2796"/>
      <c r="D2796" s="3">
        <v>46121.596770833334</v>
      </c>
      <c r="E2796" t="inlineStr">
        <is>
          <t>Q2-W01</t>
        </is>
      </c>
      <c r="F2796" t="inlineStr">
        <is>
          <t>Janice Yap</t>
        </is>
      </c>
      <c r="G2796" t="inlineStr">
        <is>
          <t>Customer</t>
        </is>
      </c>
      <c r="H2796" s="2" t="str">
        <f>=HYPERLINK("https://upbox.ajobthing.my/customer/189587", "https://upbox.ajobthing.my/customer/189587")</f>
        <v>https://upbox.ajobthing.my/customer/189587</v>
      </c>
      <c r="I2796" t="inlineStr">
        <is>
          <t>Eduhero</t>
        </is>
      </c>
      <c r="J2796" t="inlineStr">
        <is>
          <t>Small Fish</t>
        </is>
      </c>
      <c r="K2796" t="inlineStr">
        <is>
          <t>Janice</t>
        </is>
      </c>
      <c r="L2796" s="4"/>
      <c r="M2796" s="4">
        <v>46121.59234953704</v>
      </c>
      <c r="N2796"/>
      <c r="O2796">
        <v>3888</v>
      </c>
      <c r="P2796" s="4"/>
      <c r="Q2796" s="4"/>
      <c r="R2796"/>
      <c r="S2796"/>
      <c r="T2796" s="4"/>
      <c r="U2796" s="4"/>
      <c r="V2796"/>
      <c r="W2796"/>
      <c r="X2796"/>
      <c r="Y2796" t="inlineStr">
        <is>
          <t>Pending Appointment</t>
        </is>
      </c>
      <c r="Z2796" t="inlineStr">
        <is>
          <t>Hiring Now</t>
        </is>
      </c>
      <c r="AA2796">
        <v>2</v>
      </c>
      <c r="AB2796" t="inlineStr">
        <is>
          <t>No Appointment Made</t>
        </is>
      </c>
      <c r="AC2796"/>
      <c r="AD2796" t="inlineStr">
        <is>
          <t>2 part time marketing</t>
        </is>
      </c>
      <c r="AE2796"/>
      <c r="AF2796">
        <v>0</v>
      </c>
      <c r="AG2796" s="4"/>
      <c r="AH2796" s="4"/>
      <c r="AI2796">
        <v>0</v>
      </c>
      <c r="AJ2796"/>
      <c r="AK2796" t="inlineStr">
        <is>
          <t>No, I don't need at all</t>
        </is>
      </c>
      <c r="AL2796">
        <v>0</v>
      </c>
      <c r="AM2796" t="inlineStr">
        <is>
          <t>No, I don't need at all</t>
        </is>
      </c>
      <c r="AN2796"/>
      <c r="AO2796" t="inlineStr">
        <is>
          <t>No, I don't need at all</t>
        </is>
      </c>
      <c r="AP2796" t="inlineStr">
        <is>
          <t>Once a year (25%)</t>
        </is>
      </c>
      <c r="AQ2796">
        <v>2</v>
      </c>
      <c r="AR2796" t="inlineStr">
        <is>
          <t>Free Job Portal</t>
        </is>
      </c>
      <c r="AS2796" t="inlineStr">
        <is>
          <t>- Headcount: 2
- Hiring Job Details: 2 part time marketing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2796">
        <v>110</v>
      </c>
      <c r="AU2796" t="inlineStr">
        <is>
          <t>1.10</t>
        </is>
      </c>
      <c r="AV2796" t="inlineStr">
        <is>
          <t>15</t>
        </is>
      </c>
      <c r="AW2796" t="inlineStr">
        <is>
          <t>0</t>
        </is>
      </c>
      <c r="AX2796" t="inlineStr">
        <is>
          <t>Not Qualified</t>
        </is>
      </c>
      <c r="AY2796" s="4"/>
      <c r="AZ2796"/>
      <c r="BA2796"/>
      <c r="BB2796"/>
      <c r="BC2796" t="inlineStr">
        <is>
          <t>No need // used FB ads hiring</t>
        </is>
      </c>
      <c r="BD2796" s="4">
        <v>46134.59030092593</v>
      </c>
      <c r="BE2796"/>
      <c r="BF2796"/>
      <c r="BG2796" t="inlineStr">
        <is>
          <t>Reschedule</t>
        </is>
      </c>
      <c r="BH2796" t="inlineStr">
        <is>
          <t>Yee Hang</t>
        </is>
      </c>
      <c r="BI2796"/>
      <c r="BJ2796" s="4">
        <v>46144.75232638889</v>
      </c>
      <c r="BK2796" s="4">
        <v>45754.388078703705</v>
      </c>
      <c r="BL2796" t="inlineStr">
        <is>
          <t>0.0</t>
        </is>
      </c>
      <c r="BM2796" t="inlineStr">
        <is>
          <t>0.0</t>
        </is>
      </c>
      <c r="BN2796"/>
      <c r="BO2796" s="4"/>
      <c r="BP2796">
        <v>166196</v>
      </c>
      <c r="BQ2796"/>
      <c r="BR2796"/>
      <c r="BS2796"/>
      <c r="BT2796"/>
      <c r="BU2796"/>
      <c r="BV2796">
        <v>2720723</v>
      </c>
      <c r="BW2796" t="inlineStr">
        <is>
          <t>Follow Up : Lost - Free Portal</t>
        </is>
      </c>
      <c r="BX2796"/>
      <c r="BY2796"/>
      <c r="BZ2796" s="4"/>
      <c r="CA2796"/>
      <c r="CB2796"/>
      <c r="CC2796" s="4"/>
      <c r="CD2796" t="inlineStr">
        <is>
          <t>20</t>
        </is>
      </c>
      <c r="CE2796" t="inlineStr">
        <is>
          <t>0</t>
        </is>
      </c>
      <c r="CF2796" t="inlineStr">
        <is>
          <t>Q2-W01</t>
        </is>
      </c>
      <c r="CG2796"/>
      <c r="CH2796"/>
      <c r="CI2796"/>
      <c r="CJ2796" t="inlineStr">
        <is>
          <t>No Paid</t>
        </is>
      </c>
      <c r="CK2796" t="inlineStr">
        <is>
          <t>Not Eligible</t>
        </is>
      </c>
      <c r="CL2796"/>
      <c r="CM2796"/>
    </row>
    <row r="2797" ht="25.5" customHeight="1">
      <c r="A2797" t="inlineStr">
        <is>
          <t>4240251</t>
        </is>
      </c>
      <c r="B2797" s="2"/>
      <c r="C2797"/>
      <c r="D2797" s="3">
        <v>46121.599699074075</v>
      </c>
      <c r="E2797" t="inlineStr">
        <is>
          <t>Q2-W01</t>
        </is>
      </c>
      <c r="F2797" t="inlineStr">
        <is>
          <t>Angel  Low</t>
        </is>
      </c>
      <c r="G2797" t="inlineStr">
        <is>
          <t>Lead</t>
        </is>
      </c>
      <c r="H2797" s="2" t="str">
        <f>=HYPERLINK("https://upbox.ajobthing.my/leads/4240251", "https://upbox.ajobthing.my/leads/4240251")</f>
        <v>https://upbox.ajobthing.my/leads/4240251</v>
      </c>
      <c r="I2797" t="inlineStr">
        <is>
          <t>GT Nelson Realty Sdn Bhd ????</t>
        </is>
      </c>
      <c r="J2797" t="inlineStr">
        <is>
          <t>Small Fish</t>
        </is>
      </c>
      <c r="K2797" t="inlineStr">
        <is>
          <t>Angel Low</t>
        </is>
      </c>
      <c r="L2797" s="4"/>
      <c r="M2797" s="4">
        <v>46121.60273148148</v>
      </c>
      <c r="N2797"/>
      <c r="O2797">
        <v>5508</v>
      </c>
      <c r="P2797" s="4"/>
      <c r="Q2797" s="4"/>
      <c r="R2797"/>
      <c r="S2797"/>
      <c r="T2797" s="4"/>
      <c r="U2797" s="4"/>
      <c r="V2797"/>
      <c r="W2797"/>
      <c r="X2797"/>
      <c r="Y2797" t="inlineStr">
        <is>
          <t>Pending Appointment</t>
        </is>
      </c>
      <c r="Z2797"/>
      <c r="AA2797">
        <v>3</v>
      </c>
      <c r="AB2797" t="inlineStr">
        <is>
          <t>No Appointment Made</t>
        </is>
      </c>
      <c r="AC2797"/>
      <c r="AD2797" t="inlineStr">
        <is>
          <t xml:space="preserve">3 property agent </t>
        </is>
      </c>
      <c r="AE2797"/>
      <c r="AF2797"/>
      <c r="AG2797" s="4"/>
      <c r="AH2797" s="4"/>
      <c r="AI2797"/>
      <c r="AJ2797"/>
      <c r="AK2797"/>
      <c r="AL2797"/>
      <c r="AM2797"/>
      <c r="AN2797"/>
      <c r="AO2797"/>
      <c r="AP2797"/>
      <c r="AQ2797"/>
      <c r="AR2797"/>
      <c r="AS2797" t="inlineStr">
        <is>
          <t>- Headcount: 3
- Hiring Job Details: 3 property agent
- Number of outlets: N/A
- Have recruiter team: N/A
- Number of recruiter in company: N/A
- Have ATS system: N/A
- Have career website: N/A
- Current hiring budget: N/A
- Whole year budget: N/A
- Whole year number of vacancies: N/A
- Hiring frequency: N/A
- External job portal: N/A
- Hiring Urgency: N/A</t>
        </is>
      </c>
      <c r="AT2797">
        <v>60</v>
      </c>
      <c r="AU2797" t="inlineStr">
        <is>
          <t>0.60</t>
        </is>
      </c>
      <c r="AV2797" t="inlineStr">
        <is>
          <t>5</t>
        </is>
      </c>
      <c r="AW2797" t="inlineStr">
        <is>
          <t>0</t>
        </is>
      </c>
      <c r="AX2797" t="inlineStr">
        <is>
          <t>Not Qualified</t>
        </is>
      </c>
      <c r="AY2797" s="4"/>
      <c r="AZ2797"/>
      <c r="BA2797"/>
      <c r="BB2797"/>
      <c r="BC2797"/>
      <c r="BD2797" s="4"/>
      <c r="BE2797"/>
      <c r="BF2797"/>
      <c r="BG2797" t="inlineStr">
        <is>
          <t>Reschedule</t>
        </is>
      </c>
      <c r="BH2797" t="inlineStr">
        <is>
          <t>Fauziah Maharan</t>
        </is>
      </c>
      <c r="BI2797"/>
      <c r="BJ2797" s="4">
        <v>46144.75571759259</v>
      </c>
      <c r="BK2797" s="4">
        <v>46115.74493055556</v>
      </c>
      <c r="BL2797" t="inlineStr">
        <is>
          <t>0.0</t>
        </is>
      </c>
      <c r="BM2797" t="inlineStr">
        <is>
          <t>0.0</t>
        </is>
      </c>
      <c r="BN2797"/>
      <c r="BO2797" s="4"/>
      <c r="BP2797">
        <v>166206</v>
      </c>
      <c r="BQ2797"/>
      <c r="BR2797"/>
      <c r="BS2797"/>
      <c r="BT2797"/>
      <c r="BU2797"/>
      <c r="BV2797"/>
      <c r="BW2797"/>
      <c r="BX2797"/>
      <c r="BY2797"/>
      <c r="BZ2797" s="4"/>
      <c r="CA2797"/>
      <c r="CB2797"/>
      <c r="CC2797" s="4"/>
      <c r="CD2797" t="inlineStr">
        <is>
          <t>5</t>
        </is>
      </c>
      <c r="CE2797" t="inlineStr">
        <is>
          <t>0</t>
        </is>
      </c>
      <c r="CF2797" t="inlineStr">
        <is>
          <t>Q2-W01</t>
        </is>
      </c>
      <c r="CG2797"/>
      <c r="CH2797"/>
      <c r="CI2797"/>
      <c r="CJ2797" t="inlineStr">
        <is>
          <t>No Paid</t>
        </is>
      </c>
      <c r="CK2797" t="inlineStr">
        <is>
          <t>Not Eligible</t>
        </is>
      </c>
      <c r="CL2797"/>
      <c r="CM2797"/>
    </row>
    <row r="2798" ht="25.5" customHeight="1">
      <c r="A2798" t="inlineStr">
        <is>
          <t>182778</t>
        </is>
      </c>
      <c r="B2798" s="2"/>
      <c r="C2798"/>
      <c r="D2798" s="3">
        <v>46121.60637731481</v>
      </c>
      <c r="E2798" t="inlineStr">
        <is>
          <t>Q2-W01</t>
        </is>
      </c>
      <c r="F2798" t="inlineStr">
        <is>
          <t>Alan KY</t>
        </is>
      </c>
      <c r="G2798" t="inlineStr">
        <is>
          <t>Customer</t>
        </is>
      </c>
      <c r="H2798" s="2" t="str">
        <f>=HYPERLINK("https://upbox.ajobthing.my/customer/182778", "https://upbox.ajobthing.my/customer/182778")</f>
        <v>https://upbox.ajobthing.my/customer/182778</v>
      </c>
      <c r="I2798" t="inlineStr">
        <is>
          <t>TEAMKON</t>
        </is>
      </c>
      <c r="J2798" t="inlineStr">
        <is>
          <t>Small Fish</t>
        </is>
      </c>
      <c r="K2798" t="inlineStr">
        <is>
          <t>Alan KY</t>
        </is>
      </c>
      <c r="L2798" s="4"/>
      <c r="M2798" s="4">
        <v>46121.601793981485</v>
      </c>
      <c r="N2798"/>
      <c r="O2798">
        <v>8208</v>
      </c>
      <c r="P2798" s="4"/>
      <c r="Q2798" s="4">
        <v>46121.58583333333</v>
      </c>
      <c r="R2798"/>
      <c r="S2798">
        <v>0</v>
      </c>
      <c r="T2798" s="4"/>
      <c r="U2798" s="4"/>
      <c r="V2798"/>
      <c r="W2798"/>
      <c r="X2798"/>
      <c r="Y2798" t="inlineStr">
        <is>
          <t>Pending Appointment</t>
        </is>
      </c>
      <c r="Z2798" t="inlineStr">
        <is>
          <t>Continuous Hiring</t>
        </is>
      </c>
      <c r="AA2798">
        <v>2</v>
      </c>
      <c r="AB2798" t="inlineStr">
        <is>
          <t>No Appointment Made</t>
        </is>
      </c>
      <c r="AC2798"/>
      <c r="AD2798" t="inlineStr">
        <is>
          <t xml:space="preserve">Engineer , admin, in Kuantan </t>
        </is>
      </c>
      <c r="AE2798"/>
      <c r="AF2798"/>
      <c r="AG2798" s="4"/>
      <c r="AH2798" s="4"/>
      <c r="AI2798"/>
      <c r="AJ2798"/>
      <c r="AK2798" t="inlineStr">
        <is>
          <t>No, I don't need at all</t>
        </is>
      </c>
      <c r="AL2798"/>
      <c r="AM2798" t="inlineStr">
        <is>
          <t>No, I don't need at all</t>
        </is>
      </c>
      <c r="AN2798"/>
      <c r="AO2798" t="inlineStr">
        <is>
          <t>No, I don't need at all</t>
        </is>
      </c>
      <c r="AP2798" t="inlineStr">
        <is>
          <t>Once per quarter (75%)</t>
        </is>
      </c>
      <c r="AQ2798"/>
      <c r="AR2798" t="inlineStr">
        <is>
          <t>Jobstreet, Free Job Portal</t>
        </is>
      </c>
      <c r="AS2798" t="inlineStr">
        <is>
          <t>- Headcount: 2
- Hiring Job Details: Engineer, admin, in Kuantan
- Hiring Urgency: Continuous Hiring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Once per quarter (75%)
- External job portal: Jobstreet, Free Job Portal</t>
        </is>
      </c>
      <c r="AT2798">
        <v>85</v>
      </c>
      <c r="AU2798" t="inlineStr">
        <is>
          <t>0.85</t>
        </is>
      </c>
      <c r="AV2798" t="inlineStr">
        <is>
          <t>5</t>
        </is>
      </c>
      <c r="AW2798" t="inlineStr">
        <is>
          <t>0</t>
        </is>
      </c>
      <c r="AX2798" t="inlineStr">
        <is>
          <t>Not Qualified</t>
        </is>
      </c>
      <c r="AY2798" s="4"/>
      <c r="AZ2798"/>
      <c r="BA2798"/>
      <c r="BB2798"/>
      <c r="BC2798" t="inlineStr">
        <is>
          <t>Pending decision, not free yet</t>
        </is>
      </c>
      <c r="BD2798" s="4">
        <v>46134.63576388889</v>
      </c>
      <c r="BE2798" t="inlineStr">
        <is>
          <t>paid</t>
        </is>
      </c>
      <c r="BF2798"/>
      <c r="BG2798" t="inlineStr">
        <is>
          <t>Reschedule</t>
        </is>
      </c>
      <c r="BH2798" t="inlineStr">
        <is>
          <t>Reagen</t>
        </is>
      </c>
      <c r="BI2798" t="inlineStr">
        <is>
          <t>Engineering / Technical Consulting</t>
        </is>
      </c>
      <c r="BJ2798" s="4">
        <v>46144.75194444445</v>
      </c>
      <c r="BK2798" s="4">
        <v>45552.40592592592</v>
      </c>
      <c r="BL2798" t="inlineStr">
        <is>
          <t>0.0</t>
        </is>
      </c>
      <c r="BM2798" t="inlineStr">
        <is>
          <t>0.0</t>
        </is>
      </c>
      <c r="BN2798" t="inlineStr">
        <is>
          <t>View Company Page</t>
        </is>
      </c>
      <c r="BO2798" s="4">
        <v>45558.56321759259</v>
      </c>
      <c r="BP2798">
        <v>166205</v>
      </c>
      <c r="BQ2798">
        <v>121336</v>
      </c>
      <c r="BR2798" t="inlineStr">
        <is>
          <t>Proforma</t>
        </is>
      </c>
      <c r="BS2798" t="inlineStr">
        <is>
          <t>Free Internship Job</t>
        </is>
      </c>
      <c r="BT2798"/>
      <c r="BU2798"/>
      <c r="BV2798">
        <v>2721044</v>
      </c>
      <c r="BW2798" t="inlineStr">
        <is>
          <t>Follow Up : Decision Pending</t>
        </is>
      </c>
      <c r="BX2798"/>
      <c r="BY2798"/>
      <c r="BZ2798" s="4"/>
      <c r="CA2798"/>
      <c r="CB2798"/>
      <c r="CC2798" s="4"/>
      <c r="CD2798" t="inlineStr">
        <is>
          <t>5</t>
        </is>
      </c>
      <c r="CE2798" t="inlineStr">
        <is>
          <t>0</t>
        </is>
      </c>
      <c r="CF2798" t="inlineStr">
        <is>
          <t>Q2-W01</t>
        </is>
      </c>
      <c r="CG2798" t="inlineStr">
        <is>
          <t>Q2-W01</t>
        </is>
      </c>
      <c r="CH2798"/>
      <c r="CI2798"/>
      <c r="CJ2798" t="inlineStr">
        <is>
          <t>No Paid</t>
        </is>
      </c>
      <c r="CK2798" t="inlineStr">
        <is>
          <t>Not Eligible</t>
        </is>
      </c>
      <c r="CL2798"/>
      <c r="CM2798"/>
    </row>
    <row r="2799" ht="25.5" customHeight="1">
      <c r="A2799" t="inlineStr">
        <is>
          <t>203048</t>
        </is>
      </c>
      <c r="B2799" s="2"/>
      <c r="C2799"/>
      <c r="D2799" s="3">
        <v>46121.60903935185</v>
      </c>
      <c r="E2799" t="inlineStr">
        <is>
          <t>Q2-W01</t>
        </is>
      </c>
      <c r="F2799" t="inlineStr">
        <is>
          <t>Lucas</t>
        </is>
      </c>
      <c r="G2799" t="inlineStr">
        <is>
          <t>Customer</t>
        </is>
      </c>
      <c r="H2799" s="2" t="str">
        <f>=HYPERLINK("https://upbox.ajobthing.my/customer/203048", "https://upbox.ajobthing.my/customer/203048")</f>
        <v>https://upbox.ajobthing.my/customer/203048</v>
      </c>
      <c r="I2799" t="inlineStr">
        <is>
          <t>Teahee Enterprise</t>
        </is>
      </c>
      <c r="J2799" t="inlineStr">
        <is>
          <t>Small Fish</t>
        </is>
      </c>
      <c r="K2799" t="inlineStr">
        <is>
          <t>Lucas</t>
        </is>
      </c>
      <c r="L2799" s="4"/>
      <c r="M2799" s="4">
        <v>46121.60857638889</v>
      </c>
      <c r="N2799"/>
      <c r="O2799">
        <v>3888</v>
      </c>
      <c r="P2799" s="4"/>
      <c r="Q2799" s="4">
        <v>46121.592511574076</v>
      </c>
      <c r="R2799"/>
      <c r="S2799">
        <v>0</v>
      </c>
      <c r="T2799" s="4"/>
      <c r="U2799" s="4"/>
      <c r="V2799"/>
      <c r="W2799"/>
      <c r="X2799"/>
      <c r="Y2799" t="inlineStr">
        <is>
          <t>Pending Appointment</t>
        </is>
      </c>
      <c r="Z2799" t="inlineStr">
        <is>
          <t>Hiring Now</t>
        </is>
      </c>
      <c r="AA2799">
        <v>1</v>
      </c>
      <c r="AB2799" t="inlineStr">
        <is>
          <t>No Appointment Made</t>
        </is>
      </c>
      <c r="AC2799"/>
      <c r="AD2799" t="inlineStr">
        <is>
          <t>1 medical assistance</t>
        </is>
      </c>
      <c r="AE2799"/>
      <c r="AF2799">
        <v>0</v>
      </c>
      <c r="AG2799" s="4"/>
      <c r="AH2799" s="4"/>
      <c r="AI2799">
        <v>0</v>
      </c>
      <c r="AJ2799">
        <v>0</v>
      </c>
      <c r="AK2799" t="inlineStr">
        <is>
          <t>No, I don't need at all</t>
        </is>
      </c>
      <c r="AL2799">
        <v>0</v>
      </c>
      <c r="AM2799" t="inlineStr">
        <is>
          <t>No, I don't need at all</t>
        </is>
      </c>
      <c r="AN2799"/>
      <c r="AO2799" t="inlineStr">
        <is>
          <t>No, I don't need at all</t>
        </is>
      </c>
      <c r="AP2799" t="inlineStr">
        <is>
          <t>Once a year (25%)</t>
        </is>
      </c>
      <c r="AQ2799">
        <v>1</v>
      </c>
      <c r="AR2799" t="inlineStr">
        <is>
          <t>Jobstreet</t>
        </is>
      </c>
      <c r="AS2799" t="inlineStr">
        <is>
          <t>- Headcount: 1
- Hiring Job Details: 1 medical assistance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799">
        <v>110</v>
      </c>
      <c r="AU2799" t="inlineStr">
        <is>
          <t>1.10</t>
        </is>
      </c>
      <c r="AV2799" t="inlineStr">
        <is>
          <t>15</t>
        </is>
      </c>
      <c r="AW2799" t="inlineStr">
        <is>
          <t>0</t>
        </is>
      </c>
      <c r="AX2799" t="inlineStr">
        <is>
          <t>Not Qualified</t>
        </is>
      </c>
      <c r="AY2799" s="4"/>
      <c r="AZ2799"/>
      <c r="BA2799"/>
      <c r="BB2799"/>
      <c r="BC2799" t="inlineStr">
        <is>
          <t>na</t>
        </is>
      </c>
      <c r="BD2799" s="4">
        <v>46129.70361111111</v>
      </c>
      <c r="BE2799" t="inlineStr">
        <is>
          <t>paid</t>
        </is>
      </c>
      <c r="BF2799"/>
      <c r="BG2799" t="inlineStr">
        <is>
          <t>Reschedule</t>
        </is>
      </c>
      <c r="BH2799" t="inlineStr">
        <is>
          <t>Yee Hang</t>
        </is>
      </c>
      <c r="BI2799" t="inlineStr">
        <is>
          <t>Food / Beverage</t>
        </is>
      </c>
      <c r="BJ2799" s="4">
        <v>46144.75418981481</v>
      </c>
      <c r="BK2799" s="4">
        <v>46121.59229166667</v>
      </c>
      <c r="BL2799" t="inlineStr">
        <is>
          <t>0.0</t>
        </is>
      </c>
      <c r="BM2799" t="inlineStr">
        <is>
          <t>0.0</t>
        </is>
      </c>
      <c r="BN2799" t="inlineStr">
        <is>
          <t>View Company Page</t>
        </is>
      </c>
      <c r="BO2799" s="4">
        <v>46121.68136574074</v>
      </c>
      <c r="BP2799">
        <v>166213</v>
      </c>
      <c r="BQ2799">
        <v>121341</v>
      </c>
      <c r="BR2799" t="inlineStr">
        <is>
          <t>Proforma</t>
        </is>
      </c>
      <c r="BS2799" t="inlineStr">
        <is>
          <t>Free Internship Job</t>
        </is>
      </c>
      <c r="BT2799"/>
      <c r="BU2799"/>
      <c r="BV2799">
        <v>2713251</v>
      </c>
      <c r="BW2799" t="inlineStr">
        <is>
          <t>Follow Up : Budget Concern</t>
        </is>
      </c>
      <c r="BX2799"/>
      <c r="BY2799"/>
      <c r="BZ2799" s="4"/>
      <c r="CA2799"/>
      <c r="CB2799"/>
      <c r="CC2799" s="4"/>
      <c r="CD2799" t="inlineStr">
        <is>
          <t>20</t>
        </is>
      </c>
      <c r="CE2799" t="inlineStr">
        <is>
          <t>0</t>
        </is>
      </c>
      <c r="CF2799" t="inlineStr">
        <is>
          <t>Q2-W01</t>
        </is>
      </c>
      <c r="CG2799" t="inlineStr">
        <is>
          <t>Q2-W01</t>
        </is>
      </c>
      <c r="CH2799"/>
      <c r="CI2799"/>
      <c r="CJ2799" t="inlineStr">
        <is>
          <t>No Paid</t>
        </is>
      </c>
      <c r="CK2799" t="inlineStr">
        <is>
          <t>Not Eligible</t>
        </is>
      </c>
      <c r="CL2799"/>
      <c r="CM2799"/>
    </row>
    <row r="2800" ht="25.5" customHeight="1">
      <c r="A2800" t="inlineStr">
        <is>
          <t>202651</t>
        </is>
      </c>
      <c r="B2800" s="2"/>
      <c r="C2800"/>
      <c r="D2800" s="3">
        <v>46121.61363425926</v>
      </c>
      <c r="E2800" t="inlineStr">
        <is>
          <t>Q2-W01</t>
        </is>
      </c>
      <c r="F2800" t="inlineStr">
        <is>
          <t>Keegan</t>
        </is>
      </c>
      <c r="G2800" t="inlineStr">
        <is>
          <t>Customer</t>
        </is>
      </c>
      <c r="H2800" s="2" t="str">
        <f>=HYPERLINK("https://upbox.ajobthing.my/customer/202651", "https://upbox.ajobthing.my/customer/202651")</f>
        <v>https://upbox.ajobthing.my/customer/202651</v>
      </c>
      <c r="I2800" t="inlineStr">
        <is>
          <t xml:space="preserve">Trinity Fortune F&amp;B Sdn. Bhd. </t>
        </is>
      </c>
      <c r="J2800" t="inlineStr">
        <is>
          <t>Small Fish</t>
        </is>
      </c>
      <c r="K2800" t="inlineStr">
        <is>
          <t>Keegan</t>
        </is>
      </c>
      <c r="L2800" s="4"/>
      <c r="M2800" s="4">
        <v>46140.49019675926</v>
      </c>
      <c r="N2800"/>
      <c r="O2800">
        <v>3576.96</v>
      </c>
      <c r="P2800" s="4"/>
      <c r="Q2800" s="4">
        <v>46125.45945601852</v>
      </c>
      <c r="R2800"/>
      <c r="S2800">
        <v>0</v>
      </c>
      <c r="T2800" s="4"/>
      <c r="U2800" s="4"/>
      <c r="V2800"/>
      <c r="W2800"/>
      <c r="X2800"/>
      <c r="Y2800" t="inlineStr">
        <is>
          <t>Pending Appointment</t>
        </is>
      </c>
      <c r="Z2800" t="inlineStr">
        <is>
          <t>Hiring Now</t>
        </is>
      </c>
      <c r="AA2800">
        <v>2</v>
      </c>
      <c r="AB2800" t="inlineStr">
        <is>
          <t>No Appointment Made</t>
        </is>
      </c>
      <c r="AC2800"/>
      <c r="AD2800" t="inlineStr">
        <is>
          <t xml:space="preserve">1. Waiter 
2. Admin </t>
        </is>
      </c>
      <c r="AE2800"/>
      <c r="AF2800"/>
      <c r="AG2800" s="4"/>
      <c r="AH2800" s="4"/>
      <c r="AI2800"/>
      <c r="AJ2800">
        <v>1</v>
      </c>
      <c r="AK2800" t="inlineStr">
        <is>
          <t>No, I don't need at all</t>
        </is>
      </c>
      <c r="AL2800">
        <v>0</v>
      </c>
      <c r="AM2800" t="inlineStr">
        <is>
          <t>No, I don't need at all</t>
        </is>
      </c>
      <c r="AN2800"/>
      <c r="AO2800" t="inlineStr">
        <is>
          <t>No, I don't need at all</t>
        </is>
      </c>
      <c r="AP2800" t="inlineStr">
        <is>
          <t>Once per quarter (75%)</t>
        </is>
      </c>
      <c r="AQ2800"/>
      <c r="AR2800" t="inlineStr">
        <is>
          <t>Did not use any job portal</t>
        </is>
      </c>
      <c r="AS2800" t="inlineStr">
        <is>
          <t>- Headcount: 2
- Hiring Job Details: 1. Waiter 2. Admin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800">
        <v>80</v>
      </c>
      <c r="AU2800" t="inlineStr">
        <is>
          <t>0.80</t>
        </is>
      </c>
      <c r="AV2800" t="inlineStr">
        <is>
          <t>5</t>
        </is>
      </c>
      <c r="AW2800" t="inlineStr">
        <is>
          <t>0</t>
        </is>
      </c>
      <c r="AX2800" t="inlineStr">
        <is>
          <t>Not Qualified</t>
        </is>
      </c>
      <c r="AY2800" s="4"/>
      <c r="AZ2800"/>
      <c r="BA2800"/>
      <c r="BB2800"/>
      <c r="BC2800" t="inlineStr">
        <is>
          <t>Sharing the latest promo</t>
        </is>
      </c>
      <c r="BD2800" s="4">
        <v>46140.49087962963</v>
      </c>
      <c r="BE2800" t="inlineStr">
        <is>
          <t>paid</t>
        </is>
      </c>
      <c r="BF2800"/>
      <c r="BG2800" t="inlineStr">
        <is>
          <t>Reschedule</t>
        </is>
      </c>
      <c r="BH2800" t="inlineStr">
        <is>
          <t>Edward Hoo</t>
        </is>
      </c>
      <c r="BI2800" t="inlineStr">
        <is>
          <t>Food / Beverage</t>
        </is>
      </c>
      <c r="BJ2800" s="4">
        <v>46144.75409722222</v>
      </c>
      <c r="BK2800" s="4">
        <v>46112.91127314815</v>
      </c>
      <c r="BL2800" t="inlineStr">
        <is>
          <t>0.0</t>
        </is>
      </c>
      <c r="BM2800" t="inlineStr">
        <is>
          <t>0.0</t>
        </is>
      </c>
      <c r="BN2800" t="inlineStr">
        <is>
          <t>User Visit(Logged In)</t>
        </is>
      </c>
      <c r="BO2800" s="4">
        <v>46143.40788194445</v>
      </c>
      <c r="BP2800">
        <v>169199</v>
      </c>
      <c r="BQ2800">
        <v>121949</v>
      </c>
      <c r="BR2800" t="inlineStr">
        <is>
          <t>Proforma</t>
        </is>
      </c>
      <c r="BS2800" t="inlineStr">
        <is>
          <t>Free Internship Job</t>
        </is>
      </c>
      <c r="BT2800"/>
      <c r="BU2800"/>
      <c r="BV2800">
        <v>2732245</v>
      </c>
      <c r="BW2800" t="inlineStr">
        <is>
          <t>Inquire for Hiring Needs : Quotation Sent 50%</t>
        </is>
      </c>
      <c r="BX2800"/>
      <c r="BY2800"/>
      <c r="BZ2800" s="4"/>
      <c r="CA2800">
        <v>23</v>
      </c>
      <c r="CB2800">
        <v>23</v>
      </c>
      <c r="CC2800" s="4"/>
      <c r="CD2800" t="inlineStr">
        <is>
          <t>5</t>
        </is>
      </c>
      <c r="CE2800" t="inlineStr">
        <is>
          <t>0</t>
        </is>
      </c>
      <c r="CF2800" t="inlineStr">
        <is>
          <t>Q2-W04</t>
        </is>
      </c>
      <c r="CG2800" t="inlineStr">
        <is>
          <t>Q2-W02</t>
        </is>
      </c>
      <c r="CH2800"/>
      <c r="CI2800"/>
      <c r="CJ2800" t="inlineStr">
        <is>
          <t>No Paid</t>
        </is>
      </c>
      <c r="CK2800" t="inlineStr">
        <is>
          <t>Not Eligible</t>
        </is>
      </c>
      <c r="CL2800"/>
      <c r="CM2800"/>
    </row>
    <row r="2801" ht="25.5" customHeight="1">
      <c r="A2801" t="inlineStr">
        <is>
          <t>180532</t>
        </is>
      </c>
      <c r="B2801" s="2"/>
      <c r="C2801"/>
      <c r="D2801" s="3">
        <v>46121.620520833334</v>
      </c>
      <c r="E2801" t="inlineStr">
        <is>
          <t>Q2-W01</t>
        </is>
      </c>
      <c r="F2801" t="inlineStr">
        <is>
          <t>Josh</t>
        </is>
      </c>
      <c r="G2801" t="inlineStr">
        <is>
          <t>Customer</t>
        </is>
      </c>
      <c r="H2801" s="2" t="str">
        <f>=HYPERLINK("https://upbox.ajobthing.my/customer/180532", "https://upbox.ajobthing.my/customer/180532")</f>
        <v>https://upbox.ajobthing.my/customer/180532</v>
      </c>
      <c r="I2801" t="inlineStr">
        <is>
          <t>Forley &amp; Brothers Sdn Bhd</t>
        </is>
      </c>
      <c r="J2801" t="inlineStr">
        <is>
          <t>Small Fish</t>
        </is>
      </c>
      <c r="K2801" t="inlineStr">
        <is>
          <t>Josh</t>
        </is>
      </c>
      <c r="L2801" s="4"/>
      <c r="M2801" s="4">
        <v>46121.620625</v>
      </c>
      <c r="N2801"/>
      <c r="O2801">
        <v>5832</v>
      </c>
      <c r="P2801" s="4"/>
      <c r="Q2801" s="4">
        <v>45488.63015046297</v>
      </c>
      <c r="R2801"/>
      <c r="S2801">
        <v>2616.84</v>
      </c>
      <c r="T2801" s="4"/>
      <c r="U2801" s="4"/>
      <c r="V2801"/>
      <c r="W2801"/>
      <c r="X2801"/>
      <c r="Y2801" t="inlineStr">
        <is>
          <t>Pending Appointment</t>
        </is>
      </c>
      <c r="Z2801" t="inlineStr">
        <is>
          <t>Hiring Later</t>
        </is>
      </c>
      <c r="AA2801">
        <v>1</v>
      </c>
      <c r="AB2801" t="inlineStr">
        <is>
          <t>No Appointment Made</t>
        </is>
      </c>
      <c r="AC2801"/>
      <c r="AD2801" t="inlineStr">
        <is>
          <t xml:space="preserve">1 Technician </t>
        </is>
      </c>
      <c r="AE2801"/>
      <c r="AF2801">
        <v>1000</v>
      </c>
      <c r="AG2801" s="4"/>
      <c r="AH2801" s="4"/>
      <c r="AI2801"/>
      <c r="AJ2801"/>
      <c r="AK2801"/>
      <c r="AL2801"/>
      <c r="AM2801"/>
      <c r="AN2801"/>
      <c r="AO2801"/>
      <c r="AP2801"/>
      <c r="AQ2801"/>
      <c r="AR2801"/>
      <c r="AS2801" t="inlineStr">
        <is>
          <t>- Headcount: 1
- Hiring Job Details: 1 Technician
- Hiring Urgency: Hiring Later
- Number of outlets: Not provided
- Have recruiter team: Not provided
- Number of recruiter in company: Not provided
- Have ATS system: Not provided
- Have career website: Not provided
- Current hiring budget: RM1,000.00
- Whole year budget: Not provided
- Whole year number of vacancies: Not provided
- Hiring frequency: Not provided
- External job portal: Not provided</t>
        </is>
      </c>
      <c r="AT2801">
        <v>65</v>
      </c>
      <c r="AU2801" t="inlineStr">
        <is>
          <t>0.65</t>
        </is>
      </c>
      <c r="AV2801" t="inlineStr">
        <is>
          <t>15</t>
        </is>
      </c>
      <c r="AW2801" t="inlineStr">
        <is>
          <t>0</t>
        </is>
      </c>
      <c r="AX2801" t="inlineStr">
        <is>
          <t>Not Qualified</t>
        </is>
      </c>
      <c r="AY2801" s="4"/>
      <c r="AZ2801"/>
      <c r="BA2801"/>
      <c r="BB2801"/>
      <c r="BC2801" t="inlineStr">
        <is>
          <t>so far stable, may share current offer</t>
        </is>
      </c>
      <c r="BD2801" s="4">
        <v>46121.628854166665</v>
      </c>
      <c r="BE2801" t="inlineStr">
        <is>
          <t>pending</t>
        </is>
      </c>
      <c r="BF2801"/>
      <c r="BG2801" t="inlineStr">
        <is>
          <t>Reschedule</t>
        </is>
      </c>
      <c r="BH2801" t="inlineStr">
        <is>
          <t>Fauziah Maharan</t>
        </is>
      </c>
      <c r="BI2801"/>
      <c r="BJ2801" s="4">
        <v>46144.75184027778</v>
      </c>
      <c r="BK2801" s="4">
        <v>45488.62263888889</v>
      </c>
      <c r="BL2801" t="inlineStr">
        <is>
          <t>0.0</t>
        </is>
      </c>
      <c r="BM2801" t="inlineStr">
        <is>
          <t>0.0</t>
        </is>
      </c>
      <c r="BN2801" t="inlineStr">
        <is>
          <t>View Company Page</t>
        </is>
      </c>
      <c r="BO2801" s="4">
        <v>45488.749872685185</v>
      </c>
      <c r="BP2801">
        <v>166219</v>
      </c>
      <c r="BQ2801">
        <v>92708</v>
      </c>
      <c r="BR2801" t="inlineStr">
        <is>
          <t>Proforma</t>
        </is>
      </c>
      <c r="BS2801" t="inlineStr">
        <is>
          <t>Yearly Standard Plan</t>
        </is>
      </c>
      <c r="BT2801"/>
      <c r="BU2801"/>
      <c r="BV2801">
        <v>2696228</v>
      </c>
      <c r="BW2801" t="inlineStr">
        <is>
          <t>Inquire for Hiring Needs : Quotation Sent 50%</t>
        </is>
      </c>
      <c r="BX2801"/>
      <c r="BY2801"/>
      <c r="BZ2801" s="4"/>
      <c r="CA2801"/>
      <c r="CB2801"/>
      <c r="CC2801" s="4"/>
      <c r="CD2801" t="inlineStr">
        <is>
          <t>20</t>
        </is>
      </c>
      <c r="CE2801" t="inlineStr">
        <is>
          <t>0</t>
        </is>
      </c>
      <c r="CF2801" t="inlineStr">
        <is>
          <t>Q2-W01</t>
        </is>
      </c>
      <c r="CG2801"/>
      <c r="CH2801"/>
      <c r="CI2801"/>
      <c r="CJ2801" t="inlineStr">
        <is>
          <t>No Paid</t>
        </is>
      </c>
      <c r="CK2801" t="inlineStr">
        <is>
          <t>Not Eligible</t>
        </is>
      </c>
      <c r="CL2801"/>
      <c r="CM2801"/>
    </row>
    <row r="2802" ht="25.5" customHeight="1">
      <c r="A2802" t="inlineStr">
        <is>
          <t>148596</t>
        </is>
      </c>
      <c r="B2802" s="2"/>
      <c r="C2802"/>
      <c r="D2802" s="3">
        <v>46121.62054398148</v>
      </c>
      <c r="E2802" t="inlineStr">
        <is>
          <t>Q2-W01</t>
        </is>
      </c>
      <c r="F2802" t="inlineStr">
        <is>
          <t>Lucas</t>
        </is>
      </c>
      <c r="G2802" t="inlineStr">
        <is>
          <t>Customer</t>
        </is>
      </c>
      <c r="H2802" s="2" t="str">
        <f>=HYPERLINK("https://upbox.ajobthing.my/customer/148596", "https://upbox.ajobthing.my/customer/148596")</f>
        <v>https://upbox.ajobthing.my/customer/148596</v>
      </c>
      <c r="I2802" t="inlineStr">
        <is>
          <t>Sanren Journey Sdn. Bhd.</t>
        </is>
      </c>
      <c r="J2802" t="inlineStr">
        <is>
          <t>Small Fish</t>
        </is>
      </c>
      <c r="K2802" t="inlineStr">
        <is>
          <t>Lucas</t>
        </is>
      </c>
      <c r="L2802" s="4"/>
      <c r="M2802" s="4">
        <v>46121.61959490741</v>
      </c>
      <c r="N2802"/>
      <c r="O2802">
        <v>3888</v>
      </c>
      <c r="P2802" s="4"/>
      <c r="Q2802" s="4">
        <v>44608.983831018515</v>
      </c>
      <c r="R2802"/>
      <c r="S2802">
        <v>477</v>
      </c>
      <c r="T2802" s="4">
        <v>44608.983831018515</v>
      </c>
      <c r="U2802" s="4"/>
      <c r="V2802"/>
      <c r="W2802">
        <v>477</v>
      </c>
      <c r="X2802"/>
      <c r="Y2802" t="inlineStr">
        <is>
          <t>Pending Appointment</t>
        </is>
      </c>
      <c r="Z2802" t="inlineStr">
        <is>
          <t>Hiring Now</t>
        </is>
      </c>
      <c r="AA2802">
        <v>1</v>
      </c>
      <c r="AB2802" t="inlineStr">
        <is>
          <t>No Appointment Made</t>
        </is>
      </c>
      <c r="AC2802"/>
      <c r="AD2802" t="inlineStr">
        <is>
          <t>1 saleman</t>
        </is>
      </c>
      <c r="AE2802"/>
      <c r="AF2802">
        <v>0</v>
      </c>
      <c r="AG2802" s="4"/>
      <c r="AH2802" s="4"/>
      <c r="AI2802">
        <v>0</v>
      </c>
      <c r="AJ2802">
        <v>0</v>
      </c>
      <c r="AK2802" t="inlineStr">
        <is>
          <t>No, I don't need at all</t>
        </is>
      </c>
      <c r="AL2802">
        <v>0</v>
      </c>
      <c r="AM2802" t="inlineStr">
        <is>
          <t>No, I don't need at all</t>
        </is>
      </c>
      <c r="AN2802"/>
      <c r="AO2802" t="inlineStr">
        <is>
          <t>No, I don't need at all</t>
        </is>
      </c>
      <c r="AP2802" t="inlineStr">
        <is>
          <t>Once a year (25%)</t>
        </is>
      </c>
      <c r="AQ2802">
        <v>1</v>
      </c>
      <c r="AR2802" t="inlineStr">
        <is>
          <t>Did not use any job portal</t>
        </is>
      </c>
      <c r="AS2802" t="inlineStr">
        <is>
          <t>- Headcount: 1
- Hiring Job Details: 1 saleman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
- Hiring frequency: Once a year (25%)
- External job portal: Did not use any job portal</t>
        </is>
      </c>
      <c r="AT2802">
        <v>105</v>
      </c>
      <c r="AU2802" t="inlineStr">
        <is>
          <t>1.05</t>
        </is>
      </c>
      <c r="AV2802" t="inlineStr">
        <is>
          <t>15</t>
        </is>
      </c>
      <c r="AW2802" t="inlineStr">
        <is>
          <t>0</t>
        </is>
      </c>
      <c r="AX2802" t="inlineStr">
        <is>
          <t>Not Qualified</t>
        </is>
      </c>
      <c r="AY2802" s="4"/>
      <c r="AZ2802"/>
      <c r="BA2802"/>
      <c r="BB2802"/>
      <c r="BC2802" t="inlineStr">
        <is>
          <t>not interested</t>
        </is>
      </c>
      <c r="BD2802" s="4">
        <v>46127.61138888889</v>
      </c>
      <c r="BE2802" t="inlineStr">
        <is>
          <t>paid</t>
        </is>
      </c>
      <c r="BF2802"/>
      <c r="BG2802" t="inlineStr">
        <is>
          <t>Reschedule</t>
        </is>
      </c>
      <c r="BH2802" t="inlineStr">
        <is>
          <t>Yee Hang</t>
        </is>
      </c>
      <c r="BI2802" t="inlineStr">
        <is>
          <t>Retail / Merchandise</t>
        </is>
      </c>
      <c r="BJ2802" s="4">
        <v>46144.75079861111</v>
      </c>
      <c r="BK2802" s="4">
        <v>44608.974953703706</v>
      </c>
      <c r="BL2802" t="inlineStr">
        <is>
          <t>0.0</t>
        </is>
      </c>
      <c r="BM2802" t="inlineStr">
        <is>
          <t>0.0</t>
        </is>
      </c>
      <c r="BN2802" t="inlineStr">
        <is>
          <t>View Candidate Search Page</t>
        </is>
      </c>
      <c r="BO2802" s="4">
        <v>45670.46076388889</v>
      </c>
      <c r="BP2802">
        <v>166217</v>
      </c>
      <c r="BQ2802">
        <v>40838</v>
      </c>
      <c r="BR2802" t="inlineStr">
        <is>
          <t>Online</t>
        </is>
      </c>
      <c r="BS2802"/>
      <c r="BT2802">
        <v>40838</v>
      </c>
      <c r="BU2802"/>
      <c r="BV2802">
        <v>2706019</v>
      </c>
      <c r="BW2802" t="inlineStr">
        <is>
          <t>Follow Up : Budget Concern</t>
        </is>
      </c>
      <c r="BX2802"/>
      <c r="BY2802"/>
      <c r="BZ2802" s="4"/>
      <c r="CA2802"/>
      <c r="CB2802"/>
      <c r="CC2802" s="4"/>
      <c r="CD2802" t="inlineStr">
        <is>
          <t>20</t>
        </is>
      </c>
      <c r="CE2802" t="inlineStr">
        <is>
          <t>0</t>
        </is>
      </c>
      <c r="CF2802" t="inlineStr">
        <is>
          <t>Q2-W01</t>
        </is>
      </c>
      <c r="CG2802"/>
      <c r="CH2802"/>
      <c r="CI2802"/>
      <c r="CJ2802" t="inlineStr">
        <is>
          <t>Paid</t>
        </is>
      </c>
      <c r="CK2802" t="inlineStr">
        <is>
          <t>Not Eligible</t>
        </is>
      </c>
      <c r="CL2802"/>
      <c r="CM2802"/>
    </row>
    <row r="2803" ht="25.5" customHeight="1">
      <c r="A2803" t="inlineStr">
        <is>
          <t>196749</t>
        </is>
      </c>
      <c r="B2803" s="2"/>
      <c r="C2803"/>
      <c r="D2803" s="3">
        <v>46121.62709490741</v>
      </c>
      <c r="E2803" t="inlineStr">
        <is>
          <t>Q2-W01</t>
        </is>
      </c>
      <c r="F2803" t="inlineStr">
        <is>
          <t>Eugene</t>
        </is>
      </c>
      <c r="G2803" t="inlineStr">
        <is>
          <t>Customer</t>
        </is>
      </c>
      <c r="H2803" s="2" t="str">
        <f>=HYPERLINK("https://upbox.ajobthing.my/customer/196749", "https://upbox.ajobthing.my/customer/196749")</f>
        <v>https://upbox.ajobthing.my/customer/196749</v>
      </c>
      <c r="I2803" t="inlineStr">
        <is>
          <t>Celestial Chemicals (m) Sdn Bhd</t>
        </is>
      </c>
      <c r="J2803" t="inlineStr">
        <is>
          <t>Small Fish</t>
        </is>
      </c>
      <c r="K2803" t="inlineStr">
        <is>
          <t>Eugene</t>
        </is>
      </c>
      <c r="L2803" s="4"/>
      <c r="M2803" s="4">
        <v>46121.6271875</v>
      </c>
      <c r="N2803"/>
      <c r="O2803">
        <v>3888</v>
      </c>
      <c r="P2803" s="4"/>
      <c r="Q2803" s="4">
        <v>46126.515</v>
      </c>
      <c r="R2803"/>
      <c r="S2803">
        <v>1296</v>
      </c>
      <c r="T2803" s="4"/>
      <c r="U2803" s="4"/>
      <c r="V2803"/>
      <c r="W2803"/>
      <c r="X2803"/>
      <c r="Y2803" t="inlineStr">
        <is>
          <t>Pending Appointment</t>
        </is>
      </c>
      <c r="Z2803" t="inlineStr">
        <is>
          <t>Hiring Now</t>
        </is>
      </c>
      <c r="AA2803">
        <v>2</v>
      </c>
      <c r="AB2803" t="inlineStr">
        <is>
          <t>No Appointment Made</t>
        </is>
      </c>
      <c r="AC2803"/>
      <c r="AD2803" t="inlineStr">
        <is>
          <t>1 account, 1 purchaser, based in KL</t>
        </is>
      </c>
      <c r="AE2803"/>
      <c r="AF2803">
        <v>3600</v>
      </c>
      <c r="AG2803" s="4"/>
      <c r="AH2803" s="4"/>
      <c r="AI2803">
        <v>3600</v>
      </c>
      <c r="AJ2803">
        <v>1</v>
      </c>
      <c r="AK2803" t="inlineStr">
        <is>
          <t>No, but I want in future</t>
        </is>
      </c>
      <c r="AL2803">
        <v>1</v>
      </c>
      <c r="AM2803" t="inlineStr">
        <is>
          <t>No, I don't need at all</t>
        </is>
      </c>
      <c r="AN2803"/>
      <c r="AO2803" t="inlineStr">
        <is>
          <t>No, I don't need at all</t>
        </is>
      </c>
      <c r="AP2803" t="inlineStr">
        <is>
          <t>Twice a year (50%)</t>
        </is>
      </c>
      <c r="AQ2803">
        <v>5</v>
      </c>
      <c r="AR2803" t="inlineStr">
        <is>
          <t>Jobstreet</t>
        </is>
      </c>
      <c r="AS2803" t="inlineStr">
        <is>
          <t>- Headcount: 2
- Hiring Job Details: 1 account, 1 purchaser, based in KL
- Hiring Urgency: Hiring Now
- Number of outlets: 1
- Have recruiter team: No, but I want in future
- Number of recruiter in company: 1
- Have ATS system: No, I don't need at all
- Have career website: No, I don't need at all
- Current hiring budget: RM3,600
- Whole year budget: RM3,600.00
- Whole year number of vacancies: 5
- Hiring frequency: Twice a year (50%)
- External job portal: Jobstreet</t>
        </is>
      </c>
      <c r="AT2803">
        <v>115</v>
      </c>
      <c r="AU2803" t="inlineStr">
        <is>
          <t>1.15</t>
        </is>
      </c>
      <c r="AV2803" t="inlineStr">
        <is>
          <t>15</t>
        </is>
      </c>
      <c r="AW2803" t="inlineStr">
        <is>
          <t>0</t>
        </is>
      </c>
      <c r="AX2803" t="inlineStr">
        <is>
          <t>Not Qualified</t>
        </is>
      </c>
      <c r="AY2803" s="4"/>
      <c r="AZ2803"/>
      <c r="BA2803"/>
      <c r="BB2803"/>
      <c r="BC2803" t="inlineStr">
        <is>
          <t>go for js</t>
        </is>
      </c>
      <c r="BD2803" s="4">
        <v>46133.43251157407</v>
      </c>
      <c r="BE2803" t="inlineStr">
        <is>
          <t>pending</t>
        </is>
      </c>
      <c r="BF2803"/>
      <c r="BG2803" t="inlineStr">
        <is>
          <t>Reschedule</t>
        </is>
      </c>
      <c r="BH2803" t="inlineStr">
        <is>
          <t>Edward Hoo</t>
        </is>
      </c>
      <c r="BI2803"/>
      <c r="BJ2803" s="4">
        <v>46144.752858796295</v>
      </c>
      <c r="BK2803" s="4">
        <v>45931.52369212963</v>
      </c>
      <c r="BL2803" t="inlineStr">
        <is>
          <t>0.0</t>
        </is>
      </c>
      <c r="BM2803" t="inlineStr">
        <is>
          <t>0.0</t>
        </is>
      </c>
      <c r="BN2803" t="inlineStr">
        <is>
          <t>View Company Page</t>
        </is>
      </c>
      <c r="BO2803" s="4">
        <v>45932.50577546296</v>
      </c>
      <c r="BP2803">
        <v>166223</v>
      </c>
      <c r="BQ2803">
        <v>122215</v>
      </c>
      <c r="BR2803" t="inlineStr">
        <is>
          <t>Proforma</t>
        </is>
      </c>
      <c r="BS2803" t="inlineStr">
        <is>
          <t>AI Ala Carte (Jan 26) Plus</t>
        </is>
      </c>
      <c r="BT2803"/>
      <c r="BU2803"/>
      <c r="BV2803">
        <v>2717109</v>
      </c>
      <c r="BW2803" t="inlineStr">
        <is>
          <t>Follow Up : Lost - Paid Portal</t>
        </is>
      </c>
      <c r="BX2803"/>
      <c r="BY2803"/>
      <c r="BZ2803" s="4"/>
      <c r="CA2803"/>
      <c r="CB2803"/>
      <c r="CC2803" s="4"/>
      <c r="CD2803" t="inlineStr">
        <is>
          <t>20</t>
        </is>
      </c>
      <c r="CE2803" t="inlineStr">
        <is>
          <t>0</t>
        </is>
      </c>
      <c r="CF2803" t="inlineStr">
        <is>
          <t>Q2-W01</t>
        </is>
      </c>
      <c r="CG2803" t="inlineStr">
        <is>
          <t>Q2-W02</t>
        </is>
      </c>
      <c r="CH2803"/>
      <c r="CI2803"/>
      <c r="CJ2803" t="inlineStr">
        <is>
          <t>No Paid</t>
        </is>
      </c>
      <c r="CK2803" t="inlineStr">
        <is>
          <t>Not Eligible</t>
        </is>
      </c>
      <c r="CL2803"/>
      <c r="CM2803"/>
    </row>
    <row r="2804" ht="25.5" customHeight="1">
      <c r="A2804" t="inlineStr">
        <is>
          <t>116947</t>
        </is>
      </c>
      <c r="B2804" s="2"/>
      <c r="C2804"/>
      <c r="D2804" s="3">
        <v>46121.63631944444</v>
      </c>
      <c r="E2804" t="inlineStr">
        <is>
          <t>Q2-W01</t>
        </is>
      </c>
      <c r="F2804" t="inlineStr">
        <is>
          <t>Lucas</t>
        </is>
      </c>
      <c r="G2804" t="inlineStr">
        <is>
          <t>Customer</t>
        </is>
      </c>
      <c r="H2804" s="2" t="str">
        <f>=HYPERLINK("https://upbox.ajobthing.my/customer/116947", "https://upbox.ajobthing.my/customer/116947")</f>
        <v>https://upbox.ajobthing.my/customer/116947</v>
      </c>
      <c r="I2804" t="inlineStr">
        <is>
          <t xml:space="preserve"> LIVLIF Groupe Solutions</t>
        </is>
      </c>
      <c r="J2804" t="inlineStr">
        <is>
          <t>Small Fish</t>
        </is>
      </c>
      <c r="K2804" t="inlineStr">
        <is>
          <t>Lucas</t>
        </is>
      </c>
      <c r="L2804" s="4"/>
      <c r="M2804" s="4">
        <v>46121.63476851852</v>
      </c>
      <c r="N2804"/>
      <c r="O2804">
        <v>3888</v>
      </c>
      <c r="P2804" s="4"/>
      <c r="Q2804" s="4">
        <v>44897.43313657407</v>
      </c>
      <c r="R2804"/>
      <c r="S2804">
        <v>636</v>
      </c>
      <c r="T2804" s="4">
        <v>44897.43313657407</v>
      </c>
      <c r="U2804" s="4"/>
      <c r="V2804"/>
      <c r="W2804">
        <v>636</v>
      </c>
      <c r="X2804"/>
      <c r="Y2804" t="inlineStr">
        <is>
          <t>Pending Appointment</t>
        </is>
      </c>
      <c r="Z2804" t="inlineStr">
        <is>
          <t>Hiring Now</t>
        </is>
      </c>
      <c r="AA2804">
        <v>1</v>
      </c>
      <c r="AB2804" t="inlineStr">
        <is>
          <t>No Appointment Made</t>
        </is>
      </c>
      <c r="AC2804"/>
      <c r="AD2804" t="inlineStr">
        <is>
          <t xml:space="preserve">1 kitchen helper </t>
        </is>
      </c>
      <c r="AE2804"/>
      <c r="AF2804">
        <v>0</v>
      </c>
      <c r="AG2804" s="4"/>
      <c r="AH2804" s="4"/>
      <c r="AI2804">
        <v>0</v>
      </c>
      <c r="AJ2804">
        <v>0</v>
      </c>
      <c r="AK2804" t="inlineStr">
        <is>
          <t>No, I don't need at all</t>
        </is>
      </c>
      <c r="AL2804">
        <v>0</v>
      </c>
      <c r="AM2804" t="inlineStr">
        <is>
          <t>No, I don't need at all</t>
        </is>
      </c>
      <c r="AN2804"/>
      <c r="AO2804" t="inlineStr">
        <is>
          <t>No, I don't need at all</t>
        </is>
      </c>
      <c r="AP2804" t="inlineStr">
        <is>
          <t>Once a year (25%)</t>
        </is>
      </c>
      <c r="AQ2804">
        <v>1</v>
      </c>
      <c r="AR2804" t="inlineStr">
        <is>
          <t>Jobstreet</t>
        </is>
      </c>
      <c r="AS2804" t="inlineStr">
        <is>
          <t>- Headcount: 1
- Hiring Job Details: 1 kitchen helper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Jobstreet</t>
        </is>
      </c>
      <c r="AT2804">
        <v>105</v>
      </c>
      <c r="AU2804" t="inlineStr">
        <is>
          <t>1.05</t>
        </is>
      </c>
      <c r="AV2804" t="inlineStr">
        <is>
          <t>15</t>
        </is>
      </c>
      <c r="AW2804" t="inlineStr">
        <is>
          <t>0</t>
        </is>
      </c>
      <c r="AX2804" t="inlineStr">
        <is>
          <t>Not Qualified</t>
        </is>
      </c>
      <c r="AY2804" s="4"/>
      <c r="AZ2804"/>
      <c r="BA2804"/>
      <c r="BB2804"/>
      <c r="BC2804" t="inlineStr">
        <is>
          <t>nr, FU1</t>
        </is>
      </c>
      <c r="BD2804" s="4">
        <v>46136.664351851854</v>
      </c>
      <c r="BE2804" t="inlineStr">
        <is>
          <t>paid</t>
        </is>
      </c>
      <c r="BF2804"/>
      <c r="BG2804" t="inlineStr">
        <is>
          <t>Reschedule</t>
        </is>
      </c>
      <c r="BH2804" t="inlineStr">
        <is>
          <t>Yee Hang</t>
        </is>
      </c>
      <c r="BI2804" t="inlineStr">
        <is>
          <t>Food / Beverage</t>
        </is>
      </c>
      <c r="BJ2804" s="4">
        <v>46144.75016203704</v>
      </c>
      <c r="BK2804" s="4">
        <v>43544.77755787037</v>
      </c>
      <c r="BL2804" t="inlineStr">
        <is>
          <t>0.0</t>
        </is>
      </c>
      <c r="BM2804" t="inlineStr">
        <is>
          <t>0.0</t>
        </is>
      </c>
      <c r="BN2804" t="inlineStr">
        <is>
          <t>View Company Page</t>
        </is>
      </c>
      <c r="BO2804" s="4">
        <v>44994.342511574076</v>
      </c>
      <c r="BP2804">
        <v>166225</v>
      </c>
      <c r="BQ2804">
        <v>53221</v>
      </c>
      <c r="BR2804" t="inlineStr">
        <is>
          <t>Online</t>
        </is>
      </c>
      <c r="BS2804"/>
      <c r="BT2804">
        <v>53221</v>
      </c>
      <c r="BU2804"/>
      <c r="BV2804">
        <v>2726939</v>
      </c>
      <c r="BW2804" t="inlineStr">
        <is>
          <t>No Answer : Voicemail - WA sent to customer</t>
        </is>
      </c>
      <c r="BX2804"/>
      <c r="BY2804"/>
      <c r="BZ2804" s="4"/>
      <c r="CA2804"/>
      <c r="CB2804"/>
      <c r="CC2804" s="4"/>
      <c r="CD2804" t="inlineStr">
        <is>
          <t>20</t>
        </is>
      </c>
      <c r="CE2804" t="inlineStr">
        <is>
          <t>0</t>
        </is>
      </c>
      <c r="CF2804" t="inlineStr">
        <is>
          <t>Q2-W01</t>
        </is>
      </c>
      <c r="CG2804"/>
      <c r="CH2804"/>
      <c r="CI2804"/>
      <c r="CJ2804" t="inlineStr">
        <is>
          <t>Paid</t>
        </is>
      </c>
      <c r="CK2804" t="inlineStr">
        <is>
          <t>Not Eligible</t>
        </is>
      </c>
      <c r="CL2804"/>
      <c r="CM2804"/>
    </row>
    <row r="2805" ht="25.5" customHeight="1">
      <c r="A2805" t="inlineStr">
        <is>
          <t>203043</t>
        </is>
      </c>
      <c r="B2805" s="2"/>
      <c r="C2805"/>
      <c r="D2805" s="3">
        <v>46121.64475694444</v>
      </c>
      <c r="E2805" t="inlineStr">
        <is>
          <t>Q2-W01</t>
        </is>
      </c>
      <c r="F2805" t="inlineStr">
        <is>
          <t>Clover</t>
        </is>
      </c>
      <c r="G2805" t="inlineStr">
        <is>
          <t>Customer</t>
        </is>
      </c>
      <c r="H2805" s="2" t="str">
        <f>=HYPERLINK("https://upbox.ajobthing.my/customer/203043", "https://upbox.ajobthing.my/customer/203043")</f>
        <v>https://upbox.ajobthing.my/customer/203043</v>
      </c>
      <c r="I2805" t="inlineStr">
        <is>
          <t>2h Sekawan Services</t>
        </is>
      </c>
      <c r="J2805" t="inlineStr">
        <is>
          <t>Small Fish</t>
        </is>
      </c>
      <c r="K2805" t="inlineStr">
        <is>
          <t>Clover</t>
        </is>
      </c>
      <c r="L2805" s="4"/>
      <c r="M2805" s="4">
        <v>46121.644375</v>
      </c>
      <c r="N2805"/>
      <c r="O2805">
        <v>3888</v>
      </c>
      <c r="P2805" s="4"/>
      <c r="Q2805" s="4"/>
      <c r="R2805"/>
      <c r="S2805"/>
      <c r="T2805" s="4"/>
      <c r="U2805" s="4"/>
      <c r="V2805"/>
      <c r="W2805"/>
      <c r="X2805"/>
      <c r="Y2805" t="inlineStr">
        <is>
          <t>Pending Appointment</t>
        </is>
      </c>
      <c r="Z2805" t="inlineStr">
        <is>
          <t>Hiring Now</t>
        </is>
      </c>
      <c r="AA2805">
        <v>5</v>
      </c>
      <c r="AB2805" t="inlineStr">
        <is>
          <t>No Appointment Made</t>
        </is>
      </c>
      <c r="AC2805"/>
      <c r="AD2805" t="inlineStr">
        <is>
          <t xml:space="preserve">Hire technician 4-5,  all races fresh grads, electric air cond, plumber, driving license,  interior renovation, johor, suggest standard </t>
        </is>
      </c>
      <c r="AE2805"/>
      <c r="AF2805">
        <v>3000</v>
      </c>
      <c r="AG2805" s="4"/>
      <c r="AH2805" s="4"/>
      <c r="AI2805">
        <v>3000</v>
      </c>
      <c r="AJ2805">
        <v>1</v>
      </c>
      <c r="AK2805" t="inlineStr">
        <is>
          <t>No, but I want in future</t>
        </is>
      </c>
      <c r="AL2805">
        <v>1</v>
      </c>
      <c r="AM2805" t="inlineStr">
        <is>
          <t>No, but I want in future</t>
        </is>
      </c>
      <c r="AN2805"/>
      <c r="AO2805" t="inlineStr">
        <is>
          <t>No, but I want in future</t>
        </is>
      </c>
      <c r="AP2805" t="inlineStr">
        <is>
          <t>Once per quarter (75%)</t>
        </is>
      </c>
      <c r="AQ2805">
        <v>5</v>
      </c>
      <c r="AR2805" t="inlineStr">
        <is>
          <t>Did not use any job portal</t>
        </is>
      </c>
      <c r="AS2805" t="inlineStr">
        <is>
          <t>- Headcount: 5
- Hiring Job Details: Hire 4-5 technicians (electric air cond, plumber, interior renovation), all races fresh grads, driving license, Johor, suggest standard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Once per quarter (75%)
- External job portal: Did not use any</t>
        </is>
      </c>
      <c r="AT2805">
        <v>100</v>
      </c>
      <c r="AU2805" t="inlineStr">
        <is>
          <t>1.00</t>
        </is>
      </c>
      <c r="AV2805" t="inlineStr">
        <is>
          <t>20</t>
        </is>
      </c>
      <c r="AW2805" t="inlineStr">
        <is>
          <t>0</t>
        </is>
      </c>
      <c r="AX2805" t="inlineStr">
        <is>
          <t>Not Qualified</t>
        </is>
      </c>
      <c r="AY2805" s="4"/>
      <c r="AZ2805"/>
      <c r="BA2805"/>
      <c r="BB2805"/>
      <c r="BC2805" t="inlineStr">
        <is>
          <t>Bos said on hold, no reason</t>
        </is>
      </c>
      <c r="BD2805" s="4">
        <v>46136.687731481485</v>
      </c>
      <c r="BE2805"/>
      <c r="BF2805"/>
      <c r="BG2805" t="inlineStr">
        <is>
          <t>Reschedule</t>
        </is>
      </c>
      <c r="BH2805" t="inlineStr">
        <is>
          <t>Reagen</t>
        </is>
      </c>
      <c r="BI2805"/>
      <c r="BJ2805" s="4">
        <v>46144.75418981481</v>
      </c>
      <c r="BK2805" s="4">
        <v>46121.53215277778</v>
      </c>
      <c r="BL2805" t="inlineStr">
        <is>
          <t>0.0</t>
        </is>
      </c>
      <c r="BM2805" t="inlineStr">
        <is>
          <t>0.0</t>
        </is>
      </c>
      <c r="BN2805" t="inlineStr">
        <is>
          <t>View Company Page</t>
        </is>
      </c>
      <c r="BO2805" s="4">
        <v>46121.62935185185</v>
      </c>
      <c r="BP2805">
        <v>166238</v>
      </c>
      <c r="BQ2805"/>
      <c r="BR2805"/>
      <c r="BS2805"/>
      <c r="BT2805"/>
      <c r="BU2805"/>
      <c r="BV2805">
        <v>2727067</v>
      </c>
      <c r="BW2805" t="inlineStr">
        <is>
          <t>Follow Up : Lost - Free Portal</t>
        </is>
      </c>
      <c r="BX2805"/>
      <c r="BY2805"/>
      <c r="BZ2805" s="4"/>
      <c r="CA2805"/>
      <c r="CB2805"/>
      <c r="CC2805" s="4"/>
      <c r="CD2805" t="inlineStr">
        <is>
          <t>30</t>
        </is>
      </c>
      <c r="CE2805" t="inlineStr">
        <is>
          <t>0</t>
        </is>
      </c>
      <c r="CF2805" t="inlineStr">
        <is>
          <t>Q2-W01</t>
        </is>
      </c>
      <c r="CG2805"/>
      <c r="CH2805"/>
      <c r="CI2805"/>
      <c r="CJ2805" t="inlineStr">
        <is>
          <t>No Paid</t>
        </is>
      </c>
      <c r="CK2805" t="inlineStr">
        <is>
          <t>Not Eligible</t>
        </is>
      </c>
      <c r="CL2805"/>
      <c r="CM2805"/>
    </row>
    <row r="2806" ht="25.5" customHeight="1">
      <c r="A2806" t="inlineStr">
        <is>
          <t>4264330</t>
        </is>
      </c>
      <c r="B2806" s="2"/>
      <c r="C2806"/>
      <c r="D2806" s="3">
        <v>46121.646689814814</v>
      </c>
      <c r="E2806" t="inlineStr">
        <is>
          <t>Q2-W01</t>
        </is>
      </c>
      <c r="F2806" t="inlineStr">
        <is>
          <t>Janice Yap</t>
        </is>
      </c>
      <c r="G2806" t="inlineStr">
        <is>
          <t>Lead</t>
        </is>
      </c>
      <c r="H2806" s="2" t="str">
        <f>=HYPERLINK("https://upbox.ajobthing.my/leads/4264330", "https://upbox.ajobthing.my/leads/4264330")</f>
        <v>https://upbox.ajobthing.my/leads/4264330</v>
      </c>
      <c r="I2806" t="inlineStr">
        <is>
          <t xml:space="preserve">LUXDERM SDN BHD </t>
        </is>
      </c>
      <c r="J2806" t="inlineStr">
        <is>
          <t>Small Fish</t>
        </is>
      </c>
      <c r="K2806" t="inlineStr">
        <is>
          <t>Janice</t>
        </is>
      </c>
      <c r="L2806" s="4"/>
      <c r="M2806" s="4">
        <v>46121.644525462965</v>
      </c>
      <c r="N2806"/>
      <c r="O2806">
        <v>3888</v>
      </c>
      <c r="P2806" s="4"/>
      <c r="Q2806" s="4"/>
      <c r="R2806"/>
      <c r="S2806"/>
      <c r="T2806" s="4"/>
      <c r="U2806" s="4"/>
      <c r="V2806"/>
      <c r="W2806"/>
      <c r="X2806"/>
      <c r="Y2806" t="inlineStr">
        <is>
          <t>Pending Appointment</t>
        </is>
      </c>
      <c r="Z2806" t="inlineStr">
        <is>
          <t>Hiring Now</t>
        </is>
      </c>
      <c r="AA2806">
        <v>2</v>
      </c>
      <c r="AB2806" t="inlineStr">
        <is>
          <t>No Appointment Made</t>
        </is>
      </c>
      <c r="AC2806"/>
      <c r="AD2806" t="inlineStr">
        <is>
          <t xml:space="preserve">2 beauticians </t>
        </is>
      </c>
      <c r="AE2806"/>
      <c r="AF2806">
        <v>0</v>
      </c>
      <c r="AG2806" s="4"/>
      <c r="AH2806" s="4"/>
      <c r="AI2806">
        <v>0</v>
      </c>
      <c r="AJ2806"/>
      <c r="AK2806" t="inlineStr">
        <is>
          <t>No, I don't need at all</t>
        </is>
      </c>
      <c r="AL2806">
        <v>0</v>
      </c>
      <c r="AM2806" t="inlineStr">
        <is>
          <t>No, I don't need at all</t>
        </is>
      </c>
      <c r="AN2806"/>
      <c r="AO2806" t="inlineStr">
        <is>
          <t>No, I don't need at all</t>
        </is>
      </c>
      <c r="AP2806" t="inlineStr">
        <is>
          <t>Once a year (25%)</t>
        </is>
      </c>
      <c r="AQ2806">
        <v>2</v>
      </c>
      <c r="AR2806" t="inlineStr">
        <is>
          <t>Free Job Portal</t>
        </is>
      </c>
      <c r="AS2806" t="inlineStr">
        <is>
          <t>- Headcount: 2
- Hiring Job Details: 2 beauticians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2
- Hiring frequency: Once a year (25%)
- External job portal: Free Job Portal</t>
        </is>
      </c>
      <c r="AT2806">
        <v>100</v>
      </c>
      <c r="AU2806" t="inlineStr">
        <is>
          <t>1.00</t>
        </is>
      </c>
      <c r="AV2806" t="inlineStr">
        <is>
          <t>15</t>
        </is>
      </c>
      <c r="AW2806" t="inlineStr">
        <is>
          <t>0</t>
        </is>
      </c>
      <c r="AX2806" t="inlineStr">
        <is>
          <t>Not Qualified</t>
        </is>
      </c>
      <c r="AY2806" s="4"/>
      <c r="AZ2806"/>
      <c r="BA2806"/>
      <c r="BB2806"/>
      <c r="BC2806"/>
      <c r="BD2806" s="4"/>
      <c r="BE2806"/>
      <c r="BF2806"/>
      <c r="BG2806" t="inlineStr">
        <is>
          <t>Reschedule</t>
        </is>
      </c>
      <c r="BH2806" t="inlineStr">
        <is>
          <t>Yee Hang</t>
        </is>
      </c>
      <c r="BI2806"/>
      <c r="BJ2806" s="4">
        <v>46144.75578703704</v>
      </c>
      <c r="BK2806" s="4">
        <v>46121.50209490741</v>
      </c>
      <c r="BL2806" t="inlineStr">
        <is>
          <t>0.0</t>
        </is>
      </c>
      <c r="BM2806" t="inlineStr">
        <is>
          <t>300.0</t>
        </is>
      </c>
      <c r="BN2806"/>
      <c r="BO2806" s="4"/>
      <c r="BP2806">
        <v>166240</v>
      </c>
      <c r="BQ2806"/>
      <c r="BR2806"/>
      <c r="BS2806"/>
      <c r="BT2806"/>
      <c r="BU2806"/>
      <c r="BV2806"/>
      <c r="BW2806"/>
      <c r="BX2806"/>
      <c r="BY2806"/>
      <c r="BZ2806" s="4"/>
      <c r="CA2806"/>
      <c r="CB2806"/>
      <c r="CC2806" s="4"/>
      <c r="CD2806" t="inlineStr">
        <is>
          <t>20</t>
        </is>
      </c>
      <c r="CE2806" t="inlineStr">
        <is>
          <t>0</t>
        </is>
      </c>
      <c r="CF2806" t="inlineStr">
        <is>
          <t>Q2-W01</t>
        </is>
      </c>
      <c r="CG2806"/>
      <c r="CH2806"/>
      <c r="CI2806"/>
      <c r="CJ2806" t="inlineStr">
        <is>
          <t>No Paid</t>
        </is>
      </c>
      <c r="CK2806" t="inlineStr">
        <is>
          <t>Not Eligible</t>
        </is>
      </c>
      <c r="CL2806"/>
      <c r="CM2806"/>
    </row>
    <row r="2807" ht="25.5" customHeight="1">
      <c r="A2807" t="inlineStr">
        <is>
          <t>194655</t>
        </is>
      </c>
      <c r="B2807" s="2"/>
      <c r="C2807"/>
      <c r="D2807" s="3">
        <v>46121.65225694444</v>
      </c>
      <c r="E2807" t="inlineStr">
        <is>
          <t>Q2-W01</t>
        </is>
      </c>
      <c r="F2807" t="inlineStr">
        <is>
          <t>Xin Hui</t>
        </is>
      </c>
      <c r="G2807" t="inlineStr">
        <is>
          <t>Customer</t>
        </is>
      </c>
      <c r="H2807" s="2" t="str">
        <f>=HYPERLINK("https://upbox.ajobthing.my/customer/194655", "https://upbox.ajobthing.my/customer/194655")</f>
        <v>https://upbox.ajobthing.my/customer/194655</v>
      </c>
      <c r="I2807" t="inlineStr">
        <is>
          <t>Gas and Aero Power Sdn Bhd</t>
        </is>
      </c>
      <c r="J2807" t="inlineStr">
        <is>
          <t>Small Fish</t>
        </is>
      </c>
      <c r="K2807" t="inlineStr">
        <is>
          <t>Xin Hui</t>
        </is>
      </c>
      <c r="L2807" s="4"/>
      <c r="M2807" s="4">
        <v>46125.44681712963</v>
      </c>
      <c r="N2807"/>
      <c r="O2807">
        <v>1296</v>
      </c>
      <c r="P2807" s="4"/>
      <c r="Q2807" s="4">
        <v>45909.4359837963</v>
      </c>
      <c r="R2807"/>
      <c r="S2807">
        <v>3888</v>
      </c>
      <c r="T2807" s="4"/>
      <c r="U2807" s="4"/>
      <c r="V2807"/>
      <c r="W2807"/>
      <c r="X2807"/>
      <c r="Y2807" t="inlineStr">
        <is>
          <t>Pending Appointment</t>
        </is>
      </c>
      <c r="Z2807" t="inlineStr">
        <is>
          <t>Hiring Now</t>
        </is>
      </c>
      <c r="AA2807">
        <v>1</v>
      </c>
      <c r="AB2807" t="inlineStr">
        <is>
          <t>No Appointment Made</t>
        </is>
      </c>
      <c r="AC2807"/>
      <c r="AD2807" t="inlineStr">
        <is>
          <t>1 Engineer</t>
        </is>
      </c>
      <c r="AE2807"/>
      <c r="AF2807">
        <v>0</v>
      </c>
      <c r="AG2807" s="4"/>
      <c r="AH2807" s="4"/>
      <c r="AI2807">
        <v>0</v>
      </c>
      <c r="AJ2807"/>
      <c r="AK2807" t="inlineStr">
        <is>
          <t>No, I don't need at all</t>
        </is>
      </c>
      <c r="AL2807">
        <v>0</v>
      </c>
      <c r="AM2807" t="inlineStr">
        <is>
          <t>No, I don't need at all</t>
        </is>
      </c>
      <c r="AN2807"/>
      <c r="AO2807" t="inlineStr">
        <is>
          <t>No, I don't need at all</t>
        </is>
      </c>
      <c r="AP2807" t="inlineStr">
        <is>
          <t>Once a year (25%)</t>
        </is>
      </c>
      <c r="AQ2807">
        <v>1</v>
      </c>
      <c r="AR2807" t="inlineStr">
        <is>
          <t>Linkedin (Paid)</t>
        </is>
      </c>
      <c r="AS2807" t="inlineStr">
        <is>
          <t>- Headcount: 1
- Hiring Job Details: 1 Engineer
- Hiring Urgency: Hiring Now
- Number of outlets: None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Linkedin (Paid)</t>
        </is>
      </c>
      <c r="AT2807">
        <v>110</v>
      </c>
      <c r="AU2807" t="inlineStr">
        <is>
          <t>1.10</t>
        </is>
      </c>
      <c r="AV2807" t="inlineStr">
        <is>
          <t>15</t>
        </is>
      </c>
      <c r="AW2807" t="inlineStr">
        <is>
          <t>0</t>
        </is>
      </c>
      <c r="AX2807" t="inlineStr">
        <is>
          <t>Not Qualified</t>
        </is>
      </c>
      <c r="AY2807" s="4"/>
      <c r="AZ2807"/>
      <c r="BA2807"/>
      <c r="BB2807"/>
      <c r="BC2807" t="inlineStr">
        <is>
          <t>need wait after 10days (posting on linkedln now )</t>
        </is>
      </c>
      <c r="BD2807" s="4">
        <v>46134.670949074076</v>
      </c>
      <c r="BE2807" t="inlineStr">
        <is>
          <t>pending</t>
        </is>
      </c>
      <c r="BF2807"/>
      <c r="BG2807" t="inlineStr">
        <is>
          <t>Reschedule</t>
        </is>
      </c>
      <c r="BH2807" t="inlineStr">
        <is>
          <t>Yee Hang</t>
        </is>
      </c>
      <c r="BI2807" t="inlineStr">
        <is>
          <t>Utilities / Power</t>
        </is>
      </c>
      <c r="BJ2807" s="4">
        <v>46144.75271990741</v>
      </c>
      <c r="BK2807" s="4">
        <v>45875.43944444445</v>
      </c>
      <c r="BL2807" t="inlineStr">
        <is>
          <t>0.0</t>
        </is>
      </c>
      <c r="BM2807" t="inlineStr">
        <is>
          <t>0.0</t>
        </is>
      </c>
      <c r="BN2807" t="inlineStr">
        <is>
          <t>View Jobmanager Page</t>
        </is>
      </c>
      <c r="BO2807" s="4">
        <v>45911.78870370371</v>
      </c>
      <c r="BP2807">
        <v>166652</v>
      </c>
      <c r="BQ2807">
        <v>109133</v>
      </c>
      <c r="BR2807" t="inlineStr">
        <is>
          <t>Proforma</t>
        </is>
      </c>
      <c r="BS2807" t="inlineStr">
        <is>
          <t>AI Yearly Standard Plan</t>
        </is>
      </c>
      <c r="BT2807"/>
      <c r="BU2807"/>
      <c r="BV2807">
        <v>2721354</v>
      </c>
      <c r="BW2807" t="inlineStr">
        <is>
          <t>Follow Up : Decision Pending</t>
        </is>
      </c>
      <c r="BX2807"/>
      <c r="BY2807"/>
      <c r="BZ2807" s="4"/>
      <c r="CA2807"/>
      <c r="CB2807"/>
      <c r="CC2807" s="4"/>
      <c r="CD2807" t="inlineStr">
        <is>
          <t>20</t>
        </is>
      </c>
      <c r="CE2807" t="inlineStr">
        <is>
          <t>0</t>
        </is>
      </c>
      <c r="CF2807" t="inlineStr">
        <is>
          <t>Q2-W02</t>
        </is>
      </c>
      <c r="CG2807"/>
      <c r="CH2807"/>
      <c r="CI2807"/>
      <c r="CJ2807" t="inlineStr">
        <is>
          <t>No Paid</t>
        </is>
      </c>
      <c r="CK2807" t="inlineStr">
        <is>
          <t>Not Eligible</t>
        </is>
      </c>
      <c r="CL2807"/>
      <c r="CM2807"/>
    </row>
    <row r="2808" ht="25.5" customHeight="1">
      <c r="A2808" t="inlineStr">
        <is>
          <t>203058</t>
        </is>
      </c>
      <c r="B2808" s="2"/>
      <c r="C2808"/>
      <c r="D2808" s="3">
        <v>46121.65709490741</v>
      </c>
      <c r="E2808" t="inlineStr">
        <is>
          <t>Q2-W01</t>
        </is>
      </c>
      <c r="F2808" t="inlineStr">
        <is>
          <t>Clover</t>
        </is>
      </c>
      <c r="G2808" t="inlineStr">
        <is>
          <t>Customer</t>
        </is>
      </c>
      <c r="H2808" s="2" t="str">
        <f>=HYPERLINK("https://upbox.ajobthing.my/customer/203058", "https://upbox.ajobthing.my/customer/203058")</f>
        <v>https://upbox.ajobthing.my/customer/203058</v>
      </c>
      <c r="I2808" t="inlineStr">
        <is>
          <t>OASIS BEAUTY</t>
        </is>
      </c>
      <c r="J2808" t="inlineStr">
        <is>
          <t>Small Fish</t>
        </is>
      </c>
      <c r="K2808" t="inlineStr">
        <is>
          <t>Clover</t>
        </is>
      </c>
      <c r="L2808" s="4"/>
      <c r="M2808" s="4">
        <v>46121.65751157407</v>
      </c>
      <c r="N2808"/>
      <c r="O2808">
        <v>3888</v>
      </c>
      <c r="P2808" s="4"/>
      <c r="Q2808" s="4"/>
      <c r="R2808"/>
      <c r="S2808"/>
      <c r="T2808" s="4"/>
      <c r="U2808" s="4"/>
      <c r="V2808"/>
      <c r="W2808"/>
      <c r="X2808"/>
      <c r="Y2808" t="inlineStr">
        <is>
          <t>Pending Appointment</t>
        </is>
      </c>
      <c r="Z2808" t="inlineStr">
        <is>
          <t>Hiring Now</t>
        </is>
      </c>
      <c r="AA2808">
        <v>1</v>
      </c>
      <c r="AB2808" t="inlineStr">
        <is>
          <t>No Appointment Made</t>
        </is>
      </c>
      <c r="AC2808"/>
      <c r="AD2808" t="inlineStr">
        <is>
          <t>Pic npu, office 012-272 1393 , beauty shop, beautician x1 malay, min 1 year exp, fresh grads, putra height, lrt transport, Ms Abby,  wa 012-272 1393, suggest stand</t>
        </is>
      </c>
      <c r="AE2808"/>
      <c r="AF2808">
        <v>3000</v>
      </c>
      <c r="AG2808" s="4"/>
      <c r="AH2808" s="4"/>
      <c r="AI2808">
        <v>3000</v>
      </c>
      <c r="AJ2808">
        <v>1</v>
      </c>
      <c r="AK2808" t="inlineStr">
        <is>
          <t>No, but I want in future</t>
        </is>
      </c>
      <c r="AL2808">
        <v>1</v>
      </c>
      <c r="AM2808" t="inlineStr">
        <is>
          <t>No, but I want in future</t>
        </is>
      </c>
      <c r="AN2808"/>
      <c r="AO2808" t="inlineStr">
        <is>
          <t>No, but I want in future</t>
        </is>
      </c>
      <c r="AP2808" t="inlineStr">
        <is>
          <t>Twice a year (50%)</t>
        </is>
      </c>
      <c r="AQ2808">
        <v>2</v>
      </c>
      <c r="AR2808" t="inlineStr">
        <is>
          <t>Did not use any job portal</t>
        </is>
      </c>
      <c r="AS2808" t="inlineStr">
        <is>
          <t>- Headcount: 1
- Hiring Job Details: 1 Malay beautician (Pic npu, office 012-272 1393, beauty shop, min 1 year exp/fresh grads, Putra Height, LRT transport, contact Ms Abby via WA 012-272 1393, suggest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808">
        <v>110</v>
      </c>
      <c r="AU2808" t="inlineStr">
        <is>
          <t>1.10</t>
        </is>
      </c>
      <c r="AV2808" t="inlineStr">
        <is>
          <t>15</t>
        </is>
      </c>
      <c r="AW2808" t="inlineStr">
        <is>
          <t>0</t>
        </is>
      </c>
      <c r="AX2808" t="inlineStr">
        <is>
          <t>Not Qualified</t>
        </is>
      </c>
      <c r="AY2808" s="4"/>
      <c r="AZ2808"/>
      <c r="BA2808"/>
      <c r="BB2808"/>
      <c r="BC2808" t="inlineStr">
        <is>
          <t>WA replied not interested, no reason,  +60 12-272 1393 Ms Alice</t>
        </is>
      </c>
      <c r="BD2808" s="4">
        <v>46136.72561342592</v>
      </c>
      <c r="BE2808"/>
      <c r="BF2808"/>
      <c r="BG2808" t="inlineStr">
        <is>
          <t>Reschedule</t>
        </is>
      </c>
      <c r="BH2808" t="inlineStr">
        <is>
          <t>Reagen</t>
        </is>
      </c>
      <c r="BI2808"/>
      <c r="BJ2808" s="4">
        <v>46144.75418981481</v>
      </c>
      <c r="BK2808" s="4">
        <v>46121.64864583333</v>
      </c>
      <c r="BL2808" t="inlineStr">
        <is>
          <t>0.0</t>
        </is>
      </c>
      <c r="BM2808" t="inlineStr">
        <is>
          <t>0.0</t>
        </is>
      </c>
      <c r="BN2808"/>
      <c r="BO2808" s="4"/>
      <c r="BP2808">
        <v>166250</v>
      </c>
      <c r="BQ2808"/>
      <c r="BR2808"/>
      <c r="BS2808"/>
      <c r="BT2808"/>
      <c r="BU2808"/>
      <c r="BV2808">
        <v>2727335</v>
      </c>
      <c r="BW2808" t="inlineStr">
        <is>
          <t>Follow Up : Lost - Free Portal</t>
        </is>
      </c>
      <c r="BX2808"/>
      <c r="BY2808"/>
      <c r="BZ2808" s="4"/>
      <c r="CA2808"/>
      <c r="CB2808"/>
      <c r="CC2808" s="4"/>
      <c r="CD2808" t="inlineStr">
        <is>
          <t>20</t>
        </is>
      </c>
      <c r="CE2808" t="inlineStr">
        <is>
          <t>0</t>
        </is>
      </c>
      <c r="CF2808" t="inlineStr">
        <is>
          <t>Q2-W01</t>
        </is>
      </c>
      <c r="CG2808"/>
      <c r="CH2808"/>
      <c r="CI2808"/>
      <c r="CJ2808" t="inlineStr">
        <is>
          <t>No Paid</t>
        </is>
      </c>
      <c r="CK2808" t="inlineStr">
        <is>
          <t>Not Eligible</t>
        </is>
      </c>
      <c r="CL2808"/>
      <c r="CM2808"/>
    </row>
    <row r="2809" ht="25.5" customHeight="1">
      <c r="A2809" t="inlineStr">
        <is>
          <t>203058</t>
        </is>
      </c>
      <c r="B2809" s="2"/>
      <c r="C2809"/>
      <c r="D2809" s="3">
        <v>46121.66018518519</v>
      </c>
      <c r="E2809" t="inlineStr">
        <is>
          <t>Q2-W01</t>
        </is>
      </c>
      <c r="F2809" t="inlineStr">
        <is>
          <t>Clover</t>
        </is>
      </c>
      <c r="G2809" t="inlineStr">
        <is>
          <t>Customer</t>
        </is>
      </c>
      <c r="H2809" s="2" t="str">
        <f>=HYPERLINK("https://upbox.ajobthing.my/customer/203058", "https://upbox.ajobthing.my/customer/203058")</f>
        <v>https://upbox.ajobthing.my/customer/203058</v>
      </c>
      <c r="I2809" t="inlineStr">
        <is>
          <t>OASIS BEAUTY</t>
        </is>
      </c>
      <c r="J2809" t="inlineStr">
        <is>
          <t>Small Fish</t>
        </is>
      </c>
      <c r="K2809" t="inlineStr">
        <is>
          <t>Clover</t>
        </is>
      </c>
      <c r="L2809" s="4"/>
      <c r="M2809" s="4">
        <v>46121.65751157407</v>
      </c>
      <c r="N2809"/>
      <c r="O2809">
        <v>3888</v>
      </c>
      <c r="P2809" s="4"/>
      <c r="Q2809" s="4"/>
      <c r="R2809"/>
      <c r="S2809"/>
      <c r="T2809" s="4"/>
      <c r="U2809" s="4"/>
      <c r="V2809"/>
      <c r="W2809"/>
      <c r="X2809"/>
      <c r="Y2809" t="inlineStr">
        <is>
          <t>Pending Appointment</t>
        </is>
      </c>
      <c r="Z2809" t="inlineStr">
        <is>
          <t>Hiring Now</t>
        </is>
      </c>
      <c r="AA2809">
        <v>1</v>
      </c>
      <c r="AB2809" t="inlineStr">
        <is>
          <t>No Appointment Made</t>
        </is>
      </c>
      <c r="AC2809"/>
      <c r="AD2809" t="inlineStr">
        <is>
          <t>Pic npu, office 012-272 1393 , beauty shop, beautician x1 malay, min 1 year exp, fresh grads, putra height, lrt transport, Ms Abby, wa 012-272 1393, suggest stand</t>
        </is>
      </c>
      <c r="AE2809"/>
      <c r="AF2809">
        <v>3000</v>
      </c>
      <c r="AG2809" s="4"/>
      <c r="AH2809" s="4"/>
      <c r="AI2809">
        <v>3000</v>
      </c>
      <c r="AJ2809">
        <v>1</v>
      </c>
      <c r="AK2809" t="inlineStr">
        <is>
          <t>No, but I want in future</t>
        </is>
      </c>
      <c r="AL2809">
        <v>2</v>
      </c>
      <c r="AM2809" t="inlineStr">
        <is>
          <t>No, but I want in future</t>
        </is>
      </c>
      <c r="AN2809"/>
      <c r="AO2809" t="inlineStr">
        <is>
          <t>No, but I want in future</t>
        </is>
      </c>
      <c r="AP2809" t="inlineStr">
        <is>
          <t>Twice a year (50%)</t>
        </is>
      </c>
      <c r="AQ2809">
        <v>2</v>
      </c>
      <c r="AR2809" t="inlineStr">
        <is>
          <t>Did not use any job portal</t>
        </is>
      </c>
      <c r="AS2809" t="inlineStr">
        <is>
          <t>- Headcount: 1
- Hiring Job Details: 1 Malay beautician (Pic npu, office 012-272 1393, beauty shop, min 1 year exp/fresh grads, Putra Height, LRT transport, Ms Abby, WA 012-272 1393, suggest stand)
- Hiring Urgency: Hiring Now
- Number of outlets: 1
- Have recruiter team: No, but want in future
- Number of recruiter in company: 2
- Have ATS system: No, but want in future
- Have career website: No, but want in future
- Current hiring budget: RM3,000
- Whole year budget: RM3,000.00
- Whole year number of vacancies: 2
- Hiring frequency: Twice a year (50%)
- External job portal: Did not use any</t>
        </is>
      </c>
      <c r="AT2809">
        <v>110</v>
      </c>
      <c r="AU2809" t="inlineStr">
        <is>
          <t>1.10</t>
        </is>
      </c>
      <c r="AV2809" t="inlineStr">
        <is>
          <t>15</t>
        </is>
      </c>
      <c r="AW2809" t="inlineStr">
        <is>
          <t>0</t>
        </is>
      </c>
      <c r="AX2809" t="inlineStr">
        <is>
          <t>Not Qualified</t>
        </is>
      </c>
      <c r="AY2809" s="4"/>
      <c r="AZ2809"/>
      <c r="BA2809"/>
      <c r="BB2809"/>
      <c r="BC2809" t="inlineStr">
        <is>
          <t>WA replied not interested, no reason,  +60 12-272 1393 Ms Alice</t>
        </is>
      </c>
      <c r="BD2809" s="4">
        <v>46136.72561342592</v>
      </c>
      <c r="BE2809"/>
      <c r="BF2809"/>
      <c r="BG2809" t="inlineStr">
        <is>
          <t>Reschedule</t>
        </is>
      </c>
      <c r="BH2809" t="inlineStr">
        <is>
          <t>Reagen</t>
        </is>
      </c>
      <c r="BI2809"/>
      <c r="BJ2809" s="4">
        <v>46144.75418981481</v>
      </c>
      <c r="BK2809" s="4">
        <v>46121.64864583333</v>
      </c>
      <c r="BL2809" t="inlineStr">
        <is>
          <t>0.0</t>
        </is>
      </c>
      <c r="BM2809" t="inlineStr">
        <is>
          <t>0.0</t>
        </is>
      </c>
      <c r="BN2809"/>
      <c r="BO2809" s="4"/>
      <c r="BP2809">
        <v>166250</v>
      </c>
      <c r="BQ2809"/>
      <c r="BR2809"/>
      <c r="BS2809"/>
      <c r="BT2809"/>
      <c r="BU2809"/>
      <c r="BV2809">
        <v>2727335</v>
      </c>
      <c r="BW2809" t="inlineStr">
        <is>
          <t>Follow Up : Lost - Free Portal</t>
        </is>
      </c>
      <c r="BX2809"/>
      <c r="BY2809"/>
      <c r="BZ2809" s="4"/>
      <c r="CA2809"/>
      <c r="CB2809"/>
      <c r="CC2809" s="4"/>
      <c r="CD2809" t="inlineStr">
        <is>
          <t>20</t>
        </is>
      </c>
      <c r="CE2809" t="inlineStr">
        <is>
          <t>0</t>
        </is>
      </c>
      <c r="CF2809" t="inlineStr">
        <is>
          <t>Q2-W01</t>
        </is>
      </c>
      <c r="CG2809"/>
      <c r="CH2809"/>
      <c r="CI2809"/>
      <c r="CJ2809" t="inlineStr">
        <is>
          <t>No Paid</t>
        </is>
      </c>
      <c r="CK2809" t="inlineStr">
        <is>
          <t>Not Eligible</t>
        </is>
      </c>
      <c r="CL2809"/>
      <c r="CM2809"/>
    </row>
    <row r="2810" ht="25.5" customHeight="1">
      <c r="A2810" t="inlineStr">
        <is>
          <t>4265225</t>
        </is>
      </c>
      <c r="B2810" s="2"/>
      <c r="C2810"/>
      <c r="D2810" s="3">
        <v>46121.66576388889</v>
      </c>
      <c r="E2810" t="inlineStr">
        <is>
          <t>Q2-W01</t>
        </is>
      </c>
      <c r="F2810" t="inlineStr">
        <is>
          <t>Chia Yee</t>
        </is>
      </c>
      <c r="G2810" t="inlineStr">
        <is>
          <t>Lead</t>
        </is>
      </c>
      <c r="H2810" s="2" t="str">
        <f>=HYPERLINK("https://upbox.ajobthing.my/leads/4265225", "https://upbox.ajobthing.my/leads/4265225")</f>
        <v>https://upbox.ajobthing.my/leads/4265225</v>
      </c>
      <c r="I2810" t="inlineStr">
        <is>
          <t>Taska Nail Uwais</t>
        </is>
      </c>
      <c r="J2810" t="inlineStr">
        <is>
          <t>Small Fish</t>
        </is>
      </c>
      <c r="K2810" t="inlineStr">
        <is>
          <t>Chia Yee</t>
        </is>
      </c>
      <c r="L2810" s="4"/>
      <c r="M2810" s="4">
        <v>46121.66643518519</v>
      </c>
      <c r="N2810"/>
      <c r="O2810">
        <v>1296</v>
      </c>
      <c r="P2810" s="4"/>
      <c r="Q2810" s="4"/>
      <c r="R2810"/>
      <c r="S2810"/>
      <c r="T2810" s="4"/>
      <c r="U2810" s="4"/>
      <c r="V2810"/>
      <c r="W2810"/>
      <c r="X2810"/>
      <c r="Y2810" t="inlineStr">
        <is>
          <t>Pending Appointment</t>
        </is>
      </c>
      <c r="Z2810" t="inlineStr">
        <is>
          <t>Hiring Now</t>
        </is>
      </c>
      <c r="AA2810">
        <v>1</v>
      </c>
      <c r="AB2810" t="inlineStr">
        <is>
          <t>No Appointment Made</t>
        </is>
      </c>
      <c r="AC2810"/>
      <c r="AD2810" t="inlineStr">
        <is>
          <t>1 Teacher</t>
        </is>
      </c>
      <c r="AE2810"/>
      <c r="AF2810">
        <v>0</v>
      </c>
      <c r="AG2810" s="4"/>
      <c r="AH2810" s="4"/>
      <c r="AI2810">
        <v>0</v>
      </c>
      <c r="AJ2810">
        <v>1</v>
      </c>
      <c r="AK2810" t="inlineStr">
        <is>
          <t>No, I don't need at all</t>
        </is>
      </c>
      <c r="AL2810">
        <v>1</v>
      </c>
      <c r="AM2810" t="inlineStr">
        <is>
          <t>No, I don't need at all</t>
        </is>
      </c>
      <c r="AN2810"/>
      <c r="AO2810" t="inlineStr">
        <is>
          <t>No, I don't need at all</t>
        </is>
      </c>
      <c r="AP2810" t="inlineStr">
        <is>
          <t>Once a year (25%)</t>
        </is>
      </c>
      <c r="AQ2810">
        <v>1</v>
      </c>
      <c r="AR2810" t="inlineStr">
        <is>
          <t>Did not use any job portal</t>
        </is>
      </c>
      <c r="AS2810" t="inlineStr">
        <is>
          <t>- Headcount: 1
- Hiring Job Details: 1 Teacher
- Hiring Urgency: Hiring Now
- Number of outlets: 1
- Have recruiter team: No, I don't need at all
- Number of recruiter in company: 1
- Have ATS system: No, I don't need at all
- Have career website: No, I don't need at all
- Current hiring budget: RM0.00
- Whole year budget: RM0.00
- Whole year number of vacancies: 1
- Hiring frequency: Once a year (25%)
- External job portal: Did not use any job portal</t>
        </is>
      </c>
      <c r="AT2810">
        <v>110</v>
      </c>
      <c r="AU2810" t="inlineStr">
        <is>
          <t>1.10</t>
        </is>
      </c>
      <c r="AV2810" t="inlineStr">
        <is>
          <t>15</t>
        </is>
      </c>
      <c r="AW2810" t="inlineStr">
        <is>
          <t>0</t>
        </is>
      </c>
      <c r="AX2810" t="inlineStr">
        <is>
          <t>Not Qualified</t>
        </is>
      </c>
      <c r="AY2810" s="4"/>
      <c r="AZ2810"/>
      <c r="BA2810"/>
      <c r="BB2810"/>
      <c r="BC2810"/>
      <c r="BD2810" s="4"/>
      <c r="BE2810"/>
      <c r="BF2810"/>
      <c r="BG2810" t="inlineStr">
        <is>
          <t>Reschedule</t>
        </is>
      </c>
      <c r="BH2810" t="inlineStr">
        <is>
          <t>Reagen</t>
        </is>
      </c>
      <c r="BI2810"/>
      <c r="BJ2810" s="4">
        <v>46144.75578703704</v>
      </c>
      <c r="BK2810" s="4">
        <v>46121.65636574074</v>
      </c>
      <c r="BL2810" t="inlineStr">
        <is>
          <t>0.0</t>
        </is>
      </c>
      <c r="BM2810" t="inlineStr">
        <is>
          <t>0.0</t>
        </is>
      </c>
      <c r="BN2810"/>
      <c r="BO2810" s="4"/>
      <c r="BP2810">
        <v>166253</v>
      </c>
      <c r="BQ2810"/>
      <c r="BR2810"/>
      <c r="BS2810"/>
      <c r="BT2810"/>
      <c r="BU2810"/>
      <c r="BV2810"/>
      <c r="BW2810"/>
      <c r="BX2810"/>
      <c r="BY2810"/>
      <c r="BZ2810" s="4"/>
      <c r="CA2810"/>
      <c r="CB2810"/>
      <c r="CC2810" s="4"/>
      <c r="CD2810" t="inlineStr">
        <is>
          <t>20</t>
        </is>
      </c>
      <c r="CE2810" t="inlineStr">
        <is>
          <t>0</t>
        </is>
      </c>
      <c r="CF2810" t="inlineStr">
        <is>
          <t>Q2-W01</t>
        </is>
      </c>
      <c r="CG2810"/>
      <c r="CH2810"/>
      <c r="CI2810"/>
      <c r="CJ2810" t="inlineStr">
        <is>
          <t>No Paid</t>
        </is>
      </c>
      <c r="CK2810" t="inlineStr">
        <is>
          <t>Not Eligible</t>
        </is>
      </c>
      <c r="CL2810"/>
      <c r="CM2810"/>
    </row>
    <row r="2811" ht="25.5" customHeight="1">
      <c r="A2811" t="inlineStr">
        <is>
          <t>196700</t>
        </is>
      </c>
      <c r="B2811" s="2"/>
      <c r="C2811"/>
      <c r="D2811" s="3">
        <v>46121.67875</v>
      </c>
      <c r="E2811" t="inlineStr">
        <is>
          <t>Q2-W01</t>
        </is>
      </c>
      <c r="F2811" t="inlineStr">
        <is>
          <t>Clover</t>
        </is>
      </c>
      <c r="G2811" t="inlineStr">
        <is>
          <t>Customer</t>
        </is>
      </c>
      <c r="H2811" s="2" t="str">
        <f>=HYPERLINK("https://upbox.ajobthing.my/customer/196700", "https://upbox.ajobthing.my/customer/196700")</f>
        <v>https://upbox.ajobthing.my/customer/196700</v>
      </c>
      <c r="I2811" t="inlineStr">
        <is>
          <t>RECARAC CONCEPT</t>
        </is>
      </c>
      <c r="J2811" t="inlineStr">
        <is>
          <t>Small Fish</t>
        </is>
      </c>
      <c r="K2811" t="inlineStr">
        <is>
          <t>Clover</t>
        </is>
      </c>
      <c r="L2811" s="4"/>
      <c r="M2811" s="4">
        <v>46121.678981481484</v>
      </c>
      <c r="N2811"/>
      <c r="O2811">
        <v>6048</v>
      </c>
      <c r="P2811" s="4"/>
      <c r="Q2811" s="4">
        <v>46121.54413194444</v>
      </c>
      <c r="R2811"/>
      <c r="S2811">
        <v>0</v>
      </c>
      <c r="T2811" s="4"/>
      <c r="U2811" s="4"/>
      <c r="V2811"/>
      <c r="W2811"/>
      <c r="X2811"/>
      <c r="Y2811" t="inlineStr">
        <is>
          <t>Pending Appointment</t>
        </is>
      </c>
      <c r="Z2811" t="inlineStr">
        <is>
          <t>Hiring Now</t>
        </is>
      </c>
      <c r="AA2811">
        <v>5</v>
      </c>
      <c r="AB2811" t="inlineStr">
        <is>
          <t>No Appointment Made</t>
        </is>
      </c>
      <c r="AC2811"/>
      <c r="AD2811" t="inlineStr">
        <is>
          <t>Post FB, content creator x1, digital marketing  execx1, operator x2-3, cabinet seremban, suggest pro</t>
        </is>
      </c>
      <c r="AE2811"/>
      <c r="AF2811">
        <v>3000</v>
      </c>
      <c r="AG2811" s="4"/>
      <c r="AH2811" s="4"/>
      <c r="AI2811">
        <v>3000</v>
      </c>
      <c r="AJ2811">
        <v>1</v>
      </c>
      <c r="AK2811" t="inlineStr">
        <is>
          <t>No, but I want in future</t>
        </is>
      </c>
      <c r="AL2811">
        <v>1</v>
      </c>
      <c r="AM2811" t="inlineStr">
        <is>
          <t>No, but I want in future</t>
        </is>
      </c>
      <c r="AN2811"/>
      <c r="AO2811" t="inlineStr">
        <is>
          <t>No, but I want in future</t>
        </is>
      </c>
      <c r="AP2811" t="inlineStr">
        <is>
          <t>Twice a year (50%)</t>
        </is>
      </c>
      <c r="AQ2811">
        <v>5</v>
      </c>
      <c r="AR2811" t="inlineStr">
        <is>
          <t>Did not use any job portal</t>
        </is>
      </c>
      <c r="AS2811" t="inlineStr">
        <is>
          <t>- Headcount: 5
- Hiring Job Details: Post FB, content creator x1, digital marketing exec x1, operator x2-3, cabinet seremban, suggest pro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5
- Hiring frequency: Twice a year (50%)
- External job portal: Did not use any</t>
        </is>
      </c>
      <c r="AT2811">
        <v>95</v>
      </c>
      <c r="AU2811" t="inlineStr">
        <is>
          <t>0.95</t>
        </is>
      </c>
      <c r="AV2811" t="inlineStr">
        <is>
          <t>20</t>
        </is>
      </c>
      <c r="AW2811" t="inlineStr">
        <is>
          <t>0</t>
        </is>
      </c>
      <c r="AX2811" t="inlineStr">
        <is>
          <t>Not Qualified</t>
        </is>
      </c>
      <c r="AY2811" s="4"/>
      <c r="AZ2811"/>
      <c r="BA2811"/>
      <c r="BB2811"/>
      <c r="BC2811" t="inlineStr">
        <is>
          <t>Bos on hold, if start hiring will contact, using FB free portal, not urgent</t>
        </is>
      </c>
      <c r="BD2811" s="4">
        <v>46136.69667824074</v>
      </c>
      <c r="BE2811" t="inlineStr">
        <is>
          <t>paid</t>
        </is>
      </c>
      <c r="BF2811"/>
      <c r="BG2811" t="inlineStr">
        <is>
          <t>Reschedule</t>
        </is>
      </c>
      <c r="BH2811" t="inlineStr">
        <is>
          <t>Reagen</t>
        </is>
      </c>
      <c r="BI2811"/>
      <c r="BJ2811" s="4">
        <v>46144.75283564815</v>
      </c>
      <c r="BK2811" s="4">
        <v>45930.493726851855</v>
      </c>
      <c r="BL2811" t="inlineStr">
        <is>
          <t>0.0</t>
        </is>
      </c>
      <c r="BM2811" t="inlineStr">
        <is>
          <t>0.0</t>
        </is>
      </c>
      <c r="BN2811"/>
      <c r="BO2811" s="4"/>
      <c r="BP2811">
        <v>166256</v>
      </c>
      <c r="BQ2811">
        <v>121324</v>
      </c>
      <c r="BR2811" t="inlineStr">
        <is>
          <t>Proforma</t>
        </is>
      </c>
      <c r="BS2811" t="inlineStr">
        <is>
          <t>Free Internship Job</t>
        </is>
      </c>
      <c r="BT2811"/>
      <c r="BU2811"/>
      <c r="BV2811">
        <v>2727120</v>
      </c>
      <c r="BW2811" t="inlineStr">
        <is>
          <t>Follow Up : Lost - Free Portal</t>
        </is>
      </c>
      <c r="BX2811"/>
      <c r="BY2811"/>
      <c r="BZ2811" s="4"/>
      <c r="CA2811"/>
      <c r="CB2811"/>
      <c r="CC2811" s="4"/>
      <c r="CD2811" t="inlineStr">
        <is>
          <t>30</t>
        </is>
      </c>
      <c r="CE2811" t="inlineStr">
        <is>
          <t>0</t>
        </is>
      </c>
      <c r="CF2811" t="inlineStr">
        <is>
          <t>Q2-W01</t>
        </is>
      </c>
      <c r="CG2811" t="inlineStr">
        <is>
          <t>Q2-W01</t>
        </is>
      </c>
      <c r="CH2811"/>
      <c r="CI2811"/>
      <c r="CJ2811" t="inlineStr">
        <is>
          <t>No Paid</t>
        </is>
      </c>
      <c r="CK2811" t="inlineStr">
        <is>
          <t>Not Eligible</t>
        </is>
      </c>
      <c r="CL2811"/>
      <c r="CM2811"/>
    </row>
    <row r="2812" ht="25.5" customHeight="1">
      <c r="A2812" t="inlineStr">
        <is>
          <t>191652</t>
        </is>
      </c>
      <c r="B2812" s="2"/>
      <c r="C2812"/>
      <c r="D2812" s="3">
        <v>46121.681296296294</v>
      </c>
      <c r="E2812" t="inlineStr">
        <is>
          <t>Q2-W01</t>
        </is>
      </c>
      <c r="F2812" t="inlineStr">
        <is>
          <t>Dickson</t>
        </is>
      </c>
      <c r="G2812" t="inlineStr">
        <is>
          <t>Customer</t>
        </is>
      </c>
      <c r="H2812" s="2" t="str">
        <f>=HYPERLINK("https://upbox.ajobthing.my/customer/191652", "https://upbox.ajobthing.my/customer/191652")</f>
        <v>https://upbox.ajobthing.my/customer/191652</v>
      </c>
      <c r="I2812" t="inlineStr">
        <is>
          <t>Homeland Consulting Sdn. Bhd.</t>
        </is>
      </c>
      <c r="J2812" t="inlineStr">
        <is>
          <t>Small Fish</t>
        </is>
      </c>
      <c r="K2812" t="inlineStr">
        <is>
          <t>Dickson</t>
        </is>
      </c>
      <c r="L2812" s="4"/>
      <c r="M2812" s="4">
        <v>46121.681493055556</v>
      </c>
      <c r="N2812"/>
      <c r="O2812">
        <v>6048</v>
      </c>
      <c r="P2812" s="4"/>
      <c r="Q2812" s="4"/>
      <c r="R2812"/>
      <c r="S2812"/>
      <c r="T2812" s="4"/>
      <c r="U2812" s="4"/>
      <c r="V2812"/>
      <c r="W2812"/>
      <c r="X2812"/>
      <c r="Y2812" t="inlineStr">
        <is>
          <t>Pending Appointment</t>
        </is>
      </c>
      <c r="Z2812" t="inlineStr">
        <is>
          <t>Hiring Now</t>
        </is>
      </c>
      <c r="AA2812">
        <v>1</v>
      </c>
      <c r="AB2812" t="inlineStr">
        <is>
          <t>No Appointment Made</t>
        </is>
      </c>
      <c r="AC2812"/>
      <c r="AD2812" t="inlineStr">
        <is>
          <t>1 semi senior account cum admin assistant.</t>
        </is>
      </c>
      <c r="AE2812"/>
      <c r="AF2812"/>
      <c r="AG2812" s="4"/>
      <c r="AH2812" s="4"/>
      <c r="AI2812"/>
      <c r="AJ2812">
        <v>1</v>
      </c>
      <c r="AK2812" t="inlineStr">
        <is>
          <t>No, I don't need at all</t>
        </is>
      </c>
      <c r="AL2812"/>
      <c r="AM2812" t="inlineStr">
        <is>
          <t>No, I don't need at all</t>
        </is>
      </c>
      <c r="AN2812"/>
      <c r="AO2812" t="inlineStr">
        <is>
          <t>No, I don't need at all</t>
        </is>
      </c>
      <c r="AP2812" t="inlineStr">
        <is>
          <t>Once per quarter (75%)</t>
        </is>
      </c>
      <c r="AQ2812"/>
      <c r="AR2812"/>
      <c r="AS2812" t="inlineStr">
        <is>
          <t>- Headcount: 1
- Hiring Job Details: 1 semi senior account cum admin assistant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2812">
        <v>95</v>
      </c>
      <c r="AU2812" t="inlineStr">
        <is>
          <t>0.95</t>
        </is>
      </c>
      <c r="AV2812" t="inlineStr">
        <is>
          <t>5</t>
        </is>
      </c>
      <c r="AW2812" t="inlineStr">
        <is>
          <t>0</t>
        </is>
      </c>
      <c r="AX2812" t="inlineStr">
        <is>
          <t>Not Qualified</t>
        </is>
      </c>
      <c r="AY2812" s="4"/>
      <c r="AZ2812"/>
      <c r="BA2812"/>
      <c r="BB2812"/>
      <c r="BC2812" t="inlineStr">
        <is>
          <t>no time, refuse call</t>
        </is>
      </c>
      <c r="BD2812" s="4">
        <v>46128.66888888889</v>
      </c>
      <c r="BE2812"/>
      <c r="BF2812"/>
      <c r="BG2812" t="inlineStr">
        <is>
          <t>Reschedule</t>
        </is>
      </c>
      <c r="BH2812" t="inlineStr">
        <is>
          <t>Edward Hoo</t>
        </is>
      </c>
      <c r="BI2812" t="inlineStr">
        <is>
          <t>HR Mgmt / Consulting</t>
        </is>
      </c>
      <c r="BJ2812" s="4">
        <v>46144.752430555556</v>
      </c>
      <c r="BK2812" s="4">
        <v>45799.54267361111</v>
      </c>
      <c r="BL2812" t="inlineStr">
        <is>
          <t>0.0</t>
        </is>
      </c>
      <c r="BM2812" t="inlineStr">
        <is>
          <t>0.0</t>
        </is>
      </c>
      <c r="BN2812" t="inlineStr">
        <is>
          <t>View Create Job Page</t>
        </is>
      </c>
      <c r="BO2812" s="4">
        <v>45799.55144675926</v>
      </c>
      <c r="BP2812">
        <v>166260</v>
      </c>
      <c r="BQ2812"/>
      <c r="BR2812"/>
      <c r="BS2812"/>
      <c r="BT2812"/>
      <c r="BU2812"/>
      <c r="BV2812">
        <v>2710024</v>
      </c>
      <c r="BW2812" t="inlineStr">
        <is>
          <t>Follow Up : Lost - Free Portal</t>
        </is>
      </c>
      <c r="BX2812"/>
      <c r="BY2812"/>
      <c r="BZ2812" s="4"/>
      <c r="CA2812"/>
      <c r="CB2812"/>
      <c r="CC2812" s="4"/>
      <c r="CD2812" t="inlineStr">
        <is>
          <t>5</t>
        </is>
      </c>
      <c r="CE2812" t="inlineStr">
        <is>
          <t>0</t>
        </is>
      </c>
      <c r="CF2812" t="inlineStr">
        <is>
          <t>Q2-W01</t>
        </is>
      </c>
      <c r="CG2812"/>
      <c r="CH2812"/>
      <c r="CI2812"/>
      <c r="CJ2812" t="inlineStr">
        <is>
          <t>No Paid</t>
        </is>
      </c>
      <c r="CK2812" t="inlineStr">
        <is>
          <t>Not Eligible</t>
        </is>
      </c>
      <c r="CL2812"/>
      <c r="CM2812"/>
    </row>
    <row r="2813" ht="25.5" customHeight="1">
      <c r="A2813" t="inlineStr">
        <is>
          <t>4084555</t>
        </is>
      </c>
      <c r="B2813" s="2"/>
      <c r="C2813"/>
      <c r="D2813" s="3">
        <v>46121.696493055555</v>
      </c>
      <c r="E2813" t="inlineStr">
        <is>
          <t>Q2-W01</t>
        </is>
      </c>
      <c r="F2813" t="inlineStr">
        <is>
          <t>Janice Yap</t>
        </is>
      </c>
      <c r="G2813" t="inlineStr">
        <is>
          <t>Lead</t>
        </is>
      </c>
      <c r="H2813" s="2" t="str">
        <f>=HYPERLINK("https://upbox.ajobthing.my/leads/4084555", "https://upbox.ajobthing.my/leads/4084555")</f>
        <v>https://upbox.ajobthing.my/leads/4084555</v>
      </c>
      <c r="I2813" t="inlineStr">
        <is>
          <t>PRIMROSE MANUFACTURING SDN. BHD.</t>
        </is>
      </c>
      <c r="J2813" t="inlineStr">
        <is>
          <t>Small Fish</t>
        </is>
      </c>
      <c r="K2813" t="inlineStr">
        <is>
          <t>Janice</t>
        </is>
      </c>
      <c r="L2813" s="4"/>
      <c r="M2813" s="4">
        <v>46121.694386574076</v>
      </c>
      <c r="N2813"/>
      <c r="O2813">
        <v>3888</v>
      </c>
      <c r="P2813" s="4"/>
      <c r="Q2813" s="4"/>
      <c r="R2813"/>
      <c r="S2813"/>
      <c r="T2813" s="4"/>
      <c r="U2813" s="4"/>
      <c r="V2813"/>
      <c r="W2813"/>
      <c r="X2813"/>
      <c r="Y2813" t="inlineStr">
        <is>
          <t>Pending Appointment</t>
        </is>
      </c>
      <c r="Z2813" t="inlineStr">
        <is>
          <t>Hiring Now</t>
        </is>
      </c>
      <c r="AA2813">
        <v>1</v>
      </c>
      <c r="AB2813" t="inlineStr">
        <is>
          <t>No Appointment Made</t>
        </is>
      </c>
      <c r="AC2813"/>
      <c r="AD2813" t="inlineStr">
        <is>
          <t>1 marketing</t>
        </is>
      </c>
      <c r="AE2813"/>
      <c r="AF2813">
        <v>0</v>
      </c>
      <c r="AG2813" s="4"/>
      <c r="AH2813" s="4"/>
      <c r="AI2813">
        <v>0</v>
      </c>
      <c r="AJ2813"/>
      <c r="AK2813" t="inlineStr">
        <is>
          <t>No, I don't need at all</t>
        </is>
      </c>
      <c r="AL2813">
        <v>0</v>
      </c>
      <c r="AM2813" t="inlineStr">
        <is>
          <t>No, I don't need at all</t>
        </is>
      </c>
      <c r="AN2813"/>
      <c r="AO2813" t="inlineStr">
        <is>
          <t>No, I don't need at all</t>
        </is>
      </c>
      <c r="AP2813" t="inlineStr">
        <is>
          <t>Once a year (25%)</t>
        </is>
      </c>
      <c r="AQ2813">
        <v>1</v>
      </c>
      <c r="AR2813" t="inlineStr">
        <is>
          <t>Free Job Portal</t>
        </is>
      </c>
      <c r="AS2813" t="inlineStr">
        <is>
          <t>- Headcount: Not provided
- Hiring Job Details: 1 marketing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2813">
        <v>100</v>
      </c>
      <c r="AU2813" t="inlineStr">
        <is>
          <t>1.00</t>
        </is>
      </c>
      <c r="AV2813" t="inlineStr">
        <is>
          <t>15</t>
        </is>
      </c>
      <c r="AW2813" t="inlineStr">
        <is>
          <t>0</t>
        </is>
      </c>
      <c r="AX2813" t="inlineStr">
        <is>
          <t>Not Qualified</t>
        </is>
      </c>
      <c r="AY2813" s="4"/>
      <c r="AZ2813"/>
      <c r="BA2813"/>
      <c r="BB2813"/>
      <c r="BC2813"/>
      <c r="BD2813" s="4"/>
      <c r="BE2813"/>
      <c r="BF2813"/>
      <c r="BG2813" t="inlineStr">
        <is>
          <t>Reschedule</t>
        </is>
      </c>
      <c r="BH2813" t="inlineStr">
        <is>
          <t>Yee Hang</t>
        </is>
      </c>
      <c r="BI2813"/>
      <c r="BJ2813" s="4">
        <v>46144.755324074074</v>
      </c>
      <c r="BK2813" s="4">
        <v>46071.38822916667</v>
      </c>
      <c r="BL2813" t="inlineStr">
        <is>
          <t>0.0</t>
        </is>
      </c>
      <c r="BM2813" t="inlineStr">
        <is>
          <t>0.0</t>
        </is>
      </c>
      <c r="BN2813"/>
      <c r="BO2813" s="4"/>
      <c r="BP2813">
        <v>166269</v>
      </c>
      <c r="BQ2813"/>
      <c r="BR2813"/>
      <c r="BS2813"/>
      <c r="BT2813"/>
      <c r="BU2813"/>
      <c r="BV2813"/>
      <c r="BW2813"/>
      <c r="BX2813"/>
      <c r="BY2813"/>
      <c r="BZ2813" s="4"/>
      <c r="CA2813"/>
      <c r="CB2813"/>
      <c r="CC2813" s="4"/>
      <c r="CD2813" t="inlineStr">
        <is>
          <t>20</t>
        </is>
      </c>
      <c r="CE2813" t="inlineStr">
        <is>
          <t>0</t>
        </is>
      </c>
      <c r="CF2813" t="inlineStr">
        <is>
          <t>Q2-W01</t>
        </is>
      </c>
      <c r="CG2813"/>
      <c r="CH2813"/>
      <c r="CI2813"/>
      <c r="CJ2813" t="inlineStr">
        <is>
          <t>No Paid</t>
        </is>
      </c>
      <c r="CK2813" t="inlineStr">
        <is>
          <t>Not Eligible</t>
        </is>
      </c>
      <c r="CL2813"/>
      <c r="CM2813"/>
    </row>
    <row r="2814" ht="25.5" customHeight="1">
      <c r="A2814" t="inlineStr">
        <is>
          <t>191373</t>
        </is>
      </c>
      <c r="B2814" s="2"/>
      <c r="C2814"/>
      <c r="D2814" s="3">
        <v>46121.69873842593</v>
      </c>
      <c r="E2814" t="inlineStr">
        <is>
          <t>Q2-W01</t>
        </is>
      </c>
      <c r="F2814" t="inlineStr">
        <is>
          <t>Dickson</t>
        </is>
      </c>
      <c r="G2814" t="inlineStr">
        <is>
          <t>Customer</t>
        </is>
      </c>
      <c r="H2814" s="2" t="str">
        <f>=HYPERLINK("https://upbox.ajobthing.my/customer/191373", "https://upbox.ajobthing.my/customer/191373")</f>
        <v>https://upbox.ajobthing.my/customer/191373</v>
      </c>
      <c r="I2814" t="inlineStr">
        <is>
          <t>Avenda Venture Sdn Bhd</t>
        </is>
      </c>
      <c r="J2814" t="inlineStr">
        <is>
          <t>Small Fish</t>
        </is>
      </c>
      <c r="K2814" t="inlineStr">
        <is>
          <t>Dickson</t>
        </is>
      </c>
      <c r="L2814" s="4"/>
      <c r="M2814" s="4">
        <v>46121.69898148148</v>
      </c>
      <c r="N2814"/>
      <c r="O2814">
        <v>3888</v>
      </c>
      <c r="P2814" s="4"/>
      <c r="Q2814" s="4"/>
      <c r="R2814"/>
      <c r="S2814"/>
      <c r="T2814" s="4"/>
      <c r="U2814" s="4"/>
      <c r="V2814"/>
      <c r="W2814"/>
      <c r="X2814"/>
      <c r="Y2814" t="inlineStr">
        <is>
          <t>Pending Appointment</t>
        </is>
      </c>
      <c r="Z2814" t="inlineStr">
        <is>
          <t>Hiring Now</t>
        </is>
      </c>
      <c r="AA2814">
        <v>3</v>
      </c>
      <c r="AB2814" t="inlineStr">
        <is>
          <t>No Appointment Made</t>
        </is>
      </c>
      <c r="AC2814"/>
      <c r="AD2814" t="inlineStr">
        <is>
          <t>3 sales executive</t>
        </is>
      </c>
      <c r="AE2814"/>
      <c r="AF2814"/>
      <c r="AG2814" s="4"/>
      <c r="AH2814" s="4"/>
      <c r="AI2814"/>
      <c r="AJ2814">
        <v>1</v>
      </c>
      <c r="AK2814" t="inlineStr">
        <is>
          <t>No, I don't need at all</t>
        </is>
      </c>
      <c r="AL2814"/>
      <c r="AM2814" t="inlineStr">
        <is>
          <t>No, I don't need at all</t>
        </is>
      </c>
      <c r="AN2814"/>
      <c r="AO2814" t="inlineStr">
        <is>
          <t>No, I don't need at all</t>
        </is>
      </c>
      <c r="AP2814" t="inlineStr">
        <is>
          <t>Once per quarter (75%)</t>
        </is>
      </c>
      <c r="AQ2814"/>
      <c r="AR2814"/>
      <c r="AS2814" t="inlineStr">
        <is>
          <t>- Headcount: 3
- Hiring Job Details: 3 sales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2814">
        <v>95</v>
      </c>
      <c r="AU2814" t="inlineStr">
        <is>
          <t>0.95</t>
        </is>
      </c>
      <c r="AV2814" t="inlineStr">
        <is>
          <t>5</t>
        </is>
      </c>
      <c r="AW2814" t="inlineStr">
        <is>
          <t>0</t>
        </is>
      </c>
      <c r="AX2814" t="inlineStr">
        <is>
          <t>Not Qualified</t>
        </is>
      </c>
      <c r="AY2814" s="4"/>
      <c r="AZ2814"/>
      <c r="BA2814"/>
      <c r="BB2814"/>
      <c r="BC2814" t="inlineStr">
        <is>
          <t>try free portal first</t>
        </is>
      </c>
      <c r="BD2814" s="4">
        <v>46125.456192129626</v>
      </c>
      <c r="BE2814"/>
      <c r="BF2814"/>
      <c r="BG2814" t="inlineStr">
        <is>
          <t>Reschedule</t>
        </is>
      </c>
      <c r="BH2814" t="inlineStr">
        <is>
          <t>Edward Hoo</t>
        </is>
      </c>
      <c r="BI2814"/>
      <c r="BJ2814" s="4">
        <v>46144.752430555556</v>
      </c>
      <c r="BK2814" s="4">
        <v>45793.826527777775</v>
      </c>
      <c r="BL2814" t="inlineStr">
        <is>
          <t>0.0</t>
        </is>
      </c>
      <c r="BM2814" t="inlineStr">
        <is>
          <t>0.0</t>
        </is>
      </c>
      <c r="BN2814" t="inlineStr">
        <is>
          <t>View Jobmanager Page</t>
        </is>
      </c>
      <c r="BO2814" s="4">
        <v>45794.374930555554</v>
      </c>
      <c r="BP2814">
        <v>166270</v>
      </c>
      <c r="BQ2814"/>
      <c r="BR2814"/>
      <c r="BS2814"/>
      <c r="BT2814"/>
      <c r="BU2814"/>
      <c r="BV2814">
        <v>2700245</v>
      </c>
      <c r="BW2814" t="inlineStr">
        <is>
          <t>Follow Up : Lost - Free Portal</t>
        </is>
      </c>
      <c r="BX2814"/>
      <c r="BY2814"/>
      <c r="BZ2814" s="4"/>
      <c r="CA2814"/>
      <c r="CB2814"/>
      <c r="CC2814" s="4"/>
      <c r="CD2814" t="inlineStr">
        <is>
          <t>5</t>
        </is>
      </c>
      <c r="CE2814" t="inlineStr">
        <is>
          <t>0</t>
        </is>
      </c>
      <c r="CF2814" t="inlineStr">
        <is>
          <t>Q2-W01</t>
        </is>
      </c>
      <c r="CG2814"/>
      <c r="CH2814"/>
      <c r="CI2814"/>
      <c r="CJ2814" t="inlineStr">
        <is>
          <t>No Paid</t>
        </is>
      </c>
      <c r="CK2814" t="inlineStr">
        <is>
          <t>Not Eligible</t>
        </is>
      </c>
      <c r="CL2814"/>
      <c r="CM2814"/>
    </row>
    <row r="2815" ht="25.5" customHeight="1">
      <c r="A2815" t="inlineStr">
        <is>
          <t>4265036</t>
        </is>
      </c>
      <c r="B2815" s="2"/>
      <c r="C2815"/>
      <c r="D2815" s="3">
        <v>46121.714212962965</v>
      </c>
      <c r="E2815" t="inlineStr">
        <is>
          <t>Q2-W01</t>
        </is>
      </c>
      <c r="F2815" t="inlineStr">
        <is>
          <t>Luqman</t>
        </is>
      </c>
      <c r="G2815" t="inlineStr">
        <is>
          <t>Lead</t>
        </is>
      </c>
      <c r="H2815" s="2" t="str">
        <f>=HYPERLINK("https://upbox.ajobthing.my/leads/4265036", "https://upbox.ajobthing.my/leads/4265036")</f>
        <v>https://upbox.ajobthing.my/leads/4265036</v>
      </c>
      <c r="I2815" t="inlineStr">
        <is>
          <t>AF Maxima Systems Sdn Bhd</t>
        </is>
      </c>
      <c r="J2815" t="inlineStr">
        <is>
          <t>Small Fish</t>
        </is>
      </c>
      <c r="K2815" t="inlineStr">
        <is>
          <t>Luqman</t>
        </is>
      </c>
      <c r="L2815" s="4"/>
      <c r="M2815" s="4">
        <v>46121.714641203704</v>
      </c>
      <c r="N2815"/>
      <c r="O2815">
        <v>3576.96</v>
      </c>
      <c r="P2815" s="4"/>
      <c r="Q2815" s="4"/>
      <c r="R2815"/>
      <c r="S2815"/>
      <c r="T2815" s="4"/>
      <c r="U2815" s="4"/>
      <c r="V2815"/>
      <c r="W2815"/>
      <c r="X2815"/>
      <c r="Y2815" t="inlineStr">
        <is>
          <t>Pending Appointment</t>
        </is>
      </c>
      <c r="Z2815" t="inlineStr">
        <is>
          <t>Hiring Later</t>
        </is>
      </c>
      <c r="AA2815">
        <v>3</v>
      </c>
      <c r="AB2815" t="inlineStr">
        <is>
          <t>No Appointment Made</t>
        </is>
      </c>
      <c r="AC2815"/>
      <c r="AD2815" t="inlineStr">
        <is>
          <t>1. Service Crew 2. Barista 3. Cashier</t>
        </is>
      </c>
      <c r="AE2815"/>
      <c r="AF2815">
        <v>1600</v>
      </c>
      <c r="AG2815" s="4"/>
      <c r="AH2815" s="4"/>
      <c r="AI2815">
        <v>1600</v>
      </c>
      <c r="AJ2815"/>
      <c r="AK2815" t="inlineStr">
        <is>
          <t>Yes, I have</t>
        </is>
      </c>
      <c r="AL2815">
        <v>1</v>
      </c>
      <c r="AM2815" t="inlineStr">
        <is>
          <t>No, I don't need at all</t>
        </is>
      </c>
      <c r="AN2815"/>
      <c r="AO2815" t="inlineStr">
        <is>
          <t>No, I don't need at all</t>
        </is>
      </c>
      <c r="AP2815" t="inlineStr">
        <is>
          <t>Once a year (25%)</t>
        </is>
      </c>
      <c r="AQ2815">
        <v>3</v>
      </c>
      <c r="AR2815" t="inlineStr">
        <is>
          <t>Free Job Portal</t>
        </is>
      </c>
      <c r="AS2815" t="inlineStr">
        <is>
          <t>- Headcount: 3
- Hiring Job Details: 1. Service Crew 2. Barista 3. Cashier
- Hiring Urgency: Hiring Later
- Number of outlets: 
- Have recruiter team: Yes
- Number of recruiter in company: 1
- Have ATS system: No, I don't need at all
- Have career website: No, I don't need at all
- Current hiring budget: RM1,600
- Whole year budget: RM1,600.00
- Whole year number of vacancies: 3
- Hiring frequency: Once a year (25%)
- External job portal: Free Job Portal</t>
        </is>
      </c>
      <c r="AT2815">
        <v>105</v>
      </c>
      <c r="AU2815" t="inlineStr">
        <is>
          <t>1.05</t>
        </is>
      </c>
      <c r="AV2815" t="inlineStr">
        <is>
          <t>15</t>
        </is>
      </c>
      <c r="AW2815" t="inlineStr">
        <is>
          <t>0</t>
        </is>
      </c>
      <c r="AX2815" t="inlineStr">
        <is>
          <t>Not Qualified</t>
        </is>
      </c>
      <c r="AY2815" s="4"/>
      <c r="AZ2815"/>
      <c r="BA2815"/>
      <c r="BB2815"/>
      <c r="BC2815"/>
      <c r="BD2815" s="4"/>
      <c r="BE2815"/>
      <c r="BF2815"/>
      <c r="BG2815" t="inlineStr">
        <is>
          <t>Reschedule</t>
        </is>
      </c>
      <c r="BH2815" t="inlineStr">
        <is>
          <t>Edward Hoo</t>
        </is>
      </c>
      <c r="BI2815"/>
      <c r="BJ2815" s="4">
        <v>46144.75578703704</v>
      </c>
      <c r="BK2815" s="4">
        <v>46121.62012731482</v>
      </c>
      <c r="BL2815" t="inlineStr">
        <is>
          <t>0.0</t>
        </is>
      </c>
      <c r="BM2815" t="inlineStr">
        <is>
          <t>0.0</t>
        </is>
      </c>
      <c r="BN2815"/>
      <c r="BO2815" s="4"/>
      <c r="BP2815">
        <v>166278</v>
      </c>
      <c r="BQ2815"/>
      <c r="BR2815"/>
      <c r="BS2815"/>
      <c r="BT2815"/>
      <c r="BU2815"/>
      <c r="BV2815"/>
      <c r="BW2815"/>
      <c r="BX2815"/>
      <c r="BY2815"/>
      <c r="BZ2815" s="4"/>
      <c r="CA2815"/>
      <c r="CB2815"/>
      <c r="CC2815" s="4"/>
      <c r="CD2815" t="inlineStr">
        <is>
          <t>20</t>
        </is>
      </c>
      <c r="CE2815" t="inlineStr">
        <is>
          <t>0</t>
        </is>
      </c>
      <c r="CF2815" t="inlineStr">
        <is>
          <t>Q2-W01</t>
        </is>
      </c>
      <c r="CG2815"/>
      <c r="CH2815"/>
      <c r="CI2815"/>
      <c r="CJ2815" t="inlineStr">
        <is>
          <t>No Paid</t>
        </is>
      </c>
      <c r="CK2815" t="inlineStr">
        <is>
          <t>Not Eligible</t>
        </is>
      </c>
      <c r="CL2815"/>
      <c r="CM2815"/>
    </row>
    <row r="2816" ht="25.5" customHeight="1">
      <c r="A2816" t="inlineStr">
        <is>
          <t>140740</t>
        </is>
      </c>
      <c r="B2816" s="2"/>
      <c r="C2816"/>
      <c r="D2816" s="3">
        <v>46121.72237268519</v>
      </c>
      <c r="E2816" t="inlineStr">
        <is>
          <t>Q2-W01</t>
        </is>
      </c>
      <c r="F2816" t="inlineStr">
        <is>
          <t>Clover</t>
        </is>
      </c>
      <c r="G2816" t="inlineStr">
        <is>
          <t>Customer</t>
        </is>
      </c>
      <c r="H2816" s="2" t="str">
        <f>=HYPERLINK("https://upbox.ajobthing.my/customer/140740", "https://upbox.ajobthing.my/customer/140740")</f>
        <v>https://upbox.ajobthing.my/customer/140740</v>
      </c>
      <c r="I2816" t="inlineStr">
        <is>
          <t>Suntrec Solution Sdn Bhd</t>
        </is>
      </c>
      <c r="J2816" t="inlineStr">
        <is>
          <t>Small Fish</t>
        </is>
      </c>
      <c r="K2816" t="inlineStr">
        <is>
          <t>Clover</t>
        </is>
      </c>
      <c r="L2816" s="4"/>
      <c r="M2816" s="4">
        <v>46121.72383101852</v>
      </c>
      <c r="N2816"/>
      <c r="O2816">
        <v>3888</v>
      </c>
      <c r="P2816" s="4"/>
      <c r="Q2816" s="4">
        <v>46122.6137962963</v>
      </c>
      <c r="R2816"/>
      <c r="S2816">
        <v>0</v>
      </c>
      <c r="T2816" s="4"/>
      <c r="U2816" s="4"/>
      <c r="V2816"/>
      <c r="W2816"/>
      <c r="X2816"/>
      <c r="Y2816" t="inlineStr">
        <is>
          <t>Pending Appointment</t>
        </is>
      </c>
      <c r="Z2816" t="inlineStr">
        <is>
          <t>Hiring Now</t>
        </is>
      </c>
      <c r="AA2816">
        <v>1</v>
      </c>
      <c r="AB2816" t="inlineStr">
        <is>
          <t>No Appointment Made</t>
        </is>
      </c>
      <c r="AC2816"/>
      <c r="AD2816" t="inlineStr">
        <is>
          <t>Want to hire admin assistant x1, chi, deal with china supplier, seri kembangan, fibre supplier, future have hiring, share stand</t>
        </is>
      </c>
      <c r="AE2816"/>
      <c r="AF2816">
        <v>3000</v>
      </c>
      <c r="AG2816" s="4"/>
      <c r="AH2816" s="4"/>
      <c r="AI2816">
        <v>3000</v>
      </c>
      <c r="AJ2816">
        <v>1</v>
      </c>
      <c r="AK2816" t="inlineStr">
        <is>
          <t>No, but I want in future</t>
        </is>
      </c>
      <c r="AL2816">
        <v>1</v>
      </c>
      <c r="AM2816" t="inlineStr">
        <is>
          <t>No, but I want in future</t>
        </is>
      </c>
      <c r="AN2816"/>
      <c r="AO2816" t="inlineStr">
        <is>
          <t>No, but I want in future</t>
        </is>
      </c>
      <c r="AP2816" t="inlineStr">
        <is>
          <t>Twice a year (50%)</t>
        </is>
      </c>
      <c r="AQ2816">
        <v>2</v>
      </c>
      <c r="AR2816" t="inlineStr">
        <is>
          <t>Did not use any job portal</t>
        </is>
      </c>
      <c r="AS2816" t="inlineStr">
        <is>
          <t>- Headcount: 1
- Hiring Job Details: 1 admin assistant (chi, deal with china supplier, seri kembangan, fibre supplier; future hiring plan and share stand)
- Hiring Urgency: Hiring Now
- Number of outlets: 1
- Have recruiter team: No, but want in future
- Number of recruiter in company: 1
- Have ATS system: No, but want in future
- Have career website: No, but want in future
- Current hiring budget: RM3,000
- Whole year budget: RM3,000.00
- Whole year number of vacancies: 2
- Hiring frequency: Twice a year (50%)
- External job portal: Did not use any</t>
        </is>
      </c>
      <c r="AT2816">
        <v>115</v>
      </c>
      <c r="AU2816" t="inlineStr">
        <is>
          <t>1.15</t>
        </is>
      </c>
      <c r="AV2816" t="inlineStr">
        <is>
          <t>15</t>
        </is>
      </c>
      <c r="AW2816" t="inlineStr">
        <is>
          <t>0</t>
        </is>
      </c>
      <c r="AX2816" t="inlineStr">
        <is>
          <t>Not Qualified</t>
        </is>
      </c>
      <c r="AY2816" s="4"/>
      <c r="AZ2816"/>
      <c r="BA2816"/>
      <c r="BB2816"/>
      <c r="BC2816" t="inlineStr">
        <is>
          <t>Previous inform no budget</t>
        </is>
      </c>
      <c r="BD2816" s="4">
        <v>46125.74659722222</v>
      </c>
      <c r="BE2816" t="inlineStr">
        <is>
          <t>paid</t>
        </is>
      </c>
      <c r="BF2816"/>
      <c r="BG2816" t="inlineStr">
        <is>
          <t>Reschedule</t>
        </is>
      </c>
      <c r="BH2816" t="inlineStr">
        <is>
          <t>Reagen</t>
        </is>
      </c>
      <c r="BI2816" t="inlineStr">
        <is>
          <t>Manufacturing / Production</t>
        </is>
      </c>
      <c r="BJ2816" s="4">
        <v>46144.75063657408</v>
      </c>
      <c r="BK2816" s="4">
        <v>44453.36715277778</v>
      </c>
      <c r="BL2816" t="inlineStr">
        <is>
          <t>0.0</t>
        </is>
      </c>
      <c r="BM2816" t="inlineStr">
        <is>
          <t>0.0</t>
        </is>
      </c>
      <c r="BN2816" t="inlineStr">
        <is>
          <t>User Login</t>
        </is>
      </c>
      <c r="BO2816" s="4">
        <v>46122.621516203704</v>
      </c>
      <c r="BP2816">
        <v>166285</v>
      </c>
      <c r="BQ2816">
        <v>121716</v>
      </c>
      <c r="BR2816" t="inlineStr">
        <is>
          <t>Proforma</t>
        </is>
      </c>
      <c r="BS2816" t="inlineStr">
        <is>
          <t>Free Part-Time Job</t>
        </is>
      </c>
      <c r="BT2816"/>
      <c r="BU2816"/>
      <c r="BV2816">
        <v>2702196</v>
      </c>
      <c r="BW2816" t="inlineStr">
        <is>
          <t>No Answer : Voicemail - WA sent to customer</t>
        </is>
      </c>
      <c r="BX2816"/>
      <c r="BY2816"/>
      <c r="BZ2816" s="4"/>
      <c r="CA2816"/>
      <c r="CB2816"/>
      <c r="CC2816" s="4"/>
      <c r="CD2816" t="inlineStr">
        <is>
          <t>20</t>
        </is>
      </c>
      <c r="CE2816" t="inlineStr">
        <is>
          <t>0</t>
        </is>
      </c>
      <c r="CF2816" t="inlineStr">
        <is>
          <t>Q2-W01</t>
        </is>
      </c>
      <c r="CG2816" t="inlineStr">
        <is>
          <t>Q2-W02</t>
        </is>
      </c>
      <c r="CH2816"/>
      <c r="CI2816"/>
      <c r="CJ2816" t="inlineStr">
        <is>
          <t>No Paid</t>
        </is>
      </c>
      <c r="CK2816" t="inlineStr">
        <is>
          <t>Not Eligible</t>
        </is>
      </c>
      <c r="CL2816"/>
      <c r="CM2816"/>
    </row>
    <row r="2817" ht="25.5" customHeight="1">
      <c r="A2817" t="inlineStr">
        <is>
          <t>193478</t>
        </is>
      </c>
      <c r="B2817" s="2"/>
      <c r="C2817"/>
      <c r="D2817" s="3">
        <v>46121.72895833333</v>
      </c>
      <c r="E2817" t="inlineStr">
        <is>
          <t>Q2-W01</t>
        </is>
      </c>
      <c r="F2817" t="inlineStr">
        <is>
          <t>Lucas</t>
        </is>
      </c>
      <c r="G2817" t="inlineStr">
        <is>
          <t>Customer</t>
        </is>
      </c>
      <c r="H2817" s="2" t="str">
        <f>=HYPERLINK("https://upbox.ajobthing.my/customer/193478", "https://upbox.ajobthing.my/customer/193478")</f>
        <v>https://upbox.ajobthing.my/customer/193478</v>
      </c>
      <c r="I2817" t="inlineStr">
        <is>
          <t>Wonderful Furniture M Sdn Bhd</t>
        </is>
      </c>
      <c r="J2817" t="inlineStr">
        <is>
          <t>Small Fish</t>
        </is>
      </c>
      <c r="K2817" t="inlineStr">
        <is>
          <t>Lucas</t>
        </is>
      </c>
      <c r="L2817" s="4"/>
      <c r="M2817" s="4">
        <v>46121.727326388886</v>
      </c>
      <c r="N2817"/>
      <c r="O2817">
        <v>6048</v>
      </c>
      <c r="P2817" s="4"/>
      <c r="Q2817" s="4"/>
      <c r="R2817"/>
      <c r="S2817"/>
      <c r="T2817" s="4"/>
      <c r="U2817" s="4"/>
      <c r="V2817"/>
      <c r="W2817"/>
      <c r="X2817"/>
      <c r="Y2817" t="inlineStr">
        <is>
          <t>Pending Appointment</t>
        </is>
      </c>
      <c r="Z2817" t="inlineStr">
        <is>
          <t>Hiring Now</t>
        </is>
      </c>
      <c r="AA2817">
        <v>4</v>
      </c>
      <c r="AB2817" t="inlineStr">
        <is>
          <t>No Appointment Made</t>
        </is>
      </c>
      <c r="AC2817"/>
      <c r="AD2817" t="inlineStr">
        <is>
          <t xml:space="preserve">4 saleman </t>
        </is>
      </c>
      <c r="AE2817"/>
      <c r="AF2817">
        <v>0</v>
      </c>
      <c r="AG2817" s="4"/>
      <c r="AH2817" s="4"/>
      <c r="AI2817">
        <v>0</v>
      </c>
      <c r="AJ2817">
        <v>0</v>
      </c>
      <c r="AK2817" t="inlineStr">
        <is>
          <t>No, I don't need at all</t>
        </is>
      </c>
      <c r="AL2817">
        <v>0</v>
      </c>
      <c r="AM2817" t="inlineStr">
        <is>
          <t>No, I don't need at all</t>
        </is>
      </c>
      <c r="AN2817"/>
      <c r="AO2817" t="inlineStr">
        <is>
          <t>No, I don't need at all</t>
        </is>
      </c>
      <c r="AP2817" t="inlineStr">
        <is>
          <t>Once a year (25%)</t>
        </is>
      </c>
      <c r="AQ2817">
        <v>4</v>
      </c>
      <c r="AR2817" t="inlineStr">
        <is>
          <t>Did not use any job portal</t>
        </is>
      </c>
      <c r="AS2817" t="inlineStr">
        <is>
          <t>- Headcount: 4
- Hiring Job Details: 4 salesmen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4
- Hiring frequency: Once a year (25%)
- External job portal: Did not use any job portal</t>
        </is>
      </c>
      <c r="AT2817">
        <v>95</v>
      </c>
      <c r="AU2817" t="inlineStr">
        <is>
          <t>0.95</t>
        </is>
      </c>
      <c r="AV2817" t="inlineStr">
        <is>
          <t>15</t>
        </is>
      </c>
      <c r="AW2817" t="inlineStr">
        <is>
          <t>0</t>
        </is>
      </c>
      <c r="AX2817" t="inlineStr">
        <is>
          <t>Not Qualified</t>
        </is>
      </c>
      <c r="AY2817" s="4"/>
      <c r="AZ2817"/>
      <c r="BA2817"/>
      <c r="BB2817"/>
      <c r="BC2817" t="inlineStr">
        <is>
          <t>only want part time</t>
        </is>
      </c>
      <c r="BD2817" s="4">
        <v>46125.66884259259</v>
      </c>
      <c r="BE2817"/>
      <c r="BF2817"/>
      <c r="BG2817" t="inlineStr">
        <is>
          <t>Reschedule</t>
        </is>
      </c>
      <c r="BH2817" t="inlineStr">
        <is>
          <t>Yee Hang</t>
        </is>
      </c>
      <c r="BI2817"/>
      <c r="BJ2817" s="4">
        <v>46144.75261574074</v>
      </c>
      <c r="BK2817" s="4">
        <v>45845.645162037035</v>
      </c>
      <c r="BL2817" t="inlineStr">
        <is>
          <t>0.0</t>
        </is>
      </c>
      <c r="BM2817" t="inlineStr">
        <is>
          <t>0.0</t>
        </is>
      </c>
      <c r="BN2817" t="inlineStr">
        <is>
          <t>View Company Page</t>
        </is>
      </c>
      <c r="BO2817" s="4">
        <v>45845.659525462965</v>
      </c>
      <c r="BP2817">
        <v>166294</v>
      </c>
      <c r="BQ2817"/>
      <c r="BR2817"/>
      <c r="BS2817"/>
      <c r="BT2817"/>
      <c r="BU2817"/>
      <c r="BV2817">
        <v>2701520</v>
      </c>
      <c r="BW2817" t="inlineStr">
        <is>
          <t>Follow Up : Lost - Free Portal</t>
        </is>
      </c>
      <c r="BX2817"/>
      <c r="BY2817"/>
      <c r="BZ2817" s="4"/>
      <c r="CA2817"/>
      <c r="CB2817"/>
      <c r="CC2817" s="4"/>
      <c r="CD2817" t="inlineStr">
        <is>
          <t>20</t>
        </is>
      </c>
      <c r="CE2817" t="inlineStr">
        <is>
          <t>0</t>
        </is>
      </c>
      <c r="CF2817" t="inlineStr">
        <is>
          <t>Q2-W01</t>
        </is>
      </c>
      <c r="CG2817"/>
      <c r="CH2817"/>
      <c r="CI2817"/>
      <c r="CJ2817" t="inlineStr">
        <is>
          <t>No Paid</t>
        </is>
      </c>
      <c r="CK2817" t="inlineStr">
        <is>
          <t>Not Eligible</t>
        </is>
      </c>
      <c r="CL2817"/>
      <c r="CM2817"/>
    </row>
    <row r="2818" ht="25.5" customHeight="1">
      <c r="A2818" t="inlineStr">
        <is>
          <t>4265197</t>
        </is>
      </c>
      <c r="B2818" s="2"/>
      <c r="C2818"/>
      <c r="D2818" s="3">
        <v>46121.730416666665</v>
      </c>
      <c r="E2818" t="inlineStr">
        <is>
          <t>Q2-W01</t>
        </is>
      </c>
      <c r="F2818" t="inlineStr">
        <is>
          <t>Angel  Low</t>
        </is>
      </c>
      <c r="G2818" t="inlineStr">
        <is>
          <t>Lead</t>
        </is>
      </c>
      <c r="H2818" s="2" t="str">
        <f>=HYPERLINK("https://upbox.ajobthing.my/leads/4265197", "https://upbox.ajobthing.my/leads/4265197")</f>
        <v>https://upbox.ajobthing.my/leads/4265197</v>
      </c>
      <c r="I2818" t="inlineStr">
        <is>
          <t>INSTANT MEDIA SDN. BHD.</t>
        </is>
      </c>
      <c r="J2818" t="inlineStr">
        <is>
          <t>Small Fish</t>
        </is>
      </c>
      <c r="K2818" t="inlineStr">
        <is>
          <t>Angel Low</t>
        </is>
      </c>
      <c r="L2818" s="4"/>
      <c r="M2818" s="4">
        <v>46121.73458333333</v>
      </c>
      <c r="N2818"/>
      <c r="O2818">
        <v>5508</v>
      </c>
      <c r="P2818" s="4"/>
      <c r="Q2818" s="4"/>
      <c r="R2818"/>
      <c r="S2818"/>
      <c r="T2818" s="4"/>
      <c r="U2818" s="4"/>
      <c r="V2818"/>
      <c r="W2818"/>
      <c r="X2818"/>
      <c r="Y2818" t="inlineStr">
        <is>
          <t>Pending Appointment</t>
        </is>
      </c>
      <c r="Z2818"/>
      <c r="AA2818">
        <v>2</v>
      </c>
      <c r="AB2818" t="inlineStr">
        <is>
          <t>No Appointment Made</t>
        </is>
      </c>
      <c r="AC2818"/>
      <c r="AD2818" t="inlineStr">
        <is>
          <t xml:space="preserve">1 event exec , 1 designer </t>
        </is>
      </c>
      <c r="AE2818"/>
      <c r="AF2818"/>
      <c r="AG2818" s="4"/>
      <c r="AH2818" s="4"/>
      <c r="AI2818"/>
      <c r="AJ2818"/>
      <c r="AK2818"/>
      <c r="AL2818"/>
      <c r="AM2818"/>
      <c r="AN2818"/>
      <c r="AO2818"/>
      <c r="AP2818"/>
      <c r="AQ2818"/>
      <c r="AR2818"/>
      <c r="AS2818" t="inlineStr">
        <is>
          <t>- Headcount: 2
- Hiring Job Details: 1 event exec, 1 designer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818">
        <v>60</v>
      </c>
      <c r="AU2818" t="inlineStr">
        <is>
          <t>0.60</t>
        </is>
      </c>
      <c r="AV2818" t="inlineStr">
        <is>
          <t>5</t>
        </is>
      </c>
      <c r="AW2818" t="inlineStr">
        <is>
          <t>0</t>
        </is>
      </c>
      <c r="AX2818" t="inlineStr">
        <is>
          <t>Not Qualified</t>
        </is>
      </c>
      <c r="AY2818" s="4"/>
      <c r="AZ2818"/>
      <c r="BA2818"/>
      <c r="BB2818"/>
      <c r="BC2818"/>
      <c r="BD2818" s="4"/>
      <c r="BE2818"/>
      <c r="BF2818"/>
      <c r="BG2818" t="inlineStr">
        <is>
          <t>Reschedule</t>
        </is>
      </c>
      <c r="BH2818" t="inlineStr">
        <is>
          <t>Fauziah Maharan</t>
        </is>
      </c>
      <c r="BI2818"/>
      <c r="BJ2818" s="4">
        <v>46144.75578703704</v>
      </c>
      <c r="BK2818" s="4">
        <v>46121.65190972222</v>
      </c>
      <c r="BL2818" t="inlineStr">
        <is>
          <t>0.0</t>
        </is>
      </c>
      <c r="BM2818" t="inlineStr">
        <is>
          <t>0.0</t>
        </is>
      </c>
      <c r="BN2818"/>
      <c r="BO2818" s="4"/>
      <c r="BP2818">
        <v>166305</v>
      </c>
      <c r="BQ2818"/>
      <c r="BR2818"/>
      <c r="BS2818"/>
      <c r="BT2818"/>
      <c r="BU2818"/>
      <c r="BV2818"/>
      <c r="BW2818"/>
      <c r="BX2818"/>
      <c r="BY2818"/>
      <c r="BZ2818" s="4"/>
      <c r="CA2818"/>
      <c r="CB2818"/>
      <c r="CC2818" s="4"/>
      <c r="CD2818" t="inlineStr">
        <is>
          <t>5</t>
        </is>
      </c>
      <c r="CE2818" t="inlineStr">
        <is>
          <t>0</t>
        </is>
      </c>
      <c r="CF2818" t="inlineStr">
        <is>
          <t>Q2-W01</t>
        </is>
      </c>
      <c r="CG2818"/>
      <c r="CH2818"/>
      <c r="CI2818"/>
      <c r="CJ2818" t="inlineStr">
        <is>
          <t>No Paid</t>
        </is>
      </c>
      <c r="CK2818" t="inlineStr">
        <is>
          <t>Not Eligible</t>
        </is>
      </c>
      <c r="CL2818"/>
      <c r="CM2818"/>
    </row>
    <row r="2819" ht="25.5" customHeight="1">
      <c r="A2819" t="inlineStr">
        <is>
          <t>191371</t>
        </is>
      </c>
      <c r="B2819" s="2"/>
      <c r="C2819"/>
      <c r="D2819" s="3">
        <v>46121.73116898148</v>
      </c>
      <c r="E2819" t="inlineStr">
        <is>
          <t>Q2-W01</t>
        </is>
      </c>
      <c r="F2819" t="inlineStr">
        <is>
          <t>Dickson</t>
        </is>
      </c>
      <c r="G2819" t="inlineStr">
        <is>
          <t>Customer</t>
        </is>
      </c>
      <c r="H2819" s="2" t="str">
        <f>=HYPERLINK("https://upbox.ajobthing.my/customer/191371", "https://upbox.ajobthing.my/customer/191371")</f>
        <v>https://upbox.ajobthing.my/customer/191371</v>
      </c>
      <c r="I2819" t="inlineStr">
        <is>
          <t>Firever Media Sdn Bhd</t>
        </is>
      </c>
      <c r="J2819" t="inlineStr">
        <is>
          <t>Small Fish</t>
        </is>
      </c>
      <c r="K2819" t="inlineStr">
        <is>
          <t>Dickson</t>
        </is>
      </c>
      <c r="L2819" s="4"/>
      <c r="M2819" s="4">
        <v>46121.73134259259</v>
      </c>
      <c r="N2819"/>
      <c r="O2819">
        <v>3888</v>
      </c>
      <c r="P2819" s="4"/>
      <c r="Q2819" s="4"/>
      <c r="R2819"/>
      <c r="S2819"/>
      <c r="T2819" s="4"/>
      <c r="U2819" s="4"/>
      <c r="V2819"/>
      <c r="W2819"/>
      <c r="X2819"/>
      <c r="Y2819" t="inlineStr">
        <is>
          <t>Pending Appointment</t>
        </is>
      </c>
      <c r="Z2819" t="inlineStr">
        <is>
          <t>Hiring Now</t>
        </is>
      </c>
      <c r="AA2819">
        <v>5</v>
      </c>
      <c r="AB2819" t="inlineStr">
        <is>
          <t>No Appointment Made</t>
        </is>
      </c>
      <c r="AC2819"/>
      <c r="AD2819" t="inlineStr">
        <is>
          <t>2 sales operation specialists, 3 live host tiktok</t>
        </is>
      </c>
      <c r="AE2819"/>
      <c r="AF2819"/>
      <c r="AG2819" s="4"/>
      <c r="AH2819" s="4"/>
      <c r="AI2819"/>
      <c r="AJ2819">
        <v>1</v>
      </c>
      <c r="AK2819" t="inlineStr">
        <is>
          <t>No, I don't need at all</t>
        </is>
      </c>
      <c r="AL2819"/>
      <c r="AM2819" t="inlineStr">
        <is>
          <t>No, I don't need at all</t>
        </is>
      </c>
      <c r="AN2819"/>
      <c r="AO2819" t="inlineStr">
        <is>
          <t>No, I don't need at all</t>
        </is>
      </c>
      <c r="AP2819" t="inlineStr">
        <is>
          <t>Once per quarter (75%)</t>
        </is>
      </c>
      <c r="AQ2819"/>
      <c r="AR2819"/>
      <c r="AS2819" t="inlineStr">
        <is>
          <t>- Headcount: 5
- Hiring Job Details: 2 sales operation specialists, 3 live host tiktok
- Hiring Urgency: Hiring Now
- Number of outlets: 1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N/A</t>
        </is>
      </c>
      <c r="AT2819">
        <v>95</v>
      </c>
      <c r="AU2819" t="inlineStr">
        <is>
          <t>0.95</t>
        </is>
      </c>
      <c r="AV2819" t="inlineStr">
        <is>
          <t>10</t>
        </is>
      </c>
      <c r="AW2819" t="inlineStr">
        <is>
          <t>0</t>
        </is>
      </c>
      <c r="AX2819" t="inlineStr">
        <is>
          <t>Not Qualified</t>
        </is>
      </c>
      <c r="AY2819" s="4"/>
      <c r="AZ2819"/>
      <c r="BA2819"/>
      <c r="BB2819"/>
      <c r="BC2819" t="inlineStr">
        <is>
          <t>no response</t>
        </is>
      </c>
      <c r="BD2819" s="4">
        <v>46128.41748842593</v>
      </c>
      <c r="BE2819"/>
      <c r="BF2819"/>
      <c r="BG2819" t="inlineStr">
        <is>
          <t>Reschedule</t>
        </is>
      </c>
      <c r="BH2819" t="inlineStr">
        <is>
          <t>Edward Hoo</t>
        </is>
      </c>
      <c r="BI2819"/>
      <c r="BJ2819" s="4">
        <v>46144.75239583333</v>
      </c>
      <c r="BK2819" s="4">
        <v>45793.81349537037</v>
      </c>
      <c r="BL2819" t="inlineStr">
        <is>
          <t>0.0</t>
        </is>
      </c>
      <c r="BM2819" t="inlineStr">
        <is>
          <t>0.0</t>
        </is>
      </c>
      <c r="BN2819" t="inlineStr">
        <is>
          <t>View Candidate Search Page</t>
        </is>
      </c>
      <c r="BO2819" s="4">
        <v>45793.81859953704</v>
      </c>
      <c r="BP2819">
        <v>166299</v>
      </c>
      <c r="BQ2819"/>
      <c r="BR2819"/>
      <c r="BS2819"/>
      <c r="BT2819"/>
      <c r="BU2819"/>
      <c r="BV2819">
        <v>2707888</v>
      </c>
      <c r="BW2819" t="inlineStr">
        <is>
          <t>No Answer : Voicemail - WA sent to customer</t>
        </is>
      </c>
      <c r="BX2819"/>
      <c r="BY2819"/>
      <c r="BZ2819" s="4"/>
      <c r="CA2819"/>
      <c r="CB2819"/>
      <c r="CC2819" s="4"/>
      <c r="CD2819" t="inlineStr">
        <is>
          <t>15</t>
        </is>
      </c>
      <c r="CE2819" t="inlineStr">
        <is>
          <t>0</t>
        </is>
      </c>
      <c r="CF2819" t="inlineStr">
        <is>
          <t>Q2-W01</t>
        </is>
      </c>
      <c r="CG2819"/>
      <c r="CH2819"/>
      <c r="CI2819"/>
      <c r="CJ2819" t="inlineStr">
        <is>
          <t>No Paid</t>
        </is>
      </c>
      <c r="CK2819" t="inlineStr">
        <is>
          <t>Not Eligible</t>
        </is>
      </c>
      <c r="CL2819"/>
      <c r="CM2819"/>
    </row>
    <row r="2820" ht="25.5" customHeight="1">
      <c r="A2820" t="inlineStr">
        <is>
          <t>4086861</t>
        </is>
      </c>
      <c r="B2820" s="2"/>
      <c r="C2820"/>
      <c r="D2820" s="3">
        <v>46121.736712962964</v>
      </c>
      <c r="E2820" t="inlineStr">
        <is>
          <t>Q2-W01</t>
        </is>
      </c>
      <c r="F2820" t="inlineStr">
        <is>
          <t>Lucas</t>
        </is>
      </c>
      <c r="G2820" t="inlineStr">
        <is>
          <t>Lead</t>
        </is>
      </c>
      <c r="H2820" s="2" t="str">
        <f>=HYPERLINK("https://upbox.ajobthing.my/leads/4086861", "https://upbox.ajobthing.my/leads/4086861")</f>
        <v>https://upbox.ajobthing.my/leads/4086861</v>
      </c>
      <c r="I2820" t="inlineStr">
        <is>
          <t>SPORTS TECH PRO SDN BHD</t>
        </is>
      </c>
      <c r="J2820" t="inlineStr">
        <is>
          <t>Small Fish</t>
        </is>
      </c>
      <c r="K2820" t="inlineStr">
        <is>
          <t>Lucas</t>
        </is>
      </c>
      <c r="L2820" s="4"/>
      <c r="M2820" s="4">
        <v>46121.73564814815</v>
      </c>
      <c r="N2820"/>
      <c r="O2820">
        <v>6048</v>
      </c>
      <c r="P2820" s="4"/>
      <c r="Q2820" s="4"/>
      <c r="R2820"/>
      <c r="S2820"/>
      <c r="T2820" s="4"/>
      <c r="U2820" s="4"/>
      <c r="V2820"/>
      <c r="W2820"/>
      <c r="X2820"/>
      <c r="Y2820" t="inlineStr">
        <is>
          <t>Pending Appointment</t>
        </is>
      </c>
      <c r="Z2820" t="inlineStr">
        <is>
          <t>Hiring Now</t>
        </is>
      </c>
      <c r="AA2820">
        <v>5</v>
      </c>
      <c r="AB2820" t="inlineStr">
        <is>
          <t>No Appointment Made</t>
        </is>
      </c>
      <c r="AC2820"/>
      <c r="AD2820" t="inlineStr">
        <is>
          <t xml:space="preserve">5 freelance , more on part time role </t>
        </is>
      </c>
      <c r="AE2820"/>
      <c r="AF2820">
        <v>0</v>
      </c>
      <c r="AG2820" s="4"/>
      <c r="AH2820" s="4"/>
      <c r="AI2820">
        <v>0</v>
      </c>
      <c r="AJ2820">
        <v>0</v>
      </c>
      <c r="AK2820" t="inlineStr">
        <is>
          <t>No, I don't need at all</t>
        </is>
      </c>
      <c r="AL2820">
        <v>0</v>
      </c>
      <c r="AM2820" t="inlineStr">
        <is>
          <t>No, I don't need at all</t>
        </is>
      </c>
      <c r="AN2820"/>
      <c r="AO2820" t="inlineStr">
        <is>
          <t>No, I don't need at all</t>
        </is>
      </c>
      <c r="AP2820" t="inlineStr">
        <is>
          <t>Once a year (25%)</t>
        </is>
      </c>
      <c r="AQ2820">
        <v>5</v>
      </c>
      <c r="AR2820" t="inlineStr">
        <is>
          <t>Did not use any job portal</t>
        </is>
      </c>
      <c r="AS2820" t="inlineStr">
        <is>
          <t>- Headcount: 5
- Hiring Job Details: 5 freelance, more on part time role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5
- Hiring frequency: Once a year (25%)
- External job portal: Did not use any job portal</t>
        </is>
      </c>
      <c r="AT2820">
        <v>75</v>
      </c>
      <c r="AU2820" t="inlineStr">
        <is>
          <t>0.75</t>
        </is>
      </c>
      <c r="AV2820" t="inlineStr">
        <is>
          <t>20</t>
        </is>
      </c>
      <c r="AW2820" t="inlineStr">
        <is>
          <t>0</t>
        </is>
      </c>
      <c r="AX2820" t="inlineStr">
        <is>
          <t>Not Qualified</t>
        </is>
      </c>
      <c r="AY2820" s="4"/>
      <c r="AZ2820"/>
      <c r="BA2820"/>
      <c r="BB2820"/>
      <c r="BC2820"/>
      <c r="BD2820" s="4"/>
      <c r="BE2820"/>
      <c r="BF2820"/>
      <c r="BG2820" t="inlineStr">
        <is>
          <t>Reschedule</t>
        </is>
      </c>
      <c r="BH2820" t="inlineStr">
        <is>
          <t>Yee Hang</t>
        </is>
      </c>
      <c r="BI2820"/>
      <c r="BJ2820" s="4">
        <v>46144.755324074074</v>
      </c>
      <c r="BK2820" s="4">
        <v>46072.41079861111</v>
      </c>
      <c r="BL2820" t="inlineStr">
        <is>
          <t>0.0</t>
        </is>
      </c>
      <c r="BM2820" t="inlineStr">
        <is>
          <t>0.0</t>
        </is>
      </c>
      <c r="BN2820"/>
      <c r="BO2820" s="4"/>
      <c r="BP2820">
        <v>166306</v>
      </c>
      <c r="BQ2820"/>
      <c r="BR2820"/>
      <c r="BS2820"/>
      <c r="BT2820"/>
      <c r="BU2820"/>
      <c r="BV2820"/>
      <c r="BW2820"/>
      <c r="BX2820"/>
      <c r="BY2820"/>
      <c r="BZ2820" s="4"/>
      <c r="CA2820"/>
      <c r="CB2820"/>
      <c r="CC2820" s="4"/>
      <c r="CD2820" t="inlineStr">
        <is>
          <t>30</t>
        </is>
      </c>
      <c r="CE2820" t="inlineStr">
        <is>
          <t>0</t>
        </is>
      </c>
      <c r="CF2820" t="inlineStr">
        <is>
          <t>Q2-W01</t>
        </is>
      </c>
      <c r="CG2820"/>
      <c r="CH2820"/>
      <c r="CI2820"/>
      <c r="CJ2820" t="inlineStr">
        <is>
          <t>No Paid</t>
        </is>
      </c>
      <c r="CK2820" t="inlineStr">
        <is>
          <t>Not Eligible</t>
        </is>
      </c>
      <c r="CL2820"/>
      <c r="CM2820"/>
    </row>
    <row r="2821" ht="25.5" customHeight="1">
      <c r="A2821" t="inlineStr">
        <is>
          <t>170166</t>
        </is>
      </c>
      <c r="B2821" s="2"/>
      <c r="C2821"/>
      <c r="D2821" s="3">
        <v>46121.73940972222</v>
      </c>
      <c r="E2821" t="inlineStr">
        <is>
          <t>Q2-W01</t>
        </is>
      </c>
      <c r="F2821" t="inlineStr">
        <is>
          <t>Ken Yi</t>
        </is>
      </c>
      <c r="G2821" t="inlineStr">
        <is>
          <t>Customer</t>
        </is>
      </c>
      <c r="H2821" s="2" t="str">
        <f>=HYPERLINK("https://upbox.ajobthing.my/customer/170166", "https://upbox.ajobthing.my/customer/170166")</f>
        <v>https://upbox.ajobthing.my/customer/170166</v>
      </c>
      <c r="I2821" t="inlineStr">
        <is>
          <t>SJ Universal Air Condition &amp; Refrigerator Sdn Bhd</t>
        </is>
      </c>
      <c r="J2821" t="inlineStr">
        <is>
          <t>Small Fish</t>
        </is>
      </c>
      <c r="K2821" t="inlineStr">
        <is>
          <t>Kenyi</t>
        </is>
      </c>
      <c r="L2821" s="4"/>
      <c r="M2821" s="4">
        <v>46121.75315972222</v>
      </c>
      <c r="N2821"/>
      <c r="O2821">
        <v>10800</v>
      </c>
      <c r="P2821" s="4"/>
      <c r="Q2821" s="4"/>
      <c r="R2821"/>
      <c r="S2821"/>
      <c r="T2821" s="4"/>
      <c r="U2821" s="4"/>
      <c r="V2821"/>
      <c r="W2821"/>
      <c r="X2821"/>
      <c r="Y2821" t="inlineStr">
        <is>
          <t>Pending Appointment</t>
        </is>
      </c>
      <c r="Z2821" t="inlineStr">
        <is>
          <t>Hiring Now</t>
        </is>
      </c>
      <c r="AA2821">
        <v>4</v>
      </c>
      <c r="AB2821" t="inlineStr">
        <is>
          <t>No Appointment Made</t>
        </is>
      </c>
      <c r="AC2821"/>
      <c r="AD2821" t="inlineStr">
        <is>
          <t>Admin 1, technician 3</t>
        </is>
      </c>
      <c r="AE2821"/>
      <c r="AF2821">
        <v>0</v>
      </c>
      <c r="AG2821" s="4"/>
      <c r="AH2821" s="4"/>
      <c r="AI2821">
        <v>0</v>
      </c>
      <c r="AJ2821">
        <v>1</v>
      </c>
      <c r="AK2821" t="inlineStr">
        <is>
          <t>Yes, I have</t>
        </is>
      </c>
      <c r="AL2821">
        <v>1</v>
      </c>
      <c r="AM2821" t="inlineStr">
        <is>
          <t>No, I don't need at all</t>
        </is>
      </c>
      <c r="AN2821"/>
      <c r="AO2821" t="inlineStr">
        <is>
          <t>No, I don't need at all</t>
        </is>
      </c>
      <c r="AP2821" t="inlineStr">
        <is>
          <t>Every month (100%)</t>
        </is>
      </c>
      <c r="AQ2821">
        <v>4</v>
      </c>
      <c r="AR2821" t="inlineStr">
        <is>
          <t>Jobstreet</t>
        </is>
      </c>
      <c r="AS2821" t="inlineStr">
        <is>
          <t>- Headcount: 4
- Hiring Job Details: 1 Admin, 3 technicians
- Hiring Urgency: Hiring Now
- Number of outlets: 1
- Have recruiter team: Yes
- Number of recruiter in company: 1
- Have ATS system: No, I don't need at all
- Have career website: No, I don't need at all
- Current hiring budget: RM0
- Whole year budget: RM0.00
- Whole year number of vacancies: 4
- Hiring frequency: Every month (100%)
- External job portal: Jobstreet</t>
        </is>
      </c>
      <c r="AT2821">
        <v>105</v>
      </c>
      <c r="AU2821" t="inlineStr">
        <is>
          <t>1.05</t>
        </is>
      </c>
      <c r="AV2821" t="inlineStr">
        <is>
          <t>15</t>
        </is>
      </c>
      <c r="AW2821" t="inlineStr">
        <is>
          <t>0</t>
        </is>
      </c>
      <c r="AX2821" t="inlineStr">
        <is>
          <t>Not Qualified</t>
        </is>
      </c>
      <c r="AY2821" s="4"/>
      <c r="AZ2821"/>
      <c r="BA2821"/>
      <c r="BB2821"/>
      <c r="BC2821" t="inlineStr">
        <is>
          <t>- Headcount: 4
- Hiring Job Details: 1 Admin, 3 technicians
- Hiring Urgency: Hiring Now
- Number of outlets: 1
- Have recruiter team: Yes
- Number of recruiter in company: 1
- Have ATS system: No, I don't need at all
- Have career website: No, I don't need at all
- Current hiring budget: RM0
- Whole year budget: RM0.00
- Whole year number of vacancies: 4
- Hiring frequency: Every month (100%)
- External job portal: Jobstreet</t>
        </is>
      </c>
      <c r="BD2821" s="4">
        <v>46121.75041666667</v>
      </c>
      <c r="BE2821"/>
      <c r="BF2821"/>
      <c r="BG2821" t="inlineStr">
        <is>
          <t>Reschedule</t>
        </is>
      </c>
      <c r="BH2821" t="inlineStr">
        <is>
          <t>Fauziah Maharan</t>
        </is>
      </c>
      <c r="BI2821" t="inlineStr">
        <is>
          <t>Electrical / Electronics</t>
        </is>
      </c>
      <c r="BJ2821" s="4">
        <v>46144.75140046296</v>
      </c>
      <c r="BK2821" s="4">
        <v>45153.51023148148</v>
      </c>
      <c r="BL2821" t="inlineStr">
        <is>
          <t>0.0</t>
        </is>
      </c>
      <c r="BM2821" t="inlineStr">
        <is>
          <t>0.0</t>
        </is>
      </c>
      <c r="BN2821" t="inlineStr">
        <is>
          <t>View Company Page</t>
        </is>
      </c>
      <c r="BO2821" s="4">
        <v>46118.80685185185</v>
      </c>
      <c r="BP2821">
        <v>166312</v>
      </c>
      <c r="BQ2821"/>
      <c r="BR2821"/>
      <c r="BS2821"/>
      <c r="BT2821"/>
      <c r="BU2821"/>
      <c r="BV2821">
        <v>2697026</v>
      </c>
      <c r="BW2821" t="inlineStr">
        <is>
          <t>Customer Inquiry</t>
        </is>
      </c>
      <c r="BX2821"/>
      <c r="BY2821"/>
      <c r="BZ2821" s="4"/>
      <c r="CA2821"/>
      <c r="CB2821"/>
      <c r="CC2821" s="4"/>
      <c r="CD2821" t="inlineStr">
        <is>
          <t>20</t>
        </is>
      </c>
      <c r="CE2821" t="inlineStr">
        <is>
          <t>0</t>
        </is>
      </c>
      <c r="CF2821" t="inlineStr">
        <is>
          <t>Q2-W01</t>
        </is>
      </c>
      <c r="CG2821"/>
      <c r="CH2821"/>
      <c r="CI2821"/>
      <c r="CJ2821" t="inlineStr">
        <is>
          <t>No Paid</t>
        </is>
      </c>
      <c r="CK2821" t="inlineStr">
        <is>
          <t>Not Eligible</t>
        </is>
      </c>
      <c r="CL2821"/>
      <c r="CM2821"/>
    </row>
    <row r="2822" ht="25.5" customHeight="1">
      <c r="A2822" t="inlineStr">
        <is>
          <t>4265141</t>
        </is>
      </c>
      <c r="B2822" s="2"/>
      <c r="C2822"/>
      <c r="D2822" s="3">
        <v>46121.7434375</v>
      </c>
      <c r="E2822" t="inlineStr">
        <is>
          <t>Q2-W01</t>
        </is>
      </c>
      <c r="F2822" t="inlineStr">
        <is>
          <t>Josh</t>
        </is>
      </c>
      <c r="G2822" t="inlineStr">
        <is>
          <t>Lead</t>
        </is>
      </c>
      <c r="H2822" s="2" t="str">
        <f>=HYPERLINK("https://upbox.ajobthing.my/leads/4265141", "https://upbox.ajobthing.my/leads/4265141")</f>
        <v>https://upbox.ajobthing.my/leads/4265141</v>
      </c>
      <c r="I2822" t="inlineStr">
        <is>
          <t>Sinnwanng Express</t>
        </is>
      </c>
      <c r="J2822" t="inlineStr">
        <is>
          <t>Small Fish</t>
        </is>
      </c>
      <c r="K2822" t="inlineStr">
        <is>
          <t>Josh</t>
        </is>
      </c>
      <c r="L2822" s="4"/>
      <c r="M2822" s="4">
        <v>46121.72704861111</v>
      </c>
      <c r="N2822"/>
      <c r="O2822">
        <v>1188</v>
      </c>
      <c r="P2822" s="4"/>
      <c r="Q2822" s="4"/>
      <c r="R2822"/>
      <c r="S2822"/>
      <c r="T2822" s="4"/>
      <c r="U2822" s="4"/>
      <c r="V2822"/>
      <c r="W2822"/>
      <c r="X2822"/>
      <c r="Y2822" t="inlineStr">
        <is>
          <t>Pending Appointment</t>
        </is>
      </c>
      <c r="Z2822" t="inlineStr">
        <is>
          <t>Hiring Now</t>
        </is>
      </c>
      <c r="AA2822">
        <v>1</v>
      </c>
      <c r="AB2822" t="inlineStr">
        <is>
          <t>No Appointment Made</t>
        </is>
      </c>
      <c r="AC2822"/>
      <c r="AD2822" t="inlineStr">
        <is>
          <t xml:space="preserve">1 admin </t>
        </is>
      </c>
      <c r="AE2822"/>
      <c r="AF2822">
        <v>1000</v>
      </c>
      <c r="AG2822" s="4"/>
      <c r="AH2822" s="4"/>
      <c r="AI2822"/>
      <c r="AJ2822"/>
      <c r="AK2822" t="inlineStr">
        <is>
          <t>Yes, I have</t>
        </is>
      </c>
      <c r="AL2822"/>
      <c r="AM2822"/>
      <c r="AN2822"/>
      <c r="AO2822"/>
      <c r="AP2822" t="inlineStr">
        <is>
          <t>Once a year (25%)</t>
        </is>
      </c>
      <c r="AQ2822"/>
      <c r="AR2822"/>
      <c r="AS2822" t="inlineStr">
        <is>
          <t>- Headcount: 1
- Hiring Job Details: 1 admin
- Hiring Urgency: Hiring Now
- Number of outlets: Not specified
- Have recruiter team: Yes
- Number of recruiter in company: Not specified
- Have ATS system: Not specified
- Have career website: Not specified
- Current hiring budget: RM1,000.00
- Whole year budget: Not specified
- Whole year number of vacancies: Not specified
- Hiring frequency: Once a year (25%)
- External job portal: Not specified</t>
        </is>
      </c>
      <c r="AT2822">
        <v>75</v>
      </c>
      <c r="AU2822" t="inlineStr">
        <is>
          <t>0.75</t>
        </is>
      </c>
      <c r="AV2822" t="inlineStr">
        <is>
          <t>15</t>
        </is>
      </c>
      <c r="AW2822" t="inlineStr">
        <is>
          <t>0</t>
        </is>
      </c>
      <c r="AX2822" t="inlineStr">
        <is>
          <t>Not Qualified</t>
        </is>
      </c>
      <c r="AY2822" s="4"/>
      <c r="AZ2822"/>
      <c r="BA2822"/>
      <c r="BB2822"/>
      <c r="BC2822"/>
      <c r="BD2822" s="4"/>
      <c r="BE2822"/>
      <c r="BF2822"/>
      <c r="BG2822" t="inlineStr">
        <is>
          <t>Reschedule</t>
        </is>
      </c>
      <c r="BH2822" t="inlineStr">
        <is>
          <t>Fauziah Maharan</t>
        </is>
      </c>
      <c r="BI2822"/>
      <c r="BJ2822" s="4">
        <v>46144.75578703704</v>
      </c>
      <c r="BK2822" s="4">
        <v>46121.640648148146</v>
      </c>
      <c r="BL2822" t="inlineStr">
        <is>
          <t>0.0</t>
        </is>
      </c>
      <c r="BM2822" t="inlineStr">
        <is>
          <t>0.0</t>
        </is>
      </c>
      <c r="BN2822"/>
      <c r="BO2822" s="4"/>
      <c r="BP2822">
        <v>166293</v>
      </c>
      <c r="BQ2822"/>
      <c r="BR2822"/>
      <c r="BS2822"/>
      <c r="BT2822"/>
      <c r="BU2822"/>
      <c r="BV2822"/>
      <c r="BW2822"/>
      <c r="BX2822"/>
      <c r="BY2822"/>
      <c r="BZ2822" s="4"/>
      <c r="CA2822"/>
      <c r="CB2822"/>
      <c r="CC2822" s="4"/>
      <c r="CD2822" t="inlineStr">
        <is>
          <t>20</t>
        </is>
      </c>
      <c r="CE2822" t="inlineStr">
        <is>
          <t>0</t>
        </is>
      </c>
      <c r="CF2822" t="inlineStr">
        <is>
          <t>Q2-W01</t>
        </is>
      </c>
      <c r="CG2822"/>
      <c r="CH2822"/>
      <c r="CI2822"/>
      <c r="CJ2822" t="inlineStr">
        <is>
          <t>No Paid</t>
        </is>
      </c>
      <c r="CK2822" t="inlineStr">
        <is>
          <t>Not Eligible</t>
        </is>
      </c>
      <c r="CL2822"/>
      <c r="CM2822"/>
    </row>
    <row r="2823" ht="25.5" customHeight="1">
      <c r="A2823" t="inlineStr">
        <is>
          <t>4264390</t>
        </is>
      </c>
      <c r="B2823" s="2"/>
      <c r="C2823"/>
      <c r="D2823" s="3">
        <v>46121.74460648148</v>
      </c>
      <c r="E2823" t="inlineStr">
        <is>
          <t>Q2-W01</t>
        </is>
      </c>
      <c r="F2823" t="inlineStr">
        <is>
          <t>Josh</t>
        </is>
      </c>
      <c r="G2823" t="inlineStr">
        <is>
          <t>Lead</t>
        </is>
      </c>
      <c r="H2823" s="2" t="str">
        <f>=HYPERLINK("https://upbox.ajobthing.my/leads/4264390", "https://upbox.ajobthing.my/leads/4264390")</f>
        <v>https://upbox.ajobthing.my/leads/4264390</v>
      </c>
      <c r="I2823" t="inlineStr">
        <is>
          <t>Adhesign Printing</t>
        </is>
      </c>
      <c r="J2823" t="inlineStr">
        <is>
          <t>Small Fish</t>
        </is>
      </c>
      <c r="K2823" t="inlineStr">
        <is>
          <t>Josh</t>
        </is>
      </c>
      <c r="L2823" s="4"/>
      <c r="M2823" s="4">
        <v>46121.52722222222</v>
      </c>
      <c r="N2823"/>
      <c r="O2823">
        <v>864</v>
      </c>
      <c r="P2823" s="4"/>
      <c r="Q2823" s="4"/>
      <c r="R2823"/>
      <c r="S2823"/>
      <c r="T2823" s="4"/>
      <c r="U2823" s="4"/>
      <c r="V2823"/>
      <c r="W2823"/>
      <c r="X2823"/>
      <c r="Y2823" t="inlineStr">
        <is>
          <t>Pending Appointment</t>
        </is>
      </c>
      <c r="Z2823" t="inlineStr">
        <is>
          <t>Hiring Now</t>
        </is>
      </c>
      <c r="AA2823">
        <v>1</v>
      </c>
      <c r="AB2823" t="inlineStr">
        <is>
          <t>No Appointment Made</t>
        </is>
      </c>
      <c r="AC2823"/>
      <c r="AD2823" t="inlineStr">
        <is>
          <t>1 graphic designer</t>
        </is>
      </c>
      <c r="AE2823"/>
      <c r="AF2823">
        <v>0</v>
      </c>
      <c r="AG2823" s="4"/>
      <c r="AH2823" s="4"/>
      <c r="AI2823"/>
      <c r="AJ2823"/>
      <c r="AK2823" t="inlineStr">
        <is>
          <t>Yes, I have</t>
        </is>
      </c>
      <c r="AL2823"/>
      <c r="AM2823"/>
      <c r="AN2823"/>
      <c r="AO2823"/>
      <c r="AP2823" t="inlineStr">
        <is>
          <t>Once a year (25%)</t>
        </is>
      </c>
      <c r="AQ2823"/>
      <c r="AR2823"/>
      <c r="AS2823" t="inlineStr">
        <is>
          <t>- Headcount: 1
- Hiring Job Details: 1 graphic designer
- Hiring Urgency: Hiring Now
- Number of outlets: Not provided
- Have recruiter team: Yes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823">
        <v>95</v>
      </c>
      <c r="AU2823" t="inlineStr">
        <is>
          <t>0.95</t>
        </is>
      </c>
      <c r="AV2823" t="inlineStr">
        <is>
          <t>15</t>
        </is>
      </c>
      <c r="AW2823" t="inlineStr">
        <is>
          <t>0</t>
        </is>
      </c>
      <c r="AX2823" t="inlineStr">
        <is>
          <t>Not Qualified</t>
        </is>
      </c>
      <c r="AY2823" s="4"/>
      <c r="AZ2823"/>
      <c r="BA2823"/>
      <c r="BB2823"/>
      <c r="BC2823"/>
      <c r="BD2823" s="4"/>
      <c r="BE2823"/>
      <c r="BF2823"/>
      <c r="BG2823" t="inlineStr">
        <is>
          <t>Reschedule</t>
        </is>
      </c>
      <c r="BH2823" t="inlineStr">
        <is>
          <t>Fauziah Maharan</t>
        </is>
      </c>
      <c r="BI2823"/>
      <c r="BJ2823" s="4">
        <v>46144.75578703704</v>
      </c>
      <c r="BK2823" s="4">
        <v>46121.506585648145</v>
      </c>
      <c r="BL2823" t="inlineStr">
        <is>
          <t>0.0</t>
        </is>
      </c>
      <c r="BM2823" t="inlineStr">
        <is>
          <t>0.0</t>
        </is>
      </c>
      <c r="BN2823"/>
      <c r="BO2823" s="4"/>
      <c r="BP2823">
        <v>166174</v>
      </c>
      <c r="BQ2823"/>
      <c r="BR2823"/>
      <c r="BS2823"/>
      <c r="BT2823"/>
      <c r="BU2823"/>
      <c r="BV2823"/>
      <c r="BW2823"/>
      <c r="BX2823"/>
      <c r="BY2823"/>
      <c r="BZ2823" s="4"/>
      <c r="CA2823"/>
      <c r="CB2823"/>
      <c r="CC2823" s="4"/>
      <c r="CD2823" t="inlineStr">
        <is>
          <t>20</t>
        </is>
      </c>
      <c r="CE2823" t="inlineStr">
        <is>
          <t>0</t>
        </is>
      </c>
      <c r="CF2823" t="inlineStr">
        <is>
          <t>Q2-W01</t>
        </is>
      </c>
      <c r="CG2823"/>
      <c r="CH2823"/>
      <c r="CI2823"/>
      <c r="CJ2823" t="inlineStr">
        <is>
          <t>No Paid</t>
        </is>
      </c>
      <c r="CK2823" t="inlineStr">
        <is>
          <t>Not Eligible</t>
        </is>
      </c>
      <c r="CL2823"/>
      <c r="CM2823"/>
    </row>
    <row r="2824" ht="25.5" customHeight="1">
      <c r="A2824" t="inlineStr">
        <is>
          <t>4265225</t>
        </is>
      </c>
      <c r="B2824" s="2"/>
      <c r="C2824"/>
      <c r="D2824" s="3">
        <v>46121.74821759259</v>
      </c>
      <c r="E2824" t="inlineStr">
        <is>
          <t>Q2-W01</t>
        </is>
      </c>
      <c r="F2824" t="inlineStr">
        <is>
          <t>Chia Yee</t>
        </is>
      </c>
      <c r="G2824" t="inlineStr">
        <is>
          <t>Lead</t>
        </is>
      </c>
      <c r="H2824" s="2" t="str">
        <f>=HYPERLINK("https://upbox.ajobthing.my/leads/4265225", "https://upbox.ajobthing.my/leads/4265225")</f>
        <v>https://upbox.ajobthing.my/leads/4265225</v>
      </c>
      <c r="I2824" t="inlineStr">
        <is>
          <t>Taska Nail Uwais</t>
        </is>
      </c>
      <c r="J2824" t="inlineStr">
        <is>
          <t>Small Fish</t>
        </is>
      </c>
      <c r="K2824" t="inlineStr">
        <is>
          <t>Chia Yee</t>
        </is>
      </c>
      <c r="L2824" s="4"/>
      <c r="M2824" s="4">
        <v>46121.66643518519</v>
      </c>
      <c r="N2824"/>
      <c r="O2824">
        <v>1296</v>
      </c>
      <c r="P2824" s="4"/>
      <c r="Q2824" s="4"/>
      <c r="R2824"/>
      <c r="S2824"/>
      <c r="T2824" s="4"/>
      <c r="U2824" s="4"/>
      <c r="V2824"/>
      <c r="W2824"/>
      <c r="X2824"/>
      <c r="Y2824" t="inlineStr">
        <is>
          <t>Pending Appointment</t>
        </is>
      </c>
      <c r="Z2824" t="inlineStr">
        <is>
          <t>Hiring Now</t>
        </is>
      </c>
      <c r="AA2824">
        <v>1</v>
      </c>
      <c r="AB2824" t="inlineStr">
        <is>
          <t>No Appointment Made</t>
        </is>
      </c>
      <c r="AC2824"/>
      <c r="AD2824" t="inlineStr">
        <is>
          <t>1 Teacher</t>
        </is>
      </c>
      <c r="AE2824"/>
      <c r="AF2824">
        <v>0</v>
      </c>
      <c r="AG2824" s="4"/>
      <c r="AH2824" s="4"/>
      <c r="AI2824">
        <v>0</v>
      </c>
      <c r="AJ2824">
        <v>1</v>
      </c>
      <c r="AK2824" t="inlineStr">
        <is>
          <t>No, I don't need at all</t>
        </is>
      </c>
      <c r="AL2824">
        <v>1</v>
      </c>
      <c r="AM2824" t="inlineStr">
        <is>
          <t>No, I don't need at all</t>
        </is>
      </c>
      <c r="AN2824"/>
      <c r="AO2824" t="inlineStr">
        <is>
          <t>No, I don't need at all</t>
        </is>
      </c>
      <c r="AP2824" t="inlineStr">
        <is>
          <t>Once a year (25%)</t>
        </is>
      </c>
      <c r="AQ2824">
        <v>1</v>
      </c>
      <c r="AR2824" t="inlineStr">
        <is>
          <t>Did not use any job portal</t>
        </is>
      </c>
      <c r="AS2824" t="inlineStr">
        <is>
          <t>- Headcount: 1
- Hiring Job Details: 1 Teacher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1
- Hiring frequency: Once a year (25%)
- External job portal: Did not use any job portal</t>
        </is>
      </c>
      <c r="AT2824">
        <v>105</v>
      </c>
      <c r="AU2824" t="inlineStr">
        <is>
          <t>1.05</t>
        </is>
      </c>
      <c r="AV2824" t="inlineStr">
        <is>
          <t>15</t>
        </is>
      </c>
      <c r="AW2824" t="inlineStr">
        <is>
          <t>0</t>
        </is>
      </c>
      <c r="AX2824" t="inlineStr">
        <is>
          <t>Not Qualified</t>
        </is>
      </c>
      <c r="AY2824" s="4"/>
      <c r="AZ2824"/>
      <c r="BA2824"/>
      <c r="BB2824"/>
      <c r="BC2824"/>
      <c r="BD2824" s="4"/>
      <c r="BE2824"/>
      <c r="BF2824"/>
      <c r="BG2824" t="inlineStr">
        <is>
          <t>Reschedule</t>
        </is>
      </c>
      <c r="BH2824" t="inlineStr">
        <is>
          <t>Reagen</t>
        </is>
      </c>
      <c r="BI2824"/>
      <c r="BJ2824" s="4">
        <v>46144.75578703704</v>
      </c>
      <c r="BK2824" s="4">
        <v>46121.65636574074</v>
      </c>
      <c r="BL2824" t="inlineStr">
        <is>
          <t>0.0</t>
        </is>
      </c>
      <c r="BM2824" t="inlineStr">
        <is>
          <t>0.0</t>
        </is>
      </c>
      <c r="BN2824"/>
      <c r="BO2824" s="4"/>
      <c r="BP2824">
        <v>166253</v>
      </c>
      <c r="BQ2824"/>
      <c r="BR2824"/>
      <c r="BS2824"/>
      <c r="BT2824"/>
      <c r="BU2824"/>
      <c r="BV2824"/>
      <c r="BW2824"/>
      <c r="BX2824"/>
      <c r="BY2824"/>
      <c r="BZ2824" s="4"/>
      <c r="CA2824"/>
      <c r="CB2824"/>
      <c r="CC2824" s="4"/>
      <c r="CD2824" t="inlineStr">
        <is>
          <t>20</t>
        </is>
      </c>
      <c r="CE2824" t="inlineStr">
        <is>
          <t>0</t>
        </is>
      </c>
      <c r="CF2824" t="inlineStr">
        <is>
          <t>Q2-W01</t>
        </is>
      </c>
      <c r="CG2824"/>
      <c r="CH2824"/>
      <c r="CI2824"/>
      <c r="CJ2824" t="inlineStr">
        <is>
          <t>No Paid</t>
        </is>
      </c>
      <c r="CK2824" t="inlineStr">
        <is>
          <t>Not Eligible</t>
        </is>
      </c>
      <c r="CL2824"/>
      <c r="CM2824"/>
    </row>
    <row r="2825" ht="25.5" customHeight="1">
      <c r="A2825" t="inlineStr">
        <is>
          <t>4264084</t>
        </is>
      </c>
      <c r="B2825" s="2"/>
      <c r="C2825"/>
      <c r="D2825" s="3">
        <v>46121.76462962963</v>
      </c>
      <c r="E2825" t="inlineStr">
        <is>
          <t>Q2-W01</t>
        </is>
      </c>
      <c r="F2825" t="inlineStr">
        <is>
          <t>Angel  Low</t>
        </is>
      </c>
      <c r="G2825" t="inlineStr">
        <is>
          <t>Lead</t>
        </is>
      </c>
      <c r="H2825" s="2" t="str">
        <f>=HYPERLINK("https://upbox.ajobthing.my/leads/4264084", "https://upbox.ajobthing.my/leads/4264084")</f>
        <v>https://upbox.ajobthing.my/leads/4264084</v>
      </c>
      <c r="I2825" t="inlineStr">
        <is>
          <t>Tang Yi Space Sdn Bhd</t>
        </is>
      </c>
      <c r="J2825" t="inlineStr">
        <is>
          <t>Small Fish</t>
        </is>
      </c>
      <c r="K2825" t="inlineStr">
        <is>
          <t>Angel Low</t>
        </is>
      </c>
      <c r="L2825" s="4"/>
      <c r="M2825" s="4">
        <v>46121.76583333333</v>
      </c>
      <c r="N2825"/>
      <c r="O2825">
        <v>3672</v>
      </c>
      <c r="P2825" s="4"/>
      <c r="Q2825" s="4"/>
      <c r="R2825"/>
      <c r="S2825"/>
      <c r="T2825" s="4"/>
      <c r="U2825" s="4"/>
      <c r="V2825"/>
      <c r="W2825"/>
      <c r="X2825"/>
      <c r="Y2825" t="inlineStr">
        <is>
          <t>Pending Appointment</t>
        </is>
      </c>
      <c r="Z2825" t="inlineStr">
        <is>
          <t>Hiring Now</t>
        </is>
      </c>
      <c r="AA2825">
        <v>2</v>
      </c>
      <c r="AB2825" t="inlineStr">
        <is>
          <t>No Appointment Made</t>
        </is>
      </c>
      <c r="AC2825"/>
      <c r="AD2825" t="inlineStr">
        <is>
          <t xml:space="preserve">2 sales and marketing </t>
        </is>
      </c>
      <c r="AE2825"/>
      <c r="AF2825"/>
      <c r="AG2825" s="4"/>
      <c r="AH2825" s="4"/>
      <c r="AI2825"/>
      <c r="AJ2825"/>
      <c r="AK2825"/>
      <c r="AL2825"/>
      <c r="AM2825"/>
      <c r="AN2825"/>
      <c r="AO2825"/>
      <c r="AP2825"/>
      <c r="AQ2825"/>
      <c r="AR2825"/>
      <c r="AS2825" t="inlineStr">
        <is>
          <t>- Headcount: 2
- Hiring Job Details: 2 sales and marketing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t>
        </is>
      </c>
      <c r="AT2825">
        <v>70</v>
      </c>
      <c r="AU2825" t="inlineStr">
        <is>
          <t>0.70</t>
        </is>
      </c>
      <c r="AV2825" t="inlineStr">
        <is>
          <t>5</t>
        </is>
      </c>
      <c r="AW2825" t="inlineStr">
        <is>
          <t>0</t>
        </is>
      </c>
      <c r="AX2825" t="inlineStr">
        <is>
          <t>Not Qualified</t>
        </is>
      </c>
      <c r="AY2825" s="4"/>
      <c r="AZ2825"/>
      <c r="BA2825"/>
      <c r="BB2825"/>
      <c r="BC2825"/>
      <c r="BD2825" s="4"/>
      <c r="BE2825"/>
      <c r="BF2825"/>
      <c r="BG2825" t="inlineStr">
        <is>
          <t>Reschedule</t>
        </is>
      </c>
      <c r="BH2825" t="inlineStr">
        <is>
          <t>Fauziah Maharan</t>
        </is>
      </c>
      <c r="BI2825"/>
      <c r="BJ2825" s="4">
        <v>46144.75578703704</v>
      </c>
      <c r="BK2825" s="4">
        <v>46121.47324074074</v>
      </c>
      <c r="BL2825" t="inlineStr">
        <is>
          <t>0.0</t>
        </is>
      </c>
      <c r="BM2825" t="inlineStr">
        <is>
          <t>0.0</t>
        </is>
      </c>
      <c r="BN2825"/>
      <c r="BO2825" s="4"/>
      <c r="BP2825">
        <v>166317</v>
      </c>
      <c r="BQ2825"/>
      <c r="BR2825"/>
      <c r="BS2825"/>
      <c r="BT2825"/>
      <c r="BU2825"/>
      <c r="BV2825"/>
      <c r="BW2825"/>
      <c r="BX2825"/>
      <c r="BY2825"/>
      <c r="BZ2825" s="4"/>
      <c r="CA2825"/>
      <c r="CB2825"/>
      <c r="CC2825" s="4"/>
      <c r="CD2825" t="inlineStr">
        <is>
          <t>5</t>
        </is>
      </c>
      <c r="CE2825" t="inlineStr">
        <is>
          <t>0</t>
        </is>
      </c>
      <c r="CF2825" t="inlineStr">
        <is>
          <t>Q2-W01</t>
        </is>
      </c>
      <c r="CG2825"/>
      <c r="CH2825"/>
      <c r="CI2825"/>
      <c r="CJ2825" t="inlineStr">
        <is>
          <t>No Paid</t>
        </is>
      </c>
      <c r="CK2825" t="inlineStr">
        <is>
          <t>Not Eligible</t>
        </is>
      </c>
      <c r="CL2825"/>
      <c r="CM2825"/>
    </row>
    <row r="2826" ht="25.5" customHeight="1">
      <c r="A2826" t="inlineStr">
        <is>
          <t>197749</t>
        </is>
      </c>
      <c r="B2826" s="2"/>
      <c r="C2826"/>
      <c r="D2826" s="3">
        <v>46115.60246527778</v>
      </c>
      <c r="E2826" t="inlineStr">
        <is>
          <t>Q2-W01</t>
        </is>
      </c>
      <c r="F2826" t="inlineStr">
        <is>
          <t>Yvonne Lee</t>
        </is>
      </c>
      <c r="G2826" t="inlineStr">
        <is>
          <t>Customer</t>
        </is>
      </c>
      <c r="H2826" s="2" t="str">
        <f>=HYPERLINK("https://upbox.ajobthing.my/customer/197749", "https://upbox.ajobthing.my/customer/197749")</f>
        <v>https://upbox.ajobthing.my/customer/197749</v>
      </c>
      <c r="I2826" t="inlineStr">
        <is>
          <t>Fujifilm Business Innovation Malaysia Sdn. Bhd.</t>
        </is>
      </c>
      <c r="J2826" t="inlineStr">
        <is>
          <t>Super Whale</t>
        </is>
      </c>
      <c r="K2826" t="inlineStr">
        <is>
          <t>Yvonne</t>
        </is>
      </c>
      <c r="L2826" s="4"/>
      <c r="M2826" s="4">
        <v>46115.605844907404</v>
      </c>
      <c r="N2826"/>
      <c r="O2826">
        <v>21600</v>
      </c>
      <c r="P2826" s="4"/>
      <c r="Q2826" s="4"/>
      <c r="R2826"/>
      <c r="S2826"/>
      <c r="T2826" s="4"/>
      <c r="U2826" s="4"/>
      <c r="V2826"/>
      <c r="W2826"/>
      <c r="X2826"/>
      <c r="Y2826" t="inlineStr">
        <is>
          <t>Pending Appointment</t>
        </is>
      </c>
      <c r="Z2826" t="inlineStr">
        <is>
          <t>Hiring Now</t>
        </is>
      </c>
      <c r="AA2826">
        <v>5</v>
      </c>
      <c r="AB2826" t="inlineStr">
        <is>
          <t>No Appointment Made</t>
        </is>
      </c>
      <c r="AC2826"/>
      <c r="AD2826" t="inlineStr">
        <is>
          <t>1) Customer Support Executive
2) Account Executive
3) Technical Support Executive
4) Business Solution Support Executive
5) R2R account Executive</t>
        </is>
      </c>
      <c r="AE2826"/>
      <c r="AF2826">
        <v>15000</v>
      </c>
      <c r="AG2826" s="4"/>
      <c r="AH2826" s="4"/>
      <c r="AI2826">
        <v>15000</v>
      </c>
      <c r="AJ2826">
        <v>1</v>
      </c>
      <c r="AK2826" t="inlineStr">
        <is>
          <t>Yes, I have</t>
        </is>
      </c>
      <c r="AL2826">
        <v>5</v>
      </c>
      <c r="AM2826" t="inlineStr">
        <is>
          <t>No, I don't need at all</t>
        </is>
      </c>
      <c r="AN2826"/>
      <c r="AO2826" t="inlineStr">
        <is>
          <t>Yes, I have</t>
        </is>
      </c>
      <c r="AP2826" t="inlineStr">
        <is>
          <t>Every month (100%)</t>
        </is>
      </c>
      <c r="AQ2826">
        <v>100</v>
      </c>
      <c r="AR2826" t="inlineStr">
        <is>
          <t>Jobstreet, Indeed (Paid)</t>
        </is>
      </c>
      <c r="AS2826" t="inlineStr">
        <is>
          <t>- Headcount: 5
- Hiring Job Details: 1) Customer Support Executive 2) Account Executive 3) Technical Support Executive 4) Business Solution Support Executive 5) R2R account Executive
- Hiring Urgency: Hiring Now
- Number of outlets: 1
- Have recruiter team: Yes
- Number of recruiter in company: 5
- Have ATS system: No, I don't need at all
- Have career website: Yes
- Current hiring budget: RM15,000
- Whole year budget: RM15,000.00
- Whole year number of vacancies: 100
- Hiring frequency: Every month (100%)
- External job portal: Jobstreet,Indeed (Paid)</t>
        </is>
      </c>
      <c r="AT2826">
        <v>75</v>
      </c>
      <c r="AU2826" t="inlineStr">
        <is>
          <t>0.75</t>
        </is>
      </c>
      <c r="AV2826" t="inlineStr">
        <is>
          <t>25</t>
        </is>
      </c>
      <c r="AW2826" t="inlineStr">
        <is>
          <t>0</t>
        </is>
      </c>
      <c r="AX2826" t="inlineStr">
        <is>
          <t>Not Qualified</t>
        </is>
      </c>
      <c r="AY2826" s="4"/>
      <c r="AZ2826"/>
      <c r="BA2826"/>
      <c r="BB2826"/>
      <c r="BC2826" t="inlineStr">
        <is>
          <t>- Headcount: 5
- Hiring Job Details: 1) Customer Support Executive 2) Account Executive 3) Technical Support Executive 4) Business Solution Support Executive 5) R2R account Executive
- Hiring Urgency: Hiring Now
- Number of outlets: 1
- Have recruiter team: Yes
- Number of recruiter in company: 5
- Have ATS system: No, I don't need at all
- Have career website: Yes
- Current hiring budget: RM15,000
- Whole year budget: RM15,000.00
- Whole year number of vacancies: 100
- Hiring frequency: Every month (100%)
- External job portal: Jobstreet,Indeed (Paid)</t>
        </is>
      </c>
      <c r="BD2826" s="4">
        <v>46115.625023148146</v>
      </c>
      <c r="BE2826"/>
      <c r="BF2826"/>
      <c r="BG2826" t="inlineStr">
        <is>
          <t>Reschedule</t>
        </is>
      </c>
      <c r="BH2826" t="inlineStr">
        <is>
          <t>andy@ajobthing.com</t>
        </is>
      </c>
      <c r="BI2826"/>
      <c r="BJ2826" s="4">
        <v>46144.752905092595</v>
      </c>
      <c r="BK2826" s="4">
        <v>45959.64144675926</v>
      </c>
      <c r="BL2826" t="inlineStr">
        <is>
          <t>0.0</t>
        </is>
      </c>
      <c r="BM2826" t="inlineStr">
        <is>
          <t>10800.0</t>
        </is>
      </c>
      <c r="BN2826" t="inlineStr">
        <is>
          <t>View Create Job Page</t>
        </is>
      </c>
      <c r="BO2826" s="4">
        <v>45959.650659722225</v>
      </c>
      <c r="BP2826">
        <v>165190</v>
      </c>
      <c r="BQ2826"/>
      <c r="BR2826"/>
      <c r="BS2826"/>
      <c r="BT2826"/>
      <c r="BU2826"/>
      <c r="BV2826">
        <v>2683105</v>
      </c>
      <c r="BW2826" t="inlineStr">
        <is>
          <t>Customer Inquiry</t>
        </is>
      </c>
      <c r="BX2826"/>
      <c r="BY2826"/>
      <c r="BZ2826" s="4"/>
      <c r="CA2826"/>
      <c r="CB2826"/>
      <c r="CC2826" s="4"/>
      <c r="CD2826" t="inlineStr">
        <is>
          <t>35</t>
        </is>
      </c>
      <c r="CE2826" t="inlineStr">
        <is>
          <t>0</t>
        </is>
      </c>
      <c r="CF2826" t="inlineStr">
        <is>
          <t>Q2-W01</t>
        </is>
      </c>
      <c r="CG2826"/>
      <c r="CH2826"/>
      <c r="CI2826"/>
      <c r="CJ2826" t="inlineStr">
        <is>
          <t>No Paid</t>
        </is>
      </c>
      <c r="CK2826" t="inlineStr">
        <is>
          <t>Eligible</t>
        </is>
      </c>
      <c r="CL2826"/>
      <c r="CM2826"/>
    </row>
    <row r="2827" ht="25.5" customHeight="1">
      <c r="A2827" t="inlineStr">
        <is>
          <t>37362</t>
        </is>
      </c>
      <c r="B2827" s="2"/>
      <c r="C2827"/>
      <c r="D2827" s="3">
        <v>46118.50818287037</v>
      </c>
      <c r="E2827" t="inlineStr">
        <is>
          <t>Q2-W01</t>
        </is>
      </c>
      <c r="F2827" t="inlineStr">
        <is>
          <t>Angel  Low</t>
        </is>
      </c>
      <c r="G2827" t="inlineStr">
        <is>
          <t>Customer</t>
        </is>
      </c>
      <c r="H2827" s="2" t="str">
        <f>=HYPERLINK("https://upbox.ajobthing.my/customer/37362", "https://upbox.ajobthing.my/customer/37362")</f>
        <v>https://upbox.ajobthing.my/customer/37362</v>
      </c>
      <c r="I2827" t="inlineStr">
        <is>
          <t>Pu Tien (Malaysia) Sdn Bhd</t>
        </is>
      </c>
      <c r="J2827" t="inlineStr">
        <is>
          <t>Super Whale</t>
        </is>
      </c>
      <c r="K2827" t="inlineStr">
        <is>
          <t>Angel Low</t>
        </is>
      </c>
      <c r="L2827" s="4"/>
      <c r="M2827" s="4">
        <v>46118.508877314816</v>
      </c>
      <c r="N2827"/>
      <c r="O2827">
        <v>5508</v>
      </c>
      <c r="P2827" s="4"/>
      <c r="Q2827" s="4">
        <v>46125.6509375</v>
      </c>
      <c r="R2827"/>
      <c r="S2827">
        <v>3672</v>
      </c>
      <c r="T2827" s="4">
        <v>46125.6509375</v>
      </c>
      <c r="U2827" s="4"/>
      <c r="V2827"/>
      <c r="W2827">
        <v>3672</v>
      </c>
      <c r="X2827" t="inlineStr">
        <is>
          <t>Fauziah Maharan</t>
        </is>
      </c>
      <c r="Y2827" t="inlineStr">
        <is>
          <t>Pending Appointment</t>
        </is>
      </c>
      <c r="Z2827"/>
      <c r="AA2827">
        <v>1</v>
      </c>
      <c r="AB2827" t="inlineStr">
        <is>
          <t>Appointment Made</t>
        </is>
      </c>
      <c r="AC2827" t="inlineStr">
        <is>
          <t>SME (&lt;50 employees)</t>
        </is>
      </c>
      <c r="AD2827" t="inlineStr">
        <is>
          <t xml:space="preserve">1 restaurant supervisor mandarin speaker </t>
        </is>
      </c>
      <c r="AE2827"/>
      <c r="AF2827"/>
      <c r="AG2827" s="4">
        <v>46118.479166666664</v>
      </c>
      <c r="AH2827" s="4">
        <v>46118.5</v>
      </c>
      <c r="AI2827"/>
      <c r="AJ2827">
        <v>11</v>
      </c>
      <c r="AK2827"/>
      <c r="AL2827"/>
      <c r="AM2827"/>
      <c r="AN2827"/>
      <c r="AO2827"/>
      <c r="AP2827"/>
      <c r="AQ2827"/>
      <c r="AR2827"/>
      <c r="AS2827" t="inlineStr">
        <is>
          <t>- Headcount: 1
- Hiring Job Details: 1 restaurant supervisor mandarin speaker
- Number of outlets: 11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is>
      </c>
      <c r="AT2827">
        <v>65</v>
      </c>
      <c r="AU2827" t="inlineStr">
        <is>
          <t>0.65</t>
        </is>
      </c>
      <c r="AV2827" t="inlineStr">
        <is>
          <t>10</t>
        </is>
      </c>
      <c r="AW2827" t="inlineStr">
        <is>
          <t>0</t>
        </is>
      </c>
      <c r="AX2827" t="inlineStr">
        <is>
          <t>Not Qualified</t>
        </is>
      </c>
      <c r="AY2827" s="4"/>
      <c r="AZ2827"/>
      <c r="BA2827"/>
      <c r="BB2827"/>
      <c r="BC2827" t="inlineStr">
        <is>
          <t>verify acc details</t>
        </is>
      </c>
      <c r="BD2827" s="4">
        <v>46127.4909375</v>
      </c>
      <c r="BE2827" t="inlineStr">
        <is>
          <t>paid</t>
        </is>
      </c>
      <c r="BF2827" t="inlineStr">
        <is>
          <t>Q2-W02</t>
        </is>
      </c>
      <c r="BG2827" t="inlineStr">
        <is>
          <t>Reschedule</t>
        </is>
      </c>
      <c r="BH2827" t="inlineStr">
        <is>
          <t>Fauziah Maharan</t>
        </is>
      </c>
      <c r="BI2827" t="inlineStr">
        <is>
          <t>Food / Beverage</t>
        </is>
      </c>
      <c r="BJ2827" s="4">
        <v>46144.7547337963</v>
      </c>
      <c r="BK2827" s="4">
        <v>42872.3965625</v>
      </c>
      <c r="BL2827" t="inlineStr">
        <is>
          <t>0.0</t>
        </is>
      </c>
      <c r="BM2827" t="inlineStr">
        <is>
          <t>2400.0</t>
        </is>
      </c>
      <c r="BN2827" t="inlineStr">
        <is>
          <t>View Job Applicants Page</t>
        </is>
      </c>
      <c r="BO2827" s="4">
        <v>44526.78922453704</v>
      </c>
      <c r="BP2827">
        <v>165365</v>
      </c>
      <c r="BQ2827">
        <v>7589</v>
      </c>
      <c r="BR2827" t="inlineStr">
        <is>
          <t>Manual (Paid)</t>
        </is>
      </c>
      <c r="BS2827" t="inlineStr">
        <is>
          <t>AI Yearly Standard Plan (Jan 26)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
*Special limited RM200 discounts</t>
        </is>
      </c>
      <c r="BT2827">
        <v>7589</v>
      </c>
      <c r="BU2827"/>
      <c r="BV2827">
        <v>2705523</v>
      </c>
      <c r="BW2827" t="inlineStr">
        <is>
          <t>Service / Technical : Help To Post Job</t>
        </is>
      </c>
      <c r="BX2827">
        <v>6</v>
      </c>
      <c r="BY2827">
        <v>6</v>
      </c>
      <c r="BZ2827" s="4"/>
      <c r="CA2827">
        <v>60</v>
      </c>
      <c r="CB2827">
        <v>60</v>
      </c>
      <c r="CC2827" s="4"/>
      <c r="CD2827" t="inlineStr">
        <is>
          <t>10</t>
        </is>
      </c>
      <c r="CE2827" t="inlineStr">
        <is>
          <t>0</t>
        </is>
      </c>
      <c r="CF2827" t="inlineStr">
        <is>
          <t>Q2-W01</t>
        </is>
      </c>
      <c r="CG2827" t="inlineStr">
        <is>
          <t>Q2-W02</t>
        </is>
      </c>
      <c r="CH2827" t="inlineStr">
        <is>
          <t>Q2-W02</t>
        </is>
      </c>
      <c r="CI2827"/>
      <c r="CJ2827" t="inlineStr">
        <is>
          <t>Paid</t>
        </is>
      </c>
      <c r="CK2827" t="inlineStr">
        <is>
          <t>Eligible</t>
        </is>
      </c>
      <c r="CL2827"/>
      <c r="CM2827"/>
    </row>
    <row r="2828" ht="25.5" customHeight="1">
      <c r="A2828" t="inlineStr">
        <is>
          <t>202860</t>
        </is>
      </c>
      <c r="B2828" s="2"/>
      <c r="C2828"/>
      <c r="D2828" s="3">
        <v>46118.609618055554</v>
      </c>
      <c r="E2828" t="inlineStr">
        <is>
          <t>Q2-W01</t>
        </is>
      </c>
      <c r="F2828" t="inlineStr">
        <is>
          <t>Ratha</t>
        </is>
      </c>
      <c r="G2828" t="inlineStr">
        <is>
          <t>Customer</t>
        </is>
      </c>
      <c r="H2828" s="2" t="str">
        <f>=HYPERLINK("https://upbox.ajobthing.my/customer/202860", "https://upbox.ajobthing.my/customer/202860")</f>
        <v>https://upbox.ajobthing.my/customer/202860</v>
      </c>
      <c r="I2828" t="inlineStr">
        <is>
          <t>Far East Organization</t>
        </is>
      </c>
      <c r="J2828" t="inlineStr">
        <is>
          <t>Super Whale</t>
        </is>
      </c>
      <c r="K2828" t="inlineStr">
        <is>
          <t>Ratha</t>
        </is>
      </c>
      <c r="L2828" s="4"/>
      <c r="M2828" s="4">
        <v>46118.61298611111</v>
      </c>
      <c r="N2828"/>
      <c r="O2828">
        <v>1800</v>
      </c>
      <c r="P2828" s="4"/>
      <c r="Q2828" s="4"/>
      <c r="R2828"/>
      <c r="S2828"/>
      <c r="T2828" s="4"/>
      <c r="U2828" s="4"/>
      <c r="V2828"/>
      <c r="W2828"/>
      <c r="X2828"/>
      <c r="Y2828" t="inlineStr">
        <is>
          <t>Pending Appointment</t>
        </is>
      </c>
      <c r="Z2828" t="inlineStr">
        <is>
          <t>Continuous Hiring</t>
        </is>
      </c>
      <c r="AA2828">
        <v>25</v>
      </c>
      <c r="AB2828" t="inlineStr">
        <is>
          <t>No Appointment Made</t>
        </is>
      </c>
      <c r="AC2828"/>
      <c r="AD2828" t="inlineStr">
        <is>
          <t>housekeeping : 20 - working
technician : 5 
Location : Singapore</t>
        </is>
      </c>
      <c r="AE2828"/>
      <c r="AF2828"/>
      <c r="AG2828" s="4"/>
      <c r="AH2828" s="4"/>
      <c r="AI2828">
        <v>0</v>
      </c>
      <c r="AJ2828">
        <v>1</v>
      </c>
      <c r="AK2828" t="inlineStr">
        <is>
          <t>Yes, I have</t>
        </is>
      </c>
      <c r="AL2828">
        <v>2</v>
      </c>
      <c r="AM2828" t="inlineStr">
        <is>
          <t>No, I don't need at all</t>
        </is>
      </c>
      <c r="AN2828"/>
      <c r="AO2828" t="inlineStr">
        <is>
          <t>Yes, I have</t>
        </is>
      </c>
      <c r="AP2828" t="inlineStr">
        <is>
          <t>Every month (100%)</t>
        </is>
      </c>
      <c r="AQ2828">
        <v>0</v>
      </c>
      <c r="AR2828" t="inlineStr">
        <is>
          <t>Jobstreet, Free Job Portal</t>
        </is>
      </c>
      <c r="AS2828" t="inlineStr">
        <is>
          <t>- Headcount: 25
- Hiring Job Details: 20 housekeeping (working), 5 technician; Location: Singapore
- Hiring Urgency: Continuous Hiring
- Number of outlets: 1
- Have recruiter team: Yes
- Number of recruiter in company: 2
- Have ATS system: No, I don't need at all
- Have career website: Yes
- Current hiring budget: Not specified
- Whole year budget: RM0.00
- Whole year number of vacancies: 0
- Hiring frequency: Every month (100%)
- External job portal: Jobstreet, Free Job Portal</t>
        </is>
      </c>
      <c r="AT2828">
        <v>110</v>
      </c>
      <c r="AU2828" t="inlineStr">
        <is>
          <t>1.10</t>
        </is>
      </c>
      <c r="AV2828" t="inlineStr">
        <is>
          <t>15</t>
        </is>
      </c>
      <c r="AW2828" t="inlineStr">
        <is>
          <t>0</t>
        </is>
      </c>
      <c r="AX2828" t="inlineStr">
        <is>
          <t>Not Qualified</t>
        </is>
      </c>
      <c r="AY2828" s="4"/>
      <c r="AZ2828"/>
      <c r="BA2828"/>
      <c r="BB2828"/>
      <c r="BC2828" t="inlineStr">
        <is>
          <t>not proceed</t>
        </is>
      </c>
      <c r="BD2828" s="4">
        <v>46140.71769675926</v>
      </c>
      <c r="BE2828"/>
      <c r="BF2828"/>
      <c r="BG2828" t="inlineStr">
        <is>
          <t>Reschedule</t>
        </is>
      </c>
      <c r="BH2828" t="inlineStr">
        <is>
          <t>Fauziah Maharan</t>
        </is>
      </c>
      <c r="BI2828"/>
      <c r="BJ2828" s="4">
        <v>46144.75414351852</v>
      </c>
      <c r="BK2828" s="4">
        <v>46118.59953703704</v>
      </c>
      <c r="BL2828" t="inlineStr">
        <is>
          <t>0.0</t>
        </is>
      </c>
      <c r="BM2828" t="inlineStr">
        <is>
          <t>3000.0</t>
        </is>
      </c>
      <c r="BN2828" t="inlineStr">
        <is>
          <t>View Company Page</t>
        </is>
      </c>
      <c r="BO2828" s="4">
        <v>46118.715462962966</v>
      </c>
      <c r="BP2828">
        <v>165406</v>
      </c>
      <c r="BQ2828"/>
      <c r="BR2828"/>
      <c r="BS2828"/>
      <c r="BT2828"/>
      <c r="BU2828"/>
      <c r="BV2828">
        <v>2733772</v>
      </c>
      <c r="BW2828" t="inlineStr">
        <is>
          <t>No Answer : Voicemail - WA sent to customer</t>
        </is>
      </c>
      <c r="BX2828"/>
      <c r="BY2828"/>
      <c r="BZ2828" s="4"/>
      <c r="CA2828"/>
      <c r="CB2828"/>
      <c r="CC2828" s="4"/>
      <c r="CD2828" t="inlineStr">
        <is>
          <t>20</t>
        </is>
      </c>
      <c r="CE2828" t="inlineStr">
        <is>
          <t>0</t>
        </is>
      </c>
      <c r="CF2828" t="inlineStr">
        <is>
          <t>Q2-W01</t>
        </is>
      </c>
      <c r="CG2828"/>
      <c r="CH2828"/>
      <c r="CI2828"/>
      <c r="CJ2828" t="inlineStr">
        <is>
          <t>No Paid</t>
        </is>
      </c>
      <c r="CK2828" t="inlineStr">
        <is>
          <t>Eligible</t>
        </is>
      </c>
      <c r="CL2828"/>
      <c r="CM2828"/>
    </row>
    <row r="2829" ht="25.5" customHeight="1">
      <c r="A2829" t="inlineStr">
        <is>
          <t>8099</t>
        </is>
      </c>
      <c r="B2829" s="2"/>
      <c r="C2829"/>
      <c r="D2829" s="3">
        <v>46118.63674768519</v>
      </c>
      <c r="E2829" t="inlineStr">
        <is>
          <t>Q2-W01</t>
        </is>
      </c>
      <c r="F2829" t="inlineStr">
        <is>
          <t>Yvonne Lee</t>
        </is>
      </c>
      <c r="G2829" t="inlineStr">
        <is>
          <t>Customer</t>
        </is>
      </c>
      <c r="H2829" s="2" t="str">
        <f>=HYPERLINK("https://upbox.ajobthing.my/customer/8099", "https://upbox.ajobthing.my/customer/8099")</f>
        <v>https://upbox.ajobthing.my/customer/8099</v>
      </c>
      <c r="I2829" t="inlineStr">
        <is>
          <t>99 Speedmart Sdn Bhd</t>
        </is>
      </c>
      <c r="J2829" t="inlineStr">
        <is>
          <t>Super Whale</t>
        </is>
      </c>
      <c r="K2829" t="inlineStr">
        <is>
          <t>Yvonne</t>
        </is>
      </c>
      <c r="L2829" s="4"/>
      <c r="M2829" s="4">
        <v>46118.63960648148</v>
      </c>
      <c r="N2829"/>
      <c r="O2829">
        <v>10800</v>
      </c>
      <c r="P2829" s="4"/>
      <c r="Q2829" s="4">
        <v>45344.66125</v>
      </c>
      <c r="R2829"/>
      <c r="S2829">
        <v>12720</v>
      </c>
      <c r="T2829" s="4">
        <v>45344.66125</v>
      </c>
      <c r="U2829" s="4"/>
      <c r="V2829"/>
      <c r="W2829">
        <v>12720</v>
      </c>
      <c r="X2829"/>
      <c r="Y2829" t="inlineStr">
        <is>
          <t>Pending Appointment</t>
        </is>
      </c>
      <c r="Z2829" t="inlineStr">
        <is>
          <t>Hiring Now</t>
        </is>
      </c>
      <c r="AA2829">
        <v>4</v>
      </c>
      <c r="AB2829" t="inlineStr">
        <is>
          <t>No Appointment Made</t>
        </is>
      </c>
      <c r="AC2829"/>
      <c r="AD2829" t="inlineStr">
        <is>
          <t>1) branch manager
2) office clerk
3) BD Executive
4) Purchasing Executive</t>
        </is>
      </c>
      <c r="AE2829"/>
      <c r="AF2829">
        <v>20000</v>
      </c>
      <c r="AG2829" s="4"/>
      <c r="AH2829" s="4"/>
      <c r="AI2829">
        <v>20000</v>
      </c>
      <c r="AJ2829">
        <v>2600</v>
      </c>
      <c r="AK2829" t="inlineStr">
        <is>
          <t>Yes, I have</t>
        </is>
      </c>
      <c r="AL2829">
        <v>5</v>
      </c>
      <c r="AM2829" t="inlineStr">
        <is>
          <t>No, but I want in future</t>
        </is>
      </c>
      <c r="AN2829"/>
      <c r="AO2829" t="inlineStr">
        <is>
          <t>Yes, I have</t>
        </is>
      </c>
      <c r="AP2829" t="inlineStr">
        <is>
          <t>Every month (100%)</t>
        </is>
      </c>
      <c r="AQ2829">
        <v>300</v>
      </c>
      <c r="AR2829" t="inlineStr">
        <is>
          <t>Jobstreet</t>
        </is>
      </c>
      <c r="AS2829" t="inlineStr">
        <is>
          <t>- Headcount: 4
- Hiring Job Details: 1 branch manager, 2 office clerk, 3 BD Executive, 4 Purchasing Executive
- Hiring Urgency: Hiring Now
- Number of outlets: 2600
- Have recruiter team: Yes
- Number of recruiter in company: 5
- Have ATS system: No, but want in future
- Have career website: Yes
- Current hiring budget: RM20,000.00
- Whole year budget: RM20,000.00
- Whole year number of vacancies: 300
- Hiring frequency: Every month (100%)
- External job portal: Jobstreet</t>
        </is>
      </c>
      <c r="AT2829">
        <v>110</v>
      </c>
      <c r="AU2829" t="inlineStr">
        <is>
          <t>1.10</t>
        </is>
      </c>
      <c r="AV2829" t="inlineStr">
        <is>
          <t>20</t>
        </is>
      </c>
      <c r="AW2829" t="inlineStr">
        <is>
          <t>0</t>
        </is>
      </c>
      <c r="AX2829" t="inlineStr">
        <is>
          <t>Not Qualified</t>
        </is>
      </c>
      <c r="AY2829" s="4"/>
      <c r="AZ2829"/>
      <c r="BA2829"/>
      <c r="BB2829"/>
      <c r="BC2829" t="inlineStr">
        <is>
          <t>Followed up and pending decision.</t>
        </is>
      </c>
      <c r="BD2829" s="4">
        <v>46134.51787037037</v>
      </c>
      <c r="BE2829" t="inlineStr">
        <is>
          <t>paid</t>
        </is>
      </c>
      <c r="BF2829"/>
      <c r="BG2829" t="inlineStr">
        <is>
          <t>Reschedule</t>
        </is>
      </c>
      <c r="BH2829" t="inlineStr">
        <is>
          <t>andy@ajobthing.com</t>
        </is>
      </c>
      <c r="BI2829" t="inlineStr">
        <is>
          <t>Retail / Merchandise</t>
        </is>
      </c>
      <c r="BJ2829" s="4">
        <v>46144.756157407406</v>
      </c>
      <c r="BK2829" s="4">
        <v>42473.769525462965</v>
      </c>
      <c r="BL2829" t="inlineStr">
        <is>
          <t>0.0</t>
        </is>
      </c>
      <c r="BM2829" t="inlineStr">
        <is>
          <t>30000.0</t>
        </is>
      </c>
      <c r="BN2829" t="inlineStr">
        <is>
          <t>View Company Page</t>
        </is>
      </c>
      <c r="BO2829" s="4">
        <v>46136.467835648145</v>
      </c>
      <c r="BP2829">
        <v>165439</v>
      </c>
      <c r="BQ2829">
        <v>66134</v>
      </c>
      <c r="BR2829" t="inlineStr">
        <is>
          <t>Online</t>
        </is>
      </c>
      <c r="BS2829"/>
      <c r="BT2829">
        <v>66134</v>
      </c>
      <c r="BU2829"/>
      <c r="BV2829">
        <v>2720318</v>
      </c>
      <c r="BW2829" t="inlineStr">
        <is>
          <t>Follow Up : Decision Pending</t>
        </is>
      </c>
      <c r="BX2829"/>
      <c r="BY2829"/>
      <c r="BZ2829" s="4"/>
      <c r="CA2829"/>
      <c r="CB2829"/>
      <c r="CC2829" s="4"/>
      <c r="CD2829" t="inlineStr">
        <is>
          <t>25</t>
        </is>
      </c>
      <c r="CE2829" t="inlineStr">
        <is>
          <t>0</t>
        </is>
      </c>
      <c r="CF2829" t="inlineStr">
        <is>
          <t>Q2-W01</t>
        </is>
      </c>
      <c r="CG2829"/>
      <c r="CH2829"/>
      <c r="CI2829"/>
      <c r="CJ2829" t="inlineStr">
        <is>
          <t>Paid</t>
        </is>
      </c>
      <c r="CK2829" t="inlineStr">
        <is>
          <t>Eligible</t>
        </is>
      </c>
      <c r="CL2829"/>
      <c r="CM2829"/>
    </row>
    <row r="2830" ht="25.5" customHeight="1">
      <c r="A2830" t="inlineStr">
        <is>
          <t>170620</t>
        </is>
      </c>
      <c r="B2830" s="2"/>
      <c r="C2830"/>
      <c r="D2830" s="3">
        <v>46118.71111111111</v>
      </c>
      <c r="E2830" t="inlineStr">
        <is>
          <t>Q2-W01</t>
        </is>
      </c>
      <c r="F2830" t="inlineStr">
        <is>
          <t>andy@ajobthing.com</t>
        </is>
      </c>
      <c r="G2830" t="inlineStr">
        <is>
          <t>Customer</t>
        </is>
      </c>
      <c r="H2830" s="2" t="str">
        <f>=HYPERLINK("https://upbox.ajobthing.my/customer/170620", "https://upbox.ajobthing.my/customer/170620")</f>
        <v>https://upbox.ajobthing.my/customer/170620</v>
      </c>
      <c r="I2830" t="inlineStr">
        <is>
          <t>Agensi Pekerjaan &amp; Perundingcara Bright Prospect Sdn Bhd</t>
        </is>
      </c>
      <c r="J2830" t="inlineStr">
        <is>
          <t>Super Whale</t>
        </is>
      </c>
      <c r="K2830" t="inlineStr">
        <is>
          <t>Andy</t>
        </is>
      </c>
      <c r="L2830" s="4"/>
      <c r="M2830" s="4">
        <v>46107.675046296295</v>
      </c>
      <c r="N2830"/>
      <c r="O2830">
        <v>10800</v>
      </c>
      <c r="P2830" s="4"/>
      <c r="Q2830" s="4">
        <v>46119.28712962963</v>
      </c>
      <c r="R2830"/>
      <c r="S2830">
        <v>0</v>
      </c>
      <c r="T2830" s="4"/>
      <c r="U2830" s="4"/>
      <c r="V2830"/>
      <c r="W2830"/>
      <c r="X2830" t="inlineStr">
        <is>
          <t>andy@ajobthing.com</t>
        </is>
      </c>
      <c r="Y2830" t="inlineStr">
        <is>
          <t>Done Appointment</t>
        </is>
      </c>
      <c r="Z2830" t="inlineStr">
        <is>
          <t>Continuous Hiring</t>
        </is>
      </c>
      <c r="AA2830">
        <v>5</v>
      </c>
      <c r="AB2830" t="inlineStr">
        <is>
          <t>Appointment Made</t>
        </is>
      </c>
      <c r="AC2830" t="inlineStr">
        <is>
          <t>SME (&lt;50 employees)</t>
        </is>
      </c>
      <c r="AD2830" t="inlineStr">
        <is>
          <t>SAP Engineer, Cloud Engineer, SRE , Accounts, HR and etc</t>
        </is>
      </c>
      <c r="AE2830" t="inlineStr">
        <is>
          <t>HR Manager / Talent Manager</t>
        </is>
      </c>
      <c r="AF2830">
        <v>50000</v>
      </c>
      <c r="AG2830" s="4">
        <v>46118.6875</v>
      </c>
      <c r="AH2830" s="4">
        <v>46118.708333333336</v>
      </c>
      <c r="AI2830">
        <v>50000</v>
      </c>
      <c r="AJ2830">
        <v>2</v>
      </c>
      <c r="AK2830" t="inlineStr">
        <is>
          <t>Yes, I have</t>
        </is>
      </c>
      <c r="AL2830">
        <v>20</v>
      </c>
      <c r="AM2830" t="inlineStr">
        <is>
          <t>No, I don't need at all</t>
        </is>
      </c>
      <c r="AN2830"/>
      <c r="AO2830" t="inlineStr">
        <is>
          <t>Yes, I have</t>
        </is>
      </c>
      <c r="AP2830" t="inlineStr">
        <is>
          <t>Every month (100%)</t>
        </is>
      </c>
      <c r="AQ2830">
        <v>600</v>
      </c>
      <c r="AR2830" t="inlineStr">
        <is>
          <t>Jobstreet, Linkedin (Paid)</t>
        </is>
      </c>
      <c r="AS2830" t="inlineStr">
        <is>
          <t>- Headcount: 5
- Hiring Job Details: SAP Engineer, Cloud Engineer, SRE, Accounts, HR and etc
- Hiring Urgency: Continuous Hiring
- Number of outlets: 2
- Have recruiter team: Yes
- Number of recruiter in company: 20
- Have ATS system: No, I don't need at all
- Have career website: Yes
- Current hiring budget: RM50,000
- Whole year budget: RM50,000.00
- Whole year number of vacancies: 600
- Hiring frequency: Every month (100%)
- External job portal: Jobstreet, Linkedin (Paid)</t>
        </is>
      </c>
      <c r="AT2830">
        <v>75</v>
      </c>
      <c r="AU2830" t="inlineStr">
        <is>
          <t>0.75</t>
        </is>
      </c>
      <c r="AV2830" t="inlineStr">
        <is>
          <t>50</t>
        </is>
      </c>
      <c r="AW2830" t="inlineStr">
        <is>
          <t>0.5</t>
        </is>
      </c>
      <c r="AX2830" t="inlineStr">
        <is>
          <t>Not Qualified</t>
        </is>
      </c>
      <c r="AY2830" s="4">
        <v>46118.73302083334</v>
      </c>
      <c r="AZ2830" t="inlineStr">
        <is>
          <t>Base Assistant</t>
        </is>
      </c>
      <c r="BA2830"/>
      <c r="BB2830"/>
      <c r="BC2830" t="inlineStr">
        <is>
          <t>- Headcount: 5
- Hiring Job Details: SAP Engineer, Cloud Engineer, SRE, Accounts, HR and etc
- Hiring Urgency: Continuous Hiring
- Number of outlets: 2
- Have recruiter team: Yes
- Number of recruiter in company: 20
- Have ATS system: No, I don't need at all
- Have career website: Yes
- Current hiring budget: RM50,000
- Whole year budget: RM50,000.00
- Whole year number of vacancies: 600
- Hiring frequency: Every month (100%)
- External job portal: Jobstreet, Linkedin (Paid)</t>
        </is>
      </c>
      <c r="BD2830" s="4">
        <v>46118.7500462963</v>
      </c>
      <c r="BE2830" t="inlineStr">
        <is>
          <t>paid</t>
        </is>
      </c>
      <c r="BF2830"/>
      <c r="BG2830" t="inlineStr">
        <is>
          <t>Reschedule</t>
        </is>
      </c>
      <c r="BH2830"/>
      <c r="BI2830" t="inlineStr">
        <is>
          <t>HR Mgmt / Consulting</t>
        </is>
      </c>
      <c r="BJ2830" s="4">
        <v>46144.75142361111</v>
      </c>
      <c r="BK2830" s="4">
        <v>45168.40027777778</v>
      </c>
      <c r="BL2830" t="inlineStr">
        <is>
          <t>0.0</t>
        </is>
      </c>
      <c r="BM2830" t="inlineStr">
        <is>
          <t>104400.0</t>
        </is>
      </c>
      <c r="BN2830" t="inlineStr">
        <is>
          <t>View Company Page</t>
        </is>
      </c>
      <c r="BO2830" s="4">
        <v>46141.419340277775</v>
      </c>
      <c r="BP2830">
        <v>163868</v>
      </c>
      <c r="BQ2830">
        <v>120614</v>
      </c>
      <c r="BR2830" t="inlineStr">
        <is>
          <t>Proforma</t>
        </is>
      </c>
      <c r="BS2830" t="inlineStr">
        <is>
          <t>Job Ad 365 - SME 100 Free Trial</t>
        </is>
      </c>
      <c r="BT2830"/>
      <c r="BU2830"/>
      <c r="BV2830">
        <v>2687555</v>
      </c>
      <c r="BW2830" t="inlineStr">
        <is>
          <t>Customer Inquiry</t>
        </is>
      </c>
      <c r="BX2830">
        <v>300</v>
      </c>
      <c r="BY2830">
        <v>243</v>
      </c>
      <c r="BZ2830" s="4">
        <v>46135.58697916667</v>
      </c>
      <c r="CA2830">
        <v>13</v>
      </c>
      <c r="CB2830">
        <v>11</v>
      </c>
      <c r="CC2830" s="4">
        <v>46136.395324074074</v>
      </c>
      <c r="CD2830" t="inlineStr">
        <is>
          <t>70</t>
        </is>
      </c>
      <c r="CE2830" t="inlineStr">
        <is>
          <t>0.8</t>
        </is>
      </c>
      <c r="CF2830" t="inlineStr">
        <is>
          <t>Q1-W12</t>
        </is>
      </c>
      <c r="CG2830" t="inlineStr">
        <is>
          <t>Q2-W01</t>
        </is>
      </c>
      <c r="CH2830"/>
      <c r="CI2830" t="inlineStr">
        <is>
          <t>Q2-W01</t>
        </is>
      </c>
      <c r="CJ2830" t="inlineStr">
        <is>
          <t>No Paid</t>
        </is>
      </c>
      <c r="CK2830" t="inlineStr">
        <is>
          <t>Eligible</t>
        </is>
      </c>
      <c r="CL2830"/>
      <c r="CM2830" t="inlineStr">
        <is>
          <t>Q2-W01</t>
        </is>
      </c>
    </row>
    <row r="2831" ht="25.5" customHeight="1">
      <c r="A2831" t="inlineStr">
        <is>
          <t>5637</t>
        </is>
      </c>
      <c r="B2831" s="2"/>
      <c r="C2831"/>
      <c r="D2831" s="3">
        <v>46118.77574074074</v>
      </c>
      <c r="E2831" t="inlineStr">
        <is>
          <t>Q2-W01</t>
        </is>
      </c>
      <c r="F2831" t="inlineStr">
        <is>
          <t>Guest User 20772</t>
        </is>
      </c>
      <c r="G2831" t="inlineStr">
        <is>
          <t>Customer</t>
        </is>
      </c>
      <c r="H2831" s="2" t="str">
        <f>=HYPERLINK("https://upbox.ajobthing.my/customer/5637", "https://upbox.ajobthing.my/customer/5637")</f>
        <v>https://upbox.ajobthing.my/customer/5637</v>
      </c>
      <c r="I2831" t="inlineStr">
        <is>
          <t>TDCX (MY) Sdn. Bhd.</t>
        </is>
      </c>
      <c r="J2831" t="inlineStr">
        <is>
          <t>Super Whale</t>
        </is>
      </c>
      <c r="K2831" t="inlineStr">
        <is>
          <t>Dandy</t>
        </is>
      </c>
      <c r="L2831" s="4"/>
      <c r="M2831" s="4">
        <v>46118.77328703704</v>
      </c>
      <c r="N2831"/>
      <c r="O2831">
        <v>21600</v>
      </c>
      <c r="P2831" s="4"/>
      <c r="Q2831" s="4">
        <v>46135.483981481484</v>
      </c>
      <c r="R2831"/>
      <c r="S2831">
        <v>21600</v>
      </c>
      <c r="T2831" s="4">
        <v>45869.5015162037</v>
      </c>
      <c r="U2831" s="4"/>
      <c r="V2831"/>
      <c r="W2831">
        <v>17064</v>
      </c>
      <c r="X2831"/>
      <c r="Y2831" t="inlineStr">
        <is>
          <t>Pending Appointment</t>
        </is>
      </c>
      <c r="Z2831" t="inlineStr">
        <is>
          <t>Continuous Hiring</t>
        </is>
      </c>
      <c r="AA2831">
        <v>100</v>
      </c>
      <c r="AB2831" t="inlineStr">
        <is>
          <t>No Appointment Made</t>
        </is>
      </c>
      <c r="AC2831"/>
      <c r="AD2831" t="inlineStr">
        <is>
          <t>customer service x 100</t>
        </is>
      </c>
      <c r="AE2831"/>
      <c r="AF2831">
        <v>20000</v>
      </c>
      <c r="AG2831" s="4"/>
      <c r="AH2831" s="4"/>
      <c r="AI2831">
        <v>100000</v>
      </c>
      <c r="AJ2831"/>
      <c r="AK2831" t="inlineStr">
        <is>
          <t>Yes, I have</t>
        </is>
      </c>
      <c r="AL2831">
        <v>10</v>
      </c>
      <c r="AM2831" t="inlineStr">
        <is>
          <t>Yes, I have</t>
        </is>
      </c>
      <c r="AN2831" t="inlineStr">
        <is>
          <t>Other</t>
        </is>
      </c>
      <c r="AO2831" t="inlineStr">
        <is>
          <t>Yes, I have</t>
        </is>
      </c>
      <c r="AP2831" t="inlineStr">
        <is>
          <t>Every month (100%)</t>
        </is>
      </c>
      <c r="AQ2831">
        <v>100</v>
      </c>
      <c r="AR2831" t="inlineStr">
        <is>
          <t>Jobstreet</t>
        </is>
      </c>
      <c r="AS2831" t="inlineStr">
        <is>
          <t>- Headcount: 100
- Hiring Job Details: customer service x 100
- Hiring Urgency: Continuous Hiring
- Number of outlets: Not provided
- Have recruiter team: Yes
- Number of recruiter in company: 10
- Have ATS system: Yes
- Have career website: Yes
- Current hiring budget: RM20,000
- Whole year budget: RM100,000.00
- Whole year number of vacancies: 100
- Hiring frequency: Every month (100%)
- External job portal: Jobstreet</t>
        </is>
      </c>
      <c r="AT2831">
        <v>115</v>
      </c>
      <c r="AU2831" t="inlineStr">
        <is>
          <t>1.15</t>
        </is>
      </c>
      <c r="AV2831" t="inlineStr">
        <is>
          <t>40</t>
        </is>
      </c>
      <c r="AW2831" t="inlineStr">
        <is>
          <t>0.5</t>
        </is>
      </c>
      <c r="AX2831" t="inlineStr">
        <is>
          <t>Not Qualified</t>
        </is>
      </c>
      <c r="AY2831" s="4"/>
      <c r="AZ2831"/>
      <c r="BA2831"/>
      <c r="BB2831"/>
      <c r="BC2831" t="inlineStr">
        <is>
          <t>package assigned for 30 job ads per month</t>
        </is>
      </c>
      <c r="BD2831" s="4">
        <v>46141.39574074074</v>
      </c>
      <c r="BE2831" t="inlineStr">
        <is>
          <t>pending</t>
        </is>
      </c>
      <c r="BF2831"/>
      <c r="BG2831" t="inlineStr">
        <is>
          <t>Reschedule</t>
        </is>
      </c>
      <c r="BH2831"/>
      <c r="BI2831" t="inlineStr">
        <is>
          <t>Call Center / BPO</t>
        </is>
      </c>
      <c r="BJ2831" s="4">
        <v>46144.75609953704</v>
      </c>
      <c r="BK2831" s="4">
        <v>42411.60579861111</v>
      </c>
      <c r="BL2831" t="inlineStr">
        <is>
          <t>17064.0</t>
        </is>
      </c>
      <c r="BM2831" t="inlineStr">
        <is>
          <t>750.0</t>
        </is>
      </c>
      <c r="BN2831" t="inlineStr">
        <is>
          <t>View Company Page</t>
        </is>
      </c>
      <c r="BO2831" s="4">
        <v>46143.53569444444</v>
      </c>
      <c r="BP2831">
        <v>165530</v>
      </c>
      <c r="BQ2831">
        <v>7698</v>
      </c>
      <c r="BR2831" t="inlineStr">
        <is>
          <t>Manual</t>
        </is>
      </c>
      <c r="BS2831" t="inlineStr">
        <is>
          <t>Job Ad 365 - Corporate 30
- Job Ad 365 (Corporate 30)
- Monthly quota of 30 Job Ads
- Total 360 Job Ads a year
- Each Job Ad will be published on Maukerja, Ricebowl and our partner platforms
- Each Job Ad lists for 30 days
- 1 Free Company Page (Brand Premium)
- AI Daily Talent Recommendation for up to 2 profiles per job
- AI Post Job Assistant</t>
        </is>
      </c>
      <c r="BT2831">
        <v>5907</v>
      </c>
      <c r="BU2831"/>
      <c r="BV2831">
        <v>2734099</v>
      </c>
      <c r="BW2831" t="inlineStr">
        <is>
          <t>Service / Technical : Help To Post Job</t>
        </is>
      </c>
      <c r="BX2831">
        <v>390</v>
      </c>
      <c r="BY2831">
        <v>367</v>
      </c>
      <c r="BZ2831" s="4">
        <v>46142.640497685185</v>
      </c>
      <c r="CA2831">
        <v>10</v>
      </c>
      <c r="CB2831">
        <v>0</v>
      </c>
      <c r="CC2831" s="4">
        <v>46115.37420138889</v>
      </c>
      <c r="CD2831" t="inlineStr">
        <is>
          <t>55</t>
        </is>
      </c>
      <c r="CE2831" t="inlineStr">
        <is>
          <t>0</t>
        </is>
      </c>
      <c r="CF2831" t="inlineStr">
        <is>
          <t>Q2-W01</t>
        </is>
      </c>
      <c r="CG2831" t="inlineStr">
        <is>
          <t>Q2-W03</t>
        </is>
      </c>
      <c r="CH2831"/>
      <c r="CI2831"/>
      <c r="CJ2831" t="inlineStr">
        <is>
          <t>Paid</t>
        </is>
      </c>
      <c r="CK2831" t="inlineStr">
        <is>
          <t>Eligible</t>
        </is>
      </c>
      <c r="CL2831"/>
      <c r="CM2831"/>
    </row>
    <row r="2832" ht="25.5" customHeight="1">
      <c r="A2832" t="inlineStr">
        <is>
          <t>29961</t>
        </is>
      </c>
      <c r="B2832" s="2"/>
      <c r="C2832"/>
      <c r="D2832" s="3">
        <v>46119.49769675926</v>
      </c>
      <c r="E2832" t="inlineStr">
        <is>
          <t>Q2-W01</t>
        </is>
      </c>
      <c r="F2832" t="inlineStr">
        <is>
          <t>Yuli</t>
        </is>
      </c>
      <c r="G2832" t="inlineStr">
        <is>
          <t>Customer</t>
        </is>
      </c>
      <c r="H2832" s="2" t="str">
        <f>=HYPERLINK("https://upbox.ajobthing.my/customer/29961", "https://upbox.ajobthing.my/customer/29961")</f>
        <v>https://upbox.ajobthing.my/customer/29961</v>
      </c>
      <c r="I2832" t="inlineStr">
        <is>
          <t>Paradise (F&amp;B) Malaysia Sdn Bhd</t>
        </is>
      </c>
      <c r="J2832" t="inlineStr">
        <is>
          <t>Super Whale</t>
        </is>
      </c>
      <c r="K2832" t="inlineStr">
        <is>
          <t>YuLi</t>
        </is>
      </c>
      <c r="L2832" s="4"/>
      <c r="M2832" s="4">
        <v>46119.49694444444</v>
      </c>
      <c r="N2832"/>
      <c r="O2832">
        <v>5508</v>
      </c>
      <c r="P2832" s="4"/>
      <c r="Q2832" s="4">
        <v>45517.365752314814</v>
      </c>
      <c r="R2832"/>
      <c r="S2832">
        <v>5184</v>
      </c>
      <c r="T2832" s="4">
        <v>45517.365752314814</v>
      </c>
      <c r="U2832" s="4"/>
      <c r="V2832"/>
      <c r="W2832">
        <v>5184</v>
      </c>
      <c r="X2832"/>
      <c r="Y2832" t="inlineStr">
        <is>
          <t>Pending Appointment</t>
        </is>
      </c>
      <c r="Z2832" t="inlineStr">
        <is>
          <t>Hiring Now</t>
        </is>
      </c>
      <c r="AA2832">
        <v>4</v>
      </c>
      <c r="AB2832" t="inlineStr">
        <is>
          <t>No Appointment Made</t>
        </is>
      </c>
      <c r="AC2832"/>
      <c r="AD2832" t="inlineStr">
        <is>
          <t>2 Data Entry 
1 Receptionist
1 Graphic Designer
</t>
        </is>
      </c>
      <c r="AE2832"/>
      <c r="AF2832"/>
      <c r="AG2832" s="4"/>
      <c r="AH2832" s="4"/>
      <c r="AI2832"/>
      <c r="AJ2832"/>
      <c r="AK2832"/>
      <c r="AL2832"/>
      <c r="AM2832"/>
      <c r="AN2832"/>
      <c r="AO2832"/>
      <c r="AP2832"/>
      <c r="AQ2832"/>
      <c r="AR2832" t="inlineStr">
        <is>
          <t>Jobstreet, Free Job Portal</t>
        </is>
      </c>
      <c r="AS2832" t="inlineStr">
        <is>
          <t>- Headcount: 4
- Hiring Job Details: 2 Data Entry, 1 Receptionist, 1 Graphic Designer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 Free Job Portal</t>
        </is>
      </c>
      <c r="AT2832">
        <v>85</v>
      </c>
      <c r="AU2832" t="inlineStr">
        <is>
          <t>0.85</t>
        </is>
      </c>
      <c r="AV2832" t="inlineStr">
        <is>
          <t>5</t>
        </is>
      </c>
      <c r="AW2832" t="inlineStr">
        <is>
          <t>0</t>
        </is>
      </c>
      <c r="AX2832" t="inlineStr">
        <is>
          <t>Not Qualified</t>
        </is>
      </c>
      <c r="AY2832" s="4"/>
      <c r="AZ2832"/>
      <c r="BA2832"/>
      <c r="BB2832"/>
      <c r="BC2832" t="inlineStr">
        <is>
          <t>quotaation shared</t>
        </is>
      </c>
      <c r="BD2832" s="4">
        <v>46120.87982638889</v>
      </c>
      <c r="BE2832" t="inlineStr">
        <is>
          <t>paid</t>
        </is>
      </c>
      <c r="BF2832"/>
      <c r="BG2832" t="inlineStr">
        <is>
          <t>Reschedule</t>
        </is>
      </c>
      <c r="BH2832" t="inlineStr">
        <is>
          <t>Fauziah Maharan</t>
        </is>
      </c>
      <c r="BI2832" t="inlineStr">
        <is>
          <t>Food / Beverage</t>
        </is>
      </c>
      <c r="BJ2832" s="4">
        <v>46144.75451388889</v>
      </c>
      <c r="BK2832" s="4">
        <v>42657.36552083334</v>
      </c>
      <c r="BL2832" t="inlineStr">
        <is>
          <t>0.0</t>
        </is>
      </c>
      <c r="BM2832" t="inlineStr">
        <is>
          <t>7200.0</t>
        </is>
      </c>
      <c r="BN2832" t="inlineStr">
        <is>
          <t>User Visit(Logged In)</t>
        </is>
      </c>
      <c r="BO2832" s="4">
        <v>46010.68261574074</v>
      </c>
      <c r="BP2832">
        <v>165625</v>
      </c>
      <c r="BQ2832">
        <v>71984</v>
      </c>
      <c r="BR2832" t="inlineStr">
        <is>
          <t>Online</t>
        </is>
      </c>
      <c r="BS2832"/>
      <c r="BT2832">
        <v>71984</v>
      </c>
      <c r="BU2832"/>
      <c r="BV2832">
        <v>2694247</v>
      </c>
      <c r="BW2832" t="inlineStr">
        <is>
          <t>Customer Inquiry</t>
        </is>
      </c>
      <c r="BX2832"/>
      <c r="BY2832"/>
      <c r="BZ2832" s="4"/>
      <c r="CA2832"/>
      <c r="CB2832"/>
      <c r="CC2832" s="4"/>
      <c r="CD2832" t="inlineStr">
        <is>
          <t>5</t>
        </is>
      </c>
      <c r="CE2832" t="inlineStr">
        <is>
          <t>0</t>
        </is>
      </c>
      <c r="CF2832" t="inlineStr">
        <is>
          <t>Q2-W01</t>
        </is>
      </c>
      <c r="CG2832"/>
      <c r="CH2832"/>
      <c r="CI2832"/>
      <c r="CJ2832" t="inlineStr">
        <is>
          <t>Paid</t>
        </is>
      </c>
      <c r="CK2832" t="inlineStr">
        <is>
          <t>Eligible</t>
        </is>
      </c>
      <c r="CL2832"/>
      <c r="CM2832"/>
    </row>
    <row r="2833" ht="25.5" customHeight="1">
      <c r="A2833" t="inlineStr">
        <is>
          <t>166068</t>
        </is>
      </c>
      <c r="B2833" s="2"/>
      <c r="C2833"/>
      <c r="D2833" s="3">
        <v>46119.54728009259</v>
      </c>
      <c r="E2833" t="inlineStr">
        <is>
          <t>Q2-W01</t>
        </is>
      </c>
      <c r="F2833" t="inlineStr">
        <is>
          <t>Yuli</t>
        </is>
      </c>
      <c r="G2833" t="inlineStr">
        <is>
          <t>Customer</t>
        </is>
      </c>
      <c r="H2833" s="2" t="str">
        <f>=HYPERLINK("https://upbox.ajobthing.my/customer/166068", "https://upbox.ajobthing.my/customer/166068")</f>
        <v>https://upbox.ajobthing.my/customer/166068</v>
      </c>
      <c r="I2833" t="inlineStr">
        <is>
          <t>Habib Jewels Sdn Bhd</t>
        </is>
      </c>
      <c r="J2833" t="inlineStr">
        <is>
          <t>Super Whale</t>
        </is>
      </c>
      <c r="K2833" t="inlineStr">
        <is>
          <t>YuLi</t>
        </is>
      </c>
      <c r="L2833" s="4"/>
      <c r="M2833" s="4">
        <v>46119.614340277774</v>
      </c>
      <c r="N2833"/>
      <c r="O2833">
        <v>17280</v>
      </c>
      <c r="P2833" s="4"/>
      <c r="Q2833" s="4">
        <v>45818.63793981481</v>
      </c>
      <c r="R2833"/>
      <c r="S2833">
        <v>18360</v>
      </c>
      <c r="T2833" s="4">
        <v>45818.63793981481</v>
      </c>
      <c r="U2833" s="4"/>
      <c r="V2833"/>
      <c r="W2833">
        <v>18360</v>
      </c>
      <c r="X2833"/>
      <c r="Y2833" t="inlineStr">
        <is>
          <t>Pending Appointment</t>
        </is>
      </c>
      <c r="Z2833" t="inlineStr">
        <is>
          <t>Hiring Now</t>
        </is>
      </c>
      <c r="AA2833">
        <v>8</v>
      </c>
      <c r="AB2833" t="inlineStr">
        <is>
          <t>No Appointment Made</t>
        </is>
      </c>
      <c r="AC2833"/>
      <c r="AD2833" t="inlineStr">
        <is>
          <t>Retail Assistant
Barista
Live host
Technician
Fulfillment Assistant 
Branch Supervisor
Commis
Customer Service</t>
        </is>
      </c>
      <c r="AE2833"/>
      <c r="AF2833">
        <v>18000</v>
      </c>
      <c r="AG2833" s="4"/>
      <c r="AH2833" s="4"/>
      <c r="AI2833"/>
      <c r="AJ2833"/>
      <c r="AK2833"/>
      <c r="AL2833">
        <v>10</v>
      </c>
      <c r="AM2833"/>
      <c r="AN2833"/>
      <c r="AO2833"/>
      <c r="AP2833" t="inlineStr">
        <is>
          <t>Every month (100%)</t>
        </is>
      </c>
      <c r="AQ2833"/>
      <c r="AR2833" t="inlineStr">
        <is>
          <t>Free Job Portal, Jobstreet</t>
        </is>
      </c>
      <c r="AS2833" t="inlineStr">
        <is>
          <t>- Headcount: 8
- Hiring Job Details: Retail Assistant, Barista, Live host, Technician, Fulfillment Assistant, Branch Supervisor, Commis, Customer Service
- Hiring Urgency: Hiring Now
- Number of outlets: N/A
- Have recruiter team: N/A
- Number of recruiter in company: 10
- Have ATS system: N/A
- Have career website: N/A
- Current hiring budget: RM18,000.00
- Whole year budget: N/A
- Whole year number of vacancies: N/A
- Hiring frequency: Every month (100%)
- External job portal: Free Job Portal, Jobstreet</t>
        </is>
      </c>
      <c r="AT2833">
        <v>55</v>
      </c>
      <c r="AU2833" t="inlineStr">
        <is>
          <t>0.55</t>
        </is>
      </c>
      <c r="AV2833" t="inlineStr">
        <is>
          <t>25</t>
        </is>
      </c>
      <c r="AW2833" t="inlineStr">
        <is>
          <t>0</t>
        </is>
      </c>
      <c r="AX2833" t="inlineStr">
        <is>
          <t>Not Qualified</t>
        </is>
      </c>
      <c r="AY2833" s="4"/>
      <c r="AZ2833"/>
      <c r="BA2833"/>
      <c r="BB2833"/>
      <c r="BC2833" t="inlineStr">
        <is>
          <t>called but no answered</t>
        </is>
      </c>
      <c r="BD2833" s="4">
        <v>46142.45060185185</v>
      </c>
      <c r="BE2833" t="inlineStr">
        <is>
          <t>paid</t>
        </is>
      </c>
      <c r="BF2833"/>
      <c r="BG2833" t="inlineStr">
        <is>
          <t>Reschedule</t>
        </is>
      </c>
      <c r="BH2833" t="inlineStr">
        <is>
          <t>Fauziah Maharan</t>
        </is>
      </c>
      <c r="BI2833" t="inlineStr">
        <is>
          <t>Retail / Merchandise</t>
        </is>
      </c>
      <c r="BJ2833" s="4">
        <v>46144.75127314815</v>
      </c>
      <c r="BK2833" s="4">
        <v>45023.4324537037</v>
      </c>
      <c r="BL2833" t="inlineStr">
        <is>
          <t>18360.0</t>
        </is>
      </c>
      <c r="BM2833" t="inlineStr">
        <is>
          <t>1200.0</t>
        </is>
      </c>
      <c r="BN2833" t="inlineStr">
        <is>
          <t>View Company Page</t>
        </is>
      </c>
      <c r="BO2833" s="4">
        <v>46140.604733796295</v>
      </c>
      <c r="BP2833">
        <v>165682</v>
      </c>
      <c r="BQ2833">
        <v>5855</v>
      </c>
      <c r="BR2833" t="inlineStr">
        <is>
          <t>Manual (Paid)</t>
        </is>
      </c>
      <c r="BS2833" t="inlineStr">
        <is>
          <t>Customized (10 Job Slot)- RM 300 addtional discount
- Job Slot Enterprise of 6 Job Slot + 4 Free Job Slot
- Average Per job Slot RM 1700, Normal Price: RM 3600, Average per month RM 141.66
- 10 Job Slot will be published on Maukerja, Ricebowl, and our partner platforms
- 10 Job Slot will be published for 1 year
- 500 People Search
- Premium Company Page for 12 months
- Package valid for 12 months
- 10 Free Upgrade to Premium Job Ad
- Free Company Page Consultation</t>
        </is>
      </c>
      <c r="BT2833">
        <v>5855</v>
      </c>
      <c r="BU2833"/>
      <c r="BV2833">
        <v>2736870</v>
      </c>
      <c r="BW2833" t="inlineStr">
        <is>
          <t>No Answer : Voicemail - WA sent to customer</t>
        </is>
      </c>
      <c r="BX2833">
        <v>10</v>
      </c>
      <c r="BY2833">
        <v>-35</v>
      </c>
      <c r="BZ2833" s="4">
        <v>46129.53724537037</v>
      </c>
      <c r="CA2833">
        <v>545</v>
      </c>
      <c r="CB2833">
        <v>543</v>
      </c>
      <c r="CC2833" s="4">
        <v>45841.45202546296</v>
      </c>
      <c r="CD2833" t="inlineStr">
        <is>
          <t>35</t>
        </is>
      </c>
      <c r="CE2833" t="inlineStr">
        <is>
          <t>0</t>
        </is>
      </c>
      <c r="CF2833" t="inlineStr">
        <is>
          <t>Q2-W01</t>
        </is>
      </c>
      <c r="CG2833"/>
      <c r="CH2833"/>
      <c r="CI2833"/>
      <c r="CJ2833" t="inlineStr">
        <is>
          <t>Paid</t>
        </is>
      </c>
      <c r="CK2833" t="inlineStr">
        <is>
          <t>Eligible</t>
        </is>
      </c>
      <c r="CL2833"/>
      <c r="CM2833"/>
    </row>
    <row r="2834" ht="25.5" customHeight="1">
      <c r="A2834" t="inlineStr">
        <is>
          <t>170292</t>
        </is>
      </c>
      <c r="B2834" s="2"/>
      <c r="C2834"/>
      <c r="D2834" s="3">
        <v>46119.61481481481</v>
      </c>
      <c r="E2834" t="inlineStr">
        <is>
          <t>Q2-W01</t>
        </is>
      </c>
      <c r="F2834" t="inlineStr">
        <is>
          <t>Chia Yee</t>
        </is>
      </c>
      <c r="G2834" t="inlineStr">
        <is>
          <t>Customer</t>
        </is>
      </c>
      <c r="H2834" s="2" t="str">
        <f>=HYPERLINK("https://upbox.ajobthing.my/customer/170292", "https://upbox.ajobthing.my/customer/170292")</f>
        <v>https://upbox.ajobthing.my/customer/170292</v>
      </c>
      <c r="I2834" t="inlineStr">
        <is>
          <t>XMU Jiageng Education Development Sdn Bhd.</t>
        </is>
      </c>
      <c r="J2834" t="inlineStr">
        <is>
          <t>Super Whale</t>
        </is>
      </c>
      <c r="K2834" t="inlineStr">
        <is>
          <t>Chia Yee</t>
        </is>
      </c>
      <c r="L2834" s="4"/>
      <c r="M2834" s="4">
        <v>46119.61393518518</v>
      </c>
      <c r="N2834"/>
      <c r="O2834">
        <v>22248</v>
      </c>
      <c r="P2834" s="4"/>
      <c r="Q2834" s="4">
        <v>45967.43158564815</v>
      </c>
      <c r="R2834"/>
      <c r="S2834">
        <v>0</v>
      </c>
      <c r="T2834" s="4">
        <v>45645.55877314815</v>
      </c>
      <c r="U2834" s="4"/>
      <c r="V2834"/>
      <c r="W2834">
        <v>5292</v>
      </c>
      <c r="X2834"/>
      <c r="Y2834" t="inlineStr">
        <is>
          <t>Pending Appointment</t>
        </is>
      </c>
      <c r="Z2834" t="inlineStr">
        <is>
          <t>Hiring Now</t>
        </is>
      </c>
      <c r="AA2834">
        <v>20</v>
      </c>
      <c r="AB2834" t="inlineStr">
        <is>
          <t>No Appointment Made</t>
        </is>
      </c>
      <c r="AC2834"/>
      <c r="AD2834" t="inlineStr">
        <is>
          <t>20 position - blue, white collar</t>
        </is>
      </c>
      <c r="AE2834"/>
      <c r="AF2834">
        <v>5000</v>
      </c>
      <c r="AG2834" s="4"/>
      <c r="AH2834" s="4"/>
      <c r="AI2834">
        <v>0</v>
      </c>
      <c r="AJ2834">
        <v>1</v>
      </c>
      <c r="AK2834" t="inlineStr">
        <is>
          <t>No, I don't need at all</t>
        </is>
      </c>
      <c r="AL2834">
        <v>1</v>
      </c>
      <c r="AM2834" t="inlineStr">
        <is>
          <t>No, I don't need at all</t>
        </is>
      </c>
      <c r="AN2834"/>
      <c r="AO2834" t="inlineStr">
        <is>
          <t>Yes, I have</t>
        </is>
      </c>
      <c r="AP2834" t="inlineStr">
        <is>
          <t>Once a year (25%)</t>
        </is>
      </c>
      <c r="AQ2834">
        <v>22</v>
      </c>
      <c r="AR2834" t="inlineStr">
        <is>
          <t>Did not use any job portal</t>
        </is>
      </c>
      <c r="AS2834" t="inlineStr">
        <is>
          <t>- Headcount: 20
- Hiring Job Details: 20 positions - blue, white collar
- Hiring Urgency: Hiring Now
- Number of outlets: 1
- Have recruiter team: No, I don't need at all
- Number of recruiter in company: 1
- Have ATS system: No, I don't need at all
- Have career website: Yes, I have
- Current hiring budget: RM5,000
- Whole year budget: RM0.00
- Whole year number of vacancies: 22
- Hiring frequency: Once a year (25%)
- External job portal: Did not use any job portal</t>
        </is>
      </c>
      <c r="AT2834">
        <v>95</v>
      </c>
      <c r="AU2834" t="inlineStr">
        <is>
          <t>0.95</t>
        </is>
      </c>
      <c r="AV2834" t="inlineStr">
        <is>
          <t>25</t>
        </is>
      </c>
      <c r="AW2834" t="inlineStr">
        <is>
          <t>0</t>
        </is>
      </c>
      <c r="AX2834" t="inlineStr">
        <is>
          <t>Not Qualified</t>
        </is>
      </c>
      <c r="AY2834" s="4"/>
      <c r="AZ2834"/>
      <c r="BA2834"/>
      <c r="BB2834"/>
      <c r="BC2834" t="inlineStr">
        <is>
          <t>Called Jayden still on leave. Until nect mon</t>
        </is>
      </c>
      <c r="BD2834" s="4">
        <v>46139.63795138889</v>
      </c>
      <c r="BE2834" t="inlineStr">
        <is>
          <t>paid</t>
        </is>
      </c>
      <c r="BF2834"/>
      <c r="BG2834" t="inlineStr">
        <is>
          <t>Reschedule</t>
        </is>
      </c>
      <c r="BH2834" t="inlineStr">
        <is>
          <t>Reagen</t>
        </is>
      </c>
      <c r="BI2834" t="inlineStr">
        <is>
          <t>Education / Training</t>
        </is>
      </c>
      <c r="BJ2834" s="4">
        <v>46144.75140046296</v>
      </c>
      <c r="BK2834" s="4">
        <v>45156.48614583333</v>
      </c>
      <c r="BL2834" t="inlineStr">
        <is>
          <t>0.0</t>
        </is>
      </c>
      <c r="BM2834" t="inlineStr">
        <is>
          <t>0.0</t>
        </is>
      </c>
      <c r="BN2834" t="inlineStr">
        <is>
          <t>View Company Page</t>
        </is>
      </c>
      <c r="BO2834" s="4">
        <v>46140.63135416667</v>
      </c>
      <c r="BP2834">
        <v>165681</v>
      </c>
      <c r="BQ2834">
        <v>111627</v>
      </c>
      <c r="BR2834" t="inlineStr">
        <is>
          <t>Proforma</t>
        </is>
      </c>
      <c r="BS2834" t="inlineStr">
        <is>
          <t>A La Carte AI Job Ad Free</t>
        </is>
      </c>
      <c r="BT2834">
        <v>75516</v>
      </c>
      <c r="BU2834"/>
      <c r="BV2834">
        <v>2730214</v>
      </c>
      <c r="BW2834" t="inlineStr">
        <is>
          <t>No Answer : Voicemail - WA sent to customer</t>
        </is>
      </c>
      <c r="BX2834"/>
      <c r="BY2834"/>
      <c r="BZ2834" s="4"/>
      <c r="CA2834"/>
      <c r="CB2834"/>
      <c r="CC2834" s="4"/>
      <c r="CD2834" t="inlineStr">
        <is>
          <t>35</t>
        </is>
      </c>
      <c r="CE2834" t="inlineStr">
        <is>
          <t>0</t>
        </is>
      </c>
      <c r="CF2834" t="inlineStr">
        <is>
          <t>Q2-W01</t>
        </is>
      </c>
      <c r="CG2834"/>
      <c r="CH2834"/>
      <c r="CI2834"/>
      <c r="CJ2834" t="inlineStr">
        <is>
          <t>Paid</t>
        </is>
      </c>
      <c r="CK2834" t="inlineStr">
        <is>
          <t>Eligible</t>
        </is>
      </c>
      <c r="CL2834"/>
      <c r="CM2834"/>
    </row>
    <row r="2835" ht="25.5" customHeight="1">
      <c r="A2835" t="inlineStr">
        <is>
          <t>203004</t>
        </is>
      </c>
      <c r="B2835" s="2"/>
      <c r="C2835"/>
      <c r="D2835" s="3">
        <v>46120.69430555555</v>
      </c>
      <c r="E2835" t="inlineStr">
        <is>
          <t>Q2-W01</t>
        </is>
      </c>
      <c r="F2835" t="inlineStr">
        <is>
          <t>Ratha</t>
        </is>
      </c>
      <c r="G2835" t="inlineStr">
        <is>
          <t>Customer</t>
        </is>
      </c>
      <c r="H2835" s="2" t="str">
        <f>=HYPERLINK("https://upbox.ajobthing.my/customer/203004", "https://upbox.ajobthing.my/customer/203004")</f>
        <v>https://upbox.ajobthing.my/customer/203004</v>
      </c>
      <c r="I2835" t="inlineStr">
        <is>
          <t>Gt Nelson Realty</t>
        </is>
      </c>
      <c r="J2835" t="inlineStr">
        <is>
          <t>Super Whale</t>
        </is>
      </c>
      <c r="K2835" t="inlineStr">
        <is>
          <t>Ratha</t>
        </is>
      </c>
      <c r="L2835" s="4"/>
      <c r="M2835" s="4">
        <v>46120.69545138889</v>
      </c>
      <c r="N2835"/>
      <c r="O2835">
        <v>8208</v>
      </c>
      <c r="P2835" s="4"/>
      <c r="Q2835" s="4">
        <v>46120.68785879629</v>
      </c>
      <c r="R2835"/>
      <c r="S2835">
        <v>0</v>
      </c>
      <c r="T2835" s="4"/>
      <c r="U2835" s="4"/>
      <c r="V2835"/>
      <c r="W2835"/>
      <c r="X2835"/>
      <c r="Y2835" t="inlineStr">
        <is>
          <t>Pending Appointment</t>
        </is>
      </c>
      <c r="Z2835" t="inlineStr">
        <is>
          <t>Continuous Hiring</t>
        </is>
      </c>
      <c r="AA2835">
        <v>1</v>
      </c>
      <c r="AB2835" t="inlineStr">
        <is>
          <t>No Appointment Made</t>
        </is>
      </c>
      <c r="AC2835"/>
      <c r="AD2835" t="inlineStr">
        <is>
          <t>real estate agent : on going
Location : KL</t>
        </is>
      </c>
      <c r="AE2835"/>
      <c r="AF2835"/>
      <c r="AG2835" s="4"/>
      <c r="AH2835" s="4"/>
      <c r="AI2835">
        <v>0</v>
      </c>
      <c r="AJ2835">
        <v>1</v>
      </c>
      <c r="AK2835" t="inlineStr">
        <is>
          <t>Yes, I have</t>
        </is>
      </c>
      <c r="AL2835">
        <v>2</v>
      </c>
      <c r="AM2835" t="inlineStr">
        <is>
          <t>No, I don't need at all</t>
        </is>
      </c>
      <c r="AN2835"/>
      <c r="AO2835" t="inlineStr">
        <is>
          <t>No, I don't need at all</t>
        </is>
      </c>
      <c r="AP2835" t="inlineStr">
        <is>
          <t>Every month (100%)</t>
        </is>
      </c>
      <c r="AQ2835">
        <v>0</v>
      </c>
      <c r="AR2835" t="inlineStr">
        <is>
          <t>Free Job Portal, Jobstreet</t>
        </is>
      </c>
      <c r="AS2835" t="inlineStr">
        <is>
          <t>- Headcount: 1
- Hiring Job Details: 1 real estate agent (on going)
- Hiring Urgency: Continuous Hiring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Free Job Portal, Jobstreet</t>
        </is>
      </c>
      <c r="AT2835">
        <v>105</v>
      </c>
      <c r="AU2835" t="inlineStr">
        <is>
          <t>1.05</t>
        </is>
      </c>
      <c r="AV2835" t="inlineStr">
        <is>
          <t>5</t>
        </is>
      </c>
      <c r="AW2835" t="inlineStr">
        <is>
          <t>0</t>
        </is>
      </c>
      <c r="AX2835" t="inlineStr">
        <is>
          <t>Not Qualified</t>
        </is>
      </c>
      <c r="AY2835" s="4"/>
      <c r="AZ2835"/>
      <c r="BA2835"/>
      <c r="BB2835"/>
      <c r="BC2835" t="inlineStr">
        <is>
          <t>not interested</t>
        </is>
      </c>
      <c r="BD2835" s="4">
        <v>46128.47880787037</v>
      </c>
      <c r="BE2835" t="inlineStr">
        <is>
          <t>paid</t>
        </is>
      </c>
      <c r="BF2835"/>
      <c r="BG2835" t="inlineStr">
        <is>
          <t>Reschedule</t>
        </is>
      </c>
      <c r="BH2835" t="inlineStr">
        <is>
          <t>Fauziah Maharan</t>
        </is>
      </c>
      <c r="BI2835"/>
      <c r="BJ2835" s="4">
        <v>46144.75418981481</v>
      </c>
      <c r="BK2835" s="4">
        <v>46120.686689814815</v>
      </c>
      <c r="BL2835" t="inlineStr">
        <is>
          <t>0.0</t>
        </is>
      </c>
      <c r="BM2835" t="inlineStr">
        <is>
          <t>13950.0</t>
        </is>
      </c>
      <c r="BN2835" t="inlineStr">
        <is>
          <t>View Company Page</t>
        </is>
      </c>
      <c r="BO2835" s="4">
        <v>46120.757210648146</v>
      </c>
      <c r="BP2835">
        <v>166003</v>
      </c>
      <c r="BQ2835">
        <v>121064</v>
      </c>
      <c r="BR2835" t="inlineStr">
        <is>
          <t>Proforma</t>
        </is>
      </c>
      <c r="BS2835" t="inlineStr">
        <is>
          <t>Free Part-Time Job</t>
        </is>
      </c>
      <c r="BT2835"/>
      <c r="BU2835"/>
      <c r="BV2835">
        <v>2708475</v>
      </c>
      <c r="BW2835" t="inlineStr">
        <is>
          <t>Follow Up : Budget Concern</t>
        </is>
      </c>
      <c r="BX2835"/>
      <c r="BY2835"/>
      <c r="BZ2835" s="4"/>
      <c r="CA2835"/>
      <c r="CB2835"/>
      <c r="CC2835" s="4"/>
      <c r="CD2835" t="inlineStr">
        <is>
          <t>5</t>
        </is>
      </c>
      <c r="CE2835" t="inlineStr">
        <is>
          <t>0</t>
        </is>
      </c>
      <c r="CF2835" t="inlineStr">
        <is>
          <t>Q2-W01</t>
        </is>
      </c>
      <c r="CG2835" t="inlineStr">
        <is>
          <t>Q2-W01</t>
        </is>
      </c>
      <c r="CH2835"/>
      <c r="CI2835"/>
      <c r="CJ2835" t="inlineStr">
        <is>
          <t>No Paid</t>
        </is>
      </c>
      <c r="CK2835" t="inlineStr">
        <is>
          <t>Eligible</t>
        </is>
      </c>
      <c r="CL2835"/>
      <c r="CM2835"/>
    </row>
    <row r="2836" ht="25.5" customHeight="1">
      <c r="A2836" t="inlineStr">
        <is>
          <t>186023</t>
        </is>
      </c>
      <c r="B2836" s="2"/>
      <c r="C2836"/>
      <c r="D2836" s="3">
        <v>46121.43127314815</v>
      </c>
      <c r="E2836" t="inlineStr">
        <is>
          <t>Q2-W01</t>
        </is>
      </c>
      <c r="F2836" t="inlineStr">
        <is>
          <t>Yvonne Lee</t>
        </is>
      </c>
      <c r="G2836" t="inlineStr">
        <is>
          <t>Customer</t>
        </is>
      </c>
      <c r="H2836" s="2" t="str">
        <f>=HYPERLINK("https://upbox.ajobthing.my/customer/186023", "https://upbox.ajobthing.my/customer/186023")</f>
        <v>https://upbox.ajobthing.my/customer/186023</v>
      </c>
      <c r="I2836" t="inlineStr">
        <is>
          <t>Desatera Sdn Bhd</t>
        </is>
      </c>
      <c r="J2836" t="inlineStr">
        <is>
          <t>Super Whale</t>
        </is>
      </c>
      <c r="K2836" t="inlineStr">
        <is>
          <t>Yvonne</t>
        </is>
      </c>
      <c r="L2836" s="4"/>
      <c r="M2836" s="4">
        <v>46121.431863425925</v>
      </c>
      <c r="N2836"/>
      <c r="O2836">
        <v>11448</v>
      </c>
      <c r="P2836" s="4"/>
      <c r="Q2836" s="4"/>
      <c r="R2836"/>
      <c r="S2836"/>
      <c r="T2836" s="4"/>
      <c r="U2836" s="4"/>
      <c r="V2836"/>
      <c r="W2836"/>
      <c r="X2836"/>
      <c r="Y2836" t="inlineStr">
        <is>
          <t>Pending Appointment</t>
        </is>
      </c>
      <c r="Z2836" t="inlineStr">
        <is>
          <t>Hiring Later</t>
        </is>
      </c>
      <c r="AA2836">
        <v>3</v>
      </c>
      <c r="AB2836" t="inlineStr">
        <is>
          <t>No Appointment Made</t>
        </is>
      </c>
      <c r="AC2836"/>
      <c r="AD2836" t="inlineStr">
        <is>
          <t>1) Sous Chef
2) Operation Manager
3) Kitchen</t>
        </is>
      </c>
      <c r="AE2836"/>
      <c r="AF2836">
        <v>8000</v>
      </c>
      <c r="AG2836" s="4"/>
      <c r="AH2836" s="4"/>
      <c r="AI2836">
        <v>8000</v>
      </c>
      <c r="AJ2836">
        <v>1</v>
      </c>
      <c r="AK2836" t="inlineStr">
        <is>
          <t>Yes, I have</t>
        </is>
      </c>
      <c r="AL2836">
        <v>2</v>
      </c>
      <c r="AM2836" t="inlineStr">
        <is>
          <t>No, I don't need at all</t>
        </is>
      </c>
      <c r="AN2836"/>
      <c r="AO2836" t="inlineStr">
        <is>
          <t>No, but I want in future</t>
        </is>
      </c>
      <c r="AP2836" t="inlineStr">
        <is>
          <t>Once per quarter (75%)</t>
        </is>
      </c>
      <c r="AQ2836">
        <v>25</v>
      </c>
      <c r="AR2836" t="inlineStr">
        <is>
          <t>Jobstreet</t>
        </is>
      </c>
      <c r="AS2836" t="inlineStr">
        <is>
          <t>- Headcount: 3
- Hiring Job Details: 1) Sous Chef, 2) Operation Manager, 3) Kitchen
- Hiring Urgency: Hiring Later
- Number of outlets: 1
- Have recruiter team: Yes
- Number of recruiter in company: 2
- Have ATS system: No, I don't need at all
- Have career website: No, but I want in future
- Current hiring budget: RM8,000
- Whole year budget: RM8,000.00
- Whole year number of vacancies: 25
- Hiring frequency: Once per quarter (75%)
- External job portal: Jobstreet</t>
        </is>
      </c>
      <c r="AT2836">
        <v>65</v>
      </c>
      <c r="AU2836" t="inlineStr">
        <is>
          <t>0.65</t>
        </is>
      </c>
      <c r="AV2836" t="inlineStr">
        <is>
          <t>15</t>
        </is>
      </c>
      <c r="AW2836" t="inlineStr">
        <is>
          <t>0</t>
        </is>
      </c>
      <c r="AX2836" t="inlineStr">
        <is>
          <t>Not Qualified</t>
        </is>
      </c>
      <c r="AY2836" s="4"/>
      <c r="AZ2836"/>
      <c r="BA2836"/>
      <c r="BB2836"/>
      <c r="BC2836" t="inlineStr">
        <is>
          <t>Explain and quotation shared.</t>
        </is>
      </c>
      <c r="BD2836" s="4">
        <v>46142.688425925924</v>
      </c>
      <c r="BE2836"/>
      <c r="BF2836"/>
      <c r="BG2836" t="inlineStr">
        <is>
          <t>Reschedule</t>
        </is>
      </c>
      <c r="BH2836" t="inlineStr">
        <is>
          <t>andy@ajobthing.com</t>
        </is>
      </c>
      <c r="BI2836"/>
      <c r="BJ2836" s="4">
        <v>46144.75209490741</v>
      </c>
      <c r="BK2836" s="4">
        <v>45646.61945601852</v>
      </c>
      <c r="BL2836" t="inlineStr">
        <is>
          <t>0.0</t>
        </is>
      </c>
      <c r="BM2836" t="inlineStr">
        <is>
          <t>3000.0</t>
        </is>
      </c>
      <c r="BN2836" t="inlineStr">
        <is>
          <t>Instant Register</t>
        </is>
      </c>
      <c r="BO2836" s="4">
        <v>45646.61945601852</v>
      </c>
      <c r="BP2836">
        <v>166102</v>
      </c>
      <c r="BQ2836"/>
      <c r="BR2836"/>
      <c r="BS2836"/>
      <c r="BT2836"/>
      <c r="BU2836"/>
      <c r="BV2836">
        <v>2738196</v>
      </c>
      <c r="BW2836" t="inlineStr">
        <is>
          <t>Inquire for Hiring Needs : Quotation Sent 50%</t>
        </is>
      </c>
      <c r="BX2836"/>
      <c r="BY2836"/>
      <c r="BZ2836" s="4"/>
      <c r="CA2836"/>
      <c r="CB2836"/>
      <c r="CC2836" s="4"/>
      <c r="CD2836" t="inlineStr">
        <is>
          <t>20</t>
        </is>
      </c>
      <c r="CE2836" t="inlineStr">
        <is>
          <t>0</t>
        </is>
      </c>
      <c r="CF2836" t="inlineStr">
        <is>
          <t>Q2-W01</t>
        </is>
      </c>
      <c r="CG2836"/>
      <c r="CH2836"/>
      <c r="CI2836"/>
      <c r="CJ2836" t="inlineStr">
        <is>
          <t>No Paid</t>
        </is>
      </c>
      <c r="CK2836" t="inlineStr">
        <is>
          <t>Eligible</t>
        </is>
      </c>
      <c r="CL2836"/>
      <c r="CM2836"/>
    </row>
    <row r="2837" ht="25.5" customHeight="1">
      <c r="A2837" t="inlineStr">
        <is>
          <t>135721</t>
        </is>
      </c>
      <c r="B2837" s="2"/>
      <c r="C2837"/>
      <c r="D2837" s="3">
        <v>46121.52196759259</v>
      </c>
      <c r="E2837" t="inlineStr">
        <is>
          <t>Q2-W01</t>
        </is>
      </c>
      <c r="F2837" t="inlineStr">
        <is>
          <t>Yuli</t>
        </is>
      </c>
      <c r="G2837" t="inlineStr">
        <is>
          <t>Customer</t>
        </is>
      </c>
      <c r="H2837" s="2" t="str">
        <f>=HYPERLINK("https://upbox.ajobthing.my/customer/135721", "https://upbox.ajobthing.my/customer/135721")</f>
        <v>https://upbox.ajobthing.my/customer/135721</v>
      </c>
      <c r="I2837" t="inlineStr">
        <is>
          <t>Connexion Holdings Sdn Bhd</t>
        </is>
      </c>
      <c r="J2837" t="inlineStr">
        <is>
          <t>Super Whale</t>
        </is>
      </c>
      <c r="K2837" t="inlineStr">
        <is>
          <t>YuLi</t>
        </is>
      </c>
      <c r="L2837" s="4"/>
      <c r="M2837" s="4">
        <v>46127.54299768519</v>
      </c>
      <c r="N2837"/>
      <c r="O2837">
        <v>7668</v>
      </c>
      <c r="P2837" s="4"/>
      <c r="Q2837" s="4">
        <v>46128.75034722222</v>
      </c>
      <c r="R2837"/>
      <c r="S2837">
        <v>7668</v>
      </c>
      <c r="T2837" s="4">
        <v>46128.75034722222</v>
      </c>
      <c r="U2837" s="4"/>
      <c r="V2837"/>
      <c r="W2837">
        <v>7668</v>
      </c>
      <c r="X2837"/>
      <c r="Y2837" t="inlineStr">
        <is>
          <t>Pending Appointment</t>
        </is>
      </c>
      <c r="Z2837" t="inlineStr">
        <is>
          <t>Hiring Now</t>
        </is>
      </c>
      <c r="AA2837">
        <v>2</v>
      </c>
      <c r="AB2837" t="inlineStr">
        <is>
          <t>No Appointment Made</t>
        </is>
      </c>
      <c r="AC2837"/>
      <c r="AD2837" t="inlineStr">
        <is>
          <t>1. Service Crew. Marketing Accounts</t>
        </is>
      </c>
      <c r="AE2837"/>
      <c r="AF2837"/>
      <c r="AG2837" s="4"/>
      <c r="AH2837" s="4"/>
      <c r="AI2837"/>
      <c r="AJ2837"/>
      <c r="AK2837"/>
      <c r="AL2837"/>
      <c r="AM2837"/>
      <c r="AN2837"/>
      <c r="AO2837"/>
      <c r="AP2837"/>
      <c r="AQ2837"/>
      <c r="AR2837" t="inlineStr">
        <is>
          <t>Hiredly, Linkedin (Paid)</t>
        </is>
      </c>
      <c r="AS2837" t="inlineStr">
        <is>
          <t>- Headcount: 2
- Hiring Job Details: 1. Service Crew. Marketing Accounts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Hiredly, Linkedin (Paid)</t>
        </is>
      </c>
      <c r="AT2837">
        <v>25</v>
      </c>
      <c r="AU2837" t="inlineStr">
        <is>
          <t>0.25</t>
        </is>
      </c>
      <c r="AV2837" t="inlineStr">
        <is>
          <t>5</t>
        </is>
      </c>
      <c r="AW2837" t="inlineStr">
        <is>
          <t>0</t>
        </is>
      </c>
      <c r="AX2837" t="inlineStr">
        <is>
          <t>Not Qualified</t>
        </is>
      </c>
      <c r="AY2837" s="4"/>
      <c r="AZ2837"/>
      <c r="BA2837"/>
      <c r="BB2837"/>
      <c r="BC2837" t="inlineStr">
        <is>
          <t>Informed Ms. Thanuja for the job title and she replied</t>
        </is>
      </c>
      <c r="BD2837" s="4">
        <v>46129.41916666667</v>
      </c>
      <c r="BE2837" t="inlineStr">
        <is>
          <t>paid</t>
        </is>
      </c>
      <c r="BF2837" t="inlineStr">
        <is>
          <t>Q2-W02</t>
        </is>
      </c>
      <c r="BG2837" t="inlineStr">
        <is>
          <t>Reschedule</t>
        </is>
      </c>
      <c r="BH2837" t="inlineStr">
        <is>
          <t>Fauziah Maharan</t>
        </is>
      </c>
      <c r="BI2837" t="inlineStr">
        <is>
          <t>Food / Beverage</t>
        </is>
      </c>
      <c r="BJ2837" s="4">
        <v>46144.750555555554</v>
      </c>
      <c r="BK2837" s="4">
        <v>44271.845046296294</v>
      </c>
      <c r="BL2837" t="inlineStr">
        <is>
          <t>7668.0</t>
        </is>
      </c>
      <c r="BM2837" t="inlineStr">
        <is>
          <t>900.0</t>
        </is>
      </c>
      <c r="BN2837" t="inlineStr">
        <is>
          <t>View Candidate Search Page</t>
        </is>
      </c>
      <c r="BO2837" s="4">
        <v>46131.906875</v>
      </c>
      <c r="BP2837">
        <v>167166</v>
      </c>
      <c r="BQ2837">
        <v>7641</v>
      </c>
      <c r="BR2837" t="inlineStr">
        <is>
          <t>Manual (Paid)</t>
        </is>
      </c>
      <c r="BS2837" t="inlineStr">
        <is>
          <t>SME Package for Buy 2 free 1 Job Slot- RM 500 discount until 16.04.26 ( Average per month RM 
- SME Package for 2 Job Slot + 1 Free Job Slot
- 3 Job Slot will be published on Maukerja, Ricebowl, and partner platforms.
- 3 Job Slot will be published for 14 months
- Reusable listing for 14 months
- Free Standard Company Page for 14 months
- Free 18 Free Intern / Manager / Part-time / Volunteer / Freelance / Singapore Job
- Free 2 Social Media posting ( which worth RM 6000) at Ricebowl or Maukerja IG/Tiktok
- Package valid for 12 months + 2 Months extension</t>
        </is>
      </c>
      <c r="BT2837">
        <v>7641</v>
      </c>
      <c r="BU2837"/>
      <c r="BV2837">
        <v>2711034</v>
      </c>
      <c r="BW2837" t="inlineStr">
        <is>
          <t>Service / Technical : Job Outcome Enquiry</t>
        </is>
      </c>
      <c r="BX2837">
        <v>3</v>
      </c>
      <c r="BY2837">
        <v>2</v>
      </c>
      <c r="BZ2837" s="4">
        <v>46129.373923611114</v>
      </c>
      <c r="CA2837"/>
      <c r="CB2837"/>
      <c r="CC2837" s="4"/>
      <c r="CD2837" t="inlineStr">
        <is>
          <t>5</t>
        </is>
      </c>
      <c r="CE2837" t="inlineStr">
        <is>
          <t>0</t>
        </is>
      </c>
      <c r="CF2837" t="inlineStr">
        <is>
          <t>Q2-W02</t>
        </is>
      </c>
      <c r="CG2837" t="inlineStr">
        <is>
          <t>Q2-W02</t>
        </is>
      </c>
      <c r="CH2837" t="inlineStr">
        <is>
          <t>Q2-W02</t>
        </is>
      </c>
      <c r="CI2837"/>
      <c r="CJ2837" t="inlineStr">
        <is>
          <t>Paid</t>
        </is>
      </c>
      <c r="CK2837" t="inlineStr">
        <is>
          <t>Eligible</t>
        </is>
      </c>
      <c r="CL2837"/>
      <c r="CM2837"/>
    </row>
    <row r="2838" ht="25.5" customHeight="1">
      <c r="A2838" t="inlineStr">
        <is>
          <t>18843</t>
        </is>
      </c>
      <c r="B2838" s="2"/>
      <c r="C2838"/>
      <c r="D2838" s="3">
        <v>46121.60314814815</v>
      </c>
      <c r="E2838" t="inlineStr">
        <is>
          <t>Q2-W01</t>
        </is>
      </c>
      <c r="F2838" t="inlineStr">
        <is>
          <t>Ratha</t>
        </is>
      </c>
      <c r="G2838" t="inlineStr">
        <is>
          <t>Customer</t>
        </is>
      </c>
      <c r="H2838" s="2" t="str">
        <f>=HYPERLINK("https://upbox.ajobthing.my/customer/18843", "https://upbox.ajobthing.my/customer/18843")</f>
        <v>https://upbox.ajobthing.my/customer/18843</v>
      </c>
      <c r="I2838" t="inlineStr">
        <is>
          <t>Kuala Lumpur Pavilion Sdn Bhd</t>
        </is>
      </c>
      <c r="J2838" t="inlineStr">
        <is>
          <t>Super Whale</t>
        </is>
      </c>
      <c r="K2838" t="inlineStr">
        <is>
          <t>Ratha</t>
        </is>
      </c>
      <c r="L2838" s="4"/>
      <c r="M2838" s="4">
        <v>46121.64207175926</v>
      </c>
      <c r="N2838"/>
      <c r="O2838">
        <v>34560</v>
      </c>
      <c r="P2838" s="4"/>
      <c r="Q2838" s="4">
        <v>44567.60925925926</v>
      </c>
      <c r="R2838"/>
      <c r="S2838">
        <v>742</v>
      </c>
      <c r="T2838" s="4">
        <v>44567.60925925926</v>
      </c>
      <c r="U2838" s="4"/>
      <c r="V2838"/>
      <c r="W2838">
        <v>742</v>
      </c>
      <c r="X2838"/>
      <c r="Y2838" t="inlineStr">
        <is>
          <t>Pending Appointment</t>
        </is>
      </c>
      <c r="Z2838" t="inlineStr">
        <is>
          <t>Continuous Hiring</t>
        </is>
      </c>
      <c r="AA2838">
        <v>3</v>
      </c>
      <c r="AB2838" t="inlineStr">
        <is>
          <t>No Appointment Made</t>
        </is>
      </c>
      <c r="AC2838"/>
      <c r="AD2838" t="inlineStr">
        <is>
          <t>HR, CS, Security and so on
Location : KL
Headcount : as much</t>
        </is>
      </c>
      <c r="AE2838"/>
      <c r="AF2838"/>
      <c r="AG2838" s="4"/>
      <c r="AH2838" s="4"/>
      <c r="AI2838">
        <v>0</v>
      </c>
      <c r="AJ2838">
        <v>3</v>
      </c>
      <c r="AK2838" t="inlineStr">
        <is>
          <t>Yes, I have</t>
        </is>
      </c>
      <c r="AL2838">
        <v>3</v>
      </c>
      <c r="AM2838" t="inlineStr">
        <is>
          <t>No, I don't need at all</t>
        </is>
      </c>
      <c r="AN2838"/>
      <c r="AO2838" t="inlineStr">
        <is>
          <t>Yes, I have</t>
        </is>
      </c>
      <c r="AP2838" t="inlineStr">
        <is>
          <t>Every month (100%)</t>
        </is>
      </c>
      <c r="AQ2838">
        <v>0</v>
      </c>
      <c r="AR2838" t="inlineStr">
        <is>
          <t>Jobstreet, Free Job Portal</t>
        </is>
      </c>
      <c r="AS2838" t="inlineStr">
        <is>
          <t>- Headcount: 3
- Hiring Job Details: HR, CS, Security and so on; Location: KL; Headcount: as much
- Hiring Urgency: Continuous Hiring
- Number of outlets: 3
- Have recruiter team: Yes
- Number of recruiter in company: 3
- Have ATS system: No, I don't need at all
- Have career website: Yes
- Current hiring budget: N/A
- Whole year budget: RM0.00
- Whole year number of vacancies: 0
- Hiring frequency: Every month (100%)
- External job portal: Jobstreet, Free Job Portal</t>
        </is>
      </c>
      <c r="AT2838">
        <v>75</v>
      </c>
      <c r="AU2838" t="inlineStr">
        <is>
          <t>0.75</t>
        </is>
      </c>
      <c r="AV2838" t="inlineStr">
        <is>
          <t>5</t>
        </is>
      </c>
      <c r="AW2838" t="inlineStr">
        <is>
          <t>0</t>
        </is>
      </c>
      <c r="AX2838" t="inlineStr">
        <is>
          <t>Not Qualified</t>
        </is>
      </c>
      <c r="AY2838" s="4"/>
      <c r="AZ2838"/>
      <c r="BA2838"/>
      <c r="BB2838"/>
      <c r="BC2838" t="inlineStr">
        <is>
          <t>management decided to maintain current portal since good respond</t>
        </is>
      </c>
      <c r="BD2838" s="4">
        <v>46135.473703703705</v>
      </c>
      <c r="BE2838" t="inlineStr">
        <is>
          <t>paid</t>
        </is>
      </c>
      <c r="BF2838"/>
      <c r="BG2838" t="inlineStr">
        <is>
          <t>Reschedule</t>
        </is>
      </c>
      <c r="BH2838" t="inlineStr">
        <is>
          <t>Fauziah Maharan</t>
        </is>
      </c>
      <c r="BI2838" t="inlineStr">
        <is>
          <t>Property / Real Estate</t>
        </is>
      </c>
      <c r="BJ2838" s="4">
        <v>46144.75224537037</v>
      </c>
      <c r="BK2838" s="4">
        <v>42478.85663194444</v>
      </c>
      <c r="BL2838" t="inlineStr">
        <is>
          <t>0.0</t>
        </is>
      </c>
      <c r="BM2838" t="inlineStr">
        <is>
          <t>54300.0</t>
        </is>
      </c>
      <c r="BN2838" t="inlineStr">
        <is>
          <t>View Company Page</t>
        </is>
      </c>
      <c r="BO2838" s="4">
        <v>45764.483981481484</v>
      </c>
      <c r="BP2838">
        <v>166235</v>
      </c>
      <c r="BQ2838">
        <v>39459</v>
      </c>
      <c r="BR2838" t="inlineStr">
        <is>
          <t>Online</t>
        </is>
      </c>
      <c r="BS2838"/>
      <c r="BT2838">
        <v>39459</v>
      </c>
      <c r="BU2838"/>
      <c r="BV2838">
        <v>2722819</v>
      </c>
      <c r="BW2838" t="inlineStr">
        <is>
          <t>Follow Up : Lost - Paid Portal</t>
        </is>
      </c>
      <c r="BX2838"/>
      <c r="BY2838"/>
      <c r="BZ2838" s="4"/>
      <c r="CA2838"/>
      <c r="CB2838"/>
      <c r="CC2838" s="4"/>
      <c r="CD2838" t="inlineStr">
        <is>
          <t>5</t>
        </is>
      </c>
      <c r="CE2838" t="inlineStr">
        <is>
          <t>0</t>
        </is>
      </c>
      <c r="CF2838" t="inlineStr">
        <is>
          <t>Q2-W01</t>
        </is>
      </c>
      <c r="CG2838"/>
      <c r="CH2838"/>
      <c r="CI2838"/>
      <c r="CJ2838" t="inlineStr">
        <is>
          <t>Paid</t>
        </is>
      </c>
      <c r="CK2838" t="inlineStr">
        <is>
          <t>Eligible</t>
        </is>
      </c>
      <c r="CL2838"/>
      <c r="CM2838"/>
    </row>
    <row r="2839" ht="25.5" customHeight="1">
      <c r="A2839" t="inlineStr">
        <is>
          <t>128787</t>
        </is>
      </c>
      <c r="B2839" s="2"/>
      <c r="C2839"/>
      <c r="D2839" s="3">
        <v>46121.71570601852</v>
      </c>
      <c r="E2839" t="inlineStr">
        <is>
          <t>Q2-W01</t>
        </is>
      </c>
      <c r="F2839" t="inlineStr">
        <is>
          <t>Ratha</t>
        </is>
      </c>
      <c r="G2839" t="inlineStr">
        <is>
          <t>Customer</t>
        </is>
      </c>
      <c r="H2839" s="2" t="str">
        <f>=HYPERLINK("https://upbox.ajobthing.my/customer/128787", "https://upbox.ajobthing.my/customer/128787")</f>
        <v>https://upbox.ajobthing.my/customer/128787</v>
      </c>
      <c r="I2839" t="inlineStr">
        <is>
          <t>Kuala Lumpur Kepong Berhad (KLK)</t>
        </is>
      </c>
      <c r="J2839" t="inlineStr">
        <is>
          <t>Super Whale</t>
        </is>
      </c>
      <c r="K2839" t="inlineStr">
        <is>
          <t>Ratha</t>
        </is>
      </c>
      <c r="L2839" s="4"/>
      <c r="M2839" s="4">
        <v>46121.718148148146</v>
      </c>
      <c r="N2839"/>
      <c r="O2839">
        <v>23760</v>
      </c>
      <c r="P2839" s="4"/>
      <c r="Q2839" s="4">
        <v>45565.620787037034</v>
      </c>
      <c r="R2839"/>
      <c r="S2839">
        <v>2916</v>
      </c>
      <c r="T2839" s="4">
        <v>45565.620787037034</v>
      </c>
      <c r="U2839" s="4"/>
      <c r="V2839"/>
      <c r="W2839">
        <v>2916</v>
      </c>
      <c r="X2839"/>
      <c r="Y2839" t="inlineStr">
        <is>
          <t>Pending Appointment</t>
        </is>
      </c>
      <c r="Z2839" t="inlineStr">
        <is>
          <t>Continuous Hiring</t>
        </is>
      </c>
      <c r="AA2839">
        <v>3</v>
      </c>
      <c r="AB2839" t="inlineStr">
        <is>
          <t>No Appointment Made</t>
        </is>
      </c>
      <c r="AC2839"/>
      <c r="AD2839" t="inlineStr">
        <is>
          <t>3 to 5 (HR, Account, Engineer) 
Location : Ipoh, Pahang, JB</t>
        </is>
      </c>
      <c r="AE2839"/>
      <c r="AF2839"/>
      <c r="AG2839" s="4"/>
      <c r="AH2839" s="4"/>
      <c r="AI2839"/>
      <c r="AJ2839">
        <v>8</v>
      </c>
      <c r="AK2839" t="inlineStr">
        <is>
          <t>Yes, I have</t>
        </is>
      </c>
      <c r="AL2839"/>
      <c r="AM2839" t="inlineStr">
        <is>
          <t>No, I don't need at all</t>
        </is>
      </c>
      <c r="AN2839"/>
      <c r="AO2839" t="inlineStr">
        <is>
          <t>Yes, I have</t>
        </is>
      </c>
      <c r="AP2839" t="inlineStr">
        <is>
          <t>Every month (100%)</t>
        </is>
      </c>
      <c r="AQ2839"/>
      <c r="AR2839" t="inlineStr">
        <is>
          <t>Jobstreet, Free Job Portal</t>
        </is>
      </c>
      <c r="AS2839" t="inlineStr">
        <is>
          <t>- Headcount: 3
- Hiring Job Details: 3 to 5 (HR, Account, Engineer); Location: Ipoh, Pahang, JB
- Hiring Urgency: Continuous Hiring
- Number of outlets: 8
- Have recruiter team: Yes
- Number of recruiter in company: Not specified
- Have ATS system: No, I don't need at all
- Have career website: Yes
- Current hiring budget: Not specified
- Whole year budget: Not specified
- Whole year number of vacancies: Not specified
- Hiring frequency: Every month (100%)
- External job portal: Jobstreet, Free Job Portal</t>
        </is>
      </c>
      <c r="AT2839">
        <v>65</v>
      </c>
      <c r="AU2839" t="inlineStr">
        <is>
          <t>0.65</t>
        </is>
      </c>
      <c r="AV2839" t="inlineStr">
        <is>
          <t>5</t>
        </is>
      </c>
      <c r="AW2839" t="inlineStr">
        <is>
          <t>0</t>
        </is>
      </c>
      <c r="AX2839" t="inlineStr">
        <is>
          <t>Not Qualified</t>
        </is>
      </c>
      <c r="AY2839" s="4"/>
      <c r="AZ2839"/>
      <c r="BA2839"/>
      <c r="BB2839"/>
      <c r="BC2839" t="inlineStr">
        <is>
          <t>no status - call back</t>
        </is>
      </c>
      <c r="BD2839" s="4">
        <v>46140.60737268518</v>
      </c>
      <c r="BE2839" t="inlineStr">
        <is>
          <t>paid</t>
        </is>
      </c>
      <c r="BF2839"/>
      <c r="BG2839" t="inlineStr">
        <is>
          <t>Reschedule</t>
        </is>
      </c>
      <c r="BH2839" t="inlineStr">
        <is>
          <t>Fauziah Maharan</t>
        </is>
      </c>
      <c r="BI2839" t="inlineStr">
        <is>
          <t>Agriculture / Poultry / Fisheries</t>
        </is>
      </c>
      <c r="BJ2839" s="4">
        <v>46144.75042824074</v>
      </c>
      <c r="BK2839" s="4">
        <v>44067.524930555555</v>
      </c>
      <c r="BL2839" t="inlineStr">
        <is>
          <t>0.0</t>
        </is>
      </c>
      <c r="BM2839" t="inlineStr">
        <is>
          <t>49200.0</t>
        </is>
      </c>
      <c r="BN2839" t="inlineStr">
        <is>
          <t>View Jobmanager Page</t>
        </is>
      </c>
      <c r="BO2839" s="4">
        <v>45909.68858796296</v>
      </c>
      <c r="BP2839">
        <v>166281</v>
      </c>
      <c r="BQ2839">
        <v>73405</v>
      </c>
      <c r="BR2839" t="inlineStr">
        <is>
          <t>Online</t>
        </is>
      </c>
      <c r="BS2839"/>
      <c r="BT2839">
        <v>73405</v>
      </c>
      <c r="BU2839"/>
      <c r="BV2839">
        <v>2732806</v>
      </c>
      <c r="BW2839" t="inlineStr">
        <is>
          <t>Follow Up : Decision Pending</t>
        </is>
      </c>
      <c r="BX2839"/>
      <c r="BY2839"/>
      <c r="BZ2839" s="4"/>
      <c r="CA2839"/>
      <c r="CB2839"/>
      <c r="CC2839" s="4"/>
      <c r="CD2839" t="inlineStr">
        <is>
          <t>5</t>
        </is>
      </c>
      <c r="CE2839" t="inlineStr">
        <is>
          <t>0</t>
        </is>
      </c>
      <c r="CF2839" t="inlineStr">
        <is>
          <t>Q2-W01</t>
        </is>
      </c>
      <c r="CG2839"/>
      <c r="CH2839"/>
      <c r="CI2839"/>
      <c r="CJ2839" t="inlineStr">
        <is>
          <t>Paid</t>
        </is>
      </c>
      <c r="CK2839" t="inlineStr">
        <is>
          <t>Eligible</t>
        </is>
      </c>
      <c r="CL2839"/>
      <c r="CM2839"/>
    </row>
    <row r="2840" ht="25.5" customHeight="1">
      <c r="A2840" t="inlineStr">
        <is>
          <t>8122</t>
        </is>
      </c>
      <c r="B2840" s="2"/>
      <c r="C2840"/>
      <c r="D2840" s="3">
        <v>46121.817395833335</v>
      </c>
      <c r="E2840" t="inlineStr">
        <is>
          <t>Q2-W01</t>
        </is>
      </c>
      <c r="F2840" t="inlineStr">
        <is>
          <t>Guest User 29658</t>
        </is>
      </c>
      <c r="G2840" t="inlineStr">
        <is>
          <t>Customer</t>
        </is>
      </c>
      <c r="H2840" s="2" t="str">
        <f>=HYPERLINK("https://upbox.ajobthing.my/customer/8122", "https://upbox.ajobthing.my/customer/8122")</f>
        <v>https://upbox.ajobthing.my/customer/8122</v>
      </c>
      <c r="I2840" t="inlineStr">
        <is>
          <t>Watsons Personal Care Stores Sdn Bhd</t>
        </is>
      </c>
      <c r="J2840" t="inlineStr">
        <is>
          <t>Super Whale</t>
        </is>
      </c>
      <c r="K2840" t="inlineStr">
        <is>
          <t>Dandy</t>
        </is>
      </c>
      <c r="L2840" s="4"/>
      <c r="M2840" s="4">
        <v>46129.712326388886</v>
      </c>
      <c r="N2840"/>
      <c r="O2840">
        <v>138780</v>
      </c>
      <c r="P2840" s="4"/>
      <c r="Q2840" s="4">
        <v>46120.40630787037</v>
      </c>
      <c r="R2840"/>
      <c r="S2840">
        <v>0</v>
      </c>
      <c r="T2840" s="4">
        <v>45853.74521990741</v>
      </c>
      <c r="U2840" s="4"/>
      <c r="V2840"/>
      <c r="W2840">
        <v>138780</v>
      </c>
      <c r="X2840"/>
      <c r="Y2840" t="inlineStr">
        <is>
          <t>Pending Appointment</t>
        </is>
      </c>
      <c r="Z2840" t="inlineStr">
        <is>
          <t>Continuous Hiring</t>
        </is>
      </c>
      <c r="AA2840">
        <v>1100</v>
      </c>
      <c r="AB2840" t="inlineStr">
        <is>
          <t>Appointment Made</t>
        </is>
      </c>
      <c r="AC2840" t="inlineStr">
        <is>
          <t>Enterprise (&gt;300 employees)</t>
        </is>
      </c>
      <c r="AD2840" t="inlineStr">
        <is>
          <t xml:space="preserve">1000 retails sales, 100 beauty expert, </t>
        </is>
      </c>
      <c r="AE2840" t="inlineStr">
        <is>
          <t>HR Director / Senior HR Lead</t>
        </is>
      </c>
      <c r="AF2840">
        <v>500000</v>
      </c>
      <c r="AG2840" s="4">
        <v>46121.479166666664</v>
      </c>
      <c r="AH2840" s="4">
        <v>46121.520833333336</v>
      </c>
      <c r="AI2840">
        <v>500000</v>
      </c>
      <c r="AJ2840">
        <v>800</v>
      </c>
      <c r="AK2840" t="inlineStr">
        <is>
          <t>Yes, I have</t>
        </is>
      </c>
      <c r="AL2840">
        <v>15</v>
      </c>
      <c r="AM2840" t="inlineStr">
        <is>
          <t>Yes, I have</t>
        </is>
      </c>
      <c r="AN2840" t="inlineStr">
        <is>
          <t>Oracle Taleo</t>
        </is>
      </c>
      <c r="AO2840" t="inlineStr">
        <is>
          <t>Yes, I have</t>
        </is>
      </c>
      <c r="AP2840" t="inlineStr">
        <is>
          <t>Every month (100%)</t>
        </is>
      </c>
      <c r="AQ2840">
        <v>2000</v>
      </c>
      <c r="AR2840" t="inlineStr">
        <is>
          <t>Jobstreet, Linkedin (Paid)</t>
        </is>
      </c>
      <c r="AS2840" t="inlineStr">
        <is>
          <t>- Headcount: 1,100
- Hiring Job Details: 1000 retail sales, 100 beauty expert
- Hiring Urgency: Continuous Hiring
- Number of outlets: 800
- Have recruiter team: Yes
- Number of recruiter in company: 15
- Have ATS system: Yes
- Have career website: Yes
- Current hiring budget: RM500,000
- Whole year budget: RM500,000.00
- Whole year number of vacancies: 2000
- Hiring frequency: Every month (100%)
- External job portal: Jobstreet, Linkedin (Paid)</t>
        </is>
      </c>
      <c r="AT2840">
        <v>115</v>
      </c>
      <c r="AU2840" t="inlineStr">
        <is>
          <t>1.15</t>
        </is>
      </c>
      <c r="AV2840" t="inlineStr">
        <is>
          <t>90</t>
        </is>
      </c>
      <c r="AW2840" t="inlineStr">
        <is>
          <t>1.2</t>
        </is>
      </c>
      <c r="AX2840" t="inlineStr">
        <is>
          <t>Not Qualified</t>
        </is>
      </c>
      <c r="AY2840" s="4"/>
      <c r="AZ2840"/>
      <c r="BA2840"/>
      <c r="BB2840"/>
      <c r="BC2840" t="inlineStr">
        <is>
          <t>Vanessa, they want to remain 500 profiles per year and no change for it.</t>
        </is>
      </c>
      <c r="BD2840" s="4">
        <v>46129.7084375</v>
      </c>
      <c r="BE2840" t="inlineStr">
        <is>
          <t>paid</t>
        </is>
      </c>
      <c r="BF2840"/>
      <c r="BG2840" t="inlineStr">
        <is>
          <t>Reschedule</t>
        </is>
      </c>
      <c r="BH2840"/>
      <c r="BI2840" t="inlineStr">
        <is>
          <t>Retail / Merchandise</t>
        </is>
      </c>
      <c r="BJ2840" s="4">
        <v>46144.756157407406</v>
      </c>
      <c r="BK2840" s="4">
        <v>42474.470138888886</v>
      </c>
      <c r="BL2840" t="inlineStr">
        <is>
          <t>138780.0</t>
        </is>
      </c>
      <c r="BM2840" t="inlineStr">
        <is>
          <t>66000.0</t>
        </is>
      </c>
      <c r="BN2840" t="inlineStr">
        <is>
          <t>View Company Page</t>
        </is>
      </c>
      <c r="BO2840" s="4">
        <v>46142.58016203704</v>
      </c>
      <c r="BP2840">
        <v>167695</v>
      </c>
      <c r="BQ2840">
        <v>120719</v>
      </c>
      <c r="BR2840" t="inlineStr">
        <is>
          <t>Proforma</t>
        </is>
      </c>
      <c r="BS2840" t="inlineStr">
        <is>
          <t>Free Part-Time Job</t>
        </is>
      </c>
      <c r="BT2840">
        <v>5791</v>
      </c>
      <c r="BU2840"/>
      <c r="BV2840">
        <v>2713326</v>
      </c>
      <c r="BW2840" t="inlineStr">
        <is>
          <t>Follow Up : Quotation Sent 50%</t>
        </is>
      </c>
      <c r="BX2840">
        <v>1</v>
      </c>
      <c r="BY2840">
        <v>1</v>
      </c>
      <c r="BZ2840" s="4"/>
      <c r="CA2840"/>
      <c r="CB2840"/>
      <c r="CC2840" s="4"/>
      <c r="CD2840" t="inlineStr">
        <is>
          <t>125</t>
        </is>
      </c>
      <c r="CE2840" t="inlineStr">
        <is>
          <t>0</t>
        </is>
      </c>
      <c r="CF2840" t="inlineStr">
        <is>
          <t>Q2-W03</t>
        </is>
      </c>
      <c r="CG2840" t="inlineStr">
        <is>
          <t>Q2-W01</t>
        </is>
      </c>
      <c r="CH2840"/>
      <c r="CI2840"/>
      <c r="CJ2840" t="inlineStr">
        <is>
          <t>Paid</t>
        </is>
      </c>
      <c r="CK2840" t="inlineStr">
        <is>
          <t>Eligible</t>
        </is>
      </c>
      <c r="CL2840"/>
      <c r="CM2840"/>
    </row>
    <row r="2841" ht="25.5" customHeight="1">
      <c r="A2841" t="inlineStr">
        <is>
          <t>155605</t>
        </is>
      </c>
      <c r="B2841" s="2"/>
      <c r="C2841"/>
      <c r="D2841" s="3">
        <v>46115.38317129629</v>
      </c>
      <c r="E2841" t="inlineStr">
        <is>
          <t>Q2-W01</t>
        </is>
      </c>
      <c r="F2841" t="inlineStr">
        <is>
          <t>Josh</t>
        </is>
      </c>
      <c r="G2841" t="inlineStr">
        <is>
          <t>Customer</t>
        </is>
      </c>
      <c r="H2841" s="2" t="str">
        <f>=HYPERLINK("https://upbox.ajobthing.my/customer/155605", "https://upbox.ajobthing.my/customer/155605")</f>
        <v>https://upbox.ajobthing.my/customer/155605</v>
      </c>
      <c r="I2841" t="inlineStr">
        <is>
          <t>Advance Jupiter Sdn Bhd</t>
        </is>
      </c>
      <c r="J2841" t="inlineStr">
        <is>
          <t>Whale</t>
        </is>
      </c>
      <c r="K2841" t="inlineStr">
        <is>
          <t>Josh</t>
        </is>
      </c>
      <c r="L2841" s="4"/>
      <c r="M2841" s="4">
        <v>46139.448067129626</v>
      </c>
      <c r="N2841"/>
      <c r="O2841">
        <v>5508</v>
      </c>
      <c r="P2841" s="4"/>
      <c r="Q2841" s="4">
        <v>46114.377847222226</v>
      </c>
      <c r="R2841"/>
      <c r="S2841">
        <v>0</v>
      </c>
      <c r="T2841" s="4">
        <v>45664.67832175926</v>
      </c>
      <c r="U2841" s="4"/>
      <c r="V2841"/>
      <c r="W2841">
        <v>4233.6</v>
      </c>
      <c r="X2841"/>
      <c r="Y2841" t="inlineStr">
        <is>
          <t>Pending Appointment</t>
        </is>
      </c>
      <c r="Z2841" t="inlineStr">
        <is>
          <t>Hiring Now</t>
        </is>
      </c>
      <c r="AA2841">
        <v>1</v>
      </c>
      <c r="AB2841" t="inlineStr">
        <is>
          <t>No Appointment Made</t>
        </is>
      </c>
      <c r="AC2841"/>
      <c r="AD2841" t="inlineStr">
        <is>
          <t xml:space="preserve">1 Operation </t>
        </is>
      </c>
      <c r="AE2841"/>
      <c r="AF2841">
        <v>3000</v>
      </c>
      <c r="AG2841" s="4"/>
      <c r="AH2841" s="4"/>
      <c r="AI2841"/>
      <c r="AJ2841"/>
      <c r="AK2841" t="inlineStr">
        <is>
          <t>Yes, I have</t>
        </is>
      </c>
      <c r="AL2841">
        <v>1</v>
      </c>
      <c r="AM2841"/>
      <c r="AN2841"/>
      <c r="AO2841"/>
      <c r="AP2841" t="inlineStr">
        <is>
          <t>Once a year (25%)</t>
        </is>
      </c>
      <c r="AQ2841"/>
      <c r="AR2841"/>
      <c r="AS2841" t="inlineStr">
        <is>
          <t>- Headcount: 1
- Hiring Job Details: 1 Operation
- Hiring Urgency: Hiring Now
- Number of outlets: Not provided
- Have recruiter team: Yes
- Number of recruiter in company: 1
- Have ATS system: Not provided
- Have career website: Not provided
- Current hiring budget: RM3,000.00
- Whole year budget: Not provided
- Whole year number of vacancies: Not provided
- Hiring frequency: Once a year (25%)
- External job portal: Not provided</t>
        </is>
      </c>
      <c r="AT2841">
        <v>85</v>
      </c>
      <c r="AU2841" t="inlineStr">
        <is>
          <t>0.85</t>
        </is>
      </c>
      <c r="AV2841" t="inlineStr">
        <is>
          <t>15</t>
        </is>
      </c>
      <c r="AW2841" t="inlineStr">
        <is>
          <t>0</t>
        </is>
      </c>
      <c r="AX2841" t="inlineStr">
        <is>
          <t>Not Qualified</t>
        </is>
      </c>
      <c r="AY2841" s="4"/>
      <c r="AZ2841"/>
      <c r="BA2841"/>
      <c r="BB2841"/>
      <c r="BC2841" t="inlineStr">
        <is>
          <t>on hold first</t>
        </is>
      </c>
      <c r="BD2841" s="4">
        <v>46142.40429398148</v>
      </c>
      <c r="BE2841" t="inlineStr">
        <is>
          <t>paid</t>
        </is>
      </c>
      <c r="BF2841"/>
      <c r="BG2841" t="inlineStr">
        <is>
          <t>Reschedule</t>
        </is>
      </c>
      <c r="BH2841" t="inlineStr">
        <is>
          <t>Fauziah Maharan</t>
        </is>
      </c>
      <c r="BI2841" t="inlineStr">
        <is>
          <t>IT / Hardware</t>
        </is>
      </c>
      <c r="BJ2841" s="4">
        <v>46144.75096064815</v>
      </c>
      <c r="BK2841" s="4">
        <v>44726.47557870371</v>
      </c>
      <c r="BL2841" t="inlineStr">
        <is>
          <t>0.0</t>
        </is>
      </c>
      <c r="BM2841" t="inlineStr">
        <is>
          <t>1200.0</t>
        </is>
      </c>
      <c r="BN2841" t="inlineStr">
        <is>
          <t>View Jobmanager Page</t>
        </is>
      </c>
      <c r="BO2841" s="4">
        <v>46139.44563657408</v>
      </c>
      <c r="BP2841">
        <v>168955</v>
      </c>
      <c r="BQ2841">
        <v>119433</v>
      </c>
      <c r="BR2841" t="inlineStr">
        <is>
          <t>Proforma</t>
        </is>
      </c>
      <c r="BS2841" t="inlineStr">
        <is>
          <t>Free Singapore Job</t>
        </is>
      </c>
      <c r="BT2841">
        <v>75938</v>
      </c>
      <c r="BU2841"/>
      <c r="BV2841">
        <v>2736562</v>
      </c>
      <c r="BW2841" t="inlineStr">
        <is>
          <t>Inquire for Hiring Needs : No Hiring</t>
        </is>
      </c>
      <c r="BX2841"/>
      <c r="BY2841"/>
      <c r="BZ2841" s="4"/>
      <c r="CA2841"/>
      <c r="CB2841"/>
      <c r="CC2841" s="4"/>
      <c r="CD2841" t="inlineStr">
        <is>
          <t>20</t>
        </is>
      </c>
      <c r="CE2841" t="inlineStr">
        <is>
          <t>0</t>
        </is>
      </c>
      <c r="CF2841" t="inlineStr">
        <is>
          <t>Q2-W04</t>
        </is>
      </c>
      <c r="CG2841" t="inlineStr">
        <is>
          <t>Q1-W13</t>
        </is>
      </c>
      <c r="CH2841"/>
      <c r="CI2841"/>
      <c r="CJ2841" t="inlineStr">
        <is>
          <t>Paid</t>
        </is>
      </c>
      <c r="CK2841" t="inlineStr">
        <is>
          <t>Eligible</t>
        </is>
      </c>
      <c r="CL2841"/>
      <c r="CM2841"/>
    </row>
    <row r="2842" ht="25.5" customHeight="1">
      <c r="A2842" t="inlineStr">
        <is>
          <t>190810</t>
        </is>
      </c>
      <c r="B2842" s="2"/>
      <c r="C2842"/>
      <c r="D2842" s="3">
        <v>46115.39140046296</v>
      </c>
      <c r="E2842" t="inlineStr">
        <is>
          <t>Q2-W01</t>
        </is>
      </c>
      <c r="F2842" t="inlineStr">
        <is>
          <t>Jess</t>
        </is>
      </c>
      <c r="G2842" t="inlineStr">
        <is>
          <t>Customer</t>
        </is>
      </c>
      <c r="H2842" s="2" t="str">
        <f>=HYPERLINK("https://upbox.ajobthing.my/customer/190810", "https://upbox.ajobthing.my/customer/190810")</f>
        <v>https://upbox.ajobthing.my/customer/190810</v>
      </c>
      <c r="I2842" t="inlineStr">
        <is>
          <t>Petroluxe Refinery (m) Sdn Bhd</t>
        </is>
      </c>
      <c r="J2842" t="inlineStr">
        <is>
          <t>Whale</t>
        </is>
      </c>
      <c r="K2842" t="inlineStr">
        <is>
          <t>Jess Lim</t>
        </is>
      </c>
      <c r="L2842" s="4"/>
      <c r="M2842" s="4">
        <v>46115.39599537037</v>
      </c>
      <c r="N2842"/>
      <c r="O2842">
        <v>7560</v>
      </c>
      <c r="P2842" s="4"/>
      <c r="Q2842" s="4">
        <v>46120.49055555555</v>
      </c>
      <c r="R2842"/>
      <c r="S2842">
        <v>6048</v>
      </c>
      <c r="T2842" s="4">
        <v>46120.49055555555</v>
      </c>
      <c r="U2842" s="4"/>
      <c r="V2842"/>
      <c r="W2842">
        <v>6048</v>
      </c>
      <c r="X2842"/>
      <c r="Y2842" t="inlineStr">
        <is>
          <t>Pending Appointment</t>
        </is>
      </c>
      <c r="Z2842" t="inlineStr">
        <is>
          <t>Hiring Now</t>
        </is>
      </c>
      <c r="AA2842">
        <v>1</v>
      </c>
      <c r="AB2842" t="inlineStr">
        <is>
          <t>No Appointment Made</t>
        </is>
      </c>
      <c r="AC2842"/>
      <c r="AD2842" t="inlineStr">
        <is>
          <t>electrical engineering</t>
        </is>
      </c>
      <c r="AE2842"/>
      <c r="AF2842">
        <v>10</v>
      </c>
      <c r="AG2842" s="4"/>
      <c r="AH2842" s="4"/>
      <c r="AI2842"/>
      <c r="AJ2842">
        <v>1</v>
      </c>
      <c r="AK2842" t="inlineStr">
        <is>
          <t>Yes, I have</t>
        </is>
      </c>
      <c r="AL2842">
        <v>2</v>
      </c>
      <c r="AM2842" t="inlineStr">
        <is>
          <t>No, I don't need at all</t>
        </is>
      </c>
      <c r="AN2842"/>
      <c r="AO2842" t="inlineStr">
        <is>
          <t>No, I don't need at all</t>
        </is>
      </c>
      <c r="AP2842" t="inlineStr">
        <is>
          <t>Twice a year (50%)</t>
        </is>
      </c>
      <c r="AQ2842"/>
      <c r="AR2842" t="inlineStr">
        <is>
          <t>Jobstreet</t>
        </is>
      </c>
      <c r="AS2842" t="inlineStr">
        <is>
          <t>- Headcount: 1
- Hiring Job Details: electrical engineering
- Hiring Urgency: Hiring Now
- Number of outlets: 1
- Have recruiter team: Yes
- Number of recruiter in company: 2
- Have ATS system: No, I don't need at all
- Have career website: No, I don't need at all
- Current hiring budget: RM10.00
- Whole year budget: 
- Whole year number of vacancies: 
- Hiring frequency: Twice a year (50%)
- External job portal: Jobstreet</t>
        </is>
      </c>
      <c r="AT2842">
        <v>105</v>
      </c>
      <c r="AU2842" t="inlineStr">
        <is>
          <t>1.05</t>
        </is>
      </c>
      <c r="AV2842" t="inlineStr">
        <is>
          <t>15</t>
        </is>
      </c>
      <c r="AW2842" t="inlineStr">
        <is>
          <t>0</t>
        </is>
      </c>
      <c r="AX2842" t="inlineStr">
        <is>
          <t>Not Qualified</t>
        </is>
      </c>
      <c r="AY2842" s="4"/>
      <c r="AZ2842"/>
      <c r="BA2842"/>
      <c r="BB2842"/>
      <c r="BC2842" t="inlineStr">
        <is>
          <t>paid and remind to check</t>
        </is>
      </c>
      <c r="BD2842" s="4">
        <v>46121.50461805556</v>
      </c>
      <c r="BE2842" t="inlineStr">
        <is>
          <t>paid</t>
        </is>
      </c>
      <c r="BF2842" t="inlineStr">
        <is>
          <t>Q2-W01</t>
        </is>
      </c>
      <c r="BG2842" t="inlineStr">
        <is>
          <t>Reschedule</t>
        </is>
      </c>
      <c r="BH2842" t="inlineStr">
        <is>
          <t>Fauziah Maharan</t>
        </is>
      </c>
      <c r="BI2842" t="inlineStr">
        <is>
          <t>Oil / Gas / Petroleum</t>
        </is>
      </c>
      <c r="BJ2842" s="4">
        <v>46144.75237268519</v>
      </c>
      <c r="BK2842" s="4">
        <v>45781.92251157408</v>
      </c>
      <c r="BL2842" t="inlineStr">
        <is>
          <t>6048.0</t>
        </is>
      </c>
      <c r="BM2842" t="inlineStr">
        <is>
          <t>3000.0</t>
        </is>
      </c>
      <c r="BN2842" t="inlineStr">
        <is>
          <t>View Company Page</t>
        </is>
      </c>
      <c r="BO2842" s="4">
        <v>46135.483310185184</v>
      </c>
      <c r="BP2842">
        <v>165083</v>
      </c>
      <c r="BQ2842">
        <v>92017</v>
      </c>
      <c r="BR2842" t="inlineStr">
        <is>
          <t>Online</t>
        </is>
      </c>
      <c r="BS2842"/>
      <c r="BT2842">
        <v>92017</v>
      </c>
      <c r="BU2842"/>
      <c r="BV2842">
        <v>2695619</v>
      </c>
      <c r="BW2842" t="inlineStr">
        <is>
          <t>Follow Up : Win - Customer Paid</t>
        </is>
      </c>
      <c r="BX2842">
        <v>16</v>
      </c>
      <c r="BY2842">
        <v>11</v>
      </c>
      <c r="BZ2842" s="4">
        <v>46121.72226851852</v>
      </c>
      <c r="CA2842">
        <v>173</v>
      </c>
      <c r="CB2842">
        <v>173</v>
      </c>
      <c r="CC2842" s="4"/>
      <c r="CD2842" t="inlineStr">
        <is>
          <t>20</t>
        </is>
      </c>
      <c r="CE2842" t="inlineStr">
        <is>
          <t>0</t>
        </is>
      </c>
      <c r="CF2842" t="inlineStr">
        <is>
          <t>Q2-W01</t>
        </is>
      </c>
      <c r="CG2842" t="inlineStr">
        <is>
          <t>Q2-W01</t>
        </is>
      </c>
      <c r="CH2842" t="inlineStr">
        <is>
          <t>Q2-W01</t>
        </is>
      </c>
      <c r="CI2842"/>
      <c r="CJ2842" t="inlineStr">
        <is>
          <t>Paid</t>
        </is>
      </c>
      <c r="CK2842" t="inlineStr">
        <is>
          <t>Eligible</t>
        </is>
      </c>
      <c r="CL2842"/>
      <c r="CM2842"/>
    </row>
    <row r="2843" ht="25.5" customHeight="1">
      <c r="A2843" t="inlineStr">
        <is>
          <t>118094</t>
        </is>
      </c>
      <c r="B2843" s="2"/>
      <c r="C2843"/>
      <c r="D2843" s="3">
        <v>46115.41373842592</v>
      </c>
      <c r="E2843" t="inlineStr">
        <is>
          <t>Q2-W01</t>
        </is>
      </c>
      <c r="F2843" t="inlineStr">
        <is>
          <t>Ratha</t>
        </is>
      </c>
      <c r="G2843" t="inlineStr">
        <is>
          <t>Customer</t>
        </is>
      </c>
      <c r="H2843" s="2" t="str">
        <f>=HYPERLINK("https://upbox.ajobthing.my/customer/118094", "https://upbox.ajobthing.my/customer/118094")</f>
        <v>https://upbox.ajobthing.my/customer/118094</v>
      </c>
      <c r="I2843" t="inlineStr">
        <is>
          <t>Din Tai Fung Malaysia</t>
        </is>
      </c>
      <c r="J2843" t="inlineStr">
        <is>
          <t>Whale</t>
        </is>
      </c>
      <c r="K2843" t="inlineStr">
        <is>
          <t>Ratha</t>
        </is>
      </c>
      <c r="L2843" s="4"/>
      <c r="M2843" s="4">
        <v>46119.43763888889</v>
      </c>
      <c r="N2843"/>
      <c r="O2843">
        <v>7560</v>
      </c>
      <c r="P2843" s="4"/>
      <c r="Q2843" s="4">
        <v>44805.71740740741</v>
      </c>
      <c r="R2843"/>
      <c r="S2843">
        <v>636</v>
      </c>
      <c r="T2843" s="4">
        <v>44805.71740740741</v>
      </c>
      <c r="U2843" s="4"/>
      <c r="V2843"/>
      <c r="W2843">
        <v>636</v>
      </c>
      <c r="X2843"/>
      <c r="Y2843" t="inlineStr">
        <is>
          <t>Pending Appointment</t>
        </is>
      </c>
      <c r="Z2843"/>
      <c r="AA2843">
        <v>1</v>
      </c>
      <c r="AB2843" t="inlineStr">
        <is>
          <t>No Appointment Made</t>
        </is>
      </c>
      <c r="AC2843"/>
      <c r="AD2843" t="inlineStr">
        <is>
          <t>Service Crew : Chinese
Headcounts : ongoing
Location : 19 locations</t>
        </is>
      </c>
      <c r="AE2843"/>
      <c r="AF2843"/>
      <c r="AG2843" s="4"/>
      <c r="AH2843" s="4"/>
      <c r="AI2843">
        <v>0</v>
      </c>
      <c r="AJ2843">
        <v>19</v>
      </c>
      <c r="AK2843" t="inlineStr">
        <is>
          <t>Yes, I have</t>
        </is>
      </c>
      <c r="AL2843">
        <v>5</v>
      </c>
      <c r="AM2843" t="inlineStr">
        <is>
          <t>No, I don't need at all</t>
        </is>
      </c>
      <c r="AN2843"/>
      <c r="AO2843" t="inlineStr">
        <is>
          <t>Yes, I have</t>
        </is>
      </c>
      <c r="AP2843"/>
      <c r="AQ2843">
        <v>0</v>
      </c>
      <c r="AR2843" t="inlineStr">
        <is>
          <t>Jobstreet, Free Job Portal</t>
        </is>
      </c>
      <c r="AS2843" t="inlineStr">
        <is>
          <t>- Headcount: 1
- Hiring Job Details: Service Crew (Chinese, ongoing headcounts)
- Hiring Urgency: Not specified
- Number of outlets: 19
- Have recruiter team: Yes
- Number of recruiter in company: 5
- Have ATS system: No, I don't need at all
- Have career website: Yes
- Current hiring budget: Not specified
- Whole year budget: RM0.00
- Whole year number of vacancies: 0
- Hiring frequency: Not specified
- External job portal: Jobstreet, Free Job Portal</t>
        </is>
      </c>
      <c r="AT2843">
        <v>55</v>
      </c>
      <c r="AU2843" t="inlineStr">
        <is>
          <t>0.55</t>
        </is>
      </c>
      <c r="AV2843" t="inlineStr">
        <is>
          <t>5</t>
        </is>
      </c>
      <c r="AW2843" t="inlineStr">
        <is>
          <t>0</t>
        </is>
      </c>
      <c r="AX2843" t="inlineStr">
        <is>
          <t>Not Qualified</t>
        </is>
      </c>
      <c r="AY2843" s="4"/>
      <c r="AZ2843"/>
      <c r="BA2843"/>
      <c r="BB2843"/>
      <c r="BC2843" t="inlineStr">
        <is>
          <t>wants to try other portal</t>
        </is>
      </c>
      <c r="BD2843" s="4">
        <v>46133.42920138889</v>
      </c>
      <c r="BE2843" t="inlineStr">
        <is>
          <t>paid</t>
        </is>
      </c>
      <c r="BF2843"/>
      <c r="BG2843" t="inlineStr">
        <is>
          <t>Reschedule</t>
        </is>
      </c>
      <c r="BH2843" t="inlineStr">
        <is>
          <t>Fauziah Maharan</t>
        </is>
      </c>
      <c r="BI2843" t="inlineStr">
        <is>
          <t>Food / Beverage</t>
        </is>
      </c>
      <c r="BJ2843" s="4">
        <v>46144.75019675926</v>
      </c>
      <c r="BK2843" s="4">
        <v>43584.604791666665</v>
      </c>
      <c r="BL2843" t="inlineStr">
        <is>
          <t>0.0</t>
        </is>
      </c>
      <c r="BM2843" t="inlineStr">
        <is>
          <t>6600.0</t>
        </is>
      </c>
      <c r="BN2843" t="inlineStr">
        <is>
          <t>View Company Page</t>
        </is>
      </c>
      <c r="BO2843" s="4">
        <v>46133.70909722222</v>
      </c>
      <c r="BP2843">
        <v>165568</v>
      </c>
      <c r="BQ2843">
        <v>50050</v>
      </c>
      <c r="BR2843" t="inlineStr">
        <is>
          <t>Online</t>
        </is>
      </c>
      <c r="BS2843"/>
      <c r="BT2843">
        <v>50050</v>
      </c>
      <c r="BU2843"/>
      <c r="BV2843">
        <v>2717075</v>
      </c>
      <c r="BW2843" t="inlineStr">
        <is>
          <t>Follow Up : Lost - Paid Portal</t>
        </is>
      </c>
      <c r="BX2843"/>
      <c r="BY2843"/>
      <c r="BZ2843" s="4"/>
      <c r="CA2843"/>
      <c r="CB2843"/>
      <c r="CC2843" s="4"/>
      <c r="CD2843" t="inlineStr">
        <is>
          <t>5</t>
        </is>
      </c>
      <c r="CE2843" t="inlineStr">
        <is>
          <t>0</t>
        </is>
      </c>
      <c r="CF2843" t="inlineStr">
        <is>
          <t>Q2-W01</t>
        </is>
      </c>
      <c r="CG2843"/>
      <c r="CH2843"/>
      <c r="CI2843"/>
      <c r="CJ2843" t="inlineStr">
        <is>
          <t>Paid</t>
        </is>
      </c>
      <c r="CK2843" t="inlineStr">
        <is>
          <t>Eligible</t>
        </is>
      </c>
      <c r="CL2843"/>
      <c r="CM2843"/>
    </row>
    <row r="2844" ht="25.5" customHeight="1">
      <c r="A2844" t="inlineStr">
        <is>
          <t>164704</t>
        </is>
      </c>
      <c r="B2844" s="2"/>
      <c r="C2844"/>
      <c r="D2844" s="3">
        <v>46115.42181712963</v>
      </c>
      <c r="E2844" t="inlineStr">
        <is>
          <t>Q2-W01</t>
        </is>
      </c>
      <c r="F2844" t="inlineStr">
        <is>
          <t>Jess</t>
        </is>
      </c>
      <c r="G2844" t="inlineStr">
        <is>
          <t>Customer</t>
        </is>
      </c>
      <c r="H2844" s="2" t="str">
        <f>=HYPERLINK("https://upbox.ajobthing.my/customer/164704", "https://upbox.ajobthing.my/customer/164704")</f>
        <v>https://upbox.ajobthing.my/customer/164704</v>
      </c>
      <c r="I2844" t="inlineStr">
        <is>
          <t>Grandwork Interior Sdn Bhd</t>
        </is>
      </c>
      <c r="J2844" t="inlineStr">
        <is>
          <t>Whale</t>
        </is>
      </c>
      <c r="K2844" t="inlineStr">
        <is>
          <t>Jess Lim</t>
        </is>
      </c>
      <c r="L2844" s="4"/>
      <c r="M2844" s="4">
        <v>46122.734930555554</v>
      </c>
      <c r="N2844"/>
      <c r="O2844">
        <v>4968</v>
      </c>
      <c r="P2844" s="4"/>
      <c r="Q2844" s="4">
        <v>46140.51836805556</v>
      </c>
      <c r="R2844"/>
      <c r="S2844">
        <v>0</v>
      </c>
      <c r="T2844" s="4">
        <v>45769.619780092595</v>
      </c>
      <c r="U2844" s="4"/>
      <c r="V2844"/>
      <c r="W2844">
        <v>2592</v>
      </c>
      <c r="X2844"/>
      <c r="Y2844" t="inlineStr">
        <is>
          <t>Pending Appointment</t>
        </is>
      </c>
      <c r="Z2844" t="inlineStr">
        <is>
          <t>Hiring Now</t>
        </is>
      </c>
      <c r="AA2844">
        <v>2</v>
      </c>
      <c r="AB2844" t="inlineStr">
        <is>
          <t>No Appointment Made</t>
        </is>
      </c>
      <c r="AC2844"/>
      <c r="AD2844" t="inlineStr">
        <is>
          <t>quantiity surveyor cost maanger 2</t>
        </is>
      </c>
      <c r="AE2844"/>
      <c r="AF2844">
        <v>6000</v>
      </c>
      <c r="AG2844" s="4"/>
      <c r="AH2844" s="4"/>
      <c r="AI2844"/>
      <c r="AJ2844">
        <v>1</v>
      </c>
      <c r="AK2844" t="inlineStr">
        <is>
          <t>Yes, I have</t>
        </is>
      </c>
      <c r="AL2844">
        <v>1</v>
      </c>
      <c r="AM2844" t="inlineStr">
        <is>
          <t>No, I don't need at all</t>
        </is>
      </c>
      <c r="AN2844"/>
      <c r="AO2844"/>
      <c r="AP2844" t="inlineStr">
        <is>
          <t>Once a year (25%)</t>
        </is>
      </c>
      <c r="AQ2844"/>
      <c r="AR2844" t="inlineStr">
        <is>
          <t>Jobstreet</t>
        </is>
      </c>
      <c r="AS2844" t="inlineStr">
        <is>
          <t>- Headcount: 2
- Hiring Job Details: quantity surveyor cost manager 2
- Hiring Urgency: Hiring Now
- Number of outlets: 1
- Have recruiter team: Yes
- Number of recruiter in company: 1
- Have ATS system: No, I don't need at all
- Have career website: Not specified
- Current hiring budget: RM6,000.00
- Whole year budget: Not specified
- Whole year number of vacancies: Not specified
- Hiring frequency: Once a year (25%)
- External job portal: Jobstreet</t>
        </is>
      </c>
      <c r="AT2844">
        <v>110</v>
      </c>
      <c r="AU2844" t="inlineStr">
        <is>
          <t>1.10</t>
        </is>
      </c>
      <c r="AV2844" t="inlineStr">
        <is>
          <t>15</t>
        </is>
      </c>
      <c r="AW2844" t="inlineStr">
        <is>
          <t>0</t>
        </is>
      </c>
      <c r="AX2844" t="inlineStr">
        <is>
          <t>Not Qualified</t>
        </is>
      </c>
      <c r="AY2844" s="4"/>
      <c r="AZ2844"/>
      <c r="BA2844"/>
      <c r="BB2844"/>
      <c r="BC2844" t="inlineStr">
        <is>
          <t>pending decision</t>
        </is>
      </c>
      <c r="BD2844" s="4">
        <v>46122.73809027778</v>
      </c>
      <c r="BE2844" t="inlineStr">
        <is>
          <t>paid</t>
        </is>
      </c>
      <c r="BF2844"/>
      <c r="BG2844" t="inlineStr">
        <is>
          <t>Reschedule</t>
        </is>
      </c>
      <c r="BH2844" t="inlineStr">
        <is>
          <t>Fauziah Maharan</t>
        </is>
      </c>
      <c r="BI2844" t="inlineStr">
        <is>
          <t>Architecture / Interior Design</t>
        </is>
      </c>
      <c r="BJ2844" s="4">
        <v>46144.751226851855</v>
      </c>
      <c r="BK2844" s="4">
        <v>44978.532314814816</v>
      </c>
      <c r="BL2844" t="inlineStr">
        <is>
          <t>0.0</t>
        </is>
      </c>
      <c r="BM2844" t="inlineStr">
        <is>
          <t>2700.0</t>
        </is>
      </c>
      <c r="BN2844" t="inlineStr">
        <is>
          <t>User Visit(Logged In)</t>
        </is>
      </c>
      <c r="BO2844" s="4">
        <v>46143.945381944446</v>
      </c>
      <c r="BP2844">
        <v>166580</v>
      </c>
      <c r="BQ2844">
        <v>123879</v>
      </c>
      <c r="BR2844" t="inlineStr">
        <is>
          <t>Proforma</t>
        </is>
      </c>
      <c r="BS2844" t="inlineStr">
        <is>
          <t>Free Internship Job</t>
        </is>
      </c>
      <c r="BT2844">
        <v>5725</v>
      </c>
      <c r="BU2844"/>
      <c r="BV2844">
        <v>2699182</v>
      </c>
      <c r="BW2844" t="inlineStr">
        <is>
          <t>Follow Up : Decision Pending</t>
        </is>
      </c>
      <c r="BX2844">
        <v>4</v>
      </c>
      <c r="BY2844">
        <v>-50</v>
      </c>
      <c r="BZ2844" s="4">
        <v>46140.535474537035</v>
      </c>
      <c r="CA2844">
        <v>245</v>
      </c>
      <c r="CB2844">
        <v>245</v>
      </c>
      <c r="CC2844" s="4"/>
      <c r="CD2844" t="inlineStr">
        <is>
          <t>20</t>
        </is>
      </c>
      <c r="CE2844" t="inlineStr">
        <is>
          <t>0</t>
        </is>
      </c>
      <c r="CF2844" t="inlineStr">
        <is>
          <t>Q2-W02</t>
        </is>
      </c>
      <c r="CG2844" t="inlineStr">
        <is>
          <t>Q2-W04</t>
        </is>
      </c>
      <c r="CH2844"/>
      <c r="CI2844"/>
      <c r="CJ2844" t="inlineStr">
        <is>
          <t>Paid</t>
        </is>
      </c>
      <c r="CK2844" t="inlineStr">
        <is>
          <t>Eligible</t>
        </is>
      </c>
      <c r="CL2844"/>
      <c r="CM2844"/>
    </row>
    <row r="2845" ht="25.5" customHeight="1">
      <c r="A2845" t="inlineStr">
        <is>
          <t>202769</t>
        </is>
      </c>
      <c r="B2845" s="2"/>
      <c r="C2845"/>
      <c r="D2845" s="3">
        <v>46115.43783564815</v>
      </c>
      <c r="E2845" t="inlineStr">
        <is>
          <t>Q2-W01</t>
        </is>
      </c>
      <c r="F2845" t="inlineStr">
        <is>
          <t>Lucas</t>
        </is>
      </c>
      <c r="G2845" t="inlineStr">
        <is>
          <t>Customer</t>
        </is>
      </c>
      <c r="H2845" s="2" t="str">
        <f>=HYPERLINK("https://upbox.ajobthing.my/customer/202769", "https://upbox.ajobthing.my/customer/202769")</f>
        <v>https://upbox.ajobthing.my/customer/202769</v>
      </c>
      <c r="I2845" t="inlineStr">
        <is>
          <t>vs Consultancy</t>
        </is>
      </c>
      <c r="J2845" t="inlineStr">
        <is>
          <t>Whale</t>
        </is>
      </c>
      <c r="K2845" t="inlineStr">
        <is>
          <t>Lucas</t>
        </is>
      </c>
      <c r="L2845" s="4"/>
      <c r="M2845" s="4">
        <v>46115.432071759256</v>
      </c>
      <c r="N2845"/>
      <c r="O2845">
        <v>6048</v>
      </c>
      <c r="P2845" s="4"/>
      <c r="Q2845" s="4"/>
      <c r="R2845"/>
      <c r="S2845"/>
      <c r="T2845" s="4"/>
      <c r="U2845" s="4"/>
      <c r="V2845"/>
      <c r="W2845"/>
      <c r="X2845"/>
      <c r="Y2845" t="inlineStr">
        <is>
          <t>Pending Appointment</t>
        </is>
      </c>
      <c r="Z2845" t="inlineStr">
        <is>
          <t>Hiring Now</t>
        </is>
      </c>
      <c r="AA2845">
        <v>10</v>
      </c>
      <c r="AB2845" t="inlineStr">
        <is>
          <t>No Appointment Made</t>
        </is>
      </c>
      <c r="AC2845"/>
      <c r="AD2845" t="inlineStr">
        <is>
          <t xml:space="preserve">10 nursing/ hospital crew </t>
        </is>
      </c>
      <c r="AE2845"/>
      <c r="AF2845">
        <v>0</v>
      </c>
      <c r="AG2845" s="4"/>
      <c r="AH2845" s="4"/>
      <c r="AI2845">
        <v>0</v>
      </c>
      <c r="AJ2845">
        <v>0</v>
      </c>
      <c r="AK2845" t="inlineStr">
        <is>
          <t>No, I don't need at all</t>
        </is>
      </c>
      <c r="AL2845">
        <v>0</v>
      </c>
      <c r="AM2845" t="inlineStr">
        <is>
          <t>No, I don't need at all</t>
        </is>
      </c>
      <c r="AN2845"/>
      <c r="AO2845" t="inlineStr">
        <is>
          <t>No, I don't need at all</t>
        </is>
      </c>
      <c r="AP2845" t="inlineStr">
        <is>
          <t>Once a year (25%)</t>
        </is>
      </c>
      <c r="AQ2845">
        <v>10</v>
      </c>
      <c r="AR2845" t="inlineStr">
        <is>
          <t>Jobstreet</t>
        </is>
      </c>
      <c r="AS2845" t="inlineStr">
        <is>
          <t>- Headcount: 10
- Hiring Job Details: 10 nursing/ hospital crew
- Hiring Urgency: Hiring Now
- Number of outlets: 0
- Have recruiter team: No, I don't need at all
- Number of recruiter in company: 0
- Have ATS system: No, I don't need at all
- Have career website: No, I don't need at all
- Current hiring budget: RM0
- Whole year budget: RM0.00
- Whole year number of vacancies: 10
- Hiring frequency: Once a year (25%)
- External job portal: Jobstreet</t>
        </is>
      </c>
      <c r="AT2845">
        <v>115</v>
      </c>
      <c r="AU2845" t="inlineStr">
        <is>
          <t>1.15</t>
        </is>
      </c>
      <c r="AV2845" t="inlineStr">
        <is>
          <t>20</t>
        </is>
      </c>
      <c r="AW2845" t="inlineStr">
        <is>
          <t>0</t>
        </is>
      </c>
      <c r="AX2845" t="inlineStr">
        <is>
          <t>Not Qualified</t>
        </is>
      </c>
      <c r="AY2845" s="4"/>
      <c r="AZ2845"/>
      <c r="BA2845"/>
      <c r="BB2845"/>
      <c r="BC2845" t="inlineStr">
        <is>
          <t>nr, FU 1</t>
        </is>
      </c>
      <c r="BD2845" s="4">
        <v>46128.56996527778</v>
      </c>
      <c r="BE2845"/>
      <c r="BF2845"/>
      <c r="BG2845" t="inlineStr">
        <is>
          <t>Reschedule</t>
        </is>
      </c>
      <c r="BH2845" t="inlineStr">
        <is>
          <t>Yee Hang</t>
        </is>
      </c>
      <c r="BI2845" t="inlineStr">
        <is>
          <t>Healthcare / Medical</t>
        </is>
      </c>
      <c r="BJ2845" s="4">
        <v>46144.75412037037</v>
      </c>
      <c r="BK2845" s="4">
        <v>46115.39896990741</v>
      </c>
      <c r="BL2845" t="inlineStr">
        <is>
          <t>0.0</t>
        </is>
      </c>
      <c r="BM2845" t="inlineStr">
        <is>
          <t>12000.0</t>
        </is>
      </c>
      <c r="BN2845" t="inlineStr">
        <is>
          <t>View Create Job Page V4</t>
        </is>
      </c>
      <c r="BO2845" s="4">
        <v>46115.444710648146</v>
      </c>
      <c r="BP2845">
        <v>165099</v>
      </c>
      <c r="BQ2845"/>
      <c r="BR2845"/>
      <c r="BS2845"/>
      <c r="BT2845"/>
      <c r="BU2845"/>
      <c r="BV2845">
        <v>2709168</v>
      </c>
      <c r="BW2845" t="inlineStr">
        <is>
          <t>No Answer : Voicemail - WA sent to customer</t>
        </is>
      </c>
      <c r="BX2845"/>
      <c r="BY2845"/>
      <c r="BZ2845" s="4"/>
      <c r="CA2845"/>
      <c r="CB2845"/>
      <c r="CC2845" s="4"/>
      <c r="CD2845" t="inlineStr">
        <is>
          <t>30</t>
        </is>
      </c>
      <c r="CE2845" t="inlineStr">
        <is>
          <t>0</t>
        </is>
      </c>
      <c r="CF2845" t="inlineStr">
        <is>
          <t>Q2-W01</t>
        </is>
      </c>
      <c r="CG2845"/>
      <c r="CH2845"/>
      <c r="CI2845"/>
      <c r="CJ2845" t="inlineStr">
        <is>
          <t>No Paid</t>
        </is>
      </c>
      <c r="CK2845" t="inlineStr">
        <is>
          <t>Eligible</t>
        </is>
      </c>
      <c r="CL2845"/>
      <c r="CM2845"/>
    </row>
    <row r="2846" ht="25.5" customHeight="1">
      <c r="A2846" t="inlineStr">
        <is>
          <t>202765</t>
        </is>
      </c>
      <c r="B2846" s="2"/>
      <c r="C2846"/>
      <c r="D2846" s="3">
        <v>46115.44430555555</v>
      </c>
      <c r="E2846" t="inlineStr">
        <is>
          <t>Q2-W01</t>
        </is>
      </c>
      <c r="F2846" t="inlineStr">
        <is>
          <t>Keegan</t>
        </is>
      </c>
      <c r="G2846" t="inlineStr">
        <is>
          <t>Customer</t>
        </is>
      </c>
      <c r="H2846" s="2" t="str">
        <f>=HYPERLINK("https://upbox.ajobthing.my/customer/202765", "https://upbox.ajobthing.my/customer/202765")</f>
        <v>https://upbox.ajobthing.my/customer/202765</v>
      </c>
      <c r="I2846" t="inlineStr">
        <is>
          <t>Khalid Aluminium Sdn Bhd</t>
        </is>
      </c>
      <c r="J2846" t="inlineStr">
        <is>
          <t>Whale</t>
        </is>
      </c>
      <c r="K2846" t="inlineStr">
        <is>
          <t>Keegan</t>
        </is>
      </c>
      <c r="L2846" s="4"/>
      <c r="M2846" s="4">
        <v>46115.44459490741</v>
      </c>
      <c r="N2846"/>
      <c r="O2846">
        <v>3672</v>
      </c>
      <c r="P2846" s="4"/>
      <c r="Q2846" s="4">
        <v>46118.48903935185</v>
      </c>
      <c r="R2846"/>
      <c r="S2846">
        <v>3672</v>
      </c>
      <c r="T2846" s="4">
        <v>46118.48903935185</v>
      </c>
      <c r="U2846" s="4"/>
      <c r="V2846"/>
      <c r="W2846">
        <v>3672</v>
      </c>
      <c r="X2846"/>
      <c r="Y2846" t="inlineStr">
        <is>
          <t>Pending Appointment</t>
        </is>
      </c>
      <c r="Z2846" t="inlineStr">
        <is>
          <t>Hiring Now</t>
        </is>
      </c>
      <c r="AA2846">
        <v>2</v>
      </c>
      <c r="AB2846" t="inlineStr">
        <is>
          <t>No Appointment Made</t>
        </is>
      </c>
      <c r="AC2846"/>
      <c r="AD2846" t="inlineStr">
        <is>
          <t>1. General Clerk 
2. Assistant QS</t>
        </is>
      </c>
      <c r="AE2846"/>
      <c r="AF2846"/>
      <c r="AG2846" s="4"/>
      <c r="AH2846" s="4"/>
      <c r="AI2846"/>
      <c r="AJ2846">
        <v>1</v>
      </c>
      <c r="AK2846" t="inlineStr">
        <is>
          <t>No, I don't need at all</t>
        </is>
      </c>
      <c r="AL2846">
        <v>0</v>
      </c>
      <c r="AM2846" t="inlineStr">
        <is>
          <t>No, I don't need at all</t>
        </is>
      </c>
      <c r="AN2846"/>
      <c r="AO2846" t="inlineStr">
        <is>
          <t>No, I don't need at all</t>
        </is>
      </c>
      <c r="AP2846" t="inlineStr">
        <is>
          <t>Once per quarter (75%)</t>
        </is>
      </c>
      <c r="AQ2846"/>
      <c r="AR2846" t="inlineStr">
        <is>
          <t>Did not use any job portal</t>
        </is>
      </c>
      <c r="AS2846" t="inlineStr">
        <is>
          <t>- Headcount: 2
- Hiring Job Details: 1. General Clerk 2. Assistant QS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846">
        <v>95</v>
      </c>
      <c r="AU2846" t="inlineStr">
        <is>
          <t>0.95</t>
        </is>
      </c>
      <c r="AV2846" t="inlineStr">
        <is>
          <t>5</t>
        </is>
      </c>
      <c r="AW2846" t="inlineStr">
        <is>
          <t>0</t>
        </is>
      </c>
      <c r="AX2846" t="inlineStr">
        <is>
          <t>Not Qualified</t>
        </is>
      </c>
      <c r="AY2846" s="4"/>
      <c r="AZ2846"/>
      <c r="BA2846"/>
      <c r="BB2846"/>
      <c r="BC2846" t="inlineStr">
        <is>
          <t>Job posting f/up</t>
        </is>
      </c>
      <c r="BD2846" s="4">
        <v>46136.50372685185</v>
      </c>
      <c r="BE2846" t="inlineStr">
        <is>
          <t>paid</t>
        </is>
      </c>
      <c r="BF2846" t="inlineStr">
        <is>
          <t>Q2-W01</t>
        </is>
      </c>
      <c r="BG2846" t="inlineStr">
        <is>
          <t>Reschedule</t>
        </is>
      </c>
      <c r="BH2846" t="inlineStr">
        <is>
          <t>Edward Hoo</t>
        </is>
      </c>
      <c r="BI2846" t="inlineStr">
        <is>
          <t>Manufacturing / Production</t>
        </is>
      </c>
      <c r="BJ2846" s="4">
        <v>46144.75412037037</v>
      </c>
      <c r="BK2846" s="4">
        <v>46115.356458333335</v>
      </c>
      <c r="BL2846" t="inlineStr">
        <is>
          <t>3672.0</t>
        </is>
      </c>
      <c r="BM2846" t="inlineStr">
        <is>
          <t>1800.0</t>
        </is>
      </c>
      <c r="BN2846" t="inlineStr">
        <is>
          <t>View Company Page</t>
        </is>
      </c>
      <c r="BO2846" s="4">
        <v>46140.5802662037</v>
      </c>
      <c r="BP2846">
        <v>165108</v>
      </c>
      <c r="BQ2846">
        <v>91291</v>
      </c>
      <c r="BR2846" t="inlineStr">
        <is>
          <t>Online</t>
        </is>
      </c>
      <c r="BS2846"/>
      <c r="BT2846">
        <v>91291</v>
      </c>
      <c r="BU2846"/>
      <c r="BV2846">
        <v>2726057</v>
      </c>
      <c r="BW2846" t="inlineStr">
        <is>
          <t>Service / Technical : Job Outcome Enquiry</t>
        </is>
      </c>
      <c r="BX2846">
        <v>6</v>
      </c>
      <c r="BY2846">
        <v>4</v>
      </c>
      <c r="BZ2846" s="4">
        <v>46120.412407407406</v>
      </c>
      <c r="CA2846">
        <v>73</v>
      </c>
      <c r="CB2846">
        <v>73</v>
      </c>
      <c r="CC2846" s="4"/>
      <c r="CD2846" t="inlineStr">
        <is>
          <t>5</t>
        </is>
      </c>
      <c r="CE2846" t="inlineStr">
        <is>
          <t>0</t>
        </is>
      </c>
      <c r="CF2846" t="inlineStr">
        <is>
          <t>Q2-W01</t>
        </is>
      </c>
      <c r="CG2846" t="inlineStr">
        <is>
          <t>Q2-W01</t>
        </is>
      </c>
      <c r="CH2846" t="inlineStr">
        <is>
          <t>Q2-W01</t>
        </is>
      </c>
      <c r="CI2846"/>
      <c r="CJ2846" t="inlineStr">
        <is>
          <t>Paid</t>
        </is>
      </c>
      <c r="CK2846" t="inlineStr">
        <is>
          <t>Eligible</t>
        </is>
      </c>
      <c r="CL2846"/>
      <c r="CM2846"/>
    </row>
    <row r="2847" ht="25.5" customHeight="1">
      <c r="A2847" t="inlineStr">
        <is>
          <t>151793</t>
        </is>
      </c>
      <c r="B2847" s="2"/>
      <c r="C2847"/>
      <c r="D2847" s="3">
        <v>46115.44600694445</v>
      </c>
      <c r="E2847" t="inlineStr">
        <is>
          <t>Q2-W01</t>
        </is>
      </c>
      <c r="F2847" t="inlineStr">
        <is>
          <t>Ratha</t>
        </is>
      </c>
      <c r="G2847" t="inlineStr">
        <is>
          <t>Customer</t>
        </is>
      </c>
      <c r="H2847" s="2" t="str">
        <f>=HYPERLINK("https://upbox.ajobthing.my/customer/151793", "https://upbox.ajobthing.my/customer/151793")</f>
        <v>https://upbox.ajobthing.my/customer/151793</v>
      </c>
      <c r="I2847" t="inlineStr">
        <is>
          <t>Tamron Infinite Sdn Bhd</t>
        </is>
      </c>
      <c r="J2847" t="inlineStr">
        <is>
          <t>Whale</t>
        </is>
      </c>
      <c r="K2847" t="inlineStr">
        <is>
          <t>Ratha</t>
        </is>
      </c>
      <c r="L2847" s="4"/>
      <c r="M2847" s="4">
        <v>46115.447071759256</v>
      </c>
      <c r="N2847"/>
      <c r="O2847">
        <v>3888</v>
      </c>
      <c r="P2847" s="4"/>
      <c r="Q2847" s="4">
        <v>46126.58126157407</v>
      </c>
      <c r="R2847"/>
      <c r="S2847">
        <v>3888</v>
      </c>
      <c r="T2847" s="4">
        <v>46126.58126157407</v>
      </c>
      <c r="U2847" s="4"/>
      <c r="V2847"/>
      <c r="W2847">
        <v>3888</v>
      </c>
      <c r="X2847"/>
      <c r="Y2847" t="inlineStr">
        <is>
          <t>Pending Appointment</t>
        </is>
      </c>
      <c r="Z2847" t="inlineStr">
        <is>
          <t>Continuous Hiring</t>
        </is>
      </c>
      <c r="AA2847">
        <v>10</v>
      </c>
      <c r="AB2847" t="inlineStr">
        <is>
          <t>No Appointment Made</t>
        </is>
      </c>
      <c r="AC2847"/>
      <c r="AD2847" t="inlineStr">
        <is>
          <t xml:space="preserve">admin still on going 
Headcounts : 10
Location : Klang </t>
        </is>
      </c>
      <c r="AE2847"/>
      <c r="AF2847"/>
      <c r="AG2847" s="4"/>
      <c r="AH2847" s="4"/>
      <c r="AI2847">
        <v>0</v>
      </c>
      <c r="AJ2847">
        <v>1</v>
      </c>
      <c r="AK2847" t="inlineStr">
        <is>
          <t>Yes, I have</t>
        </is>
      </c>
      <c r="AL2847">
        <v>1</v>
      </c>
      <c r="AM2847" t="inlineStr">
        <is>
          <t>No, I don't need at all</t>
        </is>
      </c>
      <c r="AN2847"/>
      <c r="AO2847" t="inlineStr">
        <is>
          <t>No, I don't need at all</t>
        </is>
      </c>
      <c r="AP2847" t="inlineStr">
        <is>
          <t>Every month (100%)</t>
        </is>
      </c>
      <c r="AQ2847">
        <v>0</v>
      </c>
      <c r="AR2847" t="inlineStr">
        <is>
          <t>Free Job Portal</t>
        </is>
      </c>
      <c r="AS2847" t="inlineStr">
        <is>
          <t>- Headcount: 10
- Hiring Job Details: admin (ongoing, headcounts:10, location:Klang)
- Hiring Urgency: Continuous Hiring
- Number of outlets: 1
- Have recruiter team: Yes
- Number of recruiter in company: 1
- Have ATS system: No, don't need at all
- Have career website: No, don't need at all
- Current hiring budget: Not specified
- Whole year budget: RM0.00
- Whole year number of vacancies: 0
- Hiring frequency: Every month (100%)
- External job portal: Free Job Portal</t>
        </is>
      </c>
      <c r="AT2847">
        <v>105</v>
      </c>
      <c r="AU2847" t="inlineStr">
        <is>
          <t>1.05</t>
        </is>
      </c>
      <c r="AV2847" t="inlineStr">
        <is>
          <t>10</t>
        </is>
      </c>
      <c r="AW2847" t="inlineStr">
        <is>
          <t>0</t>
        </is>
      </c>
      <c r="AX2847" t="inlineStr">
        <is>
          <t>Not Qualified</t>
        </is>
      </c>
      <c r="AY2847" s="4"/>
      <c r="AZ2847"/>
      <c r="BA2847"/>
      <c r="BB2847"/>
      <c r="BC2847" t="inlineStr">
        <is>
          <t>- Headcount: 10
- Hiring Job Details: 10 admin (ongoing, location:Klang)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Free Job Portal</t>
        </is>
      </c>
      <c r="BD2847" s="4">
        <v>46126.45836805556</v>
      </c>
      <c r="BE2847" t="inlineStr">
        <is>
          <t>paid</t>
        </is>
      </c>
      <c r="BF2847" t="inlineStr">
        <is>
          <t>Q2-W02</t>
        </is>
      </c>
      <c r="BG2847" t="inlineStr">
        <is>
          <t>Reschedule</t>
        </is>
      </c>
      <c r="BH2847" t="inlineStr">
        <is>
          <t>Fauziah Maharan</t>
        </is>
      </c>
      <c r="BI2847" t="inlineStr">
        <is>
          <t>Transportation / Logistics</t>
        </is>
      </c>
      <c r="BJ2847" s="4">
        <v>46144.75087962963</v>
      </c>
      <c r="BK2847" s="4">
        <v>44658.49523148148</v>
      </c>
      <c r="BL2847" t="inlineStr">
        <is>
          <t>3888.0</t>
        </is>
      </c>
      <c r="BM2847" t="inlineStr">
        <is>
          <t>0.0</t>
        </is>
      </c>
      <c r="BN2847" t="inlineStr">
        <is>
          <t>View Company Page</t>
        </is>
      </c>
      <c r="BO2847" s="4">
        <v>46139.63574074074</v>
      </c>
      <c r="BP2847">
        <v>165112</v>
      </c>
      <c r="BQ2847">
        <v>93370</v>
      </c>
      <c r="BR2847" t="inlineStr">
        <is>
          <t>Online</t>
        </is>
      </c>
      <c r="BS2847"/>
      <c r="BT2847">
        <v>93370</v>
      </c>
      <c r="BU2847"/>
      <c r="BV2847">
        <v>2702809</v>
      </c>
      <c r="BW2847" t="inlineStr">
        <is>
          <t>Customer Inquiry</t>
        </is>
      </c>
      <c r="BX2847">
        <v>6</v>
      </c>
      <c r="BY2847">
        <v>5</v>
      </c>
      <c r="BZ2847" s="4">
        <v>46127.43380787037</v>
      </c>
      <c r="CA2847">
        <v>60</v>
      </c>
      <c r="CB2847">
        <v>60</v>
      </c>
      <c r="CC2847" s="4"/>
      <c r="CD2847" t="inlineStr">
        <is>
          <t>15</t>
        </is>
      </c>
      <c r="CE2847" t="inlineStr">
        <is>
          <t>0</t>
        </is>
      </c>
      <c r="CF2847" t="inlineStr">
        <is>
          <t>Q2-W01</t>
        </is>
      </c>
      <c r="CG2847" t="inlineStr">
        <is>
          <t>Q2-W02</t>
        </is>
      </c>
      <c r="CH2847" t="inlineStr">
        <is>
          <t>Q2-W02</t>
        </is>
      </c>
      <c r="CI2847"/>
      <c r="CJ2847" t="inlineStr">
        <is>
          <t>Paid</t>
        </is>
      </c>
      <c r="CK2847" t="inlineStr">
        <is>
          <t>Eligible</t>
        </is>
      </c>
      <c r="CL2847"/>
      <c r="CM2847"/>
    </row>
    <row r="2848" ht="25.5" customHeight="1">
      <c r="A2848" t="inlineStr">
        <is>
          <t>132183</t>
        </is>
      </c>
      <c r="B2848" s="2"/>
      <c r="C2848"/>
      <c r="D2848" s="3">
        <v>46115.45311342592</v>
      </c>
      <c r="E2848" t="inlineStr">
        <is>
          <t>Q2-W01</t>
        </is>
      </c>
      <c r="F2848" t="inlineStr">
        <is>
          <t>Evan</t>
        </is>
      </c>
      <c r="G2848" t="inlineStr">
        <is>
          <t>Customer</t>
        </is>
      </c>
      <c r="H2848" s="2" t="str">
        <f>=HYPERLINK("https://upbox.ajobthing.my/customer/132183", "https://upbox.ajobthing.my/customer/132183")</f>
        <v>https://upbox.ajobthing.my/customer/132183</v>
      </c>
      <c r="I2848" t="inlineStr">
        <is>
          <t>Sans Human Capital Sdn Bhd</t>
        </is>
      </c>
      <c r="J2848" t="inlineStr">
        <is>
          <t>Whale</t>
        </is>
      </c>
      <c r="K2848" t="inlineStr">
        <is>
          <t>Evan</t>
        </is>
      </c>
      <c r="L2848" s="4"/>
      <c r="M2848" s="4">
        <v>46115.45269675926</v>
      </c>
      <c r="N2848"/>
      <c r="O2848">
        <v>5832</v>
      </c>
      <c r="P2848" s="4"/>
      <c r="Q2848" s="4">
        <v>45618</v>
      </c>
      <c r="R2848"/>
      <c r="S2848">
        <v>3240</v>
      </c>
      <c r="T2848" s="4">
        <v>45618</v>
      </c>
      <c r="U2848" s="4"/>
      <c r="V2848"/>
      <c r="W2848">
        <v>3240</v>
      </c>
      <c r="X2848"/>
      <c r="Y2848" t="inlineStr">
        <is>
          <t>Pending Appointment</t>
        </is>
      </c>
      <c r="Z2848" t="inlineStr">
        <is>
          <t>Hiring Now</t>
        </is>
      </c>
      <c r="AA2848">
        <v>1</v>
      </c>
      <c r="AB2848" t="inlineStr">
        <is>
          <t>No Appointment Made</t>
        </is>
      </c>
      <c r="AC2848"/>
      <c r="AD2848" t="inlineStr">
        <is>
          <t>1 clerk, all base in KL</t>
        </is>
      </c>
      <c r="AE2848"/>
      <c r="AF2848">
        <v>1</v>
      </c>
      <c r="AG2848" s="4"/>
      <c r="AH2848" s="4"/>
      <c r="AI2848">
        <v>1</v>
      </c>
      <c r="AJ2848"/>
      <c r="AK2848" t="inlineStr">
        <is>
          <t>No, I don't need at all</t>
        </is>
      </c>
      <c r="AL2848">
        <v>1</v>
      </c>
      <c r="AM2848" t="inlineStr">
        <is>
          <t>No, I don't need at all</t>
        </is>
      </c>
      <c r="AN2848"/>
      <c r="AO2848" t="inlineStr">
        <is>
          <t>No, I don't need at all</t>
        </is>
      </c>
      <c r="AP2848" t="inlineStr">
        <is>
          <t>Once a year (25%)</t>
        </is>
      </c>
      <c r="AQ2848">
        <v>1</v>
      </c>
      <c r="AR2848" t="inlineStr">
        <is>
          <t>Jobstreet</t>
        </is>
      </c>
      <c r="AS2848" t="inlineStr">
        <is>
          <t>- Headcount: 1
- Hiring Job Details: 1 clerk, all base in KL
- Hiring Urgency: Hiring Now
- Number of outlets: N/A
- Have recruiter team: No, I don't need at all
- Number of recruiter in company: 1
- Have ATS system: No, I don't need at all
- Have career website: No, I don't need at all
- Current hiring budget: RM1
- Whole year budget: RM1.00
- Whole year number of vacancies: 1
- Hiring frequency: Once a year (25%)
- External job portal: Jobstreet</t>
        </is>
      </c>
      <c r="AT2848">
        <v>110</v>
      </c>
      <c r="AU2848" t="inlineStr">
        <is>
          <t>1.10</t>
        </is>
      </c>
      <c r="AV2848" t="inlineStr">
        <is>
          <t>15</t>
        </is>
      </c>
      <c r="AW2848" t="inlineStr">
        <is>
          <t>0</t>
        </is>
      </c>
      <c r="AX2848" t="inlineStr">
        <is>
          <t>Not Qualified</t>
        </is>
      </c>
      <c r="AY2848" s="4"/>
      <c r="AZ2848"/>
      <c r="BA2848"/>
      <c r="BB2848"/>
      <c r="BC2848" t="inlineStr">
        <is>
          <t>lost first</t>
        </is>
      </c>
      <c r="BD2848" s="4">
        <v>46140.45528935185</v>
      </c>
      <c r="BE2848" t="inlineStr">
        <is>
          <t>paid</t>
        </is>
      </c>
      <c r="BF2848"/>
      <c r="BG2848" t="inlineStr">
        <is>
          <t>Reschedule</t>
        </is>
      </c>
      <c r="BH2848" t="inlineStr">
        <is>
          <t>Edward Hoo</t>
        </is>
      </c>
      <c r="BI2848" t="inlineStr">
        <is>
          <t>Beauty / Fitness</t>
        </is>
      </c>
      <c r="BJ2848" s="4">
        <v>46144.75047453704</v>
      </c>
      <c r="BK2848" s="4">
        <v>44167.65520833333</v>
      </c>
      <c r="BL2848" t="inlineStr">
        <is>
          <t>0.0</t>
        </is>
      </c>
      <c r="BM2848" t="inlineStr">
        <is>
          <t>1200.0</t>
        </is>
      </c>
      <c r="BN2848" t="inlineStr">
        <is>
          <t>View Company Page</t>
        </is>
      </c>
      <c r="BO2848" s="4">
        <v>45988.699837962966</v>
      </c>
      <c r="BP2848">
        <v>165116</v>
      </c>
      <c r="BQ2848">
        <v>74914</v>
      </c>
      <c r="BR2848" t="inlineStr">
        <is>
          <t>Online</t>
        </is>
      </c>
      <c r="BS2848"/>
      <c r="BT2848">
        <v>74914</v>
      </c>
      <c r="BU2848"/>
      <c r="BV2848">
        <v>2731969</v>
      </c>
      <c r="BW2848" t="inlineStr">
        <is>
          <t>Follow Up : Budget Concern</t>
        </is>
      </c>
      <c r="BX2848"/>
      <c r="BY2848"/>
      <c r="BZ2848" s="4"/>
      <c r="CA2848"/>
      <c r="CB2848"/>
      <c r="CC2848" s="4"/>
      <c r="CD2848" t="inlineStr">
        <is>
          <t>20</t>
        </is>
      </c>
      <c r="CE2848" t="inlineStr">
        <is>
          <t>0</t>
        </is>
      </c>
      <c r="CF2848" t="inlineStr">
        <is>
          <t>Q2-W01</t>
        </is>
      </c>
      <c r="CG2848"/>
      <c r="CH2848"/>
      <c r="CI2848"/>
      <c r="CJ2848" t="inlineStr">
        <is>
          <t>Paid</t>
        </is>
      </c>
      <c r="CK2848" t="inlineStr">
        <is>
          <t>Eligible</t>
        </is>
      </c>
      <c r="CL2848"/>
      <c r="CM2848"/>
    </row>
    <row r="2849" ht="25.5" customHeight="1">
      <c r="A2849" t="inlineStr">
        <is>
          <t>202764</t>
        </is>
      </c>
      <c r="B2849" s="2"/>
      <c r="C2849"/>
      <c r="D2849" s="3">
        <v>46115.457766203705</v>
      </c>
      <c r="E2849" t="inlineStr">
        <is>
          <t>Q2-W01</t>
        </is>
      </c>
      <c r="F2849" t="inlineStr">
        <is>
          <t>Jess</t>
        </is>
      </c>
      <c r="G2849" t="inlineStr">
        <is>
          <t>Customer</t>
        </is>
      </c>
      <c r="H2849" s="2" t="str">
        <f>=HYPERLINK("https://upbox.ajobthing.my/customer/202764", "https://upbox.ajobthing.my/customer/202764")</f>
        <v>https://upbox.ajobthing.my/customer/202764</v>
      </c>
      <c r="I2849" t="inlineStr">
        <is>
          <t>Airfilter Engineering (m) Sdn Bhd</t>
        </is>
      </c>
      <c r="J2849" t="inlineStr">
        <is>
          <t>Whale</t>
        </is>
      </c>
      <c r="K2849" t="inlineStr">
        <is>
          <t>Jess Lim</t>
        </is>
      </c>
      <c r="L2849" s="4"/>
      <c r="M2849" s="4">
        <v>46115.45878472222</v>
      </c>
      <c r="N2849"/>
      <c r="O2849">
        <v>6048</v>
      </c>
      <c r="P2849" s="4"/>
      <c r="Q2849" s="4">
        <v>46115.326516203706</v>
      </c>
      <c r="R2849"/>
      <c r="S2849">
        <v>0</v>
      </c>
      <c r="T2849" s="4"/>
      <c r="U2849" s="4"/>
      <c r="V2849"/>
      <c r="W2849"/>
      <c r="X2849"/>
      <c r="Y2849" t="inlineStr">
        <is>
          <t>Pending Appointment</t>
        </is>
      </c>
      <c r="Z2849" t="inlineStr">
        <is>
          <t>Hiring Now</t>
        </is>
      </c>
      <c r="AA2849">
        <v>2</v>
      </c>
      <c r="AB2849" t="inlineStr">
        <is>
          <t>No Appointment Made</t>
        </is>
      </c>
      <c r="AC2849"/>
      <c r="AD2849" t="inlineStr">
        <is>
          <t>operator technican operator</t>
        </is>
      </c>
      <c r="AE2849"/>
      <c r="AF2849">
        <v>2000</v>
      </c>
      <c r="AG2849" s="4"/>
      <c r="AH2849" s="4"/>
      <c r="AI2849"/>
      <c r="AJ2849">
        <v>1</v>
      </c>
      <c r="AK2849" t="inlineStr">
        <is>
          <t>No, I don't need at all</t>
        </is>
      </c>
      <c r="AL2849">
        <v>1</v>
      </c>
      <c r="AM2849" t="inlineStr">
        <is>
          <t>No, I don't need at all</t>
        </is>
      </c>
      <c r="AN2849"/>
      <c r="AO2849" t="inlineStr">
        <is>
          <t>No, I don't need at all</t>
        </is>
      </c>
      <c r="AP2849" t="inlineStr">
        <is>
          <t>Once a year (25%)</t>
        </is>
      </c>
      <c r="AQ2849"/>
      <c r="AR2849" t="inlineStr">
        <is>
          <t>Jobstreet</t>
        </is>
      </c>
      <c r="AS2849" t="inlineStr">
        <is>
          <t>- Headcount: 2
- Hiring Job Details: operator, technican, operator
- Hiring Urgency: Hiring Now
- Number of outlets: 1
- Have recruiter team: No, I don't need at all
- Number of recruiter in company: 1
- Have ATS system: No, I don't need at all
- Have career website: No, I don't need at all
- Current hiring budget: RM2,000.00
- Whole year budget: Not specified
- Whole year number of vacancies: Not specified
- Hiring frequency: Once a year (25%)
- External job portal: Jobstreet</t>
        </is>
      </c>
      <c r="AT2849">
        <v>65</v>
      </c>
      <c r="AU2849" t="inlineStr">
        <is>
          <t>0.65</t>
        </is>
      </c>
      <c r="AV2849" t="inlineStr">
        <is>
          <t>15</t>
        </is>
      </c>
      <c r="AW2849" t="inlineStr">
        <is>
          <t>0</t>
        </is>
      </c>
      <c r="AX2849" t="inlineStr">
        <is>
          <t>Not Qualified</t>
        </is>
      </c>
      <c r="AY2849" s="4"/>
      <c r="AZ2849"/>
      <c r="BA2849"/>
      <c r="BB2849"/>
      <c r="BC2849" t="inlineStr">
        <is>
          <t>no pick up</t>
        </is>
      </c>
      <c r="BD2849" s="4">
        <v>46122.707141203704</v>
      </c>
      <c r="BE2849" t="inlineStr">
        <is>
          <t>paid</t>
        </is>
      </c>
      <c r="BF2849"/>
      <c r="BG2849" t="inlineStr">
        <is>
          <t>Reschedule</t>
        </is>
      </c>
      <c r="BH2849" t="inlineStr">
        <is>
          <t>Fauziah Maharan</t>
        </is>
      </c>
      <c r="BI2849" t="inlineStr">
        <is>
          <t>Manufacturing / Production</t>
        </is>
      </c>
      <c r="BJ2849" s="4">
        <v>46144.75412037037</v>
      </c>
      <c r="BK2849" s="4">
        <v>46115.32608796296</v>
      </c>
      <c r="BL2849" t="inlineStr">
        <is>
          <t>0.0</t>
        </is>
      </c>
      <c r="BM2849" t="inlineStr">
        <is>
          <t>1800.0</t>
        </is>
      </c>
      <c r="BN2849" t="inlineStr">
        <is>
          <t>View Company Page</t>
        </is>
      </c>
      <c r="BO2849" s="4">
        <v>46115.45716435185</v>
      </c>
      <c r="BP2849">
        <v>165123</v>
      </c>
      <c r="BQ2849">
        <v>119747</v>
      </c>
      <c r="BR2849" t="inlineStr">
        <is>
          <t>Proforma</t>
        </is>
      </c>
      <c r="BS2849" t="inlineStr">
        <is>
          <t>Free Singapore Job</t>
        </is>
      </c>
      <c r="BT2849"/>
      <c r="BU2849"/>
      <c r="BV2849">
        <v>2698927</v>
      </c>
      <c r="BW2849" t="inlineStr">
        <is>
          <t>No Answer : Voicemail - WA sent to customer</t>
        </is>
      </c>
      <c r="BX2849"/>
      <c r="BY2849"/>
      <c r="BZ2849" s="4"/>
      <c r="CA2849"/>
      <c r="CB2849"/>
      <c r="CC2849" s="4"/>
      <c r="CD2849" t="inlineStr">
        <is>
          <t>20</t>
        </is>
      </c>
      <c r="CE2849" t="inlineStr">
        <is>
          <t>0</t>
        </is>
      </c>
      <c r="CF2849" t="inlineStr">
        <is>
          <t>Q2-W01</t>
        </is>
      </c>
      <c r="CG2849" t="inlineStr">
        <is>
          <t>Q2-W01</t>
        </is>
      </c>
      <c r="CH2849"/>
      <c r="CI2849"/>
      <c r="CJ2849" t="inlineStr">
        <is>
          <t>No Paid</t>
        </is>
      </c>
      <c r="CK2849" t="inlineStr">
        <is>
          <t>Eligible</t>
        </is>
      </c>
      <c r="CL2849"/>
      <c r="CM2849"/>
    </row>
    <row r="2850" ht="25.5" customHeight="1">
      <c r="A2850" t="inlineStr">
        <is>
          <t>202776</t>
        </is>
      </c>
      <c r="B2850" s="2"/>
      <c r="C2850"/>
      <c r="D2850" s="3">
        <v>46115.45857638889</v>
      </c>
      <c r="E2850" t="inlineStr">
        <is>
          <t>Q2-W01</t>
        </is>
      </c>
      <c r="F2850" t="inlineStr">
        <is>
          <t>Keegan</t>
        </is>
      </c>
      <c r="G2850" t="inlineStr">
        <is>
          <t>Customer</t>
        </is>
      </c>
      <c r="H2850" s="2" t="str">
        <f>=HYPERLINK("https://upbox.ajobthing.my/customer/202776", "https://upbox.ajobthing.my/customer/202776")</f>
        <v>https://upbox.ajobthing.my/customer/202776</v>
      </c>
      <c r="I2850" t="inlineStr">
        <is>
          <t>BWY HOLDINGS SDN BHD</t>
        </is>
      </c>
      <c r="J2850" t="inlineStr">
        <is>
          <t>Whale</t>
        </is>
      </c>
      <c r="K2850" t="inlineStr">
        <is>
          <t>Keegan</t>
        </is>
      </c>
      <c r="L2850" s="4"/>
      <c r="M2850" s="4">
        <v>46115.458819444444</v>
      </c>
      <c r="N2850"/>
      <c r="O2850">
        <v>3672</v>
      </c>
      <c r="P2850" s="4"/>
      <c r="Q2850" s="4"/>
      <c r="R2850"/>
      <c r="S2850"/>
      <c r="T2850" s="4"/>
      <c r="U2850" s="4"/>
      <c r="V2850"/>
      <c r="W2850"/>
      <c r="X2850"/>
      <c r="Y2850" t="inlineStr">
        <is>
          <t>Pending Appointment</t>
        </is>
      </c>
      <c r="Z2850" t="inlineStr">
        <is>
          <t>Hiring Now</t>
        </is>
      </c>
      <c r="AA2850">
        <v>2</v>
      </c>
      <c r="AB2850" t="inlineStr">
        <is>
          <t>No Appointment Made</t>
        </is>
      </c>
      <c r="AC2850"/>
      <c r="AD2850" t="inlineStr">
        <is>
          <t xml:space="preserve">1. Admin 
2. Marketing </t>
        </is>
      </c>
      <c r="AE2850"/>
      <c r="AF2850"/>
      <c r="AG2850" s="4"/>
      <c r="AH2850" s="4"/>
      <c r="AI2850"/>
      <c r="AJ2850">
        <v>1</v>
      </c>
      <c r="AK2850" t="inlineStr">
        <is>
          <t>No, I don't need at all</t>
        </is>
      </c>
      <c r="AL2850">
        <v>1</v>
      </c>
      <c r="AM2850" t="inlineStr">
        <is>
          <t>No, I don't need at all</t>
        </is>
      </c>
      <c r="AN2850"/>
      <c r="AO2850" t="inlineStr">
        <is>
          <t>No, I don't need at all</t>
        </is>
      </c>
      <c r="AP2850" t="inlineStr">
        <is>
          <t>Once per quarter (75%)</t>
        </is>
      </c>
      <c r="AQ2850"/>
      <c r="AR2850" t="inlineStr">
        <is>
          <t>Indeed (Paid), Jobstreet</t>
        </is>
      </c>
      <c r="AS2850" t="inlineStr">
        <is>
          <t>- Headcount: 2
- Hiring Job Details: 1. Admin\n2. Marketing
- Hiring Urgency: Hiring Now
- Number of outlets: 1
- Have recruiter team: No, I don't need at all
- Number of recruiter in company: 1
- Have ATS system: No, I don't need at all
- Have career website: No, I don't need at all
- Current hiring budget: Not specified
- Whole year budget: Not specified
- Whole year number of vacancies: Not specified
- Hiring frequency: Once per quarter (75%)
- External job portal: Indeed (Paid), Jobstreet</t>
        </is>
      </c>
      <c r="AT2850">
        <v>75</v>
      </c>
      <c r="AU2850" t="inlineStr">
        <is>
          <t>0.75</t>
        </is>
      </c>
      <c r="AV2850" t="inlineStr">
        <is>
          <t>5</t>
        </is>
      </c>
      <c r="AW2850" t="inlineStr">
        <is>
          <t>0</t>
        </is>
      </c>
      <c r="AX2850" t="inlineStr">
        <is>
          <t>Not Qualified</t>
        </is>
      </c>
      <c r="AY2850" s="4"/>
      <c r="AZ2850"/>
      <c r="BA2850"/>
      <c r="BB2850"/>
      <c r="BC2850" t="inlineStr">
        <is>
          <t>Share out latest promo package</t>
        </is>
      </c>
      <c r="BD2850" s="4">
        <v>46142.43877314815</v>
      </c>
      <c r="BE2850"/>
      <c r="BF2850"/>
      <c r="BG2850" t="inlineStr">
        <is>
          <t>Reschedule</t>
        </is>
      </c>
      <c r="BH2850" t="inlineStr">
        <is>
          <t>Edward Hoo</t>
        </is>
      </c>
      <c r="BI2850"/>
      <c r="BJ2850" s="4">
        <v>46144.75412037037</v>
      </c>
      <c r="BK2850" s="4">
        <v>46115.4558912037</v>
      </c>
      <c r="BL2850" t="inlineStr">
        <is>
          <t>0.0</t>
        </is>
      </c>
      <c r="BM2850" t="inlineStr">
        <is>
          <t>7800.0</t>
        </is>
      </c>
      <c r="BN2850"/>
      <c r="BO2850" s="4"/>
      <c r="BP2850">
        <v>165124</v>
      </c>
      <c r="BQ2850"/>
      <c r="BR2850"/>
      <c r="BS2850"/>
      <c r="BT2850"/>
      <c r="BU2850"/>
      <c r="BV2850">
        <v>2736784</v>
      </c>
      <c r="BW2850" t="inlineStr">
        <is>
          <t>Inquire for Hiring Needs : No Hiring</t>
        </is>
      </c>
      <c r="BX2850"/>
      <c r="BY2850"/>
      <c r="BZ2850" s="4"/>
      <c r="CA2850"/>
      <c r="CB2850"/>
      <c r="CC2850" s="4"/>
      <c r="CD2850" t="inlineStr">
        <is>
          <t>5</t>
        </is>
      </c>
      <c r="CE2850" t="inlineStr">
        <is>
          <t>0</t>
        </is>
      </c>
      <c r="CF2850" t="inlineStr">
        <is>
          <t>Q2-W01</t>
        </is>
      </c>
      <c r="CG2850"/>
      <c r="CH2850"/>
      <c r="CI2850"/>
      <c r="CJ2850" t="inlineStr">
        <is>
          <t>No Paid</t>
        </is>
      </c>
      <c r="CK2850" t="inlineStr">
        <is>
          <t>Eligible</t>
        </is>
      </c>
      <c r="CL2850"/>
      <c r="CM2850"/>
    </row>
    <row r="2851" ht="25.5" customHeight="1">
      <c r="A2851" t="inlineStr">
        <is>
          <t>138351</t>
        </is>
      </c>
      <c r="B2851" s="2"/>
      <c r="C2851"/>
      <c r="D2851" s="3">
        <v>46115.46230324074</v>
      </c>
      <c r="E2851" t="inlineStr">
        <is>
          <t>Q2-W01</t>
        </is>
      </c>
      <c r="F2851" t="inlineStr">
        <is>
          <t>Yvonne Lee</t>
        </is>
      </c>
      <c r="G2851" t="inlineStr">
        <is>
          <t>Customer</t>
        </is>
      </c>
      <c r="H2851" s="2" t="str">
        <f>=HYPERLINK("https://upbox.ajobthing.my/customer/138351", "https://upbox.ajobthing.my/customer/138351")</f>
        <v>https://upbox.ajobthing.my/customer/138351</v>
      </c>
      <c r="I2851" t="inlineStr">
        <is>
          <t>OVOL Malaysia Sdn Bhd</t>
        </is>
      </c>
      <c r="J2851" t="inlineStr">
        <is>
          <t>Whale</t>
        </is>
      </c>
      <c r="K2851" t="inlineStr">
        <is>
          <t>Yvonne</t>
        </is>
      </c>
      <c r="L2851" s="4"/>
      <c r="M2851" s="4">
        <v>46115.46271990741</v>
      </c>
      <c r="N2851"/>
      <c r="O2851">
        <v>6048</v>
      </c>
      <c r="P2851" s="4"/>
      <c r="Q2851" s="4">
        <v>45296.615324074075</v>
      </c>
      <c r="R2851"/>
      <c r="S2851">
        <v>636</v>
      </c>
      <c r="T2851" s="4">
        <v>45296.615324074075</v>
      </c>
      <c r="U2851" s="4"/>
      <c r="V2851"/>
      <c r="W2851">
        <v>636</v>
      </c>
      <c r="X2851"/>
      <c r="Y2851" t="inlineStr">
        <is>
          <t>Pending Appointment</t>
        </is>
      </c>
      <c r="Z2851" t="inlineStr">
        <is>
          <t>Hiring Now</t>
        </is>
      </c>
      <c r="AA2851">
        <v>2</v>
      </c>
      <c r="AB2851" t="inlineStr">
        <is>
          <t>No Appointment Made</t>
        </is>
      </c>
      <c r="AC2851"/>
      <c r="AD2851" t="inlineStr">
        <is>
          <t xml:space="preserve">1) Forklift
2) Lorry Driver </t>
        </is>
      </c>
      <c r="AE2851"/>
      <c r="AF2851">
        <v>8000</v>
      </c>
      <c r="AG2851" s="4"/>
      <c r="AH2851" s="4"/>
      <c r="AI2851">
        <v>8000</v>
      </c>
      <c r="AJ2851">
        <v>1</v>
      </c>
      <c r="AK2851" t="inlineStr">
        <is>
          <t>Yes, I have</t>
        </is>
      </c>
      <c r="AL2851">
        <v>4</v>
      </c>
      <c r="AM2851" t="inlineStr">
        <is>
          <t>No, I don't need at all</t>
        </is>
      </c>
      <c r="AN2851"/>
      <c r="AO2851" t="inlineStr">
        <is>
          <t>Yes, I have</t>
        </is>
      </c>
      <c r="AP2851" t="inlineStr">
        <is>
          <t>Once per quarter (75%)</t>
        </is>
      </c>
      <c r="AQ2851">
        <v>10</v>
      </c>
      <c r="AR2851" t="inlineStr">
        <is>
          <t>Jobstreet</t>
        </is>
      </c>
      <c r="AS2851" t="inlineStr">
        <is>
          <t>- Headcount: 2
- Hiring Job Details: 1) Forklift 2) Lorry Driver
- Hiring Urgency: Hiring Now
- Number of outlets: 1
- Have recruiter team: Yes
- Number of recruiter in company: 4
- Have ATS system: No, I don't need at all
- Have career website: Yes
- Current hiring budget: RM8,000
- Whole year budget: RM8,000.00
- Whole year number of vacancies: 10
- Hiring frequency: Once per quarter (75%)
- External job portal: Jobstreet</t>
        </is>
      </c>
      <c r="AT2851">
        <v>115</v>
      </c>
      <c r="AU2851" t="inlineStr">
        <is>
          <t>1.15</t>
        </is>
      </c>
      <c r="AV2851" t="inlineStr">
        <is>
          <t>15</t>
        </is>
      </c>
      <c r="AW2851" t="inlineStr">
        <is>
          <t>0</t>
        </is>
      </c>
      <c r="AX2851" t="inlineStr">
        <is>
          <t>Not Qualified</t>
        </is>
      </c>
      <c r="AY2851" s="4"/>
      <c r="AZ2851"/>
      <c r="BA2851"/>
      <c r="BB2851"/>
      <c r="BC2851" t="inlineStr">
        <is>
          <t>- Headcount: 2
- Hiring Job Details: 1) Forklift 2) Lorry Driver
- Hiring Urgency: Hiring Now
- Number of outlets: 1
- Have recruiter team: Yes
- Number of recruiter in company: 4
- Have ATS system: No, I don't need at all
- Have career website: Yes
- Current hiring budget: RM8,000
- Whole year budget: RM8,000.00
- Whole year number of vacancies: 10
- Hiring frequency: Once per quarter (75%)
- External job portal: Jobstreet</t>
        </is>
      </c>
      <c r="BD2851" s="4">
        <v>46115.5000462963</v>
      </c>
      <c r="BE2851" t="inlineStr">
        <is>
          <t>paid</t>
        </is>
      </c>
      <c r="BF2851"/>
      <c r="BG2851" t="inlineStr">
        <is>
          <t>Reschedule</t>
        </is>
      </c>
      <c r="BH2851" t="inlineStr">
        <is>
          <t>andy@ajobthing.com</t>
        </is>
      </c>
      <c r="BI2851" t="inlineStr">
        <is>
          <t>Manufacturing / Production</t>
        </is>
      </c>
      <c r="BJ2851" s="4">
        <v>46144.750613425924</v>
      </c>
      <c r="BK2851" s="4">
        <v>44337.54398148148</v>
      </c>
      <c r="BL2851" t="inlineStr">
        <is>
          <t>0.0</t>
        </is>
      </c>
      <c r="BM2851" t="inlineStr">
        <is>
          <t>10800.0</t>
        </is>
      </c>
      <c r="BN2851" t="inlineStr">
        <is>
          <t>View Create Job Page</t>
        </is>
      </c>
      <c r="BO2851" s="4">
        <v>45457.70238425926</v>
      </c>
      <c r="BP2851">
        <v>165128</v>
      </c>
      <c r="BQ2851">
        <v>65037</v>
      </c>
      <c r="BR2851" t="inlineStr">
        <is>
          <t>Online</t>
        </is>
      </c>
      <c r="BS2851"/>
      <c r="BT2851">
        <v>65037</v>
      </c>
      <c r="BU2851"/>
      <c r="BV2851">
        <v>2682443</v>
      </c>
      <c r="BW2851" t="inlineStr">
        <is>
          <t>Customer Inquiry</t>
        </is>
      </c>
      <c r="BX2851"/>
      <c r="BY2851"/>
      <c r="BZ2851" s="4"/>
      <c r="CA2851"/>
      <c r="CB2851"/>
      <c r="CC2851" s="4"/>
      <c r="CD2851" t="inlineStr">
        <is>
          <t>20</t>
        </is>
      </c>
      <c r="CE2851" t="inlineStr">
        <is>
          <t>0</t>
        </is>
      </c>
      <c r="CF2851" t="inlineStr">
        <is>
          <t>Q2-W01</t>
        </is>
      </c>
      <c r="CG2851"/>
      <c r="CH2851"/>
      <c r="CI2851"/>
      <c r="CJ2851" t="inlineStr">
        <is>
          <t>Paid</t>
        </is>
      </c>
      <c r="CK2851" t="inlineStr">
        <is>
          <t>Eligible</t>
        </is>
      </c>
      <c r="CL2851"/>
      <c r="CM2851"/>
    </row>
    <row r="2852" ht="25.5" customHeight="1">
      <c r="A2852" t="inlineStr">
        <is>
          <t>182348</t>
        </is>
      </c>
      <c r="B2852" s="2"/>
      <c r="C2852"/>
      <c r="D2852" s="3">
        <v>46115.4671875</v>
      </c>
      <c r="E2852" t="inlineStr">
        <is>
          <t>Q2-W01</t>
        </is>
      </c>
      <c r="F2852" t="inlineStr">
        <is>
          <t>Ken Yi</t>
        </is>
      </c>
      <c r="G2852" t="inlineStr">
        <is>
          <t>Customer</t>
        </is>
      </c>
      <c r="H2852" s="2" t="str">
        <f>=HYPERLINK("https://upbox.ajobthing.my/customer/182348", "https://upbox.ajobthing.my/customer/182348")</f>
        <v>https://upbox.ajobthing.my/customer/182348</v>
      </c>
      <c r="I2852" t="inlineStr">
        <is>
          <t>Crafted Floors Sdn Bhd</t>
        </is>
      </c>
      <c r="J2852" t="inlineStr">
        <is>
          <t>Whale</t>
        </is>
      </c>
      <c r="K2852" t="inlineStr">
        <is>
          <t>Kenyi</t>
        </is>
      </c>
      <c r="L2852" s="4"/>
      <c r="M2852" s="4">
        <v>46115.4678587963</v>
      </c>
      <c r="N2852"/>
      <c r="O2852">
        <v>3888</v>
      </c>
      <c r="P2852" s="4"/>
      <c r="Q2852" s="4">
        <v>45541.574837962966</v>
      </c>
      <c r="R2852"/>
      <c r="S2852">
        <v>648</v>
      </c>
      <c r="T2852" s="4">
        <v>45541.574837962966</v>
      </c>
      <c r="U2852" s="4"/>
      <c r="V2852"/>
      <c r="W2852">
        <v>648</v>
      </c>
      <c r="X2852"/>
      <c r="Y2852" t="inlineStr">
        <is>
          <t>Pending Appointment</t>
        </is>
      </c>
      <c r="Z2852" t="inlineStr">
        <is>
          <t>Hiring Now</t>
        </is>
      </c>
      <c r="AA2852">
        <v>1</v>
      </c>
      <c r="AB2852" t="inlineStr">
        <is>
          <t>No Appointment Made</t>
        </is>
      </c>
      <c r="AC2852"/>
      <c r="AD2852" t="inlineStr">
        <is>
          <t>Warehouse Manager 1</t>
        </is>
      </c>
      <c r="AE2852"/>
      <c r="AF2852">
        <v>0</v>
      </c>
      <c r="AG2852" s="4"/>
      <c r="AH2852" s="4"/>
      <c r="AI2852">
        <v>0</v>
      </c>
      <c r="AJ2852">
        <v>1</v>
      </c>
      <c r="AK2852" t="inlineStr">
        <is>
          <t>Yes, I have</t>
        </is>
      </c>
      <c r="AL2852">
        <v>2</v>
      </c>
      <c r="AM2852" t="inlineStr">
        <is>
          <t>No, I don't need at all</t>
        </is>
      </c>
      <c r="AN2852"/>
      <c r="AO2852" t="inlineStr">
        <is>
          <t>No, I don't need at all</t>
        </is>
      </c>
      <c r="AP2852" t="inlineStr">
        <is>
          <t>Once a year (25%)</t>
        </is>
      </c>
      <c r="AQ2852">
        <v>2</v>
      </c>
      <c r="AR2852" t="inlineStr">
        <is>
          <t>Did not use any job portal</t>
        </is>
      </c>
      <c r="AS2852" t="inlineStr">
        <is>
          <t>- Headcount: 1
- Hiring Job Details: 1 Warehouse Manager
- Hiring Urgency: Hiring Now
- Number of outlets: 1
- Have recruiter team: Yes
- Number of recruiter in company: 2
- Have ATS system: No, I don't need at all
- Have career website: No, I don't need at all
- Current hiring budget: RM0.00
- Whole year budget: RM0.00
- Whole year number of vacancies: 2
- Hiring frequency: Once a year (25%)
- External job portal: Did not use any job portal</t>
        </is>
      </c>
      <c r="AT2852">
        <v>115</v>
      </c>
      <c r="AU2852" t="inlineStr">
        <is>
          <t>1.15</t>
        </is>
      </c>
      <c r="AV2852" t="inlineStr">
        <is>
          <t>15</t>
        </is>
      </c>
      <c r="AW2852" t="inlineStr">
        <is>
          <t>0</t>
        </is>
      </c>
      <c r="AX2852" t="inlineStr">
        <is>
          <t>Not Qualified</t>
        </is>
      </c>
      <c r="AY2852" s="4"/>
      <c r="AZ2852"/>
      <c r="BA2852"/>
      <c r="BB2852"/>
      <c r="BC2852" t="inlineStr">
        <is>
          <t>Budget concern, no hiring now ady</t>
        </is>
      </c>
      <c r="BD2852" s="4">
        <v>46118.69550925926</v>
      </c>
      <c r="BE2852" t="inlineStr">
        <is>
          <t>paid</t>
        </is>
      </c>
      <c r="BF2852"/>
      <c r="BG2852" t="inlineStr">
        <is>
          <t>Reschedule</t>
        </is>
      </c>
      <c r="BH2852" t="inlineStr">
        <is>
          <t>Fauziah Maharan</t>
        </is>
      </c>
      <c r="BI2852" t="inlineStr">
        <is>
          <t>Other industries</t>
        </is>
      </c>
      <c r="BJ2852" s="4">
        <v>46144.751921296294</v>
      </c>
      <c r="BK2852" s="4">
        <v>45539.39288194444</v>
      </c>
      <c r="BL2852" t="inlineStr">
        <is>
          <t>0.0</t>
        </is>
      </c>
      <c r="BM2852" t="inlineStr">
        <is>
          <t>0.0</t>
        </is>
      </c>
      <c r="BN2852" t="inlineStr">
        <is>
          <t>View Company Page</t>
        </is>
      </c>
      <c r="BO2852" s="4">
        <v>45595.57408564815</v>
      </c>
      <c r="BP2852">
        <v>165134</v>
      </c>
      <c r="BQ2852">
        <v>72806</v>
      </c>
      <c r="BR2852" t="inlineStr">
        <is>
          <t>Online</t>
        </is>
      </c>
      <c r="BS2852"/>
      <c r="BT2852">
        <v>72806</v>
      </c>
      <c r="BU2852"/>
      <c r="BV2852">
        <v>2687107</v>
      </c>
      <c r="BW2852" t="inlineStr">
        <is>
          <t>Inquire for Hiring Needs : Budget Concern</t>
        </is>
      </c>
      <c r="BX2852"/>
      <c r="BY2852"/>
      <c r="BZ2852" s="4"/>
      <c r="CA2852"/>
      <c r="CB2852"/>
      <c r="CC2852" s="4"/>
      <c r="CD2852" t="inlineStr">
        <is>
          <t>20</t>
        </is>
      </c>
      <c r="CE2852" t="inlineStr">
        <is>
          <t>0</t>
        </is>
      </c>
      <c r="CF2852" t="inlineStr">
        <is>
          <t>Q2-W01</t>
        </is>
      </c>
      <c r="CG2852"/>
      <c r="CH2852"/>
      <c r="CI2852"/>
      <c r="CJ2852" t="inlineStr">
        <is>
          <t>Paid</t>
        </is>
      </c>
      <c r="CK2852" t="inlineStr">
        <is>
          <t>Eligible</t>
        </is>
      </c>
      <c r="CL2852"/>
      <c r="CM2852"/>
    </row>
    <row r="2853" ht="25.5" customHeight="1">
      <c r="A2853" t="inlineStr">
        <is>
          <t>199046</t>
        </is>
      </c>
      <c r="B2853" s="2"/>
      <c r="C2853"/>
      <c r="D2853" s="3">
        <v>46115.47998842593</v>
      </c>
      <c r="E2853" t="inlineStr">
        <is>
          <t>Q2-W01</t>
        </is>
      </c>
      <c r="F2853" t="inlineStr">
        <is>
          <t>Yuli</t>
        </is>
      </c>
      <c r="G2853" t="inlineStr">
        <is>
          <t>Customer</t>
        </is>
      </c>
      <c r="H2853" s="2" t="str">
        <f>=HYPERLINK("https://upbox.ajobthing.my/customer/199046", "https://upbox.ajobthing.my/customer/199046")</f>
        <v>https://upbox.ajobthing.my/customer/199046</v>
      </c>
      <c r="I2853" t="inlineStr">
        <is>
          <t xml:space="preserve">Jos Malaysia Sdn Bhd </t>
        </is>
      </c>
      <c r="J2853" t="inlineStr">
        <is>
          <t>Whale</t>
        </is>
      </c>
      <c r="K2853" t="inlineStr">
        <is>
          <t>YuLi</t>
        </is>
      </c>
      <c r="L2853" s="4"/>
      <c r="M2853" s="4">
        <v>46125.508993055555</v>
      </c>
      <c r="N2853"/>
      <c r="O2853">
        <v>3888</v>
      </c>
      <c r="P2853" s="4"/>
      <c r="Q2853" s="4"/>
      <c r="R2853"/>
      <c r="S2853"/>
      <c r="T2853" s="4"/>
      <c r="U2853" s="4"/>
      <c r="V2853"/>
      <c r="W2853"/>
      <c r="X2853"/>
      <c r="Y2853" t="inlineStr">
        <is>
          <t>Pending Appointment</t>
        </is>
      </c>
      <c r="Z2853" t="inlineStr">
        <is>
          <t>Hiring Now</t>
        </is>
      </c>
      <c r="AA2853">
        <v>27</v>
      </c>
      <c r="AB2853" t="inlineStr">
        <is>
          <t>No Appointment Made</t>
        </is>
      </c>
      <c r="AC2853"/>
      <c r="AD2853" t="inlineStr">
        <is>
          <t>8 headcount for total number for sales position
1 Sales Account Manager RM 5000-RM 8000, Commission. 
2 Business Development Executive
3 Field Sales Executive
Engineer-19 headcount basedcustomer, 1-2 Support Engineer
HR payroll</t>
        </is>
      </c>
      <c r="AE2853"/>
      <c r="AF2853"/>
      <c r="AG2853" s="4"/>
      <c r="AH2853" s="4"/>
      <c r="AI2853"/>
      <c r="AJ2853"/>
      <c r="AK2853" t="inlineStr">
        <is>
          <t>Yes, I have</t>
        </is>
      </c>
      <c r="AL2853">
        <v>1</v>
      </c>
      <c r="AM2853"/>
      <c r="AN2853"/>
      <c r="AO2853"/>
      <c r="AP2853" t="inlineStr">
        <is>
          <t>Once per quarter (75%)</t>
        </is>
      </c>
      <c r="AQ2853"/>
      <c r="AR2853" t="inlineStr">
        <is>
          <t>Jobstreet, Linkedin (Paid)</t>
        </is>
      </c>
      <c r="AS2853" t="inlineStr">
        <is>
          <t>- Headcount: 27
- Hiring Job Details: 8 sales headcount (1 Sales Account Manager, 2 Business Development Executives, 3 Field Sales Executives, 2 unlisted sales roles); 19 engineer headcount (1-2 Support Engineers, 17-18 customer-based unlisted engineers); HR payroll role
- Hiring Urgency: Hiring Now
- Number of outlets: Not available
- Have recruiter team: Yes
- Number of recruiter in company: 1
- Have ATS system: Not available
- Have career website: Not available
- Current hiring budget: Not available
- Whole year budget: Not available
- Whole year number of vacancies: Not available
- Hiring frequency: Once per quarter (75%)
- External job portal: Jobstreet, Linkedin (Paid)</t>
        </is>
      </c>
      <c r="AT2853">
        <v>75</v>
      </c>
      <c r="AU2853" t="inlineStr">
        <is>
          <t>0.75</t>
        </is>
      </c>
      <c r="AV2853" t="inlineStr">
        <is>
          <t>15</t>
        </is>
      </c>
      <c r="AW2853" t="inlineStr">
        <is>
          <t>0</t>
        </is>
      </c>
      <c r="AX2853" t="inlineStr">
        <is>
          <t>Not Qualified</t>
        </is>
      </c>
      <c r="AY2853" s="4"/>
      <c r="AZ2853"/>
      <c r="BA2853"/>
      <c r="BB2853"/>
      <c r="BC2853" t="inlineStr">
        <is>
          <t>Received email for Syazween not to proceed due to looking for someone with techinical IT skills</t>
        </is>
      </c>
      <c r="BD2853" s="4">
        <v>46139.58159722222</v>
      </c>
      <c r="BE2853"/>
      <c r="BF2853"/>
      <c r="BG2853" t="inlineStr">
        <is>
          <t>Reschedule</t>
        </is>
      </c>
      <c r="BH2853" t="inlineStr">
        <is>
          <t>Fauziah Maharan</t>
        </is>
      </c>
      <c r="BI2853"/>
      <c r="BJ2853" s="4">
        <v>46144.753229166665</v>
      </c>
      <c r="BK2853" s="4">
        <v>45995.635787037034</v>
      </c>
      <c r="BL2853" t="inlineStr">
        <is>
          <t>0.0</t>
        </is>
      </c>
      <c r="BM2853" t="inlineStr">
        <is>
          <t>0.0</t>
        </is>
      </c>
      <c r="BN2853" t="inlineStr">
        <is>
          <t>View Create Job Page V4</t>
        </is>
      </c>
      <c r="BO2853" s="4">
        <v>45995.64082175926</v>
      </c>
      <c r="BP2853">
        <v>166690</v>
      </c>
      <c r="BQ2853"/>
      <c r="BR2853"/>
      <c r="BS2853"/>
      <c r="BT2853"/>
      <c r="BU2853"/>
      <c r="BV2853">
        <v>2729558</v>
      </c>
      <c r="BW2853" t="inlineStr">
        <is>
          <t>Follow Up : Lost - Paid Portal</t>
        </is>
      </c>
      <c r="BX2853"/>
      <c r="BY2853"/>
      <c r="BZ2853" s="4"/>
      <c r="CA2853"/>
      <c r="CB2853"/>
      <c r="CC2853" s="4"/>
      <c r="CD2853" t="inlineStr">
        <is>
          <t>20</t>
        </is>
      </c>
      <c r="CE2853" t="inlineStr">
        <is>
          <t>0</t>
        </is>
      </c>
      <c r="CF2853" t="inlineStr">
        <is>
          <t>Q2-W02</t>
        </is>
      </c>
      <c r="CG2853"/>
      <c r="CH2853"/>
      <c r="CI2853"/>
      <c r="CJ2853" t="inlineStr">
        <is>
          <t>No Paid</t>
        </is>
      </c>
      <c r="CK2853" t="inlineStr">
        <is>
          <t>Eligible</t>
        </is>
      </c>
      <c r="CL2853"/>
      <c r="CM2853"/>
    </row>
    <row r="2854" ht="25.5" customHeight="1">
      <c r="A2854" t="inlineStr">
        <is>
          <t>127601</t>
        </is>
      </c>
      <c r="B2854" s="2"/>
      <c r="C2854"/>
      <c r="D2854" s="3">
        <v>46115.48164351852</v>
      </c>
      <c r="E2854" t="inlineStr">
        <is>
          <t>Q2-W01</t>
        </is>
      </c>
      <c r="F2854" t="inlineStr">
        <is>
          <t>Yvonne Lee</t>
        </is>
      </c>
      <c r="G2854" t="inlineStr">
        <is>
          <t>Customer</t>
        </is>
      </c>
      <c r="H2854" s="2" t="str">
        <f>=HYPERLINK("https://upbox.ajobthing.my/customer/127601", "https://upbox.ajobthing.my/customer/127601")</f>
        <v>https://upbox.ajobthing.my/customer/127601</v>
      </c>
      <c r="I2854" t="inlineStr">
        <is>
          <t xml:space="preserve">Carsem </t>
        </is>
      </c>
      <c r="J2854" t="inlineStr">
        <is>
          <t>Whale</t>
        </is>
      </c>
      <c r="K2854" t="inlineStr">
        <is>
          <t>Yvonne</t>
        </is>
      </c>
      <c r="L2854" s="4"/>
      <c r="M2854" s="4">
        <v>46115.483078703706</v>
      </c>
      <c r="N2854"/>
      <c r="O2854">
        <v>21600</v>
      </c>
      <c r="P2854" s="4"/>
      <c r="Q2854" s="4"/>
      <c r="R2854"/>
      <c r="S2854"/>
      <c r="T2854" s="4"/>
      <c r="U2854" s="4"/>
      <c r="V2854"/>
      <c r="W2854"/>
      <c r="X2854"/>
      <c r="Y2854" t="inlineStr">
        <is>
          <t>Pending Appointment</t>
        </is>
      </c>
      <c r="Z2854" t="inlineStr">
        <is>
          <t>Hiring Now</t>
        </is>
      </c>
      <c r="AA2854">
        <v>5</v>
      </c>
      <c r="AB2854" t="inlineStr">
        <is>
          <t>No Appointment Made</t>
        </is>
      </c>
      <c r="AC2854"/>
      <c r="AD2854" t="inlineStr">
        <is>
          <t>1) QA Engineer
2) Test Planner
3) Technician
4) Executive Planner
5) Maintenance Engineer</t>
        </is>
      </c>
      <c r="AE2854"/>
      <c r="AF2854">
        <v>20000</v>
      </c>
      <c r="AG2854" s="4"/>
      <c r="AH2854" s="4"/>
      <c r="AI2854">
        <v>20000</v>
      </c>
      <c r="AJ2854">
        <v>3</v>
      </c>
      <c r="AK2854" t="inlineStr">
        <is>
          <t>Yes, I have</t>
        </is>
      </c>
      <c r="AL2854">
        <v>3</v>
      </c>
      <c r="AM2854" t="inlineStr">
        <is>
          <t>No, I don't need at all</t>
        </is>
      </c>
      <c r="AN2854"/>
      <c r="AO2854" t="inlineStr">
        <is>
          <t>Yes, I have</t>
        </is>
      </c>
      <c r="AP2854" t="inlineStr">
        <is>
          <t>Every month (100%)</t>
        </is>
      </c>
      <c r="AQ2854">
        <v>500</v>
      </c>
      <c r="AR2854" t="inlineStr">
        <is>
          <t>Jobstreet, Indeed (Paid), Free Job Portal</t>
        </is>
      </c>
      <c r="AS2854" t="inlineStr">
        <is>
          <t>- Headcount: 5
- Hiring Job Details: 1 QA Engineer, 2 Test Planner, 3 Technician, 4 Executive Planner, 5 Maintenance Engineer
- Hiring Urgency: Hiring Now
- Number of outlets: 3
- Have recruiter team: Yes
- Number of recruiter in company: 3
- Have ATS system: No, I don't need at all
- Have career website: Yes
- Current hiring budget: RM20,000
- Whole year budget: RM20,000.00
- Whole year number of vacancies: 500
- Hiring frequency: Every month (100%)
- External job portal: Jobstreet, Indeed (Paid), Free Job Portal</t>
        </is>
      </c>
      <c r="AT2854">
        <v>115</v>
      </c>
      <c r="AU2854" t="inlineStr">
        <is>
          <t>1.15</t>
        </is>
      </c>
      <c r="AV2854" t="inlineStr">
        <is>
          <t>25</t>
        </is>
      </c>
      <c r="AW2854" t="inlineStr">
        <is>
          <t>0</t>
        </is>
      </c>
      <c r="AX2854" t="inlineStr">
        <is>
          <t>Not Qualified</t>
        </is>
      </c>
      <c r="AY2854" s="4"/>
      <c r="AZ2854"/>
      <c r="BA2854"/>
      <c r="BB2854"/>
      <c r="BC2854" t="inlineStr">
        <is>
          <t>- Headcount: 5
- Hiring Job Details: 1 QA Engineer, 2 Test Planner, 3 Technician, 4 Executive Planner, 5 Maintenance Engineer
- Hiring Urgency: Hiring Now
- Number of outlets: 3
- Have recruiter team: Yes
- Number of recruiter in company: 3
- Have ATS system: No, I don't need at all
- Have career website: Yes
- Current hiring budget: RM20,000
- Whole year budget: RM20,000.00
- Whole year number of vacancies: 500
- Hiring frequency: Every month (100%)
- External job portal: Jobstreet, Indeed (Paid), Free Job Portal</t>
        </is>
      </c>
      <c r="BD2854" s="4">
        <v>46115.5000462963</v>
      </c>
      <c r="BE2854"/>
      <c r="BF2854"/>
      <c r="BG2854" t="inlineStr">
        <is>
          <t>Reschedule</t>
        </is>
      </c>
      <c r="BH2854" t="inlineStr">
        <is>
          <t>andy@ajobthing.com</t>
        </is>
      </c>
      <c r="BI2854"/>
      <c r="BJ2854" s="4">
        <v>46144.750393518516</v>
      </c>
      <c r="BK2854" s="4">
        <v>44027.874710648146</v>
      </c>
      <c r="BL2854" t="inlineStr">
        <is>
          <t>0.0</t>
        </is>
      </c>
      <c r="BM2854" t="inlineStr">
        <is>
          <t>64800.0</t>
        </is>
      </c>
      <c r="BN2854" t="inlineStr">
        <is>
          <t>View Shop</t>
        </is>
      </c>
      <c r="BO2854" s="4">
        <v>44092.53155092592</v>
      </c>
      <c r="BP2854">
        <v>165149</v>
      </c>
      <c r="BQ2854"/>
      <c r="BR2854"/>
      <c r="BS2854"/>
      <c r="BT2854"/>
      <c r="BU2854"/>
      <c r="BV2854">
        <v>2682452</v>
      </c>
      <c r="BW2854" t="inlineStr">
        <is>
          <t>Customer Inquiry</t>
        </is>
      </c>
      <c r="BX2854"/>
      <c r="BY2854"/>
      <c r="BZ2854" s="4"/>
      <c r="CA2854"/>
      <c r="CB2854"/>
      <c r="CC2854" s="4"/>
      <c r="CD2854" t="inlineStr">
        <is>
          <t>35</t>
        </is>
      </c>
      <c r="CE2854" t="inlineStr">
        <is>
          <t>0</t>
        </is>
      </c>
      <c r="CF2854" t="inlineStr">
        <is>
          <t>Q2-W01</t>
        </is>
      </c>
      <c r="CG2854"/>
      <c r="CH2854"/>
      <c r="CI2854"/>
      <c r="CJ2854" t="inlineStr">
        <is>
          <t>No Paid</t>
        </is>
      </c>
      <c r="CK2854" t="inlineStr">
        <is>
          <t>Eligible</t>
        </is>
      </c>
      <c r="CL2854"/>
      <c r="CM2854"/>
    </row>
    <row r="2855" ht="25.5" customHeight="1">
      <c r="A2855" t="inlineStr">
        <is>
          <t>175936</t>
        </is>
      </c>
      <c r="B2855" s="2"/>
      <c r="C2855"/>
      <c r="D2855" s="3">
        <v>46115.49935185185</v>
      </c>
      <c r="E2855" t="inlineStr">
        <is>
          <t>Q2-W01</t>
        </is>
      </c>
      <c r="F2855" t="inlineStr">
        <is>
          <t>Ratha</t>
        </is>
      </c>
      <c r="G2855" t="inlineStr">
        <is>
          <t>Customer</t>
        </is>
      </c>
      <c r="H2855" s="2" t="str">
        <f>=HYPERLINK("https://upbox.ajobthing.my/customer/175936", "https://upbox.ajobthing.my/customer/175936")</f>
        <v>https://upbox.ajobthing.my/customer/175936</v>
      </c>
      <c r="I2855" t="inlineStr">
        <is>
          <t>GGS Eurotech Sdn Bhd</t>
        </is>
      </c>
      <c r="J2855" t="inlineStr">
        <is>
          <t>Whale</t>
        </is>
      </c>
      <c r="K2855" t="inlineStr">
        <is>
          <t>Ratha</t>
        </is>
      </c>
      <c r="L2855" s="4"/>
      <c r="M2855" s="4">
        <v>46115.500023148146</v>
      </c>
      <c r="N2855"/>
      <c r="O2855">
        <v>6048</v>
      </c>
      <c r="P2855" s="4"/>
      <c r="Q2855" s="4">
        <v>46119.75177083333</v>
      </c>
      <c r="R2855"/>
      <c r="S2855">
        <v>6048</v>
      </c>
      <c r="T2855" s="4">
        <v>46119.75177083333</v>
      </c>
      <c r="U2855" s="4"/>
      <c r="V2855"/>
      <c r="W2855">
        <v>6048</v>
      </c>
      <c r="X2855"/>
      <c r="Y2855" t="inlineStr">
        <is>
          <t>Pending Appointment</t>
        </is>
      </c>
      <c r="Z2855" t="inlineStr">
        <is>
          <t>Hiring Now</t>
        </is>
      </c>
      <c r="AA2855">
        <v>3</v>
      </c>
      <c r="AB2855" t="inlineStr">
        <is>
          <t>No Appointment Made</t>
        </is>
      </c>
      <c r="AC2855"/>
      <c r="AD2855" t="inlineStr">
        <is>
          <t>1. Admin hr
2. ⁠admin project
3. ⁠account
Petaling Jaya</t>
        </is>
      </c>
      <c r="AE2855"/>
      <c r="AF2855"/>
      <c r="AG2855" s="4"/>
      <c r="AH2855" s="4"/>
      <c r="AI2855">
        <v>0</v>
      </c>
      <c r="AJ2855">
        <v>1</v>
      </c>
      <c r="AK2855" t="inlineStr">
        <is>
          <t>Yes, I have</t>
        </is>
      </c>
      <c r="AL2855">
        <v>2</v>
      </c>
      <c r="AM2855" t="inlineStr">
        <is>
          <t>No, I don't need at all</t>
        </is>
      </c>
      <c r="AN2855"/>
      <c r="AO2855" t="inlineStr">
        <is>
          <t>Yes, I have</t>
        </is>
      </c>
      <c r="AP2855" t="inlineStr">
        <is>
          <t>Once per quarter (75%)</t>
        </is>
      </c>
      <c r="AQ2855">
        <v>0</v>
      </c>
      <c r="AR2855" t="inlineStr">
        <is>
          <t>Free Job Portal</t>
        </is>
      </c>
      <c r="AS2855" t="inlineStr">
        <is>
          <t>- Headcount: 3
- Hiring Job Details: 1. Admin hr; 2. admin project; 3. account (Petaling Jaya)
- Hiring Urgency: Hiring Now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Free Job Portal</t>
        </is>
      </c>
      <c r="AT2855">
        <v>75</v>
      </c>
      <c r="AU2855" t="inlineStr">
        <is>
          <t>0.75</t>
        </is>
      </c>
      <c r="AV2855" t="inlineStr">
        <is>
          <t>5</t>
        </is>
      </c>
      <c r="AW2855" t="inlineStr">
        <is>
          <t>0</t>
        </is>
      </c>
      <c r="AX2855" t="inlineStr">
        <is>
          <t>Not Qualified</t>
        </is>
      </c>
      <c r="AY2855" s="4"/>
      <c r="AZ2855"/>
      <c r="BA2855"/>
      <c r="BB2855"/>
      <c r="BC2855" t="inlineStr">
        <is>
          <t>client already paid</t>
        </is>
      </c>
      <c r="BD2855" s="4">
        <v>46135.41954861111</v>
      </c>
      <c r="BE2855" t="inlineStr">
        <is>
          <t>paid</t>
        </is>
      </c>
      <c r="BF2855" t="inlineStr">
        <is>
          <t>Q2-W01</t>
        </is>
      </c>
      <c r="BG2855" t="inlineStr">
        <is>
          <t>Reschedule</t>
        </is>
      </c>
      <c r="BH2855" t="inlineStr">
        <is>
          <t>Fauziah Maharan</t>
        </is>
      </c>
      <c r="BI2855" t="inlineStr">
        <is>
          <t>Business / Mgmt Consulting</t>
        </is>
      </c>
      <c r="BJ2855" s="4">
        <v>46144.75163194445</v>
      </c>
      <c r="BK2855" s="4">
        <v>45351.69394675926</v>
      </c>
      <c r="BL2855" t="inlineStr">
        <is>
          <t>9936.0</t>
        </is>
      </c>
      <c r="BM2855" t="inlineStr">
        <is>
          <t>1200.0</t>
        </is>
      </c>
      <c r="BN2855" t="inlineStr">
        <is>
          <t>View Company Page</t>
        </is>
      </c>
      <c r="BO2855" s="4">
        <v>46140.71679398148</v>
      </c>
      <c r="BP2855">
        <v>165163</v>
      </c>
      <c r="BQ2855">
        <v>91782</v>
      </c>
      <c r="BR2855" t="inlineStr">
        <is>
          <t>Online</t>
        </is>
      </c>
      <c r="BS2855"/>
      <c r="BT2855">
        <v>91782</v>
      </c>
      <c r="BU2855"/>
      <c r="BV2855">
        <v>2722356</v>
      </c>
      <c r="BW2855" t="inlineStr">
        <is>
          <t>Customer Inquiry</t>
        </is>
      </c>
      <c r="BX2855">
        <v>22</v>
      </c>
      <c r="BY2855">
        <v>14</v>
      </c>
      <c r="BZ2855" s="4">
        <v>46126.38662037037</v>
      </c>
      <c r="CA2855">
        <v>220</v>
      </c>
      <c r="CB2855">
        <v>212</v>
      </c>
      <c r="CC2855" s="4">
        <v>46115.612546296295</v>
      </c>
      <c r="CD2855" t="inlineStr">
        <is>
          <t>5</t>
        </is>
      </c>
      <c r="CE2855" t="inlineStr">
        <is>
          <t>0</t>
        </is>
      </c>
      <c r="CF2855" t="inlineStr">
        <is>
          <t>Q2-W01</t>
        </is>
      </c>
      <c r="CG2855" t="inlineStr">
        <is>
          <t>Q2-W01</t>
        </is>
      </c>
      <c r="CH2855" t="inlineStr">
        <is>
          <t>Q2-W01</t>
        </is>
      </c>
      <c r="CI2855"/>
      <c r="CJ2855" t="inlineStr">
        <is>
          <t>Paid</t>
        </is>
      </c>
      <c r="CK2855" t="inlineStr">
        <is>
          <t>Eligible</t>
        </is>
      </c>
      <c r="CL2855"/>
      <c r="CM2855"/>
    </row>
    <row r="2856" ht="25.5" customHeight="1">
      <c r="A2856" t="inlineStr">
        <is>
          <t>168086</t>
        </is>
      </c>
      <c r="B2856" s="2"/>
      <c r="C2856"/>
      <c r="D2856" s="3">
        <v>46115.57848379629</v>
      </c>
      <c r="E2856" t="inlineStr">
        <is>
          <t>Q2-W01</t>
        </is>
      </c>
      <c r="F2856" t="inlineStr">
        <is>
          <t>Yuli</t>
        </is>
      </c>
      <c r="G2856" t="inlineStr">
        <is>
          <t>Customer</t>
        </is>
      </c>
      <c r="H2856" s="2" t="str">
        <f>=HYPERLINK("https://upbox.ajobthing.my/customer/168086", "https://upbox.ajobthing.my/customer/168086")</f>
        <v>https://upbox.ajobthing.my/customer/168086</v>
      </c>
      <c r="I2856" t="inlineStr">
        <is>
          <t>2nd Street Trading Malaysia Sdn Bhd</t>
        </is>
      </c>
      <c r="J2856" t="inlineStr">
        <is>
          <t>Whale</t>
        </is>
      </c>
      <c r="K2856" t="inlineStr">
        <is>
          <t>YuLi</t>
        </is>
      </c>
      <c r="L2856" s="4"/>
      <c r="M2856" s="4">
        <v>46115.57986111111</v>
      </c>
      <c r="N2856"/>
      <c r="O2856">
        <v>10800</v>
      </c>
      <c r="P2856" s="4"/>
      <c r="Q2856" s="4">
        <v>45096.69101851852</v>
      </c>
      <c r="R2856"/>
      <c r="S2856">
        <v>954</v>
      </c>
      <c r="T2856" s="4">
        <v>45096.69101851852</v>
      </c>
      <c r="U2856" s="4"/>
      <c r="V2856"/>
      <c r="W2856">
        <v>954</v>
      </c>
      <c r="X2856"/>
      <c r="Y2856" t="inlineStr">
        <is>
          <t>Pending Appointment</t>
        </is>
      </c>
      <c r="Z2856" t="inlineStr">
        <is>
          <t>Hiring Now</t>
        </is>
      </c>
      <c r="AA2856">
        <v>1</v>
      </c>
      <c r="AB2856" t="inlineStr">
        <is>
          <t>No Appointment Made</t>
        </is>
      </c>
      <c r="AC2856"/>
      <c r="AD2856" t="inlineStr">
        <is>
          <t xml:space="preserve"> Retail Sales</t>
        </is>
      </c>
      <c r="AE2856"/>
      <c r="AF2856"/>
      <c r="AG2856" s="4"/>
      <c r="AH2856" s="4"/>
      <c r="AI2856"/>
      <c r="AJ2856"/>
      <c r="AK2856" t="inlineStr">
        <is>
          <t>Yes, I have</t>
        </is>
      </c>
      <c r="AL2856"/>
      <c r="AM2856"/>
      <c r="AN2856"/>
      <c r="AO2856"/>
      <c r="AP2856" t="inlineStr">
        <is>
          <t>Every month (100%)</t>
        </is>
      </c>
      <c r="AQ2856"/>
      <c r="AR2856" t="inlineStr">
        <is>
          <t>Free Job Portal</t>
        </is>
      </c>
      <c r="AS2856" t="inlineStr">
        <is>
          <t>- Headcount: 1
- Hiring Job Details: Retail Sales
- Number of outlets: Not specified
- Have recruiter team: Yes
- Number of recruiter in company: Not specified
- Have ATS system: Not specified
- Have career website: Not specified
- Current hiring budget: Not specified
- Whole year budget: Not specified
- Whole year number of vacancies: Not specified
- Hiring frequency: Every month (100%)
- External job portal: Free Job Portal
- Hiring Urgency: Hiring Now</t>
        </is>
      </c>
      <c r="AT2856">
        <v>75</v>
      </c>
      <c r="AU2856" t="inlineStr">
        <is>
          <t>0.75</t>
        </is>
      </c>
      <c r="AV2856" t="inlineStr">
        <is>
          <t>5</t>
        </is>
      </c>
      <c r="AW2856" t="inlineStr">
        <is>
          <t>0</t>
        </is>
      </c>
      <c r="AX2856" t="inlineStr">
        <is>
          <t>Not Qualified</t>
        </is>
      </c>
      <c r="AY2856" s="4"/>
      <c r="AZ2856"/>
      <c r="BA2856"/>
      <c r="BB2856"/>
      <c r="BC2856" t="inlineStr">
        <is>
          <t>quotation shared</t>
        </is>
      </c>
      <c r="BD2856" s="4">
        <v>46115.884363425925</v>
      </c>
      <c r="BE2856" t="inlineStr">
        <is>
          <t>paid</t>
        </is>
      </c>
      <c r="BF2856"/>
      <c r="BG2856" t="inlineStr">
        <is>
          <t>Reschedule</t>
        </is>
      </c>
      <c r="BH2856" t="inlineStr">
        <is>
          <t>Fauziah Maharan</t>
        </is>
      </c>
      <c r="BI2856" t="inlineStr">
        <is>
          <t>Retail / Merchandise</t>
        </is>
      </c>
      <c r="BJ2856" s="4">
        <v>46144.75134259259</v>
      </c>
      <c r="BK2856" s="4">
        <v>45091.54851851852</v>
      </c>
      <c r="BL2856" t="inlineStr">
        <is>
          <t>0.0</t>
        </is>
      </c>
      <c r="BM2856" t="inlineStr">
        <is>
          <t>5400.0</t>
        </is>
      </c>
      <c r="BN2856" t="inlineStr">
        <is>
          <t>View Company Page</t>
        </is>
      </c>
      <c r="BO2856" s="4">
        <v>45866.45694444444</v>
      </c>
      <c r="BP2856">
        <v>165179</v>
      </c>
      <c r="BQ2856">
        <v>59767</v>
      </c>
      <c r="BR2856" t="inlineStr">
        <is>
          <t>Online</t>
        </is>
      </c>
      <c r="BS2856"/>
      <c r="BT2856">
        <v>59767</v>
      </c>
      <c r="BU2856"/>
      <c r="BV2856">
        <v>2684098</v>
      </c>
      <c r="BW2856" t="inlineStr">
        <is>
          <t>Customer Inquiry</t>
        </is>
      </c>
      <c r="BX2856"/>
      <c r="BY2856"/>
      <c r="BZ2856" s="4"/>
      <c r="CA2856"/>
      <c r="CB2856"/>
      <c r="CC2856" s="4"/>
      <c r="CD2856" t="inlineStr">
        <is>
          <t>5</t>
        </is>
      </c>
      <c r="CE2856" t="inlineStr">
        <is>
          <t>0</t>
        </is>
      </c>
      <c r="CF2856" t="inlineStr">
        <is>
          <t>Q2-W01</t>
        </is>
      </c>
      <c r="CG2856"/>
      <c r="CH2856"/>
      <c r="CI2856"/>
      <c r="CJ2856" t="inlineStr">
        <is>
          <t>Paid</t>
        </is>
      </c>
      <c r="CK2856" t="inlineStr">
        <is>
          <t>Eligible</t>
        </is>
      </c>
      <c r="CL2856"/>
      <c r="CM2856"/>
    </row>
    <row r="2857" ht="25.5" customHeight="1">
      <c r="A2857" t="inlineStr">
        <is>
          <t>177817</t>
        </is>
      </c>
      <c r="B2857" s="2"/>
      <c r="C2857"/>
      <c r="D2857" s="3">
        <v>46115.63201388889</v>
      </c>
      <c r="E2857" t="inlineStr">
        <is>
          <t>Q2-W01</t>
        </is>
      </c>
      <c r="F2857" t="inlineStr">
        <is>
          <t>Keegan</t>
        </is>
      </c>
      <c r="G2857" t="inlineStr">
        <is>
          <t>Customer</t>
        </is>
      </c>
      <c r="H2857" s="2" t="str">
        <f>=HYPERLINK("https://upbox.ajobthing.my/customer/177817", "https://upbox.ajobthing.my/customer/177817")</f>
        <v>https://upbox.ajobthing.my/customer/177817</v>
      </c>
      <c r="I2857" t="inlineStr">
        <is>
          <t>YMF Tax Consultancy Sdn Bhd</t>
        </is>
      </c>
      <c r="J2857" t="inlineStr">
        <is>
          <t>Whale</t>
        </is>
      </c>
      <c r="K2857" t="inlineStr">
        <is>
          <t>Keegan</t>
        </is>
      </c>
      <c r="L2857" s="4"/>
      <c r="M2857" s="4">
        <v>46115.632256944446</v>
      </c>
      <c r="N2857"/>
      <c r="O2857">
        <v>3672</v>
      </c>
      <c r="P2857" s="4"/>
      <c r="Q2857" s="4">
        <v>46124.550104166665</v>
      </c>
      <c r="R2857"/>
      <c r="S2857">
        <v>0</v>
      </c>
      <c r="T2857" s="4">
        <v>46122.73590277778</v>
      </c>
      <c r="U2857" s="4"/>
      <c r="V2857"/>
      <c r="W2857">
        <v>3672</v>
      </c>
      <c r="X2857"/>
      <c r="Y2857" t="inlineStr">
        <is>
          <t>Pending Appointment</t>
        </is>
      </c>
      <c r="Z2857" t="inlineStr">
        <is>
          <t>Hiring Now</t>
        </is>
      </c>
      <c r="AA2857">
        <v>1</v>
      </c>
      <c r="AB2857" t="inlineStr">
        <is>
          <t>No Appointment Made</t>
        </is>
      </c>
      <c r="AC2857"/>
      <c r="AD2857" t="inlineStr">
        <is>
          <t xml:space="preserve">1. Accountant </t>
        </is>
      </c>
      <c r="AE2857"/>
      <c r="AF2857"/>
      <c r="AG2857" s="4"/>
      <c r="AH2857" s="4"/>
      <c r="AI2857"/>
      <c r="AJ2857">
        <v>1</v>
      </c>
      <c r="AK2857" t="inlineStr">
        <is>
          <t>No, I don't need at all</t>
        </is>
      </c>
      <c r="AL2857">
        <v>0</v>
      </c>
      <c r="AM2857" t="inlineStr">
        <is>
          <t>No, I don't need at all</t>
        </is>
      </c>
      <c r="AN2857"/>
      <c r="AO2857" t="inlineStr">
        <is>
          <t>No, I don't need at all</t>
        </is>
      </c>
      <c r="AP2857" t="inlineStr">
        <is>
          <t>Once per quarter (75%)</t>
        </is>
      </c>
      <c r="AQ2857"/>
      <c r="AR2857" t="inlineStr">
        <is>
          <t>Did not use any job portal</t>
        </is>
      </c>
      <c r="AS2857" t="inlineStr">
        <is>
          <t>- Headcount: 1
- Hiring Job Details: 1 Accountant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857">
        <v>105</v>
      </c>
      <c r="AU2857" t="inlineStr">
        <is>
          <t>1.05</t>
        </is>
      </c>
      <c r="AV2857" t="inlineStr">
        <is>
          <t>5</t>
        </is>
      </c>
      <c r="AW2857" t="inlineStr">
        <is>
          <t>0</t>
        </is>
      </c>
      <c r="AX2857" t="inlineStr">
        <is>
          <t>Not Qualified</t>
        </is>
      </c>
      <c r="AY2857" s="4"/>
      <c r="AZ2857"/>
      <c r="BA2857"/>
      <c r="BB2857"/>
      <c r="BC2857" t="inlineStr">
        <is>
          <t>Job posting f/up</t>
        </is>
      </c>
      <c r="BD2857" s="4">
        <v>46139.42109953704</v>
      </c>
      <c r="BE2857" t="inlineStr">
        <is>
          <t>paid</t>
        </is>
      </c>
      <c r="BF2857" t="inlineStr">
        <is>
          <t>Q2-W02</t>
        </is>
      </c>
      <c r="BG2857" t="inlineStr">
        <is>
          <t>Reschedule</t>
        </is>
      </c>
      <c r="BH2857" t="inlineStr">
        <is>
          <t>Edward Hoo</t>
        </is>
      </c>
      <c r="BI2857" t="inlineStr">
        <is>
          <t>Accounting / Tax Services</t>
        </is>
      </c>
      <c r="BJ2857" s="4">
        <v>46144.75171296296</v>
      </c>
      <c r="BK2857" s="4">
        <v>45411.49561342593</v>
      </c>
      <c r="BL2857" t="inlineStr">
        <is>
          <t>6696.0</t>
        </is>
      </c>
      <c r="BM2857" t="inlineStr">
        <is>
          <t>0.0</t>
        </is>
      </c>
      <c r="BN2857" t="inlineStr">
        <is>
          <t>View Candidate Search Page</t>
        </is>
      </c>
      <c r="BO2857" s="4">
        <v>46141.99309027778</v>
      </c>
      <c r="BP2857">
        <v>165203</v>
      </c>
      <c r="BQ2857">
        <v>121894</v>
      </c>
      <c r="BR2857" t="inlineStr">
        <is>
          <t>Proforma</t>
        </is>
      </c>
      <c r="BS2857" t="inlineStr">
        <is>
          <t>Free Part-Time Job</t>
        </is>
      </c>
      <c r="BT2857">
        <v>92931</v>
      </c>
      <c r="BU2857"/>
      <c r="BV2857">
        <v>2728268</v>
      </c>
      <c r="BW2857" t="inlineStr">
        <is>
          <t>Service / Technical : Job Outcome Enquiry</t>
        </is>
      </c>
      <c r="BX2857">
        <v>7</v>
      </c>
      <c r="BY2857">
        <v>4</v>
      </c>
      <c r="BZ2857" s="4">
        <v>46136.404131944444</v>
      </c>
      <c r="CA2857">
        <v>60</v>
      </c>
      <c r="CB2857">
        <v>55</v>
      </c>
      <c r="CC2857" s="4">
        <v>46135.959548611114</v>
      </c>
      <c r="CD2857" t="inlineStr">
        <is>
          <t>5</t>
        </is>
      </c>
      <c r="CE2857" t="inlineStr">
        <is>
          <t>0</t>
        </is>
      </c>
      <c r="CF2857" t="inlineStr">
        <is>
          <t>Q2-W01</t>
        </is>
      </c>
      <c r="CG2857" t="inlineStr">
        <is>
          <t>Q2-W02</t>
        </is>
      </c>
      <c r="CH2857" t="inlineStr">
        <is>
          <t>Q2-W02</t>
        </is>
      </c>
      <c r="CI2857"/>
      <c r="CJ2857" t="inlineStr">
        <is>
          <t>Paid</t>
        </is>
      </c>
      <c r="CK2857" t="inlineStr">
        <is>
          <t>Eligible</t>
        </is>
      </c>
      <c r="CL2857"/>
      <c r="CM2857"/>
    </row>
    <row r="2858" ht="25.5" customHeight="1">
      <c r="A2858" t="inlineStr">
        <is>
          <t>4236989</t>
        </is>
      </c>
      <c r="B2858" s="2"/>
      <c r="C2858"/>
      <c r="D2858" s="3">
        <v>46115.658217592594</v>
      </c>
      <c r="E2858" t="inlineStr">
        <is>
          <t>Q2-W01</t>
        </is>
      </c>
      <c r="F2858" t="inlineStr">
        <is>
          <t>Yuli</t>
        </is>
      </c>
      <c r="G2858" t="inlineStr">
        <is>
          <t>Lead</t>
        </is>
      </c>
      <c r="H2858" s="2" t="str">
        <f>=HYPERLINK("https://upbox.ajobthing.my/leads/4236989", "https://upbox.ajobthing.my/leads/4236989")</f>
        <v>https://upbox.ajobthing.my/leads/4236989</v>
      </c>
      <c r="I2858" t="inlineStr">
        <is>
          <t>AIMOTION SDN BHD</t>
        </is>
      </c>
      <c r="J2858" t="inlineStr">
        <is>
          <t>Whale</t>
        </is>
      </c>
      <c r="K2858" t="inlineStr">
        <is>
          <t>YuLi</t>
        </is>
      </c>
      <c r="L2858" s="4"/>
      <c r="M2858" s="4">
        <v>46120.39429398148</v>
      </c>
      <c r="N2858"/>
      <c r="O2858">
        <v>21600</v>
      </c>
      <c r="P2858" s="4"/>
      <c r="Q2858" s="4"/>
      <c r="R2858"/>
      <c r="S2858"/>
      <c r="T2858" s="4"/>
      <c r="U2858" s="4"/>
      <c r="V2858"/>
      <c r="W2858"/>
      <c r="X2858" t="inlineStr">
        <is>
          <t>Yuli</t>
        </is>
      </c>
      <c r="Y2858" t="inlineStr">
        <is>
          <t>Done Appointment</t>
        </is>
      </c>
      <c r="Z2858" t="inlineStr">
        <is>
          <t>Hiring Now</t>
        </is>
      </c>
      <c r="AA2858">
        <v>30</v>
      </c>
      <c r="AB2858" t="inlineStr">
        <is>
          <t>Appointment Made</t>
        </is>
      </c>
      <c r="AC2858" t="inlineStr">
        <is>
          <t>Mid-size (50-100 employees)</t>
        </is>
      </c>
      <c r="AD2858" t="inlineStr">
        <is>
          <t>15 Business Development Executive- Nationwide
15 Business Development Manager-Nationwide</t>
        </is>
      </c>
      <c r="AE2858"/>
      <c r="AF2858">
        <v>7200</v>
      </c>
      <c r="AG2858" s="4">
        <v>46119.416666666664</v>
      </c>
      <c r="AH2858" s="4">
        <v>46119.458333333336</v>
      </c>
      <c r="AI2858"/>
      <c r="AJ2858"/>
      <c r="AK2858"/>
      <c r="AL2858">
        <v>1</v>
      </c>
      <c r="AM2858"/>
      <c r="AN2858"/>
      <c r="AO2858"/>
      <c r="AP2858"/>
      <c r="AQ2858"/>
      <c r="AR2858" t="inlineStr">
        <is>
          <t>Jobstreet</t>
        </is>
      </c>
      <c r="AS2858" t="inlineStr">
        <is>
          <t>- Headcount: 30
- Hiring Job Details: 15 Business Development Executive-Nationwide; 15 Business Development Manager-Nationwide
- Number of outlets: N/A
- Have recruiter team: N/A
- Number of recruiter in company: 1
- Have ATS system: N/A
- Have career website: N/A
- Current hiring budget: RM7,200.00
- Whole year budget: N/A
- Whole year number of vacancies: N/A
- Hiring frequency: N/A
- External job portal: Jobstreet
- Hiring Urgency: Hiring Now</t>
        </is>
      </c>
      <c r="AT2858">
        <v>95</v>
      </c>
      <c r="AU2858" t="inlineStr">
        <is>
          <t>0.95</t>
        </is>
      </c>
      <c r="AV2858" t="inlineStr">
        <is>
          <t>35</t>
        </is>
      </c>
      <c r="AW2858" t="inlineStr">
        <is>
          <t>0</t>
        </is>
      </c>
      <c r="AX2858" t="inlineStr">
        <is>
          <t>Not Qualified</t>
        </is>
      </c>
      <c r="AY2858" s="4">
        <v>46119.487233796295</v>
      </c>
      <c r="AZ2858" t="inlineStr">
        <is>
          <t>Base Assistant</t>
        </is>
      </c>
      <c r="BA2858"/>
      <c r="BB2858"/>
      <c r="BC2858"/>
      <c r="BD2858" s="4"/>
      <c r="BE2858"/>
      <c r="BF2858"/>
      <c r="BG2858" t="inlineStr">
        <is>
          <t>Reschedule</t>
        </is>
      </c>
      <c r="BH2858" t="inlineStr">
        <is>
          <t>Fauziah Maharan</t>
        </is>
      </c>
      <c r="BI2858"/>
      <c r="BJ2858" s="4">
        <v>46144.755694444444</v>
      </c>
      <c r="BK2858" s="4">
        <v>46115.43644675926</v>
      </c>
      <c r="BL2858" t="inlineStr">
        <is>
          <t>0.0</t>
        </is>
      </c>
      <c r="BM2858" t="inlineStr">
        <is>
          <t>7200.0</t>
        </is>
      </c>
      <c r="BN2858"/>
      <c r="BO2858" s="4"/>
      <c r="BP2858">
        <v>165809</v>
      </c>
      <c r="BQ2858"/>
      <c r="BR2858"/>
      <c r="BS2858"/>
      <c r="BT2858"/>
      <c r="BU2858"/>
      <c r="BV2858"/>
      <c r="BW2858"/>
      <c r="BX2858"/>
      <c r="BY2858"/>
      <c r="BZ2858" s="4"/>
      <c r="CA2858"/>
      <c r="CB2858"/>
      <c r="CC2858" s="4"/>
      <c r="CD2858" t="inlineStr">
        <is>
          <t>50</t>
        </is>
      </c>
      <c r="CE2858" t="inlineStr">
        <is>
          <t>0.5</t>
        </is>
      </c>
      <c r="CF2858" t="inlineStr">
        <is>
          <t>Q2-W01</t>
        </is>
      </c>
      <c r="CG2858"/>
      <c r="CH2858"/>
      <c r="CI2858" t="inlineStr">
        <is>
          <t>Q2-W01</t>
        </is>
      </c>
      <c r="CJ2858" t="inlineStr">
        <is>
          <t>No Paid</t>
        </is>
      </c>
      <c r="CK2858" t="inlineStr">
        <is>
          <t>Eligible</t>
        </is>
      </c>
      <c r="CL2858"/>
      <c r="CM2858" t="inlineStr">
        <is>
          <t>Q2-W01</t>
        </is>
      </c>
    </row>
    <row r="2859" ht="25.5" customHeight="1">
      <c r="A2859" t="inlineStr">
        <is>
          <t>135169</t>
        </is>
      </c>
      <c r="B2859" s="2"/>
      <c r="C2859"/>
      <c r="D2859" s="3">
        <v>46115.6821412037</v>
      </c>
      <c r="E2859" t="inlineStr">
        <is>
          <t>Q2-W01</t>
        </is>
      </c>
      <c r="F2859" t="inlineStr">
        <is>
          <t>Yuli</t>
        </is>
      </c>
      <c r="G2859" t="inlineStr">
        <is>
          <t>Customer</t>
        </is>
      </c>
      <c r="H2859" s="2" t="str">
        <f>=HYPERLINK("https://upbox.ajobthing.my/customer/135169", "https://upbox.ajobthing.my/customer/135169")</f>
        <v>https://upbox.ajobthing.my/customer/135169</v>
      </c>
      <c r="I2859" t="inlineStr">
        <is>
          <t>Ritma Prestasi Sdn Bhd</t>
        </is>
      </c>
      <c r="J2859" t="inlineStr">
        <is>
          <t>Whale</t>
        </is>
      </c>
      <c r="K2859" t="inlineStr">
        <is>
          <t>YuLi</t>
        </is>
      </c>
      <c r="L2859" s="4"/>
      <c r="M2859" s="4">
        <v>46122.71225694445</v>
      </c>
      <c r="N2859"/>
      <c r="O2859">
        <v>11448</v>
      </c>
      <c r="P2859" s="4"/>
      <c r="Q2859" s="4">
        <v>46142.55168981481</v>
      </c>
      <c r="R2859"/>
      <c r="S2859">
        <v>6048</v>
      </c>
      <c r="T2859" s="4">
        <v>46142.55168981481</v>
      </c>
      <c r="U2859" s="4"/>
      <c r="V2859"/>
      <c r="W2859">
        <v>6048</v>
      </c>
      <c r="X2859" t="inlineStr">
        <is>
          <t>Yuli</t>
        </is>
      </c>
      <c r="Y2859" t="inlineStr">
        <is>
          <t>Done Appointment</t>
        </is>
      </c>
      <c r="Z2859" t="inlineStr">
        <is>
          <t>Hiring Now</t>
        </is>
      </c>
      <c r="AA2859">
        <v>5</v>
      </c>
      <c r="AB2859" t="inlineStr">
        <is>
          <t>Appointment Made</t>
        </is>
      </c>
      <c r="AC2859" t="inlineStr">
        <is>
          <t>Large (101-300 employees)</t>
        </is>
      </c>
      <c r="AD2859" t="inlineStr">
        <is>
          <t>2 Brand Development Executive
3 Sales Executive</t>
        </is>
      </c>
      <c r="AE2859" t="inlineStr">
        <is>
          <t>Executive / HR Executive</t>
        </is>
      </c>
      <c r="AF2859">
        <v>2000</v>
      </c>
      <c r="AG2859" s="4">
        <v>46122.625</v>
      </c>
      <c r="AH2859" s="4">
        <v>46122.458333333336</v>
      </c>
      <c r="AI2859"/>
      <c r="AJ2859"/>
      <c r="AK2859"/>
      <c r="AL2859"/>
      <c r="AM2859"/>
      <c r="AN2859"/>
      <c r="AO2859"/>
      <c r="AP2859" t="inlineStr">
        <is>
          <t>Every month (100%)</t>
        </is>
      </c>
      <c r="AQ2859"/>
      <c r="AR2859" t="inlineStr">
        <is>
          <t>Jobstreet</t>
        </is>
      </c>
      <c r="AS2859" t="inlineStr">
        <is>
          <t>- Headcount: 5
- Hiring Job Details: 2 Brand Development Executive, 3 Sales Executive
- Hiring Urgency: Hiring Now
- Number of outlets: Not available
- Have recruiter team: Not available
- Number of recruiter in company: Not available
- Have ATS system: Not available
- Have career website: Not available
- Current hiring budget: RM2,000.00
- Whole year budget: Not available
- Whole year number of vacancies: Not available
- Hiring frequency: Every month (100%)
- External job portal: Jobstreet</t>
        </is>
      </c>
      <c r="AT2859">
        <v>95</v>
      </c>
      <c r="AU2859" t="inlineStr">
        <is>
          <t>0.95</t>
        </is>
      </c>
      <c r="AV2859" t="inlineStr">
        <is>
          <t>40</t>
        </is>
      </c>
      <c r="AW2859" t="inlineStr">
        <is>
          <t>0.5</t>
        </is>
      </c>
      <c r="AX2859" t="inlineStr">
        <is>
          <t>Not Qualified</t>
        </is>
      </c>
      <c r="AY2859" s="4">
        <v>46129.60233796296</v>
      </c>
      <c r="AZ2859" t="inlineStr">
        <is>
          <t>Reagen</t>
        </is>
      </c>
      <c r="BA2859"/>
      <c r="BB2859"/>
      <c r="BC2859" t="inlineStr">
        <is>
          <t>called and spoke to Ms. Lee, she mentioned her finance already make payment, and ask to share me the info for company</t>
        </is>
      </c>
      <c r="BD2859" s="4">
        <v>46142.48778935185</v>
      </c>
      <c r="BE2859" t="inlineStr">
        <is>
          <t>paid</t>
        </is>
      </c>
      <c r="BF2859" t="inlineStr">
        <is>
          <t>Q2-W04</t>
        </is>
      </c>
      <c r="BG2859" t="inlineStr">
        <is>
          <t>Reschedule</t>
        </is>
      </c>
      <c r="BH2859" t="inlineStr">
        <is>
          <t>Fauziah Maharan</t>
        </is>
      </c>
      <c r="BI2859" t="inlineStr">
        <is>
          <t>Healthcare / Medical</t>
        </is>
      </c>
      <c r="BJ2859" s="4">
        <v>46144.75053240741</v>
      </c>
      <c r="BK2859" s="4">
        <v>44260.68996527778</v>
      </c>
      <c r="BL2859" t="inlineStr">
        <is>
          <t>0.0</t>
        </is>
      </c>
      <c r="BM2859" t="inlineStr">
        <is>
          <t>3600.0</t>
        </is>
      </c>
      <c r="BN2859" t="inlineStr">
        <is>
          <t>View Account User</t>
        </is>
      </c>
      <c r="BO2859" s="4">
        <v>46142.605775462966</v>
      </c>
      <c r="BP2859">
        <v>166546</v>
      </c>
      <c r="BQ2859">
        <v>7672</v>
      </c>
      <c r="BR2859" t="inlineStr">
        <is>
          <t>Manual (Paid)</t>
        </is>
      </c>
      <c r="BS2859" t="inlineStr">
        <is>
          <t>AI Yearly Professional Plan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859">
        <v>7672</v>
      </c>
      <c r="BU2859"/>
      <c r="BV2859">
        <v>2737213</v>
      </c>
      <c r="BW2859" t="inlineStr">
        <is>
          <t>Follow Up : Win - Customer Paid</t>
        </is>
      </c>
      <c r="BX2859">
        <v>16</v>
      </c>
      <c r="BY2859">
        <v>16</v>
      </c>
      <c r="BZ2859" s="4"/>
      <c r="CA2859">
        <v>160</v>
      </c>
      <c r="CB2859">
        <v>160</v>
      </c>
      <c r="CC2859" s="4"/>
      <c r="CD2859" t="inlineStr">
        <is>
          <t>55</t>
        </is>
      </c>
      <c r="CE2859" t="inlineStr">
        <is>
          <t>0.5</t>
        </is>
      </c>
      <c r="CF2859" t="inlineStr">
        <is>
          <t>Q2-W02</t>
        </is>
      </c>
      <c r="CG2859" t="inlineStr">
        <is>
          <t>Q2-W04</t>
        </is>
      </c>
      <c r="CH2859" t="inlineStr">
        <is>
          <t>Q2-W04</t>
        </is>
      </c>
      <c r="CI2859" t="inlineStr">
        <is>
          <t>Q2-W02</t>
        </is>
      </c>
      <c r="CJ2859" t="inlineStr">
        <is>
          <t>Paid</t>
        </is>
      </c>
      <c r="CK2859" t="inlineStr">
        <is>
          <t>Eligible</t>
        </is>
      </c>
      <c r="CL2859" t="inlineStr">
        <is>
          <t>Q2-W02</t>
        </is>
      </c>
      <c r="CM2859" t="inlineStr">
        <is>
          <t>Q2-W03</t>
        </is>
      </c>
    </row>
    <row r="2860" ht="25.5" customHeight="1">
      <c r="A2860" t="inlineStr">
        <is>
          <t>47366</t>
        </is>
      </c>
      <c r="B2860" s="2"/>
      <c r="C2860"/>
      <c r="D2860" s="3">
        <v>46115.69341435185</v>
      </c>
      <c r="E2860" t="inlineStr">
        <is>
          <t>Q2-W01</t>
        </is>
      </c>
      <c r="F2860" t="inlineStr">
        <is>
          <t>Yuli</t>
        </is>
      </c>
      <c r="G2860" t="inlineStr">
        <is>
          <t>Customer</t>
        </is>
      </c>
      <c r="H2860" s="2" t="str">
        <f>=HYPERLINK("https://upbox.ajobthing.my/customer/47366", "https://upbox.ajobthing.my/customer/47366")</f>
        <v>https://upbox.ajobthing.my/customer/47366</v>
      </c>
      <c r="I2860" t="inlineStr">
        <is>
          <t>Shapee Trading &amp; Distribution (M) Sdn Bhd</t>
        </is>
      </c>
      <c r="J2860" t="inlineStr">
        <is>
          <t>Whale</t>
        </is>
      </c>
      <c r="K2860" t="inlineStr">
        <is>
          <t>YuLi</t>
        </is>
      </c>
      <c r="L2860" s="4"/>
      <c r="M2860" s="4">
        <v>46115.69782407407</v>
      </c>
      <c r="N2860"/>
      <c r="O2860">
        <v>3672</v>
      </c>
      <c r="P2860" s="4"/>
      <c r="Q2860" s="4">
        <v>46080.04258101852</v>
      </c>
      <c r="R2860"/>
      <c r="S2860">
        <v>0</v>
      </c>
      <c r="T2860" s="4">
        <v>45217.00001157408</v>
      </c>
      <c r="U2860" s="4"/>
      <c r="V2860"/>
      <c r="W2860">
        <v>4155.2</v>
      </c>
      <c r="X2860"/>
      <c r="Y2860" t="inlineStr">
        <is>
          <t>Pending Appointment</t>
        </is>
      </c>
      <c r="Z2860" t="inlineStr">
        <is>
          <t>Hiring Now</t>
        </is>
      </c>
      <c r="AA2860">
        <v>3</v>
      </c>
      <c r="AB2860" t="inlineStr">
        <is>
          <t>No Appointment Made</t>
        </is>
      </c>
      <c r="AC2860"/>
      <c r="AD2860" t="inlineStr">
        <is>
          <t>3 Sales Executive, cheras, penang and johor</t>
        </is>
      </c>
      <c r="AE2860"/>
      <c r="AF2860"/>
      <c r="AG2860" s="4"/>
      <c r="AH2860" s="4"/>
      <c r="AI2860"/>
      <c r="AJ2860"/>
      <c r="AK2860"/>
      <c r="AL2860"/>
      <c r="AM2860"/>
      <c r="AN2860"/>
      <c r="AO2860"/>
      <c r="AP2860" t="inlineStr">
        <is>
          <t>Once per quarter (75%)</t>
        </is>
      </c>
      <c r="AQ2860"/>
      <c r="AR2860" t="inlineStr">
        <is>
          <t>Jobstreet</t>
        </is>
      </c>
      <c r="AS2860" t="inlineStr">
        <is>
          <t>- Headcount: 3
- Hiring Job Details: 3 Sales Executive, cheras, penang and johor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Once per quarter (75%)
- External job portal: Jobstreet</t>
        </is>
      </c>
      <c r="AT2860">
        <v>95</v>
      </c>
      <c r="AU2860" t="inlineStr">
        <is>
          <t>0.95</t>
        </is>
      </c>
      <c r="AV2860" t="inlineStr">
        <is>
          <t>5</t>
        </is>
      </c>
      <c r="AW2860" t="inlineStr">
        <is>
          <t>0</t>
        </is>
      </c>
      <c r="AX2860" t="inlineStr">
        <is>
          <t>Not Qualified</t>
        </is>
      </c>
      <c r="AY2860" s="4"/>
      <c r="AZ2860"/>
      <c r="BA2860"/>
      <c r="BB2860"/>
      <c r="BC2860" t="inlineStr">
        <is>
          <t>free posting non urgent post can use free credit from jobstreer , every month have for jobstreet, Rm 3k plus ( can post 5 times) and now they only looking for live host.</t>
        </is>
      </c>
      <c r="BD2860" s="4">
        <v>46141.482083333336</v>
      </c>
      <c r="BE2860" t="inlineStr">
        <is>
          <t>paid</t>
        </is>
      </c>
      <c r="BF2860"/>
      <c r="BG2860" t="inlineStr">
        <is>
          <t>Reschedule</t>
        </is>
      </c>
      <c r="BH2860" t="inlineStr">
        <is>
          <t>Fauziah Maharan</t>
        </is>
      </c>
      <c r="BI2860" t="inlineStr">
        <is>
          <t>Consumer Products / FMCG</t>
        </is>
      </c>
      <c r="BJ2860" s="4">
        <v>46144.756006944444</v>
      </c>
      <c r="BK2860" s="4">
        <v>43188.4509837963</v>
      </c>
      <c r="BL2860" t="inlineStr">
        <is>
          <t>0.0</t>
        </is>
      </c>
      <c r="BM2860" t="inlineStr">
        <is>
          <t>10200.0</t>
        </is>
      </c>
      <c r="BN2860" t="inlineStr">
        <is>
          <t>User Visit(Logged In)</t>
        </is>
      </c>
      <c r="BO2860" s="4">
        <v>46120.45359953704</v>
      </c>
      <c r="BP2860">
        <v>165242</v>
      </c>
      <c r="BQ2860">
        <v>115725</v>
      </c>
      <c r="BR2860" t="inlineStr">
        <is>
          <t>Proforma</t>
        </is>
      </c>
      <c r="BS2860" t="inlineStr">
        <is>
          <t>Free Part-Time Job</t>
        </is>
      </c>
      <c r="BT2860">
        <v>63065</v>
      </c>
      <c r="BU2860"/>
      <c r="BV2860">
        <v>2734749</v>
      </c>
      <c r="BW2860" t="inlineStr">
        <is>
          <t>Follow Up : Lost - Paid Portal</t>
        </is>
      </c>
      <c r="BX2860"/>
      <c r="BY2860"/>
      <c r="BZ2860" s="4"/>
      <c r="CA2860"/>
      <c r="CB2860"/>
      <c r="CC2860" s="4"/>
      <c r="CD2860" t="inlineStr">
        <is>
          <t>5</t>
        </is>
      </c>
      <c r="CE2860" t="inlineStr">
        <is>
          <t>0</t>
        </is>
      </c>
      <c r="CF2860" t="inlineStr">
        <is>
          <t>Q2-W01</t>
        </is>
      </c>
      <c r="CG2860" t="inlineStr">
        <is>
          <t>Q1-W09</t>
        </is>
      </c>
      <c r="CH2860"/>
      <c r="CI2860"/>
      <c r="CJ2860" t="inlineStr">
        <is>
          <t>Paid</t>
        </is>
      </c>
      <c r="CK2860" t="inlineStr">
        <is>
          <t>Eligible</t>
        </is>
      </c>
      <c r="CL2860"/>
      <c r="CM2860"/>
    </row>
    <row r="2861" ht="25.5" customHeight="1">
      <c r="A2861" t="inlineStr">
        <is>
          <t>141323</t>
        </is>
      </c>
      <c r="B2861" s="2"/>
      <c r="C2861"/>
      <c r="D2861" s="3">
        <v>46115.69467592592</v>
      </c>
      <c r="E2861" t="inlineStr">
        <is>
          <t>Q2-W01</t>
        </is>
      </c>
      <c r="F2861" t="inlineStr">
        <is>
          <t>Angel  Low</t>
        </is>
      </c>
      <c r="G2861" t="inlineStr">
        <is>
          <t>Customer</t>
        </is>
      </c>
      <c r="H2861" s="2" t="str">
        <f>=HYPERLINK("https://upbox.ajobthing.my/customer/141323", "https://upbox.ajobthing.my/customer/141323")</f>
        <v>https://upbox.ajobthing.my/customer/141323</v>
      </c>
      <c r="I2861" t="inlineStr">
        <is>
          <t>Sol Power Engineering Sdn Bhd</t>
        </is>
      </c>
      <c r="J2861" t="inlineStr">
        <is>
          <t>Whale</t>
        </is>
      </c>
      <c r="K2861" t="inlineStr">
        <is>
          <t>Angel Low</t>
        </is>
      </c>
      <c r="L2861" s="4"/>
      <c r="M2861" s="4">
        <v>46118.638761574075</v>
      </c>
      <c r="N2861"/>
      <c r="O2861">
        <v>5508</v>
      </c>
      <c r="P2861" s="4"/>
      <c r="Q2861" s="4">
        <v>46120.49475694444</v>
      </c>
      <c r="R2861"/>
      <c r="S2861">
        <v>5508</v>
      </c>
      <c r="T2861" s="4">
        <v>46120.49475694444</v>
      </c>
      <c r="U2861" s="4"/>
      <c r="V2861"/>
      <c r="W2861">
        <v>5508</v>
      </c>
      <c r="X2861" t="inlineStr">
        <is>
          <t>Fauziah Maharan</t>
        </is>
      </c>
      <c r="Y2861" t="inlineStr">
        <is>
          <t>Pending Appointment</t>
        </is>
      </c>
      <c r="Z2861" t="inlineStr">
        <is>
          <t>Hiring Now</t>
        </is>
      </c>
      <c r="AA2861">
        <v>1</v>
      </c>
      <c r="AB2861" t="inlineStr">
        <is>
          <t>Appointment Made</t>
        </is>
      </c>
      <c r="AC2861" t="inlineStr">
        <is>
          <t>SME (&lt;50 employees)</t>
        </is>
      </c>
      <c r="AD2861" t="inlineStr">
        <is>
          <t xml:space="preserve">operator </t>
        </is>
      </c>
      <c r="AE2861" t="inlineStr">
        <is>
          <t>HR Director / Senior HR Lead</t>
        </is>
      </c>
      <c r="AF2861">
        <v>3000</v>
      </c>
      <c r="AG2861" s="4">
        <v>46118.458333333336</v>
      </c>
      <c r="AH2861" s="4">
        <v>46118.5</v>
      </c>
      <c r="AI2861"/>
      <c r="AJ2861"/>
      <c r="AK2861" t="inlineStr">
        <is>
          <t>No, I don't need at all</t>
        </is>
      </c>
      <c r="AL2861"/>
      <c r="AM2861" t="inlineStr">
        <is>
          <t>No, I don't need at all</t>
        </is>
      </c>
      <c r="AN2861"/>
      <c r="AO2861" t="inlineStr">
        <is>
          <t>No, I don't need at all</t>
        </is>
      </c>
      <c r="AP2861" t="inlineStr">
        <is>
          <t>Twice a year (50%)</t>
        </is>
      </c>
      <c r="AQ2861"/>
      <c r="AR2861" t="inlineStr">
        <is>
          <t>Jobstreet</t>
        </is>
      </c>
      <c r="AS2861" t="inlineStr">
        <is>
          <t>- Headcount: 1
- Hiring Job Details: operator
- Hiring Urgency: Hiring Now
- Number of outlets: N/A
- Have recruiter team: No, I don't need at all
- Number of recruiter in company: N/A
- Have ATS system: No, I don't need at all
- Have career website: No, I don't need at all
- Current hiring budget: RM3,000.00
- Whole year budget: N/A
- Whole year number of vacancies: N/A
- Hiring frequency: Twice a year (50%)
- External job portal: Jobstreet</t>
        </is>
      </c>
      <c r="AT2861">
        <v>95</v>
      </c>
      <c r="AU2861" t="inlineStr">
        <is>
          <t>0.95</t>
        </is>
      </c>
      <c r="AV2861" t="inlineStr">
        <is>
          <t>35</t>
        </is>
      </c>
      <c r="AW2861" t="inlineStr">
        <is>
          <t>0</t>
        </is>
      </c>
      <c r="AX2861" t="inlineStr">
        <is>
          <t>Not Qualified</t>
        </is>
      </c>
      <c r="AY2861" s="4"/>
      <c r="AZ2861"/>
      <c r="BA2861"/>
      <c r="BB2861"/>
      <c r="BC2861" t="inlineStr">
        <is>
          <t>done payment</t>
        </is>
      </c>
      <c r="BD2861" s="4">
        <v>46120.46493055556</v>
      </c>
      <c r="BE2861" t="inlineStr">
        <is>
          <t>paid</t>
        </is>
      </c>
      <c r="BF2861" t="inlineStr">
        <is>
          <t>Q2-W01</t>
        </is>
      </c>
      <c r="BG2861" t="inlineStr">
        <is>
          <t>Reschedule</t>
        </is>
      </c>
      <c r="BH2861" t="inlineStr">
        <is>
          <t>Fauziah Maharan</t>
        </is>
      </c>
      <c r="BI2861" t="inlineStr">
        <is>
          <t>Construction / Building</t>
        </is>
      </c>
      <c r="BJ2861" s="4">
        <v>46144.75067129629</v>
      </c>
      <c r="BK2861" s="4">
        <v>44467.42668981481</v>
      </c>
      <c r="BL2861" t="inlineStr">
        <is>
          <t>5508.0</t>
        </is>
      </c>
      <c r="BM2861" t="inlineStr">
        <is>
          <t>1200.0</t>
        </is>
      </c>
      <c r="BN2861" t="inlineStr">
        <is>
          <t>PA Visit - Job Card</t>
        </is>
      </c>
      <c r="BO2861" s="4">
        <v>46142.64252314815</v>
      </c>
      <c r="BP2861">
        <v>165435</v>
      </c>
      <c r="BQ2861">
        <v>92024</v>
      </c>
      <c r="BR2861" t="inlineStr">
        <is>
          <t>Online</t>
        </is>
      </c>
      <c r="BS2861"/>
      <c r="BT2861">
        <v>92024</v>
      </c>
      <c r="BU2861"/>
      <c r="BV2861">
        <v>2691652</v>
      </c>
      <c r="BW2861" t="inlineStr">
        <is>
          <t>Follow Up : Win - Customer Paid</t>
        </is>
      </c>
      <c r="BX2861">
        <v>16</v>
      </c>
      <c r="BY2861">
        <v>14</v>
      </c>
      <c r="BZ2861" s="4">
        <v>46129.693194444444</v>
      </c>
      <c r="CA2861">
        <v>173</v>
      </c>
      <c r="CB2861">
        <v>173</v>
      </c>
      <c r="CC2861" s="4"/>
      <c r="CD2861" t="inlineStr">
        <is>
          <t>45</t>
        </is>
      </c>
      <c r="CE2861" t="inlineStr">
        <is>
          <t>0</t>
        </is>
      </c>
      <c r="CF2861" t="inlineStr">
        <is>
          <t>Q2-W01</t>
        </is>
      </c>
      <c r="CG2861" t="inlineStr">
        <is>
          <t>Q2-W01</t>
        </is>
      </c>
      <c r="CH2861" t="inlineStr">
        <is>
          <t>Q2-W01</t>
        </is>
      </c>
      <c r="CI2861"/>
      <c r="CJ2861" t="inlineStr">
        <is>
          <t>Paid</t>
        </is>
      </c>
      <c r="CK2861" t="inlineStr">
        <is>
          <t>Eligible</t>
        </is>
      </c>
      <c r="CL2861"/>
      <c r="CM2861"/>
    </row>
    <row r="2862" ht="25.5" customHeight="1">
      <c r="A2862" t="inlineStr">
        <is>
          <t>195488</t>
        </is>
      </c>
      <c r="B2862" s="2"/>
      <c r="C2862"/>
      <c r="D2862" s="3">
        <v>46115.910844907405</v>
      </c>
      <c r="E2862" t="inlineStr">
        <is>
          <t>Q2-W01</t>
        </is>
      </c>
      <c r="F2862" t="inlineStr">
        <is>
          <t>Yuli</t>
        </is>
      </c>
      <c r="G2862" t="inlineStr">
        <is>
          <t>Customer</t>
        </is>
      </c>
      <c r="H2862" s="2" t="str">
        <f>=HYPERLINK("https://upbox.ajobthing.my/customer/195488", "https://upbox.ajobthing.my/customer/195488")</f>
        <v>https://upbox.ajobthing.my/customer/195488</v>
      </c>
      <c r="I2862" t="inlineStr">
        <is>
          <t>Pembinaan Sujaman Sdn Bhd</t>
        </is>
      </c>
      <c r="J2862" t="inlineStr">
        <is>
          <t>Whale</t>
        </is>
      </c>
      <c r="K2862" t="inlineStr">
        <is>
          <t>YuLi</t>
        </is>
      </c>
      <c r="L2862" s="4"/>
      <c r="M2862" s="4">
        <v>46113.964791666665</v>
      </c>
      <c r="N2862"/>
      <c r="O2862">
        <v>13737.6</v>
      </c>
      <c r="P2862" s="4"/>
      <c r="Q2862" s="4">
        <v>46125.46743055555</v>
      </c>
      <c r="R2862"/>
      <c r="S2862">
        <v>13737.6</v>
      </c>
      <c r="T2862" s="4">
        <v>46125.46743055555</v>
      </c>
      <c r="U2862" s="4"/>
      <c r="V2862"/>
      <c r="W2862">
        <v>13737.6</v>
      </c>
      <c r="X2862"/>
      <c r="Y2862" t="inlineStr">
        <is>
          <t>Pending Appointment</t>
        </is>
      </c>
      <c r="Z2862" t="inlineStr">
        <is>
          <t>Hiring Now</t>
        </is>
      </c>
      <c r="AA2862">
        <v>6</v>
      </c>
      <c r="AB2862" t="inlineStr">
        <is>
          <t>No Appointment Made</t>
        </is>
      </c>
      <c r="AC2862"/>
      <c r="AD2862" t="inlineStr">
        <is>
          <t>QA, HR, Accounts Manager, Admin, Site supervisor, Inter</t>
        </is>
      </c>
      <c r="AE2862"/>
      <c r="AF2862">
        <v>10000</v>
      </c>
      <c r="AG2862" s="4"/>
      <c r="AH2862" s="4"/>
      <c r="AI2862"/>
      <c r="AJ2862"/>
      <c r="AK2862"/>
      <c r="AL2862"/>
      <c r="AM2862" t="inlineStr">
        <is>
          <t>Yes, I have</t>
        </is>
      </c>
      <c r="AN2862" t="inlineStr">
        <is>
          <t>Other</t>
        </is>
      </c>
      <c r="AO2862"/>
      <c r="AP2862"/>
      <c r="AQ2862"/>
      <c r="AR2862" t="inlineStr">
        <is>
          <t>Did not use any job portal</t>
        </is>
      </c>
      <c r="AS2862" t="inlineStr">
        <is>
          <t>- Headcount: 6
- Hiring Job Details: QA, HR, Accounts Manager, Admin, Site supervisor, Inter
- Number of outlets: Not provided
- Have recruiter team: Not provided
- Number of recruiter in company: Not provided
- Have ATS system: Yes
- Have career website: Not provided
- Current hiring budget: RM10,000
- Whole year budget: Not provided
- Whole year number of vacancies: Not provided
- Hiring frequency: Not provided
- External job portal: Did not use any job portal
- Hiring Urgency: Hiring Now</t>
        </is>
      </c>
      <c r="AT2862">
        <v>30</v>
      </c>
      <c r="AU2862" t="inlineStr">
        <is>
          <t>0.30</t>
        </is>
      </c>
      <c r="AV2862" t="inlineStr">
        <is>
          <t>20</t>
        </is>
      </c>
      <c r="AW2862" t="inlineStr">
        <is>
          <t>0</t>
        </is>
      </c>
      <c r="AX2862" t="inlineStr">
        <is>
          <t>Not Qualified</t>
        </is>
      </c>
      <c r="AY2862" s="4"/>
      <c r="AZ2862"/>
      <c r="BA2862"/>
      <c r="BB2862"/>
      <c r="BC2862" t="inlineStr">
        <is>
          <t>Received message from Frances mentioned low application since they sign up Ajobthing, get Hong Yuan to assist promote</t>
        </is>
      </c>
      <c r="BD2862" s="4">
        <v>46140.45159722222</v>
      </c>
      <c r="BE2862" t="inlineStr">
        <is>
          <t>paid</t>
        </is>
      </c>
      <c r="BF2862" t="inlineStr">
        <is>
          <t>Q2-W02</t>
        </is>
      </c>
      <c r="BG2862" t="inlineStr">
        <is>
          <t>Reschedule</t>
        </is>
      </c>
      <c r="BH2862" t="inlineStr">
        <is>
          <t>Fauziah Maharan</t>
        </is>
      </c>
      <c r="BI2862" t="inlineStr">
        <is>
          <t>Construction / Building</t>
        </is>
      </c>
      <c r="BJ2862" s="4">
        <v>46144.7527662037</v>
      </c>
      <c r="BK2862" s="4">
        <v>45896.714004629626</v>
      </c>
      <c r="BL2862" t="inlineStr">
        <is>
          <t>37294.0</t>
        </is>
      </c>
      <c r="BM2862" t="inlineStr">
        <is>
          <t>16800.0</t>
        </is>
      </c>
      <c r="BN2862" t="inlineStr">
        <is>
          <t>People Search Page : Unlock Candidate</t>
        </is>
      </c>
      <c r="BO2862" s="4">
        <v>46137.47820601852</v>
      </c>
      <c r="BP2862">
        <v>164836</v>
      </c>
      <c r="BQ2862">
        <v>7613</v>
      </c>
      <c r="BR2862" t="inlineStr">
        <is>
          <t>Manual (Paid)</t>
        </is>
      </c>
      <c r="BS2862" t="inlineStr">
        <is>
          <t>AI Yearly Enhanced Plan ( Average per job ad RM 286.20nett) 
- AI Yearly Enhanced Plan of 24 AI Job Ads + 24 Free AI Job Ads with Booster
- 48 AI Job Ad will be published on Maukerja, Ricebowl and our partner platforms
- 48 AI Job Ad will be published for 45 days
- 48 Booster Plus
- 480 Free Candidates Profiles Unlock
- 20x Free Job Ad monthly (total 240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862">
        <v>7613</v>
      </c>
      <c r="BU2862"/>
      <c r="BV2862">
        <v>2731949</v>
      </c>
      <c r="BW2862" t="inlineStr">
        <is>
          <t>Service / Technical : Job Complaint - Report To Marketing</t>
        </is>
      </c>
      <c r="BX2862">
        <v>100</v>
      </c>
      <c r="BY2862">
        <v>47</v>
      </c>
      <c r="BZ2862" s="4">
        <v>46134.0221875</v>
      </c>
      <c r="CA2862">
        <v>980</v>
      </c>
      <c r="CB2862">
        <v>711</v>
      </c>
      <c r="CC2862" s="4">
        <v>46137.47820601852</v>
      </c>
      <c r="CD2862" t="inlineStr">
        <is>
          <t>30</t>
        </is>
      </c>
      <c r="CE2862" t="inlineStr">
        <is>
          <t>0</t>
        </is>
      </c>
      <c r="CF2862" t="inlineStr">
        <is>
          <t>Q1-W13</t>
        </is>
      </c>
      <c r="CG2862" t="inlineStr">
        <is>
          <t>Q2-W02</t>
        </is>
      </c>
      <c r="CH2862" t="inlineStr">
        <is>
          <t>Q2-W02</t>
        </is>
      </c>
      <c r="CI2862"/>
      <c r="CJ2862" t="inlineStr">
        <is>
          <t>Paid</t>
        </is>
      </c>
      <c r="CK2862" t="inlineStr">
        <is>
          <t>Eligible</t>
        </is>
      </c>
      <c r="CL2862"/>
      <c r="CM2862"/>
    </row>
    <row r="2863" ht="25.5" customHeight="1">
      <c r="A2863" t="inlineStr">
        <is>
          <t>22997</t>
        </is>
      </c>
      <c r="B2863" s="2"/>
      <c r="C2863"/>
      <c r="D2863" s="3">
        <v>46118.363912037035</v>
      </c>
      <c r="E2863" t="inlineStr">
        <is>
          <t>Q2-W01</t>
        </is>
      </c>
      <c r="F2863" t="inlineStr">
        <is>
          <t>Yuli</t>
        </is>
      </c>
      <c r="G2863" t="inlineStr">
        <is>
          <t>Customer</t>
        </is>
      </c>
      <c r="H2863" s="2" t="str">
        <f>=HYPERLINK("https://upbox.ajobthing.my/customer/22997", "https://upbox.ajobthing.my/customer/22997")</f>
        <v>https://upbox.ajobthing.my/customer/22997</v>
      </c>
      <c r="I2863" t="inlineStr">
        <is>
          <t>TSL Catering F&amp;B Sdn Bhd</t>
        </is>
      </c>
      <c r="J2863" t="inlineStr">
        <is>
          <t>Whale</t>
        </is>
      </c>
      <c r="K2863" t="inlineStr">
        <is>
          <t>YuLi</t>
        </is>
      </c>
      <c r="L2863" s="4"/>
      <c r="M2863" s="4">
        <v>46141.459548611114</v>
      </c>
      <c r="N2863"/>
      <c r="O2863">
        <v>5508</v>
      </c>
      <c r="P2863" s="4"/>
      <c r="Q2863" s="4">
        <v>46021.68393518519</v>
      </c>
      <c r="R2863"/>
      <c r="S2863">
        <v>324</v>
      </c>
      <c r="T2863" s="4">
        <v>46021.68393518519</v>
      </c>
      <c r="U2863" s="4"/>
      <c r="V2863"/>
      <c r="W2863">
        <v>324</v>
      </c>
      <c r="X2863"/>
      <c r="Y2863" t="inlineStr">
        <is>
          <t>Pending Appointment</t>
        </is>
      </c>
      <c r="Z2863" t="inlineStr">
        <is>
          <t>Hiring Now</t>
        </is>
      </c>
      <c r="AA2863">
        <v>2</v>
      </c>
      <c r="AB2863" t="inlineStr">
        <is>
          <t>No Appointment Made</t>
        </is>
      </c>
      <c r="AC2863"/>
      <c r="AD2863" t="inlineStr">
        <is>
          <t>Service Crew 
Chef
</t>
        </is>
      </c>
      <c r="AE2863"/>
      <c r="AF2863"/>
      <c r="AG2863" s="4"/>
      <c r="AH2863" s="4"/>
      <c r="AI2863"/>
      <c r="AJ2863"/>
      <c r="AK2863" t="inlineStr">
        <is>
          <t>Yes, I have</t>
        </is>
      </c>
      <c r="AL2863"/>
      <c r="AM2863"/>
      <c r="AN2863"/>
      <c r="AO2863"/>
      <c r="AP2863" t="inlineStr">
        <is>
          <t>Every month (100%)</t>
        </is>
      </c>
      <c r="AQ2863"/>
      <c r="AR2863" t="inlineStr">
        <is>
          <t>Did not use any job portal</t>
        </is>
      </c>
      <c r="AS2863" t="inlineStr">
        <is>
          <t>- Headcount: 2
- Hiring Job Details: Service Crew, Chef
- Hiring Urgency: Hiring Now
- Number of outlets: Not specified
- Have recruiter team: Yes
- Number of recruiter in company: Not specified
- Have ATS system: Not specified
- Have career website: Not specified
- Current hiring budget: Not specified
- Whole year budget: Not specified
- Whole year number of vacancies: Not specified
- Hiring frequency: Every month (100%)
- External job portal: Did not use any job portal</t>
        </is>
      </c>
      <c r="AT2863">
        <v>75</v>
      </c>
      <c r="AU2863" t="inlineStr">
        <is>
          <t>0.75</t>
        </is>
      </c>
      <c r="AV2863" t="inlineStr">
        <is>
          <t>5</t>
        </is>
      </c>
      <c r="AW2863" t="inlineStr">
        <is>
          <t>0</t>
        </is>
      </c>
      <c r="AX2863" t="inlineStr">
        <is>
          <t>Not Qualified</t>
        </is>
      </c>
      <c r="AY2863" s="4"/>
      <c r="AZ2863"/>
      <c r="BA2863"/>
      <c r="BB2863"/>
      <c r="BC2863" t="inlineStr">
        <is>
          <t>- Headcount: 1
- Hiring Job Details: 1 Purchasing executive
- Hiring Urgency: Hiring Now
- Number of outlets: Not available
- Have recruiter team: Yes
- Number of recruiter in company: 1
- Have ATS system: Not available
- Have career website: Not available
- Current hiring budget: Not available
- Whole year budget: Not available
- Whole year number of vacancies: Not available
- Hiring frequency: Once per quarter (75%)
- External job portal: Jobstreet</t>
        </is>
      </c>
      <c r="BD2863" s="4">
        <v>46141.500023148146</v>
      </c>
      <c r="BE2863" t="inlineStr">
        <is>
          <t>paid</t>
        </is>
      </c>
      <c r="BF2863"/>
      <c r="BG2863" t="inlineStr">
        <is>
          <t>Reschedule</t>
        </is>
      </c>
      <c r="BH2863" t="inlineStr">
        <is>
          <t>Fauziah Maharan</t>
        </is>
      </c>
      <c r="BI2863" t="inlineStr">
        <is>
          <t>Food / Beverage</t>
        </is>
      </c>
      <c r="BJ2863" s="4">
        <v>46144.75444444444</v>
      </c>
      <c r="BK2863" s="4">
        <v>42502.49821759259</v>
      </c>
      <c r="BL2863" t="inlineStr">
        <is>
          <t>12204.0</t>
        </is>
      </c>
      <c r="BM2863" t="inlineStr">
        <is>
          <t>600.0</t>
        </is>
      </c>
      <c r="BN2863" t="inlineStr">
        <is>
          <t>View Company Page</t>
        </is>
      </c>
      <c r="BO2863" s="4">
        <v>46134.49862268518</v>
      </c>
      <c r="BP2863">
        <v>169428</v>
      </c>
      <c r="BQ2863">
        <v>85247</v>
      </c>
      <c r="BR2863" t="inlineStr">
        <is>
          <t>Online</t>
        </is>
      </c>
      <c r="BS2863"/>
      <c r="BT2863">
        <v>85247</v>
      </c>
      <c r="BU2863"/>
      <c r="BV2863">
        <v>2734860</v>
      </c>
      <c r="BW2863" t="inlineStr">
        <is>
          <t>Customer Inquiry</t>
        </is>
      </c>
      <c r="BX2863">
        <v>24</v>
      </c>
      <c r="BY2863">
        <v>0</v>
      </c>
      <c r="BZ2863" s="4">
        <v>46097.5825462963</v>
      </c>
      <c r="CA2863">
        <v>240</v>
      </c>
      <c r="CB2863">
        <v>234</v>
      </c>
      <c r="CC2863" s="4">
        <v>46117.898564814815</v>
      </c>
      <c r="CD2863" t="inlineStr">
        <is>
          <t>5</t>
        </is>
      </c>
      <c r="CE2863" t="inlineStr">
        <is>
          <t>0</t>
        </is>
      </c>
      <c r="CF2863" t="inlineStr">
        <is>
          <t>Q2-W04</t>
        </is>
      </c>
      <c r="CG2863"/>
      <c r="CH2863"/>
      <c r="CI2863"/>
      <c r="CJ2863" t="inlineStr">
        <is>
          <t>Paid</t>
        </is>
      </c>
      <c r="CK2863" t="inlineStr">
        <is>
          <t>Eligible</t>
        </is>
      </c>
      <c r="CL2863"/>
      <c r="CM2863"/>
    </row>
    <row r="2864" ht="25.5" customHeight="1">
      <c r="A2864" t="inlineStr">
        <is>
          <t>186932</t>
        </is>
      </c>
      <c r="B2864" s="2"/>
      <c r="C2864"/>
      <c r="D2864" s="3">
        <v>46118.418703703705</v>
      </c>
      <c r="E2864" t="inlineStr">
        <is>
          <t>Q2-W01</t>
        </is>
      </c>
      <c r="F2864" t="inlineStr">
        <is>
          <t>Clover</t>
        </is>
      </c>
      <c r="G2864" t="inlineStr">
        <is>
          <t>Customer</t>
        </is>
      </c>
      <c r="H2864" s="2" t="str">
        <f>=HYPERLINK("https://upbox.ajobthing.my/customer/186932", "https://upbox.ajobthing.my/customer/186932")</f>
        <v>https://upbox.ajobthing.my/customer/186932</v>
      </c>
      <c r="I2864" t="inlineStr">
        <is>
          <t>Media Art Advertising Sdn Bhd</t>
        </is>
      </c>
      <c r="J2864" t="inlineStr">
        <is>
          <t>Whale</t>
        </is>
      </c>
      <c r="K2864" t="inlineStr">
        <is>
          <t>Clover</t>
        </is>
      </c>
      <c r="L2864" s="4"/>
      <c r="M2864" s="4">
        <v>46118.41605324074</v>
      </c>
      <c r="N2864"/>
      <c r="O2864">
        <v>3888</v>
      </c>
      <c r="P2864" s="4"/>
      <c r="Q2864" s="4">
        <v>46119.65078703704</v>
      </c>
      <c r="R2864"/>
      <c r="S2864">
        <v>3888</v>
      </c>
      <c r="T2864" s="4">
        <v>46119.65078703704</v>
      </c>
      <c r="U2864" s="4"/>
      <c r="V2864"/>
      <c r="W2864">
        <v>3888</v>
      </c>
      <c r="X2864"/>
      <c r="Y2864" t="inlineStr">
        <is>
          <t>Pending Appointment</t>
        </is>
      </c>
      <c r="Z2864" t="inlineStr">
        <is>
          <t>Hiring Now</t>
        </is>
      </c>
      <c r="AA2864">
        <v>2</v>
      </c>
      <c r="AB2864" t="inlineStr">
        <is>
          <t>No Appointment Made</t>
        </is>
      </c>
      <c r="AC2864"/>
      <c r="AD2864" t="inlineStr">
        <is>
          <t xml:space="preserve">Want to hire business development x1, graphic designer x1,  subang jaya, printing shop, suggest stand </t>
        </is>
      </c>
      <c r="AE2864"/>
      <c r="AF2864">
        <v>3000</v>
      </c>
      <c r="AG2864" s="4"/>
      <c r="AH2864" s="4"/>
      <c r="AI2864">
        <v>3000</v>
      </c>
      <c r="AJ2864">
        <v>1</v>
      </c>
      <c r="AK2864" t="inlineStr">
        <is>
          <t>No, but I want in future</t>
        </is>
      </c>
      <c r="AL2864">
        <v>1</v>
      </c>
      <c r="AM2864" t="inlineStr">
        <is>
          <t>No, but I want in future</t>
        </is>
      </c>
      <c r="AN2864"/>
      <c r="AO2864" t="inlineStr">
        <is>
          <t>No, but I want in future</t>
        </is>
      </c>
      <c r="AP2864" t="inlineStr">
        <is>
          <t>Twice a year (50%)</t>
        </is>
      </c>
      <c r="AQ2864">
        <v>2</v>
      </c>
      <c r="AR2864" t="inlineStr">
        <is>
          <t>Did not use any job portal</t>
        </is>
      </c>
      <c r="AS2864" t="inlineStr">
        <is>
          <t>- Headcount: 2
- Hiring Job Details: 1 business development, 1 graphic designer, Subang Jaya, printing shop, suggest stand
- Hiring Urgency: Hiring Now
- Number of outlets: 1
- Have recruiter team: No, but want in future
- Number of recruiter in company: 1
- Have ATS system: No, but want in future
- Have career website: No, but want in future
- Current hiring budget: RM3,000.00
- Whole year budget: RM3,000.00
- Whole year number of vacancies: 2
- Hiring frequency: Twice a year (50%)
- External job portal: Did not use any</t>
        </is>
      </c>
      <c r="AT2864">
        <v>95</v>
      </c>
      <c r="AU2864" t="inlineStr">
        <is>
          <t>0.95</t>
        </is>
      </c>
      <c r="AV2864" t="inlineStr">
        <is>
          <t>15</t>
        </is>
      </c>
      <c r="AW2864" t="inlineStr">
        <is>
          <t>0</t>
        </is>
      </c>
      <c r="AX2864" t="inlineStr">
        <is>
          <t>Not Qualified</t>
        </is>
      </c>
      <c r="AY2864" s="4"/>
      <c r="AZ2864"/>
      <c r="BA2864"/>
      <c r="BB2864"/>
      <c r="BC2864" t="inlineStr">
        <is>
          <t>Amend title</t>
        </is>
      </c>
      <c r="BD2864" s="4">
        <v>46129.41693287037</v>
      </c>
      <c r="BE2864" t="inlineStr">
        <is>
          <t>paid</t>
        </is>
      </c>
      <c r="BF2864" t="inlineStr">
        <is>
          <t>Q2-W01</t>
        </is>
      </c>
      <c r="BG2864" t="inlineStr">
        <is>
          <t>Reschedule</t>
        </is>
      </c>
      <c r="BH2864" t="inlineStr">
        <is>
          <t>Reagen</t>
        </is>
      </c>
      <c r="BI2864"/>
      <c r="BJ2864" s="4">
        <v>46144.75215277778</v>
      </c>
      <c r="BK2864" s="4">
        <v>45675.88594907407</v>
      </c>
      <c r="BL2864" t="inlineStr">
        <is>
          <t>6480.0</t>
        </is>
      </c>
      <c r="BM2864" t="inlineStr">
        <is>
          <t>0.0</t>
        </is>
      </c>
      <c r="BN2864" t="inlineStr">
        <is>
          <t>View Company Page</t>
        </is>
      </c>
      <c r="BO2864" s="4">
        <v>46144.54546296296</v>
      </c>
      <c r="BP2864">
        <v>165283</v>
      </c>
      <c r="BQ2864">
        <v>91678</v>
      </c>
      <c r="BR2864" t="inlineStr">
        <is>
          <t>Online</t>
        </is>
      </c>
      <c r="BS2864"/>
      <c r="BT2864">
        <v>91678</v>
      </c>
      <c r="BU2864"/>
      <c r="BV2864">
        <v>2711022</v>
      </c>
      <c r="BW2864" t="inlineStr">
        <is>
          <t>Service / Technical : Job Outcome Enquiry</t>
        </is>
      </c>
      <c r="BX2864">
        <v>6</v>
      </c>
      <c r="BY2864">
        <v>3</v>
      </c>
      <c r="BZ2864" s="4">
        <v>46120.37001157407</v>
      </c>
      <c r="CA2864">
        <v>60</v>
      </c>
      <c r="CB2864">
        <v>51</v>
      </c>
      <c r="CC2864" s="4">
        <v>46141.51393518518</v>
      </c>
      <c r="CD2864" t="inlineStr">
        <is>
          <t>20</t>
        </is>
      </c>
      <c r="CE2864" t="inlineStr">
        <is>
          <t>0</t>
        </is>
      </c>
      <c r="CF2864" t="inlineStr">
        <is>
          <t>Q2-W01</t>
        </is>
      </c>
      <c r="CG2864" t="inlineStr">
        <is>
          <t>Q2-W01</t>
        </is>
      </c>
      <c r="CH2864" t="inlineStr">
        <is>
          <t>Q2-W01</t>
        </is>
      </c>
      <c r="CI2864"/>
      <c r="CJ2864" t="inlineStr">
        <is>
          <t>Paid</t>
        </is>
      </c>
      <c r="CK2864" t="inlineStr">
        <is>
          <t>Eligible</t>
        </is>
      </c>
      <c r="CL2864"/>
      <c r="CM2864"/>
    </row>
    <row r="2865" ht="25.5" customHeight="1">
      <c r="A2865" t="inlineStr">
        <is>
          <t>6916</t>
        </is>
      </c>
      <c r="B2865" s="2"/>
      <c r="C2865"/>
      <c r="D2865" s="3">
        <v>46118.425844907404</v>
      </c>
      <c r="E2865" t="inlineStr">
        <is>
          <t>Q2-W01</t>
        </is>
      </c>
      <c r="F2865" t="inlineStr">
        <is>
          <t>Yuli</t>
        </is>
      </c>
      <c r="G2865" t="inlineStr">
        <is>
          <t>Customer</t>
        </is>
      </c>
      <c r="H2865" s="2" t="str">
        <f>=HYPERLINK("https://upbox.ajobthing.my/customer/6916", "https://upbox.ajobthing.my/customer/6916")</f>
        <v>https://upbox.ajobthing.my/customer/6916</v>
      </c>
      <c r="I2865" t="inlineStr">
        <is>
          <t>Bee Same Trading Sdn Bhd</t>
        </is>
      </c>
      <c r="J2865" t="inlineStr">
        <is>
          <t>Whale</t>
        </is>
      </c>
      <c r="K2865" t="inlineStr">
        <is>
          <t>YuLi</t>
        </is>
      </c>
      <c r="L2865" s="4"/>
      <c r="M2865" s="4">
        <v>46141.44902777778</v>
      </c>
      <c r="N2865"/>
      <c r="O2865">
        <v>5412.96</v>
      </c>
      <c r="P2865" s="4"/>
      <c r="Q2865" s="4">
        <v>46120.78815972222</v>
      </c>
      <c r="R2865"/>
      <c r="S2865">
        <v>3888</v>
      </c>
      <c r="T2865" s="4">
        <v>46120.78815972222</v>
      </c>
      <c r="U2865" s="4"/>
      <c r="V2865"/>
      <c r="W2865">
        <v>3888</v>
      </c>
      <c r="X2865"/>
      <c r="Y2865" t="inlineStr">
        <is>
          <t>Pending Appointment</t>
        </is>
      </c>
      <c r="Z2865" t="inlineStr">
        <is>
          <t>Hiring Now</t>
        </is>
      </c>
      <c r="AA2865">
        <v>3</v>
      </c>
      <c r="AB2865" t="inlineStr">
        <is>
          <t>No Appointment Made</t>
        </is>
      </c>
      <c r="AC2865"/>
      <c r="AD2865" t="inlineStr">
        <is>
          <t>E-Commerce Exec-1
Accounts Executive-1
Merchandizer cum Fashion Designer-1</t>
        </is>
      </c>
      <c r="AE2865"/>
      <c r="AF2865"/>
      <c r="AG2865" s="4"/>
      <c r="AH2865" s="4"/>
      <c r="AI2865"/>
      <c r="AJ2865"/>
      <c r="AK2865"/>
      <c r="AL2865"/>
      <c r="AM2865"/>
      <c r="AN2865"/>
      <c r="AO2865"/>
      <c r="AP2865" t="inlineStr">
        <is>
          <t>Once per quarter (75%)</t>
        </is>
      </c>
      <c r="AQ2865"/>
      <c r="AR2865" t="inlineStr">
        <is>
          <t>Hiredly, Free Job Portal, Jobstreet</t>
        </is>
      </c>
      <c r="AS2865" t="inlineStr">
        <is>
          <t>- Headcount: 3
- Hiring Job Details: E-Commerce Exec-1, Accounts Executive-1, Merchandizer cum Fashion Designer-1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Once per quarter (75%)
- External job portal: Hiredly, Free Job Portal, Jobstreet</t>
        </is>
      </c>
      <c r="AT2865">
        <v>75</v>
      </c>
      <c r="AU2865" t="inlineStr">
        <is>
          <t>0.75</t>
        </is>
      </c>
      <c r="AV2865" t="inlineStr">
        <is>
          <t>5</t>
        </is>
      </c>
      <c r="AW2865" t="inlineStr">
        <is>
          <t>0</t>
        </is>
      </c>
      <c r="AX2865" t="inlineStr">
        <is>
          <t>Not Qualified</t>
        </is>
      </c>
      <c r="AY2865" s="4"/>
      <c r="AZ2865"/>
      <c r="BA2865"/>
      <c r="BB2865"/>
      <c r="BC2865" t="inlineStr">
        <is>
          <t>share quotation as seriena mentioned can share</t>
        </is>
      </c>
      <c r="BD2865" s="4">
        <v>46141.476435185185</v>
      </c>
      <c r="BE2865" t="inlineStr">
        <is>
          <t>paid</t>
        </is>
      </c>
      <c r="BF2865" t="inlineStr">
        <is>
          <t>Q2-W01</t>
        </is>
      </c>
      <c r="BG2865" t="inlineStr">
        <is>
          <t>Reschedule</t>
        </is>
      </c>
      <c r="BH2865" t="inlineStr">
        <is>
          <t>Fauziah Maharan</t>
        </is>
      </c>
      <c r="BI2865" t="inlineStr">
        <is>
          <t>Retail / Merchandise</t>
        </is>
      </c>
      <c r="BJ2865" s="4">
        <v>46144.75612268518</v>
      </c>
      <c r="BK2865" s="4">
        <v>42444.49599537037</v>
      </c>
      <c r="BL2865" t="inlineStr">
        <is>
          <t>0.0</t>
        </is>
      </c>
      <c r="BM2865" t="inlineStr">
        <is>
          <t>10500.0</t>
        </is>
      </c>
      <c r="BN2865" t="inlineStr">
        <is>
          <t>View Company Page</t>
        </is>
      </c>
      <c r="BO2865" s="4">
        <v>46135.325</v>
      </c>
      <c r="BP2865">
        <v>169424</v>
      </c>
      <c r="BQ2865">
        <v>92275</v>
      </c>
      <c r="BR2865" t="inlineStr">
        <is>
          <t>Online</t>
        </is>
      </c>
      <c r="BS2865"/>
      <c r="BT2865">
        <v>92275</v>
      </c>
      <c r="BU2865"/>
      <c r="BV2865">
        <v>2734721</v>
      </c>
      <c r="BW2865" t="inlineStr">
        <is>
          <t>Follow Up : Quotation Sent 50%</t>
        </is>
      </c>
      <c r="BX2865">
        <v>6</v>
      </c>
      <c r="BY2865">
        <v>3</v>
      </c>
      <c r="BZ2865" s="4">
        <v>46132.54329861111</v>
      </c>
      <c r="CA2865">
        <v>60</v>
      </c>
      <c r="CB2865">
        <v>59</v>
      </c>
      <c r="CC2865" s="4">
        <v>46135.325578703705</v>
      </c>
      <c r="CD2865" t="inlineStr">
        <is>
          <t>5</t>
        </is>
      </c>
      <c r="CE2865" t="inlineStr">
        <is>
          <t>0</t>
        </is>
      </c>
      <c r="CF2865" t="inlineStr">
        <is>
          <t>Q2-W04</t>
        </is>
      </c>
      <c r="CG2865" t="inlineStr">
        <is>
          <t>Q2-W01</t>
        </is>
      </c>
      <c r="CH2865" t="inlineStr">
        <is>
          <t>Q2-W01</t>
        </is>
      </c>
      <c r="CI2865"/>
      <c r="CJ2865" t="inlineStr">
        <is>
          <t>Paid</t>
        </is>
      </c>
      <c r="CK2865" t="inlineStr">
        <is>
          <t>Eligible</t>
        </is>
      </c>
      <c r="CL2865"/>
      <c r="CM2865"/>
    </row>
    <row r="2866" ht="25.5" customHeight="1">
      <c r="A2866" t="inlineStr">
        <is>
          <t>195358</t>
        </is>
      </c>
      <c r="B2866" s="2"/>
      <c r="C2866"/>
      <c r="D2866" s="3">
        <v>46118.44306712963</v>
      </c>
      <c r="E2866" t="inlineStr">
        <is>
          <t>Q2-W01</t>
        </is>
      </c>
      <c r="F2866" t="inlineStr">
        <is>
          <t>Dickson</t>
        </is>
      </c>
      <c r="G2866" t="inlineStr">
        <is>
          <t>Customer</t>
        </is>
      </c>
      <c r="H2866" s="2" t="str">
        <f>=HYPERLINK("https://upbox.ajobthing.my/customer/195358", "https://upbox.ajobthing.my/customer/195358")</f>
        <v>https://upbox.ajobthing.my/customer/195358</v>
      </c>
      <c r="I2866" t="inlineStr">
        <is>
          <t>Dantronics Sdn Bhd</t>
        </is>
      </c>
      <c r="J2866" t="inlineStr">
        <is>
          <t>Whale</t>
        </is>
      </c>
      <c r="K2866" t="inlineStr">
        <is>
          <t>Dickson</t>
        </is>
      </c>
      <c r="L2866" s="4"/>
      <c r="M2866" s="4">
        <v>46126.648622685185</v>
      </c>
      <c r="N2866"/>
      <c r="O2866">
        <v>3888</v>
      </c>
      <c r="P2866" s="4"/>
      <c r="Q2866" s="4">
        <v>46133.943923611114</v>
      </c>
      <c r="R2866"/>
      <c r="S2866">
        <v>3672</v>
      </c>
      <c r="T2866" s="4">
        <v>46133.943923611114</v>
      </c>
      <c r="U2866" s="4"/>
      <c r="V2866"/>
      <c r="W2866">
        <v>3672</v>
      </c>
      <c r="X2866"/>
      <c r="Y2866" t="inlineStr">
        <is>
          <t>Pending Appointment</t>
        </is>
      </c>
      <c r="Z2866" t="inlineStr">
        <is>
          <t>Hiring Now</t>
        </is>
      </c>
      <c r="AA2866">
        <v>2</v>
      </c>
      <c r="AB2866" t="inlineStr">
        <is>
          <t>No Appointment Made</t>
        </is>
      </c>
      <c r="AC2866"/>
      <c r="AD2866" t="inlineStr">
        <is>
          <t>1 business admin, 1 business executive</t>
        </is>
      </c>
      <c r="AE2866"/>
      <c r="AF2866"/>
      <c r="AG2866" s="4"/>
      <c r="AH2866" s="4"/>
      <c r="AI2866"/>
      <c r="AJ2866">
        <v>1</v>
      </c>
      <c r="AK2866" t="inlineStr">
        <is>
          <t>No, I don't need at all</t>
        </is>
      </c>
      <c r="AL2866"/>
      <c r="AM2866" t="inlineStr">
        <is>
          <t>No, I don't need at all</t>
        </is>
      </c>
      <c r="AN2866"/>
      <c r="AO2866" t="inlineStr">
        <is>
          <t>No, I don't need at all</t>
        </is>
      </c>
      <c r="AP2866" t="inlineStr">
        <is>
          <t>Once per quarter (75%)</t>
        </is>
      </c>
      <c r="AQ2866"/>
      <c r="AR2866"/>
      <c r="AS2866" t="inlineStr">
        <is>
          <t>- Headcount: 2
- Hiring Job Details: 1 business admin, 1 business executive
- Hiring Urgency: Hiring Now
- Number of outlets: 1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Once per quarter (75%)
- External job portal: Not specified</t>
        </is>
      </c>
      <c r="AT2866">
        <v>95</v>
      </c>
      <c r="AU2866" t="inlineStr">
        <is>
          <t>0.95</t>
        </is>
      </c>
      <c r="AV2866" t="inlineStr">
        <is>
          <t>5</t>
        </is>
      </c>
      <c r="AW2866" t="inlineStr">
        <is>
          <t>0</t>
        </is>
      </c>
      <c r="AX2866" t="inlineStr">
        <is>
          <t>Not Qualified</t>
        </is>
      </c>
      <c r="AY2866" s="4"/>
      <c r="AZ2866"/>
      <c r="BA2866"/>
      <c r="BB2866"/>
      <c r="BC2866" t="inlineStr">
        <is>
          <t>ask for google review</t>
        </is>
      </c>
      <c r="BD2866" s="4">
        <v>46142.72849537037</v>
      </c>
      <c r="BE2866" t="inlineStr">
        <is>
          <t>paid</t>
        </is>
      </c>
      <c r="BF2866" t="inlineStr">
        <is>
          <t>Q2-W03</t>
        </is>
      </c>
      <c r="BG2866" t="inlineStr">
        <is>
          <t>Reschedule</t>
        </is>
      </c>
      <c r="BH2866" t="inlineStr">
        <is>
          <t>Edward Hoo</t>
        </is>
      </c>
      <c r="BI2866"/>
      <c r="BJ2866" s="4">
        <v>46144.7527662037</v>
      </c>
      <c r="BK2866" s="4">
        <v>45894.48300925926</v>
      </c>
      <c r="BL2866" t="inlineStr">
        <is>
          <t>6264.0</t>
        </is>
      </c>
      <c r="BM2866" t="inlineStr">
        <is>
          <t>0.0</t>
        </is>
      </c>
      <c r="BN2866" t="inlineStr">
        <is>
          <t>View Jobmanager Page</t>
        </is>
      </c>
      <c r="BO2866" s="4">
        <v>46141.54828703704</v>
      </c>
      <c r="BP2866">
        <v>166994</v>
      </c>
      <c r="BQ2866">
        <v>94567</v>
      </c>
      <c r="BR2866" t="inlineStr">
        <is>
          <t>Online</t>
        </is>
      </c>
      <c r="BS2866"/>
      <c r="BT2866">
        <v>94567</v>
      </c>
      <c r="BU2866"/>
      <c r="BV2866">
        <v>2738389</v>
      </c>
      <c r="BW2866" t="inlineStr">
        <is>
          <t>Service / Technical : Job Outcome Enquiry</t>
        </is>
      </c>
      <c r="BX2866">
        <v>6</v>
      </c>
      <c r="BY2866">
        <v>4</v>
      </c>
      <c r="BZ2866" s="4">
        <v>46135.69096064815</v>
      </c>
      <c r="CA2866">
        <v>60</v>
      </c>
      <c r="CB2866">
        <v>60</v>
      </c>
      <c r="CC2866" s="4"/>
      <c r="CD2866" t="inlineStr">
        <is>
          <t>5</t>
        </is>
      </c>
      <c r="CE2866" t="inlineStr">
        <is>
          <t>0</t>
        </is>
      </c>
      <c r="CF2866" t="inlineStr">
        <is>
          <t>Q2-W02</t>
        </is>
      </c>
      <c r="CG2866" t="inlineStr">
        <is>
          <t>Q2-W03</t>
        </is>
      </c>
      <c r="CH2866" t="inlineStr">
        <is>
          <t>Q2-W03</t>
        </is>
      </c>
      <c r="CI2866"/>
      <c r="CJ2866" t="inlineStr">
        <is>
          <t>Paid</t>
        </is>
      </c>
      <c r="CK2866" t="inlineStr">
        <is>
          <t>Eligible</t>
        </is>
      </c>
      <c r="CL2866"/>
      <c r="CM2866"/>
    </row>
    <row r="2867" ht="25.5" customHeight="1">
      <c r="A2867" t="inlineStr">
        <is>
          <t>4251567</t>
        </is>
      </c>
      <c r="B2867" s="2"/>
      <c r="C2867"/>
      <c r="D2867" s="3">
        <v>46118.46701388889</v>
      </c>
      <c r="E2867" t="inlineStr">
        <is>
          <t>Q2-W01</t>
        </is>
      </c>
      <c r="F2867" t="inlineStr">
        <is>
          <t>Ratha</t>
        </is>
      </c>
      <c r="G2867" t="inlineStr">
        <is>
          <t>Lead</t>
        </is>
      </c>
      <c r="H2867" s="2" t="str">
        <f>=HYPERLINK("https://upbox.ajobthing.my/leads/4251567", "https://upbox.ajobthing.my/leads/4251567")</f>
        <v>https://upbox.ajobthing.my/leads/4251567</v>
      </c>
      <c r="I2867" t="inlineStr">
        <is>
          <t>3S HOME RENO SDN BHD</t>
        </is>
      </c>
      <c r="J2867" t="inlineStr">
        <is>
          <t>Whale</t>
        </is>
      </c>
      <c r="K2867" t="inlineStr">
        <is>
          <t>Ratha</t>
        </is>
      </c>
      <c r="L2867" s="4"/>
      <c r="M2867" s="4">
        <v>46118.46760416667</v>
      </c>
      <c r="N2867"/>
      <c r="O2867">
        <v>4752</v>
      </c>
      <c r="P2867" s="4"/>
      <c r="Q2867" s="4"/>
      <c r="R2867"/>
      <c r="S2867"/>
      <c r="T2867" s="4"/>
      <c r="U2867" s="4"/>
      <c r="V2867"/>
      <c r="W2867"/>
      <c r="X2867"/>
      <c r="Y2867" t="inlineStr">
        <is>
          <t>Pending Appointment</t>
        </is>
      </c>
      <c r="Z2867" t="inlineStr">
        <is>
          <t>Continuous Hiring</t>
        </is>
      </c>
      <c r="AA2867">
        <v>1</v>
      </c>
      <c r="AB2867" t="inlineStr">
        <is>
          <t>No Appointment Made</t>
        </is>
      </c>
      <c r="AC2867"/>
      <c r="AD2867" t="inlineStr">
        <is>
          <t>Sales - 8 to 10
Location : KL</t>
        </is>
      </c>
      <c r="AE2867"/>
      <c r="AF2867">
        <v>800</v>
      </c>
      <c r="AG2867" s="4"/>
      <c r="AH2867" s="4"/>
      <c r="AI2867">
        <v>0</v>
      </c>
      <c r="AJ2867">
        <v>1</v>
      </c>
      <c r="AK2867" t="inlineStr">
        <is>
          <t>Yes, I have</t>
        </is>
      </c>
      <c r="AL2867">
        <v>2</v>
      </c>
      <c r="AM2867" t="inlineStr">
        <is>
          <t>No, I don't need at all</t>
        </is>
      </c>
      <c r="AN2867"/>
      <c r="AO2867" t="inlineStr">
        <is>
          <t>No, I don't need at all</t>
        </is>
      </c>
      <c r="AP2867" t="inlineStr">
        <is>
          <t>Every month (100%)</t>
        </is>
      </c>
      <c r="AQ2867">
        <v>0</v>
      </c>
      <c r="AR2867" t="inlineStr">
        <is>
          <t>Free Job Portal</t>
        </is>
      </c>
      <c r="AS2867" t="inlineStr">
        <is>
          <t>- Headcount: 1
- Hiring Job Details: Sales - 8 to 10, Location: KL
- Hiring Urgency: Continuous Hiring
- Number of outlets: 1
- Have recruiter team: Yes, I have
- Number of recruiter in company: 2
- Have ATS system: No, I don't need at all
- Have career website: No, I don't need at all
- Current hiring budget: RM800
- Whole year budget: RM0.00
- Whole year number of vacancies: 0
- Hiring frequency: Every month (100%)
- External job portal: Free Job Portal</t>
        </is>
      </c>
      <c r="AT2867">
        <v>115</v>
      </c>
      <c r="AU2867" t="inlineStr">
        <is>
          <t>1.15</t>
        </is>
      </c>
      <c r="AV2867" t="inlineStr">
        <is>
          <t>15</t>
        </is>
      </c>
      <c r="AW2867" t="inlineStr">
        <is>
          <t>0</t>
        </is>
      </c>
      <c r="AX2867" t="inlineStr">
        <is>
          <t>Not Qualified</t>
        </is>
      </c>
      <c r="AY2867" s="4"/>
      <c r="AZ2867"/>
      <c r="BA2867"/>
      <c r="BB2867"/>
      <c r="BC2867"/>
      <c r="BD2867" s="4"/>
      <c r="BE2867"/>
      <c r="BF2867"/>
      <c r="BG2867" t="inlineStr">
        <is>
          <t>Reschedule</t>
        </is>
      </c>
      <c r="BH2867" t="inlineStr">
        <is>
          <t>Fauziah Maharan</t>
        </is>
      </c>
      <c r="BI2867"/>
      <c r="BJ2867" s="4">
        <v>46144.75571759259</v>
      </c>
      <c r="BK2867" s="4">
        <v>46118.44831018519</v>
      </c>
      <c r="BL2867" t="inlineStr">
        <is>
          <t>0.0</t>
        </is>
      </c>
      <c r="BM2867" t="inlineStr">
        <is>
          <t>0.0</t>
        </is>
      </c>
      <c r="BN2867"/>
      <c r="BO2867" s="4"/>
      <c r="BP2867">
        <v>165330</v>
      </c>
      <c r="BQ2867"/>
      <c r="BR2867"/>
      <c r="BS2867"/>
      <c r="BT2867"/>
      <c r="BU2867"/>
      <c r="BV2867"/>
      <c r="BW2867"/>
      <c r="BX2867"/>
      <c r="BY2867"/>
      <c r="BZ2867" s="4"/>
      <c r="CA2867"/>
      <c r="CB2867"/>
      <c r="CC2867" s="4"/>
      <c r="CD2867" t="inlineStr">
        <is>
          <t>20</t>
        </is>
      </c>
      <c r="CE2867" t="inlineStr">
        <is>
          <t>0</t>
        </is>
      </c>
      <c r="CF2867" t="inlineStr">
        <is>
          <t>Q2-W01</t>
        </is>
      </c>
      <c r="CG2867"/>
      <c r="CH2867"/>
      <c r="CI2867"/>
      <c r="CJ2867" t="inlineStr">
        <is>
          <t>No Paid</t>
        </is>
      </c>
      <c r="CK2867" t="inlineStr">
        <is>
          <t>Eligible</t>
        </is>
      </c>
      <c r="CL2867"/>
      <c r="CM2867"/>
    </row>
    <row r="2868" ht="25.5" customHeight="1">
      <c r="A2868" t="inlineStr">
        <is>
          <t>19361</t>
        </is>
      </c>
      <c r="B2868" s="2"/>
      <c r="C2868"/>
      <c r="D2868" s="3">
        <v>46118.47400462963</v>
      </c>
      <c r="E2868" t="inlineStr">
        <is>
          <t>Q2-W01</t>
        </is>
      </c>
      <c r="F2868" t="inlineStr">
        <is>
          <t>Angel  Low</t>
        </is>
      </c>
      <c r="G2868" t="inlineStr">
        <is>
          <t>Customer</t>
        </is>
      </c>
      <c r="H2868" s="2" t="str">
        <f>=HYPERLINK("https://upbox.ajobthing.my/customer/19361", "https://upbox.ajobthing.my/customer/19361")</f>
        <v>https://upbox.ajobthing.my/customer/19361</v>
      </c>
      <c r="I2868" t="inlineStr">
        <is>
          <t>Benten Construction Sdn Bhd</t>
        </is>
      </c>
      <c r="J2868" t="inlineStr">
        <is>
          <t>Whale</t>
        </is>
      </c>
      <c r="K2868" t="inlineStr">
        <is>
          <t>Angel Low</t>
        </is>
      </c>
      <c r="L2868" s="4"/>
      <c r="M2868" s="4">
        <v>46118.47415509259</v>
      </c>
      <c r="N2868"/>
      <c r="O2868">
        <v>3888</v>
      </c>
      <c r="P2868" s="4"/>
      <c r="Q2868" s="4">
        <v>46125.65287037037</v>
      </c>
      <c r="R2868"/>
      <c r="S2868">
        <v>3888</v>
      </c>
      <c r="T2868" s="4">
        <v>46125.65287037037</v>
      </c>
      <c r="U2868" s="4"/>
      <c r="V2868"/>
      <c r="W2868">
        <v>3888</v>
      </c>
      <c r="X2868"/>
      <c r="Y2868" t="inlineStr">
        <is>
          <t>Pending Appointment</t>
        </is>
      </c>
      <c r="Z2868"/>
      <c r="AA2868">
        <v>1</v>
      </c>
      <c r="AB2868" t="inlineStr">
        <is>
          <t>No Appointment Made</t>
        </is>
      </c>
      <c r="AC2868"/>
      <c r="AD2868" t="inlineStr">
        <is>
          <t xml:space="preserve">1 technician mandarin speaker </t>
        </is>
      </c>
      <c r="AE2868"/>
      <c r="AF2868"/>
      <c r="AG2868" s="4"/>
      <c r="AH2868" s="4"/>
      <c r="AI2868"/>
      <c r="AJ2868"/>
      <c r="AK2868"/>
      <c r="AL2868"/>
      <c r="AM2868"/>
      <c r="AN2868"/>
      <c r="AO2868"/>
      <c r="AP2868"/>
      <c r="AQ2868"/>
      <c r="AR2868"/>
      <c r="AS2868" t="inlineStr">
        <is>
          <t>- Headcount: 1
- Hiring Job Details: 1 technician mandarin speaker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868">
        <v>65</v>
      </c>
      <c r="AU2868" t="inlineStr">
        <is>
          <t>0.65</t>
        </is>
      </c>
      <c r="AV2868" t="inlineStr">
        <is>
          <t>5</t>
        </is>
      </c>
      <c r="AW2868" t="inlineStr">
        <is>
          <t>0</t>
        </is>
      </c>
      <c r="AX2868" t="inlineStr">
        <is>
          <t>Not Qualified</t>
        </is>
      </c>
      <c r="AY2868" s="4"/>
      <c r="AZ2868"/>
      <c r="BA2868"/>
      <c r="BB2868"/>
      <c r="BC2868" t="inlineStr">
        <is>
          <t>assist recommended candidates</t>
        </is>
      </c>
      <c r="BD2868" s="4">
        <v>46128.60099537037</v>
      </c>
      <c r="BE2868" t="inlineStr">
        <is>
          <t>paid</t>
        </is>
      </c>
      <c r="BF2868" t="inlineStr">
        <is>
          <t>Q2-W02</t>
        </is>
      </c>
      <c r="BG2868" t="inlineStr">
        <is>
          <t>Reschedule</t>
        </is>
      </c>
      <c r="BH2868" t="inlineStr">
        <is>
          <t>Fauziah Maharan</t>
        </is>
      </c>
      <c r="BI2868" t="inlineStr">
        <is>
          <t>Architecture / Interior Design</t>
        </is>
      </c>
      <c r="BJ2868" s="4">
        <v>46144.75263888889</v>
      </c>
      <c r="BK2868" s="4">
        <v>42478.85664351852</v>
      </c>
      <c r="BL2868" t="inlineStr">
        <is>
          <t>9720.0</t>
        </is>
      </c>
      <c r="BM2868" t="inlineStr">
        <is>
          <t>7200.0</t>
        </is>
      </c>
      <c r="BN2868" t="inlineStr">
        <is>
          <t>View Candidate Search Page</t>
        </is>
      </c>
      <c r="BO2868" s="4">
        <v>46140.422627314816</v>
      </c>
      <c r="BP2868">
        <v>165337</v>
      </c>
      <c r="BQ2868">
        <v>93180</v>
      </c>
      <c r="BR2868" t="inlineStr">
        <is>
          <t>Online</t>
        </is>
      </c>
      <c r="BS2868"/>
      <c r="BT2868">
        <v>93180</v>
      </c>
      <c r="BU2868"/>
      <c r="BV2868">
        <v>2709370</v>
      </c>
      <c r="BW2868" t="inlineStr">
        <is>
          <t>Service / Technical : Job Outcome Enquiry</t>
        </is>
      </c>
      <c r="BX2868">
        <v>18</v>
      </c>
      <c r="BY2868">
        <v>3</v>
      </c>
      <c r="BZ2868" s="4">
        <v>46128.595625</v>
      </c>
      <c r="CA2868">
        <v>180</v>
      </c>
      <c r="CB2868">
        <v>163</v>
      </c>
      <c r="CC2868" s="4">
        <v>46121.49534722222</v>
      </c>
      <c r="CD2868" t="inlineStr">
        <is>
          <t>5</t>
        </is>
      </c>
      <c r="CE2868" t="inlineStr">
        <is>
          <t>0</t>
        </is>
      </c>
      <c r="CF2868" t="inlineStr">
        <is>
          <t>Q2-W01</t>
        </is>
      </c>
      <c r="CG2868" t="inlineStr">
        <is>
          <t>Q2-W02</t>
        </is>
      </c>
      <c r="CH2868" t="inlineStr">
        <is>
          <t>Q2-W02</t>
        </is>
      </c>
      <c r="CI2868"/>
      <c r="CJ2868" t="inlineStr">
        <is>
          <t>Paid</t>
        </is>
      </c>
      <c r="CK2868" t="inlineStr">
        <is>
          <t>Eligible</t>
        </is>
      </c>
      <c r="CL2868"/>
      <c r="CM2868"/>
    </row>
    <row r="2869" ht="25.5" customHeight="1">
      <c r="A2869" t="inlineStr">
        <is>
          <t>115233</t>
        </is>
      </c>
      <c r="B2869" s="2"/>
      <c r="C2869"/>
      <c r="D2869" s="3">
        <v>46118.48976851852</v>
      </c>
      <c r="E2869" t="inlineStr">
        <is>
          <t>Q2-W01</t>
        </is>
      </c>
      <c r="F2869" t="inlineStr">
        <is>
          <t>Ratha</t>
        </is>
      </c>
      <c r="G2869" t="inlineStr">
        <is>
          <t>Customer</t>
        </is>
      </c>
      <c r="H2869" s="2" t="str">
        <f>=HYPERLINK("https://upbox.ajobthing.my/customer/115233", "https://upbox.ajobthing.my/customer/115233")</f>
        <v>https://upbox.ajobthing.my/customer/115233</v>
      </c>
      <c r="I2869" t="inlineStr">
        <is>
          <t>Savelite Engineering</t>
        </is>
      </c>
      <c r="J2869" t="inlineStr">
        <is>
          <t>Whale</t>
        </is>
      </c>
      <c r="K2869" t="inlineStr">
        <is>
          <t>Ratha</t>
        </is>
      </c>
      <c r="L2869" s="4"/>
      <c r="M2869" s="4">
        <v>46118.49008101852</v>
      </c>
      <c r="N2869"/>
      <c r="O2869">
        <v>10800</v>
      </c>
      <c r="P2869" s="4"/>
      <c r="Q2869" s="4">
        <v>45951.63265046296</v>
      </c>
      <c r="R2869"/>
      <c r="S2869">
        <v>0</v>
      </c>
      <c r="T2869" s="4">
        <v>45800.50030092592</v>
      </c>
      <c r="U2869" s="4"/>
      <c r="V2869"/>
      <c r="W2869">
        <v>3132</v>
      </c>
      <c r="X2869"/>
      <c r="Y2869" t="inlineStr">
        <is>
          <t>Pending Appointment</t>
        </is>
      </c>
      <c r="Z2869" t="inlineStr">
        <is>
          <t>Continuous Hiring</t>
        </is>
      </c>
      <c r="AA2869">
        <v>3</v>
      </c>
      <c r="AB2869" t="inlineStr">
        <is>
          <t>No Appointment Made</t>
        </is>
      </c>
      <c r="AC2869"/>
      <c r="AD2869" t="inlineStr">
        <is>
          <t>Engineering, Accounting, Admin
Frequent hiring and will have future hiring
Location : Penang</t>
        </is>
      </c>
      <c r="AE2869"/>
      <c r="AF2869">
        <v>0</v>
      </c>
      <c r="AG2869" s="4"/>
      <c r="AH2869" s="4"/>
      <c r="AI2869">
        <v>0</v>
      </c>
      <c r="AJ2869">
        <v>1</v>
      </c>
      <c r="AK2869" t="inlineStr">
        <is>
          <t>Yes, I have</t>
        </is>
      </c>
      <c r="AL2869">
        <v>2</v>
      </c>
      <c r="AM2869" t="inlineStr">
        <is>
          <t>No, I don't need at all</t>
        </is>
      </c>
      <c r="AN2869"/>
      <c r="AO2869" t="inlineStr">
        <is>
          <t>No, I don't need at all</t>
        </is>
      </c>
      <c r="AP2869" t="inlineStr">
        <is>
          <t>Every month (100%)</t>
        </is>
      </c>
      <c r="AQ2869">
        <v>0</v>
      </c>
      <c r="AR2869" t="inlineStr">
        <is>
          <t>Jobstreet, Free Job Portal, Hiredly</t>
        </is>
      </c>
      <c r="AS2869" t="inlineStr">
        <is>
          <t>- Headcount: 3
- Hiring Job Details: Engineering, Accounting, Admin; Frequent hiring with future hiring plans
- Hiring Urgency: Continuous Hiring
- Number of outlets: 1
- Have recruiter team: Yes
- Number of recruiter in company: 2
- Have ATS system: No, don't need at all
- Have career website: No, don't need at all
- Current hiring budget: RM0
- Whole year budget: RM0.00
- Whole year number of vacancies: 0
- Hiring frequency: Every month (100%)
- External job portal: Jobstreet, Free Job Portal, Hiredly</t>
        </is>
      </c>
      <c r="AT2869">
        <v>75</v>
      </c>
      <c r="AU2869" t="inlineStr">
        <is>
          <t>0.75</t>
        </is>
      </c>
      <c r="AV2869" t="inlineStr">
        <is>
          <t>15</t>
        </is>
      </c>
      <c r="AW2869" t="inlineStr">
        <is>
          <t>0</t>
        </is>
      </c>
      <c r="AX2869" t="inlineStr">
        <is>
          <t>Not Qualified</t>
        </is>
      </c>
      <c r="AY2869" s="4"/>
      <c r="AZ2869"/>
      <c r="BA2869"/>
      <c r="BB2869"/>
      <c r="BC2869" t="inlineStr">
        <is>
          <t>hold 1st</t>
        </is>
      </c>
      <c r="BD2869" s="4">
        <v>46140.72016203704</v>
      </c>
      <c r="BE2869" t="inlineStr">
        <is>
          <t>paid</t>
        </is>
      </c>
      <c r="BF2869"/>
      <c r="BG2869" t="inlineStr">
        <is>
          <t>Reschedule</t>
        </is>
      </c>
      <c r="BH2869" t="inlineStr">
        <is>
          <t>Fauziah Maharan</t>
        </is>
      </c>
      <c r="BI2869" t="inlineStr">
        <is>
          <t>Electrical / Electronics</t>
        </is>
      </c>
      <c r="BJ2869" s="4">
        <v>46144.750127314815</v>
      </c>
      <c r="BK2869" s="4">
        <v>43483.63652777778</v>
      </c>
      <c r="BL2869" t="inlineStr">
        <is>
          <t>3132.0</t>
        </is>
      </c>
      <c r="BM2869" t="inlineStr">
        <is>
          <t>13950.0</t>
        </is>
      </c>
      <c r="BN2869" t="inlineStr">
        <is>
          <t>View Account User</t>
        </is>
      </c>
      <c r="BO2869" s="4">
        <v>46052.395578703705</v>
      </c>
      <c r="BP2869">
        <v>165352</v>
      </c>
      <c r="BQ2869">
        <v>110938</v>
      </c>
      <c r="BR2869" t="inlineStr">
        <is>
          <t>Proforma</t>
        </is>
      </c>
      <c r="BS2869" t="inlineStr">
        <is>
          <t>A La Carte AI Job Ad Free</t>
        </is>
      </c>
      <c r="BT2869">
        <v>5842</v>
      </c>
      <c r="BU2869"/>
      <c r="BV2869">
        <v>2733803</v>
      </c>
      <c r="BW2869" t="inlineStr">
        <is>
          <t>Follow Up : Budget Concern</t>
        </is>
      </c>
      <c r="BX2869">
        <v>6</v>
      </c>
      <c r="BY2869">
        <v>0</v>
      </c>
      <c r="BZ2869" s="4">
        <v>45895.72557870371</v>
      </c>
      <c r="CA2869">
        <v>120</v>
      </c>
      <c r="CB2869">
        <v>108</v>
      </c>
      <c r="CC2869" s="4">
        <v>45911.386921296296</v>
      </c>
      <c r="CD2869" t="inlineStr">
        <is>
          <t>20</t>
        </is>
      </c>
      <c r="CE2869" t="inlineStr">
        <is>
          <t>0</t>
        </is>
      </c>
      <c r="CF2869" t="inlineStr">
        <is>
          <t>Q2-W01</t>
        </is>
      </c>
      <c r="CG2869"/>
      <c r="CH2869"/>
      <c r="CI2869"/>
      <c r="CJ2869" t="inlineStr">
        <is>
          <t>Paid</t>
        </is>
      </c>
      <c r="CK2869" t="inlineStr">
        <is>
          <t>Eligible</t>
        </is>
      </c>
      <c r="CL2869"/>
      <c r="CM2869"/>
    </row>
    <row r="2870" ht="25.5" customHeight="1">
      <c r="A2870" t="inlineStr">
        <is>
          <t>34306</t>
        </is>
      </c>
      <c r="B2870" s="2"/>
      <c r="C2870"/>
      <c r="D2870" s="3">
        <v>46118.4921875</v>
      </c>
      <c r="E2870" t="inlineStr">
        <is>
          <t>Q2-W01</t>
        </is>
      </c>
      <c r="F2870" t="inlineStr">
        <is>
          <t>Clover</t>
        </is>
      </c>
      <c r="G2870" t="inlineStr">
        <is>
          <t>Customer</t>
        </is>
      </c>
      <c r="H2870" s="2" t="str">
        <f>=HYPERLINK("https://upbox.ajobthing.my/customer/34306", "https://upbox.ajobthing.my/customer/34306")</f>
        <v>https://upbox.ajobthing.my/customer/34306</v>
      </c>
      <c r="I2870" t="inlineStr">
        <is>
          <t>Iptb Sdn Bhd</t>
        </is>
      </c>
      <c r="J2870" t="inlineStr">
        <is>
          <t>Whale</t>
        </is>
      </c>
      <c r="K2870" t="inlineStr">
        <is>
          <t>Clover</t>
        </is>
      </c>
      <c r="L2870" s="4"/>
      <c r="M2870" s="4">
        <v>46118.49260416667</v>
      </c>
      <c r="N2870"/>
      <c r="O2870">
        <v>6048</v>
      </c>
      <c r="P2870" s="4"/>
      <c r="Q2870" s="4"/>
      <c r="R2870"/>
      <c r="S2870"/>
      <c r="T2870" s="4"/>
      <c r="U2870" s="4"/>
      <c r="V2870"/>
      <c r="W2870"/>
      <c r="X2870"/>
      <c r="Y2870" t="inlineStr">
        <is>
          <t>Pending Appointment</t>
        </is>
      </c>
      <c r="Z2870" t="inlineStr">
        <is>
          <t>Hiring Later</t>
        </is>
      </c>
      <c r="AA2870">
        <v>2</v>
      </c>
      <c r="AB2870" t="inlineStr">
        <is>
          <t>No Appointment Made</t>
        </is>
      </c>
      <c r="AC2870"/>
      <c r="AD2870" t="inlineStr">
        <is>
          <t>Can another office 03-7455 1890, petrol company, no hiring job filled, previous hire business development, account exec, x1-2,  prefer email - efifehlokman@buraqoil.com.my , PIC Ms Eififeh</t>
        </is>
      </c>
      <c r="AE2870"/>
      <c r="AF2870">
        <v>3000</v>
      </c>
      <c r="AG2870" s="4"/>
      <c r="AH2870" s="4"/>
      <c r="AI2870">
        <v>3000</v>
      </c>
      <c r="AJ2870">
        <v>1</v>
      </c>
      <c r="AK2870" t="inlineStr">
        <is>
          <t>No, but I want in future</t>
        </is>
      </c>
      <c r="AL2870">
        <v>1</v>
      </c>
      <c r="AM2870" t="inlineStr">
        <is>
          <t>No, but I want in future</t>
        </is>
      </c>
      <c r="AN2870"/>
      <c r="AO2870" t="inlineStr">
        <is>
          <t>No, but I want in future</t>
        </is>
      </c>
      <c r="AP2870" t="inlineStr">
        <is>
          <t>Twice a year (50%)</t>
        </is>
      </c>
      <c r="AQ2870">
        <v>4</v>
      </c>
      <c r="AR2870" t="inlineStr">
        <is>
          <t>Jobstore</t>
        </is>
      </c>
      <c r="AS2870" t="inlineStr">
        <is>
          <t>- Headcount: 2
- Hiring Job Details: Petrol company, no filled hires, prior hires: 1-2 business development/account execs, contact: Ms Eififeh, email efifehlokman@buraqoil.com.my, call 03-7455 1890 (prefers email)
- Hiring Urgency: Hiring Later
- Number of outlets: 1
- Have recruiter team: No, but want in future
- Number of recruiter in company: 1
- Have ATS system: No, but want in future
- Have career website: No, but want in future
- Current hiring budget: RM3,000
- Whole year budget: RM3,000.00
- Whole year number of vacancies: 4
- Hiring frequency: Twice a year (50%)
- External job portal: Jobstore</t>
        </is>
      </c>
      <c r="AT2870">
        <v>95</v>
      </c>
      <c r="AU2870" t="inlineStr">
        <is>
          <t>0.95</t>
        </is>
      </c>
      <c r="AV2870" t="inlineStr">
        <is>
          <t>15</t>
        </is>
      </c>
      <c r="AW2870" t="inlineStr">
        <is>
          <t>0</t>
        </is>
      </c>
      <c r="AX2870" t="inlineStr">
        <is>
          <t>Not Qualified</t>
        </is>
      </c>
      <c r="AY2870" s="4"/>
      <c r="AZ2870"/>
      <c r="BA2870"/>
      <c r="BB2870"/>
      <c r="BC2870" t="inlineStr">
        <is>
          <t>Call office 03-7455 1890  Ms Eififeh, using other paid portal, next round hiring will contact,  email - efifehlokman@buraqoil.com.my  /  zezyliza@buraqoil.com.my</t>
        </is>
      </c>
      <c r="BD2870" s="4">
        <v>46135.677766203706</v>
      </c>
      <c r="BE2870"/>
      <c r="BF2870"/>
      <c r="BG2870" t="inlineStr">
        <is>
          <t>Reschedule</t>
        </is>
      </c>
      <c r="BH2870" t="inlineStr">
        <is>
          <t>Reagen</t>
        </is>
      </c>
      <c r="BI2870" t="inlineStr">
        <is>
          <t>Oil / Gas / Petroleum</t>
        </is>
      </c>
      <c r="BJ2870" s="4">
        <v>46144.754594907405</v>
      </c>
      <c r="BK2870" s="4">
        <v>42796.377546296295</v>
      </c>
      <c r="BL2870" t="inlineStr">
        <is>
          <t>0.0</t>
        </is>
      </c>
      <c r="BM2870" t="inlineStr">
        <is>
          <t>9300.0</t>
        </is>
      </c>
      <c r="BN2870" t="inlineStr">
        <is>
          <t>View Company Page</t>
        </is>
      </c>
      <c r="BO2870" s="4">
        <v>46118.29761574074</v>
      </c>
      <c r="BP2870">
        <v>165355</v>
      </c>
      <c r="BQ2870"/>
      <c r="BR2870"/>
      <c r="BS2870"/>
      <c r="BT2870"/>
      <c r="BU2870"/>
      <c r="BV2870">
        <v>2724686</v>
      </c>
      <c r="BW2870" t="inlineStr">
        <is>
          <t>Follow Up : Lost - Free Portal</t>
        </is>
      </c>
      <c r="BX2870"/>
      <c r="BY2870"/>
      <c r="BZ2870" s="4"/>
      <c r="CA2870"/>
      <c r="CB2870"/>
      <c r="CC2870" s="4"/>
      <c r="CD2870" t="inlineStr">
        <is>
          <t>20</t>
        </is>
      </c>
      <c r="CE2870" t="inlineStr">
        <is>
          <t>0</t>
        </is>
      </c>
      <c r="CF2870" t="inlineStr">
        <is>
          <t>Q2-W01</t>
        </is>
      </c>
      <c r="CG2870"/>
      <c r="CH2870"/>
      <c r="CI2870"/>
      <c r="CJ2870" t="inlineStr">
        <is>
          <t>No Paid</t>
        </is>
      </c>
      <c r="CK2870" t="inlineStr">
        <is>
          <t>Eligible</t>
        </is>
      </c>
      <c r="CL2870"/>
      <c r="CM2870"/>
    </row>
    <row r="2871" ht="25.5" customHeight="1">
      <c r="A2871" t="inlineStr">
        <is>
          <t>175140</t>
        </is>
      </c>
      <c r="B2871" s="2"/>
      <c r="C2871"/>
      <c r="D2871" s="3">
        <v>46118.49951388889</v>
      </c>
      <c r="E2871" t="inlineStr">
        <is>
          <t>Q2-W01</t>
        </is>
      </c>
      <c r="F2871" t="inlineStr">
        <is>
          <t>Jess</t>
        </is>
      </c>
      <c r="G2871" t="inlineStr">
        <is>
          <t>Customer</t>
        </is>
      </c>
      <c r="H2871" s="2" t="str">
        <f>=HYPERLINK("https://upbox.ajobthing.my/customer/175140", "https://upbox.ajobthing.my/customer/175140")</f>
        <v>https://upbox.ajobthing.my/customer/175140</v>
      </c>
      <c r="I2871" t="inlineStr">
        <is>
          <t>FIT Pioneer Resources Sdn Bhd</t>
        </is>
      </c>
      <c r="J2871" t="inlineStr">
        <is>
          <t>Whale</t>
        </is>
      </c>
      <c r="K2871" t="inlineStr">
        <is>
          <t>Jess Lim</t>
        </is>
      </c>
      <c r="L2871" s="4"/>
      <c r="M2871" s="4">
        <v>46118.4997337963</v>
      </c>
      <c r="N2871"/>
      <c r="O2871">
        <v>22248</v>
      </c>
      <c r="P2871" s="4"/>
      <c r="Q2871" s="4">
        <v>46100.41914351852</v>
      </c>
      <c r="R2871"/>
      <c r="S2871">
        <v>0</v>
      </c>
      <c r="T2871" s="4">
        <v>45737.42934027778</v>
      </c>
      <c r="U2871" s="4"/>
      <c r="V2871"/>
      <c r="W2871">
        <v>23652</v>
      </c>
      <c r="X2871"/>
      <c r="Y2871" t="inlineStr">
        <is>
          <t>Pending Appointment</t>
        </is>
      </c>
      <c r="Z2871" t="inlineStr">
        <is>
          <t>Continuous Hiring</t>
        </is>
      </c>
      <c r="AA2871">
        <v>1</v>
      </c>
      <c r="AB2871" t="inlineStr">
        <is>
          <t>No Appointment Made</t>
        </is>
      </c>
      <c r="AC2871"/>
      <c r="AD2871" t="inlineStr">
        <is>
          <t>customer service it rool</t>
        </is>
      </c>
      <c r="AE2871"/>
      <c r="AF2871">
        <v>20000</v>
      </c>
      <c r="AG2871" s="4"/>
      <c r="AH2871" s="4"/>
      <c r="AI2871"/>
      <c r="AJ2871">
        <v>1</v>
      </c>
      <c r="AK2871" t="inlineStr">
        <is>
          <t>Yes, I have</t>
        </is>
      </c>
      <c r="AL2871">
        <v>4</v>
      </c>
      <c r="AM2871" t="inlineStr">
        <is>
          <t>No, I don't need at all</t>
        </is>
      </c>
      <c r="AN2871"/>
      <c r="AO2871" t="inlineStr">
        <is>
          <t>No, I don't need at all</t>
        </is>
      </c>
      <c r="AP2871" t="inlineStr">
        <is>
          <t>Every month (100%)</t>
        </is>
      </c>
      <c r="AQ2871"/>
      <c r="AR2871" t="inlineStr">
        <is>
          <t>Jobstreet</t>
        </is>
      </c>
      <c r="AS2871" t="inlineStr">
        <is>
          <t>- Headcount: 1
- Hiring Job Details: customer service it role
- Hiring Urgency: Continuous Hiring
- Number of outlets: 1
- Have recruiter team: Yes, I have
- Number of recruiter in company: 4
- Have ATS system: No, I don't need at all
- Have career website: No, I don't need at all
- Current hiring budget: RM20,000.00
- Whole year budget: Not specified
- Whole year number of vacancies: Not specified
- Hiring frequency: Every month (100%)
- External job portal: Jobstreet</t>
        </is>
      </c>
      <c r="AT2871">
        <v>105</v>
      </c>
      <c r="AU2871" t="inlineStr">
        <is>
          <t>1.05</t>
        </is>
      </c>
      <c r="AV2871" t="inlineStr">
        <is>
          <t>20</t>
        </is>
      </c>
      <c r="AW2871" t="inlineStr">
        <is>
          <t>0</t>
        </is>
      </c>
      <c r="AX2871" t="inlineStr">
        <is>
          <t>Not Qualified</t>
        </is>
      </c>
      <c r="AY2871" s="4"/>
      <c r="AZ2871"/>
      <c r="BA2871"/>
      <c r="BB2871"/>
      <c r="BC2871" t="inlineStr">
        <is>
          <t>pending decision</t>
        </is>
      </c>
      <c r="BD2871" s="4">
        <v>46127.42475694444</v>
      </c>
      <c r="BE2871" t="inlineStr">
        <is>
          <t>paid</t>
        </is>
      </c>
      <c r="BF2871"/>
      <c r="BG2871" t="inlineStr">
        <is>
          <t>Reschedule</t>
        </is>
      </c>
      <c r="BH2871" t="inlineStr">
        <is>
          <t>Fauziah Maharan</t>
        </is>
      </c>
      <c r="BI2871" t="inlineStr">
        <is>
          <t>IT / Software</t>
        </is>
      </c>
      <c r="BJ2871" s="4">
        <v>46144.75158564815</v>
      </c>
      <c r="BK2871" s="4">
        <v>45324.48326388889</v>
      </c>
      <c r="BL2871" t="inlineStr">
        <is>
          <t>0.0</t>
        </is>
      </c>
      <c r="BM2871" t="inlineStr">
        <is>
          <t>20850.0</t>
        </is>
      </c>
      <c r="BN2871" t="inlineStr">
        <is>
          <t>View Company Page</t>
        </is>
      </c>
      <c r="BO2871" s="4">
        <v>46135.597905092596</v>
      </c>
      <c r="BP2871">
        <v>165359</v>
      </c>
      <c r="BQ2871">
        <v>117985</v>
      </c>
      <c r="BR2871" t="inlineStr">
        <is>
          <t>Proforma</t>
        </is>
      </c>
      <c r="BS2871" t="inlineStr">
        <is>
          <t>Free Part-Time Job</t>
        </is>
      </c>
      <c r="BT2871">
        <v>77839</v>
      </c>
      <c r="BU2871"/>
      <c r="BV2871">
        <v>2705078</v>
      </c>
      <c r="BW2871" t="inlineStr">
        <is>
          <t>Follow Up : Decision Pending</t>
        </is>
      </c>
      <c r="BX2871"/>
      <c r="BY2871"/>
      <c r="BZ2871" s="4"/>
      <c r="CA2871"/>
      <c r="CB2871"/>
      <c r="CC2871" s="4"/>
      <c r="CD2871" t="inlineStr">
        <is>
          <t>25</t>
        </is>
      </c>
      <c r="CE2871" t="inlineStr">
        <is>
          <t>0</t>
        </is>
      </c>
      <c r="CF2871" t="inlineStr">
        <is>
          <t>Q2-W01</t>
        </is>
      </c>
      <c r="CG2871" t="inlineStr">
        <is>
          <t>Q1-W11</t>
        </is>
      </c>
      <c r="CH2871"/>
      <c r="CI2871"/>
      <c r="CJ2871" t="inlineStr">
        <is>
          <t>Paid</t>
        </is>
      </c>
      <c r="CK2871" t="inlineStr">
        <is>
          <t>Eligible</t>
        </is>
      </c>
      <c r="CL2871"/>
      <c r="CM2871"/>
    </row>
    <row r="2872" ht="25.5" customHeight="1">
      <c r="A2872" t="inlineStr">
        <is>
          <t>179383</t>
        </is>
      </c>
      <c r="B2872" s="2"/>
      <c r="C2872"/>
      <c r="D2872" s="3">
        <v>46118.5008912037</v>
      </c>
      <c r="E2872" t="inlineStr">
        <is>
          <t>Q2-W01</t>
        </is>
      </c>
      <c r="F2872" t="inlineStr">
        <is>
          <t>Yuli</t>
        </is>
      </c>
      <c r="G2872" t="inlineStr">
        <is>
          <t>Customer</t>
        </is>
      </c>
      <c r="H2872" s="2" t="str">
        <f>=HYPERLINK("https://upbox.ajobthing.my/customer/179383", "https://upbox.ajobthing.my/customer/179383")</f>
        <v>https://upbox.ajobthing.my/customer/179383</v>
      </c>
      <c r="I2872" t="inlineStr">
        <is>
          <t>Aro Spring Sdn Bhd</t>
        </is>
      </c>
      <c r="J2872" t="inlineStr">
        <is>
          <t>Whale</t>
        </is>
      </c>
      <c r="K2872" t="inlineStr">
        <is>
          <t>YuLi</t>
        </is>
      </c>
      <c r="L2872" s="4"/>
      <c r="M2872" s="4">
        <v>46126.74586805556</v>
      </c>
      <c r="N2872"/>
      <c r="O2872">
        <v>5724</v>
      </c>
      <c r="P2872" s="4"/>
      <c r="Q2872" s="4">
        <v>46133.61002314815</v>
      </c>
      <c r="R2872"/>
      <c r="S2872">
        <v>5724</v>
      </c>
      <c r="T2872" s="4">
        <v>46133.61002314815</v>
      </c>
      <c r="U2872" s="4"/>
      <c r="V2872"/>
      <c r="W2872">
        <v>5724</v>
      </c>
      <c r="X2872"/>
      <c r="Y2872" t="inlineStr">
        <is>
          <t>Pending Appointment</t>
        </is>
      </c>
      <c r="Z2872" t="inlineStr">
        <is>
          <t>Hiring Now</t>
        </is>
      </c>
      <c r="AA2872">
        <v>4</v>
      </c>
      <c r="AB2872" t="inlineStr">
        <is>
          <t>No Appointment Made</t>
        </is>
      </c>
      <c r="AC2872"/>
      <c r="AD2872" t="inlineStr">
        <is>
          <t>1 Warehouse Executive Graphic 1-Digital Designer 1-E-Commerce Exec 1-Graphic Designer</t>
        </is>
      </c>
      <c r="AE2872"/>
      <c r="AF2872"/>
      <c r="AG2872" s="4"/>
      <c r="AH2872" s="4"/>
      <c r="AI2872"/>
      <c r="AJ2872"/>
      <c r="AK2872"/>
      <c r="AL2872"/>
      <c r="AM2872"/>
      <c r="AN2872"/>
      <c r="AO2872"/>
      <c r="AP2872" t="inlineStr">
        <is>
          <t>Once per quarter (75%)</t>
        </is>
      </c>
      <c r="AQ2872"/>
      <c r="AR2872" t="inlineStr">
        <is>
          <t>Did not use any job portal</t>
        </is>
      </c>
      <c r="AS2872" t="inlineStr">
        <is>
          <t>- Headcount: 4
- Hiring Job Details: 1 Warehouse Executive, 1 Digital Designer, 1 E-Commerce Exec, 1 Graphic Designer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Once per quarter (75%)
- External job portal: Did not use any job portal</t>
        </is>
      </c>
      <c r="AT2872">
        <v>90</v>
      </c>
      <c r="AU2872" t="inlineStr">
        <is>
          <t>0.90</t>
        </is>
      </c>
      <c r="AV2872" t="inlineStr">
        <is>
          <t>5</t>
        </is>
      </c>
      <c r="AW2872" t="inlineStr">
        <is>
          <t>0</t>
        </is>
      </c>
      <c r="AX2872" t="inlineStr">
        <is>
          <t>Not Qualified</t>
        </is>
      </c>
      <c r="AY2872" s="4"/>
      <c r="AZ2872"/>
      <c r="BA2872"/>
      <c r="BB2872"/>
      <c r="BC2872" t="inlineStr">
        <is>
          <t>Received for payment for Professional</t>
        </is>
      </c>
      <c r="BD2872" s="4">
        <v>46133.558530092596</v>
      </c>
      <c r="BE2872" t="inlineStr">
        <is>
          <t>paid</t>
        </is>
      </c>
      <c r="BF2872" t="inlineStr">
        <is>
          <t>Q2-W03</t>
        </is>
      </c>
      <c r="BG2872" t="inlineStr">
        <is>
          <t>Reschedule</t>
        </is>
      </c>
      <c r="BH2872" t="inlineStr">
        <is>
          <t>Fauziah Maharan</t>
        </is>
      </c>
      <c r="BI2872" t="inlineStr">
        <is>
          <t>Retail / Merchandise</t>
        </is>
      </c>
      <c r="BJ2872" s="4">
        <v>46144.75178240741</v>
      </c>
      <c r="BK2872" s="4">
        <v>45456.408159722225</v>
      </c>
      <c r="BL2872" t="inlineStr">
        <is>
          <t>14688.0</t>
        </is>
      </c>
      <c r="BM2872" t="inlineStr">
        <is>
          <t>1200.0</t>
        </is>
      </c>
      <c r="BN2872" t="inlineStr">
        <is>
          <t>View Company Page</t>
        </is>
      </c>
      <c r="BO2872" s="4">
        <v>46144.53498842593</v>
      </c>
      <c r="BP2872">
        <v>167058</v>
      </c>
      <c r="BQ2872">
        <v>7631</v>
      </c>
      <c r="BR2872" t="inlineStr">
        <is>
          <t>Manual (Paid)</t>
        </is>
      </c>
      <c r="BS2872" t="inlineStr">
        <is>
          <t>AI Yearly Professional Plan-RM 300 Discount until 15.04.26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872">
        <v>7631</v>
      </c>
      <c r="BU2872"/>
      <c r="BV2872">
        <v>2717952</v>
      </c>
      <c r="BW2872" t="inlineStr">
        <is>
          <t>Follow Up : Win - Customer Paid</t>
        </is>
      </c>
      <c r="BX2872">
        <v>34</v>
      </c>
      <c r="BY2872">
        <v>15</v>
      </c>
      <c r="BZ2872" s="4">
        <v>46127.714733796296</v>
      </c>
      <c r="CA2872">
        <v>400</v>
      </c>
      <c r="CB2872">
        <v>377</v>
      </c>
      <c r="CC2872" s="4">
        <v>46135.72148148148</v>
      </c>
      <c r="CD2872" t="inlineStr">
        <is>
          <t>5</t>
        </is>
      </c>
      <c r="CE2872" t="inlineStr">
        <is>
          <t>0</t>
        </is>
      </c>
      <c r="CF2872" t="inlineStr">
        <is>
          <t>Q2-W02</t>
        </is>
      </c>
      <c r="CG2872" t="inlineStr">
        <is>
          <t>Q2-W03</t>
        </is>
      </c>
      <c r="CH2872" t="inlineStr">
        <is>
          <t>Q2-W03</t>
        </is>
      </c>
      <c r="CI2872"/>
      <c r="CJ2872" t="inlineStr">
        <is>
          <t>Paid</t>
        </is>
      </c>
      <c r="CK2872" t="inlineStr">
        <is>
          <t>Eligible</t>
        </is>
      </c>
      <c r="CL2872"/>
      <c r="CM2872"/>
    </row>
    <row r="2873" ht="25.5" customHeight="1">
      <c r="A2873" t="inlineStr">
        <is>
          <t>179383</t>
        </is>
      </c>
      <c r="B2873" s="2"/>
      <c r="C2873"/>
      <c r="D2873" s="3">
        <v>46118.51887731482</v>
      </c>
      <c r="E2873" t="inlineStr">
        <is>
          <t>Q2-W01</t>
        </is>
      </c>
      <c r="F2873" t="inlineStr">
        <is>
          <t>Yuli</t>
        </is>
      </c>
      <c r="G2873" t="inlineStr">
        <is>
          <t>Customer</t>
        </is>
      </c>
      <c r="H2873" s="2" t="str">
        <f>=HYPERLINK("https://upbox.ajobthing.my/customer/179383", "https://upbox.ajobthing.my/customer/179383")</f>
        <v>https://upbox.ajobthing.my/customer/179383</v>
      </c>
      <c r="I2873" t="inlineStr">
        <is>
          <t>Aro Spring Sdn Bhd</t>
        </is>
      </c>
      <c r="J2873" t="inlineStr">
        <is>
          <t>Whale</t>
        </is>
      </c>
      <c r="K2873" t="inlineStr">
        <is>
          <t>YuLi</t>
        </is>
      </c>
      <c r="L2873" s="4"/>
      <c r="M2873" s="4">
        <v>46126.74586805556</v>
      </c>
      <c r="N2873"/>
      <c r="O2873">
        <v>5724</v>
      </c>
      <c r="P2873" s="4"/>
      <c r="Q2873" s="4">
        <v>46133.61002314815</v>
      </c>
      <c r="R2873"/>
      <c r="S2873">
        <v>5724</v>
      </c>
      <c r="T2873" s="4">
        <v>46133.61002314815</v>
      </c>
      <c r="U2873" s="4"/>
      <c r="V2873"/>
      <c r="W2873">
        <v>5724</v>
      </c>
      <c r="X2873"/>
      <c r="Y2873" t="inlineStr">
        <is>
          <t>Pending Appointment</t>
        </is>
      </c>
      <c r="Z2873" t="inlineStr">
        <is>
          <t>Hiring Now</t>
        </is>
      </c>
      <c r="AA2873">
        <v>4</v>
      </c>
      <c r="AB2873" t="inlineStr">
        <is>
          <t>No Appointment Made</t>
        </is>
      </c>
      <c r="AC2873"/>
      <c r="AD2873" t="inlineStr">
        <is>
          <t>1 Graphic Designer
1 E Commerce Executive
1 Warehouse Executive
1 Digital and graphic design executive</t>
        </is>
      </c>
      <c r="AE2873"/>
      <c r="AF2873"/>
      <c r="AG2873" s="4"/>
      <c r="AH2873" s="4"/>
      <c r="AI2873"/>
      <c r="AJ2873"/>
      <c r="AK2873"/>
      <c r="AL2873"/>
      <c r="AM2873"/>
      <c r="AN2873"/>
      <c r="AO2873"/>
      <c r="AP2873"/>
      <c r="AQ2873"/>
      <c r="AR2873" t="inlineStr">
        <is>
          <t>Did not use any job portal</t>
        </is>
      </c>
      <c r="AS2873" t="inlineStr">
        <is>
          <t>- Headcount: 4
- Hiring Job Details: 1 Graphic Designer, 1 E Commerce Executive, 1 Warehouse Executive, 1 Digital and graphic design executive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Did not use any job portal
- Hiring Urgency: Hiring Now</t>
        </is>
      </c>
      <c r="AT2873">
        <v>75</v>
      </c>
      <c r="AU2873" t="inlineStr">
        <is>
          <t>0.75</t>
        </is>
      </c>
      <c r="AV2873" t="inlineStr">
        <is>
          <t>5</t>
        </is>
      </c>
      <c r="AW2873" t="inlineStr">
        <is>
          <t>0</t>
        </is>
      </c>
      <c r="AX2873" t="inlineStr">
        <is>
          <t>Not Qualified</t>
        </is>
      </c>
      <c r="AY2873" s="4"/>
      <c r="AZ2873"/>
      <c r="BA2873"/>
      <c r="BB2873"/>
      <c r="BC2873" t="inlineStr">
        <is>
          <t>Received for payment for Professional</t>
        </is>
      </c>
      <c r="BD2873" s="4">
        <v>46133.558530092596</v>
      </c>
      <c r="BE2873" t="inlineStr">
        <is>
          <t>paid</t>
        </is>
      </c>
      <c r="BF2873" t="inlineStr">
        <is>
          <t>Q2-W03</t>
        </is>
      </c>
      <c r="BG2873" t="inlineStr">
        <is>
          <t>Reschedule</t>
        </is>
      </c>
      <c r="BH2873" t="inlineStr">
        <is>
          <t>Fauziah Maharan</t>
        </is>
      </c>
      <c r="BI2873" t="inlineStr">
        <is>
          <t>Retail / Merchandise</t>
        </is>
      </c>
      <c r="BJ2873" s="4">
        <v>46144.75178240741</v>
      </c>
      <c r="BK2873" s="4">
        <v>45456.408159722225</v>
      </c>
      <c r="BL2873" t="inlineStr">
        <is>
          <t>14688.0</t>
        </is>
      </c>
      <c r="BM2873" t="inlineStr">
        <is>
          <t>1200.0</t>
        </is>
      </c>
      <c r="BN2873" t="inlineStr">
        <is>
          <t>View Company Page</t>
        </is>
      </c>
      <c r="BO2873" s="4">
        <v>46144.53498842593</v>
      </c>
      <c r="BP2873">
        <v>167058</v>
      </c>
      <c r="BQ2873">
        <v>7631</v>
      </c>
      <c r="BR2873" t="inlineStr">
        <is>
          <t>Manual (Paid)</t>
        </is>
      </c>
      <c r="BS2873" t="inlineStr">
        <is>
          <t>AI Yearly Professional Plan-RM 300 Discount until 15.04.26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873">
        <v>7631</v>
      </c>
      <c r="BU2873"/>
      <c r="BV2873">
        <v>2717952</v>
      </c>
      <c r="BW2873" t="inlineStr">
        <is>
          <t>Follow Up : Win - Customer Paid</t>
        </is>
      </c>
      <c r="BX2873">
        <v>34</v>
      </c>
      <c r="BY2873">
        <v>15</v>
      </c>
      <c r="BZ2873" s="4">
        <v>46127.714733796296</v>
      </c>
      <c r="CA2873">
        <v>400</v>
      </c>
      <c r="CB2873">
        <v>377</v>
      </c>
      <c r="CC2873" s="4">
        <v>46135.72148148148</v>
      </c>
      <c r="CD2873" t="inlineStr">
        <is>
          <t>5</t>
        </is>
      </c>
      <c r="CE2873" t="inlineStr">
        <is>
          <t>0</t>
        </is>
      </c>
      <c r="CF2873" t="inlineStr">
        <is>
          <t>Q2-W02</t>
        </is>
      </c>
      <c r="CG2873" t="inlineStr">
        <is>
          <t>Q2-W03</t>
        </is>
      </c>
      <c r="CH2873" t="inlineStr">
        <is>
          <t>Q2-W03</t>
        </is>
      </c>
      <c r="CI2873"/>
      <c r="CJ2873" t="inlineStr">
        <is>
          <t>Paid</t>
        </is>
      </c>
      <c r="CK2873" t="inlineStr">
        <is>
          <t>Eligible</t>
        </is>
      </c>
      <c r="CL2873"/>
      <c r="CM2873"/>
    </row>
    <row r="2874" ht="25.5" customHeight="1">
      <c r="A2874" t="inlineStr">
        <is>
          <t>122441</t>
        </is>
      </c>
      <c r="B2874" s="2"/>
      <c r="C2874"/>
      <c r="D2874" s="3">
        <v>46118.55005787037</v>
      </c>
      <c r="E2874" t="inlineStr">
        <is>
          <t>Q2-W01</t>
        </is>
      </c>
      <c r="F2874" t="inlineStr">
        <is>
          <t>Yuli</t>
        </is>
      </c>
      <c r="G2874" t="inlineStr">
        <is>
          <t>Customer</t>
        </is>
      </c>
      <c r="H2874" s="2" t="str">
        <f>=HYPERLINK("https://upbox.ajobthing.my/customer/122441", "https://upbox.ajobthing.my/customer/122441")</f>
        <v>https://upbox.ajobthing.my/customer/122441</v>
      </c>
      <c r="I2874" t="inlineStr">
        <is>
          <t>Winning Mode Sdn Bhd</t>
        </is>
      </c>
      <c r="J2874" t="inlineStr">
        <is>
          <t>Whale</t>
        </is>
      </c>
      <c r="K2874" t="inlineStr">
        <is>
          <t>YuLi</t>
        </is>
      </c>
      <c r="L2874" s="4"/>
      <c r="M2874" s="4">
        <v>46141.68890046296</v>
      </c>
      <c r="N2874"/>
      <c r="O2874">
        <v>5412.96</v>
      </c>
      <c r="P2874" s="4"/>
      <c r="Q2874" s="4">
        <v>45777.91991898148</v>
      </c>
      <c r="R2874"/>
      <c r="S2874">
        <v>2916</v>
      </c>
      <c r="T2874" s="4">
        <v>45777.91991898148</v>
      </c>
      <c r="U2874" s="4"/>
      <c r="V2874"/>
      <c r="W2874">
        <v>2916</v>
      </c>
      <c r="X2874"/>
      <c r="Y2874" t="inlineStr">
        <is>
          <t>Pending Appointment</t>
        </is>
      </c>
      <c r="Z2874" t="inlineStr">
        <is>
          <t>Hiring Now</t>
        </is>
      </c>
      <c r="AA2874">
        <v>1</v>
      </c>
      <c r="AB2874" t="inlineStr">
        <is>
          <t>No Appointment Made</t>
        </is>
      </c>
      <c r="AC2874"/>
      <c r="AD2874" t="inlineStr">
        <is>
          <t>1 Wok Chef</t>
        </is>
      </c>
      <c r="AE2874"/>
      <c r="AF2874"/>
      <c r="AG2874" s="4"/>
      <c r="AH2874" s="4"/>
      <c r="AI2874"/>
      <c r="AJ2874"/>
      <c r="AK2874"/>
      <c r="AL2874"/>
      <c r="AM2874"/>
      <c r="AN2874"/>
      <c r="AO2874"/>
      <c r="AP2874" t="inlineStr">
        <is>
          <t>Every month (100%)</t>
        </is>
      </c>
      <c r="AQ2874"/>
      <c r="AR2874" t="inlineStr">
        <is>
          <t>Free Job Portal</t>
        </is>
      </c>
      <c r="AS2874" t="inlineStr">
        <is>
          <t>- Headcount: 1
- Hiring Job Details: 1 Wok Chef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Every month (100%)
- External job portal: Free Job Portal</t>
        </is>
      </c>
      <c r="AT2874">
        <v>75</v>
      </c>
      <c r="AU2874" t="inlineStr">
        <is>
          <t>0.75</t>
        </is>
      </c>
      <c r="AV2874" t="inlineStr">
        <is>
          <t>5</t>
        </is>
      </c>
      <c r="AW2874" t="inlineStr">
        <is>
          <t>0</t>
        </is>
      </c>
      <c r="AX2874" t="inlineStr">
        <is>
          <t>Not Qualified</t>
        </is>
      </c>
      <c r="AY2874" s="4"/>
      <c r="AZ2874"/>
      <c r="BA2874"/>
      <c r="BB2874"/>
      <c r="BC2874" t="inlineStr">
        <is>
          <t>- Headcount: 1
- Hiring Job Details: 1 wok chef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Free Job Portal</t>
        </is>
      </c>
      <c r="BD2874" s="4">
        <v>46141.70837962963</v>
      </c>
      <c r="BE2874" t="inlineStr">
        <is>
          <t>paid</t>
        </is>
      </c>
      <c r="BF2874"/>
      <c r="BG2874" t="inlineStr">
        <is>
          <t>Reschedule</t>
        </is>
      </c>
      <c r="BH2874" t="inlineStr">
        <is>
          <t>Fauziah Maharan</t>
        </is>
      </c>
      <c r="BI2874" t="inlineStr">
        <is>
          <t>Food / Beverage</t>
        </is>
      </c>
      <c r="BJ2874" s="4">
        <v>46144.750289351854</v>
      </c>
      <c r="BK2874" s="4">
        <v>43753.71152777778</v>
      </c>
      <c r="BL2874" t="inlineStr">
        <is>
          <t>2916.0</t>
        </is>
      </c>
      <c r="BM2874" t="inlineStr">
        <is>
          <t>0.0</t>
        </is>
      </c>
      <c r="BN2874" t="inlineStr">
        <is>
          <t>PA Email CTA Click</t>
        </is>
      </c>
      <c r="BO2874" s="4">
        <v>46142.45476851852</v>
      </c>
      <c r="BP2874">
        <v>169559</v>
      </c>
      <c r="BQ2874">
        <v>78936</v>
      </c>
      <c r="BR2874" t="inlineStr">
        <is>
          <t>Online</t>
        </is>
      </c>
      <c r="BS2874"/>
      <c r="BT2874">
        <v>78936</v>
      </c>
      <c r="BU2874"/>
      <c r="BV2874">
        <v>2736068</v>
      </c>
      <c r="BW2874" t="inlineStr">
        <is>
          <t>Customer Inquiry</t>
        </is>
      </c>
      <c r="BX2874"/>
      <c r="BY2874"/>
      <c r="BZ2874" s="4"/>
      <c r="CA2874"/>
      <c r="CB2874"/>
      <c r="CC2874" s="4"/>
      <c r="CD2874" t="inlineStr">
        <is>
          <t>5</t>
        </is>
      </c>
      <c r="CE2874" t="inlineStr">
        <is>
          <t>0</t>
        </is>
      </c>
      <c r="CF2874" t="inlineStr">
        <is>
          <t>Q2-W04</t>
        </is>
      </c>
      <c r="CG2874"/>
      <c r="CH2874"/>
      <c r="CI2874"/>
      <c r="CJ2874" t="inlineStr">
        <is>
          <t>Paid</t>
        </is>
      </c>
      <c r="CK2874" t="inlineStr">
        <is>
          <t>Eligible</t>
        </is>
      </c>
      <c r="CL2874"/>
      <c r="CM2874"/>
    </row>
    <row r="2875" ht="25.5" customHeight="1">
      <c r="A2875" t="inlineStr">
        <is>
          <t>181648</t>
        </is>
      </c>
      <c r="B2875" s="2"/>
      <c r="C2875"/>
      <c r="D2875" s="3">
        <v>46118.58167824074</v>
      </c>
      <c r="E2875" t="inlineStr">
        <is>
          <t>Q2-W01</t>
        </is>
      </c>
      <c r="F2875" t="inlineStr">
        <is>
          <t>Yuli</t>
        </is>
      </c>
      <c r="G2875" t="inlineStr">
        <is>
          <t>Customer</t>
        </is>
      </c>
      <c r="H2875" s="2" t="str">
        <f>=HYPERLINK("https://upbox.ajobthing.my/customer/181648", "https://upbox.ajobthing.my/customer/181648")</f>
        <v>https://upbox.ajobthing.my/customer/181648</v>
      </c>
      <c r="I2875" t="inlineStr">
        <is>
          <t>Millennium Autobeyond Sdn Bhd</t>
        </is>
      </c>
      <c r="J2875" t="inlineStr">
        <is>
          <t>Whale</t>
        </is>
      </c>
      <c r="K2875" t="inlineStr">
        <is>
          <t>YuLi</t>
        </is>
      </c>
      <c r="L2875" s="4"/>
      <c r="M2875" s="4">
        <v>46087.69987268518</v>
      </c>
      <c r="N2875"/>
      <c r="O2875">
        <v>10584</v>
      </c>
      <c r="P2875" s="4"/>
      <c r="Q2875" s="4">
        <v>46115.62925925926</v>
      </c>
      <c r="R2875"/>
      <c r="S2875">
        <v>5508</v>
      </c>
      <c r="T2875" s="4">
        <v>46115.62925925926</v>
      </c>
      <c r="U2875" s="4"/>
      <c r="V2875"/>
      <c r="W2875">
        <v>5508</v>
      </c>
      <c r="X2875"/>
      <c r="Y2875" t="inlineStr">
        <is>
          <t>Pending Appointment</t>
        </is>
      </c>
      <c r="Z2875" t="inlineStr">
        <is>
          <t>Hiring Now</t>
        </is>
      </c>
      <c r="AA2875">
        <v>3</v>
      </c>
      <c r="AB2875" t="inlineStr">
        <is>
          <t>No Appointment Made</t>
        </is>
      </c>
      <c r="AC2875"/>
      <c r="AD2875" t="inlineStr">
        <is>
          <t>Car Mechanic
Sales Executive
Finance Executive</t>
        </is>
      </c>
      <c r="AE2875"/>
      <c r="AF2875"/>
      <c r="AG2875" s="4"/>
      <c r="AH2875" s="4"/>
      <c r="AI2875"/>
      <c r="AJ2875"/>
      <c r="AK2875"/>
      <c r="AL2875"/>
      <c r="AM2875"/>
      <c r="AN2875"/>
      <c r="AO2875"/>
      <c r="AP2875" t="inlineStr">
        <is>
          <t>Once per quarter (75%)</t>
        </is>
      </c>
      <c r="AQ2875"/>
      <c r="AR2875" t="inlineStr">
        <is>
          <t>Jobstreet</t>
        </is>
      </c>
      <c r="AS2875" t="inlineStr">
        <is>
          <t>- Headcount: 3
- Hiring Job Details: Car Mechanic, Sales Executive, Finance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Once per quarter (75%)
- External job portal: Jobstreet</t>
        </is>
      </c>
      <c r="AT2875">
        <v>75</v>
      </c>
      <c r="AU2875" t="inlineStr">
        <is>
          <t>0.75</t>
        </is>
      </c>
      <c r="AV2875" t="inlineStr">
        <is>
          <t>5</t>
        </is>
      </c>
      <c r="AW2875" t="inlineStr">
        <is>
          <t>0</t>
        </is>
      </c>
      <c r="AX2875" t="inlineStr">
        <is>
          <t>Not Qualified</t>
        </is>
      </c>
      <c r="AY2875" s="4"/>
      <c r="AZ2875"/>
      <c r="BA2875"/>
      <c r="BB2875"/>
      <c r="BC2875" t="inlineStr">
        <is>
          <t>received message from Apple ask about the internship postinng, answered.</t>
        </is>
      </c>
      <c r="BD2875" s="4">
        <v>46122.785891203705</v>
      </c>
      <c r="BE2875" t="inlineStr">
        <is>
          <t>paid</t>
        </is>
      </c>
      <c r="BF2875" t="inlineStr">
        <is>
          <t>Q2-W01</t>
        </is>
      </c>
      <c r="BG2875" t="inlineStr">
        <is>
          <t>Reschedule</t>
        </is>
      </c>
      <c r="BH2875" t="inlineStr">
        <is>
          <t>Fauziah Maharan</t>
        </is>
      </c>
      <c r="BI2875" t="inlineStr">
        <is>
          <t>Automobile / Automotive</t>
        </is>
      </c>
      <c r="BJ2875" s="4">
        <v>46144.751863425925</v>
      </c>
      <c r="BK2875" s="4">
        <v>45519.39807870371</v>
      </c>
      <c r="BL2875" t="inlineStr">
        <is>
          <t>11340.0</t>
        </is>
      </c>
      <c r="BM2875" t="inlineStr">
        <is>
          <t>3000.0</t>
        </is>
      </c>
      <c r="BN2875" t="inlineStr">
        <is>
          <t>View Company Page</t>
        </is>
      </c>
      <c r="BO2875" s="4">
        <v>46140.76184027778</v>
      </c>
      <c r="BP2875">
        <v>160768</v>
      </c>
      <c r="BQ2875">
        <v>7583</v>
      </c>
      <c r="BR2875" t="inlineStr">
        <is>
          <t>Manual (Paid)</t>
        </is>
      </c>
      <c r="BS2875" t="inlineStr">
        <is>
          <t>AI Yearly Professional Plan- RM 500 Discount until 03.04.26
- AI Yearly Professional Plan of 8 AI Job Ads + 8 Free AI Job Ads with Booster
- 16 AI Job Ad will be published on Maukerja, Ricebowl and our partner platforms
- 16 AI Job Ad will be published for 45 days
- 16 Booster Plus
- 160 Free Candidates Profiles Unlock
- 6x Free Job Ad monthly (total 72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875">
        <v>7583</v>
      </c>
      <c r="BU2875"/>
      <c r="BV2875">
        <v>2699338</v>
      </c>
      <c r="BW2875" t="inlineStr">
        <is>
          <t>Service / Technical : Job Outcome Enquiry</t>
        </is>
      </c>
      <c r="BX2875">
        <v>29</v>
      </c>
      <c r="BY2875">
        <v>14</v>
      </c>
      <c r="BZ2875" s="4">
        <v>46127.68715277778</v>
      </c>
      <c r="CA2875">
        <v>280</v>
      </c>
      <c r="CB2875">
        <v>243</v>
      </c>
      <c r="CC2875" s="4">
        <v>46129.459814814814</v>
      </c>
      <c r="CD2875" t="inlineStr">
        <is>
          <t>5</t>
        </is>
      </c>
      <c r="CE2875" t="inlineStr">
        <is>
          <t>0</t>
        </is>
      </c>
      <c r="CF2875" t="inlineStr">
        <is>
          <t>Q1-W10</t>
        </is>
      </c>
      <c r="CG2875" t="inlineStr">
        <is>
          <t>Q2-W01</t>
        </is>
      </c>
      <c r="CH2875" t="inlineStr">
        <is>
          <t>Q2-W01</t>
        </is>
      </c>
      <c r="CI2875"/>
      <c r="CJ2875" t="inlineStr">
        <is>
          <t>Paid</t>
        </is>
      </c>
      <c r="CK2875" t="inlineStr">
        <is>
          <t>Eligible</t>
        </is>
      </c>
      <c r="CL2875"/>
      <c r="CM2875"/>
    </row>
    <row r="2876" ht="25.5" customHeight="1">
      <c r="A2876" t="inlineStr">
        <is>
          <t>169770</t>
        </is>
      </c>
      <c r="B2876" s="2"/>
      <c r="C2876"/>
      <c r="D2876" s="3">
        <v>46118.59515046296</v>
      </c>
      <c r="E2876" t="inlineStr">
        <is>
          <t>Q2-W01</t>
        </is>
      </c>
      <c r="F2876" t="inlineStr">
        <is>
          <t>Ratha</t>
        </is>
      </c>
      <c r="G2876" t="inlineStr">
        <is>
          <t>Customer</t>
        </is>
      </c>
      <c r="H2876" s="2" t="str">
        <f>=HYPERLINK("https://upbox.ajobthing.my/customer/169770", "https://upbox.ajobthing.my/customer/169770")</f>
        <v>https://upbox.ajobthing.my/customer/169770</v>
      </c>
      <c r="I2876" t="inlineStr">
        <is>
          <t>Hyphens Pharma Sdn Bhd</t>
        </is>
      </c>
      <c r="J2876" t="inlineStr">
        <is>
          <t>Whale</t>
        </is>
      </c>
      <c r="K2876" t="inlineStr">
        <is>
          <t>Ratha</t>
        </is>
      </c>
      <c r="L2876" s="4"/>
      <c r="M2876" s="4">
        <v>46118.59574074074</v>
      </c>
      <c r="N2876"/>
      <c r="O2876">
        <v>3672</v>
      </c>
      <c r="P2876" s="4"/>
      <c r="Q2876" s="4">
        <v>46118.62564814815</v>
      </c>
      <c r="R2876"/>
      <c r="S2876">
        <v>0</v>
      </c>
      <c r="T2876" s="4">
        <v>45852.609456018516</v>
      </c>
      <c r="U2876" s="4"/>
      <c r="V2876"/>
      <c r="W2876">
        <v>648</v>
      </c>
      <c r="X2876"/>
      <c r="Y2876" t="inlineStr">
        <is>
          <t>Pending Appointment</t>
        </is>
      </c>
      <c r="Z2876" t="inlineStr">
        <is>
          <t>Continuous Hiring</t>
        </is>
      </c>
      <c r="AA2876">
        <v>2</v>
      </c>
      <c r="AB2876" t="inlineStr">
        <is>
          <t>No Appointment Made</t>
        </is>
      </c>
      <c r="AC2876"/>
      <c r="AD2876" t="inlineStr">
        <is>
          <t>Admin
Sales
Location : PJ</t>
        </is>
      </c>
      <c r="AE2876"/>
      <c r="AF2876"/>
      <c r="AG2876" s="4"/>
      <c r="AH2876" s="4"/>
      <c r="AI2876">
        <v>0</v>
      </c>
      <c r="AJ2876">
        <v>1</v>
      </c>
      <c r="AK2876" t="inlineStr">
        <is>
          <t>Yes, I have</t>
        </is>
      </c>
      <c r="AL2876">
        <v>2</v>
      </c>
      <c r="AM2876" t="inlineStr">
        <is>
          <t>No, I don't need at all</t>
        </is>
      </c>
      <c r="AN2876"/>
      <c r="AO2876" t="inlineStr">
        <is>
          <t>Yes, I have</t>
        </is>
      </c>
      <c r="AP2876" t="inlineStr">
        <is>
          <t>Once per quarter (75%)</t>
        </is>
      </c>
      <c r="AQ2876">
        <v>0</v>
      </c>
      <c r="AR2876" t="inlineStr">
        <is>
          <t>Jobstreet, Free Job Portal</t>
        </is>
      </c>
      <c r="AS2876" t="inlineStr">
        <is>
          <t>- Headcount: 2
- Hiring Job Details: Admin, Sales (Location: PJ)
- Hiring Urgency: Continuous Hiring
- Number of outlets: 1
- Have recruiter team: Yes
- Number of recruiter in company: 2
- Have ATS system: No, I don't need at all
- Have career website: Yes
- Current hiring budget: Not specified
- Whole year budget: RM0.00
- Whole year number of vacancies: 0
- Hiring frequency: Once per quarter (75%)
- External job portal: Jobstreet, Free Job Portal</t>
        </is>
      </c>
      <c r="AT2876">
        <v>65</v>
      </c>
      <c r="AU2876" t="inlineStr">
        <is>
          <t>0.65</t>
        </is>
      </c>
      <c r="AV2876" t="inlineStr">
        <is>
          <t>5</t>
        </is>
      </c>
      <c r="AW2876" t="inlineStr">
        <is>
          <t>0</t>
        </is>
      </c>
      <c r="AX2876" t="inlineStr">
        <is>
          <t>Not Qualified</t>
        </is>
      </c>
      <c r="AY2876" s="4"/>
      <c r="AZ2876"/>
      <c r="BA2876"/>
      <c r="BB2876"/>
      <c r="BC2876" t="inlineStr">
        <is>
          <t>no answer</t>
        </is>
      </c>
      <c r="BD2876" s="4">
        <v>46140.71907407408</v>
      </c>
      <c r="BE2876" t="inlineStr">
        <is>
          <t>paid</t>
        </is>
      </c>
      <c r="BF2876"/>
      <c r="BG2876" t="inlineStr">
        <is>
          <t>Reschedule</t>
        </is>
      </c>
      <c r="BH2876" t="inlineStr">
        <is>
          <t>Fauziah Maharan</t>
        </is>
      </c>
      <c r="BI2876" t="inlineStr">
        <is>
          <t>BioTech / Pharmaceutical</t>
        </is>
      </c>
      <c r="BJ2876" s="4">
        <v>46144.75140046296</v>
      </c>
      <c r="BK2876" s="4">
        <v>45140.64310185185</v>
      </c>
      <c r="BL2876" t="inlineStr">
        <is>
          <t>648.0</t>
        </is>
      </c>
      <c r="BM2876" t="inlineStr">
        <is>
          <t>5400.0</t>
        </is>
      </c>
      <c r="BN2876" t="inlineStr">
        <is>
          <t>PA Visit - Job Card</t>
        </is>
      </c>
      <c r="BO2876" s="4">
        <v>46134.42729166667</v>
      </c>
      <c r="BP2876">
        <v>165392</v>
      </c>
      <c r="BQ2876">
        <v>120180</v>
      </c>
      <c r="BR2876" t="inlineStr">
        <is>
          <t>Proforma</t>
        </is>
      </c>
      <c r="BS2876" t="inlineStr">
        <is>
          <t>Free Internship Job</t>
        </is>
      </c>
      <c r="BT2876">
        <v>80740</v>
      </c>
      <c r="BU2876"/>
      <c r="BV2876">
        <v>2733791</v>
      </c>
      <c r="BW2876" t="inlineStr">
        <is>
          <t>No Answer : Voicemail - WA sent to customer</t>
        </is>
      </c>
      <c r="BX2876"/>
      <c r="BY2876"/>
      <c r="BZ2876" s="4"/>
      <c r="CA2876">
        <v>10</v>
      </c>
      <c r="CB2876">
        <v>10</v>
      </c>
      <c r="CC2876" s="4"/>
      <c r="CD2876" t="inlineStr">
        <is>
          <t>5</t>
        </is>
      </c>
      <c r="CE2876" t="inlineStr">
        <is>
          <t>0</t>
        </is>
      </c>
      <c r="CF2876" t="inlineStr">
        <is>
          <t>Q2-W01</t>
        </is>
      </c>
      <c r="CG2876" t="inlineStr">
        <is>
          <t>Q2-W01</t>
        </is>
      </c>
      <c r="CH2876"/>
      <c r="CI2876"/>
      <c r="CJ2876" t="inlineStr">
        <is>
          <t>Paid</t>
        </is>
      </c>
      <c r="CK2876" t="inlineStr">
        <is>
          <t>Eligible</t>
        </is>
      </c>
      <c r="CL2876"/>
      <c r="CM2876"/>
    </row>
    <row r="2877" ht="25.5" customHeight="1">
      <c r="A2877" t="inlineStr">
        <is>
          <t>202856</t>
        </is>
      </c>
      <c r="B2877" s="2"/>
      <c r="C2877"/>
      <c r="D2877" s="3">
        <v>46118.59741898148</v>
      </c>
      <c r="E2877" t="inlineStr">
        <is>
          <t>Q2-W01</t>
        </is>
      </c>
      <c r="F2877" t="inlineStr">
        <is>
          <t>Angel  Low</t>
        </is>
      </c>
      <c r="G2877" t="inlineStr">
        <is>
          <t>Customer</t>
        </is>
      </c>
      <c r="H2877" s="2" t="str">
        <f>=HYPERLINK("https://upbox.ajobthing.my/customer/202856", "https://upbox.ajobthing.my/customer/202856")</f>
        <v>https://upbox.ajobthing.my/customer/202856</v>
      </c>
      <c r="I2877" t="inlineStr">
        <is>
          <t>Jaya Auto World Sdn Bhd</t>
        </is>
      </c>
      <c r="J2877" t="inlineStr">
        <is>
          <t>Whale</t>
        </is>
      </c>
      <c r="K2877" t="inlineStr">
        <is>
          <t>Angel Low</t>
        </is>
      </c>
      <c r="L2877" s="4"/>
      <c r="M2877" s="4">
        <v>46118.59815972222</v>
      </c>
      <c r="N2877"/>
      <c r="O2877">
        <v>3672</v>
      </c>
      <c r="P2877" s="4"/>
      <c r="Q2877" s="4">
        <v>46119.40925925926</v>
      </c>
      <c r="R2877"/>
      <c r="S2877">
        <v>3672</v>
      </c>
      <c r="T2877" s="4">
        <v>46119.40925925926</v>
      </c>
      <c r="U2877" s="4"/>
      <c r="V2877"/>
      <c r="W2877">
        <v>3672</v>
      </c>
      <c r="X2877"/>
      <c r="Y2877" t="inlineStr">
        <is>
          <t>Pending Appointment</t>
        </is>
      </c>
      <c r="Z2877" t="inlineStr">
        <is>
          <t>Hiring Now</t>
        </is>
      </c>
      <c r="AA2877">
        <v>3</v>
      </c>
      <c r="AB2877" t="inlineStr">
        <is>
          <t>No Appointment Made</t>
        </is>
      </c>
      <c r="AC2877"/>
      <c r="AD2877" t="inlineStr">
        <is>
          <t>3 sales exec</t>
        </is>
      </c>
      <c r="AE2877"/>
      <c r="AF2877"/>
      <c r="AG2877" s="4"/>
      <c r="AH2877" s="4"/>
      <c r="AI2877"/>
      <c r="AJ2877">
        <v>2</v>
      </c>
      <c r="AK2877" t="inlineStr">
        <is>
          <t>No, I don't need at all</t>
        </is>
      </c>
      <c r="AL2877"/>
      <c r="AM2877"/>
      <c r="AN2877"/>
      <c r="AO2877"/>
      <c r="AP2877" t="inlineStr">
        <is>
          <t>Twice a year (50%)</t>
        </is>
      </c>
      <c r="AQ2877"/>
      <c r="AR2877"/>
      <c r="AS2877" t="inlineStr">
        <is>
          <t>- Headcount: 3
- Hiring Job Details: 3 sales exec
- Hiring Urgency: Hiring Now
- Number of outlets: 2
- Have recruiter team: No, I don't need at all
- Number of recruiter in company: N/A
- Have ATS system: N/A
- Have career website: N/A
- Current hiring budget: N/A
- Whole year budget: N/A
- Whole year number of vacancies: N/A
- Hiring frequency: Twice a year (50%)
- External job portal: N/A</t>
        </is>
      </c>
      <c r="AT2877">
        <v>95</v>
      </c>
      <c r="AU2877" t="inlineStr">
        <is>
          <t>0.95</t>
        </is>
      </c>
      <c r="AV2877" t="inlineStr">
        <is>
          <t>5</t>
        </is>
      </c>
      <c r="AW2877" t="inlineStr">
        <is>
          <t>0</t>
        </is>
      </c>
      <c r="AX2877" t="inlineStr">
        <is>
          <t>Not Qualified</t>
        </is>
      </c>
      <c r="AY2877" s="4"/>
      <c r="AZ2877"/>
      <c r="BA2877"/>
      <c r="BB2877"/>
      <c r="BC2877" t="inlineStr">
        <is>
          <t>done payment</t>
        </is>
      </c>
      <c r="BD2877" s="4">
        <v>46119.39482638889</v>
      </c>
      <c r="BE2877" t="inlineStr">
        <is>
          <t>paid</t>
        </is>
      </c>
      <c r="BF2877" t="inlineStr">
        <is>
          <t>Q2-W01</t>
        </is>
      </c>
      <c r="BG2877" t="inlineStr">
        <is>
          <t>Reschedule</t>
        </is>
      </c>
      <c r="BH2877" t="inlineStr">
        <is>
          <t>Fauziah Maharan</t>
        </is>
      </c>
      <c r="BI2877" t="inlineStr">
        <is>
          <t>General / Wholesale Trading</t>
        </is>
      </c>
      <c r="BJ2877" s="4">
        <v>46144.75414351852</v>
      </c>
      <c r="BK2877" s="4">
        <v>46118.58033564815</v>
      </c>
      <c r="BL2877" t="inlineStr">
        <is>
          <t>3672.0</t>
        </is>
      </c>
      <c r="BM2877" t="inlineStr">
        <is>
          <t>1800.0</t>
        </is>
      </c>
      <c r="BN2877" t="inlineStr">
        <is>
          <t>View Company Page</t>
        </is>
      </c>
      <c r="BO2877" s="4">
        <v>46140.444375</v>
      </c>
      <c r="BP2877">
        <v>165395</v>
      </c>
      <c r="BQ2877">
        <v>91476</v>
      </c>
      <c r="BR2877" t="inlineStr">
        <is>
          <t>Online</t>
        </is>
      </c>
      <c r="BS2877"/>
      <c r="BT2877">
        <v>91476</v>
      </c>
      <c r="BU2877"/>
      <c r="BV2877">
        <v>2687805</v>
      </c>
      <c r="BW2877" t="inlineStr">
        <is>
          <t>Follow Up : Win - Customer Paid</t>
        </is>
      </c>
      <c r="BX2877">
        <v>6</v>
      </c>
      <c r="BY2877">
        <v>4</v>
      </c>
      <c r="BZ2877" s="4">
        <v>46119.47659722222</v>
      </c>
      <c r="CA2877">
        <v>73</v>
      </c>
      <c r="CB2877">
        <v>63</v>
      </c>
      <c r="CC2877" s="4">
        <v>46140.44980324074</v>
      </c>
      <c r="CD2877" t="inlineStr">
        <is>
          <t>5</t>
        </is>
      </c>
      <c r="CE2877" t="inlineStr">
        <is>
          <t>0</t>
        </is>
      </c>
      <c r="CF2877" t="inlineStr">
        <is>
          <t>Q2-W01</t>
        </is>
      </c>
      <c r="CG2877" t="inlineStr">
        <is>
          <t>Q2-W01</t>
        </is>
      </c>
      <c r="CH2877" t="inlineStr">
        <is>
          <t>Q2-W01</t>
        </is>
      </c>
      <c r="CI2877"/>
      <c r="CJ2877" t="inlineStr">
        <is>
          <t>Paid</t>
        </is>
      </c>
      <c r="CK2877" t="inlineStr">
        <is>
          <t>Eligible</t>
        </is>
      </c>
      <c r="CL2877"/>
      <c r="CM2877"/>
    </row>
    <row r="2878" ht="25.5" customHeight="1">
      <c r="A2878" t="inlineStr">
        <is>
          <t>6603</t>
        </is>
      </c>
      <c r="B2878" s="2"/>
      <c r="C2878"/>
      <c r="D2878" s="3">
        <v>46118.600648148145</v>
      </c>
      <c r="E2878" t="inlineStr">
        <is>
          <t>Q2-W01</t>
        </is>
      </c>
      <c r="F2878" t="inlineStr">
        <is>
          <t>Carmen</t>
        </is>
      </c>
      <c r="G2878" t="inlineStr">
        <is>
          <t>Customer</t>
        </is>
      </c>
      <c r="H2878" s="2" t="str">
        <f>=HYPERLINK("https://upbox.ajobthing.my/customer/6603", "https://upbox.ajobthing.my/customer/6603")</f>
        <v>https://upbox.ajobthing.my/customer/6603</v>
      </c>
      <c r="I2878" t="inlineStr">
        <is>
          <t>CFL Industries Sdn. Bhd.</t>
        </is>
      </c>
      <c r="J2878" t="inlineStr">
        <is>
          <t>Whale</t>
        </is>
      </c>
      <c r="K2878" t="inlineStr">
        <is>
          <t>Carmen</t>
        </is>
      </c>
      <c r="L2878" s="4"/>
      <c r="M2878" s="4">
        <v>46118.59987268518</v>
      </c>
      <c r="N2878"/>
      <c r="O2878">
        <v>3888</v>
      </c>
      <c r="P2878" s="4"/>
      <c r="Q2878" s="4">
        <v>46118.59670138889</v>
      </c>
      <c r="R2878"/>
      <c r="S2878">
        <v>0</v>
      </c>
      <c r="T2878" s="4">
        <v>45771.955243055556</v>
      </c>
      <c r="U2878" s="4"/>
      <c r="V2878"/>
      <c r="W2878">
        <v>648</v>
      </c>
      <c r="X2878"/>
      <c r="Y2878" t="inlineStr">
        <is>
          <t>Pending Appointment</t>
        </is>
      </c>
      <c r="Z2878" t="inlineStr">
        <is>
          <t>Hiring Now</t>
        </is>
      </c>
      <c r="AA2878">
        <v>1</v>
      </c>
      <c r="AB2878" t="inlineStr">
        <is>
          <t>No Appointment Made</t>
        </is>
      </c>
      <c r="AC2878"/>
      <c r="AD2878" t="inlineStr">
        <is>
          <t>1 sales</t>
        </is>
      </c>
      <c r="AE2878"/>
      <c r="AF2878">
        <v>3000</v>
      </c>
      <c r="AG2878" s="4"/>
      <c r="AH2878" s="4"/>
      <c r="AI2878"/>
      <c r="AJ2878"/>
      <c r="AK2878" t="inlineStr">
        <is>
          <t>Yes, I have</t>
        </is>
      </c>
      <c r="AL2878">
        <v>1</v>
      </c>
      <c r="AM2878" t="inlineStr">
        <is>
          <t>No, I don't need at all</t>
        </is>
      </c>
      <c r="AN2878"/>
      <c r="AO2878" t="inlineStr">
        <is>
          <t>No, I don't need at all</t>
        </is>
      </c>
      <c r="AP2878" t="inlineStr">
        <is>
          <t>Twice a year (50%)</t>
        </is>
      </c>
      <c r="AQ2878"/>
      <c r="AR2878"/>
      <c r="AS2878" t="inlineStr">
        <is>
          <t>- Headcount: 1
- Hiring Job Details: 1 sales
- Hiring Urgency: Hiring Now
- Number of outlets: N/A
- Have recruiter team: Yes
- Number of recruiter in company: 1
- Have ATS system: No, I don't need at all
- Have career website: No, I don't need at all
- Current hiring budget: RM3,000.00
- Whole year budget: N/A
- Whole year number of vacancies: N/A
- Hiring frequency: Twice a year (50%)
- External job portal: N/A</t>
        </is>
      </c>
      <c r="AT2878">
        <v>95</v>
      </c>
      <c r="AU2878" t="inlineStr">
        <is>
          <t>0.95</t>
        </is>
      </c>
      <c r="AV2878" t="inlineStr">
        <is>
          <t>15</t>
        </is>
      </c>
      <c r="AW2878" t="inlineStr">
        <is>
          <t>0</t>
        </is>
      </c>
      <c r="AX2878" t="inlineStr">
        <is>
          <t>Not Qualified</t>
        </is>
      </c>
      <c r="AY2878" s="4"/>
      <c r="AZ2878"/>
      <c r="BA2878"/>
      <c r="BB2878"/>
      <c r="BC2878" t="inlineStr">
        <is>
          <t>currently one havent finish also then told her the discount, she said havent confirm surely post here</t>
        </is>
      </c>
      <c r="BD2878" s="4">
        <v>46140.7296412037</v>
      </c>
      <c r="BE2878" t="inlineStr">
        <is>
          <t>paid</t>
        </is>
      </c>
      <c r="BF2878"/>
      <c r="BG2878" t="inlineStr">
        <is>
          <t>Reschedule</t>
        </is>
      </c>
      <c r="BH2878" t="inlineStr">
        <is>
          <t>Reagen</t>
        </is>
      </c>
      <c r="BI2878" t="inlineStr">
        <is>
          <t>Manufacturing / Production</t>
        </is>
      </c>
      <c r="BJ2878" s="4">
        <v>46144.75612268518</v>
      </c>
      <c r="BK2878" s="4">
        <v>42431.70842592593</v>
      </c>
      <c r="BL2878" t="inlineStr">
        <is>
          <t>0.0</t>
        </is>
      </c>
      <c r="BM2878" t="inlineStr">
        <is>
          <t>5400.0</t>
        </is>
      </c>
      <c r="BN2878" t="inlineStr">
        <is>
          <t>User Visit(Logged In)</t>
        </is>
      </c>
      <c r="BO2878" s="4">
        <v>46118.59601851852</v>
      </c>
      <c r="BP2878">
        <v>165397</v>
      </c>
      <c r="BQ2878">
        <v>120174</v>
      </c>
      <c r="BR2878" t="inlineStr">
        <is>
          <t>Proforma</t>
        </is>
      </c>
      <c r="BS2878" t="inlineStr">
        <is>
          <t>Free Freelance Job</t>
        </is>
      </c>
      <c r="BT2878">
        <v>78771</v>
      </c>
      <c r="BU2878"/>
      <c r="BV2878">
        <v>2733873</v>
      </c>
      <c r="BW2878" t="inlineStr">
        <is>
          <t>Follow Up : Budget Concern</t>
        </is>
      </c>
      <c r="BX2878"/>
      <c r="BY2878"/>
      <c r="BZ2878" s="4"/>
      <c r="CA2878"/>
      <c r="CB2878"/>
      <c r="CC2878" s="4"/>
      <c r="CD2878" t="inlineStr">
        <is>
          <t>20</t>
        </is>
      </c>
      <c r="CE2878" t="inlineStr">
        <is>
          <t>0</t>
        </is>
      </c>
      <c r="CF2878" t="inlineStr">
        <is>
          <t>Q2-W01</t>
        </is>
      </c>
      <c r="CG2878" t="inlineStr">
        <is>
          <t>Q2-W01</t>
        </is>
      </c>
      <c r="CH2878"/>
      <c r="CI2878"/>
      <c r="CJ2878" t="inlineStr">
        <is>
          <t>Paid</t>
        </is>
      </c>
      <c r="CK2878" t="inlineStr">
        <is>
          <t>Eligible</t>
        </is>
      </c>
      <c r="CL2878"/>
      <c r="CM2878"/>
    </row>
    <row r="2879" ht="25.5" customHeight="1">
      <c r="A2879" t="inlineStr">
        <is>
          <t>202852</t>
        </is>
      </c>
      <c r="B2879" s="2"/>
      <c r="C2879"/>
      <c r="D2879" s="3">
        <v>46118.60430555556</v>
      </c>
      <c r="E2879" t="inlineStr">
        <is>
          <t>Q2-W01</t>
        </is>
      </c>
      <c r="F2879" t="inlineStr">
        <is>
          <t>Yuli</t>
        </is>
      </c>
      <c r="G2879" t="inlineStr">
        <is>
          <t>Customer</t>
        </is>
      </c>
      <c r="H2879" s="2" t="str">
        <f>=HYPERLINK("https://upbox.ajobthing.my/customer/202852", "https://upbox.ajobthing.my/customer/202852")</f>
        <v>https://upbox.ajobthing.my/customer/202852</v>
      </c>
      <c r="I2879" t="inlineStr">
        <is>
          <t>V Max 365 Holdings Sdn. Bhd.</t>
        </is>
      </c>
      <c r="J2879" t="inlineStr">
        <is>
          <t>Whale</t>
        </is>
      </c>
      <c r="K2879" t="inlineStr">
        <is>
          <t>YuLi</t>
        </is>
      </c>
      <c r="L2879" s="4"/>
      <c r="M2879" s="4">
        <v>46132.76292824074</v>
      </c>
      <c r="N2879"/>
      <c r="O2879">
        <v>3672</v>
      </c>
      <c r="P2879" s="4"/>
      <c r="Q2879" s="4">
        <v>46118.56135416667</v>
      </c>
      <c r="R2879"/>
      <c r="S2879">
        <v>0</v>
      </c>
      <c r="T2879" s="4"/>
      <c r="U2879" s="4"/>
      <c r="V2879"/>
      <c r="W2879"/>
      <c r="X2879"/>
      <c r="Y2879" t="inlineStr">
        <is>
          <t>Pending Appointment</t>
        </is>
      </c>
      <c r="Z2879" t="inlineStr">
        <is>
          <t>Hiring Now</t>
        </is>
      </c>
      <c r="AA2879">
        <v>3</v>
      </c>
      <c r="AB2879" t="inlineStr">
        <is>
          <t>No Appointment Made</t>
        </is>
      </c>
      <c r="AC2879"/>
      <c r="AD2879" t="inlineStr">
        <is>
          <t>2 Barista
1 Brand Marketing Executive</t>
        </is>
      </c>
      <c r="AE2879"/>
      <c r="AF2879"/>
      <c r="AG2879" s="4"/>
      <c r="AH2879" s="4"/>
      <c r="AI2879"/>
      <c r="AJ2879">
        <v>1</v>
      </c>
      <c r="AK2879" t="inlineStr">
        <is>
          <t>No, I don't need at all</t>
        </is>
      </c>
      <c r="AL2879"/>
      <c r="AM2879"/>
      <c r="AN2879"/>
      <c r="AO2879"/>
      <c r="AP2879"/>
      <c r="AQ2879"/>
      <c r="AR2879" t="inlineStr">
        <is>
          <t>Did not use any job portal</t>
        </is>
      </c>
      <c r="AS2879" t="inlineStr">
        <is>
          <t>- Headcount: 3
- Hiring Job Details: 2 Barista, 1 Brand Marketing Executive
- Hiring Urgency: Hiring Now
- Number of outlets: 1
- Have recruiter team: No, I don't need at all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Did not use any job portal</t>
        </is>
      </c>
      <c r="AT2879">
        <v>90</v>
      </c>
      <c r="AU2879" t="inlineStr">
        <is>
          <t>0.90</t>
        </is>
      </c>
      <c r="AV2879" t="inlineStr">
        <is>
          <t>5</t>
        </is>
      </c>
      <c r="AW2879" t="inlineStr">
        <is>
          <t>0</t>
        </is>
      </c>
      <c r="AX2879" t="inlineStr">
        <is>
          <t>Not Qualified</t>
        </is>
      </c>
      <c r="AY2879" s="4"/>
      <c r="AZ2879"/>
      <c r="BA2879"/>
      <c r="BB2879"/>
      <c r="BC2879" t="inlineStr">
        <is>
          <t>as per Xu, pending decision stil.</t>
        </is>
      </c>
      <c r="BD2879" s="4">
        <v>46142.63414351852</v>
      </c>
      <c r="BE2879" t="inlineStr">
        <is>
          <t>paid</t>
        </is>
      </c>
      <c r="BF2879"/>
      <c r="BG2879" t="inlineStr">
        <is>
          <t>Reschedule</t>
        </is>
      </c>
      <c r="BH2879" t="inlineStr">
        <is>
          <t>Fauziah Maharan</t>
        </is>
      </c>
      <c r="BI2879" t="inlineStr">
        <is>
          <t>Food / Beverage</t>
        </is>
      </c>
      <c r="BJ2879" s="4">
        <v>46144.75414351852</v>
      </c>
      <c r="BK2879" s="4">
        <v>46118.56109953704</v>
      </c>
      <c r="BL2879" t="inlineStr">
        <is>
          <t>0.0</t>
        </is>
      </c>
      <c r="BM2879" t="inlineStr">
        <is>
          <t>0.0</t>
        </is>
      </c>
      <c r="BN2879" t="inlineStr">
        <is>
          <t>User Visit(Logged In)</t>
        </is>
      </c>
      <c r="BO2879" s="4">
        <v>46132.75381944444</v>
      </c>
      <c r="BP2879">
        <v>167919</v>
      </c>
      <c r="BQ2879">
        <v>120146</v>
      </c>
      <c r="BR2879" t="inlineStr">
        <is>
          <t>Proforma</t>
        </is>
      </c>
      <c r="BS2879" t="inlineStr">
        <is>
          <t>Free Freelance Job</t>
        </is>
      </c>
      <c r="BT2879"/>
      <c r="BU2879"/>
      <c r="BV2879">
        <v>2737911</v>
      </c>
      <c r="BW2879" t="inlineStr">
        <is>
          <t>Follow Up : Decision Pending</t>
        </is>
      </c>
      <c r="BX2879"/>
      <c r="BY2879"/>
      <c r="BZ2879" s="4"/>
      <c r="CA2879"/>
      <c r="CB2879"/>
      <c r="CC2879" s="4"/>
      <c r="CD2879" t="inlineStr">
        <is>
          <t>5</t>
        </is>
      </c>
      <c r="CE2879" t="inlineStr">
        <is>
          <t>0</t>
        </is>
      </c>
      <c r="CF2879" t="inlineStr">
        <is>
          <t>Q2-W03</t>
        </is>
      </c>
      <c r="CG2879" t="inlineStr">
        <is>
          <t>Q2-W01</t>
        </is>
      </c>
      <c r="CH2879"/>
      <c r="CI2879"/>
      <c r="CJ2879" t="inlineStr">
        <is>
          <t>No Paid</t>
        </is>
      </c>
      <c r="CK2879" t="inlineStr">
        <is>
          <t>Eligible</t>
        </is>
      </c>
      <c r="CL2879"/>
      <c r="CM2879"/>
    </row>
    <row r="2880" ht="25.5" customHeight="1">
      <c r="A2880" t="inlineStr">
        <is>
          <t>175036</t>
        </is>
      </c>
      <c r="B2880" s="2"/>
      <c r="C2880"/>
      <c r="D2880" s="3">
        <v>46118.610868055555</v>
      </c>
      <c r="E2880" t="inlineStr">
        <is>
          <t>Q2-W01</t>
        </is>
      </c>
      <c r="F2880" t="inlineStr">
        <is>
          <t>Yvonne Lee</t>
        </is>
      </c>
      <c r="G2880" t="inlineStr">
        <is>
          <t>Customer</t>
        </is>
      </c>
      <c r="H2880" s="2" t="str">
        <f>=HYPERLINK("https://upbox.ajobthing.my/customer/175036", "https://upbox.ajobthing.my/customer/175036")</f>
        <v>https://upbox.ajobthing.my/customer/175036</v>
      </c>
      <c r="I2880" t="inlineStr">
        <is>
          <t>Agensi Pekerjaan Minde Group Sdn Bhd</t>
        </is>
      </c>
      <c r="J2880" t="inlineStr">
        <is>
          <t>Whale</t>
        </is>
      </c>
      <c r="K2880" t="inlineStr">
        <is>
          <t>Yvonne</t>
        </is>
      </c>
      <c r="L2880" s="4"/>
      <c r="M2880" s="4">
        <v>46118.61503472222</v>
      </c>
      <c r="N2880"/>
      <c r="O2880">
        <v>21600</v>
      </c>
      <c r="P2880" s="4"/>
      <c r="Q2880" s="4"/>
      <c r="R2880"/>
      <c r="S2880"/>
      <c r="T2880" s="4"/>
      <c r="U2880" s="4"/>
      <c r="V2880"/>
      <c r="W2880"/>
      <c r="X2880"/>
      <c r="Y2880" t="inlineStr">
        <is>
          <t>Pending Appointment</t>
        </is>
      </c>
      <c r="Z2880" t="inlineStr">
        <is>
          <t>Hiring Now</t>
        </is>
      </c>
      <c r="AA2880">
        <v>6</v>
      </c>
      <c r="AB2880" t="inlineStr">
        <is>
          <t>No Appointment Made</t>
        </is>
      </c>
      <c r="AC2880"/>
      <c r="AD2880" t="inlineStr">
        <is>
          <t>1) Admin 
2) HR
3) Engineer positions
4) Finance
5) Recruiter sourcing executive
6) BD Manager</t>
        </is>
      </c>
      <c r="AE2880"/>
      <c r="AF2880">
        <v>20000</v>
      </c>
      <c r="AG2880" s="4"/>
      <c r="AH2880" s="4"/>
      <c r="AI2880">
        <v>20000</v>
      </c>
      <c r="AJ2880">
        <v>1</v>
      </c>
      <c r="AK2880" t="inlineStr">
        <is>
          <t>Yes, I have</t>
        </is>
      </c>
      <c r="AL2880">
        <v>15</v>
      </c>
      <c r="AM2880" t="inlineStr">
        <is>
          <t>No, I don't need at all</t>
        </is>
      </c>
      <c r="AN2880"/>
      <c r="AO2880" t="inlineStr">
        <is>
          <t>Yes, I have</t>
        </is>
      </c>
      <c r="AP2880" t="inlineStr">
        <is>
          <t>Every month (100%)</t>
        </is>
      </c>
      <c r="AQ2880">
        <v>150</v>
      </c>
      <c r="AR2880" t="inlineStr">
        <is>
          <t>Jobstreet</t>
        </is>
      </c>
      <c r="AS2880" t="inlineStr">
        <is>
          <t>- Headcount: 6
- Hiring Job Details: 1 Admin, 2 HR, 3 Engineer positions, 4 Finance, 5 Recruiter sourcing executive, 6 BD Manager
- Hiring Urgency: Hiring Now
- Number of outlets: 1
- Have recruiter team: Yes
- Number of recruiter in company: 15
- Have ATS system: No, I don't need at all
- Have career website: Yes
- Current hiring budget: RM20,000
- Whole year budget: RM20,000.00
- Whole year number of vacancies: 150
- Hiring frequency: Every month (100%)
- External job portal: Jobstreet</t>
        </is>
      </c>
      <c r="AT2880">
        <v>115</v>
      </c>
      <c r="AU2880" t="inlineStr">
        <is>
          <t>1.15</t>
        </is>
      </c>
      <c r="AV2880" t="inlineStr">
        <is>
          <t>25</t>
        </is>
      </c>
      <c r="AW2880" t="inlineStr">
        <is>
          <t>0</t>
        </is>
      </c>
      <c r="AX2880" t="inlineStr">
        <is>
          <t>Not Qualified</t>
        </is>
      </c>
      <c r="AY2880" s="4"/>
      <c r="AZ2880"/>
      <c r="BA2880"/>
      <c r="BB2880"/>
      <c r="BC2880" t="inlineStr">
        <is>
          <t>- Headcount: 6
- Hiring Job Details: 1 Admin, 2 HR, 3 Engineer positions, 4 Finance, 5 Recruiter sourcing executive, 6 BD Manager
- Hiring Urgency: Hiring Now
- Number of outlets: 1
- Have recruiter team: Yes
- Number of recruiter in company: 15
- Have ATS system: No, I don't need at all
- Have career website: Yes
- Current hiring budget: RM20,000
- Whole year budget: RM20,000.00
- Whole year number of vacancies: 150
- Hiring frequency: Every month (100%)
- External job portal: Jobstreet</t>
        </is>
      </c>
      <c r="BD2880" s="4">
        <v>46118.62516203704</v>
      </c>
      <c r="BE2880"/>
      <c r="BF2880"/>
      <c r="BG2880" t="inlineStr">
        <is>
          <t>Reschedule</t>
        </is>
      </c>
      <c r="BH2880" t="inlineStr">
        <is>
          <t>andy@ajobthing.com</t>
        </is>
      </c>
      <c r="BI2880"/>
      <c r="BJ2880" s="4">
        <v>46144.75158564815</v>
      </c>
      <c r="BK2880" s="4">
        <v>45320.76478009259</v>
      </c>
      <c r="BL2880" t="inlineStr">
        <is>
          <t>0.0</t>
        </is>
      </c>
      <c r="BM2880" t="inlineStr">
        <is>
          <t>10800.0</t>
        </is>
      </c>
      <c r="BN2880" t="inlineStr">
        <is>
          <t>View Company Page</t>
        </is>
      </c>
      <c r="BO2880" s="4">
        <v>45320.77141203704</v>
      </c>
      <c r="BP2880">
        <v>165408</v>
      </c>
      <c r="BQ2880"/>
      <c r="BR2880"/>
      <c r="BS2880"/>
      <c r="BT2880"/>
      <c r="BU2880"/>
      <c r="BV2880">
        <v>2686453</v>
      </c>
      <c r="BW2880" t="inlineStr">
        <is>
          <t>Customer Inquiry</t>
        </is>
      </c>
      <c r="BX2880"/>
      <c r="BY2880"/>
      <c r="BZ2880" s="4"/>
      <c r="CA2880"/>
      <c r="CB2880"/>
      <c r="CC2880" s="4"/>
      <c r="CD2880" t="inlineStr">
        <is>
          <t>35</t>
        </is>
      </c>
      <c r="CE2880" t="inlineStr">
        <is>
          <t>0</t>
        </is>
      </c>
      <c r="CF2880" t="inlineStr">
        <is>
          <t>Q2-W01</t>
        </is>
      </c>
      <c r="CG2880"/>
      <c r="CH2880"/>
      <c r="CI2880"/>
      <c r="CJ2880" t="inlineStr">
        <is>
          <t>No Paid</t>
        </is>
      </c>
      <c r="CK2880" t="inlineStr">
        <is>
          <t>Eligible</t>
        </is>
      </c>
      <c r="CL2880"/>
      <c r="CM2880"/>
    </row>
    <row r="2881" ht="25.5" customHeight="1">
      <c r="A2881" t="inlineStr">
        <is>
          <t>179283</t>
        </is>
      </c>
      <c r="B2881" s="2"/>
      <c r="C2881"/>
      <c r="D2881" s="3">
        <v>46118.61986111111</v>
      </c>
      <c r="E2881" t="inlineStr">
        <is>
          <t>Q2-W01</t>
        </is>
      </c>
      <c r="F2881" t="inlineStr">
        <is>
          <t>Alex Chan</t>
        </is>
      </c>
      <c r="G2881" t="inlineStr">
        <is>
          <t>Customer</t>
        </is>
      </c>
      <c r="H2881" s="2" t="str">
        <f>=HYPERLINK("https://upbox.ajobthing.my/customer/179283", "https://upbox.ajobthing.my/customer/179283")</f>
        <v>https://upbox.ajobthing.my/customer/179283</v>
      </c>
      <c r="I2881" t="inlineStr">
        <is>
          <t>Rid Holdings Sdn Bhd</t>
        </is>
      </c>
      <c r="J2881" t="inlineStr">
        <is>
          <t>Whale</t>
        </is>
      </c>
      <c r="K2881" t="inlineStr">
        <is>
          <t>Alex Chan</t>
        </is>
      </c>
      <c r="L2881" s="4"/>
      <c r="M2881" s="4">
        <v>46118.6202662037</v>
      </c>
      <c r="N2881"/>
      <c r="O2881">
        <v>3888</v>
      </c>
      <c r="P2881" s="4"/>
      <c r="Q2881" s="4"/>
      <c r="R2881"/>
      <c r="S2881"/>
      <c r="T2881" s="4"/>
      <c r="U2881" s="4"/>
      <c r="V2881"/>
      <c r="W2881"/>
      <c r="X2881"/>
      <c r="Y2881" t="inlineStr">
        <is>
          <t>Pending Appointment</t>
        </is>
      </c>
      <c r="Z2881" t="inlineStr">
        <is>
          <t>Hiring Now</t>
        </is>
      </c>
      <c r="AA2881">
        <v>2</v>
      </c>
      <c r="AB2881" t="inlineStr">
        <is>
          <t>No Appointment Made</t>
        </is>
      </c>
      <c r="AC2881"/>
      <c r="AD2881" t="inlineStr">
        <is>
          <t>1. Interior Designer
2. ⁠Sales &amp; Marketing</t>
        </is>
      </c>
      <c r="AE2881"/>
      <c r="AF2881">
        <v>3600</v>
      </c>
      <c r="AG2881" s="4"/>
      <c r="AH2881" s="4"/>
      <c r="AI2881">
        <v>3600</v>
      </c>
      <c r="AJ2881">
        <v>1</v>
      </c>
      <c r="AK2881" t="inlineStr">
        <is>
          <t>No, I don't need at all</t>
        </is>
      </c>
      <c r="AL2881">
        <v>1</v>
      </c>
      <c r="AM2881" t="inlineStr">
        <is>
          <t>No, I don't need at all</t>
        </is>
      </c>
      <c r="AN2881"/>
      <c r="AO2881" t="inlineStr">
        <is>
          <t>No, I don't need at all</t>
        </is>
      </c>
      <c r="AP2881" t="inlineStr">
        <is>
          <t>Once a year (25%)</t>
        </is>
      </c>
      <c r="AQ2881">
        <v>1</v>
      </c>
      <c r="AR2881" t="inlineStr">
        <is>
          <t>Free Job Portal</t>
        </is>
      </c>
      <c r="AS2881" t="inlineStr">
        <is>
          <t>- Headcount: 2
- Hiring Job Details: 1. Interior Designer 2. Sales &amp; Marketing
- Hiring Urgency: Hiring Now
- Number of outlets: 1
- Have recruiter team: No, I don't need at all
- Number of recruiter in company: 1
- Have ATS system: No, I don't need at all
- Have career website: No, I don't need at all
- Current hiring budget: RM3,600
- Whole year budget: RM3,600.00
- Whole year number of vacancies: 1
- Hiring frequency: Once a year (25%)
- External job portal: Free Job Portal</t>
        </is>
      </c>
      <c r="AT2881">
        <v>75</v>
      </c>
      <c r="AU2881" t="inlineStr">
        <is>
          <t>0.75</t>
        </is>
      </c>
      <c r="AV2881" t="inlineStr">
        <is>
          <t>15</t>
        </is>
      </c>
      <c r="AW2881" t="inlineStr">
        <is>
          <t>0</t>
        </is>
      </c>
      <c r="AX2881" t="inlineStr">
        <is>
          <t>Not Qualified</t>
        </is>
      </c>
      <c r="AY2881" s="4"/>
      <c r="AZ2881"/>
      <c r="BA2881"/>
      <c r="BB2881"/>
      <c r="BC2881" t="inlineStr">
        <is>
          <t>- Pending</t>
        </is>
      </c>
      <c r="BD2881" s="4">
        <v>46135.43162037037</v>
      </c>
      <c r="BE2881"/>
      <c r="BF2881"/>
      <c r="BG2881" t="inlineStr">
        <is>
          <t>Reschedule</t>
        </is>
      </c>
      <c r="BH2881" t="inlineStr">
        <is>
          <t>Reagen</t>
        </is>
      </c>
      <c r="BI2881" t="inlineStr">
        <is>
          <t>Architecture / Interior Design</t>
        </is>
      </c>
      <c r="BJ2881" s="4">
        <v>46144.75178240741</v>
      </c>
      <c r="BK2881" s="4">
        <v>45453.67563657407</v>
      </c>
      <c r="BL2881" t="inlineStr">
        <is>
          <t>0.0</t>
        </is>
      </c>
      <c r="BM2881" t="inlineStr">
        <is>
          <t>0.0</t>
        </is>
      </c>
      <c r="BN2881" t="inlineStr">
        <is>
          <t>View Company Page</t>
        </is>
      </c>
      <c r="BO2881" s="4">
        <v>46113.43237268519</v>
      </c>
      <c r="BP2881">
        <v>165411</v>
      </c>
      <c r="BQ2881"/>
      <c r="BR2881"/>
      <c r="BS2881"/>
      <c r="BT2881"/>
      <c r="BU2881"/>
      <c r="BV2881">
        <v>2722453</v>
      </c>
      <c r="BW2881" t="inlineStr">
        <is>
          <t>Follow Up : Decision Pending</t>
        </is>
      </c>
      <c r="BX2881"/>
      <c r="BY2881"/>
      <c r="BZ2881" s="4"/>
      <c r="CA2881"/>
      <c r="CB2881"/>
      <c r="CC2881" s="4"/>
      <c r="CD2881" t="inlineStr">
        <is>
          <t>20</t>
        </is>
      </c>
      <c r="CE2881" t="inlineStr">
        <is>
          <t>0</t>
        </is>
      </c>
      <c r="CF2881" t="inlineStr">
        <is>
          <t>Q2-W01</t>
        </is>
      </c>
      <c r="CG2881"/>
      <c r="CH2881"/>
      <c r="CI2881"/>
      <c r="CJ2881" t="inlineStr">
        <is>
          <t>No Paid</t>
        </is>
      </c>
      <c r="CK2881" t="inlineStr">
        <is>
          <t>Eligible</t>
        </is>
      </c>
      <c r="CL2881"/>
      <c r="CM2881"/>
    </row>
    <row r="2882" ht="25.5" customHeight="1">
      <c r="A2882" t="inlineStr">
        <is>
          <t>170867</t>
        </is>
      </c>
      <c r="B2882" s="2"/>
      <c r="C2882"/>
      <c r="D2882" s="3">
        <v>46118.631574074076</v>
      </c>
      <c r="E2882" t="inlineStr">
        <is>
          <t>Q2-W01</t>
        </is>
      </c>
      <c r="F2882" t="inlineStr">
        <is>
          <t>Jess</t>
        </is>
      </c>
      <c r="G2882" t="inlineStr">
        <is>
          <t>Customer</t>
        </is>
      </c>
      <c r="H2882" s="2" t="str">
        <f>=HYPERLINK("https://upbox.ajobthing.my/customer/170867", "https://upbox.ajobthing.my/customer/170867")</f>
        <v>https://upbox.ajobthing.my/customer/170867</v>
      </c>
      <c r="I2882" t="inlineStr">
        <is>
          <t>Team Keris Berhad</t>
        </is>
      </c>
      <c r="J2882" t="inlineStr">
        <is>
          <t>Whale</t>
        </is>
      </c>
      <c r="K2882" t="inlineStr">
        <is>
          <t>Jess Lim</t>
        </is>
      </c>
      <c r="L2882" s="4"/>
      <c r="M2882" s="4">
        <v>46140.5131712963</v>
      </c>
      <c r="N2882"/>
      <c r="O2882">
        <v>10381</v>
      </c>
      <c r="P2882" s="4"/>
      <c r="Q2882" s="4">
        <v>46113.49518518519</v>
      </c>
      <c r="R2882"/>
      <c r="S2882">
        <v>0</v>
      </c>
      <c r="T2882" s="4">
        <v>45743.43362268519</v>
      </c>
      <c r="U2882" s="4"/>
      <c r="V2882"/>
      <c r="W2882">
        <v>8748</v>
      </c>
      <c r="X2882"/>
      <c r="Y2882" t="inlineStr">
        <is>
          <t>Pending Appointment</t>
        </is>
      </c>
      <c r="Z2882" t="inlineStr">
        <is>
          <t>Hiring Now</t>
        </is>
      </c>
      <c r="AA2882">
        <v>5</v>
      </c>
      <c r="AB2882" t="inlineStr">
        <is>
          <t>No Appointment Made</t>
        </is>
      </c>
      <c r="AC2882"/>
      <c r="AD2882" t="inlineStr">
        <is>
          <t>beauting pa qs digital 5 positions
1 mandarin</t>
        </is>
      </c>
      <c r="AE2882"/>
      <c r="AF2882">
        <v>5600</v>
      </c>
      <c r="AG2882" s="4"/>
      <c r="AH2882" s="4"/>
      <c r="AI2882"/>
      <c r="AJ2882">
        <v>1</v>
      </c>
      <c r="AK2882" t="inlineStr">
        <is>
          <t>Yes, I have</t>
        </is>
      </c>
      <c r="AL2882">
        <v>2</v>
      </c>
      <c r="AM2882" t="inlineStr">
        <is>
          <t>No, I don't need at all</t>
        </is>
      </c>
      <c r="AN2882"/>
      <c r="AO2882"/>
      <c r="AP2882" t="inlineStr">
        <is>
          <t>Twice a year (50%)</t>
        </is>
      </c>
      <c r="AQ2882"/>
      <c r="AR2882" t="inlineStr">
        <is>
          <t>Jobstreet</t>
        </is>
      </c>
      <c r="AS2882" t="inlineStr">
        <is>
          <t>- Headcount: 5
- Hiring Job Details: beauting pa qs digital 5 positions; 1 mandarin
- Hiring Urgency: Hiring Now
- Number of outlets: 1
- Have recruiter team: Yes
- Number of recruiter in company: 2
- Have ATS system: No, I don't need at all
- Have career website: Not specified
- Current hiring budget: RM5,600.00
- Whole year budget: Not specified
- Whole year number of vacancies: Not specified
- Hiring frequency: Twice a year (50%)
- External job portal: Jobstreet</t>
        </is>
      </c>
      <c r="AT2882">
        <v>95</v>
      </c>
      <c r="AU2882" t="inlineStr">
        <is>
          <t>0.95</t>
        </is>
      </c>
      <c r="AV2882" t="inlineStr">
        <is>
          <t>20</t>
        </is>
      </c>
      <c r="AW2882" t="inlineStr">
        <is>
          <t>0</t>
        </is>
      </c>
      <c r="AX2882" t="inlineStr">
        <is>
          <t>Not Qualified</t>
        </is>
      </c>
      <c r="AY2882" s="4"/>
      <c r="AZ2882"/>
      <c r="BA2882"/>
      <c r="BB2882"/>
      <c r="BC2882" t="inlineStr">
        <is>
          <t>- Headcount: 5
- Hiring Job Details: beauting pa qs digital 5 positions; 1 mandarin
- Hiring Urgency: Hiring Now
- Number of outlets: 1
- Have recruiter team: Yes
- Number of recruiter in company: 2
- Have ATS system: No, I don't need at all
- Have career website: Not specified
- Current hiring budget: RM5,600.00
- Whole year budget: Not specified
- Whole year number of vacancies: Not specified
- Hiring frequency: Twice a year (50%)
- External job portal: Jobstreet</t>
        </is>
      </c>
      <c r="BD2882" s="4">
        <v>46118.66670138889</v>
      </c>
      <c r="BE2882" t="inlineStr">
        <is>
          <t>paid</t>
        </is>
      </c>
      <c r="BF2882"/>
      <c r="BG2882" t="inlineStr">
        <is>
          <t>Reschedule</t>
        </is>
      </c>
      <c r="BH2882" t="inlineStr">
        <is>
          <t>Fauziah Maharan</t>
        </is>
      </c>
      <c r="BI2882" t="inlineStr">
        <is>
          <t>Property / Real Estate</t>
        </is>
      </c>
      <c r="BJ2882" s="4">
        <v>46144.75142361111</v>
      </c>
      <c r="BK2882" s="4">
        <v>45177.628645833334</v>
      </c>
      <c r="BL2882" t="inlineStr">
        <is>
          <t>0.0</t>
        </is>
      </c>
      <c r="BM2882" t="inlineStr">
        <is>
          <t>11400.0</t>
        </is>
      </c>
      <c r="BN2882" t="inlineStr">
        <is>
          <t>View Company Page</t>
        </is>
      </c>
      <c r="BO2882" s="4">
        <v>46141.44694444445</v>
      </c>
      <c r="BP2882">
        <v>169224</v>
      </c>
      <c r="BQ2882">
        <v>119192</v>
      </c>
      <c r="BR2882" t="inlineStr">
        <is>
          <t>Proforma</t>
        </is>
      </c>
      <c r="BS2882" t="inlineStr">
        <is>
          <t>Free Singapore Job</t>
        </is>
      </c>
      <c r="BT2882">
        <v>78003</v>
      </c>
      <c r="BU2882"/>
      <c r="BV2882">
        <v>2686896</v>
      </c>
      <c r="BW2882" t="inlineStr">
        <is>
          <t>Customer Inquiry</t>
        </is>
      </c>
      <c r="BX2882"/>
      <c r="BY2882"/>
      <c r="BZ2882" s="4"/>
      <c r="CA2882"/>
      <c r="CB2882"/>
      <c r="CC2882" s="4"/>
      <c r="CD2882" t="inlineStr">
        <is>
          <t>30</t>
        </is>
      </c>
      <c r="CE2882" t="inlineStr">
        <is>
          <t>0</t>
        </is>
      </c>
      <c r="CF2882" t="inlineStr">
        <is>
          <t>Q2-W04</t>
        </is>
      </c>
      <c r="CG2882" t="inlineStr">
        <is>
          <t>Q1-W13</t>
        </is>
      </c>
      <c r="CH2882"/>
      <c r="CI2882"/>
      <c r="CJ2882" t="inlineStr">
        <is>
          <t>Paid</t>
        </is>
      </c>
      <c r="CK2882" t="inlineStr">
        <is>
          <t>Eligible</t>
        </is>
      </c>
      <c r="CL2882"/>
      <c r="CM2882"/>
    </row>
    <row r="2883" ht="25.5" customHeight="1">
      <c r="A2883" t="inlineStr">
        <is>
          <t>141323</t>
        </is>
      </c>
      <c r="B2883" s="2"/>
      <c r="C2883"/>
      <c r="D2883" s="3">
        <v>46118.637766203705</v>
      </c>
      <c r="E2883" t="inlineStr">
        <is>
          <t>Q2-W01</t>
        </is>
      </c>
      <c r="F2883" t="inlineStr">
        <is>
          <t>Angel  Low</t>
        </is>
      </c>
      <c r="G2883" t="inlineStr">
        <is>
          <t>Customer</t>
        </is>
      </c>
      <c r="H2883" s="2" t="str">
        <f>=HYPERLINK("https://upbox.ajobthing.my/customer/141323", "https://upbox.ajobthing.my/customer/141323")</f>
        <v>https://upbox.ajobthing.my/customer/141323</v>
      </c>
      <c r="I2883" t="inlineStr">
        <is>
          <t>Sol Power Engineering Sdn Bhd</t>
        </is>
      </c>
      <c r="J2883" t="inlineStr">
        <is>
          <t>Whale</t>
        </is>
      </c>
      <c r="K2883" t="inlineStr">
        <is>
          <t>Angel Low</t>
        </is>
      </c>
      <c r="L2883" s="4"/>
      <c r="M2883" s="4">
        <v>46118.638761574075</v>
      </c>
      <c r="N2883"/>
      <c r="O2883">
        <v>5508</v>
      </c>
      <c r="P2883" s="4"/>
      <c r="Q2883" s="4">
        <v>46120.49475694444</v>
      </c>
      <c r="R2883"/>
      <c r="S2883">
        <v>5508</v>
      </c>
      <c r="T2883" s="4">
        <v>46120.49475694444</v>
      </c>
      <c r="U2883" s="4"/>
      <c r="V2883"/>
      <c r="W2883">
        <v>5508</v>
      </c>
      <c r="X2883" t="inlineStr">
        <is>
          <t>Fauziah Maharan</t>
        </is>
      </c>
      <c r="Y2883" t="inlineStr">
        <is>
          <t>Pending Appointment</t>
        </is>
      </c>
      <c r="Z2883"/>
      <c r="AA2883">
        <v>2</v>
      </c>
      <c r="AB2883" t="inlineStr">
        <is>
          <t>Appointment Made</t>
        </is>
      </c>
      <c r="AC2883"/>
      <c r="AD2883" t="inlineStr">
        <is>
          <t xml:space="preserve">1 engineering 1 operator </t>
        </is>
      </c>
      <c r="AE2883"/>
      <c r="AF2883"/>
      <c r="AG2883" s="4">
        <v>46118.645833333336</v>
      </c>
      <c r="AH2883" s="4">
        <v>46116.666666666664</v>
      </c>
      <c r="AI2883"/>
      <c r="AJ2883"/>
      <c r="AK2883"/>
      <c r="AL2883"/>
      <c r="AM2883"/>
      <c r="AN2883"/>
      <c r="AO2883"/>
      <c r="AP2883"/>
      <c r="AQ2883"/>
      <c r="AR2883"/>
      <c r="AS2883" t="inlineStr">
        <is>
          <t>- Headcount: 2
- Hiring Job Details: 1 engineering, 1 operator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883">
        <v>60</v>
      </c>
      <c r="AU2883" t="inlineStr">
        <is>
          <t>0.60</t>
        </is>
      </c>
      <c r="AV2883" t="inlineStr">
        <is>
          <t>5</t>
        </is>
      </c>
      <c r="AW2883" t="inlineStr">
        <is>
          <t>0</t>
        </is>
      </c>
      <c r="AX2883" t="inlineStr">
        <is>
          <t>Not Qualified</t>
        </is>
      </c>
      <c r="AY2883" s="4"/>
      <c r="AZ2883"/>
      <c r="BA2883"/>
      <c r="BB2883"/>
      <c r="BC2883" t="inlineStr">
        <is>
          <t>done payment</t>
        </is>
      </c>
      <c r="BD2883" s="4">
        <v>46120.46493055556</v>
      </c>
      <c r="BE2883" t="inlineStr">
        <is>
          <t>paid</t>
        </is>
      </c>
      <c r="BF2883" t="inlineStr">
        <is>
          <t>Q2-W01</t>
        </is>
      </c>
      <c r="BG2883" t="inlineStr">
        <is>
          <t>Reschedule</t>
        </is>
      </c>
      <c r="BH2883" t="inlineStr">
        <is>
          <t>Fauziah Maharan</t>
        </is>
      </c>
      <c r="BI2883" t="inlineStr">
        <is>
          <t>Construction / Building</t>
        </is>
      </c>
      <c r="BJ2883" s="4">
        <v>46144.75067129629</v>
      </c>
      <c r="BK2883" s="4">
        <v>44467.42668981481</v>
      </c>
      <c r="BL2883" t="inlineStr">
        <is>
          <t>5508.0</t>
        </is>
      </c>
      <c r="BM2883" t="inlineStr">
        <is>
          <t>1200.0</t>
        </is>
      </c>
      <c r="BN2883" t="inlineStr">
        <is>
          <t>PA Visit - Job Card</t>
        </is>
      </c>
      <c r="BO2883" s="4">
        <v>46142.64252314815</v>
      </c>
      <c r="BP2883">
        <v>165435</v>
      </c>
      <c r="BQ2883">
        <v>92024</v>
      </c>
      <c r="BR2883" t="inlineStr">
        <is>
          <t>Online</t>
        </is>
      </c>
      <c r="BS2883"/>
      <c r="BT2883">
        <v>92024</v>
      </c>
      <c r="BU2883"/>
      <c r="BV2883">
        <v>2691652</v>
      </c>
      <c r="BW2883" t="inlineStr">
        <is>
          <t>Follow Up : Win - Customer Paid</t>
        </is>
      </c>
      <c r="BX2883">
        <v>16</v>
      </c>
      <c r="BY2883">
        <v>14</v>
      </c>
      <c r="BZ2883" s="4">
        <v>46129.693194444444</v>
      </c>
      <c r="CA2883">
        <v>173</v>
      </c>
      <c r="CB2883">
        <v>173</v>
      </c>
      <c r="CC2883" s="4"/>
      <c r="CD2883" t="inlineStr">
        <is>
          <t>5</t>
        </is>
      </c>
      <c r="CE2883" t="inlineStr">
        <is>
          <t>0</t>
        </is>
      </c>
      <c r="CF2883" t="inlineStr">
        <is>
          <t>Q2-W01</t>
        </is>
      </c>
      <c r="CG2883" t="inlineStr">
        <is>
          <t>Q2-W01</t>
        </is>
      </c>
      <c r="CH2883" t="inlineStr">
        <is>
          <t>Q2-W01</t>
        </is>
      </c>
      <c r="CI2883"/>
      <c r="CJ2883" t="inlineStr">
        <is>
          <t>Paid</t>
        </is>
      </c>
      <c r="CK2883" t="inlineStr">
        <is>
          <t>Eligible</t>
        </is>
      </c>
      <c r="CL2883"/>
      <c r="CM2883"/>
    </row>
    <row r="2884" ht="25.5" customHeight="1">
      <c r="A2884" t="inlineStr">
        <is>
          <t>159302</t>
        </is>
      </c>
      <c r="B2884" s="2"/>
      <c r="C2884"/>
      <c r="D2884" s="3">
        <v>46118.65373842593</v>
      </c>
      <c r="E2884" t="inlineStr">
        <is>
          <t>Q2-W01</t>
        </is>
      </c>
      <c r="F2884" t="inlineStr">
        <is>
          <t>Angel  Low</t>
        </is>
      </c>
      <c r="G2884" t="inlineStr">
        <is>
          <t>Customer</t>
        </is>
      </c>
      <c r="H2884" s="2" t="str">
        <f>=HYPERLINK("https://upbox.ajobthing.my/customer/159302", "https://upbox.ajobthing.my/customer/159302")</f>
        <v>https://upbox.ajobthing.my/customer/159302</v>
      </c>
      <c r="I2884" t="inlineStr">
        <is>
          <t>Umi Omakase Sdn. Bhd.</t>
        </is>
      </c>
      <c r="J2884" t="inlineStr">
        <is>
          <t>Whale</t>
        </is>
      </c>
      <c r="K2884" t="inlineStr">
        <is>
          <t>Angel Low</t>
        </is>
      </c>
      <c r="L2884" s="4"/>
      <c r="M2884" s="4">
        <v>46118.65420138889</v>
      </c>
      <c r="N2884"/>
      <c r="O2884">
        <v>5508</v>
      </c>
      <c r="P2884" s="4"/>
      <c r="Q2884" s="4">
        <v>46121.7553125</v>
      </c>
      <c r="R2884"/>
      <c r="S2884">
        <v>3672</v>
      </c>
      <c r="T2884" s="4">
        <v>46121.7553125</v>
      </c>
      <c r="U2884" s="4"/>
      <c r="V2884"/>
      <c r="W2884">
        <v>3672</v>
      </c>
      <c r="X2884"/>
      <c r="Y2884" t="inlineStr">
        <is>
          <t>Pending Appointment</t>
        </is>
      </c>
      <c r="Z2884" t="inlineStr">
        <is>
          <t>Hiring Now</t>
        </is>
      </c>
      <c r="AA2884">
        <v>1</v>
      </c>
      <c r="AB2884" t="inlineStr">
        <is>
          <t>No Appointment Made</t>
        </is>
      </c>
      <c r="AC2884"/>
      <c r="AD2884" t="inlineStr">
        <is>
          <t xml:space="preserve">1 graphic desinger mandarin speaker </t>
        </is>
      </c>
      <c r="AE2884"/>
      <c r="AF2884"/>
      <c r="AG2884" s="4"/>
      <c r="AH2884" s="4"/>
      <c r="AI2884"/>
      <c r="AJ2884"/>
      <c r="AK2884"/>
      <c r="AL2884"/>
      <c r="AM2884"/>
      <c r="AN2884"/>
      <c r="AO2884"/>
      <c r="AP2884" t="inlineStr">
        <is>
          <t>Twice a year (50%)</t>
        </is>
      </c>
      <c r="AQ2884"/>
      <c r="AR2884"/>
      <c r="AS2884" t="inlineStr">
        <is>
          <t>- Headcount: 1
- Hiring Job Details: 1 graphic designer mandarin speaker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Twice a year (50%)
- External job portal: Not available</t>
        </is>
      </c>
      <c r="AT2884">
        <v>75</v>
      </c>
      <c r="AU2884" t="inlineStr">
        <is>
          <t>0.75</t>
        </is>
      </c>
      <c r="AV2884" t="inlineStr">
        <is>
          <t>5</t>
        </is>
      </c>
      <c r="AW2884" t="inlineStr">
        <is>
          <t>0</t>
        </is>
      </c>
      <c r="AX2884" t="inlineStr">
        <is>
          <t>Not Qualified</t>
        </is>
      </c>
      <c r="AY2884" s="4"/>
      <c r="AZ2884"/>
      <c r="BA2884"/>
      <c r="BB2884"/>
      <c r="BC2884" t="inlineStr">
        <is>
          <t>done payment</t>
        </is>
      </c>
      <c r="BD2884" s="4">
        <v>46121.6606712963</v>
      </c>
      <c r="BE2884" t="inlineStr">
        <is>
          <t>paid</t>
        </is>
      </c>
      <c r="BF2884" t="inlineStr">
        <is>
          <t>Q2-W01</t>
        </is>
      </c>
      <c r="BG2884" t="inlineStr">
        <is>
          <t>Reschedule</t>
        </is>
      </c>
      <c r="BH2884" t="inlineStr">
        <is>
          <t>Fauziah Maharan</t>
        </is>
      </c>
      <c r="BI2884" t="inlineStr">
        <is>
          <t>Food / Beverage</t>
        </is>
      </c>
      <c r="BJ2884" s="4">
        <v>46144.751064814816</v>
      </c>
      <c r="BK2884" s="4">
        <v>44806.52688657407</v>
      </c>
      <c r="BL2884" t="inlineStr">
        <is>
          <t>11124.0</t>
        </is>
      </c>
      <c r="BM2884" t="inlineStr">
        <is>
          <t>0.0</t>
        </is>
      </c>
      <c r="BN2884" t="inlineStr">
        <is>
          <t>View Company Page</t>
        </is>
      </c>
      <c r="BO2884" s="4">
        <v>46142.65243055556</v>
      </c>
      <c r="BP2884">
        <v>165450</v>
      </c>
      <c r="BQ2884">
        <v>92572</v>
      </c>
      <c r="BR2884" t="inlineStr">
        <is>
          <t>Online</t>
        </is>
      </c>
      <c r="BS2884"/>
      <c r="BT2884">
        <v>92572</v>
      </c>
      <c r="BU2884"/>
      <c r="BV2884">
        <v>2696480</v>
      </c>
      <c r="BW2884" t="inlineStr">
        <is>
          <t>Follow Up : Win - Customer Paid</t>
        </is>
      </c>
      <c r="BX2884">
        <v>18</v>
      </c>
      <c r="BY2884">
        <v>2</v>
      </c>
      <c r="BZ2884" s="4">
        <v>46140.50817129629</v>
      </c>
      <c r="CA2884">
        <v>240</v>
      </c>
      <c r="CB2884">
        <v>185</v>
      </c>
      <c r="CC2884" s="4">
        <v>46140.74543981482</v>
      </c>
      <c r="CD2884" t="inlineStr">
        <is>
          <t>5</t>
        </is>
      </c>
      <c r="CE2884" t="inlineStr">
        <is>
          <t>0</t>
        </is>
      </c>
      <c r="CF2884" t="inlineStr">
        <is>
          <t>Q2-W01</t>
        </is>
      </c>
      <c r="CG2884" t="inlineStr">
        <is>
          <t>Q2-W01</t>
        </is>
      </c>
      <c r="CH2884" t="inlineStr">
        <is>
          <t>Q2-W01</t>
        </is>
      </c>
      <c r="CI2884"/>
      <c r="CJ2884" t="inlineStr">
        <is>
          <t>Paid</t>
        </is>
      </c>
      <c r="CK2884" t="inlineStr">
        <is>
          <t>Eligible</t>
        </is>
      </c>
      <c r="CL2884"/>
      <c r="CM2884"/>
    </row>
    <row r="2885" ht="25.5" customHeight="1">
      <c r="A2885" t="inlineStr">
        <is>
          <t>198738</t>
        </is>
      </c>
      <c r="B2885" s="2"/>
      <c r="C2885"/>
      <c r="D2885" s="3">
        <v>46118.65625</v>
      </c>
      <c r="E2885" t="inlineStr">
        <is>
          <t>Q2-W01</t>
        </is>
      </c>
      <c r="F2885" t="inlineStr">
        <is>
          <t>Yvonne Lee</t>
        </is>
      </c>
      <c r="G2885" t="inlineStr">
        <is>
          <t>Customer</t>
        </is>
      </c>
      <c r="H2885" s="2" t="str">
        <f>=HYPERLINK("https://upbox.ajobthing.my/customer/198738", "https://upbox.ajobthing.my/customer/198738")</f>
        <v>https://upbox.ajobthing.my/customer/198738</v>
      </c>
      <c r="I2885" t="inlineStr">
        <is>
          <t>Agensi Pekerjaan Jobs Kreate</t>
        </is>
      </c>
      <c r="J2885" t="inlineStr">
        <is>
          <t>Whale</t>
        </is>
      </c>
      <c r="K2885" t="inlineStr">
        <is>
          <t>Yvonne</t>
        </is>
      </c>
      <c r="L2885" s="4"/>
      <c r="M2885" s="4">
        <v>46118.663981481484</v>
      </c>
      <c r="N2885"/>
      <c r="O2885">
        <v>21600</v>
      </c>
      <c r="P2885" s="4"/>
      <c r="Q2885" s="4">
        <v>46128.417280092595</v>
      </c>
      <c r="R2885"/>
      <c r="S2885">
        <v>0</v>
      </c>
      <c r="T2885" s="4"/>
      <c r="U2885" s="4"/>
      <c r="V2885"/>
      <c r="W2885"/>
      <c r="X2885"/>
      <c r="Y2885" t="inlineStr">
        <is>
          <t>Pending Appointment</t>
        </is>
      </c>
      <c r="Z2885" t="inlineStr">
        <is>
          <t>Hiring Now</t>
        </is>
      </c>
      <c r="AA2885">
        <v>0</v>
      </c>
      <c r="AB2885" t="inlineStr">
        <is>
          <t>No Appointment Made</t>
        </is>
      </c>
      <c r="AC2885"/>
      <c r="AD2885" t="inlineStr">
        <is>
          <t>Focusing all positions for these industries :-
1) Hotels
2) F&amp;B
3) Cruises
</t>
        </is>
      </c>
      <c r="AE2885"/>
      <c r="AF2885">
        <v>15000</v>
      </c>
      <c r="AG2885" s="4"/>
      <c r="AH2885" s="4"/>
      <c r="AI2885">
        <v>15000</v>
      </c>
      <c r="AJ2885">
        <v>1</v>
      </c>
      <c r="AK2885" t="inlineStr">
        <is>
          <t>Yes, I have</t>
        </is>
      </c>
      <c r="AL2885">
        <v>6</v>
      </c>
      <c r="AM2885" t="inlineStr">
        <is>
          <t>No, I don't need at all</t>
        </is>
      </c>
      <c r="AN2885"/>
      <c r="AO2885" t="inlineStr">
        <is>
          <t>No, but I want in future</t>
        </is>
      </c>
      <c r="AP2885" t="inlineStr">
        <is>
          <t>Every month (100%)</t>
        </is>
      </c>
      <c r="AQ2885">
        <v>100</v>
      </c>
      <c r="AR2885" t="inlineStr">
        <is>
          <t>Linkedin (Paid), Free Job Portal</t>
        </is>
      </c>
      <c r="AS2885" t="inlineStr">
        <is>
          <t>- Headcount: 0
- Hiring Job Details: All positions for hotels, F&amp;B, cruises industries
- Hiring Urgency: Hiring Now
- Number of outlets: 1
- Have recruiter team: Yes
- Number of recruiter in company: 6
- Have ATS system: No, don't need at all
- Have career website: No, but want in future
- Current hiring budget: RM15,000
- Whole year budget: RM15,000.00
- Whole year number of vacancies: 100
- Hiring frequency: Every month (100%)
- External job portal: Linkedin (Paid), Free Job Portal</t>
        </is>
      </c>
      <c r="AT2885">
        <v>95</v>
      </c>
      <c r="AU2885" t="inlineStr">
        <is>
          <t>0.95</t>
        </is>
      </c>
      <c r="AV2885" t="inlineStr">
        <is>
          <t>20</t>
        </is>
      </c>
      <c r="AW2885" t="inlineStr">
        <is>
          <t>0</t>
        </is>
      </c>
      <c r="AX2885" t="inlineStr">
        <is>
          <t>Not Qualified</t>
        </is>
      </c>
      <c r="AY2885" s="4"/>
      <c r="AZ2885"/>
      <c r="BA2885"/>
      <c r="BB2885"/>
      <c r="BC2885" t="inlineStr">
        <is>
          <t>Assisting on job posting enquiry.</t>
        </is>
      </c>
      <c r="BD2885" s="4">
        <v>46140.70302083333</v>
      </c>
      <c r="BE2885" t="inlineStr">
        <is>
          <t>paid</t>
        </is>
      </c>
      <c r="BF2885"/>
      <c r="BG2885" t="inlineStr">
        <is>
          <t>Reschedule</t>
        </is>
      </c>
      <c r="BH2885" t="inlineStr">
        <is>
          <t>andy@ajobthing.com</t>
        </is>
      </c>
      <c r="BI2885" t="inlineStr">
        <is>
          <t>Retail / Merchandise</t>
        </is>
      </c>
      <c r="BJ2885" s="4">
        <v>46142.81565972222</v>
      </c>
      <c r="BK2885" s="4">
        <v>45988.42967592592</v>
      </c>
      <c r="BL2885" t="inlineStr">
        <is>
          <t>0.0</t>
        </is>
      </c>
      <c r="BM2885" t="inlineStr">
        <is>
          <t>12600.0</t>
        </is>
      </c>
      <c r="BN2885" t="inlineStr">
        <is>
          <t>View Company Page</t>
        </is>
      </c>
      <c r="BO2885" s="4">
        <v>46142.78534722222</v>
      </c>
      <c r="BP2885">
        <v>165459</v>
      </c>
      <c r="BQ2885">
        <v>122647</v>
      </c>
      <c r="BR2885" t="inlineStr">
        <is>
          <t>Proforma</t>
        </is>
      </c>
      <c r="BS2885" t="inlineStr">
        <is>
          <t>Job Ad 365 - SME 100 Free Trial</t>
        </is>
      </c>
      <c r="BT2885"/>
      <c r="BU2885"/>
      <c r="BV2885">
        <v>2733592</v>
      </c>
      <c r="BW2885" t="inlineStr">
        <is>
          <t>Service / Technical : Help To Post Job</t>
        </is>
      </c>
      <c r="BX2885">
        <v>300</v>
      </c>
      <c r="BY2885">
        <v>210</v>
      </c>
      <c r="BZ2885" s="4">
        <v>46140.55260416667</v>
      </c>
      <c r="CA2885">
        <v>13</v>
      </c>
      <c r="CB2885">
        <v>13</v>
      </c>
      <c r="CC2885" s="4"/>
      <c r="CD2885" t="inlineStr">
        <is>
          <t>25</t>
        </is>
      </c>
      <c r="CE2885" t="inlineStr">
        <is>
          <t>0</t>
        </is>
      </c>
      <c r="CF2885" t="inlineStr">
        <is>
          <t>Q2-W01</t>
        </is>
      </c>
      <c r="CG2885" t="inlineStr">
        <is>
          <t>Q2-W02</t>
        </is>
      </c>
      <c r="CH2885"/>
      <c r="CI2885"/>
      <c r="CJ2885" t="inlineStr">
        <is>
          <t>No Paid</t>
        </is>
      </c>
      <c r="CK2885" t="inlineStr">
        <is>
          <t>Eligible</t>
        </is>
      </c>
      <c r="CL2885"/>
      <c r="CM2885"/>
    </row>
    <row r="2886" ht="25.5" customHeight="1">
      <c r="A2886" t="inlineStr">
        <is>
          <t>188282</t>
        </is>
      </c>
      <c r="B2886" s="2"/>
      <c r="C2886"/>
      <c r="D2886" s="3">
        <v>46118.690613425926</v>
      </c>
      <c r="E2886" t="inlineStr">
        <is>
          <t>Q2-W01</t>
        </is>
      </c>
      <c r="F2886" t="inlineStr">
        <is>
          <t>Yuli</t>
        </is>
      </c>
      <c r="G2886" t="inlineStr">
        <is>
          <t>Customer</t>
        </is>
      </c>
      <c r="H2886" s="2" t="str">
        <f>=HYPERLINK("https://upbox.ajobthing.my/customer/188282", "https://upbox.ajobthing.my/customer/188282")</f>
        <v>https://upbox.ajobthing.my/customer/188282</v>
      </c>
      <c r="I2886" t="inlineStr">
        <is>
          <t>Perpetual Management&amp;nbsp;Sdn&amp;nbsp;Bhd</t>
        </is>
      </c>
      <c r="J2886" t="inlineStr">
        <is>
          <t>Whale</t>
        </is>
      </c>
      <c r="K2886" t="inlineStr">
        <is>
          <t>YuLi</t>
        </is>
      </c>
      <c r="L2886" s="4"/>
      <c r="M2886" s="4">
        <v>46118.69188657407</v>
      </c>
      <c r="N2886"/>
      <c r="O2886">
        <v>4212</v>
      </c>
      <c r="P2886" s="4"/>
      <c r="Q2886" s="4">
        <v>46136.45633101852</v>
      </c>
      <c r="R2886"/>
      <c r="S2886">
        <v>4212</v>
      </c>
      <c r="T2886" s="4">
        <v>45846.58998842593</v>
      </c>
      <c r="U2886" s="4"/>
      <c r="V2886"/>
      <c r="W2886">
        <v>2916</v>
      </c>
      <c r="X2886"/>
      <c r="Y2886" t="inlineStr">
        <is>
          <t>Pending Appointment</t>
        </is>
      </c>
      <c r="Z2886" t="inlineStr">
        <is>
          <t>Hiring Now</t>
        </is>
      </c>
      <c r="AA2886">
        <v>1</v>
      </c>
      <c r="AB2886" t="inlineStr">
        <is>
          <t>No Appointment Made</t>
        </is>
      </c>
      <c r="AC2886"/>
      <c r="AD2886" t="inlineStr">
        <is>
          <t>1. Sales Executive - Mandarin speaker
</t>
        </is>
      </c>
      <c r="AE2886"/>
      <c r="AF2886"/>
      <c r="AG2886" s="4"/>
      <c r="AH2886" s="4"/>
      <c r="AI2886"/>
      <c r="AJ2886"/>
      <c r="AK2886"/>
      <c r="AL2886"/>
      <c r="AM2886"/>
      <c r="AN2886"/>
      <c r="AO2886"/>
      <c r="AP2886"/>
      <c r="AQ2886"/>
      <c r="AR2886" t="inlineStr">
        <is>
          <t>Jobstreet</t>
        </is>
      </c>
      <c r="AS2886" t="inlineStr">
        <is>
          <t>- Headcount: 1
- Hiring Job Details: 1 Sales Executive - Mandarin speaker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2886">
        <v>75</v>
      </c>
      <c r="AU2886" t="inlineStr">
        <is>
          <t>0.75</t>
        </is>
      </c>
      <c r="AV2886" t="inlineStr">
        <is>
          <t>5</t>
        </is>
      </c>
      <c r="AW2886" t="inlineStr">
        <is>
          <t>0</t>
        </is>
      </c>
      <c r="AX2886" t="inlineStr">
        <is>
          <t>Not Qualified</t>
        </is>
      </c>
      <c r="AY2886" s="4"/>
      <c r="AZ2886"/>
      <c r="BA2886"/>
      <c r="BB2886"/>
      <c r="BC2886" t="inlineStr">
        <is>
          <t>share invoice but call no answer</t>
        </is>
      </c>
      <c r="BD2886" s="4">
        <v>46140.47445601852</v>
      </c>
      <c r="BE2886" t="inlineStr">
        <is>
          <t>pending</t>
        </is>
      </c>
      <c r="BF2886"/>
      <c r="BG2886" t="inlineStr">
        <is>
          <t>Reschedule</t>
        </is>
      </c>
      <c r="BH2886" t="inlineStr">
        <is>
          <t>Fauziah Maharan</t>
        </is>
      </c>
      <c r="BI2886" t="inlineStr">
        <is>
          <t>Other industries</t>
        </is>
      </c>
      <c r="BJ2886" s="4">
        <v>46144.752222222225</v>
      </c>
      <c r="BK2886" s="4">
        <v>45716.48936342593</v>
      </c>
      <c r="BL2886" t="inlineStr">
        <is>
          <t>2916.0</t>
        </is>
      </c>
      <c r="BM2886" t="inlineStr">
        <is>
          <t>0.0</t>
        </is>
      </c>
      <c r="BN2886" t="inlineStr">
        <is>
          <t>View Company Page</t>
        </is>
      </c>
      <c r="BO2886" s="4">
        <v>46129.598587962966</v>
      </c>
      <c r="BP2886">
        <v>165480</v>
      </c>
      <c r="BQ2886">
        <v>7701</v>
      </c>
      <c r="BR2886" t="inlineStr">
        <is>
          <t>Manual</t>
        </is>
      </c>
      <c r="BS2886" t="inlineStr">
        <is>
          <t>AI Yearly Standard Plan + 1 Feature
- AI Yearly Standard Plan of 3 AI Job Ads + 3 Free AI Job Ads with Booster
- 6 AI Job Ad will be published on Maukerja, Ricebowl and our partner platforms
- 6 AI Job Ad will be published for 45 days
- 6 Booster Plus
- 1 Feature for 10 days at Ricebowl and Maukerja Main Page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886">
        <v>80624</v>
      </c>
      <c r="BU2886"/>
      <c r="BV2886">
        <v>2732105</v>
      </c>
      <c r="BW2886" t="inlineStr">
        <is>
          <t>No Answer : Voicemail - WA sent to customer</t>
        </is>
      </c>
      <c r="BX2886">
        <v>6</v>
      </c>
      <c r="BY2886">
        <v>0</v>
      </c>
      <c r="BZ2886" s="4">
        <v>45862.80657407407</v>
      </c>
      <c r="CA2886">
        <v>120</v>
      </c>
      <c r="CB2886">
        <v>109</v>
      </c>
      <c r="CC2886" s="4">
        <v>45996.40625</v>
      </c>
      <c r="CD2886" t="inlineStr">
        <is>
          <t>5</t>
        </is>
      </c>
      <c r="CE2886" t="inlineStr">
        <is>
          <t>0</t>
        </is>
      </c>
      <c r="CF2886" t="inlineStr">
        <is>
          <t>Q2-W01</t>
        </is>
      </c>
      <c r="CG2886" t="inlineStr">
        <is>
          <t>Q2-W04</t>
        </is>
      </c>
      <c r="CH2886"/>
      <c r="CI2886"/>
      <c r="CJ2886" t="inlineStr">
        <is>
          <t>Paid</t>
        </is>
      </c>
      <c r="CK2886" t="inlineStr">
        <is>
          <t>Eligible</t>
        </is>
      </c>
      <c r="CL2886"/>
      <c r="CM2886"/>
    </row>
    <row r="2887" ht="25.5" customHeight="1">
      <c r="A2887" t="inlineStr">
        <is>
          <t>163209</t>
        </is>
      </c>
      <c r="B2887" s="2"/>
      <c r="C2887"/>
      <c r="D2887" s="3">
        <v>46118.7028587963</v>
      </c>
      <c r="E2887" t="inlineStr">
        <is>
          <t>Q2-W01</t>
        </is>
      </c>
      <c r="F2887" t="inlineStr">
        <is>
          <t>Jia Hui</t>
        </is>
      </c>
      <c r="G2887" t="inlineStr">
        <is>
          <t>Customer</t>
        </is>
      </c>
      <c r="H2887" s="2" t="str">
        <f>=HYPERLINK("https://upbox.ajobthing.my/customer/163209", "https://upbox.ajobthing.my/customer/163209")</f>
        <v>https://upbox.ajobthing.my/customer/163209</v>
      </c>
      <c r="I2887" t="inlineStr">
        <is>
          <t>Tera Va Sdn Bhd</t>
        </is>
      </c>
      <c r="J2887" t="inlineStr">
        <is>
          <t>Whale</t>
        </is>
      </c>
      <c r="K2887" t="inlineStr">
        <is>
          <t>Jia Hui</t>
        </is>
      </c>
      <c r="L2887" s="4"/>
      <c r="M2887" s="4">
        <v>46118.70065972222</v>
      </c>
      <c r="N2887"/>
      <c r="O2887">
        <v>10908</v>
      </c>
      <c r="P2887" s="4"/>
      <c r="Q2887" s="4">
        <v>45398.00001157408</v>
      </c>
      <c r="R2887"/>
      <c r="S2887">
        <v>2916</v>
      </c>
      <c r="T2887" s="4">
        <v>45398.00001157408</v>
      </c>
      <c r="U2887" s="4"/>
      <c r="V2887"/>
      <c r="W2887">
        <v>2916</v>
      </c>
      <c r="X2887"/>
      <c r="Y2887" t="inlineStr">
        <is>
          <t>Pending Appointment</t>
        </is>
      </c>
      <c r="Z2887" t="inlineStr">
        <is>
          <t>Hiring Later</t>
        </is>
      </c>
      <c r="AA2887">
        <v>3</v>
      </c>
      <c r="AB2887" t="inlineStr">
        <is>
          <t>No Appointment Made</t>
        </is>
      </c>
      <c r="AC2887"/>
      <c r="AD2887" t="inlineStr">
        <is>
          <t>1 admin, 1 sales, 1 operation</t>
        </is>
      </c>
      <c r="AE2887"/>
      <c r="AF2887">
        <v>1000</v>
      </c>
      <c r="AG2887" s="4"/>
      <c r="AH2887" s="4"/>
      <c r="AI2887"/>
      <c r="AJ2887"/>
      <c r="AK2887" t="inlineStr">
        <is>
          <t>Yes, I have</t>
        </is>
      </c>
      <c r="AL2887"/>
      <c r="AM2887"/>
      <c r="AN2887"/>
      <c r="AO2887"/>
      <c r="AP2887" t="inlineStr">
        <is>
          <t>Once a year (25%)</t>
        </is>
      </c>
      <c r="AQ2887"/>
      <c r="AR2887"/>
      <c r="AS2887" t="inlineStr">
        <is>
          <t>- Headcount: 3
- Hiring Job Details: 1 admin, 1 sales, 1 operation
- Hiring Urgency: Hiring Later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887">
        <v>75</v>
      </c>
      <c r="AU2887" t="inlineStr">
        <is>
          <t>0.75</t>
        </is>
      </c>
      <c r="AV2887" t="inlineStr">
        <is>
          <t>15</t>
        </is>
      </c>
      <c r="AW2887" t="inlineStr">
        <is>
          <t>0</t>
        </is>
      </c>
      <c r="AX2887" t="inlineStr">
        <is>
          <t>Not Qualified</t>
        </is>
      </c>
      <c r="AY2887" s="4"/>
      <c r="AZ2887"/>
      <c r="BA2887"/>
      <c r="BB2887"/>
      <c r="BC2887" t="inlineStr">
        <is>
          <t>mentioned the PIC want to resign soon, ask to direct send the latest package via email, inform to let me know if have any update on the quotations</t>
        </is>
      </c>
      <c r="BD2887" s="4">
        <v>46127.72636574074</v>
      </c>
      <c r="BE2887" t="inlineStr">
        <is>
          <t>paid</t>
        </is>
      </c>
      <c r="BF2887"/>
      <c r="BG2887" t="inlineStr">
        <is>
          <t>Reschedule</t>
        </is>
      </c>
      <c r="BH2887" t="inlineStr">
        <is>
          <t>Reagen</t>
        </is>
      </c>
      <c r="BI2887" t="inlineStr">
        <is>
          <t>Engineering / Technical Consulting</t>
        </is>
      </c>
      <c r="BJ2887" s="4">
        <v>46144.751180555555</v>
      </c>
      <c r="BK2887" s="4">
        <v>44922.421643518515</v>
      </c>
      <c r="BL2887" t="inlineStr">
        <is>
          <t>0.0</t>
        </is>
      </c>
      <c r="BM2887" t="inlineStr">
        <is>
          <t>6600.0</t>
        </is>
      </c>
      <c r="BN2887" t="inlineStr">
        <is>
          <t>View Candidate Search Page</t>
        </is>
      </c>
      <c r="BO2887" s="4">
        <v>45796.65377314815</v>
      </c>
      <c r="BP2887">
        <v>165488</v>
      </c>
      <c r="BQ2887">
        <v>68056</v>
      </c>
      <c r="BR2887" t="inlineStr">
        <is>
          <t>Online</t>
        </is>
      </c>
      <c r="BS2887"/>
      <c r="BT2887">
        <v>68056</v>
      </c>
      <c r="BU2887"/>
      <c r="BV2887">
        <v>2706955</v>
      </c>
      <c r="BW2887" t="inlineStr">
        <is>
          <t>Follow Up : Decision Pending</t>
        </is>
      </c>
      <c r="BX2887"/>
      <c r="BY2887"/>
      <c r="BZ2887" s="4"/>
      <c r="CA2887"/>
      <c r="CB2887"/>
      <c r="CC2887" s="4"/>
      <c r="CD2887" t="inlineStr">
        <is>
          <t>20</t>
        </is>
      </c>
      <c r="CE2887" t="inlineStr">
        <is>
          <t>0</t>
        </is>
      </c>
      <c r="CF2887" t="inlineStr">
        <is>
          <t>Q2-W01</t>
        </is>
      </c>
      <c r="CG2887"/>
      <c r="CH2887"/>
      <c r="CI2887"/>
      <c r="CJ2887" t="inlineStr">
        <is>
          <t>Paid</t>
        </is>
      </c>
      <c r="CK2887" t="inlineStr">
        <is>
          <t>Eligible</t>
        </is>
      </c>
      <c r="CL2887"/>
      <c r="CM2887"/>
    </row>
    <row r="2888" ht="25.5" customHeight="1">
      <c r="A2888" t="inlineStr">
        <is>
          <t>202883</t>
        </is>
      </c>
      <c r="B2888" s="2"/>
      <c r="C2888"/>
      <c r="D2888" s="3">
        <v>46118.7052662037</v>
      </c>
      <c r="E2888" t="inlineStr">
        <is>
          <t>Q2-W01</t>
        </is>
      </c>
      <c r="F2888" t="inlineStr">
        <is>
          <t>Keegan</t>
        </is>
      </c>
      <c r="G2888" t="inlineStr">
        <is>
          <t>Customer</t>
        </is>
      </c>
      <c r="H2888" s="2" t="str">
        <f>=HYPERLINK("https://upbox.ajobthing.my/customer/202883", "https://upbox.ajobthing.my/customer/202883")</f>
        <v>https://upbox.ajobthing.my/customer/202883</v>
      </c>
      <c r="I2888" t="inlineStr">
        <is>
          <t>Marrybrown</t>
        </is>
      </c>
      <c r="J2888" t="inlineStr">
        <is>
          <t>Whale</t>
        </is>
      </c>
      <c r="K2888" t="inlineStr">
        <is>
          <t>Keegan</t>
        </is>
      </c>
      <c r="L2888" s="4"/>
      <c r="M2888" s="4">
        <v>46118.705358796295</v>
      </c>
      <c r="N2888"/>
      <c r="O2888">
        <v>3672</v>
      </c>
      <c r="P2888" s="4"/>
      <c r="Q2888" s="4"/>
      <c r="R2888"/>
      <c r="S2888"/>
      <c r="T2888" s="4"/>
      <c r="U2888" s="4"/>
      <c r="V2888"/>
      <c r="W2888"/>
      <c r="X2888"/>
      <c r="Y2888" t="inlineStr">
        <is>
          <t>Pending Appointment</t>
        </is>
      </c>
      <c r="Z2888" t="inlineStr">
        <is>
          <t>Hiring Now</t>
        </is>
      </c>
      <c r="AA2888">
        <v>2</v>
      </c>
      <c r="AB2888" t="inlineStr">
        <is>
          <t>No Appointment Made</t>
        </is>
      </c>
      <c r="AC2888"/>
      <c r="AD2888" t="inlineStr">
        <is>
          <t xml:space="preserve">1. Kitchen 
2. Service Crew </t>
        </is>
      </c>
      <c r="AE2888"/>
      <c r="AF2888"/>
      <c r="AG2888" s="4"/>
      <c r="AH2888" s="4"/>
      <c r="AI2888"/>
      <c r="AJ2888">
        <v>1</v>
      </c>
      <c r="AK2888" t="inlineStr">
        <is>
          <t>No, I don't need at all</t>
        </is>
      </c>
      <c r="AL2888">
        <v>0</v>
      </c>
      <c r="AM2888" t="inlineStr">
        <is>
          <t>No, I don't need at all</t>
        </is>
      </c>
      <c r="AN2888"/>
      <c r="AO2888" t="inlineStr">
        <is>
          <t>No, I don't need at all</t>
        </is>
      </c>
      <c r="AP2888" t="inlineStr">
        <is>
          <t>Once per quarter (75%)</t>
        </is>
      </c>
      <c r="AQ2888"/>
      <c r="AR2888" t="inlineStr">
        <is>
          <t>Did not use any job portal</t>
        </is>
      </c>
      <c r="AS2888" t="inlineStr">
        <is>
          <t>- Headcount: 2
- Hiring Job Details: 1. Kitchen\n2. Service Crew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888">
        <v>90</v>
      </c>
      <c r="AU2888" t="inlineStr">
        <is>
          <t>0.90</t>
        </is>
      </c>
      <c r="AV2888" t="inlineStr">
        <is>
          <t>5</t>
        </is>
      </c>
      <c r="AW2888" t="inlineStr">
        <is>
          <t>0</t>
        </is>
      </c>
      <c r="AX2888" t="inlineStr">
        <is>
          <t>Not Qualified</t>
        </is>
      </c>
      <c r="AY2888" s="4"/>
      <c r="AZ2888"/>
      <c r="BA2888"/>
      <c r="BB2888"/>
      <c r="BC2888" t="inlineStr">
        <is>
          <t>PIC on MC, f/up on friday</t>
        </is>
      </c>
      <c r="BD2888" s="4">
        <v>46120.70972222222</v>
      </c>
      <c r="BE2888"/>
      <c r="BF2888"/>
      <c r="BG2888" t="inlineStr">
        <is>
          <t>Reschedule</t>
        </is>
      </c>
      <c r="BH2888" t="inlineStr">
        <is>
          <t>Edward Hoo</t>
        </is>
      </c>
      <c r="BI2888"/>
      <c r="BJ2888" s="4">
        <v>46144.75414351852</v>
      </c>
      <c r="BK2888" s="4">
        <v>46118.702361111114</v>
      </c>
      <c r="BL2888" t="inlineStr">
        <is>
          <t>0.0</t>
        </is>
      </c>
      <c r="BM2888" t="inlineStr">
        <is>
          <t>5400.0</t>
        </is>
      </c>
      <c r="BN2888"/>
      <c r="BO2888" s="4"/>
      <c r="BP2888">
        <v>165492</v>
      </c>
      <c r="BQ2888"/>
      <c r="BR2888"/>
      <c r="BS2888"/>
      <c r="BT2888"/>
      <c r="BU2888"/>
      <c r="BV2888">
        <v>2693738</v>
      </c>
      <c r="BW2888" t="inlineStr">
        <is>
          <t>Follow Up : Decision Pending</t>
        </is>
      </c>
      <c r="BX2888"/>
      <c r="BY2888"/>
      <c r="BZ2888" s="4"/>
      <c r="CA2888"/>
      <c r="CB2888"/>
      <c r="CC2888" s="4"/>
      <c r="CD2888" t="inlineStr">
        <is>
          <t>5</t>
        </is>
      </c>
      <c r="CE2888" t="inlineStr">
        <is>
          <t>0</t>
        </is>
      </c>
      <c r="CF2888" t="inlineStr">
        <is>
          <t>Q2-W01</t>
        </is>
      </c>
      <c r="CG2888"/>
      <c r="CH2888"/>
      <c r="CI2888"/>
      <c r="CJ2888" t="inlineStr">
        <is>
          <t>No Paid</t>
        </is>
      </c>
      <c r="CK2888" t="inlineStr">
        <is>
          <t>Eligible</t>
        </is>
      </c>
      <c r="CL2888"/>
      <c r="CM2888"/>
    </row>
    <row r="2889" ht="25.5" customHeight="1">
      <c r="A2889" t="inlineStr">
        <is>
          <t>37393</t>
        </is>
      </c>
      <c r="B2889" s="2"/>
      <c r="C2889"/>
      <c r="D2889" s="3">
        <v>46118.7159375</v>
      </c>
      <c r="E2889" t="inlineStr">
        <is>
          <t>Q2-W01</t>
        </is>
      </c>
      <c r="F2889" t="inlineStr">
        <is>
          <t>Ken Yi</t>
        </is>
      </c>
      <c r="G2889" t="inlineStr">
        <is>
          <t>Customer</t>
        </is>
      </c>
      <c r="H2889" s="2" t="str">
        <f>=HYPERLINK("https://upbox.ajobthing.my/customer/37393", "https://upbox.ajobthing.my/customer/37393")</f>
        <v>https://upbox.ajobthing.my/customer/37393</v>
      </c>
      <c r="I2889" t="inlineStr">
        <is>
          <t>Sin Hock Leong Coach Works Sdn Bhd</t>
        </is>
      </c>
      <c r="J2889" t="inlineStr">
        <is>
          <t>Whale</t>
        </is>
      </c>
      <c r="K2889" t="inlineStr">
        <is>
          <t>Kenyi</t>
        </is>
      </c>
      <c r="L2889" s="4"/>
      <c r="M2889" s="4">
        <v>46118.714895833335</v>
      </c>
      <c r="N2889"/>
      <c r="O2889">
        <v>10800</v>
      </c>
      <c r="P2889" s="4"/>
      <c r="Q2889" s="4">
        <v>46132.625543981485</v>
      </c>
      <c r="R2889"/>
      <c r="S2889">
        <v>10800</v>
      </c>
      <c r="T2889" s="4">
        <v>46132.625543981485</v>
      </c>
      <c r="U2889" s="4"/>
      <c r="V2889"/>
      <c r="W2889">
        <v>10800</v>
      </c>
      <c r="X2889"/>
      <c r="Y2889" t="inlineStr">
        <is>
          <t>Pending Appointment</t>
        </is>
      </c>
      <c r="Z2889" t="inlineStr">
        <is>
          <t>Hiring Now</t>
        </is>
      </c>
      <c r="AA2889">
        <v>7</v>
      </c>
      <c r="AB2889" t="inlineStr">
        <is>
          <t>No Appointment Made</t>
        </is>
      </c>
      <c r="AC2889"/>
      <c r="AD2889" t="inlineStr">
        <is>
          <t>Warehouse 2, operation 2, and manufacturing officer 3</t>
        </is>
      </c>
      <c r="AE2889"/>
      <c r="AF2889">
        <v>10000</v>
      </c>
      <c r="AG2889" s="4"/>
      <c r="AH2889" s="4"/>
      <c r="AI2889">
        <v>10000</v>
      </c>
      <c r="AJ2889">
        <v>1</v>
      </c>
      <c r="AK2889" t="inlineStr">
        <is>
          <t>No, I don't need at all</t>
        </is>
      </c>
      <c r="AL2889">
        <v>1</v>
      </c>
      <c r="AM2889" t="inlineStr">
        <is>
          <t>No, I don't need at all</t>
        </is>
      </c>
      <c r="AN2889"/>
      <c r="AO2889" t="inlineStr">
        <is>
          <t>No, I don't need at all</t>
        </is>
      </c>
      <c r="AP2889" t="inlineStr">
        <is>
          <t>Every month (100%)</t>
        </is>
      </c>
      <c r="AQ2889">
        <v>8</v>
      </c>
      <c r="AR2889" t="inlineStr">
        <is>
          <t>Jobstreet, Hiredly, Indeed (Paid), Free Job Portal</t>
        </is>
      </c>
      <c r="AS2889" t="inlineStr">
        <is>
          <t>- Headcount: 7
- Hiring Job Details: Warehouse 2, operation 2, manufacturing officer 3
- Hiring Urgency: Hiring Now
- Number of outlets: 1
- Have recruiter team: No, I don't need at all
- Number of recruiter in company: 1
- Have ATS system: No, I don't need at all
- Have career website: No, I don't need at all
- Current hiring budget: RM10,000
- Whole year budget: RM10,000.00
- Whole year number of vacancies: 8
- Hiring frequency: Every month (100%)
- External job portal: Jobstreet,Hiredly,Indeed (Paid),Free Job Portal</t>
        </is>
      </c>
      <c r="AT2889">
        <v>115</v>
      </c>
      <c r="AU2889" t="inlineStr">
        <is>
          <t>1.15</t>
        </is>
      </c>
      <c r="AV2889" t="inlineStr">
        <is>
          <t>20</t>
        </is>
      </c>
      <c r="AW2889" t="inlineStr">
        <is>
          <t>0</t>
        </is>
      </c>
      <c r="AX2889" t="inlineStr">
        <is>
          <t>Not Qualified</t>
        </is>
      </c>
      <c r="AY2889" s="4"/>
      <c r="AZ2889"/>
      <c r="BA2889"/>
      <c r="BB2889"/>
      <c r="BC2889" t="inlineStr">
        <is>
          <t>Help to provide support on the hiring.</t>
        </is>
      </c>
      <c r="BD2889" s="4">
        <v>46136.58667824074</v>
      </c>
      <c r="BE2889" t="inlineStr">
        <is>
          <t>paid</t>
        </is>
      </c>
      <c r="BF2889" t="inlineStr">
        <is>
          <t>Q2-W03</t>
        </is>
      </c>
      <c r="BG2889" t="inlineStr">
        <is>
          <t>Reschedule</t>
        </is>
      </c>
      <c r="BH2889" t="inlineStr">
        <is>
          <t>Fauziah Maharan</t>
        </is>
      </c>
      <c r="BI2889" t="inlineStr">
        <is>
          <t>Manufacturing / Production</t>
        </is>
      </c>
      <c r="BJ2889" s="4">
        <v>46144.7547337963</v>
      </c>
      <c r="BK2889" s="4">
        <v>42872.704560185186</v>
      </c>
      <c r="BL2889" t="inlineStr">
        <is>
          <t>15660.0</t>
        </is>
      </c>
      <c r="BM2889" t="inlineStr">
        <is>
          <t>0.0</t>
        </is>
      </c>
      <c r="BN2889" t="inlineStr">
        <is>
          <t>User Visit(Logged In)</t>
        </is>
      </c>
      <c r="BO2889" s="4">
        <v>46142.77804398148</v>
      </c>
      <c r="BP2889">
        <v>165499</v>
      </c>
      <c r="BQ2889">
        <v>7661</v>
      </c>
      <c r="BR2889" t="inlineStr">
        <is>
          <t>Manual (Paid)</t>
        </is>
      </c>
      <c r="BS2889" t="inlineStr">
        <is>
          <t>Job Ad 365 - (50 Job Ad)
- Job Ad 365 (50 Job Ad)
- Monthly quota of 50 Job Ads
- Total 600 Job Ads a year
- Each Job Ad will be published on Maukerja, Ricebowl and our partner platforms
- Each Job Ad lists for 30 days
- 1 Free Company Page (Brand Premium)
- AI Daily Talent Recommendation for up to 2 profiles per job
- AI Post Job Assistant</t>
        </is>
      </c>
      <c r="BT2889">
        <v>7661</v>
      </c>
      <c r="BU2889"/>
      <c r="BV2889">
        <v>2726367</v>
      </c>
      <c r="BW2889" t="inlineStr">
        <is>
          <t>Service / Technical : Job Outcome Enquiry</t>
        </is>
      </c>
      <c r="BX2889">
        <v>601</v>
      </c>
      <c r="BY2889">
        <v>596</v>
      </c>
      <c r="BZ2889" s="4">
        <v>46095.74936342592</v>
      </c>
      <c r="CA2889">
        <v>145</v>
      </c>
      <c r="CB2889">
        <v>44</v>
      </c>
      <c r="CC2889" s="4">
        <v>45869.47439814815</v>
      </c>
      <c r="CD2889" t="inlineStr">
        <is>
          <t>30</t>
        </is>
      </c>
      <c r="CE2889" t="inlineStr">
        <is>
          <t>0</t>
        </is>
      </c>
      <c r="CF2889" t="inlineStr">
        <is>
          <t>Q2-W01</t>
        </is>
      </c>
      <c r="CG2889" t="inlineStr">
        <is>
          <t>Q2-W03</t>
        </is>
      </c>
      <c r="CH2889" t="inlineStr">
        <is>
          <t>Q2-W03</t>
        </is>
      </c>
      <c r="CI2889"/>
      <c r="CJ2889" t="inlineStr">
        <is>
          <t>Paid</t>
        </is>
      </c>
      <c r="CK2889" t="inlineStr">
        <is>
          <t>Eligible</t>
        </is>
      </c>
      <c r="CL2889"/>
      <c r="CM2889"/>
    </row>
    <row r="2890" ht="25.5" customHeight="1">
      <c r="A2890" t="inlineStr">
        <is>
          <t>201954</t>
        </is>
      </c>
      <c r="B2890" s="2"/>
      <c r="C2890"/>
      <c r="D2890" s="3">
        <v>46118.7334375</v>
      </c>
      <c r="E2890" t="inlineStr">
        <is>
          <t>Q2-W01</t>
        </is>
      </c>
      <c r="F2890" t="inlineStr">
        <is>
          <t>Ken Yi</t>
        </is>
      </c>
      <c r="G2890" t="inlineStr">
        <is>
          <t>Customer</t>
        </is>
      </c>
      <c r="H2890" s="2" t="str">
        <f>=HYPERLINK("https://upbox.ajobthing.my/customer/201954", "https://upbox.ajobthing.my/customer/201954")</f>
        <v>https://upbox.ajobthing.my/customer/201954</v>
      </c>
      <c r="I2890" t="inlineStr">
        <is>
          <t>Hime Lifestyle (Malaysia) Sdn Bhd</t>
        </is>
      </c>
      <c r="J2890" t="inlineStr">
        <is>
          <t>Whale</t>
        </is>
      </c>
      <c r="K2890" t="inlineStr">
        <is>
          <t>Kenyi</t>
        </is>
      </c>
      <c r="L2890" s="4"/>
      <c r="M2890" s="4">
        <v>46119.6583912037</v>
      </c>
      <c r="N2890"/>
      <c r="O2890">
        <v>2592</v>
      </c>
      <c r="P2890" s="4"/>
      <c r="Q2890" s="4">
        <v>46120.64166666667</v>
      </c>
      <c r="R2890"/>
      <c r="S2890">
        <v>2592</v>
      </c>
      <c r="T2890" s="4">
        <v>46120.64166666667</v>
      </c>
      <c r="U2890" s="4"/>
      <c r="V2890"/>
      <c r="W2890">
        <v>2592</v>
      </c>
      <c r="X2890"/>
      <c r="Y2890" t="inlineStr">
        <is>
          <t>Pending Appointment</t>
        </is>
      </c>
      <c r="Z2890" t="inlineStr">
        <is>
          <t>Hiring Now</t>
        </is>
      </c>
      <c r="AA2890">
        <v>1</v>
      </c>
      <c r="AB2890" t="inlineStr">
        <is>
          <t>No Appointment Made</t>
        </is>
      </c>
      <c r="AC2890"/>
      <c r="AD2890" t="inlineStr">
        <is>
          <t>Operation 1, renewal purpose</t>
        </is>
      </c>
      <c r="AE2890"/>
      <c r="AF2890">
        <v>0</v>
      </c>
      <c r="AG2890" s="4"/>
      <c r="AH2890" s="4"/>
      <c r="AI2890">
        <v>0</v>
      </c>
      <c r="AJ2890">
        <v>1</v>
      </c>
      <c r="AK2890" t="inlineStr">
        <is>
          <t>Yes, I have</t>
        </is>
      </c>
      <c r="AL2890">
        <v>1</v>
      </c>
      <c r="AM2890" t="inlineStr">
        <is>
          <t>No, I don't need at all</t>
        </is>
      </c>
      <c r="AN2890"/>
      <c r="AO2890"/>
      <c r="AP2890" t="inlineStr">
        <is>
          <t>Every month (100%)</t>
        </is>
      </c>
      <c r="AQ2890">
        <v>0</v>
      </c>
      <c r="AR2890" t="inlineStr">
        <is>
          <t>Did not use any job portal</t>
        </is>
      </c>
      <c r="AS2890" t="inlineStr">
        <is>
          <t>- Headcount: 1
- Hiring Job Details: Operation 1, renewal purpose
- Hiring Urgency: Hiring Now
- Number of outlets: 1
- Have recruiter team: Yes
- Number of recruiter in company: 1
- Have ATS system: No, I don't need at all
- Have career website: Not provided
- Current hiring budget: RM0
- Whole year budget: RM0.00
- Whole year number of vacancies: 0
- Hiring frequency: Every month (100%)
- External job portal: Did not use any job portal</t>
        </is>
      </c>
      <c r="AT2890">
        <v>75</v>
      </c>
      <c r="AU2890" t="inlineStr">
        <is>
          <t>0.75</t>
        </is>
      </c>
      <c r="AV2890" t="inlineStr">
        <is>
          <t>15</t>
        </is>
      </c>
      <c r="AW2890" t="inlineStr">
        <is>
          <t>0</t>
        </is>
      </c>
      <c r="AX2890" t="inlineStr">
        <is>
          <t>Not Qualified</t>
        </is>
      </c>
      <c r="AY2890" s="4"/>
      <c r="AZ2890"/>
      <c r="BA2890"/>
      <c r="BB2890"/>
      <c r="BC2890" t="inlineStr">
        <is>
          <t>help with the job posting.</t>
        </is>
      </c>
      <c r="BD2890" s="4">
        <v>46128.488912037035</v>
      </c>
      <c r="BE2890" t="inlineStr">
        <is>
          <t>paid</t>
        </is>
      </c>
      <c r="BF2890" t="inlineStr">
        <is>
          <t>Q2-W01</t>
        </is>
      </c>
      <c r="BG2890" t="inlineStr">
        <is>
          <t>Reschedule</t>
        </is>
      </c>
      <c r="BH2890" t="inlineStr">
        <is>
          <t>Fauziah Maharan</t>
        </is>
      </c>
      <c r="BI2890" t="inlineStr">
        <is>
          <t>Healthcare / Medical</t>
        </is>
      </c>
      <c r="BJ2890" s="4">
        <v>46144.753900462965</v>
      </c>
      <c r="BK2890" s="4">
        <v>46092.46556712963</v>
      </c>
      <c r="BL2890" t="inlineStr">
        <is>
          <t>6480.0</t>
        </is>
      </c>
      <c r="BM2890" t="inlineStr">
        <is>
          <t>0.0</t>
        </is>
      </c>
      <c r="BN2890" t="inlineStr">
        <is>
          <t>View Company Page</t>
        </is>
      </c>
      <c r="BO2890" s="4">
        <v>46143.93912037037</v>
      </c>
      <c r="BP2890">
        <v>165726</v>
      </c>
      <c r="BQ2890">
        <v>7593</v>
      </c>
      <c r="BR2890" t="inlineStr">
        <is>
          <t>Manual (Paid)</t>
        </is>
      </c>
      <c r="BS2890" t="inlineStr">
        <is>
          <t>AI Ala Carte
- A la carte for 3 AI Job Ad
- 3 AI Job Ad will be published on Maukerja, Ricebowl and our partner platforms
- 3 AI Job Ad will be published for 45 days
- 30 Free Candidates Profiles Unlock
- 9 Free Job Ad for any type of Intern / High Pay / Part-time / Volunteer / Freelance / Singapore Job
- Package valid for 6 months
- AI Capability
- AI Instant Match for 30 profiles
- AI Daily Talent Recommendation for 2 profiles daily for 45 days
- AI "Open to Work" Detector for 2 profiles for 10 days
- AI Smart Filter
- AI Post Job Assistant
- Ajobthing CARE</t>
        </is>
      </c>
      <c r="BT2890">
        <v>7593</v>
      </c>
      <c r="BU2890"/>
      <c r="BV2890">
        <v>2708561</v>
      </c>
      <c r="BW2890" t="inlineStr">
        <is>
          <t>Service / Technical : Job Outcome Enquiry</t>
        </is>
      </c>
      <c r="BX2890">
        <v>9</v>
      </c>
      <c r="BY2890">
        <v>1</v>
      </c>
      <c r="BZ2890" s="4">
        <v>46123.66454861111</v>
      </c>
      <c r="CA2890">
        <v>80</v>
      </c>
      <c r="CB2890">
        <v>80</v>
      </c>
      <c r="CC2890" s="4"/>
      <c r="CD2890" t="inlineStr">
        <is>
          <t>20</t>
        </is>
      </c>
      <c r="CE2890" t="inlineStr">
        <is>
          <t>0</t>
        </is>
      </c>
      <c r="CF2890" t="inlineStr">
        <is>
          <t>Q2-W01</t>
        </is>
      </c>
      <c r="CG2890" t="inlineStr">
        <is>
          <t>Q2-W01</t>
        </is>
      </c>
      <c r="CH2890" t="inlineStr">
        <is>
          <t>Q2-W01</t>
        </is>
      </c>
      <c r="CI2890"/>
      <c r="CJ2890" t="inlineStr">
        <is>
          <t>Paid</t>
        </is>
      </c>
      <c r="CK2890" t="inlineStr">
        <is>
          <t>Eligible</t>
        </is>
      </c>
      <c r="CL2890"/>
      <c r="CM2890"/>
    </row>
    <row r="2891" ht="25.5" customHeight="1">
      <c r="A2891" t="inlineStr">
        <is>
          <t>188723</t>
        </is>
      </c>
      <c r="B2891" s="2"/>
      <c r="C2891"/>
      <c r="D2891" s="3">
        <v>46118.74594907407</v>
      </c>
      <c r="E2891" t="inlineStr">
        <is>
          <t>Q2-W01</t>
        </is>
      </c>
      <c r="F2891" t="inlineStr">
        <is>
          <t>Carmen</t>
        </is>
      </c>
      <c r="G2891" t="inlineStr">
        <is>
          <t>Customer</t>
        </is>
      </c>
      <c r="H2891" s="2" t="str">
        <f>=HYPERLINK("https://upbox.ajobthing.my/customer/188723", "https://upbox.ajobthing.my/customer/188723")</f>
        <v>https://upbox.ajobthing.my/customer/188723</v>
      </c>
      <c r="I2891" t="inlineStr">
        <is>
          <t>Ban Seng Packaging Sdn Bhd</t>
        </is>
      </c>
      <c r="J2891" t="inlineStr">
        <is>
          <t>Whale</t>
        </is>
      </c>
      <c r="K2891" t="inlineStr">
        <is>
          <t>Carmen</t>
        </is>
      </c>
      <c r="L2891" s="4"/>
      <c r="M2891" s="4">
        <v>46118.745717592596</v>
      </c>
      <c r="N2891"/>
      <c r="O2891">
        <v>3888</v>
      </c>
      <c r="P2891" s="4"/>
      <c r="Q2891" s="4"/>
      <c r="R2891"/>
      <c r="S2891"/>
      <c r="T2891" s="4"/>
      <c r="U2891" s="4"/>
      <c r="V2891"/>
      <c r="W2891"/>
      <c r="X2891"/>
      <c r="Y2891" t="inlineStr">
        <is>
          <t>Pending Appointment</t>
        </is>
      </c>
      <c r="Z2891" t="inlineStr">
        <is>
          <t>Hiring Now</t>
        </is>
      </c>
      <c r="AA2891">
        <v>1</v>
      </c>
      <c r="AB2891" t="inlineStr">
        <is>
          <t>No Appointment Made</t>
        </is>
      </c>
      <c r="AC2891"/>
      <c r="AD2891" t="inlineStr">
        <is>
          <t>1 admin</t>
        </is>
      </c>
      <c r="AE2891"/>
      <c r="AF2891">
        <v>0</v>
      </c>
      <c r="AG2891" s="4"/>
      <c r="AH2891" s="4"/>
      <c r="AI2891"/>
      <c r="AJ2891"/>
      <c r="AK2891"/>
      <c r="AL2891"/>
      <c r="AM2891"/>
      <c r="AN2891"/>
      <c r="AO2891"/>
      <c r="AP2891"/>
      <c r="AQ2891"/>
      <c r="AR2891"/>
      <c r="AS2891" t="inlineStr">
        <is>
          <t>- Headcount: 1
- Hiring Job Details: 1 admin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Not available
- External job portal: Not available</t>
        </is>
      </c>
      <c r="AT2891">
        <v>65</v>
      </c>
      <c r="AU2891" t="inlineStr">
        <is>
          <t>0.65</t>
        </is>
      </c>
      <c r="AV2891" t="inlineStr">
        <is>
          <t>15</t>
        </is>
      </c>
      <c r="AW2891" t="inlineStr">
        <is>
          <t>0</t>
        </is>
      </c>
      <c r="AX2891" t="inlineStr">
        <is>
          <t>Not Qualified</t>
        </is>
      </c>
      <c r="AY2891" s="4"/>
      <c r="AZ2891"/>
      <c r="BA2891"/>
      <c r="BB2891"/>
      <c r="BC2891" t="inlineStr">
        <is>
          <t>she said audit busy ah, if hr wants let me know</t>
        </is>
      </c>
      <c r="BD2891" s="4">
        <v>46129.7253125</v>
      </c>
      <c r="BE2891"/>
      <c r="BF2891"/>
      <c r="BG2891" t="inlineStr">
        <is>
          <t>Reschedule</t>
        </is>
      </c>
      <c r="BH2891" t="inlineStr">
        <is>
          <t>Reagen</t>
        </is>
      </c>
      <c r="BI2891" t="inlineStr">
        <is>
          <t>Manufacturing / Production</t>
        </is>
      </c>
      <c r="BJ2891" s="4">
        <v>46144.75224537037</v>
      </c>
      <c r="BK2891" s="4">
        <v>45727.65546296296</v>
      </c>
      <c r="BL2891" t="inlineStr">
        <is>
          <t>0.0</t>
        </is>
      </c>
      <c r="BM2891" t="inlineStr">
        <is>
          <t>0.0</t>
        </is>
      </c>
      <c r="BN2891" t="inlineStr">
        <is>
          <t>View Company Page</t>
        </is>
      </c>
      <c r="BO2891" s="4">
        <v>45727.73305555555</v>
      </c>
      <c r="BP2891">
        <v>165519</v>
      </c>
      <c r="BQ2891"/>
      <c r="BR2891"/>
      <c r="BS2891"/>
      <c r="BT2891"/>
      <c r="BU2891"/>
      <c r="BV2891">
        <v>2713637</v>
      </c>
      <c r="BW2891" t="inlineStr">
        <is>
          <t>Follow Up : Budget Concern</t>
        </is>
      </c>
      <c r="BX2891"/>
      <c r="BY2891"/>
      <c r="BZ2891" s="4"/>
      <c r="CA2891"/>
      <c r="CB2891"/>
      <c r="CC2891" s="4"/>
      <c r="CD2891" t="inlineStr">
        <is>
          <t>20</t>
        </is>
      </c>
      <c r="CE2891" t="inlineStr">
        <is>
          <t>0</t>
        </is>
      </c>
      <c r="CF2891" t="inlineStr">
        <is>
          <t>Q2-W01</t>
        </is>
      </c>
      <c r="CG2891"/>
      <c r="CH2891"/>
      <c r="CI2891"/>
      <c r="CJ2891" t="inlineStr">
        <is>
          <t>No Paid</t>
        </is>
      </c>
      <c r="CK2891" t="inlineStr">
        <is>
          <t>Eligible</t>
        </is>
      </c>
      <c r="CL2891"/>
      <c r="CM2891"/>
    </row>
    <row r="2892" ht="25.5" customHeight="1">
      <c r="A2892" t="inlineStr">
        <is>
          <t>153040</t>
        </is>
      </c>
      <c r="B2892" s="2"/>
      <c r="C2892"/>
      <c r="D2892" s="3">
        <v>46118.75261574074</v>
      </c>
      <c r="E2892" t="inlineStr">
        <is>
          <t>Q2-W01</t>
        </is>
      </c>
      <c r="F2892" t="inlineStr">
        <is>
          <t>Carmen</t>
        </is>
      </c>
      <c r="G2892" t="inlineStr">
        <is>
          <t>Customer</t>
        </is>
      </c>
      <c r="H2892" s="2" t="str">
        <f>=HYPERLINK("https://upbox.ajobthing.my/customer/153040", "https://upbox.ajobthing.my/customer/153040")</f>
        <v>https://upbox.ajobthing.my/customer/153040</v>
      </c>
      <c r="I2892" t="inlineStr">
        <is>
          <t>Mygrocer Sdn Bhd</t>
        </is>
      </c>
      <c r="J2892" t="inlineStr">
        <is>
          <t>Whale</t>
        </is>
      </c>
      <c r="K2892" t="inlineStr">
        <is>
          <t>Carmen</t>
        </is>
      </c>
      <c r="L2892" s="4"/>
      <c r="M2892" s="4">
        <v>46111.397986111115</v>
      </c>
      <c r="N2892"/>
      <c r="O2892">
        <v>11448</v>
      </c>
      <c r="P2892" s="4"/>
      <c r="Q2892" s="4">
        <v>46126.58969907407</v>
      </c>
      <c r="R2892"/>
      <c r="S2892">
        <v>11448</v>
      </c>
      <c r="T2892" s="4">
        <v>46126.58969907407</v>
      </c>
      <c r="U2892" s="4"/>
      <c r="V2892"/>
      <c r="W2892">
        <v>11448</v>
      </c>
      <c r="X2892"/>
      <c r="Y2892" t="inlineStr">
        <is>
          <t>Pending Appointment</t>
        </is>
      </c>
      <c r="Z2892" t="inlineStr">
        <is>
          <t>Hiring Later</t>
        </is>
      </c>
      <c r="AA2892">
        <v>1</v>
      </c>
      <c r="AB2892" t="inlineStr">
        <is>
          <t>No Appointment Made</t>
        </is>
      </c>
      <c r="AC2892"/>
      <c r="AD2892" t="inlineStr">
        <is>
          <t>1 branch manager</t>
        </is>
      </c>
      <c r="AE2892"/>
      <c r="AF2892">
        <v>10000</v>
      </c>
      <c r="AG2892" s="4"/>
      <c r="AH2892" s="4"/>
      <c r="AI2892"/>
      <c r="AJ2892"/>
      <c r="AK2892" t="inlineStr">
        <is>
          <t>No, I don't need at all</t>
        </is>
      </c>
      <c r="AL2892"/>
      <c r="AM2892"/>
      <c r="AN2892"/>
      <c r="AO2892"/>
      <c r="AP2892" t="inlineStr">
        <is>
          <t>Once per quarter (75%)</t>
        </is>
      </c>
      <c r="AQ2892"/>
      <c r="AR2892"/>
      <c r="AS2892" t="inlineStr">
        <is>
          <t>- Headcount: 1
- Hiring Job Details: 1 branch manager
- Hiring Urgency: Hiring Later
- Number of outlets: Not provided
- Have recruiter team: No, I don't need at all
- Number of recruiter in company: Not provided
- Have ATS system: Not provided
- Have career website: Not provided
- Current hiring budget: RM10,000.00
- Whole year budget: Not provided
- Whole year number of vacancies: Not provided
- Hiring frequency: Once per quarter (75%)
- External job portal: Not provided</t>
        </is>
      </c>
      <c r="AT2892">
        <v>75</v>
      </c>
      <c r="AU2892" t="inlineStr">
        <is>
          <t>0.75</t>
        </is>
      </c>
      <c r="AV2892" t="inlineStr">
        <is>
          <t>15</t>
        </is>
      </c>
      <c r="AW2892" t="inlineStr">
        <is>
          <t>0</t>
        </is>
      </c>
      <c r="AX2892" t="inlineStr">
        <is>
          <t>Not Qualified</t>
        </is>
      </c>
      <c r="AY2892" s="4"/>
      <c r="AZ2892"/>
      <c r="BA2892"/>
      <c r="BB2892"/>
      <c r="BC2892" t="inlineStr">
        <is>
          <t>guide her</t>
        </is>
      </c>
      <c r="BD2892" s="4">
        <v>46133.633101851854</v>
      </c>
      <c r="BE2892" t="inlineStr">
        <is>
          <t>paid</t>
        </is>
      </c>
      <c r="BF2892" t="inlineStr">
        <is>
          <t>Q2-W02</t>
        </is>
      </c>
      <c r="BG2892" t="inlineStr">
        <is>
          <t>Reschedule</t>
        </is>
      </c>
      <c r="BH2892" t="inlineStr">
        <is>
          <t>Reagen</t>
        </is>
      </c>
      <c r="BI2892" t="inlineStr">
        <is>
          <t>Retail / Merchandise</t>
        </is>
      </c>
      <c r="BJ2892" s="4">
        <v>46144.750914351855</v>
      </c>
      <c r="BK2892" s="4">
        <v>44677.345034722224</v>
      </c>
      <c r="BL2892" t="inlineStr">
        <is>
          <t>11448.0</t>
        </is>
      </c>
      <c r="BM2892" t="inlineStr">
        <is>
          <t>0.0</t>
        </is>
      </c>
      <c r="BN2892" t="inlineStr">
        <is>
          <t>View Company Page</t>
        </is>
      </c>
      <c r="BO2892" s="4">
        <v>46139.512604166666</v>
      </c>
      <c r="BP2892">
        <v>164130</v>
      </c>
      <c r="BQ2892">
        <v>7588</v>
      </c>
      <c r="BR2892" t="inlineStr">
        <is>
          <t>Manual (Paid)</t>
        </is>
      </c>
      <c r="BS2892" t="inlineStr">
        <is>
          <t>AI Yearly Enhanced Plan
- AI Yearly Enhanced Plan of 20 AI Job Ads + 20 Free AI Job Ads with Booster
- 40 AI Job Ad will be published on Maukerja, Ricebowl and our partner platforms
- 40 AI Job Ad will be published for 45 days
- 40 Booster Plus
- 400 Free Candidates Profiles Unlock
- 20x Free Job Ad monthly (total 240 in a year) for any type of Intern / High Pay / Part-time / Volunteer / Freelance / Singapore Job
- 1 Free Company Page
- Package valid for 18 months
- AI Capability for each AI Job Ad
- AI Instant Match for 30 profiles
- AI Daily Talent Recommendation for 2 profiles daily
- AI "Open to Work" Detector for 2 profiles
- AI Smart Filter
- AI Post Job Assistant
- Ajobthing CARE</t>
        </is>
      </c>
      <c r="BT2892">
        <v>7588</v>
      </c>
      <c r="BU2892"/>
      <c r="BV2892">
        <v>2718466</v>
      </c>
      <c r="BW2892" t="inlineStr">
        <is>
          <t>Service / Technical : Job Outcome Enquiry</t>
        </is>
      </c>
      <c r="BX2892">
        <v>40</v>
      </c>
      <c r="BY2892">
        <v>39</v>
      </c>
      <c r="BZ2892" s="4">
        <v>46133.6253125</v>
      </c>
      <c r="CA2892">
        <v>413</v>
      </c>
      <c r="CB2892">
        <v>409</v>
      </c>
      <c r="CC2892" s="4">
        <v>46139.52241898148</v>
      </c>
      <c r="CD2892" t="inlineStr">
        <is>
          <t>20</t>
        </is>
      </c>
      <c r="CE2892" t="inlineStr">
        <is>
          <t>0</t>
        </is>
      </c>
      <c r="CF2892" t="inlineStr">
        <is>
          <t>Q1-W13</t>
        </is>
      </c>
      <c r="CG2892" t="inlineStr">
        <is>
          <t>Q2-W02</t>
        </is>
      </c>
      <c r="CH2892" t="inlineStr">
        <is>
          <t>Q2-W02</t>
        </is>
      </c>
      <c r="CI2892"/>
      <c r="CJ2892" t="inlineStr">
        <is>
          <t>Paid</t>
        </is>
      </c>
      <c r="CK2892" t="inlineStr">
        <is>
          <t>Eligible</t>
        </is>
      </c>
      <c r="CL2892"/>
      <c r="CM2892"/>
    </row>
    <row r="2893" ht="25.5" customHeight="1">
      <c r="A2893" t="inlineStr">
        <is>
          <t>202894</t>
        </is>
      </c>
      <c r="B2893" s="2"/>
      <c r="C2893"/>
      <c r="D2893" s="3">
        <v>46118.753217592595</v>
      </c>
      <c r="E2893" t="inlineStr">
        <is>
          <t>Q2-W01</t>
        </is>
      </c>
      <c r="F2893" t="inlineStr">
        <is>
          <t>andy@ajobthing.com</t>
        </is>
      </c>
      <c r="G2893" t="inlineStr">
        <is>
          <t>Customer</t>
        </is>
      </c>
      <c r="H2893" s="2" t="str">
        <f>=HYPERLINK("https://upbox.ajobthing.my/customer/202894", "https://upbox.ajobthing.my/customer/202894")</f>
        <v>https://upbox.ajobthing.my/customer/202894</v>
      </c>
      <c r="I2893" t="inlineStr">
        <is>
          <t>Tonasco Malaysia Sdn Bhd</t>
        </is>
      </c>
      <c r="J2893" t="inlineStr">
        <is>
          <t>Whale</t>
        </is>
      </c>
      <c r="K2893" t="inlineStr">
        <is>
          <t>Andy</t>
        </is>
      </c>
      <c r="L2893" s="4"/>
      <c r="M2893" s="4">
        <v>46118.75539351852</v>
      </c>
      <c r="N2893"/>
      <c r="O2893">
        <v>11448</v>
      </c>
      <c r="P2893" s="4"/>
      <c r="Q2893" s="4">
        <v>46121.40416666667</v>
      </c>
      <c r="R2893"/>
      <c r="S2893">
        <v>0</v>
      </c>
      <c r="T2893" s="4">
        <v>46120.739432870374</v>
      </c>
      <c r="U2893" s="4"/>
      <c r="V2893"/>
      <c r="W2893">
        <v>6048</v>
      </c>
      <c r="X2893"/>
      <c r="Y2893" t="inlineStr">
        <is>
          <t>Pending Appointment</t>
        </is>
      </c>
      <c r="Z2893" t="inlineStr">
        <is>
          <t>Continuous Hiring</t>
        </is>
      </c>
      <c r="AA2893">
        <v>5</v>
      </c>
      <c r="AB2893" t="inlineStr">
        <is>
          <t>No Appointment Made</t>
        </is>
      </c>
      <c r="AC2893"/>
      <c r="AD2893" t="inlineStr">
        <is>
          <t xml:space="preserve">Grinding machinist, cnc machinist, qc support, production support, technician </t>
        </is>
      </c>
      <c r="AE2893"/>
      <c r="AF2893">
        <v>5000</v>
      </c>
      <c r="AG2893" s="4"/>
      <c r="AH2893" s="4"/>
      <c r="AI2893">
        <v>10000</v>
      </c>
      <c r="AJ2893">
        <v>1</v>
      </c>
      <c r="AK2893" t="inlineStr">
        <is>
          <t>Yes, I have</t>
        </is>
      </c>
      <c r="AL2893">
        <v>2</v>
      </c>
      <c r="AM2893" t="inlineStr">
        <is>
          <t>No, I don't need at all</t>
        </is>
      </c>
      <c r="AN2893"/>
      <c r="AO2893" t="inlineStr">
        <is>
          <t>No, I don't need at all</t>
        </is>
      </c>
      <c r="AP2893" t="inlineStr">
        <is>
          <t>Once per quarter (75%)</t>
        </is>
      </c>
      <c r="AQ2893">
        <v>20</v>
      </c>
      <c r="AR2893" t="inlineStr">
        <is>
          <t>Jobstreet</t>
        </is>
      </c>
      <c r="AS2893" t="inlineStr">
        <is>
          <t>- Headcount: 5
- Hiring Job Details: Grinding machinist, cnc machinist, qc support, production support, technician
- Hiring Urgency: Continuous Hiring
- Number of outlets: 1
- Have recruiter team: Yes
- Number of recruiter in company: 2
- Have ATS system: No, I don't need at all
- Have career website: No, I don't need at all
- Current hiring budget: RM5,000
- Whole year budget: RM10,000.00
- Whole year number of vacancies: 20
- Hiring frequency: Once per quarter (75%)
- External job portal: Jobstreet</t>
        </is>
      </c>
      <c r="AT2893">
        <v>75</v>
      </c>
      <c r="AU2893" t="inlineStr">
        <is>
          <t>0.75</t>
        </is>
      </c>
      <c r="AV2893" t="inlineStr">
        <is>
          <t>20</t>
        </is>
      </c>
      <c r="AW2893" t="inlineStr">
        <is>
          <t>0</t>
        </is>
      </c>
      <c r="AX2893" t="inlineStr">
        <is>
          <t>Not Qualified</t>
        </is>
      </c>
      <c r="AY2893" s="4"/>
      <c r="AZ2893"/>
      <c r="BA2893"/>
      <c r="BB2893"/>
      <c r="BC2893" t="inlineStr">
        <is>
          <t>- Headcount: 5
- Hiring Job Details: Grinding machinist, cnc machinist, qc support, production support, technician
- Hiring Urgency: Continuous Hiring
- Number of outlets: 1
- Have recruiter team: Yes
- Number of recruiter in company: 2
- Have ATS system: No, I don't need at all
- Have career website: No, I don't need at all
- Current hiring budget: RM5,000
- Whole year budget: RM10,000.00
- Whole year number of vacancies: 20
- Hiring frequency: Once per quarter (75%)
- External job portal: Jobstreet</t>
        </is>
      </c>
      <c r="BD2893" s="4">
        <v>46118.791712962964</v>
      </c>
      <c r="BE2893" t="inlineStr">
        <is>
          <t>paid</t>
        </is>
      </c>
      <c r="BF2893" t="inlineStr">
        <is>
          <t>Q2-W01</t>
        </is>
      </c>
      <c r="BG2893" t="inlineStr">
        <is>
          <t>Reschedule</t>
        </is>
      </c>
      <c r="BH2893"/>
      <c r="BI2893" t="inlineStr">
        <is>
          <t>Manufacturing / Production</t>
        </is>
      </c>
      <c r="BJ2893" s="4">
        <v>46144.75414351852</v>
      </c>
      <c r="BK2893" s="4">
        <v>46118.749189814815</v>
      </c>
      <c r="BL2893" t="inlineStr">
        <is>
          <t>6048.0</t>
        </is>
      </c>
      <c r="BM2893" t="inlineStr">
        <is>
          <t>21000.0</t>
        </is>
      </c>
      <c r="BN2893" t="inlineStr">
        <is>
          <t>View Company Page</t>
        </is>
      </c>
      <c r="BO2893" s="4">
        <v>46142.47655092592</v>
      </c>
      <c r="BP2893">
        <v>165522</v>
      </c>
      <c r="BQ2893">
        <v>121194</v>
      </c>
      <c r="BR2893" t="inlineStr">
        <is>
          <t>Proforma</t>
        </is>
      </c>
      <c r="BS2893" t="inlineStr">
        <is>
          <t>Free Part-Time Job</t>
        </is>
      </c>
      <c r="BT2893">
        <v>7594</v>
      </c>
      <c r="BU2893"/>
      <c r="BV2893">
        <v>2687716</v>
      </c>
      <c r="BW2893" t="inlineStr">
        <is>
          <t>Customer Inquiry</t>
        </is>
      </c>
      <c r="BX2893">
        <v>16</v>
      </c>
      <c r="BY2893">
        <v>10</v>
      </c>
      <c r="BZ2893" s="4">
        <v>46132.50502314815</v>
      </c>
      <c r="CA2893">
        <v>173</v>
      </c>
      <c r="CB2893">
        <v>173</v>
      </c>
      <c r="CC2893" s="4"/>
      <c r="CD2893" t="inlineStr">
        <is>
          <t>30</t>
        </is>
      </c>
      <c r="CE2893" t="inlineStr">
        <is>
          <t>0</t>
        </is>
      </c>
      <c r="CF2893" t="inlineStr">
        <is>
          <t>Q2-W01</t>
        </is>
      </c>
      <c r="CG2893" t="inlineStr">
        <is>
          <t>Q2-W01</t>
        </is>
      </c>
      <c r="CH2893" t="inlineStr">
        <is>
          <t>Q2-W01</t>
        </is>
      </c>
      <c r="CI2893"/>
      <c r="CJ2893" t="inlineStr">
        <is>
          <t>Paid</t>
        </is>
      </c>
      <c r="CK2893" t="inlineStr">
        <is>
          <t>Eligible</t>
        </is>
      </c>
      <c r="CL2893"/>
      <c r="CM2893"/>
    </row>
    <row r="2894" ht="25.5" customHeight="1">
      <c r="A2894" t="inlineStr">
        <is>
          <t>165349</t>
        </is>
      </c>
      <c r="B2894" s="2"/>
      <c r="C2894"/>
      <c r="D2894" s="3">
        <v>46118.82761574074</v>
      </c>
      <c r="E2894" t="inlineStr">
        <is>
          <t>Q2-W01</t>
        </is>
      </c>
      <c r="F2894" t="inlineStr">
        <is>
          <t>andy@ajobthing.com</t>
        </is>
      </c>
      <c r="G2894" t="inlineStr">
        <is>
          <t>Customer</t>
        </is>
      </c>
      <c r="H2894" s="2" t="str">
        <f>=HYPERLINK("https://upbox.ajobthing.my/customer/165349", "https://upbox.ajobthing.my/customer/165349")</f>
        <v>https://upbox.ajobthing.my/customer/165349</v>
      </c>
      <c r="I2894" t="inlineStr">
        <is>
          <t>Globinaco</t>
        </is>
      </c>
      <c r="J2894" t="inlineStr">
        <is>
          <t>Whale</t>
        </is>
      </c>
      <c r="K2894" t="inlineStr">
        <is>
          <t>Andy</t>
        </is>
      </c>
      <c r="L2894" s="4"/>
      <c r="M2894" s="4">
        <v>46112.615798611114</v>
      </c>
      <c r="N2894"/>
      <c r="O2894">
        <v>6048</v>
      </c>
      <c r="P2894" s="4"/>
      <c r="Q2894" s="4">
        <v>46119.28712962963</v>
      </c>
      <c r="R2894"/>
      <c r="S2894">
        <v>0</v>
      </c>
      <c r="T2894" s="4"/>
      <c r="U2894" s="4"/>
      <c r="V2894"/>
      <c r="W2894"/>
      <c r="X2894" t="inlineStr">
        <is>
          <t>andy@ajobthing.com</t>
        </is>
      </c>
      <c r="Y2894" t="inlineStr">
        <is>
          <t>Done Appointment</t>
        </is>
      </c>
      <c r="Z2894" t="inlineStr">
        <is>
          <t>Continuous Hiring</t>
        </is>
      </c>
      <c r="AA2894">
        <v>2</v>
      </c>
      <c r="AB2894" t="inlineStr">
        <is>
          <t>Appointment Made</t>
        </is>
      </c>
      <c r="AC2894" t="inlineStr">
        <is>
          <t>Enterprise (&gt;300 employees)</t>
        </is>
      </c>
      <c r="AD2894" t="inlineStr">
        <is>
          <t>Procurement Manager, Procurement Executive</t>
        </is>
      </c>
      <c r="AE2894" t="inlineStr">
        <is>
          <t>HR Manager / Talent Manager</t>
        </is>
      </c>
      <c r="AF2894">
        <v>5000</v>
      </c>
      <c r="AG2894" s="4">
        <v>46118.729166666664</v>
      </c>
      <c r="AH2894" s="4">
        <v>46118.75</v>
      </c>
      <c r="AI2894">
        <v>10000</v>
      </c>
      <c r="AJ2894">
        <v>11</v>
      </c>
      <c r="AK2894" t="inlineStr">
        <is>
          <t>Yes, I have</t>
        </is>
      </c>
      <c r="AL2894">
        <v>2</v>
      </c>
      <c r="AM2894" t="inlineStr">
        <is>
          <t>No, I don't need at all</t>
        </is>
      </c>
      <c r="AN2894"/>
      <c r="AO2894" t="inlineStr">
        <is>
          <t>Yes, I have</t>
        </is>
      </c>
      <c r="AP2894" t="inlineStr">
        <is>
          <t>Once per quarter (75%)</t>
        </is>
      </c>
      <c r="AQ2894">
        <v>20</v>
      </c>
      <c r="AR2894" t="inlineStr">
        <is>
          <t>Jobstreet, Free Job Portal</t>
        </is>
      </c>
      <c r="AS2894" t="inlineStr">
        <is>
          <t>- Headcount: 2
- Hiring Job Details: Procurement Manager, Procurement Executive
- Hiring Urgency: Continuous Hiring
- Number of outlets: 11
- Have recruiter team: Yes
- Number of recruiter in company: 2
- Have ATS system: No, I don't need at all
- Have career website: Yes
- Current hiring budget: RM5,000
- Whole year budget: RM10,000.00
- Whole year number of vacancies: 20
- Hiring frequency: Once per quarter (75%)
- External job portal: Jobstreet, Free Job Portal</t>
        </is>
      </c>
      <c r="AT2894">
        <v>105</v>
      </c>
      <c r="AU2894" t="inlineStr">
        <is>
          <t>1.05</t>
        </is>
      </c>
      <c r="AV2894" t="inlineStr">
        <is>
          <t>50</t>
        </is>
      </c>
      <c r="AW2894" t="inlineStr">
        <is>
          <t>0.5</t>
        </is>
      </c>
      <c r="AX2894" t="inlineStr">
        <is>
          <t>Not Qualified</t>
        </is>
      </c>
      <c r="AY2894" s="4">
        <v>46119.60115740741</v>
      </c>
      <c r="AZ2894" t="inlineStr">
        <is>
          <t>andy@ajobthing.com</t>
        </is>
      </c>
      <c r="BA2894"/>
      <c r="BB2894"/>
      <c r="BC2894" t="inlineStr">
        <is>
          <t>- Headcount: 2
- Hiring Job Details: Procurement Manager, Procurement Executive
- Hiring Urgency: Continuous Hiring
- Number of outlets: 11
- Have recruiter team: Yes
- Number of recruiter in company: 2
- Have ATS system: No, I don't need at all
- Have career website: Yes
- Current hiring budget: RM5,000
- Whole year budget: RM10,000.00
- Whole year number of vacancies: 20
- Hiring frequency: Once per quarter (75%)
- External job portal: Jobstreet, Free Job Portal</t>
        </is>
      </c>
      <c r="BD2894" s="4">
        <v>46118.83337962963</v>
      </c>
      <c r="BE2894" t="inlineStr">
        <is>
          <t>paid</t>
        </is>
      </c>
      <c r="BF2894"/>
      <c r="BG2894" t="inlineStr">
        <is>
          <t>Reschedule</t>
        </is>
      </c>
      <c r="BH2894"/>
      <c r="BI2894"/>
      <c r="BJ2894" s="4">
        <v>46144.751226851855</v>
      </c>
      <c r="BK2894" s="4">
        <v>44999.3621412037</v>
      </c>
      <c r="BL2894" t="inlineStr">
        <is>
          <t>0.0</t>
        </is>
      </c>
      <c r="BM2894" t="inlineStr">
        <is>
          <t>12000.0</t>
        </is>
      </c>
      <c r="BN2894" t="inlineStr">
        <is>
          <t>View Company Page</t>
        </is>
      </c>
      <c r="BO2894" s="4">
        <v>46142.75502314815</v>
      </c>
      <c r="BP2894">
        <v>164513</v>
      </c>
      <c r="BQ2894">
        <v>120460</v>
      </c>
      <c r="BR2894" t="inlineStr">
        <is>
          <t>Proforma</t>
        </is>
      </c>
      <c r="BS2894" t="inlineStr">
        <is>
          <t>Job Ad 365 - SME 100 Free Trial</t>
        </is>
      </c>
      <c r="BT2894"/>
      <c r="BU2894"/>
      <c r="BV2894">
        <v>2687774</v>
      </c>
      <c r="BW2894" t="inlineStr">
        <is>
          <t>Customer Inquiry</t>
        </is>
      </c>
      <c r="BX2894">
        <v>300</v>
      </c>
      <c r="BY2894">
        <v>277</v>
      </c>
      <c r="BZ2894" s="4">
        <v>46142.75486111111</v>
      </c>
      <c r="CA2894">
        <v>13</v>
      </c>
      <c r="CB2894">
        <v>13</v>
      </c>
      <c r="CC2894" s="4"/>
      <c r="CD2894" t="inlineStr">
        <is>
          <t>70</t>
        </is>
      </c>
      <c r="CE2894" t="inlineStr">
        <is>
          <t>0.8</t>
        </is>
      </c>
      <c r="CF2894" t="inlineStr">
        <is>
          <t>Q1-W13</t>
        </is>
      </c>
      <c r="CG2894" t="inlineStr">
        <is>
          <t>Q2-W01</t>
        </is>
      </c>
      <c r="CH2894"/>
      <c r="CI2894" t="inlineStr">
        <is>
          <t>Q2-W01</t>
        </is>
      </c>
      <c r="CJ2894" t="inlineStr">
        <is>
          <t>No Paid</t>
        </is>
      </c>
      <c r="CK2894" t="inlineStr">
        <is>
          <t>Eligible</t>
        </is>
      </c>
      <c r="CL2894"/>
      <c r="CM2894" t="inlineStr">
        <is>
          <t>Q2-W01</t>
        </is>
      </c>
    </row>
    <row r="2895" ht="25.5" customHeight="1">
      <c r="A2895" t="inlineStr">
        <is>
          <t>197200</t>
        </is>
      </c>
      <c r="B2895" s="2"/>
      <c r="C2895"/>
      <c r="D2895" s="3">
        <v>46119.385925925926</v>
      </c>
      <c r="E2895" t="inlineStr">
        <is>
          <t>Q2-W01</t>
        </is>
      </c>
      <c r="F2895" t="inlineStr">
        <is>
          <t>Yuli</t>
        </is>
      </c>
      <c r="G2895" t="inlineStr">
        <is>
          <t>Customer</t>
        </is>
      </c>
      <c r="H2895" s="2" t="str">
        <f>=HYPERLINK("https://upbox.ajobthing.my/customer/197200", "https://upbox.ajobthing.my/customer/197200")</f>
        <v>https://upbox.ajobthing.my/customer/197200</v>
      </c>
      <c r="I2895" t="inlineStr">
        <is>
          <t>Yen Creative Sdn Bhd</t>
        </is>
      </c>
      <c r="J2895" t="inlineStr">
        <is>
          <t>Whale</t>
        </is>
      </c>
      <c r="K2895" t="inlineStr">
        <is>
          <t>YuLi</t>
        </is>
      </c>
      <c r="L2895" s="4"/>
      <c r="M2895" s="4">
        <v>46119.39114583333</v>
      </c>
      <c r="N2895"/>
      <c r="O2895">
        <v>6048</v>
      </c>
      <c r="P2895" s="4"/>
      <c r="Q2895" s="4"/>
      <c r="R2895"/>
      <c r="S2895"/>
      <c r="T2895" s="4"/>
      <c r="U2895" s="4"/>
      <c r="V2895"/>
      <c r="W2895"/>
      <c r="X2895"/>
      <c r="Y2895" t="inlineStr">
        <is>
          <t>Pending Appointment</t>
        </is>
      </c>
      <c r="Z2895" t="inlineStr">
        <is>
          <t>Hiring Now</t>
        </is>
      </c>
      <c r="AA2895">
        <v>7</v>
      </c>
      <c r="AB2895" t="inlineStr">
        <is>
          <t>No Appointment Made</t>
        </is>
      </c>
      <c r="AC2895"/>
      <c r="AD2895" t="inlineStr">
        <is>
          <t xml:space="preserve">Sales person 
Sales executive
Videographer
admin
QS
Production
Marketing
Preferable Mandarin  speaker </t>
        </is>
      </c>
      <c r="AE2895"/>
      <c r="AF2895"/>
      <c r="AG2895" s="4"/>
      <c r="AH2895" s="4"/>
      <c r="AI2895"/>
      <c r="AJ2895"/>
      <c r="AK2895"/>
      <c r="AL2895"/>
      <c r="AM2895"/>
      <c r="AN2895"/>
      <c r="AO2895"/>
      <c r="AP2895"/>
      <c r="AQ2895"/>
      <c r="AR2895" t="inlineStr">
        <is>
          <t>Free Job Portal</t>
        </is>
      </c>
      <c r="AS2895" t="inlineStr">
        <is>
          <t>- Headcount: 7
- Hiring Job Details: Sales person, Sales executive, Videographer, admin, QS, Production, Marketing; Preferable Mandarin speaker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Free Job Portal
- Hiring Urgency: Hiring Now</t>
        </is>
      </c>
      <c r="AT2895">
        <v>30</v>
      </c>
      <c r="AU2895" t="inlineStr">
        <is>
          <t>0.30</t>
        </is>
      </c>
      <c r="AV2895" t="inlineStr">
        <is>
          <t>10</t>
        </is>
      </c>
      <c r="AW2895" t="inlineStr">
        <is>
          <t>0</t>
        </is>
      </c>
      <c r="AX2895" t="inlineStr">
        <is>
          <t>Not Qualified</t>
        </is>
      </c>
      <c r="AY2895" s="4"/>
      <c r="AZ2895"/>
      <c r="BA2895"/>
      <c r="BB2895"/>
      <c r="BC2895" t="inlineStr">
        <is>
          <t>called but no answer</t>
        </is>
      </c>
      <c r="BD2895" s="4">
        <v>46125.67304398148</v>
      </c>
      <c r="BE2895"/>
      <c r="BF2895"/>
      <c r="BG2895" t="inlineStr">
        <is>
          <t>Reschedule</t>
        </is>
      </c>
      <c r="BH2895" t="inlineStr">
        <is>
          <t>Fauziah Maharan</t>
        </is>
      </c>
      <c r="BI2895" t="inlineStr">
        <is>
          <t>Construction / Building</t>
        </is>
      </c>
      <c r="BJ2895" s="4">
        <v>46126.46193287037</v>
      </c>
      <c r="BK2895" s="4">
        <v>45944.458032407405</v>
      </c>
      <c r="BL2895" t="inlineStr">
        <is>
          <t>0.0</t>
        </is>
      </c>
      <c r="BM2895" t="inlineStr">
        <is>
          <t>1200.0</t>
        </is>
      </c>
      <c r="BN2895" t="inlineStr">
        <is>
          <t>View Account User</t>
        </is>
      </c>
      <c r="BO2895" s="4">
        <v>45944.72436342593</v>
      </c>
      <c r="BP2895">
        <v>165539</v>
      </c>
      <c r="BQ2895"/>
      <c r="BR2895"/>
      <c r="BS2895"/>
      <c r="BT2895"/>
      <c r="BU2895"/>
      <c r="BV2895">
        <v>2701543</v>
      </c>
      <c r="BW2895" t="inlineStr">
        <is>
          <t>No Answer : Voicemail - WA sent to customer</t>
        </is>
      </c>
      <c r="BX2895"/>
      <c r="BY2895"/>
      <c r="BZ2895" s="4"/>
      <c r="CA2895"/>
      <c r="CB2895"/>
      <c r="CC2895" s="4"/>
      <c r="CD2895" t="inlineStr">
        <is>
          <t>15</t>
        </is>
      </c>
      <c r="CE2895" t="inlineStr">
        <is>
          <t>0</t>
        </is>
      </c>
      <c r="CF2895" t="inlineStr">
        <is>
          <t>Q2-W01</t>
        </is>
      </c>
      <c r="CG2895"/>
      <c r="CH2895"/>
      <c r="CI2895"/>
      <c r="CJ2895" t="inlineStr">
        <is>
          <t>No Paid</t>
        </is>
      </c>
      <c r="CK2895" t="inlineStr">
        <is>
          <t>Eligible</t>
        </is>
      </c>
      <c r="CL2895"/>
      <c r="CM2895"/>
    </row>
    <row r="2896" ht="25.5" customHeight="1">
      <c r="A2896" t="inlineStr">
        <is>
          <t>175005</t>
        </is>
      </c>
      <c r="B2896" s="2"/>
      <c r="C2896"/>
      <c r="D2896" s="3">
        <v>46119.38898148148</v>
      </c>
      <c r="E2896" t="inlineStr">
        <is>
          <t>Q2-W01</t>
        </is>
      </c>
      <c r="F2896" t="inlineStr">
        <is>
          <t>Josh</t>
        </is>
      </c>
      <c r="G2896" t="inlineStr">
        <is>
          <t>Customer</t>
        </is>
      </c>
      <c r="H2896" s="2" t="str">
        <f>=HYPERLINK("https://upbox.ajobthing.my/customer/175005", "https://upbox.ajobthing.my/customer/175005")</f>
        <v>https://upbox.ajobthing.my/customer/175005</v>
      </c>
      <c r="I2896" t="inlineStr">
        <is>
          <t>OTC Cosmetic Industries Sdn Bhd</t>
        </is>
      </c>
      <c r="J2896" t="inlineStr">
        <is>
          <t>Whale</t>
        </is>
      </c>
      <c r="K2896" t="inlineStr">
        <is>
          <t>Josh</t>
        </is>
      </c>
      <c r="L2896" s="4"/>
      <c r="M2896" s="4">
        <v>46121.69391203704</v>
      </c>
      <c r="N2896"/>
      <c r="O2896">
        <v>5412.96</v>
      </c>
      <c r="P2896" s="4"/>
      <c r="Q2896" s="4">
        <v>46127.40125</v>
      </c>
      <c r="R2896"/>
      <c r="S2896">
        <v>5412.96</v>
      </c>
      <c r="T2896" s="4">
        <v>46127.40125</v>
      </c>
      <c r="U2896" s="4"/>
      <c r="V2896"/>
      <c r="W2896">
        <v>5412.96</v>
      </c>
      <c r="X2896"/>
      <c r="Y2896" t="inlineStr">
        <is>
          <t>Pending Appointment</t>
        </is>
      </c>
      <c r="Z2896" t="inlineStr">
        <is>
          <t>Hiring Now</t>
        </is>
      </c>
      <c r="AA2896">
        <v>4</v>
      </c>
      <c r="AB2896" t="inlineStr">
        <is>
          <t>No Appointment Made</t>
        </is>
      </c>
      <c r="AC2896"/>
      <c r="AD2896" t="inlineStr">
        <is>
          <t>1 purchasing executive
1 plant engineer
1 Lead R&amp;D
1 Production Manager</t>
        </is>
      </c>
      <c r="AE2896"/>
      <c r="AF2896">
        <v>5000</v>
      </c>
      <c r="AG2896" s="4"/>
      <c r="AH2896" s="4"/>
      <c r="AI2896"/>
      <c r="AJ2896"/>
      <c r="AK2896"/>
      <c r="AL2896"/>
      <c r="AM2896"/>
      <c r="AN2896"/>
      <c r="AO2896"/>
      <c r="AP2896" t="inlineStr">
        <is>
          <t>Once a year (25%)</t>
        </is>
      </c>
      <c r="AQ2896"/>
      <c r="AR2896"/>
      <c r="AS2896" t="inlineStr">
        <is>
          <t>- Headcount: 4
- Hiring Job Details: 1 purchasing executive, 1 plant engineer, 1 Lead R&amp;D, 1 Production Manager
- Hiring Urgency: Hiring Now
- Number of outlets: Not available
- Have recruiter team: Not available
- Number of recruiter in company: Not available
- Have ATS system: Not available
- Have career website: Not available
- Current hiring budget: RM5,000.00
- Whole year budget: Not available
- Whole year number of vacancies: Not available
- Hiring frequency: Once a year (25%)
- External job portal: Not available</t>
        </is>
      </c>
      <c r="AT2896">
        <v>75</v>
      </c>
      <c r="AU2896" t="inlineStr">
        <is>
          <t>0.75</t>
        </is>
      </c>
      <c r="AV2896" t="inlineStr">
        <is>
          <t>15</t>
        </is>
      </c>
      <c r="AW2896" t="inlineStr">
        <is>
          <t>0</t>
        </is>
      </c>
      <c r="AX2896" t="inlineStr">
        <is>
          <t>Not Qualified</t>
        </is>
      </c>
      <c r="AY2896" s="4"/>
      <c r="AZ2896"/>
      <c r="BA2896"/>
      <c r="BB2896"/>
      <c r="BC2896" t="inlineStr">
        <is>
          <t>PAID</t>
        </is>
      </c>
      <c r="BD2896" s="4">
        <v>46126.618680555555</v>
      </c>
      <c r="BE2896" t="inlineStr">
        <is>
          <t>paid</t>
        </is>
      </c>
      <c r="BF2896" t="inlineStr">
        <is>
          <t>Q2-W02</t>
        </is>
      </c>
      <c r="BG2896" t="inlineStr">
        <is>
          <t>Reschedule</t>
        </is>
      </c>
      <c r="BH2896" t="inlineStr">
        <is>
          <t>Fauziah Maharan</t>
        </is>
      </c>
      <c r="BI2896" t="inlineStr">
        <is>
          <t>Manufacturing / Production</t>
        </is>
      </c>
      <c r="BJ2896" s="4">
        <v>46144.75158564815</v>
      </c>
      <c r="BK2896" s="4">
        <v>45320.42681712963</v>
      </c>
      <c r="BL2896" t="inlineStr">
        <is>
          <t>5412.0</t>
        </is>
      </c>
      <c r="BM2896" t="inlineStr">
        <is>
          <t>6000.0</t>
        </is>
      </c>
      <c r="BN2896" t="inlineStr">
        <is>
          <t>User Visit(Logged In)</t>
        </is>
      </c>
      <c r="BO2896" s="4">
        <v>46122.57341435185</v>
      </c>
      <c r="BP2896">
        <v>166268</v>
      </c>
      <c r="BQ2896">
        <v>7627</v>
      </c>
      <c r="BR2896" t="inlineStr">
        <is>
          <t>Manual (Paid)</t>
        </is>
      </c>
      <c r="BS2896" t="inlineStr">
        <is>
          <t>AI Yearly Professional Plan
- AI Yearly Professional Plan of 8 AI Job Ads + 8 Free AI Job Ads with Booster
- 16 AI Job Ad will be published on Maukerja, Ricebowl and our partner platforms
- 16 AI Job Ad will be published for 45 days
- 16 Booster Plus
- 160 Free Candidates Search Credits 
- 6x Free Job Ad monthly (total 72 in a year) for any type of Intern / High Pay / Part-time / Volunteer / Freelance / Singapore Job
- 1 Free Company Page
- Package valid for 14 months
- AI Instant Match for 30 profiles
- AI Daily Talent Recommendation for 2 profiles daily
- AI "Open to Work" Detector for 2 profiles
- AI Smart Filter
- AI Post Job Assistant
- Ajobthing CARE</t>
        </is>
      </c>
      <c r="BT2896">
        <v>7627</v>
      </c>
      <c r="BU2896"/>
      <c r="BV2896">
        <v>2703751</v>
      </c>
      <c r="BW2896" t="inlineStr">
        <is>
          <t>Follow Up : Win - Customer Paid</t>
        </is>
      </c>
      <c r="BX2896">
        <v>16</v>
      </c>
      <c r="BY2896">
        <v>16</v>
      </c>
      <c r="BZ2896" s="4"/>
      <c r="CA2896">
        <v>160</v>
      </c>
      <c r="CB2896">
        <v>160</v>
      </c>
      <c r="CC2896" s="4"/>
      <c r="CD2896" t="inlineStr">
        <is>
          <t>20</t>
        </is>
      </c>
      <c r="CE2896" t="inlineStr">
        <is>
          <t>0</t>
        </is>
      </c>
      <c r="CF2896" t="inlineStr">
        <is>
          <t>Q2-W01</t>
        </is>
      </c>
      <c r="CG2896" t="inlineStr">
        <is>
          <t>Q2-W02</t>
        </is>
      </c>
      <c r="CH2896" t="inlineStr">
        <is>
          <t>Q2-W02</t>
        </is>
      </c>
      <c r="CI2896"/>
      <c r="CJ2896" t="inlineStr">
        <is>
          <t>Paid</t>
        </is>
      </c>
      <c r="CK2896" t="inlineStr">
        <is>
          <t>Eligible</t>
        </is>
      </c>
      <c r="CL2896"/>
      <c r="CM2896"/>
    </row>
    <row r="2897" ht="25.5" customHeight="1">
      <c r="A2897" t="inlineStr">
        <is>
          <t>202898</t>
        </is>
      </c>
      <c r="B2897" s="2"/>
      <c r="C2897"/>
      <c r="D2897" s="3">
        <v>46119.40423611111</v>
      </c>
      <c r="E2897" t="inlineStr">
        <is>
          <t>Q2-W01</t>
        </is>
      </c>
      <c r="F2897" t="inlineStr">
        <is>
          <t>Chia Yee</t>
        </is>
      </c>
      <c r="G2897" t="inlineStr">
        <is>
          <t>Customer</t>
        </is>
      </c>
      <c r="H2897" s="2" t="str">
        <f>=HYPERLINK("https://upbox.ajobthing.my/customer/202898", "https://upbox.ajobthing.my/customer/202898")</f>
        <v>https://upbox.ajobthing.my/customer/202898</v>
      </c>
      <c r="I2897" t="inlineStr">
        <is>
          <t>Yu Ding Printing Material Technology (my).bhd.</t>
        </is>
      </c>
      <c r="J2897" t="inlineStr">
        <is>
          <t>Whale</t>
        </is>
      </c>
      <c r="K2897" t="inlineStr">
        <is>
          <t>Chia Yee</t>
        </is>
      </c>
      <c r="L2897" s="4"/>
      <c r="M2897" s="4">
        <v>46119.404398148145</v>
      </c>
      <c r="N2897"/>
      <c r="O2897">
        <v>6048</v>
      </c>
      <c r="P2897" s="4"/>
      <c r="Q2897" s="4">
        <v>46118.76982638889</v>
      </c>
      <c r="R2897"/>
      <c r="S2897">
        <v>0</v>
      </c>
      <c r="T2897" s="4"/>
      <c r="U2897" s="4"/>
      <c r="V2897"/>
      <c r="W2897"/>
      <c r="X2897"/>
      <c r="Y2897" t="inlineStr">
        <is>
          <t>Pending Appointment</t>
        </is>
      </c>
      <c r="Z2897" t="inlineStr">
        <is>
          <t>Hiring Now</t>
        </is>
      </c>
      <c r="AA2897">
        <v>6.5</v>
      </c>
      <c r="AB2897" t="inlineStr">
        <is>
          <t>No Appointment Made</t>
        </is>
      </c>
      <c r="AC2897"/>
      <c r="AD2897" t="inlineStr">
        <is>
          <t>2-3 personal driver,  1 Account, 3-4 Sales executive</t>
        </is>
      </c>
      <c r="AE2897"/>
      <c r="AF2897">
        <v>0</v>
      </c>
      <c r="AG2897" s="4"/>
      <c r="AH2897" s="4"/>
      <c r="AI2897">
        <v>0</v>
      </c>
      <c r="AJ2897">
        <v>1</v>
      </c>
      <c r="AK2897" t="inlineStr">
        <is>
          <t>No, I don't need at all</t>
        </is>
      </c>
      <c r="AL2897">
        <v>1</v>
      </c>
      <c r="AM2897" t="inlineStr">
        <is>
          <t>No, I don't need at all</t>
        </is>
      </c>
      <c r="AN2897"/>
      <c r="AO2897" t="inlineStr">
        <is>
          <t>Yes, I have</t>
        </is>
      </c>
      <c r="AP2897" t="inlineStr">
        <is>
          <t>Once a year (25%)</t>
        </is>
      </c>
      <c r="AQ2897">
        <v>6</v>
      </c>
      <c r="AR2897" t="inlineStr">
        <is>
          <t>Did not use any job portal</t>
        </is>
      </c>
      <c r="AS2897" t="inlineStr">
        <is>
          <t>- Headcount: 6
- Hiring Job Details: 2-3 personal driver, 1 Account, 3-4 Sales executive
- Hiring Urgency: Hiring Now
- Number of outlets: 1
- Have recruiter team: No, I don't need at all
- Number of recruiter in company: 1
- Have ATS system: No, I don't need at all
- Have career website: Yes, I have
- Current hiring budget: RM0
- Whole year budget: RM0.00
- Whole year number of vacancies: 6
- Hiring frequency: Once a year (25%)
- External job portal: Did not use any job portal</t>
        </is>
      </c>
      <c r="AT2897">
        <v>95</v>
      </c>
      <c r="AU2897" t="inlineStr">
        <is>
          <t>0.95</t>
        </is>
      </c>
      <c r="AV2897" t="inlineStr">
        <is>
          <t>20</t>
        </is>
      </c>
      <c r="AW2897" t="inlineStr">
        <is>
          <t>0</t>
        </is>
      </c>
      <c r="AX2897" t="inlineStr">
        <is>
          <t>Not Qualified</t>
        </is>
      </c>
      <c r="AY2897" s="4"/>
      <c r="AZ2897"/>
      <c r="BA2897"/>
      <c r="BB2897"/>
      <c r="BC2897" t="inlineStr">
        <is>
          <t>Called Libin, too expensive. Not proceed</t>
        </is>
      </c>
      <c r="BD2897" s="4">
        <v>46121.50730324074</v>
      </c>
      <c r="BE2897" t="inlineStr">
        <is>
          <t>paid</t>
        </is>
      </c>
      <c r="BF2897"/>
      <c r="BG2897" t="inlineStr">
        <is>
          <t>Reschedule</t>
        </is>
      </c>
      <c r="BH2897" t="inlineStr">
        <is>
          <t>Reagen</t>
        </is>
      </c>
      <c r="BI2897"/>
      <c r="BJ2897" s="4">
        <v>46144.75414351852</v>
      </c>
      <c r="BK2897" s="4">
        <v>46118.76960648148</v>
      </c>
      <c r="BL2897" t="inlineStr">
        <is>
          <t>0.0</t>
        </is>
      </c>
      <c r="BM2897" t="inlineStr">
        <is>
          <t>0.0</t>
        </is>
      </c>
      <c r="BN2897" t="inlineStr">
        <is>
          <t>View Company Page</t>
        </is>
      </c>
      <c r="BO2897" s="4">
        <v>46118.771458333336</v>
      </c>
      <c r="BP2897">
        <v>165541</v>
      </c>
      <c r="BQ2897">
        <v>120244</v>
      </c>
      <c r="BR2897" t="inlineStr">
        <is>
          <t>Proforma</t>
        </is>
      </c>
      <c r="BS2897" t="inlineStr">
        <is>
          <t>Free Freelance Job</t>
        </is>
      </c>
      <c r="BT2897"/>
      <c r="BU2897"/>
      <c r="BV2897">
        <v>2695633</v>
      </c>
      <c r="BW2897" t="inlineStr">
        <is>
          <t>Follow Up : Budget Concern</t>
        </is>
      </c>
      <c r="BX2897"/>
      <c r="BY2897"/>
      <c r="BZ2897" s="4"/>
      <c r="CA2897"/>
      <c r="CB2897"/>
      <c r="CC2897" s="4"/>
      <c r="CD2897" t="inlineStr">
        <is>
          <t>30</t>
        </is>
      </c>
      <c r="CE2897" t="inlineStr">
        <is>
          <t>0</t>
        </is>
      </c>
      <c r="CF2897" t="inlineStr">
        <is>
          <t>Q2-W01</t>
        </is>
      </c>
      <c r="CG2897" t="inlineStr">
        <is>
          <t>Q2-W01</t>
        </is>
      </c>
      <c r="CH2897"/>
      <c r="CI2897"/>
      <c r="CJ2897" t="inlineStr">
        <is>
          <t>No Paid</t>
        </is>
      </c>
      <c r="CK2897" t="inlineStr">
        <is>
          <t>Eligible</t>
        </is>
      </c>
      <c r="CL2897"/>
      <c r="CM2897"/>
    </row>
    <row r="2898" ht="25.5" customHeight="1">
      <c r="A2898" t="inlineStr">
        <is>
          <t>202876</t>
        </is>
      </c>
      <c r="B2898" s="2"/>
      <c r="C2898"/>
      <c r="D2898" s="3">
        <v>46119.41738425926</v>
      </c>
      <c r="E2898" t="inlineStr">
        <is>
          <t>Q2-W01</t>
        </is>
      </c>
      <c r="F2898" t="inlineStr">
        <is>
          <t>Josh</t>
        </is>
      </c>
      <c r="G2898" t="inlineStr">
        <is>
          <t>Customer</t>
        </is>
      </c>
      <c r="H2898" s="2" t="str">
        <f>=HYPERLINK("https://upbox.ajobthing.my/customer/202876", "https://upbox.ajobthing.my/customer/202876")</f>
        <v>https://upbox.ajobthing.my/customer/202876</v>
      </c>
      <c r="I2898" t="inlineStr">
        <is>
          <t>Elite Precision</t>
        </is>
      </c>
      <c r="J2898" t="inlineStr">
        <is>
          <t>Whale</t>
        </is>
      </c>
      <c r="K2898" t="inlineStr">
        <is>
          <t>Josh</t>
        </is>
      </c>
      <c r="L2898" s="4"/>
      <c r="M2898" s="4">
        <v>46118.34423611111</v>
      </c>
      <c r="N2898"/>
      <c r="O2898"/>
      <c r="P2898" s="4"/>
      <c r="Q2898" s="4">
        <v>46128.751226851855</v>
      </c>
      <c r="R2898"/>
      <c r="S2898">
        <v>3672</v>
      </c>
      <c r="T2898" s="4">
        <v>46128.751226851855</v>
      </c>
      <c r="U2898" s="4"/>
      <c r="V2898"/>
      <c r="W2898">
        <v>3672</v>
      </c>
      <c r="X2898"/>
      <c r="Y2898" t="inlineStr">
        <is>
          <t>Pending Appointment</t>
        </is>
      </c>
      <c r="Z2898" t="inlineStr">
        <is>
          <t>Hiring Now</t>
        </is>
      </c>
      <c r="AA2898">
        <v>1</v>
      </c>
      <c r="AB2898" t="inlineStr">
        <is>
          <t>No Appointment Made</t>
        </is>
      </c>
      <c r="AC2898"/>
      <c r="AD2898" t="inlineStr">
        <is>
          <t>1 sales</t>
        </is>
      </c>
      <c r="AE2898"/>
      <c r="AF2898">
        <v>3000</v>
      </c>
      <c r="AG2898" s="4"/>
      <c r="AH2898" s="4"/>
      <c r="AI2898"/>
      <c r="AJ2898"/>
      <c r="AK2898" t="inlineStr">
        <is>
          <t>Yes, I have</t>
        </is>
      </c>
      <c r="AL2898"/>
      <c r="AM2898"/>
      <c r="AN2898"/>
      <c r="AO2898"/>
      <c r="AP2898" t="inlineStr">
        <is>
          <t>Once a year (25%)</t>
        </is>
      </c>
      <c r="AQ2898"/>
      <c r="AR2898"/>
      <c r="AS2898" t="inlineStr">
        <is>
          <t>- Headcount: Not provided
- Hiring Job Details: 1 sales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2898">
        <v>75</v>
      </c>
      <c r="AU2898" t="inlineStr">
        <is>
          <t>0.75</t>
        </is>
      </c>
      <c r="AV2898" t="inlineStr">
        <is>
          <t>15</t>
        </is>
      </c>
      <c r="AW2898" t="inlineStr">
        <is>
          <t>0</t>
        </is>
      </c>
      <c r="AX2898" t="inlineStr">
        <is>
          <t>Not Qualified</t>
        </is>
      </c>
      <c r="AY2898" s="4"/>
      <c r="AZ2898"/>
      <c r="BA2898"/>
      <c r="BB2898"/>
      <c r="BC2898" t="inlineStr">
        <is>
          <t>assist add access</t>
        </is>
      </c>
      <c r="BD2898" s="4">
        <v>46140.59229166667</v>
      </c>
      <c r="BE2898" t="inlineStr">
        <is>
          <t>paid</t>
        </is>
      </c>
      <c r="BF2898" t="inlineStr">
        <is>
          <t>Q2-W02</t>
        </is>
      </c>
      <c r="BG2898" t="inlineStr">
        <is>
          <t>Reschedule</t>
        </is>
      </c>
      <c r="BH2898" t="inlineStr">
        <is>
          <t>Fauziah Maharan</t>
        </is>
      </c>
      <c r="BI2898"/>
      <c r="BJ2898" s="4">
        <v>46144.75414351852</v>
      </c>
      <c r="BK2898" s="4">
        <v>46118.67755787037</v>
      </c>
      <c r="BL2898" t="inlineStr">
        <is>
          <t>3672.0</t>
        </is>
      </c>
      <c r="BM2898" t="inlineStr">
        <is>
          <t>1650.0</t>
        </is>
      </c>
      <c r="BN2898" t="inlineStr">
        <is>
          <t>View Company Page</t>
        </is>
      </c>
      <c r="BO2898" s="4">
        <v>46142.78128472222</v>
      </c>
      <c r="BP2898">
        <v>165470</v>
      </c>
      <c r="BQ2898">
        <v>7587</v>
      </c>
      <c r="BR2898" t="inlineStr">
        <is>
          <t>Manual (Paid)</t>
        </is>
      </c>
      <c r="BS2898" t="inlineStr">
        <is>
          <t>AI Yearly Standard Plan
- AI Yearly Standard Plan of 3 AI Job Ads + 3 Free AI Job Ads with Booster
- 6 AI Job Ad will be published on Maukerja, Ricebowl and our partner platforms
- 6 AI Job Ad will be published for 45 days
- 6 Booster Plus
- 60 Free Candidates Search Credits 
- 2x Free Job Ad monthly (total 24 in a year) for any type of Intern / High Pay / Part-time / Volunteer / Freelance / Singapore Job
- 1 Free Company Page
- Package valid for 14 months
- AI Instant Match for 30 profiles
- AI Daily Talent Recommendation for 2 profiles daily
- AI "Open to Work" Detector for 2 profiles
- AI Smart Filter
- AI Post Job Assistant
- Ajobthing CARE</t>
        </is>
      </c>
      <c r="BT2898">
        <v>7587</v>
      </c>
      <c r="BU2898"/>
      <c r="BV2898">
        <v>2732707</v>
      </c>
      <c r="BW2898" t="inlineStr">
        <is>
          <t>Service / Technical : Job Outcome Enquiry</t>
        </is>
      </c>
      <c r="BX2898">
        <v>8</v>
      </c>
      <c r="BY2898">
        <v>3</v>
      </c>
      <c r="BZ2898" s="4">
        <v>46141.39481481481</v>
      </c>
      <c r="CA2898">
        <v>60</v>
      </c>
      <c r="CB2898">
        <v>60</v>
      </c>
      <c r="CC2898" s="4"/>
      <c r="CD2898" t="inlineStr">
        <is>
          <t>20</t>
        </is>
      </c>
      <c r="CE2898" t="inlineStr">
        <is>
          <t>0</t>
        </is>
      </c>
      <c r="CF2898" t="inlineStr">
        <is>
          <t>Q2-W01</t>
        </is>
      </c>
      <c r="CG2898" t="inlineStr">
        <is>
          <t>Q2-W02</t>
        </is>
      </c>
      <c r="CH2898" t="inlineStr">
        <is>
          <t>Q2-W02</t>
        </is>
      </c>
      <c r="CI2898"/>
      <c r="CJ2898" t="inlineStr">
        <is>
          <t>Paid</t>
        </is>
      </c>
      <c r="CK2898" t="inlineStr">
        <is>
          <t>Eligible</t>
        </is>
      </c>
      <c r="CL2898"/>
      <c r="CM2898"/>
    </row>
    <row r="2899" ht="25.5" customHeight="1">
      <c r="A2899" t="inlineStr">
        <is>
          <t>202910</t>
        </is>
      </c>
      <c r="B2899" s="2"/>
      <c r="C2899"/>
      <c r="D2899" s="3">
        <v>46119.41814814815</v>
      </c>
      <c r="E2899" t="inlineStr">
        <is>
          <t>Q2-W01</t>
        </is>
      </c>
      <c r="F2899" t="inlineStr">
        <is>
          <t>Yvonne Lee</t>
        </is>
      </c>
      <c r="G2899" t="inlineStr">
        <is>
          <t>Customer</t>
        </is>
      </c>
      <c r="H2899" s="2" t="str">
        <f>=HYPERLINK("https://upbox.ajobthing.my/customer/202910", "https://upbox.ajobthing.my/customer/202910")</f>
        <v>https://upbox.ajobthing.my/customer/202910</v>
      </c>
      <c r="I2899" t="inlineStr">
        <is>
          <t>CAHAYA KUALITI SDN BHD</t>
        </is>
      </c>
      <c r="J2899" t="inlineStr">
        <is>
          <t>Whale</t>
        </is>
      </c>
      <c r="K2899" t="inlineStr">
        <is>
          <t>Yvonne</t>
        </is>
      </c>
      <c r="L2899" s="4"/>
      <c r="M2899" s="4">
        <v>46119.41861111111</v>
      </c>
      <c r="N2899"/>
      <c r="O2899">
        <v>6048</v>
      </c>
      <c r="P2899" s="4"/>
      <c r="Q2899" s="4"/>
      <c r="R2899"/>
      <c r="S2899"/>
      <c r="T2899" s="4"/>
      <c r="U2899" s="4"/>
      <c r="V2899"/>
      <c r="W2899"/>
      <c r="X2899"/>
      <c r="Y2899" t="inlineStr">
        <is>
          <t>Pending Appointment</t>
        </is>
      </c>
      <c r="Z2899" t="inlineStr">
        <is>
          <t>Hiring Now</t>
        </is>
      </c>
      <c r="AA2899">
        <v>1</v>
      </c>
      <c r="AB2899" t="inlineStr">
        <is>
          <t>No Appointment Made</t>
        </is>
      </c>
      <c r="AC2899"/>
      <c r="AD2899" t="inlineStr">
        <is>
          <t>Marketing</t>
        </is>
      </c>
      <c r="AE2899"/>
      <c r="AF2899">
        <v>6000</v>
      </c>
      <c r="AG2899" s="4"/>
      <c r="AH2899" s="4"/>
      <c r="AI2899">
        <v>6000</v>
      </c>
      <c r="AJ2899">
        <v>1</v>
      </c>
      <c r="AK2899" t="inlineStr">
        <is>
          <t>Yes, I have</t>
        </is>
      </c>
      <c r="AL2899">
        <v>1</v>
      </c>
      <c r="AM2899" t="inlineStr">
        <is>
          <t>No, I don't need at all</t>
        </is>
      </c>
      <c r="AN2899"/>
      <c r="AO2899" t="inlineStr">
        <is>
          <t>No, but I want in future</t>
        </is>
      </c>
      <c r="AP2899" t="inlineStr">
        <is>
          <t>Once per quarter (75%)</t>
        </is>
      </c>
      <c r="AQ2899">
        <v>10</v>
      </c>
      <c r="AR2899" t="inlineStr">
        <is>
          <t>Jobstreet, Free Job Portal</t>
        </is>
      </c>
      <c r="AS2899" t="inlineStr">
        <is>
          <t>- Headcount: 1
- Hiring Job Details: Marketing
- Hiring Urgency: Hiring Now
- Number of outlets: 1
- Have recruiter team: Yes
- Number of recruiter in company: 1
- Have ATS system: No, I don't need at all
- Have career website: No, but I want in future
- Current hiring budget: RM6,000
- Whole year budget: RM6,000.00
- Whole year number of vacancies: 10
- Hiring frequency: Once per quarter (75%)
- External job portal: Jobstreet, Free Job Portal</t>
        </is>
      </c>
      <c r="AT2899">
        <v>115</v>
      </c>
      <c r="AU2899" t="inlineStr">
        <is>
          <t>1.15</t>
        </is>
      </c>
      <c r="AV2899" t="inlineStr">
        <is>
          <t>15</t>
        </is>
      </c>
      <c r="AW2899" t="inlineStr">
        <is>
          <t>0</t>
        </is>
      </c>
      <c r="AX2899" t="inlineStr">
        <is>
          <t>Not Qualified</t>
        </is>
      </c>
      <c r="AY2899" s="4"/>
      <c r="AZ2899"/>
      <c r="BA2899"/>
      <c r="BB2899"/>
      <c r="BC2899" t="inlineStr">
        <is>
          <t>Quotation shared.</t>
        </is>
      </c>
      <c r="BD2899" s="4">
        <v>46122.573483796295</v>
      </c>
      <c r="BE2899"/>
      <c r="BF2899"/>
      <c r="BG2899" t="inlineStr">
        <is>
          <t>Reschedule</t>
        </is>
      </c>
      <c r="BH2899" t="inlineStr">
        <is>
          <t>andy@ajobthing.com</t>
        </is>
      </c>
      <c r="BI2899"/>
      <c r="BJ2899" s="4">
        <v>46144.754166666666</v>
      </c>
      <c r="BK2899" s="4">
        <v>46119.41248842593</v>
      </c>
      <c r="BL2899" t="inlineStr">
        <is>
          <t>0.0</t>
        </is>
      </c>
      <c r="BM2899" t="inlineStr">
        <is>
          <t>0.0</t>
        </is>
      </c>
      <c r="BN2899"/>
      <c r="BO2899" s="4"/>
      <c r="BP2899">
        <v>165547</v>
      </c>
      <c r="BQ2899"/>
      <c r="BR2899"/>
      <c r="BS2899"/>
      <c r="BT2899"/>
      <c r="BU2899"/>
      <c r="BV2899">
        <v>2698016</v>
      </c>
      <c r="BW2899" t="inlineStr">
        <is>
          <t>Inquire for Hiring Needs : Quotation Sent 50%</t>
        </is>
      </c>
      <c r="BX2899"/>
      <c r="BY2899"/>
      <c r="BZ2899" s="4"/>
      <c r="CA2899"/>
      <c r="CB2899"/>
      <c r="CC2899" s="4"/>
      <c r="CD2899" t="inlineStr">
        <is>
          <t>20</t>
        </is>
      </c>
      <c r="CE2899" t="inlineStr">
        <is>
          <t>0</t>
        </is>
      </c>
      <c r="CF2899" t="inlineStr">
        <is>
          <t>Q2-W01</t>
        </is>
      </c>
      <c r="CG2899"/>
      <c r="CH2899"/>
      <c r="CI2899"/>
      <c r="CJ2899" t="inlineStr">
        <is>
          <t>No Paid</t>
        </is>
      </c>
      <c r="CK2899" t="inlineStr">
        <is>
          <t>Eligible</t>
        </is>
      </c>
      <c r="CL2899"/>
      <c r="CM2899"/>
    </row>
    <row r="2900" ht="25.5" customHeight="1">
      <c r="A2900" t="inlineStr">
        <is>
          <t>202913</t>
        </is>
      </c>
      <c r="B2900" s="2"/>
      <c r="C2900"/>
      <c r="D2900" s="3">
        <v>46119.43096064815</v>
      </c>
      <c r="E2900" t="inlineStr">
        <is>
          <t>Q2-W01</t>
        </is>
      </c>
      <c r="F2900" t="inlineStr">
        <is>
          <t>Yuli</t>
        </is>
      </c>
      <c r="G2900" t="inlineStr">
        <is>
          <t>Customer</t>
        </is>
      </c>
      <c r="H2900" s="2" t="str">
        <f>=HYPERLINK("https://upbox.ajobthing.my/customer/202913", "https://upbox.ajobthing.my/customer/202913")</f>
        <v>https://upbox.ajobthing.my/customer/202913</v>
      </c>
      <c r="I2900" t="inlineStr">
        <is>
          <t>AIMOTION SDN BHD</t>
        </is>
      </c>
      <c r="J2900" t="inlineStr">
        <is>
          <t>Whale</t>
        </is>
      </c>
      <c r="K2900" t="inlineStr">
        <is>
          <t>YuLi</t>
        </is>
      </c>
      <c r="L2900" s="4"/>
      <c r="M2900" s="4">
        <v>46119.09166666667</v>
      </c>
      <c r="N2900"/>
      <c r="O2900">
        <v>11448</v>
      </c>
      <c r="P2900" s="4"/>
      <c r="Q2900" s="4"/>
      <c r="R2900"/>
      <c r="S2900"/>
      <c r="T2900" s="4"/>
      <c r="U2900" s="4"/>
      <c r="V2900"/>
      <c r="W2900"/>
      <c r="X2900" t="inlineStr">
        <is>
          <t>Yuli</t>
        </is>
      </c>
      <c r="Y2900" t="inlineStr">
        <is>
          <t>Done Appointment</t>
        </is>
      </c>
      <c r="Z2900" t="inlineStr">
        <is>
          <t>Hiring Now</t>
        </is>
      </c>
      <c r="AA2900">
        <v>30</v>
      </c>
      <c r="AB2900" t="inlineStr">
        <is>
          <t>Appointment Made</t>
        </is>
      </c>
      <c r="AC2900" t="inlineStr">
        <is>
          <t>SME (&lt;50 employees)</t>
        </is>
      </c>
      <c r="AD2900" t="inlineStr">
        <is>
          <t>15 BD manager
15 BD Executive</t>
        </is>
      </c>
      <c r="AE2900" t="inlineStr">
        <is>
          <t>Executive / HR Executive</t>
        </is>
      </c>
      <c r="AF2900">
        <v>7200</v>
      </c>
      <c r="AG2900" s="4">
        <v>46119.416666666664</v>
      </c>
      <c r="AH2900" s="4">
        <v>46119.42361111111</v>
      </c>
      <c r="AI2900"/>
      <c r="AJ2900">
        <v>1</v>
      </c>
      <c r="AK2900" t="inlineStr">
        <is>
          <t>Yes, I have</t>
        </is>
      </c>
      <c r="AL2900"/>
      <c r="AM2900"/>
      <c r="AN2900"/>
      <c r="AO2900"/>
      <c r="AP2900" t="inlineStr">
        <is>
          <t>Every month (100%)</t>
        </is>
      </c>
      <c r="AQ2900"/>
      <c r="AR2900" t="inlineStr">
        <is>
          <t>Jobstreet</t>
        </is>
      </c>
      <c r="AS2900" t="inlineStr">
        <is>
          <t>- Headcount: 30
- Hiring Job Details: 15 BD manager, 15 BD Executive
- Hiring Urgency: Hiring Now
- Number of outlets: 1
- Have recruiter team: Yes
- Number of recruiter in company: Not available
- Have ATS system: Not available
- Have career website: Not available
- Current hiring budget: RM7,200.00
- Whole year budget: Not available
- Whole year number of vacancies: Not available
- Hiring frequency: Every month (100%)
- External job portal: Jobstreet</t>
        </is>
      </c>
      <c r="AT2900">
        <v>105</v>
      </c>
      <c r="AU2900" t="inlineStr">
        <is>
          <t>1.05</t>
        </is>
      </c>
      <c r="AV2900" t="inlineStr">
        <is>
          <t>35</t>
        </is>
      </c>
      <c r="AW2900" t="inlineStr">
        <is>
          <t>0</t>
        </is>
      </c>
      <c r="AX2900" t="inlineStr">
        <is>
          <t>Not Qualified</t>
        </is>
      </c>
      <c r="AY2900" s="4">
        <v>46119.44265046297</v>
      </c>
      <c r="AZ2900" t="inlineStr">
        <is>
          <t>Base Assistant</t>
        </is>
      </c>
      <c r="BA2900"/>
      <c r="BB2900"/>
      <c r="BC2900" t="inlineStr">
        <is>
          <t>called and spoke to Ms. Tan check with her on the username or PIC for Singapore HR&lt; but she will let me know again</t>
        </is>
      </c>
      <c r="BD2900" s="4">
        <v>46125.54015046296</v>
      </c>
      <c r="BE2900"/>
      <c r="BF2900"/>
      <c r="BG2900" t="inlineStr">
        <is>
          <t>Reschedule</t>
        </is>
      </c>
      <c r="BH2900" t="inlineStr">
        <is>
          <t>Fauziah Maharan</t>
        </is>
      </c>
      <c r="BI2900"/>
      <c r="BJ2900" s="4">
        <v>46144.754166666666</v>
      </c>
      <c r="BK2900" s="4">
        <v>46119.42497685185</v>
      </c>
      <c r="BL2900" t="inlineStr">
        <is>
          <t>0.0</t>
        </is>
      </c>
      <c r="BM2900" t="inlineStr">
        <is>
          <t>7200.0</t>
        </is>
      </c>
      <c r="BN2900" t="inlineStr">
        <is>
          <t>User Visit(Logged In)</t>
        </is>
      </c>
      <c r="BO2900" s="4">
        <v>46119.49229166667</v>
      </c>
      <c r="BP2900">
        <v>165555</v>
      </c>
      <c r="BQ2900"/>
      <c r="BR2900"/>
      <c r="BS2900"/>
      <c r="BT2900"/>
      <c r="BU2900"/>
      <c r="BV2900">
        <v>2700679</v>
      </c>
      <c r="BW2900" t="inlineStr">
        <is>
          <t>Service / Technical : Job Outcome Enquiry</t>
        </is>
      </c>
      <c r="BX2900"/>
      <c r="BY2900"/>
      <c r="BZ2900" s="4"/>
      <c r="CA2900"/>
      <c r="CB2900"/>
      <c r="CC2900" s="4"/>
      <c r="CD2900" t="inlineStr">
        <is>
          <t>45</t>
        </is>
      </c>
      <c r="CE2900" t="inlineStr">
        <is>
          <t>0.5</t>
        </is>
      </c>
      <c r="CF2900" t="inlineStr">
        <is>
          <t>Q2-W01</t>
        </is>
      </c>
      <c r="CG2900"/>
      <c r="CH2900"/>
      <c r="CI2900" t="inlineStr">
        <is>
          <t>Q2-W01</t>
        </is>
      </c>
      <c r="CJ2900" t="inlineStr">
        <is>
          <t>No Paid</t>
        </is>
      </c>
      <c r="CK2900" t="inlineStr">
        <is>
          <t>Eligible</t>
        </is>
      </c>
      <c r="CL2900"/>
      <c r="CM2900" t="inlineStr">
        <is>
          <t>Q2-W01</t>
        </is>
      </c>
    </row>
    <row r="2901" ht="25.5" customHeight="1">
      <c r="A2901" t="inlineStr">
        <is>
          <t>202796</t>
        </is>
      </c>
      <c r="B2901" s="2"/>
      <c r="C2901"/>
      <c r="D2901" s="3">
        <v>46119.44092592593</v>
      </c>
      <c r="E2901" t="inlineStr">
        <is>
          <t>Q2-W01</t>
        </is>
      </c>
      <c r="F2901" t="inlineStr">
        <is>
          <t>Jess</t>
        </is>
      </c>
      <c r="G2901" t="inlineStr">
        <is>
          <t>Customer</t>
        </is>
      </c>
      <c r="H2901" s="2" t="str">
        <f>=HYPERLINK("https://upbox.ajobthing.my/customer/202796", "https://upbox.ajobthing.my/customer/202796")</f>
        <v>https://upbox.ajobthing.my/customer/202796</v>
      </c>
      <c r="I2901" t="inlineStr">
        <is>
          <t>UTS MARKETING SOLUTIONS</t>
        </is>
      </c>
      <c r="J2901" t="inlineStr">
        <is>
          <t>Whale</t>
        </is>
      </c>
      <c r="K2901" t="inlineStr">
        <is>
          <t>Jess Lim</t>
        </is>
      </c>
      <c r="L2901" s="4"/>
      <c r="M2901" s="4">
        <v>46119.44490740741</v>
      </c>
      <c r="N2901"/>
      <c r="O2901">
        <v>8208</v>
      </c>
      <c r="P2901" s="4"/>
      <c r="Q2901" s="4"/>
      <c r="R2901"/>
      <c r="S2901"/>
      <c r="T2901" s="4"/>
      <c r="U2901" s="4"/>
      <c r="V2901"/>
      <c r="W2901"/>
      <c r="X2901"/>
      <c r="Y2901" t="inlineStr">
        <is>
          <t>Pending Appointment</t>
        </is>
      </c>
      <c r="Z2901" t="inlineStr">
        <is>
          <t>Hiring Now</t>
        </is>
      </c>
      <c r="AA2901">
        <v>10</v>
      </c>
      <c r="AB2901" t="inlineStr">
        <is>
          <t>No Appointment Made</t>
        </is>
      </c>
      <c r="AC2901"/>
      <c r="AD2901" t="inlineStr">
        <is>
          <t>telemarketing 10</t>
        </is>
      </c>
      <c r="AE2901"/>
      <c r="AF2901">
        <v>0</v>
      </c>
      <c r="AG2901" s="4"/>
      <c r="AH2901" s="4"/>
      <c r="AI2901"/>
      <c r="AJ2901">
        <v>3</v>
      </c>
      <c r="AK2901" t="inlineStr">
        <is>
          <t>No, I don't need at all</t>
        </is>
      </c>
      <c r="AL2901">
        <v>1</v>
      </c>
      <c r="AM2901" t="inlineStr">
        <is>
          <t>No, I don't need at all</t>
        </is>
      </c>
      <c r="AN2901"/>
      <c r="AO2901" t="inlineStr">
        <is>
          <t>No, I don't need at all</t>
        </is>
      </c>
      <c r="AP2901" t="inlineStr">
        <is>
          <t>Once a year (25%)</t>
        </is>
      </c>
      <c r="AQ2901"/>
      <c r="AR2901" t="inlineStr">
        <is>
          <t>Jobstreet</t>
        </is>
      </c>
      <c r="AS2901" t="inlineStr">
        <is>
          <t>- Headcount: 10
- Hiring Job Details: telemarketing 10
- Hiring Urgency: Hiring Now
- Number of outlets: 3
- Have recruiter team: No, I don't need at all
- Number of recruiter in company: 1
- Have ATS system: No, I don't need at all
- Have career website: No, I don't need at all
- Current hiring budget: RM0.00
- Whole year budget: Not specified
- Whole year number of vacancies: Not specified
- Hiring frequency: Once a year (25%)
- External job portal: Jobstreet</t>
        </is>
      </c>
      <c r="AT2901">
        <v>105</v>
      </c>
      <c r="AU2901" t="inlineStr">
        <is>
          <t>1.05</t>
        </is>
      </c>
      <c r="AV2901" t="inlineStr">
        <is>
          <t>20</t>
        </is>
      </c>
      <c r="AW2901" t="inlineStr">
        <is>
          <t>0</t>
        </is>
      </c>
      <c r="AX2901" t="inlineStr">
        <is>
          <t>Not Qualified</t>
        </is>
      </c>
      <c r="AY2901" s="4"/>
      <c r="AZ2901"/>
      <c r="BA2901"/>
      <c r="BB2901"/>
      <c r="BC2901" t="inlineStr">
        <is>
          <t>no pick up</t>
        </is>
      </c>
      <c r="BD2901" s="4">
        <v>46127.430763888886</v>
      </c>
      <c r="BE2901"/>
      <c r="BF2901"/>
      <c r="BG2901" t="inlineStr">
        <is>
          <t>Reschedule</t>
        </is>
      </c>
      <c r="BH2901" t="inlineStr">
        <is>
          <t>Fauziah Maharan</t>
        </is>
      </c>
      <c r="BI2901"/>
      <c r="BJ2901" s="4">
        <v>46144.75412037037</v>
      </c>
      <c r="BK2901" s="4">
        <v>46115.66913194444</v>
      </c>
      <c r="BL2901" t="inlineStr">
        <is>
          <t>0.0</t>
        </is>
      </c>
      <c r="BM2901" t="inlineStr">
        <is>
          <t>28800.0</t>
        </is>
      </c>
      <c r="BN2901" t="inlineStr">
        <is>
          <t>View Create Job Page V4</t>
        </is>
      </c>
      <c r="BO2901" s="4">
        <v>46115.6737037037</v>
      </c>
      <c r="BP2901">
        <v>165577</v>
      </c>
      <c r="BQ2901"/>
      <c r="BR2901"/>
      <c r="BS2901"/>
      <c r="BT2901"/>
      <c r="BU2901"/>
      <c r="BV2901">
        <v>2705127</v>
      </c>
      <c r="BW2901" t="inlineStr">
        <is>
          <t>No Answer : Voicemail - WA sent to customer</t>
        </is>
      </c>
      <c r="BX2901"/>
      <c r="BY2901"/>
      <c r="BZ2901" s="4"/>
      <c r="CA2901"/>
      <c r="CB2901"/>
      <c r="CC2901" s="4"/>
      <c r="CD2901" t="inlineStr">
        <is>
          <t>30</t>
        </is>
      </c>
      <c r="CE2901" t="inlineStr">
        <is>
          <t>0</t>
        </is>
      </c>
      <c r="CF2901" t="inlineStr">
        <is>
          <t>Q2-W01</t>
        </is>
      </c>
      <c r="CG2901"/>
      <c r="CH2901"/>
      <c r="CI2901"/>
      <c r="CJ2901" t="inlineStr">
        <is>
          <t>No Paid</t>
        </is>
      </c>
      <c r="CK2901" t="inlineStr">
        <is>
          <t>Eligible</t>
        </is>
      </c>
      <c r="CL2901"/>
      <c r="CM2901"/>
    </row>
    <row r="2902" ht="25.5" customHeight="1">
      <c r="A2902" t="inlineStr">
        <is>
          <t>202881</t>
        </is>
      </c>
      <c r="B2902" s="2"/>
      <c r="C2902"/>
      <c r="D2902" s="3">
        <v>46119.44390046296</v>
      </c>
      <c r="E2902" t="inlineStr">
        <is>
          <t>Q2-W01</t>
        </is>
      </c>
      <c r="F2902" t="inlineStr">
        <is>
          <t>Yuli</t>
        </is>
      </c>
      <c r="G2902" t="inlineStr">
        <is>
          <t>Customer</t>
        </is>
      </c>
      <c r="H2902" s="2" t="str">
        <f>=HYPERLINK("https://upbox.ajobthing.my/customer/202881", "https://upbox.ajobthing.my/customer/202881")</f>
        <v>https://upbox.ajobthing.my/customer/202881</v>
      </c>
      <c r="I2902" t="inlineStr">
        <is>
          <t>Kskin Kc Group</t>
        </is>
      </c>
      <c r="J2902" t="inlineStr">
        <is>
          <t>Whale</t>
        </is>
      </c>
      <c r="K2902" t="inlineStr">
        <is>
          <t>YuLi</t>
        </is>
      </c>
      <c r="L2902" s="4"/>
      <c r="M2902" s="4">
        <v>46119.44994212963</v>
      </c>
      <c r="N2902"/>
      <c r="O2902">
        <v>1800</v>
      </c>
      <c r="P2902" s="4"/>
      <c r="Q2902" s="4">
        <v>46118.69782407407</v>
      </c>
      <c r="R2902"/>
      <c r="S2902">
        <v>0</v>
      </c>
      <c r="T2902" s="4"/>
      <c r="U2902" s="4"/>
      <c r="V2902"/>
      <c r="W2902"/>
      <c r="X2902"/>
      <c r="Y2902" t="inlineStr">
        <is>
          <t>Pending Appointment</t>
        </is>
      </c>
      <c r="Z2902" t="inlineStr">
        <is>
          <t>Hiring Now</t>
        </is>
      </c>
      <c r="AA2902">
        <v>1</v>
      </c>
      <c r="AB2902" t="inlineStr">
        <is>
          <t>No Appointment Made</t>
        </is>
      </c>
      <c r="AC2902"/>
      <c r="AD2902" t="inlineStr">
        <is>
          <t>1 Senior Accounts Executive</t>
        </is>
      </c>
      <c r="AE2902"/>
      <c r="AF2902"/>
      <c r="AG2902" s="4"/>
      <c r="AH2902" s="4"/>
      <c r="AI2902"/>
      <c r="AJ2902"/>
      <c r="AK2902"/>
      <c r="AL2902"/>
      <c r="AM2902"/>
      <c r="AN2902"/>
      <c r="AO2902"/>
      <c r="AP2902"/>
      <c r="AQ2902"/>
      <c r="AR2902" t="inlineStr">
        <is>
          <t>Jobstreet</t>
        </is>
      </c>
      <c r="AS2902" t="inlineStr">
        <is>
          <t>- Headcount: 1
- Hiring Job Details: 1 Senior Accounts Executive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2902">
        <v>65</v>
      </c>
      <c r="AU2902" t="inlineStr">
        <is>
          <t>0.65</t>
        </is>
      </c>
      <c r="AV2902" t="inlineStr">
        <is>
          <t>5</t>
        </is>
      </c>
      <c r="AW2902" t="inlineStr">
        <is>
          <t>0</t>
        </is>
      </c>
      <c r="AX2902" t="inlineStr">
        <is>
          <t>Not Qualified</t>
        </is>
      </c>
      <c r="AY2902" s="4"/>
      <c r="AZ2902"/>
      <c r="BA2902"/>
      <c r="BB2902"/>
      <c r="BC2902" t="inlineStr">
        <is>
          <t>quotation shared</t>
        </is>
      </c>
      <c r="BD2902" s="4">
        <v>46119.50239583333</v>
      </c>
      <c r="BE2902" t="inlineStr">
        <is>
          <t>paid</t>
        </is>
      </c>
      <c r="BF2902"/>
      <c r="BG2902" t="inlineStr">
        <is>
          <t>Reschedule</t>
        </is>
      </c>
      <c r="BH2902" t="inlineStr">
        <is>
          <t>Fauziah Maharan</t>
        </is>
      </c>
      <c r="BI2902" t="inlineStr">
        <is>
          <t>Retail / Merchandise</t>
        </is>
      </c>
      <c r="BJ2902" s="4">
        <v>46144.75414351852</v>
      </c>
      <c r="BK2902" s="4">
        <v>46118.69761574074</v>
      </c>
      <c r="BL2902" t="inlineStr">
        <is>
          <t>0.0</t>
        </is>
      </c>
      <c r="BM2902" t="inlineStr">
        <is>
          <t>0.0</t>
        </is>
      </c>
      <c r="BN2902" t="inlineStr">
        <is>
          <t>View Company Page</t>
        </is>
      </c>
      <c r="BO2902" s="4">
        <v>46119.44123842593</v>
      </c>
      <c r="BP2902">
        <v>165580</v>
      </c>
      <c r="BQ2902">
        <v>120209</v>
      </c>
      <c r="BR2902" t="inlineStr">
        <is>
          <t>Proforma</t>
        </is>
      </c>
      <c r="BS2902" t="inlineStr">
        <is>
          <t>Free Freelance Job</t>
        </is>
      </c>
      <c r="BT2902"/>
      <c r="BU2902"/>
      <c r="BV2902">
        <v>2688700</v>
      </c>
      <c r="BW2902" t="inlineStr">
        <is>
          <t>Customer Inquiry</t>
        </is>
      </c>
      <c r="BX2902"/>
      <c r="BY2902"/>
      <c r="BZ2902" s="4"/>
      <c r="CA2902"/>
      <c r="CB2902"/>
      <c r="CC2902" s="4"/>
      <c r="CD2902" t="inlineStr">
        <is>
          <t>5</t>
        </is>
      </c>
      <c r="CE2902" t="inlineStr">
        <is>
          <t>0</t>
        </is>
      </c>
      <c r="CF2902" t="inlineStr">
        <is>
          <t>Q2-W01</t>
        </is>
      </c>
      <c r="CG2902" t="inlineStr">
        <is>
          <t>Q2-W01</t>
        </is>
      </c>
      <c r="CH2902"/>
      <c r="CI2902"/>
      <c r="CJ2902" t="inlineStr">
        <is>
          <t>No Paid</t>
        </is>
      </c>
      <c r="CK2902" t="inlineStr">
        <is>
          <t>Eligible</t>
        </is>
      </c>
      <c r="CL2902"/>
      <c r="CM2902"/>
    </row>
    <row r="2903" ht="25.5" customHeight="1">
      <c r="A2903" t="inlineStr">
        <is>
          <t>179210</t>
        </is>
      </c>
      <c r="B2903" s="2"/>
      <c r="C2903"/>
      <c r="D2903" s="3">
        <v>46119.446921296294</v>
      </c>
      <c r="E2903" t="inlineStr">
        <is>
          <t>Q2-W01</t>
        </is>
      </c>
      <c r="F2903" t="inlineStr">
        <is>
          <t>Josh</t>
        </is>
      </c>
      <c r="G2903" t="inlineStr">
        <is>
          <t>Customer</t>
        </is>
      </c>
      <c r="H2903" s="2" t="str">
        <f>=HYPERLINK("https://upbox.ajobthing.my/customer/179210", "https://upbox.ajobthing.my/customer/179210")</f>
        <v>https://upbox.ajobthing.my/customer/179210</v>
      </c>
      <c r="I2903" t="inlineStr">
        <is>
          <t>BB Malaysia Sdn Bhd</t>
        </is>
      </c>
      <c r="J2903" t="inlineStr">
        <is>
          <t>Whale</t>
        </is>
      </c>
      <c r="K2903" t="inlineStr">
        <is>
          <t>Josh</t>
        </is>
      </c>
      <c r="L2903" s="4"/>
      <c r="M2903" s="4">
        <v>46119.44359953704</v>
      </c>
      <c r="N2903"/>
      <c r="O2903">
        <v>11232</v>
      </c>
      <c r="P2903" s="4"/>
      <c r="Q2903" s="4">
        <v>45709.65850694444</v>
      </c>
      <c r="R2903"/>
      <c r="S2903">
        <v>5076</v>
      </c>
      <c r="T2903" s="4">
        <v>45709.65850694444</v>
      </c>
      <c r="U2903" s="4"/>
      <c r="V2903"/>
      <c r="W2903">
        <v>5076</v>
      </c>
      <c r="X2903"/>
      <c r="Y2903" t="inlineStr">
        <is>
          <t>Pending Appointment</t>
        </is>
      </c>
      <c r="Z2903" t="inlineStr">
        <is>
          <t>Hiring Now</t>
        </is>
      </c>
      <c r="AA2903">
        <v>1</v>
      </c>
      <c r="AB2903" t="inlineStr">
        <is>
          <t>No Appointment Made</t>
        </is>
      </c>
      <c r="AC2903"/>
      <c r="AD2903" t="inlineStr">
        <is>
          <t xml:space="preserve">1 marketing </t>
        </is>
      </c>
      <c r="AE2903"/>
      <c r="AF2903">
        <v>3000</v>
      </c>
      <c r="AG2903" s="4"/>
      <c r="AH2903" s="4"/>
      <c r="AI2903"/>
      <c r="AJ2903"/>
      <c r="AK2903" t="inlineStr">
        <is>
          <t>Yes, I have</t>
        </is>
      </c>
      <c r="AL2903"/>
      <c r="AM2903"/>
      <c r="AN2903"/>
      <c r="AO2903"/>
      <c r="AP2903" t="inlineStr">
        <is>
          <t>Once a year (25%)</t>
        </is>
      </c>
      <c r="AQ2903"/>
      <c r="AR2903"/>
      <c r="AS2903" t="inlineStr">
        <is>
          <t>- Headcount: 1
- Hiring Job Details: 1 marketing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AT2903">
        <v>75</v>
      </c>
      <c r="AU2903" t="inlineStr">
        <is>
          <t>0.75</t>
        </is>
      </c>
      <c r="AV2903" t="inlineStr">
        <is>
          <t>15</t>
        </is>
      </c>
      <c r="AW2903" t="inlineStr">
        <is>
          <t>0</t>
        </is>
      </c>
      <c r="AX2903" t="inlineStr">
        <is>
          <t>Not Qualified</t>
        </is>
      </c>
      <c r="AY2903" s="4"/>
      <c r="AZ2903"/>
      <c r="BA2903"/>
      <c r="BB2903"/>
      <c r="BC2903" t="inlineStr">
        <is>
          <t>- Headcount: 1
- Hiring Job Details: 1 marketing
- Hiring Urgency: Hiring Now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t>
        </is>
      </c>
      <c r="BD2903" s="4">
        <v>46119.4584837963</v>
      </c>
      <c r="BE2903" t="inlineStr">
        <is>
          <t>paid</t>
        </is>
      </c>
      <c r="BF2903"/>
      <c r="BG2903" t="inlineStr">
        <is>
          <t>Reschedule</t>
        </is>
      </c>
      <c r="BH2903" t="inlineStr">
        <is>
          <t>Fauziah Maharan</t>
        </is>
      </c>
      <c r="BI2903" t="inlineStr">
        <is>
          <t>Retail / Merchandise</t>
        </is>
      </c>
      <c r="BJ2903" s="4">
        <v>46144.75178240741</v>
      </c>
      <c r="BK2903" s="4">
        <v>45450.62451388889</v>
      </c>
      <c r="BL2903" t="inlineStr">
        <is>
          <t>0.0</t>
        </is>
      </c>
      <c r="BM2903" t="inlineStr">
        <is>
          <t>3000.0</t>
        </is>
      </c>
      <c r="BN2903" t="inlineStr">
        <is>
          <t>User Visit(Logged In)</t>
        </is>
      </c>
      <c r="BO2903" s="4">
        <v>46119.44045138889</v>
      </c>
      <c r="BP2903">
        <v>165576</v>
      </c>
      <c r="BQ2903">
        <v>77004</v>
      </c>
      <c r="BR2903" t="inlineStr">
        <is>
          <t>Online</t>
        </is>
      </c>
      <c r="BS2903"/>
      <c r="BT2903">
        <v>77004</v>
      </c>
      <c r="BU2903"/>
      <c r="BV2903">
        <v>2688367</v>
      </c>
      <c r="BW2903" t="inlineStr">
        <is>
          <t>Customer Inquiry</t>
        </is>
      </c>
      <c r="BX2903"/>
      <c r="BY2903"/>
      <c r="BZ2903" s="4"/>
      <c r="CA2903"/>
      <c r="CB2903"/>
      <c r="CC2903" s="4"/>
      <c r="CD2903" t="inlineStr">
        <is>
          <t>20</t>
        </is>
      </c>
      <c r="CE2903" t="inlineStr">
        <is>
          <t>0</t>
        </is>
      </c>
      <c r="CF2903" t="inlineStr">
        <is>
          <t>Q2-W01</t>
        </is>
      </c>
      <c r="CG2903"/>
      <c r="CH2903"/>
      <c r="CI2903"/>
      <c r="CJ2903" t="inlineStr">
        <is>
          <t>Paid</t>
        </is>
      </c>
      <c r="CK2903" t="inlineStr">
        <is>
          <t>Eligible</t>
        </is>
      </c>
      <c r="CL2903"/>
      <c r="CM2903"/>
    </row>
    <row r="2904" ht="25.5" customHeight="1">
      <c r="A2904" t="inlineStr">
        <is>
          <t>202896</t>
        </is>
      </c>
      <c r="B2904" s="2"/>
      <c r="C2904"/>
      <c r="D2904" s="3">
        <v>46119.50989583333</v>
      </c>
      <c r="E2904" t="inlineStr">
        <is>
          <t>Q2-W01</t>
        </is>
      </c>
      <c r="F2904" t="inlineStr">
        <is>
          <t>Josh</t>
        </is>
      </c>
      <c r="G2904" t="inlineStr">
        <is>
          <t>Customer</t>
        </is>
      </c>
      <c r="H2904" s="2" t="str">
        <f>=HYPERLINK("https://upbox.ajobthing.my/customer/202896", "https://upbox.ajobthing.my/customer/202896")</f>
        <v>https://upbox.ajobthing.my/customer/202896</v>
      </c>
      <c r="I2904" t="inlineStr">
        <is>
          <t>gt Nelson Realty Sdn Bhd</t>
        </is>
      </c>
      <c r="J2904" t="inlineStr">
        <is>
          <t>Whale</t>
        </is>
      </c>
      <c r="K2904" t="inlineStr">
        <is>
          <t>Josh</t>
        </is>
      </c>
      <c r="L2904" s="4"/>
      <c r="M2904" s="4">
        <v>46119.51037037037</v>
      </c>
      <c r="N2904"/>
      <c r="O2904">
        <v>3888</v>
      </c>
      <c r="P2904" s="4"/>
      <c r="Q2904" s="4">
        <v>46119.880162037036</v>
      </c>
      <c r="R2904"/>
      <c r="S2904">
        <v>0</v>
      </c>
      <c r="T2904" s="4"/>
      <c r="U2904" s="4"/>
      <c r="V2904"/>
      <c r="W2904"/>
      <c r="X2904"/>
      <c r="Y2904" t="inlineStr">
        <is>
          <t>Pending Appointment</t>
        </is>
      </c>
      <c r="Z2904" t="inlineStr">
        <is>
          <t>Hiring Now</t>
        </is>
      </c>
      <c r="AA2904">
        <v>1</v>
      </c>
      <c r="AB2904" t="inlineStr">
        <is>
          <t>No Appointment Made</t>
        </is>
      </c>
      <c r="AC2904"/>
      <c r="AD2904" t="inlineStr">
        <is>
          <t xml:space="preserve">1 property agent </t>
        </is>
      </c>
      <c r="AE2904"/>
      <c r="AF2904">
        <v>1000</v>
      </c>
      <c r="AG2904" s="4"/>
      <c r="AH2904" s="4"/>
      <c r="AI2904"/>
      <c r="AJ2904"/>
      <c r="AK2904" t="inlineStr">
        <is>
          <t>Yes, I have</t>
        </is>
      </c>
      <c r="AL2904"/>
      <c r="AM2904"/>
      <c r="AN2904"/>
      <c r="AO2904"/>
      <c r="AP2904" t="inlineStr">
        <is>
          <t>Every month (100%)</t>
        </is>
      </c>
      <c r="AQ2904"/>
      <c r="AR2904"/>
      <c r="AS2904" t="inlineStr">
        <is>
          <t>- Headcount: 1
- Hiring Job Details: 1 property agent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Every month (100%)
- External job portal: Not provided</t>
        </is>
      </c>
      <c r="AT2904">
        <v>95</v>
      </c>
      <c r="AU2904" t="inlineStr">
        <is>
          <t>0.95</t>
        </is>
      </c>
      <c r="AV2904" t="inlineStr">
        <is>
          <t>15</t>
        </is>
      </c>
      <c r="AW2904" t="inlineStr">
        <is>
          <t>0</t>
        </is>
      </c>
      <c r="AX2904" t="inlineStr">
        <is>
          <t>Not Qualified</t>
        </is>
      </c>
      <c r="AY2904" s="4"/>
      <c r="AZ2904"/>
      <c r="BA2904"/>
      <c r="BB2904"/>
      <c r="BC2904" t="inlineStr">
        <is>
          <t>no neeed now</t>
        </is>
      </c>
      <c r="BD2904" s="4">
        <v>46142.431342592594</v>
      </c>
      <c r="BE2904" t="inlineStr">
        <is>
          <t>paid</t>
        </is>
      </c>
      <c r="BF2904"/>
      <c r="BG2904" t="inlineStr">
        <is>
          <t>Reschedule</t>
        </is>
      </c>
      <c r="BH2904" t="inlineStr">
        <is>
          <t>Fauziah Maharan</t>
        </is>
      </c>
      <c r="BI2904" t="inlineStr">
        <is>
          <t>Property / Real Estate</t>
        </is>
      </c>
      <c r="BJ2904" s="4">
        <v>46144.75414351852</v>
      </c>
      <c r="BK2904" s="4">
        <v>46118.75996527778</v>
      </c>
      <c r="BL2904" t="inlineStr">
        <is>
          <t>0.0</t>
        </is>
      </c>
      <c r="BM2904" t="inlineStr">
        <is>
          <t>13950.0</t>
        </is>
      </c>
      <c r="BN2904" t="inlineStr">
        <is>
          <t>View Company Page</t>
        </is>
      </c>
      <c r="BO2904" s="4">
        <v>46132.620104166665</v>
      </c>
      <c r="BP2904">
        <v>165633</v>
      </c>
      <c r="BQ2904">
        <v>120641</v>
      </c>
      <c r="BR2904" t="inlineStr">
        <is>
          <t>Proforma</t>
        </is>
      </c>
      <c r="BS2904" t="inlineStr">
        <is>
          <t>Free Part-Time Job</t>
        </is>
      </c>
      <c r="BT2904"/>
      <c r="BU2904"/>
      <c r="BV2904">
        <v>2736748</v>
      </c>
      <c r="BW2904" t="inlineStr">
        <is>
          <t>Inquire for Hiring Needs : No Hiring</t>
        </is>
      </c>
      <c r="BX2904"/>
      <c r="BY2904"/>
      <c r="BZ2904" s="4"/>
      <c r="CA2904"/>
      <c r="CB2904"/>
      <c r="CC2904" s="4"/>
      <c r="CD2904" t="inlineStr">
        <is>
          <t>20</t>
        </is>
      </c>
      <c r="CE2904" t="inlineStr">
        <is>
          <t>0</t>
        </is>
      </c>
      <c r="CF2904" t="inlineStr">
        <is>
          <t>Q2-W01</t>
        </is>
      </c>
      <c r="CG2904" t="inlineStr">
        <is>
          <t>Q2-W01</t>
        </is>
      </c>
      <c r="CH2904"/>
      <c r="CI2904"/>
      <c r="CJ2904" t="inlineStr">
        <is>
          <t>No Paid</t>
        </is>
      </c>
      <c r="CK2904" t="inlineStr">
        <is>
          <t>Eligible</t>
        </is>
      </c>
      <c r="CL2904"/>
      <c r="CM2904"/>
    </row>
    <row r="2905" ht="25.5" customHeight="1">
      <c r="A2905" t="inlineStr">
        <is>
          <t>157385</t>
        </is>
      </c>
      <c r="B2905" s="2"/>
      <c r="C2905"/>
      <c r="D2905" s="3">
        <v>46119.583958333336</v>
      </c>
      <c r="E2905" t="inlineStr">
        <is>
          <t>Q2-W01</t>
        </is>
      </c>
      <c r="F2905" t="inlineStr">
        <is>
          <t>Yvonne Lee</t>
        </is>
      </c>
      <c r="G2905" t="inlineStr">
        <is>
          <t>Customer</t>
        </is>
      </c>
      <c r="H2905" s="2" t="str">
        <f>=HYPERLINK("https://upbox.ajobthing.my/customer/157385", "https://upbox.ajobthing.my/customer/157385")</f>
        <v>https://upbox.ajobthing.my/customer/157385</v>
      </c>
      <c r="I2905" t="inlineStr">
        <is>
          <t>Agensi Pekerjaan The Supreme Hr Advisory Sdn Bhd</t>
        </is>
      </c>
      <c r="J2905" t="inlineStr">
        <is>
          <t>Whale</t>
        </is>
      </c>
      <c r="K2905" t="inlineStr">
        <is>
          <t>Yvonne</t>
        </is>
      </c>
      <c r="L2905" s="4"/>
      <c r="M2905" s="4">
        <v>46119.586168981485</v>
      </c>
      <c r="N2905"/>
      <c r="O2905">
        <v>21600</v>
      </c>
      <c r="P2905" s="4"/>
      <c r="Q2905" s="4"/>
      <c r="R2905"/>
      <c r="S2905"/>
      <c r="T2905" s="4"/>
      <c r="U2905" s="4"/>
      <c r="V2905"/>
      <c r="W2905"/>
      <c r="X2905"/>
      <c r="Y2905" t="inlineStr">
        <is>
          <t>Pending Appointment</t>
        </is>
      </c>
      <c r="Z2905" t="inlineStr">
        <is>
          <t>Hiring Now</t>
        </is>
      </c>
      <c r="AA2905">
        <v>5</v>
      </c>
      <c r="AB2905" t="inlineStr">
        <is>
          <t>No Appointment Made</t>
        </is>
      </c>
      <c r="AC2905"/>
      <c r="AD2905" t="inlineStr">
        <is>
          <t>1) Procurement/Purchasing Executive
2) Digital Marketing Specilalist
3) Junior HR Consultant
4) Procurement/Assistant 
5) Procurement Assistant</t>
        </is>
      </c>
      <c r="AE2905"/>
      <c r="AF2905">
        <v>15000</v>
      </c>
      <c r="AG2905" s="4"/>
      <c r="AH2905" s="4"/>
      <c r="AI2905">
        <v>15000</v>
      </c>
      <c r="AJ2905">
        <v>1</v>
      </c>
      <c r="AK2905" t="inlineStr">
        <is>
          <t>Yes, I have</t>
        </is>
      </c>
      <c r="AL2905">
        <v>10</v>
      </c>
      <c r="AM2905" t="inlineStr">
        <is>
          <t>No, but I want in future</t>
        </is>
      </c>
      <c r="AN2905"/>
      <c r="AO2905" t="inlineStr">
        <is>
          <t>Yes, I have</t>
        </is>
      </c>
      <c r="AP2905" t="inlineStr">
        <is>
          <t>Every month (100%)</t>
        </is>
      </c>
      <c r="AQ2905">
        <v>240</v>
      </c>
      <c r="AR2905" t="inlineStr">
        <is>
          <t>Jobstreet, Indeed (Paid)</t>
        </is>
      </c>
      <c r="AS2905" t="inlineStr">
        <is>
          <t>- Headcount: 5
- Hiring Job Details: 1 Procurement/Purchasing Executive, 1 Digital Marketing Specilalist, 1 Junior HR Consultant, 1 Procurement/Assistant, 1 Procurement Assistant
- Hiring Urgency: Hiring Now
- Number of outlets: 1
- Have recruiter team: Yes
- Number of recruiter in company: 10
- Have ATS system: No, but want in future
- Have career website: Yes
- Current hiring budget: RM15,000
- Whole year budget: RM15,000.00
- Whole year number of vacancies: 240
- Hiring frequency: Every month (100%)
- External job portal: Jobstreet, Indeed (Paid)</t>
        </is>
      </c>
      <c r="AT2905">
        <v>110</v>
      </c>
      <c r="AU2905" t="inlineStr">
        <is>
          <t>1.10</t>
        </is>
      </c>
      <c r="AV2905" t="inlineStr">
        <is>
          <t>25</t>
        </is>
      </c>
      <c r="AW2905" t="inlineStr">
        <is>
          <t>0</t>
        </is>
      </c>
      <c r="AX2905" t="inlineStr">
        <is>
          <t>Not Qualified</t>
        </is>
      </c>
      <c r="AY2905" s="4"/>
      <c r="AZ2905"/>
      <c r="BA2905"/>
      <c r="BB2905"/>
      <c r="BC2905" t="inlineStr">
        <is>
          <t>Quotation shared.</t>
        </is>
      </c>
      <c r="BD2905" s="4">
        <v>46122.5021875</v>
      </c>
      <c r="BE2905"/>
      <c r="BF2905"/>
      <c r="BG2905" t="inlineStr">
        <is>
          <t>Reschedule</t>
        </is>
      </c>
      <c r="BH2905" t="inlineStr">
        <is>
          <t>andy@ajobthing.com</t>
        </is>
      </c>
      <c r="BI2905"/>
      <c r="BJ2905" s="4">
        <v>46144.75101851852</v>
      </c>
      <c r="BK2905" s="4">
        <v>44762.575833333336</v>
      </c>
      <c r="BL2905" t="inlineStr">
        <is>
          <t>0.0</t>
        </is>
      </c>
      <c r="BM2905" t="inlineStr">
        <is>
          <t>35400.0</t>
        </is>
      </c>
      <c r="BN2905" t="inlineStr">
        <is>
          <t>View Jobmanager Page</t>
        </is>
      </c>
      <c r="BO2905" s="4">
        <v>44762.57827546296</v>
      </c>
      <c r="BP2905">
        <v>165662</v>
      </c>
      <c r="BQ2905"/>
      <c r="BR2905"/>
      <c r="BS2905"/>
      <c r="BT2905"/>
      <c r="BU2905"/>
      <c r="BV2905">
        <v>2697892</v>
      </c>
      <c r="BW2905" t="inlineStr">
        <is>
          <t>Inquire for Hiring Needs : Quotation Sent 50%</t>
        </is>
      </c>
      <c r="BX2905"/>
      <c r="BY2905"/>
      <c r="BZ2905" s="4"/>
      <c r="CA2905"/>
      <c r="CB2905"/>
      <c r="CC2905" s="4"/>
      <c r="CD2905" t="inlineStr">
        <is>
          <t>35</t>
        </is>
      </c>
      <c r="CE2905" t="inlineStr">
        <is>
          <t>0</t>
        </is>
      </c>
      <c r="CF2905" t="inlineStr">
        <is>
          <t>Q2-W01</t>
        </is>
      </c>
      <c r="CG2905"/>
      <c r="CH2905"/>
      <c r="CI2905"/>
      <c r="CJ2905" t="inlineStr">
        <is>
          <t>No Paid</t>
        </is>
      </c>
      <c r="CK2905" t="inlineStr">
        <is>
          <t>Eligible</t>
        </is>
      </c>
      <c r="CL2905"/>
      <c r="CM2905"/>
    </row>
    <row r="2906" ht="25.5" customHeight="1">
      <c r="A2906" t="inlineStr">
        <is>
          <t>137772</t>
        </is>
      </c>
      <c r="B2906" s="2"/>
      <c r="C2906"/>
      <c r="D2906" s="3">
        <v>46119.590462962966</v>
      </c>
      <c r="E2906" t="inlineStr">
        <is>
          <t>Q2-W01</t>
        </is>
      </c>
      <c r="F2906" t="inlineStr">
        <is>
          <t>Angel  Low</t>
        </is>
      </c>
      <c r="G2906" t="inlineStr">
        <is>
          <t>Customer</t>
        </is>
      </c>
      <c r="H2906" s="2" t="str">
        <f>=HYPERLINK("https://upbox.ajobthing.my/customer/137772", "https://upbox.ajobthing.my/customer/137772")</f>
        <v>https://upbox.ajobthing.my/customer/137772</v>
      </c>
      <c r="I2906" t="inlineStr">
        <is>
          <t>ML Automart Sdn Bhd</t>
        </is>
      </c>
      <c r="J2906" t="inlineStr">
        <is>
          <t>Whale</t>
        </is>
      </c>
      <c r="K2906" t="inlineStr">
        <is>
          <t>Angel Low</t>
        </is>
      </c>
      <c r="L2906" s="4"/>
      <c r="M2906" s="4">
        <v>46119.59069444444</v>
      </c>
      <c r="N2906"/>
      <c r="O2906">
        <v>3672</v>
      </c>
      <c r="P2906" s="4"/>
      <c r="Q2906" s="4">
        <v>46118.60539351852</v>
      </c>
      <c r="R2906"/>
      <c r="S2906">
        <v>1296</v>
      </c>
      <c r="T2906" s="4">
        <v>46118.60539351852</v>
      </c>
      <c r="U2906" s="4"/>
      <c r="V2906"/>
      <c r="W2906">
        <v>1296</v>
      </c>
      <c r="X2906"/>
      <c r="Y2906" t="inlineStr">
        <is>
          <t>Pending Appointment</t>
        </is>
      </c>
      <c r="Z2906"/>
      <c r="AA2906">
        <v>1</v>
      </c>
      <c r="AB2906" t="inlineStr">
        <is>
          <t>No Appointment Made</t>
        </is>
      </c>
      <c r="AC2906"/>
      <c r="AD2906" t="inlineStr">
        <is>
          <t xml:space="preserve">1 online sales mandarin speaker </t>
        </is>
      </c>
      <c r="AE2906"/>
      <c r="AF2906"/>
      <c r="AG2906" s="4"/>
      <c r="AH2906" s="4"/>
      <c r="AI2906"/>
      <c r="AJ2906"/>
      <c r="AK2906"/>
      <c r="AL2906"/>
      <c r="AM2906"/>
      <c r="AN2906"/>
      <c r="AO2906"/>
      <c r="AP2906"/>
      <c r="AQ2906"/>
      <c r="AR2906"/>
      <c r="AS2906" t="inlineStr">
        <is>
          <t>- Headcount: 1
- Hiring Job Details: 1 online sales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906">
        <v>65</v>
      </c>
      <c r="AU2906" t="inlineStr">
        <is>
          <t>0.65</t>
        </is>
      </c>
      <c r="AV2906" t="inlineStr">
        <is>
          <t>5</t>
        </is>
      </c>
      <c r="AW2906" t="inlineStr">
        <is>
          <t>0</t>
        </is>
      </c>
      <c r="AX2906" t="inlineStr">
        <is>
          <t>Not Qualified</t>
        </is>
      </c>
      <c r="AY2906" s="4"/>
      <c r="AZ2906"/>
      <c r="BA2906"/>
      <c r="BB2906"/>
      <c r="BC2906" t="inlineStr">
        <is>
          <t>less applicant</t>
        </is>
      </c>
      <c r="BD2906" s="4">
        <v>46134.40090277778</v>
      </c>
      <c r="BE2906" t="inlineStr">
        <is>
          <t>paid</t>
        </is>
      </c>
      <c r="BF2906" t="inlineStr">
        <is>
          <t>Q2-W01</t>
        </is>
      </c>
      <c r="BG2906" t="inlineStr">
        <is>
          <t>Reschedule</t>
        </is>
      </c>
      <c r="BH2906" t="inlineStr">
        <is>
          <t>Fauziah Maharan</t>
        </is>
      </c>
      <c r="BI2906" t="inlineStr">
        <is>
          <t>Automobile / Automotive</t>
        </is>
      </c>
      <c r="BJ2906" s="4">
        <v>46144.750613425924</v>
      </c>
      <c r="BK2906" s="4">
        <v>44316.97908564815</v>
      </c>
      <c r="BL2906" t="inlineStr">
        <is>
          <t>1296.0</t>
        </is>
      </c>
      <c r="BM2906" t="inlineStr">
        <is>
          <t>0.0</t>
        </is>
      </c>
      <c r="BN2906" t="inlineStr">
        <is>
          <t>View Company Page</t>
        </is>
      </c>
      <c r="BO2906" s="4">
        <v>46136.63700231481</v>
      </c>
      <c r="BP2906">
        <v>165665</v>
      </c>
      <c r="BQ2906">
        <v>91371</v>
      </c>
      <c r="BR2906" t="inlineStr">
        <is>
          <t>Online</t>
        </is>
      </c>
      <c r="BS2906"/>
      <c r="BT2906">
        <v>91371</v>
      </c>
      <c r="BU2906"/>
      <c r="BV2906">
        <v>2719426</v>
      </c>
      <c r="BW2906" t="inlineStr">
        <is>
          <t>Service / Technical : Job Outcome Enquiry</t>
        </is>
      </c>
      <c r="BX2906">
        <v>1</v>
      </c>
      <c r="BY2906">
        <v>0</v>
      </c>
      <c r="BZ2906" s="4">
        <v>46118.61622685185</v>
      </c>
      <c r="CA2906">
        <v>10</v>
      </c>
      <c r="CB2906">
        <v>3</v>
      </c>
      <c r="CC2906" s="4">
        <v>46128.34240740741</v>
      </c>
      <c r="CD2906" t="inlineStr">
        <is>
          <t>5</t>
        </is>
      </c>
      <c r="CE2906" t="inlineStr">
        <is>
          <t>0</t>
        </is>
      </c>
      <c r="CF2906" t="inlineStr">
        <is>
          <t>Q2-W01</t>
        </is>
      </c>
      <c r="CG2906" t="inlineStr">
        <is>
          <t>Q2-W01</t>
        </is>
      </c>
      <c r="CH2906" t="inlineStr">
        <is>
          <t>Q2-W01</t>
        </is>
      </c>
      <c r="CI2906"/>
      <c r="CJ2906" t="inlineStr">
        <is>
          <t>Paid</t>
        </is>
      </c>
      <c r="CK2906" t="inlineStr">
        <is>
          <t>Eligible</t>
        </is>
      </c>
      <c r="CL2906"/>
      <c r="CM2906"/>
    </row>
    <row r="2907" ht="25.5" customHeight="1">
      <c r="A2907" t="inlineStr">
        <is>
          <t>202917</t>
        </is>
      </c>
      <c r="B2907" s="2"/>
      <c r="C2907"/>
      <c r="D2907" s="3">
        <v>46119.59622685185</v>
      </c>
      <c r="E2907" t="inlineStr">
        <is>
          <t>Q2-W01</t>
        </is>
      </c>
      <c r="F2907" t="inlineStr">
        <is>
          <t>Yuli</t>
        </is>
      </c>
      <c r="G2907" t="inlineStr">
        <is>
          <t>Customer</t>
        </is>
      </c>
      <c r="H2907" s="2" t="str">
        <f>=HYPERLINK("https://upbox.ajobthing.my/customer/202917", "https://upbox.ajobthing.my/customer/202917")</f>
        <v>https://upbox.ajobthing.my/customer/202917</v>
      </c>
      <c r="I2907" t="inlineStr">
        <is>
          <t>Adept Construction &amp; Engineering Sdn Bhd</t>
        </is>
      </c>
      <c r="J2907" t="inlineStr">
        <is>
          <t>Whale</t>
        </is>
      </c>
      <c r="K2907" t="inlineStr">
        <is>
          <t>YuLi</t>
        </is>
      </c>
      <c r="L2907" s="4"/>
      <c r="M2907" s="4">
        <v>46121.543645833335</v>
      </c>
      <c r="N2907"/>
      <c r="O2907">
        <v>3888</v>
      </c>
      <c r="P2907" s="4"/>
      <c r="Q2907" s="4">
        <v>46141.61420138889</v>
      </c>
      <c r="R2907"/>
      <c r="S2907">
        <v>0</v>
      </c>
      <c r="T2907" s="4">
        <v>46121.949212962965</v>
      </c>
      <c r="U2907" s="4"/>
      <c r="V2907"/>
      <c r="W2907">
        <v>6048</v>
      </c>
      <c r="X2907"/>
      <c r="Y2907" t="inlineStr">
        <is>
          <t>Pending Appointment</t>
        </is>
      </c>
      <c r="Z2907" t="inlineStr">
        <is>
          <t>Hiring Now</t>
        </is>
      </c>
      <c r="AA2907">
        <v>4</v>
      </c>
      <c r="AB2907" t="inlineStr">
        <is>
          <t>No Appointment Made</t>
        </is>
      </c>
      <c r="AC2907"/>
      <c r="AD2907" t="inlineStr">
        <is>
          <t>site supervisor-1 , site safety-1, safety health-1 , site engineer-1
jasin melaka</t>
        </is>
      </c>
      <c r="AE2907"/>
      <c r="AF2907"/>
      <c r="AG2907" s="4"/>
      <c r="AH2907" s="4"/>
      <c r="AI2907"/>
      <c r="AJ2907"/>
      <c r="AK2907"/>
      <c r="AL2907"/>
      <c r="AM2907"/>
      <c r="AN2907"/>
      <c r="AO2907"/>
      <c r="AP2907" t="inlineStr">
        <is>
          <t>Once per quarter (75%)</t>
        </is>
      </c>
      <c r="AQ2907"/>
      <c r="AR2907" t="inlineStr">
        <is>
          <t>Jobstreet</t>
        </is>
      </c>
      <c r="AS2907" t="inlineStr">
        <is>
          <t>- Headcount: 4
- Hiring Job Details: site supervisor-1, site safety-1, safety health-1, site engineer-1 (jasin melaka)
- Hiring Urgency: Hiring Now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Once per quarter (75%)
- External job portal: Jobstreet</t>
        </is>
      </c>
      <c r="AT2907">
        <v>95</v>
      </c>
      <c r="AU2907" t="inlineStr">
        <is>
          <t>0.95</t>
        </is>
      </c>
      <c r="AV2907" t="inlineStr">
        <is>
          <t>5</t>
        </is>
      </c>
      <c r="AW2907" t="inlineStr">
        <is>
          <t>0</t>
        </is>
      </c>
      <c r="AX2907" t="inlineStr">
        <is>
          <t>Not Qualified</t>
        </is>
      </c>
      <c r="AY2907" s="4"/>
      <c r="AZ2907"/>
      <c r="BA2907"/>
      <c r="BB2907"/>
      <c r="BC2907" t="inlineStr">
        <is>
          <t>called and spoke to Ms. Husna they manage to hired candidate, and need help to edit the location but mentioned we unable to do so due to the recomemnded candidate already based on the location, but we can add the location in the requirement, and she okay</t>
        </is>
      </c>
      <c r="BD2907" s="4">
        <v>46141.65222222222</v>
      </c>
      <c r="BE2907" t="inlineStr">
        <is>
          <t>paid</t>
        </is>
      </c>
      <c r="BF2907" t="inlineStr">
        <is>
          <t>Q2-W01</t>
        </is>
      </c>
      <c r="BG2907" t="inlineStr">
        <is>
          <t>Reschedule</t>
        </is>
      </c>
      <c r="BH2907" t="inlineStr">
        <is>
          <t>Fauziah Maharan</t>
        </is>
      </c>
      <c r="BI2907" t="inlineStr">
        <is>
          <t>Construction / Building</t>
        </is>
      </c>
      <c r="BJ2907" s="4">
        <v>46144.754166666666</v>
      </c>
      <c r="BK2907" s="4">
        <v>46119.444236111114</v>
      </c>
      <c r="BL2907" t="inlineStr">
        <is>
          <t>6048.0</t>
        </is>
      </c>
      <c r="BM2907" t="inlineStr">
        <is>
          <t>7200.0</t>
        </is>
      </c>
      <c r="BN2907" t="inlineStr">
        <is>
          <t>Send Chat to Applicant</t>
        </is>
      </c>
      <c r="BO2907" s="4">
        <v>46142.73158564815</v>
      </c>
      <c r="BP2907">
        <v>166176</v>
      </c>
      <c r="BQ2907">
        <v>124072</v>
      </c>
      <c r="BR2907" t="inlineStr">
        <is>
          <t>Proforma</t>
        </is>
      </c>
      <c r="BS2907" t="inlineStr">
        <is>
          <t>Free Freelance Job</t>
        </is>
      </c>
      <c r="BT2907">
        <v>92591</v>
      </c>
      <c r="BU2907"/>
      <c r="BV2907">
        <v>2735678</v>
      </c>
      <c r="BW2907" t="inlineStr">
        <is>
          <t>Service / Technical : Success Hire (MKRB)</t>
        </is>
      </c>
      <c r="BX2907">
        <v>21</v>
      </c>
      <c r="BY2907">
        <v>11</v>
      </c>
      <c r="BZ2907" s="4">
        <v>46128.62357638889</v>
      </c>
      <c r="CA2907">
        <v>173</v>
      </c>
      <c r="CB2907">
        <v>173</v>
      </c>
      <c r="CC2907" s="4"/>
      <c r="CD2907" t="inlineStr">
        <is>
          <t>5</t>
        </is>
      </c>
      <c r="CE2907" t="inlineStr">
        <is>
          <t>0</t>
        </is>
      </c>
      <c r="CF2907" t="inlineStr">
        <is>
          <t>Q2-W01</t>
        </is>
      </c>
      <c r="CG2907" t="inlineStr">
        <is>
          <t>Q2-W04</t>
        </is>
      </c>
      <c r="CH2907" t="inlineStr">
        <is>
          <t>Q2-W01</t>
        </is>
      </c>
      <c r="CI2907"/>
      <c r="CJ2907" t="inlineStr">
        <is>
          <t>Paid</t>
        </is>
      </c>
      <c r="CK2907" t="inlineStr">
        <is>
          <t>Eligible</t>
        </is>
      </c>
      <c r="CL2907"/>
      <c r="CM2907"/>
    </row>
    <row r="2908" ht="25.5" customHeight="1">
      <c r="A2908" t="inlineStr">
        <is>
          <t>201420</t>
        </is>
      </c>
      <c r="B2908" s="2"/>
      <c r="C2908"/>
      <c r="D2908" s="3">
        <v>46119.606203703705</v>
      </c>
      <c r="E2908" t="inlineStr">
        <is>
          <t>Q2-W01</t>
        </is>
      </c>
      <c r="F2908" t="inlineStr">
        <is>
          <t>Eugene</t>
        </is>
      </c>
      <c r="G2908" t="inlineStr">
        <is>
          <t>Customer</t>
        </is>
      </c>
      <c r="H2908" s="2" t="str">
        <f>=HYPERLINK("https://upbox.ajobthing.my/customer/201420", "https://upbox.ajobthing.my/customer/201420")</f>
        <v>https://upbox.ajobthing.my/customer/201420</v>
      </c>
      <c r="I2908" t="inlineStr">
        <is>
          <t>Penang Sports Club</t>
        </is>
      </c>
      <c r="J2908" t="inlineStr">
        <is>
          <t>Whale</t>
        </is>
      </c>
      <c r="K2908" t="inlineStr">
        <is>
          <t>Eugene</t>
        </is>
      </c>
      <c r="L2908" s="4"/>
      <c r="M2908" s="4">
        <v>46119.60628472222</v>
      </c>
      <c r="N2908"/>
      <c r="O2908">
        <v>3888</v>
      </c>
      <c r="P2908" s="4"/>
      <c r="Q2908" s="4"/>
      <c r="R2908"/>
      <c r="S2908"/>
      <c r="T2908" s="4"/>
      <c r="U2908" s="4"/>
      <c r="V2908"/>
      <c r="W2908"/>
      <c r="X2908"/>
      <c r="Y2908" t="inlineStr">
        <is>
          <t>Pending Appointment</t>
        </is>
      </c>
      <c r="Z2908" t="inlineStr">
        <is>
          <t>Hiring Now</t>
        </is>
      </c>
      <c r="AA2908">
        <v>2</v>
      </c>
      <c r="AB2908" t="inlineStr">
        <is>
          <t>No Appointment Made</t>
        </is>
      </c>
      <c r="AC2908"/>
      <c r="AD2908" t="inlineStr">
        <is>
          <t>2 positions, based in Penang</t>
        </is>
      </c>
      <c r="AE2908"/>
      <c r="AF2908">
        <v>3000</v>
      </c>
      <c r="AG2908" s="4"/>
      <c r="AH2908" s="4"/>
      <c r="AI2908">
        <v>3000</v>
      </c>
      <c r="AJ2908">
        <v>1</v>
      </c>
      <c r="AK2908" t="inlineStr">
        <is>
          <t>No, I don't need at all</t>
        </is>
      </c>
      <c r="AL2908">
        <v>1</v>
      </c>
      <c r="AM2908" t="inlineStr">
        <is>
          <t>No, I don't need at all</t>
        </is>
      </c>
      <c r="AN2908"/>
      <c r="AO2908" t="inlineStr">
        <is>
          <t>No, I don't need at all</t>
        </is>
      </c>
      <c r="AP2908" t="inlineStr">
        <is>
          <t>Twice a year (50%)</t>
        </is>
      </c>
      <c r="AQ2908">
        <v>4</v>
      </c>
      <c r="AR2908" t="inlineStr">
        <is>
          <t>Free Job Portal</t>
        </is>
      </c>
      <c r="AS2908" t="inlineStr">
        <is>
          <t>- Headcount: 2
- Hiring Job Details: 2 positions, based in Penang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4
- Hiring frequency: Twice a year (50%)
- External job portal: Free Job Portal</t>
        </is>
      </c>
      <c r="AT2908">
        <v>95</v>
      </c>
      <c r="AU2908" t="inlineStr">
        <is>
          <t>0.95</t>
        </is>
      </c>
      <c r="AV2908" t="inlineStr">
        <is>
          <t>15</t>
        </is>
      </c>
      <c r="AW2908" t="inlineStr">
        <is>
          <t>0</t>
        </is>
      </c>
      <c r="AX2908" t="inlineStr">
        <is>
          <t>Not Qualified</t>
        </is>
      </c>
      <c r="AY2908" s="4"/>
      <c r="AZ2908"/>
      <c r="BA2908"/>
      <c r="BB2908"/>
      <c r="BC2908" t="inlineStr">
        <is>
          <t>nxt month</t>
        </is>
      </c>
      <c r="BD2908" s="4">
        <v>46120.447546296295</v>
      </c>
      <c r="BE2908"/>
      <c r="BF2908"/>
      <c r="BG2908" t="inlineStr">
        <is>
          <t>Reschedule</t>
        </is>
      </c>
      <c r="BH2908" t="inlineStr">
        <is>
          <t>Edward Hoo</t>
        </is>
      </c>
      <c r="BI2908"/>
      <c r="BJ2908" s="4">
        <v>46144.75378472222</v>
      </c>
      <c r="BK2908" s="4">
        <v>46078.39807870371</v>
      </c>
      <c r="BL2908" t="inlineStr">
        <is>
          <t>0.0</t>
        </is>
      </c>
      <c r="BM2908" t="inlineStr">
        <is>
          <t>5400.0</t>
        </is>
      </c>
      <c r="BN2908" t="inlineStr">
        <is>
          <t>View Create Job Page V4</t>
        </is>
      </c>
      <c r="BO2908" s="4">
        <v>46078.41181712963</v>
      </c>
      <c r="BP2908">
        <v>165677</v>
      </c>
      <c r="BQ2908"/>
      <c r="BR2908"/>
      <c r="BS2908"/>
      <c r="BT2908"/>
      <c r="BU2908"/>
      <c r="BV2908">
        <v>2691515</v>
      </c>
      <c r="BW2908" t="inlineStr">
        <is>
          <t>Follow Up : Lost - Free Portal</t>
        </is>
      </c>
      <c r="BX2908"/>
      <c r="BY2908"/>
      <c r="BZ2908" s="4"/>
      <c r="CA2908"/>
      <c r="CB2908"/>
      <c r="CC2908" s="4"/>
      <c r="CD2908" t="inlineStr">
        <is>
          <t>20</t>
        </is>
      </c>
      <c r="CE2908" t="inlineStr">
        <is>
          <t>0</t>
        </is>
      </c>
      <c r="CF2908" t="inlineStr">
        <is>
          <t>Q2-W01</t>
        </is>
      </c>
      <c r="CG2908"/>
      <c r="CH2908"/>
      <c r="CI2908"/>
      <c r="CJ2908" t="inlineStr">
        <is>
          <t>No Paid</t>
        </is>
      </c>
      <c r="CK2908" t="inlineStr">
        <is>
          <t>Eligible</t>
        </is>
      </c>
      <c r="CL2908"/>
      <c r="CM2908"/>
    </row>
    <row r="2909" ht="25.5" customHeight="1">
      <c r="A2909" t="inlineStr">
        <is>
          <t>38255</t>
        </is>
      </c>
      <c r="B2909" s="2"/>
      <c r="C2909"/>
      <c r="D2909" s="3">
        <v>46119.61211805556</v>
      </c>
      <c r="E2909" t="inlineStr">
        <is>
          <t>Q2-W01</t>
        </is>
      </c>
      <c r="F2909" t="inlineStr">
        <is>
          <t>Jia Hui</t>
        </is>
      </c>
      <c r="G2909" t="inlineStr">
        <is>
          <t>Customer</t>
        </is>
      </c>
      <c r="H2909" s="2" t="str">
        <f>=HYPERLINK("https://upbox.ajobthing.my/customer/38255", "https://upbox.ajobthing.my/customer/38255")</f>
        <v>https://upbox.ajobthing.my/customer/38255</v>
      </c>
      <c r="I2909" t="inlineStr">
        <is>
          <t>SIF Development Sdn Bhd</t>
        </is>
      </c>
      <c r="J2909" t="inlineStr">
        <is>
          <t>Whale</t>
        </is>
      </c>
      <c r="K2909" t="inlineStr">
        <is>
          <t>Jia Hui</t>
        </is>
      </c>
      <c r="L2909" s="4"/>
      <c r="M2909" s="4">
        <v>46119.60731481481</v>
      </c>
      <c r="N2909"/>
      <c r="O2909">
        <v>6048</v>
      </c>
      <c r="P2909" s="4"/>
      <c r="Q2909" s="4">
        <v>46142.51449074074</v>
      </c>
      <c r="R2909"/>
      <c r="S2909">
        <v>0</v>
      </c>
      <c r="T2909" s="4">
        <v>45807.725127314814</v>
      </c>
      <c r="U2909" s="4"/>
      <c r="V2909"/>
      <c r="W2909">
        <v>3132</v>
      </c>
      <c r="X2909"/>
      <c r="Y2909" t="inlineStr">
        <is>
          <t>Pending Appointment</t>
        </is>
      </c>
      <c r="Z2909" t="inlineStr">
        <is>
          <t>Hiring Now</t>
        </is>
      </c>
      <c r="AA2909">
        <v>2</v>
      </c>
      <c r="AB2909" t="inlineStr">
        <is>
          <t>No Appointment Made</t>
        </is>
      </c>
      <c r="AC2909"/>
      <c r="AD2909" t="inlineStr">
        <is>
          <t>1 sales, 1 marketing</t>
        </is>
      </c>
      <c r="AE2909"/>
      <c r="AF2909">
        <v>1000</v>
      </c>
      <c r="AG2909" s="4"/>
      <c r="AH2909" s="4"/>
      <c r="AI2909"/>
      <c r="AJ2909"/>
      <c r="AK2909" t="inlineStr">
        <is>
          <t>Yes, I have</t>
        </is>
      </c>
      <c r="AL2909"/>
      <c r="AM2909"/>
      <c r="AN2909"/>
      <c r="AO2909"/>
      <c r="AP2909" t="inlineStr">
        <is>
          <t>Once a year (25%)</t>
        </is>
      </c>
      <c r="AQ2909"/>
      <c r="AR2909"/>
      <c r="AS2909" t="inlineStr">
        <is>
          <t>- Headcount: 2
- Hiring Job Details: 1 sales, 1 marketing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909">
        <v>95</v>
      </c>
      <c r="AU2909" t="inlineStr">
        <is>
          <t>0.95</t>
        </is>
      </c>
      <c r="AV2909" t="inlineStr">
        <is>
          <t>15</t>
        </is>
      </c>
      <c r="AW2909" t="inlineStr">
        <is>
          <t>0</t>
        </is>
      </c>
      <c r="AX2909" t="inlineStr">
        <is>
          <t>Not Qualified</t>
        </is>
      </c>
      <c r="AY2909" s="4"/>
      <c r="AZ2909"/>
      <c r="BA2909"/>
      <c r="BB2909"/>
      <c r="BC2909" t="inlineStr">
        <is>
          <t>help to post job ads</t>
        </is>
      </c>
      <c r="BD2909" s="4">
        <v>46142.603680555556</v>
      </c>
      <c r="BE2909" t="inlineStr">
        <is>
          <t>paid</t>
        </is>
      </c>
      <c r="BF2909"/>
      <c r="BG2909" t="inlineStr">
        <is>
          <t>Reschedule</t>
        </is>
      </c>
      <c r="BH2909" t="inlineStr">
        <is>
          <t>Reagen</t>
        </is>
      </c>
      <c r="BI2909" t="inlineStr">
        <is>
          <t>Manufacturing / Production</t>
        </is>
      </c>
      <c r="BJ2909" s="4">
        <v>46144.75493055556</v>
      </c>
      <c r="BK2909" s="4">
        <v>42893.44005787037</v>
      </c>
      <c r="BL2909" t="inlineStr">
        <is>
          <t>4212.0</t>
        </is>
      </c>
      <c r="BM2909" t="inlineStr">
        <is>
          <t>0.0</t>
        </is>
      </c>
      <c r="BN2909" t="inlineStr">
        <is>
          <t>View Company Page</t>
        </is>
      </c>
      <c r="BO2909" s="4">
        <v>46142.51466435185</v>
      </c>
      <c r="BP2909">
        <v>165678</v>
      </c>
      <c r="BQ2909">
        <v>124180</v>
      </c>
      <c r="BR2909" t="inlineStr">
        <is>
          <t>Proforma</t>
        </is>
      </c>
      <c r="BS2909" t="inlineStr">
        <is>
          <t>Free Internship Job</t>
        </is>
      </c>
      <c r="BT2909">
        <v>79734</v>
      </c>
      <c r="BU2909"/>
      <c r="BV2909">
        <v>2737696</v>
      </c>
      <c r="BW2909" t="inlineStr">
        <is>
          <t>Service / Technical : Help To Post Job</t>
        </is>
      </c>
      <c r="BX2909">
        <v>7</v>
      </c>
      <c r="BY2909">
        <v>3</v>
      </c>
      <c r="BZ2909" s="4">
        <v>45957.418032407404</v>
      </c>
      <c r="CA2909">
        <v>120</v>
      </c>
      <c r="CB2909">
        <v>120</v>
      </c>
      <c r="CC2909" s="4"/>
      <c r="CD2909" t="inlineStr">
        <is>
          <t>20</t>
        </is>
      </c>
      <c r="CE2909" t="inlineStr">
        <is>
          <t>0</t>
        </is>
      </c>
      <c r="CF2909" t="inlineStr">
        <is>
          <t>Q2-W01</t>
        </is>
      </c>
      <c r="CG2909" t="inlineStr">
        <is>
          <t>Q2-W04</t>
        </is>
      </c>
      <c r="CH2909"/>
      <c r="CI2909"/>
      <c r="CJ2909" t="inlineStr">
        <is>
          <t>Paid</t>
        </is>
      </c>
      <c r="CK2909" t="inlineStr">
        <is>
          <t>Eligible</t>
        </is>
      </c>
      <c r="CL2909"/>
      <c r="CM2909"/>
    </row>
    <row r="2910" ht="25.5" customHeight="1">
      <c r="A2910" t="inlineStr">
        <is>
          <t>143130</t>
        </is>
      </c>
      <c r="B2910" s="2"/>
      <c r="C2910"/>
      <c r="D2910" s="3">
        <v>46119.620358796295</v>
      </c>
      <c r="E2910" t="inlineStr">
        <is>
          <t>Q2-W01</t>
        </is>
      </c>
      <c r="F2910" t="inlineStr">
        <is>
          <t>Jess</t>
        </is>
      </c>
      <c r="G2910" t="inlineStr">
        <is>
          <t>Customer</t>
        </is>
      </c>
      <c r="H2910" s="2" t="str">
        <f>=HYPERLINK("https://upbox.ajobthing.my/customer/143130", "https://upbox.ajobthing.my/customer/143130")</f>
        <v>https://upbox.ajobthing.my/customer/143130</v>
      </c>
      <c r="I2910" t="inlineStr">
        <is>
          <t>Sinocharm Holdings Sdn Bhd</t>
        </is>
      </c>
      <c r="J2910" t="inlineStr">
        <is>
          <t>Whale</t>
        </is>
      </c>
      <c r="K2910" t="inlineStr">
        <is>
          <t>Jess Lim</t>
        </is>
      </c>
      <c r="L2910" s="4"/>
      <c r="M2910" s="4">
        <v>46119.619409722225</v>
      </c>
      <c r="N2910"/>
      <c r="O2910">
        <v>3672</v>
      </c>
      <c r="P2910" s="4"/>
      <c r="Q2910" s="4">
        <v>45562.467824074076</v>
      </c>
      <c r="R2910"/>
      <c r="S2910">
        <v>648</v>
      </c>
      <c r="T2910" s="4">
        <v>45562.467824074076</v>
      </c>
      <c r="U2910" s="4"/>
      <c r="V2910"/>
      <c r="W2910">
        <v>648</v>
      </c>
      <c r="X2910"/>
      <c r="Y2910" t="inlineStr">
        <is>
          <t>Pending Appointment</t>
        </is>
      </c>
      <c r="Z2910" t="inlineStr">
        <is>
          <t>Hiring Now</t>
        </is>
      </c>
      <c r="AA2910">
        <v>1</v>
      </c>
      <c r="AB2910" t="inlineStr">
        <is>
          <t>No Appointment Made</t>
        </is>
      </c>
      <c r="AC2910"/>
      <c r="AD2910" t="inlineStr">
        <is>
          <t>cashier 1</t>
        </is>
      </c>
      <c r="AE2910"/>
      <c r="AF2910">
        <v>1000</v>
      </c>
      <c r="AG2910" s="4"/>
      <c r="AH2910" s="4"/>
      <c r="AI2910"/>
      <c r="AJ2910">
        <v>1</v>
      </c>
      <c r="AK2910" t="inlineStr">
        <is>
          <t>Yes, I have</t>
        </is>
      </c>
      <c r="AL2910">
        <v>1</v>
      </c>
      <c r="AM2910" t="inlineStr">
        <is>
          <t>No, I don't need at all</t>
        </is>
      </c>
      <c r="AN2910"/>
      <c r="AO2910"/>
      <c r="AP2910" t="inlineStr">
        <is>
          <t>Once a year (25%)</t>
        </is>
      </c>
      <c r="AQ2910"/>
      <c r="AR2910" t="inlineStr">
        <is>
          <t>Jobstreet</t>
        </is>
      </c>
      <c r="AS2910" t="inlineStr">
        <is>
          <t>- Headcount: 1
- Hiring Job Details: 1 cashier
- Hiring Urgency: Hiring Now
- Number of outlets: 1
- Have recruiter team: Yes
- Number of recruiter in company: 1
- Have ATS system: No, I don't need at all
- Have career website: Not specified
- Current hiring budget: RM1,000.00
- Whole year budget: Not specified
- Whole year number of vacancies: Not specified
- Hiring frequency: Once a year (25%)
- External job portal: Jobstreet</t>
        </is>
      </c>
      <c r="AT2910">
        <v>105</v>
      </c>
      <c r="AU2910" t="inlineStr">
        <is>
          <t>1.05</t>
        </is>
      </c>
      <c r="AV2910" t="inlineStr">
        <is>
          <t>15</t>
        </is>
      </c>
      <c r="AW2910" t="inlineStr">
        <is>
          <t>0</t>
        </is>
      </c>
      <c r="AX2910" t="inlineStr">
        <is>
          <t>Not Qualified</t>
        </is>
      </c>
      <c r="AY2910" s="4"/>
      <c r="AZ2910"/>
      <c r="BA2910"/>
      <c r="BB2910"/>
      <c r="BC2910" t="inlineStr">
        <is>
          <t>no pick up</t>
        </is>
      </c>
      <c r="BD2910" s="4">
        <v>46135.455613425926</v>
      </c>
      <c r="BE2910" t="inlineStr">
        <is>
          <t>paid</t>
        </is>
      </c>
      <c r="BF2910"/>
      <c r="BG2910" t="inlineStr">
        <is>
          <t>Reschedule</t>
        </is>
      </c>
      <c r="BH2910" t="inlineStr">
        <is>
          <t>Fauziah Maharan</t>
        </is>
      </c>
      <c r="BI2910" t="inlineStr">
        <is>
          <t>Oil / Gas / Petroleum</t>
        </is>
      </c>
      <c r="BJ2910" s="4">
        <v>46144.75069444445</v>
      </c>
      <c r="BK2910" s="4">
        <v>44501.61702546296</v>
      </c>
      <c r="BL2910" t="inlineStr">
        <is>
          <t>0.0</t>
        </is>
      </c>
      <c r="BM2910" t="inlineStr">
        <is>
          <t>0.0</t>
        </is>
      </c>
      <c r="BN2910" t="inlineStr">
        <is>
          <t>View Jobmanager Page</t>
        </is>
      </c>
      <c r="BO2910" s="4">
        <v>46119.4552662037</v>
      </c>
      <c r="BP2910">
        <v>165685</v>
      </c>
      <c r="BQ2910">
        <v>73341</v>
      </c>
      <c r="BR2910" t="inlineStr">
        <is>
          <t>Online</t>
        </is>
      </c>
      <c r="BS2910"/>
      <c r="BT2910">
        <v>73341</v>
      </c>
      <c r="BU2910"/>
      <c r="BV2910">
        <v>2722659</v>
      </c>
      <c r="BW2910" t="inlineStr">
        <is>
          <t>No Answer : Voicemail - WA sent to customer</t>
        </is>
      </c>
      <c r="BX2910"/>
      <c r="BY2910"/>
      <c r="BZ2910" s="4"/>
      <c r="CA2910"/>
      <c r="CB2910"/>
      <c r="CC2910" s="4"/>
      <c r="CD2910" t="inlineStr">
        <is>
          <t>20</t>
        </is>
      </c>
      <c r="CE2910" t="inlineStr">
        <is>
          <t>0</t>
        </is>
      </c>
      <c r="CF2910" t="inlineStr">
        <is>
          <t>Q2-W01</t>
        </is>
      </c>
      <c r="CG2910"/>
      <c r="CH2910"/>
      <c r="CI2910"/>
      <c r="CJ2910" t="inlineStr">
        <is>
          <t>Paid</t>
        </is>
      </c>
      <c r="CK2910" t="inlineStr">
        <is>
          <t>Eligible</t>
        </is>
      </c>
      <c r="CL2910"/>
      <c r="CM2910"/>
    </row>
    <row r="2911" ht="25.5" customHeight="1">
      <c r="A2911" t="inlineStr">
        <is>
          <t>158351</t>
        </is>
      </c>
      <c r="B2911" s="2"/>
      <c r="C2911"/>
      <c r="D2911" s="3">
        <v>46119.621099537035</v>
      </c>
      <c r="E2911" t="inlineStr">
        <is>
          <t>Q2-W01</t>
        </is>
      </c>
      <c r="F2911" t="inlineStr">
        <is>
          <t>Ratha</t>
        </is>
      </c>
      <c r="G2911" t="inlineStr">
        <is>
          <t>Customer</t>
        </is>
      </c>
      <c r="H2911" s="2" t="str">
        <f>=HYPERLINK("https://upbox.ajobthing.my/customer/158351", "https://upbox.ajobthing.my/customer/158351")</f>
        <v>https://upbox.ajobthing.my/customer/158351</v>
      </c>
      <c r="I2911" t="inlineStr">
        <is>
          <t>Hans Advisory &amp; Trust Co Ltd.</t>
        </is>
      </c>
      <c r="J2911" t="inlineStr">
        <is>
          <t>Whale</t>
        </is>
      </c>
      <c r="K2911" t="inlineStr">
        <is>
          <t>Ratha</t>
        </is>
      </c>
      <c r="L2911" s="4"/>
      <c r="M2911" s="4">
        <v>46091.445914351854</v>
      </c>
      <c r="N2911"/>
      <c r="O2911">
        <v>5508</v>
      </c>
      <c r="P2911" s="4"/>
      <c r="Q2911" s="4">
        <v>46122.73556712963</v>
      </c>
      <c r="R2911"/>
      <c r="S2911">
        <v>3672</v>
      </c>
      <c r="T2911" s="4">
        <v>46122.73556712963</v>
      </c>
      <c r="U2911" s="4"/>
      <c r="V2911"/>
      <c r="W2911">
        <v>3672</v>
      </c>
      <c r="X2911"/>
      <c r="Y2911" t="inlineStr">
        <is>
          <t>Pending Appointment</t>
        </is>
      </c>
      <c r="Z2911" t="inlineStr">
        <is>
          <t>Hiring Now</t>
        </is>
      </c>
      <c r="AA2911">
        <v>4</v>
      </c>
      <c r="AB2911" t="inlineStr">
        <is>
          <t>No Appointment Made</t>
        </is>
      </c>
      <c r="AC2911"/>
      <c r="AD2911" t="inlineStr">
        <is>
          <t xml:space="preserve">Headcounts : 4
Selangor and Labuan; around 3 job postings for 3-5 headcounts </t>
        </is>
      </c>
      <c r="AE2911"/>
      <c r="AF2911"/>
      <c r="AG2911" s="4"/>
      <c r="AH2911" s="4"/>
      <c r="AI2911"/>
      <c r="AJ2911">
        <v>1</v>
      </c>
      <c r="AK2911" t="inlineStr">
        <is>
          <t>Yes, I have</t>
        </is>
      </c>
      <c r="AL2911">
        <v>2</v>
      </c>
      <c r="AM2911" t="inlineStr">
        <is>
          <t>No, I don't need at all</t>
        </is>
      </c>
      <c r="AN2911"/>
      <c r="AO2911" t="inlineStr">
        <is>
          <t>No, I don't need at all</t>
        </is>
      </c>
      <c r="AP2911" t="inlineStr">
        <is>
          <t>Once per quarter (75%)</t>
        </is>
      </c>
      <c r="AQ2911"/>
      <c r="AR2911" t="inlineStr">
        <is>
          <t>Did not use any job portal</t>
        </is>
      </c>
      <c r="AS2911" t="inlineStr">
        <is>
          <t>- Headcount: 4
- Hiring Job Details: 4 headcounts; Selangor and Labuan; around 3 job postings for 3-5 headcounts
- Hiring Urgency: Hiring Now
- Number of outlets: 1
- Have recruiter team: Yes
- Number of recruiter in company: 2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911">
        <v>65</v>
      </c>
      <c r="AU2911" t="inlineStr">
        <is>
          <t>0.65</t>
        </is>
      </c>
      <c r="AV2911" t="inlineStr">
        <is>
          <t>5</t>
        </is>
      </c>
      <c r="AW2911" t="inlineStr">
        <is>
          <t>0</t>
        </is>
      </c>
      <c r="AX2911" t="inlineStr">
        <is>
          <t>Not Qualified</t>
        </is>
      </c>
      <c r="AY2911" s="4"/>
      <c r="AZ2911"/>
      <c r="BA2911"/>
      <c r="BB2911"/>
      <c r="BC2911" t="inlineStr">
        <is>
          <t>paid</t>
        </is>
      </c>
      <c r="BD2911" s="4">
        <v>46122.68400462963</v>
      </c>
      <c r="BE2911" t="inlineStr">
        <is>
          <t>paid</t>
        </is>
      </c>
      <c r="BF2911" t="inlineStr">
        <is>
          <t>Q2-W02</t>
        </is>
      </c>
      <c r="BG2911" t="inlineStr">
        <is>
          <t>Reschedule</t>
        </is>
      </c>
      <c r="BH2911" t="inlineStr">
        <is>
          <t>Fauziah Maharan</t>
        </is>
      </c>
      <c r="BI2911" t="inlineStr">
        <is>
          <t>Banking / Finance</t>
        </is>
      </c>
      <c r="BJ2911" s="4">
        <v>46144.75104166667</v>
      </c>
      <c r="BK2911" s="4">
        <v>44783.59101851852</v>
      </c>
      <c r="BL2911" t="inlineStr">
        <is>
          <t>4536.0</t>
        </is>
      </c>
      <c r="BM2911" t="inlineStr">
        <is>
          <t>8850.0</t>
        </is>
      </c>
      <c r="BN2911" t="inlineStr">
        <is>
          <t>Applicant Page : Send Email</t>
        </is>
      </c>
      <c r="BO2911" s="4">
        <v>46142.69016203703</v>
      </c>
      <c r="BP2911">
        <v>161306</v>
      </c>
      <c r="BQ2911">
        <v>92930</v>
      </c>
      <c r="BR2911" t="inlineStr">
        <is>
          <t>Online</t>
        </is>
      </c>
      <c r="BS2911"/>
      <c r="BT2911">
        <v>92930</v>
      </c>
      <c r="BU2911"/>
      <c r="BV2911">
        <v>2698804</v>
      </c>
      <c r="BW2911" t="inlineStr">
        <is>
          <t>Follow Up : Win - Customer Paid</t>
        </is>
      </c>
      <c r="BX2911">
        <v>6</v>
      </c>
      <c r="BY2911">
        <v>3</v>
      </c>
      <c r="BZ2911" s="4">
        <v>46125.45340277778</v>
      </c>
      <c r="CA2911">
        <v>60</v>
      </c>
      <c r="CB2911">
        <v>60</v>
      </c>
      <c r="CC2911" s="4"/>
      <c r="CD2911" t="inlineStr">
        <is>
          <t>5</t>
        </is>
      </c>
      <c r="CE2911" t="inlineStr">
        <is>
          <t>0</t>
        </is>
      </c>
      <c r="CF2911" t="inlineStr">
        <is>
          <t>Q1-W10</t>
        </is>
      </c>
      <c r="CG2911" t="inlineStr">
        <is>
          <t>Q2-W02</t>
        </is>
      </c>
      <c r="CH2911" t="inlineStr">
        <is>
          <t>Q2-W02</t>
        </is>
      </c>
      <c r="CI2911"/>
      <c r="CJ2911" t="inlineStr">
        <is>
          <t>Paid</t>
        </is>
      </c>
      <c r="CK2911" t="inlineStr">
        <is>
          <t>Eligible</t>
        </is>
      </c>
      <c r="CL2911"/>
      <c r="CM2911"/>
    </row>
    <row r="2912" ht="25.5" customHeight="1">
      <c r="A2912" t="inlineStr">
        <is>
          <t>137772</t>
        </is>
      </c>
      <c r="B2912" s="2"/>
      <c r="C2912"/>
      <c r="D2912" s="3">
        <v>46119.623020833336</v>
      </c>
      <c r="E2912" t="inlineStr">
        <is>
          <t>Q2-W01</t>
        </is>
      </c>
      <c r="F2912" t="inlineStr">
        <is>
          <t>Angel  Low</t>
        </is>
      </c>
      <c r="G2912" t="inlineStr">
        <is>
          <t>Customer</t>
        </is>
      </c>
      <c r="H2912" s="2" t="str">
        <f>=HYPERLINK("https://upbox.ajobthing.my/customer/137772", "https://upbox.ajobthing.my/customer/137772")</f>
        <v>https://upbox.ajobthing.my/customer/137772</v>
      </c>
      <c r="I2912" t="inlineStr">
        <is>
          <t>ML Automart Sdn Bhd</t>
        </is>
      </c>
      <c r="J2912" t="inlineStr">
        <is>
          <t>Whale</t>
        </is>
      </c>
      <c r="K2912" t="inlineStr">
        <is>
          <t>Angel Low</t>
        </is>
      </c>
      <c r="L2912" s="4"/>
      <c r="M2912" s="4">
        <v>46119.59069444444</v>
      </c>
      <c r="N2912"/>
      <c r="O2912">
        <v>3672</v>
      </c>
      <c r="P2912" s="4"/>
      <c r="Q2912" s="4">
        <v>46118.60539351852</v>
      </c>
      <c r="R2912"/>
      <c r="S2912">
        <v>1296</v>
      </c>
      <c r="T2912" s="4">
        <v>46118.60539351852</v>
      </c>
      <c r="U2912" s="4"/>
      <c r="V2912"/>
      <c r="W2912">
        <v>1296</v>
      </c>
      <c r="X2912"/>
      <c r="Y2912" t="inlineStr">
        <is>
          <t>Pending Appointment</t>
        </is>
      </c>
      <c r="Z2912"/>
      <c r="AA2912">
        <v>1</v>
      </c>
      <c r="AB2912" t="inlineStr">
        <is>
          <t>No Appointment Made</t>
        </is>
      </c>
      <c r="AC2912"/>
      <c r="AD2912" t="inlineStr">
        <is>
          <t xml:space="preserve">1 online sales mandarin speaker </t>
        </is>
      </c>
      <c r="AE2912"/>
      <c r="AF2912"/>
      <c r="AG2912" s="4"/>
      <c r="AH2912" s="4"/>
      <c r="AI2912"/>
      <c r="AJ2912"/>
      <c r="AK2912"/>
      <c r="AL2912"/>
      <c r="AM2912"/>
      <c r="AN2912"/>
      <c r="AO2912"/>
      <c r="AP2912"/>
      <c r="AQ2912"/>
      <c r="AR2912"/>
      <c r="AS2912" t="inlineStr">
        <is>
          <t>- Headcount: 1
- Hiring Job Details: 1 online sales mandarin speaker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912">
        <v>25</v>
      </c>
      <c r="AU2912" t="inlineStr">
        <is>
          <t>0.25</t>
        </is>
      </c>
      <c r="AV2912" t="inlineStr">
        <is>
          <t>5</t>
        </is>
      </c>
      <c r="AW2912" t="inlineStr">
        <is>
          <t>0</t>
        </is>
      </c>
      <c r="AX2912" t="inlineStr">
        <is>
          <t>Not Qualified</t>
        </is>
      </c>
      <c r="AY2912" s="4"/>
      <c r="AZ2912"/>
      <c r="BA2912"/>
      <c r="BB2912"/>
      <c r="BC2912" t="inlineStr">
        <is>
          <t>less applicant</t>
        </is>
      </c>
      <c r="BD2912" s="4">
        <v>46134.40090277778</v>
      </c>
      <c r="BE2912" t="inlineStr">
        <is>
          <t>paid</t>
        </is>
      </c>
      <c r="BF2912" t="inlineStr">
        <is>
          <t>Q2-W01</t>
        </is>
      </c>
      <c r="BG2912" t="inlineStr">
        <is>
          <t>Reschedule</t>
        </is>
      </c>
      <c r="BH2912" t="inlineStr">
        <is>
          <t>Fauziah Maharan</t>
        </is>
      </c>
      <c r="BI2912" t="inlineStr">
        <is>
          <t>Automobile / Automotive</t>
        </is>
      </c>
      <c r="BJ2912" s="4">
        <v>46144.750613425924</v>
      </c>
      <c r="BK2912" s="4">
        <v>44316.97908564815</v>
      </c>
      <c r="BL2912" t="inlineStr">
        <is>
          <t>1296.0</t>
        </is>
      </c>
      <c r="BM2912" t="inlineStr">
        <is>
          <t>0.0</t>
        </is>
      </c>
      <c r="BN2912" t="inlineStr">
        <is>
          <t>View Company Page</t>
        </is>
      </c>
      <c r="BO2912" s="4">
        <v>46136.63700231481</v>
      </c>
      <c r="BP2912">
        <v>165665</v>
      </c>
      <c r="BQ2912">
        <v>91371</v>
      </c>
      <c r="BR2912" t="inlineStr">
        <is>
          <t>Online</t>
        </is>
      </c>
      <c r="BS2912"/>
      <c r="BT2912">
        <v>91371</v>
      </c>
      <c r="BU2912"/>
      <c r="BV2912">
        <v>2719426</v>
      </c>
      <c r="BW2912" t="inlineStr">
        <is>
          <t>Service / Technical : Job Outcome Enquiry</t>
        </is>
      </c>
      <c r="BX2912">
        <v>1</v>
      </c>
      <c r="BY2912">
        <v>0</v>
      </c>
      <c r="BZ2912" s="4">
        <v>46118.61622685185</v>
      </c>
      <c r="CA2912">
        <v>10</v>
      </c>
      <c r="CB2912">
        <v>3</v>
      </c>
      <c r="CC2912" s="4">
        <v>46128.34240740741</v>
      </c>
      <c r="CD2912" t="inlineStr">
        <is>
          <t>5</t>
        </is>
      </c>
      <c r="CE2912" t="inlineStr">
        <is>
          <t>0</t>
        </is>
      </c>
      <c r="CF2912" t="inlineStr">
        <is>
          <t>Q2-W01</t>
        </is>
      </c>
      <c r="CG2912" t="inlineStr">
        <is>
          <t>Q2-W01</t>
        </is>
      </c>
      <c r="CH2912" t="inlineStr">
        <is>
          <t>Q2-W01</t>
        </is>
      </c>
      <c r="CI2912"/>
      <c r="CJ2912" t="inlineStr">
        <is>
          <t>Paid</t>
        </is>
      </c>
      <c r="CK2912" t="inlineStr">
        <is>
          <t>Eligible</t>
        </is>
      </c>
      <c r="CL2912"/>
      <c r="CM2912"/>
    </row>
    <row r="2913" ht="25.5" customHeight="1">
      <c r="A2913" t="inlineStr">
        <is>
          <t>151222</t>
        </is>
      </c>
      <c r="B2913" s="2"/>
      <c r="C2913"/>
      <c r="D2913" s="3">
        <v>46119.626435185186</v>
      </c>
      <c r="E2913" t="inlineStr">
        <is>
          <t>Q2-W01</t>
        </is>
      </c>
      <c r="F2913" t="inlineStr">
        <is>
          <t>Yvonne Lee</t>
        </is>
      </c>
      <c r="G2913" t="inlineStr">
        <is>
          <t>Customer</t>
        </is>
      </c>
      <c r="H2913" s="2" t="str">
        <f>=HYPERLINK("https://upbox.ajobthing.my/customer/151222", "https://upbox.ajobthing.my/customer/151222")</f>
        <v>https://upbox.ajobthing.my/customer/151222</v>
      </c>
      <c r="I2913" t="inlineStr">
        <is>
          <t>Airebus Sdn Bhd (aeroline)</t>
        </is>
      </c>
      <c r="J2913" t="inlineStr">
        <is>
          <t>Whale</t>
        </is>
      </c>
      <c r="K2913" t="inlineStr">
        <is>
          <t>Yvonne</t>
        </is>
      </c>
      <c r="L2913" s="4"/>
      <c r="M2913" s="4">
        <v>46119.630960648145</v>
      </c>
      <c r="N2913"/>
      <c r="O2913">
        <v>10800</v>
      </c>
      <c r="P2913" s="4"/>
      <c r="Q2913" s="4"/>
      <c r="R2913"/>
      <c r="S2913"/>
      <c r="T2913" s="4"/>
      <c r="U2913" s="4"/>
      <c r="V2913"/>
      <c r="W2913"/>
      <c r="X2913"/>
      <c r="Y2913" t="inlineStr">
        <is>
          <t>Pending Appointment</t>
        </is>
      </c>
      <c r="Z2913" t="inlineStr">
        <is>
          <t>Hiring Now</t>
        </is>
      </c>
      <c r="AA2913">
        <v>4</v>
      </c>
      <c r="AB2913" t="inlineStr">
        <is>
          <t>No Appointment Made</t>
        </is>
      </c>
      <c r="AC2913"/>
      <c r="AD2913" t="inlineStr">
        <is>
          <t>1) driver
2) cabin crew
3) mechanic
4) Coach Captain</t>
        </is>
      </c>
      <c r="AE2913"/>
      <c r="AF2913">
        <v>10000</v>
      </c>
      <c r="AG2913" s="4"/>
      <c r="AH2913" s="4"/>
      <c r="AI2913">
        <v>10000</v>
      </c>
      <c r="AJ2913">
        <v>1</v>
      </c>
      <c r="AK2913" t="inlineStr">
        <is>
          <t>Yes, I have</t>
        </is>
      </c>
      <c r="AL2913">
        <v>1</v>
      </c>
      <c r="AM2913" t="inlineStr">
        <is>
          <t>No, but I want in future</t>
        </is>
      </c>
      <c r="AN2913"/>
      <c r="AO2913" t="inlineStr">
        <is>
          <t>Yes, I have</t>
        </is>
      </c>
      <c r="AP2913" t="inlineStr">
        <is>
          <t>Every month (100%)</t>
        </is>
      </c>
      <c r="AQ2913">
        <v>20</v>
      </c>
      <c r="AR2913" t="inlineStr">
        <is>
          <t>Fast Job, Free Job Portal</t>
        </is>
      </c>
      <c r="AS2913" t="inlineStr">
        <is>
          <t>- Headcount: 4
- Hiring Job Details: 1 driver, 2 cabin crew, 3 mechanic, 4 Coach Captain
- Hiring Urgency: Hiring Now
- Number of outlets: 1
- Have recruiter team: Yes
- Number of recruiter in company: 1
- Have ATS system: No, but want in future
- Have career website: Yes
- Current hiring budget: RM10,000
- Whole year budget: RM10,000.00
- Whole year number of vacancies: 20
- Hiring frequency: Every month (100%)
- External job portal: Fast Job, Free Job Portal</t>
        </is>
      </c>
      <c r="AT2913">
        <v>100</v>
      </c>
      <c r="AU2913" t="inlineStr">
        <is>
          <t>1.00</t>
        </is>
      </c>
      <c r="AV2913" t="inlineStr">
        <is>
          <t>15</t>
        </is>
      </c>
      <c r="AW2913" t="inlineStr">
        <is>
          <t>0</t>
        </is>
      </c>
      <c r="AX2913" t="inlineStr">
        <is>
          <t>Not Qualified</t>
        </is>
      </c>
      <c r="AY2913" s="4"/>
      <c r="AZ2913"/>
      <c r="BA2913"/>
      <c r="BB2913"/>
      <c r="BC2913" t="inlineStr">
        <is>
          <t>Quotation shared.</t>
        </is>
      </c>
      <c r="BD2913" s="4">
        <v>46122.58636574074</v>
      </c>
      <c r="BE2913"/>
      <c r="BF2913"/>
      <c r="BG2913" t="inlineStr">
        <is>
          <t>Reschedule</t>
        </is>
      </c>
      <c r="BH2913" t="inlineStr">
        <is>
          <t>andy@ajobthing.com</t>
        </is>
      </c>
      <c r="BI2913"/>
      <c r="BJ2913" s="4">
        <v>46144.75087962963</v>
      </c>
      <c r="BK2913" s="4">
        <v>44649.461377314816</v>
      </c>
      <c r="BL2913" t="inlineStr">
        <is>
          <t>0.0</t>
        </is>
      </c>
      <c r="BM2913" t="inlineStr">
        <is>
          <t>12000.0</t>
        </is>
      </c>
      <c r="BN2913" t="inlineStr">
        <is>
          <t>View Create Job Page</t>
        </is>
      </c>
      <c r="BO2913" s="4">
        <v>44649.467627314814</v>
      </c>
      <c r="BP2913">
        <v>165694</v>
      </c>
      <c r="BQ2913"/>
      <c r="BR2913"/>
      <c r="BS2913"/>
      <c r="BT2913"/>
      <c r="BU2913"/>
      <c r="BV2913">
        <v>2698087</v>
      </c>
      <c r="BW2913" t="inlineStr">
        <is>
          <t>Inquire for Hiring Needs : Quotation Sent 50%</t>
        </is>
      </c>
      <c r="BX2913"/>
      <c r="BY2913"/>
      <c r="BZ2913" s="4"/>
      <c r="CA2913"/>
      <c r="CB2913"/>
      <c r="CC2913" s="4"/>
      <c r="CD2913" t="inlineStr">
        <is>
          <t>20</t>
        </is>
      </c>
      <c r="CE2913" t="inlineStr">
        <is>
          <t>0</t>
        </is>
      </c>
      <c r="CF2913" t="inlineStr">
        <is>
          <t>Q2-W01</t>
        </is>
      </c>
      <c r="CG2913"/>
      <c r="CH2913"/>
      <c r="CI2913"/>
      <c r="CJ2913" t="inlineStr">
        <is>
          <t>No Paid</t>
        </is>
      </c>
      <c r="CK2913" t="inlineStr">
        <is>
          <t>Eligible</t>
        </is>
      </c>
      <c r="CL2913"/>
      <c r="CM2913"/>
    </row>
    <row r="2914" ht="25.5" customHeight="1">
      <c r="A2914" t="inlineStr">
        <is>
          <t>168204</t>
        </is>
      </c>
      <c r="B2914" s="2"/>
      <c r="C2914"/>
      <c r="D2914" s="3">
        <v>46119.646203703705</v>
      </c>
      <c r="E2914" t="inlineStr">
        <is>
          <t>Q2-W01</t>
        </is>
      </c>
      <c r="F2914" t="inlineStr">
        <is>
          <t>Angel  Low</t>
        </is>
      </c>
      <c r="G2914" t="inlineStr">
        <is>
          <t>Customer</t>
        </is>
      </c>
      <c r="H2914" s="2" t="str">
        <f>=HYPERLINK("https://upbox.ajobthing.my/customer/168204", "https://upbox.ajobthing.my/customer/168204")</f>
        <v>https://upbox.ajobthing.my/customer/168204</v>
      </c>
      <c r="I2914" t="inlineStr">
        <is>
          <t>Cason Group Sdn Bhd</t>
        </is>
      </c>
      <c r="J2914" t="inlineStr">
        <is>
          <t>Whale</t>
        </is>
      </c>
      <c r="K2914" t="inlineStr">
        <is>
          <t>Angel Low</t>
        </is>
      </c>
      <c r="L2914" s="4"/>
      <c r="M2914" s="4">
        <v>46119.646828703706</v>
      </c>
      <c r="N2914"/>
      <c r="O2914">
        <v>5508</v>
      </c>
      <c r="P2914" s="4"/>
      <c r="Q2914" s="4">
        <v>46126.67377314815</v>
      </c>
      <c r="R2914"/>
      <c r="S2914">
        <v>3672</v>
      </c>
      <c r="T2914" s="4">
        <v>46126.67377314815</v>
      </c>
      <c r="U2914" s="4"/>
      <c r="V2914"/>
      <c r="W2914">
        <v>3672</v>
      </c>
      <c r="X2914"/>
      <c r="Y2914" t="inlineStr">
        <is>
          <t>Pending Appointment</t>
        </is>
      </c>
      <c r="Z2914"/>
      <c r="AA2914">
        <v>1</v>
      </c>
      <c r="AB2914" t="inlineStr">
        <is>
          <t>No Appointment Made</t>
        </is>
      </c>
      <c r="AC2914"/>
      <c r="AD2914" t="inlineStr">
        <is>
          <t xml:space="preserve">1 sales exec jb anf klang valley </t>
        </is>
      </c>
      <c r="AE2914"/>
      <c r="AF2914"/>
      <c r="AG2914" s="4"/>
      <c r="AH2914" s="4"/>
      <c r="AI2914"/>
      <c r="AJ2914"/>
      <c r="AK2914"/>
      <c r="AL2914"/>
      <c r="AM2914"/>
      <c r="AN2914"/>
      <c r="AO2914"/>
      <c r="AP2914"/>
      <c r="AQ2914"/>
      <c r="AR2914"/>
      <c r="AS2914" t="inlineStr">
        <is>
          <t>- Headcount: 1
- Hiring Job Details: 1 sales exec jb anf klang valley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Not provided
- Hiring Urgency: Not provided</t>
        </is>
      </c>
      <c r="AT2914">
        <v>65</v>
      </c>
      <c r="AU2914" t="inlineStr">
        <is>
          <t>0.65</t>
        </is>
      </c>
      <c r="AV2914" t="inlineStr">
        <is>
          <t>5</t>
        </is>
      </c>
      <c r="AW2914" t="inlineStr">
        <is>
          <t>0</t>
        </is>
      </c>
      <c r="AX2914" t="inlineStr">
        <is>
          <t>Not Qualified</t>
        </is>
      </c>
      <c r="AY2914" s="4"/>
      <c r="AZ2914"/>
      <c r="BA2914"/>
      <c r="BB2914"/>
      <c r="BC2914" t="inlineStr">
        <is>
          <t>pending</t>
        </is>
      </c>
      <c r="BD2914" s="4">
        <v>46126.49149305555</v>
      </c>
      <c r="BE2914" t="inlineStr">
        <is>
          <t>paid</t>
        </is>
      </c>
      <c r="BF2914" t="inlineStr">
        <is>
          <t>Q2-W02</t>
        </is>
      </c>
      <c r="BG2914" t="inlineStr">
        <is>
          <t>Reschedule</t>
        </is>
      </c>
      <c r="BH2914" t="inlineStr">
        <is>
          <t>Fauziah Maharan</t>
        </is>
      </c>
      <c r="BI2914" t="inlineStr">
        <is>
          <t>General / Wholesale Trading</t>
        </is>
      </c>
      <c r="BJ2914" s="4">
        <v>46144.75134259259</v>
      </c>
      <c r="BK2914" s="4">
        <v>45093.564259259256</v>
      </c>
      <c r="BL2914" t="inlineStr">
        <is>
          <t>8316.0</t>
        </is>
      </c>
      <c r="BM2914" t="inlineStr">
        <is>
          <t>0.0</t>
        </is>
      </c>
      <c r="BN2914" t="inlineStr">
        <is>
          <t>View Company Page</t>
        </is>
      </c>
      <c r="BO2914" s="4">
        <v>46139.48571759259</v>
      </c>
      <c r="BP2914">
        <v>165709</v>
      </c>
      <c r="BQ2914">
        <v>93432</v>
      </c>
      <c r="BR2914" t="inlineStr">
        <is>
          <t>Online</t>
        </is>
      </c>
      <c r="BS2914"/>
      <c r="BT2914">
        <v>93432</v>
      </c>
      <c r="BU2914"/>
      <c r="BV2914">
        <v>2703153</v>
      </c>
      <c r="BW2914" t="inlineStr">
        <is>
          <t>Follow Up : Payment Pending</t>
        </is>
      </c>
      <c r="BX2914">
        <v>12</v>
      </c>
      <c r="BY2914">
        <v>5</v>
      </c>
      <c r="BZ2914" s="4">
        <v>46126.71730324074</v>
      </c>
      <c r="CA2914">
        <v>120</v>
      </c>
      <c r="CB2914">
        <v>114</v>
      </c>
      <c r="CC2914" s="4">
        <v>46122.63346064815</v>
      </c>
      <c r="CD2914" t="inlineStr">
        <is>
          <t>5</t>
        </is>
      </c>
      <c r="CE2914" t="inlineStr">
        <is>
          <t>0</t>
        </is>
      </c>
      <c r="CF2914" t="inlineStr">
        <is>
          <t>Q2-W01</t>
        </is>
      </c>
      <c r="CG2914" t="inlineStr">
        <is>
          <t>Q2-W02</t>
        </is>
      </c>
      <c r="CH2914" t="inlineStr">
        <is>
          <t>Q2-W02</t>
        </is>
      </c>
      <c r="CI2914"/>
      <c r="CJ2914" t="inlineStr">
        <is>
          <t>Paid</t>
        </is>
      </c>
      <c r="CK2914" t="inlineStr">
        <is>
          <t>Eligible</t>
        </is>
      </c>
      <c r="CL2914"/>
      <c r="CM2914"/>
    </row>
    <row r="2915" ht="25.5" customHeight="1">
      <c r="A2915" t="inlineStr">
        <is>
          <t>132372</t>
        </is>
      </c>
      <c r="B2915" s="2"/>
      <c r="C2915"/>
      <c r="D2915" s="3">
        <v>46119.64791666667</v>
      </c>
      <c r="E2915" t="inlineStr">
        <is>
          <t>Q2-W01</t>
        </is>
      </c>
      <c r="F2915" t="inlineStr">
        <is>
          <t>Clover</t>
        </is>
      </c>
      <c r="G2915" t="inlineStr">
        <is>
          <t>Customer</t>
        </is>
      </c>
      <c r="H2915" s="2" t="str">
        <f>=HYPERLINK("https://upbox.ajobthing.my/customer/132372", "https://upbox.ajobthing.my/customer/132372")</f>
        <v>https://upbox.ajobthing.my/customer/132372</v>
      </c>
      <c r="I2915" t="inlineStr">
        <is>
          <t>MOM Properties Sdn Bhd</t>
        </is>
      </c>
      <c r="J2915" t="inlineStr">
        <is>
          <t>Whale</t>
        </is>
      </c>
      <c r="K2915" t="inlineStr">
        <is>
          <t>Clover</t>
        </is>
      </c>
      <c r="L2915" s="4"/>
      <c r="M2915" s="4">
        <v>46128.472349537034</v>
      </c>
      <c r="N2915"/>
      <c r="O2915">
        <v>6048</v>
      </c>
      <c r="P2915" s="4"/>
      <c r="Q2915" s="4">
        <v>46134.407488425924</v>
      </c>
      <c r="R2915"/>
      <c r="S2915">
        <v>5616</v>
      </c>
      <c r="T2915" s="4">
        <v>46134.407488425924</v>
      </c>
      <c r="U2915" s="4"/>
      <c r="V2915"/>
      <c r="W2915">
        <v>5616</v>
      </c>
      <c r="X2915"/>
      <c r="Y2915" t="inlineStr">
        <is>
          <t>Pending Appointment</t>
        </is>
      </c>
      <c r="Z2915" t="inlineStr">
        <is>
          <t>Hiring Now</t>
        </is>
      </c>
      <c r="AA2915">
        <v>4</v>
      </c>
      <c r="AB2915" t="inlineStr">
        <is>
          <t>No Appointment Made</t>
        </is>
      </c>
      <c r="AC2915"/>
      <c r="AD2915" t="inlineStr">
        <is>
          <t>Pending management update, WA first, maybe future hiring internship social media x1-2, account exec x1-2,  property panda indah, suggest pro</t>
        </is>
      </c>
      <c r="AE2915"/>
      <c r="AF2915">
        <v>5000</v>
      </c>
      <c r="AG2915" s="4"/>
      <c r="AH2915" s="4"/>
      <c r="AI2915">
        <v>5000</v>
      </c>
      <c r="AJ2915">
        <v>1</v>
      </c>
      <c r="AK2915" t="inlineStr">
        <is>
          <t>No, but I want in future</t>
        </is>
      </c>
      <c r="AL2915">
        <v>1</v>
      </c>
      <c r="AM2915" t="inlineStr">
        <is>
          <t>No, but I want in future</t>
        </is>
      </c>
      <c r="AN2915"/>
      <c r="AO2915" t="inlineStr">
        <is>
          <t>No, but I want in future</t>
        </is>
      </c>
      <c r="AP2915" t="inlineStr">
        <is>
          <t>Twice a year (50%)</t>
        </is>
      </c>
      <c r="AQ2915">
        <v>5</v>
      </c>
      <c r="AR2915" t="inlineStr">
        <is>
          <t>Did not use any job portal</t>
        </is>
      </c>
      <c r="AS2915" t="inlineStr">
        <is>
          <t>- Headcount: 4
- Hiring Job Details: Pending management update, WA first, maybe future hiring internship social media x1-2, account exec x1-2, property panda indah,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5
- Hiring frequency: Twice a year (50%)
- External job portal: Did not use any</t>
        </is>
      </c>
      <c r="AT2915">
        <v>75</v>
      </c>
      <c r="AU2915" t="inlineStr">
        <is>
          <t>0.75</t>
        </is>
      </c>
      <c r="AV2915" t="inlineStr">
        <is>
          <t>15</t>
        </is>
      </c>
      <c r="AW2915" t="inlineStr">
        <is>
          <t>0</t>
        </is>
      </c>
      <c r="AX2915" t="inlineStr">
        <is>
          <t>Not Qualified</t>
        </is>
      </c>
      <c r="AY2915" s="4"/>
      <c r="AZ2915"/>
      <c r="BA2915"/>
      <c r="BB2915"/>
      <c r="BC2915" t="inlineStr">
        <is>
          <t>service - linked</t>
        </is>
      </c>
      <c r="BD2915" s="4">
        <v>46140.43686342592</v>
      </c>
      <c r="BE2915" t="inlineStr">
        <is>
          <t>paid</t>
        </is>
      </c>
      <c r="BF2915" t="inlineStr">
        <is>
          <t>Q2-W03</t>
        </is>
      </c>
      <c r="BG2915" t="inlineStr">
        <is>
          <t>Reschedule</t>
        </is>
      </c>
      <c r="BH2915" t="inlineStr">
        <is>
          <t>Reagen</t>
        </is>
      </c>
      <c r="BI2915" t="inlineStr">
        <is>
          <t>Property / Real Estate</t>
        </is>
      </c>
      <c r="BJ2915" s="4">
        <v>46144.75050925926</v>
      </c>
      <c r="BK2915" s="4">
        <v>44174.68439814815</v>
      </c>
      <c r="BL2915" t="inlineStr">
        <is>
          <t>14277.6</t>
        </is>
      </c>
      <c r="BM2915" t="inlineStr">
        <is>
          <t>0.0</t>
        </is>
      </c>
      <c r="BN2915" t="inlineStr">
        <is>
          <t>View Company Page</t>
        </is>
      </c>
      <c r="BO2915" s="4">
        <v>46142.53635416667</v>
      </c>
      <c r="BP2915">
        <v>167349</v>
      </c>
      <c r="BQ2915">
        <v>94582</v>
      </c>
      <c r="BR2915" t="inlineStr">
        <is>
          <t>Online</t>
        </is>
      </c>
      <c r="BS2915"/>
      <c r="BT2915">
        <v>94582</v>
      </c>
      <c r="BU2915"/>
      <c r="BV2915">
        <v>2731825</v>
      </c>
      <c r="BW2915" t="inlineStr">
        <is>
          <t>Service / Technical : Help To Post Job</t>
        </is>
      </c>
      <c r="BX2915">
        <v>31</v>
      </c>
      <c r="BY2915">
        <v>14</v>
      </c>
      <c r="BZ2915" s="4">
        <v>46142.533738425926</v>
      </c>
      <c r="CA2915">
        <v>280</v>
      </c>
      <c r="CB2915">
        <v>254</v>
      </c>
      <c r="CC2915" s="4">
        <v>46140.70532407407</v>
      </c>
      <c r="CD2915" t="inlineStr">
        <is>
          <t>20</t>
        </is>
      </c>
      <c r="CE2915" t="inlineStr">
        <is>
          <t>0</t>
        </is>
      </c>
      <c r="CF2915" t="inlineStr">
        <is>
          <t>Q2-W02</t>
        </is>
      </c>
      <c r="CG2915" t="inlineStr">
        <is>
          <t>Q2-W03</t>
        </is>
      </c>
      <c r="CH2915" t="inlineStr">
        <is>
          <t>Q2-W03</t>
        </is>
      </c>
      <c r="CI2915"/>
      <c r="CJ2915" t="inlineStr">
        <is>
          <t>Paid</t>
        </is>
      </c>
      <c r="CK2915" t="inlineStr">
        <is>
          <t>Eligible</t>
        </is>
      </c>
      <c r="CL2915"/>
      <c r="CM2915"/>
    </row>
    <row r="2916" ht="25.5" customHeight="1">
      <c r="A2916" t="inlineStr">
        <is>
          <t>132372</t>
        </is>
      </c>
      <c r="B2916" s="2"/>
      <c r="C2916"/>
      <c r="D2916" s="3">
        <v>46119.65583333333</v>
      </c>
      <c r="E2916" t="inlineStr">
        <is>
          <t>Q2-W01</t>
        </is>
      </c>
      <c r="F2916" t="inlineStr">
        <is>
          <t>Clover</t>
        </is>
      </c>
      <c r="G2916" t="inlineStr">
        <is>
          <t>Customer</t>
        </is>
      </c>
      <c r="H2916" s="2" t="str">
        <f>=HYPERLINK("https://upbox.ajobthing.my/customer/132372", "https://upbox.ajobthing.my/customer/132372")</f>
        <v>https://upbox.ajobthing.my/customer/132372</v>
      </c>
      <c r="I2916" t="inlineStr">
        <is>
          <t>MOM Properties Sdn Bhd</t>
        </is>
      </c>
      <c r="J2916" t="inlineStr">
        <is>
          <t>Whale</t>
        </is>
      </c>
      <c r="K2916" t="inlineStr">
        <is>
          <t>Clover</t>
        </is>
      </c>
      <c r="L2916" s="4"/>
      <c r="M2916" s="4">
        <v>46128.472349537034</v>
      </c>
      <c r="N2916"/>
      <c r="O2916">
        <v>6048</v>
      </c>
      <c r="P2916" s="4"/>
      <c r="Q2916" s="4">
        <v>46134.407488425924</v>
      </c>
      <c r="R2916"/>
      <c r="S2916">
        <v>5616</v>
      </c>
      <c r="T2916" s="4">
        <v>46134.407488425924</v>
      </c>
      <c r="U2916" s="4"/>
      <c r="V2916"/>
      <c r="W2916">
        <v>5616</v>
      </c>
      <c r="X2916"/>
      <c r="Y2916" t="inlineStr">
        <is>
          <t>Pending Appointment</t>
        </is>
      </c>
      <c r="Z2916" t="inlineStr">
        <is>
          <t>Hiring Later</t>
        </is>
      </c>
      <c r="AA2916">
        <v>4</v>
      </c>
      <c r="AB2916" t="inlineStr">
        <is>
          <t>No Appointment Made</t>
        </is>
      </c>
      <c r="AC2916"/>
      <c r="AD2916" t="inlineStr">
        <is>
          <t>Pending management update, WA first, maybe future hiring internship social media x1-2, account exec x1-2, property panda indah, suggest pro</t>
        </is>
      </c>
      <c r="AE2916"/>
      <c r="AF2916">
        <v>5000</v>
      </c>
      <c r="AG2916" s="4"/>
      <c r="AH2916" s="4"/>
      <c r="AI2916">
        <v>5000</v>
      </c>
      <c r="AJ2916">
        <v>1</v>
      </c>
      <c r="AK2916" t="inlineStr">
        <is>
          <t>No, but I want in future</t>
        </is>
      </c>
      <c r="AL2916">
        <v>1</v>
      </c>
      <c r="AM2916" t="inlineStr">
        <is>
          <t>No, but I want in future</t>
        </is>
      </c>
      <c r="AN2916"/>
      <c r="AO2916" t="inlineStr">
        <is>
          <t>No, but I want in future</t>
        </is>
      </c>
      <c r="AP2916" t="inlineStr">
        <is>
          <t>Once per quarter (75%)</t>
        </is>
      </c>
      <c r="AQ2916">
        <v>4</v>
      </c>
      <c r="AR2916" t="inlineStr">
        <is>
          <t>Did not use any job portal</t>
        </is>
      </c>
      <c r="AS2916" t="inlineStr">
        <is>
          <t>- Headcount: 4
- Hiring Job Details: Pending management update, WA first, maybe future hiring internship social media x1-2, account exec x1-2, property panda indah, suggest 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4
- Hiring frequency: Once per quarter (75%)
- External job portal: Did not use any</t>
        </is>
      </c>
      <c r="AT2916">
        <v>75</v>
      </c>
      <c r="AU2916" t="inlineStr">
        <is>
          <t>0.75</t>
        </is>
      </c>
      <c r="AV2916" t="inlineStr">
        <is>
          <t>15</t>
        </is>
      </c>
      <c r="AW2916" t="inlineStr">
        <is>
          <t>0</t>
        </is>
      </c>
      <c r="AX2916" t="inlineStr">
        <is>
          <t>Not Qualified</t>
        </is>
      </c>
      <c r="AY2916" s="4"/>
      <c r="AZ2916"/>
      <c r="BA2916"/>
      <c r="BB2916"/>
      <c r="BC2916" t="inlineStr">
        <is>
          <t>service - linked</t>
        </is>
      </c>
      <c r="BD2916" s="4">
        <v>46140.43686342592</v>
      </c>
      <c r="BE2916" t="inlineStr">
        <is>
          <t>paid</t>
        </is>
      </c>
      <c r="BF2916" t="inlineStr">
        <is>
          <t>Q2-W03</t>
        </is>
      </c>
      <c r="BG2916" t="inlineStr">
        <is>
          <t>Reschedule</t>
        </is>
      </c>
      <c r="BH2916" t="inlineStr">
        <is>
          <t>Reagen</t>
        </is>
      </c>
      <c r="BI2916" t="inlineStr">
        <is>
          <t>Property / Real Estate</t>
        </is>
      </c>
      <c r="BJ2916" s="4">
        <v>46144.75050925926</v>
      </c>
      <c r="BK2916" s="4">
        <v>44174.68439814815</v>
      </c>
      <c r="BL2916" t="inlineStr">
        <is>
          <t>14277.6</t>
        </is>
      </c>
      <c r="BM2916" t="inlineStr">
        <is>
          <t>0.0</t>
        </is>
      </c>
      <c r="BN2916" t="inlineStr">
        <is>
          <t>View Company Page</t>
        </is>
      </c>
      <c r="BO2916" s="4">
        <v>46142.53635416667</v>
      </c>
      <c r="BP2916">
        <v>167349</v>
      </c>
      <c r="BQ2916">
        <v>94582</v>
      </c>
      <c r="BR2916" t="inlineStr">
        <is>
          <t>Online</t>
        </is>
      </c>
      <c r="BS2916"/>
      <c r="BT2916">
        <v>94582</v>
      </c>
      <c r="BU2916"/>
      <c r="BV2916">
        <v>2731825</v>
      </c>
      <c r="BW2916" t="inlineStr">
        <is>
          <t>Service / Technical : Help To Post Job</t>
        </is>
      </c>
      <c r="BX2916">
        <v>31</v>
      </c>
      <c r="BY2916">
        <v>14</v>
      </c>
      <c r="BZ2916" s="4">
        <v>46142.533738425926</v>
      </c>
      <c r="CA2916">
        <v>280</v>
      </c>
      <c r="CB2916">
        <v>254</v>
      </c>
      <c r="CC2916" s="4">
        <v>46140.70532407407</v>
      </c>
      <c r="CD2916" t="inlineStr">
        <is>
          <t>20</t>
        </is>
      </c>
      <c r="CE2916" t="inlineStr">
        <is>
          <t>0</t>
        </is>
      </c>
      <c r="CF2916" t="inlineStr">
        <is>
          <t>Q2-W02</t>
        </is>
      </c>
      <c r="CG2916" t="inlineStr">
        <is>
          <t>Q2-W03</t>
        </is>
      </c>
      <c r="CH2916" t="inlineStr">
        <is>
          <t>Q2-W03</t>
        </is>
      </c>
      <c r="CI2916"/>
      <c r="CJ2916" t="inlineStr">
        <is>
          <t>Paid</t>
        </is>
      </c>
      <c r="CK2916" t="inlineStr">
        <is>
          <t>Eligible</t>
        </is>
      </c>
      <c r="CL2916"/>
      <c r="CM2916"/>
    </row>
    <row r="2917" ht="25.5" customHeight="1">
      <c r="A2917" t="inlineStr">
        <is>
          <t>196458</t>
        </is>
      </c>
      <c r="B2917" s="2"/>
      <c r="C2917"/>
      <c r="D2917" s="3">
        <v>46119.66033564815</v>
      </c>
      <c r="E2917" t="inlineStr">
        <is>
          <t>Q2-W01</t>
        </is>
      </c>
      <c r="F2917" t="inlineStr">
        <is>
          <t>Ratha</t>
        </is>
      </c>
      <c r="G2917" t="inlineStr">
        <is>
          <t>Customer</t>
        </is>
      </c>
      <c r="H2917" s="2" t="str">
        <f>=HYPERLINK("https://upbox.ajobthing.my/customer/196458", "https://upbox.ajobthing.my/customer/196458")</f>
        <v>https://upbox.ajobthing.my/customer/196458</v>
      </c>
      <c r="I2917" t="inlineStr">
        <is>
          <t>Seng Huat Electrical &amp; Home Appliances Sdn. Bhd.</t>
        </is>
      </c>
      <c r="J2917" t="inlineStr">
        <is>
          <t>Whale</t>
        </is>
      </c>
      <c r="K2917" t="inlineStr">
        <is>
          <t>Ratha</t>
        </is>
      </c>
      <c r="L2917" s="4"/>
      <c r="M2917" s="4">
        <v>46119.66079861111</v>
      </c>
      <c r="N2917"/>
      <c r="O2917">
        <v>11448</v>
      </c>
      <c r="P2917" s="4"/>
      <c r="Q2917" s="4"/>
      <c r="R2917"/>
      <c r="S2917"/>
      <c r="T2917" s="4"/>
      <c r="U2917" s="4"/>
      <c r="V2917"/>
      <c r="W2917"/>
      <c r="X2917"/>
      <c r="Y2917" t="inlineStr">
        <is>
          <t>Pending Appointment</t>
        </is>
      </c>
      <c r="Z2917" t="inlineStr">
        <is>
          <t>Continuous Hiring</t>
        </is>
      </c>
      <c r="AA2917">
        <v>2</v>
      </c>
      <c r="AB2917" t="inlineStr">
        <is>
          <t>No Appointment Made</t>
        </is>
      </c>
      <c r="AC2917"/>
      <c r="AD2917" t="inlineStr">
        <is>
          <t>Live host, Sales
Location : a few location</t>
        </is>
      </c>
      <c r="AE2917"/>
      <c r="AF2917"/>
      <c r="AG2917" s="4"/>
      <c r="AH2917" s="4"/>
      <c r="AI2917">
        <v>0</v>
      </c>
      <c r="AJ2917">
        <v>9</v>
      </c>
      <c r="AK2917" t="inlineStr">
        <is>
          <t>Yes, I have</t>
        </is>
      </c>
      <c r="AL2917">
        <v>2</v>
      </c>
      <c r="AM2917" t="inlineStr">
        <is>
          <t>No, I don't need at all</t>
        </is>
      </c>
      <c r="AN2917"/>
      <c r="AO2917" t="inlineStr">
        <is>
          <t>Yes, I have</t>
        </is>
      </c>
      <c r="AP2917" t="inlineStr">
        <is>
          <t>Every month (100%)</t>
        </is>
      </c>
      <c r="AQ2917">
        <v>0</v>
      </c>
      <c r="AR2917" t="inlineStr">
        <is>
          <t>Jobstreet, Free Job Portal</t>
        </is>
      </c>
      <c r="AS2917" t="inlineStr">
        <is>
          <t>- Headcount: 2
- Hiring Job Details: Live host, Sales
- Hiring Urgency: Continuous Hiring
- Number of outlets: 9
- Have recruiter team: Yes
- Number of recruiter in company: 2
- Have ATS system: No, I don't need at all
- Have career website: Yes
- Current hiring budget: Not specified
- Whole year budget: RM0.00
- Whole year number of vacancies: 0
- Hiring frequency: Every month (100%)
- External job portal: Jobstreet, Free Job Portal</t>
        </is>
      </c>
      <c r="AT2917">
        <v>65</v>
      </c>
      <c r="AU2917" t="inlineStr">
        <is>
          <t>0.65</t>
        </is>
      </c>
      <c r="AV2917" t="inlineStr">
        <is>
          <t>5</t>
        </is>
      </c>
      <c r="AW2917" t="inlineStr">
        <is>
          <t>0</t>
        </is>
      </c>
      <c r="AX2917" t="inlineStr">
        <is>
          <t>Not Qualified</t>
        </is>
      </c>
      <c r="AY2917" s="4"/>
      <c r="AZ2917"/>
      <c r="BA2917"/>
      <c r="BB2917"/>
      <c r="BC2917" t="inlineStr">
        <is>
          <t>not proceed</t>
        </is>
      </c>
      <c r="BD2917" s="4">
        <v>46125.50659722222</v>
      </c>
      <c r="BE2917"/>
      <c r="BF2917"/>
      <c r="BG2917" t="inlineStr">
        <is>
          <t>Reschedule</t>
        </is>
      </c>
      <c r="BH2917" t="inlineStr">
        <is>
          <t>Fauziah Maharan</t>
        </is>
      </c>
      <c r="BI2917" t="inlineStr">
        <is>
          <t>Retail / Merchandise</t>
        </is>
      </c>
      <c r="BJ2917" s="4">
        <v>46144.75283564815</v>
      </c>
      <c r="BK2917" s="4">
        <v>45923.822546296295</v>
      </c>
      <c r="BL2917" t="inlineStr">
        <is>
          <t>0.0</t>
        </is>
      </c>
      <c r="BM2917" t="inlineStr">
        <is>
          <t>12000.0</t>
        </is>
      </c>
      <c r="BN2917" t="inlineStr">
        <is>
          <t>View Account User</t>
        </is>
      </c>
      <c r="BO2917" s="4">
        <v>46074.735555555555</v>
      </c>
      <c r="BP2917">
        <v>165728</v>
      </c>
      <c r="BQ2917"/>
      <c r="BR2917"/>
      <c r="BS2917"/>
      <c r="BT2917"/>
      <c r="BU2917"/>
      <c r="BV2917">
        <v>2700582</v>
      </c>
      <c r="BW2917" t="inlineStr">
        <is>
          <t>Follow Up : Budget Concern</t>
        </is>
      </c>
      <c r="BX2917"/>
      <c r="BY2917"/>
      <c r="BZ2917" s="4"/>
      <c r="CA2917"/>
      <c r="CB2917"/>
      <c r="CC2917" s="4"/>
      <c r="CD2917" t="inlineStr">
        <is>
          <t>5</t>
        </is>
      </c>
      <c r="CE2917" t="inlineStr">
        <is>
          <t>0</t>
        </is>
      </c>
      <c r="CF2917" t="inlineStr">
        <is>
          <t>Q2-W01</t>
        </is>
      </c>
      <c r="CG2917"/>
      <c r="CH2917"/>
      <c r="CI2917"/>
      <c r="CJ2917" t="inlineStr">
        <is>
          <t>No Paid</t>
        </is>
      </c>
      <c r="CK2917" t="inlineStr">
        <is>
          <t>Eligible</t>
        </is>
      </c>
      <c r="CL2917"/>
      <c r="CM2917"/>
    </row>
    <row r="2918" ht="25.5" customHeight="1">
      <c r="A2918" t="inlineStr">
        <is>
          <t>201954</t>
        </is>
      </c>
      <c r="B2918" s="2"/>
      <c r="C2918"/>
      <c r="D2918" s="3">
        <v>46119.660833333335</v>
      </c>
      <c r="E2918" t="inlineStr">
        <is>
          <t>Q2-W01</t>
        </is>
      </c>
      <c r="F2918" t="inlineStr">
        <is>
          <t>Ken Yi</t>
        </is>
      </c>
      <c r="G2918" t="inlineStr">
        <is>
          <t>Customer</t>
        </is>
      </c>
      <c r="H2918" s="2" t="str">
        <f>=HYPERLINK("https://upbox.ajobthing.my/customer/201954", "https://upbox.ajobthing.my/customer/201954")</f>
        <v>https://upbox.ajobthing.my/customer/201954</v>
      </c>
      <c r="I2918" t="inlineStr">
        <is>
          <t>Hime Lifestyle (Malaysia) Sdn Bhd</t>
        </is>
      </c>
      <c r="J2918" t="inlineStr">
        <is>
          <t>Whale</t>
        </is>
      </c>
      <c r="K2918" t="inlineStr">
        <is>
          <t>Kenyi</t>
        </is>
      </c>
      <c r="L2918" s="4"/>
      <c r="M2918" s="4">
        <v>46119.6583912037</v>
      </c>
      <c r="N2918"/>
      <c r="O2918">
        <v>2592</v>
      </c>
      <c r="P2918" s="4"/>
      <c r="Q2918" s="4">
        <v>46120.64166666667</v>
      </c>
      <c r="R2918"/>
      <c r="S2918">
        <v>2592</v>
      </c>
      <c r="T2918" s="4">
        <v>46120.64166666667</v>
      </c>
      <c r="U2918" s="4"/>
      <c r="V2918"/>
      <c r="W2918">
        <v>2592</v>
      </c>
      <c r="X2918"/>
      <c r="Y2918" t="inlineStr">
        <is>
          <t>Pending Appointment</t>
        </is>
      </c>
      <c r="Z2918" t="inlineStr">
        <is>
          <t>Hiring Now</t>
        </is>
      </c>
      <c r="AA2918">
        <v>3</v>
      </c>
      <c r="AB2918" t="inlineStr">
        <is>
          <t>No Appointment Made</t>
        </is>
      </c>
      <c r="AC2918"/>
      <c r="AD2918" t="inlineStr">
        <is>
          <t>Admin, operation, warehouse operation</t>
        </is>
      </c>
      <c r="AE2918"/>
      <c r="AF2918">
        <v>3000</v>
      </c>
      <c r="AG2918" s="4"/>
      <c r="AH2918" s="4"/>
      <c r="AI2918">
        <v>0</v>
      </c>
      <c r="AJ2918">
        <v>1</v>
      </c>
      <c r="AK2918" t="inlineStr">
        <is>
          <t>Yes, I have</t>
        </is>
      </c>
      <c r="AL2918">
        <v>1</v>
      </c>
      <c r="AM2918" t="inlineStr">
        <is>
          <t>No, I don't need at all</t>
        </is>
      </c>
      <c r="AN2918"/>
      <c r="AO2918" t="inlineStr">
        <is>
          <t>No, I don't need at all</t>
        </is>
      </c>
      <c r="AP2918" t="inlineStr">
        <is>
          <t>Every month (100%)</t>
        </is>
      </c>
      <c r="AQ2918">
        <v>3</v>
      </c>
      <c r="AR2918" t="inlineStr">
        <is>
          <t>Did not use any job portal</t>
        </is>
      </c>
      <c r="AS2918" t="inlineStr">
        <is>
          <t>- Headcount: 3
- Hiring Job Details: Admin, operation, warehouse operation
- Hiring Urgency: Hiring Now
- Number of outlets: 1
- Have recruiter team: Yes
- Number of recruiter in company: 1
- Have ATS system: No, I don't need at all
- Have career website: No, I don't need at all
- Current hiring budget: RM3,000
- Whole year budget: RM0.00
- Whole year number of vacancies: 3
- Hiring frequency: Every month (100%)
- External job portal: Did not use any job portal</t>
        </is>
      </c>
      <c r="AT2918">
        <v>115</v>
      </c>
      <c r="AU2918" t="inlineStr">
        <is>
          <t>1.15</t>
        </is>
      </c>
      <c r="AV2918" t="inlineStr">
        <is>
          <t>15</t>
        </is>
      </c>
      <c r="AW2918" t="inlineStr">
        <is>
          <t>0</t>
        </is>
      </c>
      <c r="AX2918" t="inlineStr">
        <is>
          <t>Not Qualified</t>
        </is>
      </c>
      <c r="AY2918" s="4"/>
      <c r="AZ2918"/>
      <c r="BA2918"/>
      <c r="BB2918"/>
      <c r="BC2918" t="inlineStr">
        <is>
          <t>help with the job posting.</t>
        </is>
      </c>
      <c r="BD2918" s="4">
        <v>46128.488912037035</v>
      </c>
      <c r="BE2918" t="inlineStr">
        <is>
          <t>paid</t>
        </is>
      </c>
      <c r="BF2918" t="inlineStr">
        <is>
          <t>Q2-W01</t>
        </is>
      </c>
      <c r="BG2918" t="inlineStr">
        <is>
          <t>Reschedule</t>
        </is>
      </c>
      <c r="BH2918" t="inlineStr">
        <is>
          <t>Fauziah Maharan</t>
        </is>
      </c>
      <c r="BI2918" t="inlineStr">
        <is>
          <t>Healthcare / Medical</t>
        </is>
      </c>
      <c r="BJ2918" s="4">
        <v>46144.753900462965</v>
      </c>
      <c r="BK2918" s="4">
        <v>46092.46556712963</v>
      </c>
      <c r="BL2918" t="inlineStr">
        <is>
          <t>6480.0</t>
        </is>
      </c>
      <c r="BM2918" t="inlineStr">
        <is>
          <t>0.0</t>
        </is>
      </c>
      <c r="BN2918" t="inlineStr">
        <is>
          <t>View Company Page</t>
        </is>
      </c>
      <c r="BO2918" s="4">
        <v>46143.93912037037</v>
      </c>
      <c r="BP2918">
        <v>165726</v>
      </c>
      <c r="BQ2918">
        <v>7593</v>
      </c>
      <c r="BR2918" t="inlineStr">
        <is>
          <t>Manual (Paid)</t>
        </is>
      </c>
      <c r="BS2918" t="inlineStr">
        <is>
          <t>AI Ala Carte
- A la carte for 3 AI Job Ad
- 3 AI Job Ad will be published on Maukerja, Ricebowl and our partner platforms
- 3 AI Job Ad will be published for 45 days
- 30 Free Candidates Profiles Unlock
- 9 Free Job Ad for any type of Intern / High Pay / Part-time / Volunteer / Freelance / Singapore Job
- Package valid for 6 months
- AI Capability
- AI Instant Match for 30 profiles
- AI Daily Talent Recommendation for 2 profiles daily for 45 days
- AI "Open to Work" Detector for 2 profiles for 10 days
- AI Smart Filter
- AI Post Job Assistant
- Ajobthing CARE</t>
        </is>
      </c>
      <c r="BT2918">
        <v>7593</v>
      </c>
      <c r="BU2918"/>
      <c r="BV2918">
        <v>2708561</v>
      </c>
      <c r="BW2918" t="inlineStr">
        <is>
          <t>Service / Technical : Job Outcome Enquiry</t>
        </is>
      </c>
      <c r="BX2918">
        <v>9</v>
      </c>
      <c r="BY2918">
        <v>1</v>
      </c>
      <c r="BZ2918" s="4">
        <v>46123.66454861111</v>
      </c>
      <c r="CA2918">
        <v>80</v>
      </c>
      <c r="CB2918">
        <v>80</v>
      </c>
      <c r="CC2918" s="4"/>
      <c r="CD2918" t="inlineStr">
        <is>
          <t>20</t>
        </is>
      </c>
      <c r="CE2918" t="inlineStr">
        <is>
          <t>0</t>
        </is>
      </c>
      <c r="CF2918" t="inlineStr">
        <is>
          <t>Q2-W01</t>
        </is>
      </c>
      <c r="CG2918" t="inlineStr">
        <is>
          <t>Q2-W01</t>
        </is>
      </c>
      <c r="CH2918" t="inlineStr">
        <is>
          <t>Q2-W01</t>
        </is>
      </c>
      <c r="CI2918"/>
      <c r="CJ2918" t="inlineStr">
        <is>
          <t>Paid</t>
        </is>
      </c>
      <c r="CK2918" t="inlineStr">
        <is>
          <t>Eligible</t>
        </is>
      </c>
      <c r="CL2918"/>
      <c r="CM2918"/>
    </row>
    <row r="2919" ht="25.5" customHeight="1">
      <c r="A2919" t="inlineStr">
        <is>
          <t>115969</t>
        </is>
      </c>
      <c r="B2919" s="2"/>
      <c r="C2919"/>
      <c r="D2919" s="3">
        <v>46119.67899305555</v>
      </c>
      <c r="E2919" t="inlineStr">
        <is>
          <t>Q2-W01</t>
        </is>
      </c>
      <c r="F2919" t="inlineStr">
        <is>
          <t>Ratha</t>
        </is>
      </c>
      <c r="G2919" t="inlineStr">
        <is>
          <t>Customer</t>
        </is>
      </c>
      <c r="H2919" s="2" t="str">
        <f>=HYPERLINK("https://upbox.ajobthing.my/customer/115969", "https://upbox.ajobthing.my/customer/115969")</f>
        <v>https://upbox.ajobthing.my/customer/115969</v>
      </c>
      <c r="I2919" t="inlineStr">
        <is>
          <t>Esprit Estate Agent Sdn Bhd</t>
        </is>
      </c>
      <c r="J2919" t="inlineStr">
        <is>
          <t>Whale</t>
        </is>
      </c>
      <c r="K2919" t="inlineStr">
        <is>
          <t>Ratha</t>
        </is>
      </c>
      <c r="L2919" s="4"/>
      <c r="M2919" s="4">
        <v>46090.75059027778</v>
      </c>
      <c r="N2919"/>
      <c r="O2919">
        <v>9936</v>
      </c>
      <c r="P2919" s="4"/>
      <c r="Q2919" s="4">
        <v>46120.788298611114</v>
      </c>
      <c r="R2919"/>
      <c r="S2919">
        <v>5508</v>
      </c>
      <c r="T2919" s="4">
        <v>46120.788298611114</v>
      </c>
      <c r="U2919" s="4"/>
      <c r="V2919"/>
      <c r="W2919">
        <v>5508</v>
      </c>
      <c r="X2919"/>
      <c r="Y2919" t="inlineStr">
        <is>
          <t>Pending Appointment</t>
        </is>
      </c>
      <c r="Z2919" t="inlineStr">
        <is>
          <t>Hiring Now</t>
        </is>
      </c>
      <c r="AA2919">
        <v>1</v>
      </c>
      <c r="AB2919" t="inlineStr">
        <is>
          <t>No Appointment Made</t>
        </is>
      </c>
      <c r="AC2919"/>
      <c r="AD2919" t="inlineStr">
        <is>
          <t>1 admin (requires English, Malay &amp; Mandarin skills; 1 to 2 years of experience)</t>
        </is>
      </c>
      <c r="AE2919"/>
      <c r="AF2919"/>
      <c r="AG2919" s="4"/>
      <c r="AH2919" s="4"/>
      <c r="AI2919">
        <v>0</v>
      </c>
      <c r="AJ2919">
        <v>1</v>
      </c>
      <c r="AK2919" t="inlineStr">
        <is>
          <t>Yes, I have</t>
        </is>
      </c>
      <c r="AL2919">
        <v>2</v>
      </c>
      <c r="AM2919" t="inlineStr">
        <is>
          <t>No, I don't need at all</t>
        </is>
      </c>
      <c r="AN2919"/>
      <c r="AO2919" t="inlineStr">
        <is>
          <t>No, I don't need at all</t>
        </is>
      </c>
      <c r="AP2919" t="inlineStr">
        <is>
          <t>Every month (100%)</t>
        </is>
      </c>
      <c r="AQ2919">
        <v>0</v>
      </c>
      <c r="AR2919" t="inlineStr">
        <is>
          <t>Did not use any job portal</t>
        </is>
      </c>
      <c r="AS2919" t="inlineStr">
        <is>
          <t>- Headcount: 1
- Hiring Job Details: 1 admin (requires English, Malay &amp; Mandarin skills; 1 to 2 years of experience)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Every month (100%)
- External job portal: Did not use any job portal</t>
        </is>
      </c>
      <c r="AT2919">
        <v>105</v>
      </c>
      <c r="AU2919" t="inlineStr">
        <is>
          <t>1.05</t>
        </is>
      </c>
      <c r="AV2919" t="inlineStr">
        <is>
          <t>5</t>
        </is>
      </c>
      <c r="AW2919" t="inlineStr">
        <is>
          <t>0</t>
        </is>
      </c>
      <c r="AX2919" t="inlineStr">
        <is>
          <t>Not Qualified</t>
        </is>
      </c>
      <c r="AY2919" s="4"/>
      <c r="AZ2919"/>
      <c r="BA2919"/>
      <c r="BB2919"/>
      <c r="BC2919" t="inlineStr">
        <is>
          <t>post job</t>
        </is>
      </c>
      <c r="BD2919" s="4">
        <v>46126.47194444444</v>
      </c>
      <c r="BE2919" t="inlineStr">
        <is>
          <t>paid</t>
        </is>
      </c>
      <c r="BF2919" t="inlineStr">
        <is>
          <t>Q2-W01</t>
        </is>
      </c>
      <c r="BG2919" t="inlineStr">
        <is>
          <t>Reschedule</t>
        </is>
      </c>
      <c r="BH2919" t="inlineStr">
        <is>
          <t>Fauziah Maharan</t>
        </is>
      </c>
      <c r="BI2919" t="inlineStr">
        <is>
          <t>Property / Real Estate</t>
        </is>
      </c>
      <c r="BJ2919" s="4">
        <v>46144.75016203704</v>
      </c>
      <c r="BK2919" s="4">
        <v>43514.65488425926</v>
      </c>
      <c r="BL2919" t="inlineStr">
        <is>
          <t>9720.0</t>
        </is>
      </c>
      <c r="BM2919" t="inlineStr">
        <is>
          <t>0.0</t>
        </is>
      </c>
      <c r="BN2919" t="inlineStr">
        <is>
          <t>View Company Page</t>
        </is>
      </c>
      <c r="BO2919" s="4">
        <v>46141.71836805555</v>
      </c>
      <c r="BP2919">
        <v>161223</v>
      </c>
      <c r="BQ2919">
        <v>92276</v>
      </c>
      <c r="BR2919" t="inlineStr">
        <is>
          <t>Online</t>
        </is>
      </c>
      <c r="BS2919"/>
      <c r="BT2919">
        <v>92276</v>
      </c>
      <c r="BU2919"/>
      <c r="BV2919">
        <v>2702986</v>
      </c>
      <c r="BW2919" t="inlineStr">
        <is>
          <t>Service / Technical : Help To Post Job</t>
        </is>
      </c>
      <c r="BX2919">
        <v>22</v>
      </c>
      <c r="BY2919">
        <v>14</v>
      </c>
      <c r="BZ2919" s="4">
        <v>46126.46895833333</v>
      </c>
      <c r="CA2919">
        <v>325</v>
      </c>
      <c r="CB2919">
        <v>318</v>
      </c>
      <c r="CC2919" s="4">
        <v>46028.37399305555</v>
      </c>
      <c r="CD2919" t="inlineStr">
        <is>
          <t>5</t>
        </is>
      </c>
      <c r="CE2919" t="inlineStr">
        <is>
          <t>0</t>
        </is>
      </c>
      <c r="CF2919" t="inlineStr">
        <is>
          <t>Q1-W10</t>
        </is>
      </c>
      <c r="CG2919" t="inlineStr">
        <is>
          <t>Q2-W01</t>
        </is>
      </c>
      <c r="CH2919" t="inlineStr">
        <is>
          <t>Q2-W01</t>
        </is>
      </c>
      <c r="CI2919"/>
      <c r="CJ2919" t="inlineStr">
        <is>
          <t>Paid</t>
        </is>
      </c>
      <c r="CK2919" t="inlineStr">
        <is>
          <t>Eligible</t>
        </is>
      </c>
      <c r="CL2919"/>
      <c r="CM2919"/>
    </row>
    <row r="2920" ht="25.5" customHeight="1">
      <c r="A2920" t="inlineStr">
        <is>
          <t>193245</t>
        </is>
      </c>
      <c r="B2920" s="2"/>
      <c r="C2920"/>
      <c r="D2920" s="3">
        <v>46119.68278935185</v>
      </c>
      <c r="E2920" t="inlineStr">
        <is>
          <t>Q2-W01</t>
        </is>
      </c>
      <c r="F2920" t="inlineStr">
        <is>
          <t>Ken Yi</t>
        </is>
      </c>
      <c r="G2920" t="inlineStr">
        <is>
          <t>Customer</t>
        </is>
      </c>
      <c r="H2920" s="2" t="str">
        <f>=HYPERLINK("https://upbox.ajobthing.my/customer/193245", "https://upbox.ajobthing.my/customer/193245")</f>
        <v>https://upbox.ajobthing.my/customer/193245</v>
      </c>
      <c r="I2920" t="inlineStr">
        <is>
          <t>Vorix Woodcraft Sdn Bhd</t>
        </is>
      </c>
      <c r="J2920" t="inlineStr">
        <is>
          <t>Whale</t>
        </is>
      </c>
      <c r="K2920" t="inlineStr">
        <is>
          <t>Kenyi</t>
        </is>
      </c>
      <c r="L2920" s="4"/>
      <c r="M2920" s="4">
        <v>46119.6787962963</v>
      </c>
      <c r="N2920"/>
      <c r="O2920">
        <v>10800</v>
      </c>
      <c r="P2920" s="4"/>
      <c r="Q2920" s="4">
        <v>46099.658229166664</v>
      </c>
      <c r="R2920"/>
      <c r="S2920">
        <v>0</v>
      </c>
      <c r="T2920" s="4">
        <v>46069.47452546296</v>
      </c>
      <c r="U2920" s="4"/>
      <c r="V2920"/>
      <c r="W2920">
        <v>1728</v>
      </c>
      <c r="X2920"/>
      <c r="Y2920" t="inlineStr">
        <is>
          <t>Pending Appointment</t>
        </is>
      </c>
      <c r="Z2920" t="inlineStr">
        <is>
          <t>Hiring Now</t>
        </is>
      </c>
      <c r="AA2920">
        <v>3</v>
      </c>
      <c r="AB2920" t="inlineStr">
        <is>
          <t>No Appointment Made</t>
        </is>
      </c>
      <c r="AC2920"/>
      <c r="AD2920" t="inlineStr">
        <is>
          <t>Machinist, Sales Designer, sales executive.</t>
        </is>
      </c>
      <c r="AE2920"/>
      <c r="AF2920">
        <v>5000</v>
      </c>
      <c r="AG2920" s="4"/>
      <c r="AH2920" s="4"/>
      <c r="AI2920">
        <v>5000</v>
      </c>
      <c r="AJ2920">
        <v>1</v>
      </c>
      <c r="AK2920" t="inlineStr">
        <is>
          <t>Yes, I have</t>
        </is>
      </c>
      <c r="AL2920">
        <v>1</v>
      </c>
      <c r="AM2920" t="inlineStr">
        <is>
          <t>No, I don't need at all</t>
        </is>
      </c>
      <c r="AN2920"/>
      <c r="AO2920" t="inlineStr">
        <is>
          <t>No, I don't need at all</t>
        </is>
      </c>
      <c r="AP2920" t="inlineStr">
        <is>
          <t>Every month (100%)</t>
        </is>
      </c>
      <c r="AQ2920">
        <v>3</v>
      </c>
      <c r="AR2920" t="inlineStr">
        <is>
          <t>Jobstreet</t>
        </is>
      </c>
      <c r="AS2920" t="inlineStr">
        <is>
          <t>- Headcount: 3
- Hiring Job Details: Machinist, Sales Designer, sales executive
- Hiring Urgency: Hiring Now
- Number of outlets: 1
- Have recruiter team: Yes
- Number of recruiter in company: 1
- Have ATS system: No, I don't need at all
- Have career website: No, I don't need at all
- Current hiring budget: RM5,000
- Whole year budget: RM5,000.00
- Whole year number of vacancies: 3
- Hiring frequency: Every month (100%)
- External job portal: Jobstreet</t>
        </is>
      </c>
      <c r="AT2920">
        <v>115</v>
      </c>
      <c r="AU2920" t="inlineStr">
        <is>
          <t>1.15</t>
        </is>
      </c>
      <c r="AV2920" t="inlineStr">
        <is>
          <t>15</t>
        </is>
      </c>
      <c r="AW2920" t="inlineStr">
        <is>
          <t>0</t>
        </is>
      </c>
      <c r="AX2920" t="inlineStr">
        <is>
          <t>Not Qualified</t>
        </is>
      </c>
      <c r="AY2920" s="4"/>
      <c r="AZ2920"/>
      <c r="BA2920"/>
      <c r="BB2920"/>
      <c r="BC2920" t="inlineStr">
        <is>
          <t>- Headcount: 3
- Hiring Job Details: Machinist, Sales Designer, sales executive
- Hiring Urgency: Hiring Now
- Number of outlets: 1
- Have recruiter team: Yes
- Number of recruiter in company: 1
- Have ATS system: No, I don't need at all
- Have career website: No, I don't need at all
- Current hiring budget: RM5,000
- Whole year budget: RM5,000.00
- Whole year number of vacancies: 3
- Hiring frequency: Every month (100%)
- External job portal: Jobstreet</t>
        </is>
      </c>
      <c r="BD2920" s="4">
        <v>46119.708391203705</v>
      </c>
      <c r="BE2920" t="inlineStr">
        <is>
          <t>paid</t>
        </is>
      </c>
      <c r="BF2920" t="inlineStr">
        <is>
          <t>Q1-W07</t>
        </is>
      </c>
      <c r="BG2920" t="inlineStr">
        <is>
          <t>Reschedule</t>
        </is>
      </c>
      <c r="BH2920" t="inlineStr">
        <is>
          <t>Fauziah Maharan</t>
        </is>
      </c>
      <c r="BI2920" t="inlineStr">
        <is>
          <t>Manufacturing / Production</t>
        </is>
      </c>
      <c r="BJ2920" s="4">
        <v>46144.75261574074</v>
      </c>
      <c r="BK2920" s="4">
        <v>45839.48167824074</v>
      </c>
      <c r="BL2920" t="inlineStr">
        <is>
          <t>8316.0</t>
        </is>
      </c>
      <c r="BM2920" t="inlineStr">
        <is>
          <t>0.0</t>
        </is>
      </c>
      <c r="BN2920" t="inlineStr">
        <is>
          <t>PA Visit - Job Card</t>
        </is>
      </c>
      <c r="BO2920" s="4">
        <v>46144.58253472222</v>
      </c>
      <c r="BP2920">
        <v>165738</v>
      </c>
      <c r="BQ2920">
        <v>117762</v>
      </c>
      <c r="BR2920" t="inlineStr">
        <is>
          <t>Proforma</t>
        </is>
      </c>
      <c r="BS2920" t="inlineStr">
        <is>
          <t>A La Carte AI Job Ad Free</t>
        </is>
      </c>
      <c r="BT2920">
        <v>87039</v>
      </c>
      <c r="BU2920"/>
      <c r="BV2920">
        <v>2690294</v>
      </c>
      <c r="BW2920" t="inlineStr">
        <is>
          <t>Customer Inquiry</t>
        </is>
      </c>
      <c r="BX2920">
        <v>12</v>
      </c>
      <c r="BY2920">
        <v>1</v>
      </c>
      <c r="BZ2920" s="4">
        <v>46140.46413194444</v>
      </c>
      <c r="CA2920">
        <v>130</v>
      </c>
      <c r="CB2920">
        <v>0</v>
      </c>
      <c r="CC2920" s="4">
        <v>46139.792662037034</v>
      </c>
      <c r="CD2920" t="inlineStr">
        <is>
          <t>20</t>
        </is>
      </c>
      <c r="CE2920" t="inlineStr">
        <is>
          <t>0</t>
        </is>
      </c>
      <c r="CF2920" t="inlineStr">
        <is>
          <t>Q2-W01</t>
        </is>
      </c>
      <c r="CG2920" t="inlineStr">
        <is>
          <t>Q1-W11</t>
        </is>
      </c>
      <c r="CH2920" t="inlineStr">
        <is>
          <t>Q1-W07</t>
        </is>
      </c>
      <c r="CI2920"/>
      <c r="CJ2920" t="inlineStr">
        <is>
          <t>Paid</t>
        </is>
      </c>
      <c r="CK2920" t="inlineStr">
        <is>
          <t>Eligible</t>
        </is>
      </c>
      <c r="CL2920"/>
      <c r="CM2920"/>
    </row>
    <row r="2921" ht="25.5" customHeight="1">
      <c r="A2921" t="inlineStr">
        <is>
          <t>154352</t>
        </is>
      </c>
      <c r="B2921" s="2"/>
      <c r="C2921"/>
      <c r="D2921" s="3">
        <v>46119.695497685185</v>
      </c>
      <c r="E2921" t="inlineStr">
        <is>
          <t>Q2-W01</t>
        </is>
      </c>
      <c r="F2921" t="inlineStr">
        <is>
          <t>Yvonne Lee</t>
        </is>
      </c>
      <c r="G2921" t="inlineStr">
        <is>
          <t>Customer</t>
        </is>
      </c>
      <c r="H2921" s="2" t="str">
        <f>=HYPERLINK("https://upbox.ajobthing.my/customer/154352", "https://upbox.ajobthing.my/customer/154352")</f>
        <v>https://upbox.ajobthing.my/customer/154352</v>
      </c>
      <c r="I2921" t="inlineStr">
        <is>
          <t>EHH Food Industry Sdn Bhd</t>
        </is>
      </c>
      <c r="J2921" t="inlineStr">
        <is>
          <t>Whale</t>
        </is>
      </c>
      <c r="K2921" t="inlineStr">
        <is>
          <t>Yvonne</t>
        </is>
      </c>
      <c r="L2921" s="4"/>
      <c r="M2921" s="4">
        <v>46135.496099537035</v>
      </c>
      <c r="N2921"/>
      <c r="O2921">
        <v>12960</v>
      </c>
      <c r="P2921" s="4"/>
      <c r="Q2921" s="4">
        <v>46135.67895833333</v>
      </c>
      <c r="R2921"/>
      <c r="S2921">
        <v>0</v>
      </c>
      <c r="T2921" s="4">
        <v>44705.40638888889</v>
      </c>
      <c r="U2921" s="4"/>
      <c r="V2921"/>
      <c r="W2921">
        <v>2120</v>
      </c>
      <c r="X2921"/>
      <c r="Y2921" t="inlineStr">
        <is>
          <t>Pending Appointment</t>
        </is>
      </c>
      <c r="Z2921" t="inlineStr">
        <is>
          <t>Hiring Now</t>
        </is>
      </c>
      <c r="AA2921">
        <v>3</v>
      </c>
      <c r="AB2921" t="inlineStr">
        <is>
          <t>No Appointment Made</t>
        </is>
      </c>
      <c r="AC2921"/>
      <c r="AD2921" t="inlineStr">
        <is>
          <t>1) Sales Executive
2) IT Executive
3) Coordinator 
</t>
        </is>
      </c>
      <c r="AE2921"/>
      <c r="AF2921">
        <v>8000</v>
      </c>
      <c r="AG2921" s="4"/>
      <c r="AH2921" s="4"/>
      <c r="AI2921">
        <v>8000</v>
      </c>
      <c r="AJ2921">
        <v>1</v>
      </c>
      <c r="AK2921" t="inlineStr">
        <is>
          <t>Yes, I have</t>
        </is>
      </c>
      <c r="AL2921">
        <v>2</v>
      </c>
      <c r="AM2921" t="inlineStr">
        <is>
          <t>No, I don't need at all</t>
        </is>
      </c>
      <c r="AN2921"/>
      <c r="AO2921" t="inlineStr">
        <is>
          <t>Yes, I have</t>
        </is>
      </c>
      <c r="AP2921" t="inlineStr">
        <is>
          <t>Once per quarter (75%)</t>
        </is>
      </c>
      <c r="AQ2921">
        <v>10</v>
      </c>
      <c r="AR2921" t="inlineStr">
        <is>
          <t>Jobstreet, Free Job Portal</t>
        </is>
      </c>
      <c r="AS2921" t="inlineStr">
        <is>
          <t>- Headcount: 3
- Hiring Job Details: 1 Sales Executive, 1 IT Executive, 1 Coordinator
- Hiring Urgency: Hiring Now
- Number of outlets: 1
- Have recruiter team: Yes
- Number of recruiter in company: 2
- Have ATS system: No, I don't need at all
- Have career website: Yes
- Current hiring budget: RM8,000
- Whole year budget: RM8,000.00
- Whole year number of vacancies: 10
- Hiring frequency: Once per quarter (75%)
- External job portal: Jobstreet, Free Job Portal</t>
        </is>
      </c>
      <c r="AT2921">
        <v>115</v>
      </c>
      <c r="AU2921" t="inlineStr">
        <is>
          <t>1.15</t>
        </is>
      </c>
      <c r="AV2921" t="inlineStr">
        <is>
          <t>15</t>
        </is>
      </c>
      <c r="AW2921" t="inlineStr">
        <is>
          <t>0</t>
        </is>
      </c>
      <c r="AX2921" t="inlineStr">
        <is>
          <t>Not Qualified</t>
        </is>
      </c>
      <c r="AY2921" s="4"/>
      <c r="AZ2921"/>
      <c r="BA2921"/>
      <c r="BB2921"/>
      <c r="BC2921" t="inlineStr">
        <is>
          <t>discuss to pump more posting for the free trial.</t>
        </is>
      </c>
      <c r="BD2921" s="4">
        <v>46142.41048611111</v>
      </c>
      <c r="BE2921" t="inlineStr">
        <is>
          <t>paid</t>
        </is>
      </c>
      <c r="BF2921"/>
      <c r="BG2921" t="inlineStr">
        <is>
          <t>Reschedule</t>
        </is>
      </c>
      <c r="BH2921" t="inlineStr">
        <is>
          <t>andy@ajobthing.com</t>
        </is>
      </c>
      <c r="BI2921" t="inlineStr">
        <is>
          <t>Food / Beverage</t>
        </is>
      </c>
      <c r="BJ2921" s="4">
        <v>46144.7509375</v>
      </c>
      <c r="BK2921" s="4">
        <v>44701.456099537034</v>
      </c>
      <c r="BL2921" t="inlineStr">
        <is>
          <t>0.0</t>
        </is>
      </c>
      <c r="BM2921" t="inlineStr">
        <is>
          <t>8400.0</t>
        </is>
      </c>
      <c r="BN2921" t="inlineStr">
        <is>
          <t>View Company Page</t>
        </is>
      </c>
      <c r="BO2921" s="4">
        <v>46140.63972222222</v>
      </c>
      <c r="BP2921">
        <v>168506</v>
      </c>
      <c r="BQ2921">
        <v>123622</v>
      </c>
      <c r="BR2921" t="inlineStr">
        <is>
          <t>Proforma</t>
        </is>
      </c>
      <c r="BS2921" t="inlineStr">
        <is>
          <t>Job Ad 365 - SME 100 Free Trial</t>
        </is>
      </c>
      <c r="BT2921">
        <v>45283</v>
      </c>
      <c r="BU2921"/>
      <c r="BV2921">
        <v>2736587</v>
      </c>
      <c r="BW2921" t="inlineStr">
        <is>
          <t>Inquire for Hiring Needs : Budget Concern</t>
        </is>
      </c>
      <c r="BX2921">
        <v>300</v>
      </c>
      <c r="BY2921">
        <v>282</v>
      </c>
      <c r="BZ2921" s="4">
        <v>46140.63569444444</v>
      </c>
      <c r="CA2921">
        <v>13</v>
      </c>
      <c r="CB2921">
        <v>13</v>
      </c>
      <c r="CC2921" s="4"/>
      <c r="CD2921" t="inlineStr">
        <is>
          <t>20</t>
        </is>
      </c>
      <c r="CE2921" t="inlineStr">
        <is>
          <t>0</t>
        </is>
      </c>
      <c r="CF2921" t="inlineStr">
        <is>
          <t>Q2-W03</t>
        </is>
      </c>
      <c r="CG2921" t="inlineStr">
        <is>
          <t>Q2-W03</t>
        </is>
      </c>
      <c r="CH2921"/>
      <c r="CI2921"/>
      <c r="CJ2921" t="inlineStr">
        <is>
          <t>Paid</t>
        </is>
      </c>
      <c r="CK2921" t="inlineStr">
        <is>
          <t>Eligible</t>
        </is>
      </c>
      <c r="CL2921"/>
      <c r="CM2921"/>
    </row>
    <row r="2922" ht="25.5" customHeight="1">
      <c r="A2922" t="inlineStr">
        <is>
          <t>148179</t>
        </is>
      </c>
      <c r="B2922" s="2"/>
      <c r="C2922"/>
      <c r="D2922" s="3">
        <v>46119.72320601852</v>
      </c>
      <c r="E2922" t="inlineStr">
        <is>
          <t>Q2-W01</t>
        </is>
      </c>
      <c r="F2922" t="inlineStr">
        <is>
          <t>Yuli</t>
        </is>
      </c>
      <c r="G2922" t="inlineStr">
        <is>
          <t>Customer</t>
        </is>
      </c>
      <c r="H2922" s="2" t="str">
        <f>=HYPERLINK("https://upbox.ajobthing.my/customer/148179", "https://upbox.ajobthing.my/customer/148179")</f>
        <v>https://upbox.ajobthing.my/customer/148179</v>
      </c>
      <c r="I2922" t="inlineStr">
        <is>
          <t xml:space="preserve"> Panda Eyes Sdn Bhd</t>
        </is>
      </c>
      <c r="J2922" t="inlineStr">
        <is>
          <t>Whale</t>
        </is>
      </c>
      <c r="K2922" t="inlineStr">
        <is>
          <t>YuLi</t>
        </is>
      </c>
      <c r="L2922" s="4"/>
      <c r="M2922" s="4">
        <v>46119.72217592593</v>
      </c>
      <c r="N2922"/>
      <c r="O2922">
        <v>10800</v>
      </c>
      <c r="P2922" s="4"/>
      <c r="Q2922" s="4">
        <v>45805.44243055556</v>
      </c>
      <c r="R2922"/>
      <c r="S2922">
        <v>5508</v>
      </c>
      <c r="T2922" s="4">
        <v>45805.44243055556</v>
      </c>
      <c r="U2922" s="4"/>
      <c r="V2922"/>
      <c r="W2922">
        <v>5508</v>
      </c>
      <c r="X2922"/>
      <c r="Y2922" t="inlineStr">
        <is>
          <t>Pending Appointment</t>
        </is>
      </c>
      <c r="Z2922" t="inlineStr">
        <is>
          <t>Hiring Now</t>
        </is>
      </c>
      <c r="AA2922">
        <v>0</v>
      </c>
      <c r="AB2922" t="inlineStr">
        <is>
          <t>No Appointment Made</t>
        </is>
      </c>
      <c r="AC2922"/>
      <c r="AD2922" t="inlineStr">
        <is>
          <t>Retail Industry</t>
        </is>
      </c>
      <c r="AE2922"/>
      <c r="AF2922">
        <v>7200</v>
      </c>
      <c r="AG2922" s="4"/>
      <c r="AH2922" s="4"/>
      <c r="AI2922"/>
      <c r="AJ2922"/>
      <c r="AK2922" t="inlineStr">
        <is>
          <t>Yes, I have</t>
        </is>
      </c>
      <c r="AL2922">
        <v>1</v>
      </c>
      <c r="AM2922"/>
      <c r="AN2922"/>
      <c r="AO2922"/>
      <c r="AP2922" t="inlineStr">
        <is>
          <t>Every month (100%)</t>
        </is>
      </c>
      <c r="AQ2922"/>
      <c r="AR2922" t="inlineStr">
        <is>
          <t>Jobstreet, Free Job Portal</t>
        </is>
      </c>
      <c r="AS2922" t="inlineStr">
        <is>
          <t>- Headcount: 0
- Hiring Job Details: Retail Industry
- Hiring Urgency: Hiring Now
- Number of outlets: Not provided
- Have recruiter team: Yes
- Number of recruiter in company: 1
- Have ATS system: Not provided
- Have career website: Not provided
- Current hiring budget: RM7,200.00
- Whole year budget: Not provided
- Whole year number of vacancies: Not provided
- Hiring frequency: Every month (100%)
- External job portal: Jobstreet, Free Job Portal</t>
        </is>
      </c>
      <c r="AT2922">
        <v>50</v>
      </c>
      <c r="AU2922" t="inlineStr">
        <is>
          <t>0.50</t>
        </is>
      </c>
      <c r="AV2922" t="inlineStr">
        <is>
          <t>15</t>
        </is>
      </c>
      <c r="AW2922" t="inlineStr">
        <is>
          <t>0</t>
        </is>
      </c>
      <c r="AX2922" t="inlineStr">
        <is>
          <t>Not Qualified</t>
        </is>
      </c>
      <c r="AY2922" s="4"/>
      <c r="AZ2922"/>
      <c r="BA2922"/>
      <c r="BB2922"/>
      <c r="BC2922" t="inlineStr">
        <is>
          <t>Received message from Ms. Lam mentioned the job application is inreleavnt.</t>
        </is>
      </c>
      <c r="BD2922" s="4">
        <v>46133.98454861111</v>
      </c>
      <c r="BE2922" t="inlineStr">
        <is>
          <t>paid</t>
        </is>
      </c>
      <c r="BF2922"/>
      <c r="BG2922" t="inlineStr">
        <is>
          <t>Reschedule</t>
        </is>
      </c>
      <c r="BH2922" t="inlineStr">
        <is>
          <t>Fauziah Maharan</t>
        </is>
      </c>
      <c r="BI2922" t="inlineStr">
        <is>
          <t>Retail / Merchandise</t>
        </is>
      </c>
      <c r="BJ2922" s="4">
        <v>46144.75079861111</v>
      </c>
      <c r="BK2922" s="4">
        <v>44601.66820601852</v>
      </c>
      <c r="BL2922" t="inlineStr">
        <is>
          <t>5508.0</t>
        </is>
      </c>
      <c r="BM2922" t="inlineStr">
        <is>
          <t>7200.0</t>
        </is>
      </c>
      <c r="BN2922" t="inlineStr">
        <is>
          <t>User Visit(Logged In)</t>
        </is>
      </c>
      <c r="BO2922" s="4">
        <v>46141.348020833335</v>
      </c>
      <c r="BP2922">
        <v>165776</v>
      </c>
      <c r="BQ2922">
        <v>5849</v>
      </c>
      <c r="BR2922" t="inlineStr">
        <is>
          <t>Manual (Paid)</t>
        </is>
      </c>
      <c r="BS2922" t="inlineStr">
        <is>
          <t>Job Slot SME-RM 500 discount
- Job Slot SME of 2 Job Slot + 1 Free Job Slot
- 3 Job Slot will be published on Maukerja, Ricebowl, and our partner platforms
- 3 Job Slot will be published for 1 year
- 200 People Search
- Premium Company Page for 12 months
- Package valid for 12 months
- 3 Free Upgrade to Premium Job Ad
- Free Company Page Consultation</t>
        </is>
      </c>
      <c r="BT2922">
        <v>5849</v>
      </c>
      <c r="BU2922"/>
      <c r="BV2922">
        <v>2719296</v>
      </c>
      <c r="BW2922" t="inlineStr">
        <is>
          <t>Service / Technical : Job Complaint - Report To Marketing</t>
        </is>
      </c>
      <c r="BX2922">
        <v>3</v>
      </c>
      <c r="BY2922">
        <v>-21</v>
      </c>
      <c r="BZ2922" s="4">
        <v>46135.8871875</v>
      </c>
      <c r="CA2922">
        <v>245</v>
      </c>
      <c r="CB2922">
        <v>45</v>
      </c>
      <c r="CC2922" s="4">
        <v>46062.529756944445</v>
      </c>
      <c r="CD2922" t="inlineStr">
        <is>
          <t>20</t>
        </is>
      </c>
      <c r="CE2922" t="inlineStr">
        <is>
          <t>0</t>
        </is>
      </c>
      <c r="CF2922" t="inlineStr">
        <is>
          <t>Q2-W01</t>
        </is>
      </c>
      <c r="CG2922"/>
      <c r="CH2922"/>
      <c r="CI2922"/>
      <c r="CJ2922" t="inlineStr">
        <is>
          <t>Paid</t>
        </is>
      </c>
      <c r="CK2922" t="inlineStr">
        <is>
          <t>Eligible</t>
        </is>
      </c>
      <c r="CL2922"/>
      <c r="CM2922"/>
    </row>
    <row r="2923" ht="25.5" customHeight="1">
      <c r="A2923" t="inlineStr">
        <is>
          <t>21153</t>
        </is>
      </c>
      <c r="B2923" s="2"/>
      <c r="C2923"/>
      <c r="D2923" s="3">
        <v>46120.42061342593</v>
      </c>
      <c r="E2923" t="inlineStr">
        <is>
          <t>Q2-W01</t>
        </is>
      </c>
      <c r="F2923" t="inlineStr">
        <is>
          <t>Yvonne Lee</t>
        </is>
      </c>
      <c r="G2923" t="inlineStr">
        <is>
          <t>Customer</t>
        </is>
      </c>
      <c r="H2923" s="2" t="str">
        <f>=HYPERLINK("https://upbox.ajobthing.my/customer/21153", "https://upbox.ajobthing.my/customer/21153")</f>
        <v>https://upbox.ajobthing.my/customer/21153</v>
      </c>
      <c r="I2923" t="inlineStr">
        <is>
          <t>Alpha Industries Sdn Bhd</t>
        </is>
      </c>
      <c r="J2923" t="inlineStr">
        <is>
          <t>Whale</t>
        </is>
      </c>
      <c r="K2923" t="inlineStr">
        <is>
          <t>Yvonne</t>
        </is>
      </c>
      <c r="L2923" s="4"/>
      <c r="M2923" s="4">
        <v>46120.42261574074</v>
      </c>
      <c r="N2923"/>
      <c r="O2923">
        <v>6048</v>
      </c>
      <c r="P2923" s="4"/>
      <c r="Q2923" s="4"/>
      <c r="R2923"/>
      <c r="S2923"/>
      <c r="T2923" s="4"/>
      <c r="U2923" s="4"/>
      <c r="V2923"/>
      <c r="W2923"/>
      <c r="X2923"/>
      <c r="Y2923" t="inlineStr">
        <is>
          <t>Pending Appointment</t>
        </is>
      </c>
      <c r="Z2923" t="inlineStr">
        <is>
          <t>Hiring Now</t>
        </is>
      </c>
      <c r="AA2923">
        <v>1</v>
      </c>
      <c r="AB2923" t="inlineStr">
        <is>
          <t>No Appointment Made</t>
        </is>
      </c>
      <c r="AC2923"/>
      <c r="AD2923" t="inlineStr">
        <is>
          <t>1) leader production</t>
        </is>
      </c>
      <c r="AE2923"/>
      <c r="AF2923">
        <v>6000</v>
      </c>
      <c r="AG2923" s="4"/>
      <c r="AH2923" s="4"/>
      <c r="AI2923">
        <v>6000</v>
      </c>
      <c r="AJ2923">
        <v>1</v>
      </c>
      <c r="AK2923" t="inlineStr">
        <is>
          <t>Yes, I have</t>
        </is>
      </c>
      <c r="AL2923">
        <v>2</v>
      </c>
      <c r="AM2923" t="inlineStr">
        <is>
          <t>No, but I want in future</t>
        </is>
      </c>
      <c r="AN2923"/>
      <c r="AO2923" t="inlineStr">
        <is>
          <t>Yes, I have</t>
        </is>
      </c>
      <c r="AP2923" t="inlineStr">
        <is>
          <t>Once per quarter (75%)</t>
        </is>
      </c>
      <c r="AQ2923">
        <v>6</v>
      </c>
      <c r="AR2923" t="inlineStr">
        <is>
          <t>Jobstreet, Free Job Portal</t>
        </is>
      </c>
      <c r="AS2923" t="inlineStr">
        <is>
          <t>- Headcount: 1
- Hiring Job Details: 1 leader production
- Hiring Urgency: Hiring Now
- Number of outlets: 1
- Have recruiter team: Yes
- Number of recruiter in company: 2
- Have ATS system: No, but want in future
- Have career website: Yes
- Current hiring budget: RM6,000.00
- Whole year budget: RM6,000.00
- Whole year number of vacancies: 6
- Hiring frequency: Once per quarter (75%)
- External job portal: Jobstreet, Free Job Portal</t>
        </is>
      </c>
      <c r="AT2923">
        <v>115</v>
      </c>
      <c r="AU2923" t="inlineStr">
        <is>
          <t>1.15</t>
        </is>
      </c>
      <c r="AV2923" t="inlineStr">
        <is>
          <t>15</t>
        </is>
      </c>
      <c r="AW2923" t="inlineStr">
        <is>
          <t>0</t>
        </is>
      </c>
      <c r="AX2923" t="inlineStr">
        <is>
          <t>Not Qualified</t>
        </is>
      </c>
      <c r="AY2923" s="4"/>
      <c r="AZ2923"/>
      <c r="BA2923"/>
      <c r="BB2923"/>
      <c r="BC2923" t="inlineStr">
        <is>
          <t>offering for trial 3 months but need to seek management approval first.</t>
        </is>
      </c>
      <c r="BD2923" s="4">
        <v>46133.747766203705</v>
      </c>
      <c r="BE2923"/>
      <c r="BF2923"/>
      <c r="BG2923" t="inlineStr">
        <is>
          <t>Reschedule</t>
        </is>
      </c>
      <c r="BH2923" t="inlineStr">
        <is>
          <t>andy@ajobthing.com</t>
        </is>
      </c>
      <c r="BI2923" t="inlineStr">
        <is>
          <t>Manufacturing / Production</t>
        </is>
      </c>
      <c r="BJ2923" s="4">
        <v>46144.7544212963</v>
      </c>
      <c r="BK2923" s="4">
        <v>42478.85666666667</v>
      </c>
      <c r="BL2923" t="inlineStr">
        <is>
          <t>0.0</t>
        </is>
      </c>
      <c r="BM2923" t="inlineStr">
        <is>
          <t>6000.0</t>
        </is>
      </c>
      <c r="BN2923"/>
      <c r="BO2923" s="4"/>
      <c r="BP2923">
        <v>165823</v>
      </c>
      <c r="BQ2923"/>
      <c r="BR2923"/>
      <c r="BS2923"/>
      <c r="BT2923"/>
      <c r="BU2923"/>
      <c r="BV2923">
        <v>2719192</v>
      </c>
      <c r="BW2923" t="inlineStr">
        <is>
          <t>Inquire for Hiring Needs : Budget Concern</t>
        </is>
      </c>
      <c r="BX2923"/>
      <c r="BY2923"/>
      <c r="BZ2923" s="4"/>
      <c r="CA2923"/>
      <c r="CB2923"/>
      <c r="CC2923" s="4"/>
      <c r="CD2923" t="inlineStr">
        <is>
          <t>20</t>
        </is>
      </c>
      <c r="CE2923" t="inlineStr">
        <is>
          <t>0</t>
        </is>
      </c>
      <c r="CF2923" t="inlineStr">
        <is>
          <t>Q2-W01</t>
        </is>
      </c>
      <c r="CG2923"/>
      <c r="CH2923"/>
      <c r="CI2923"/>
      <c r="CJ2923" t="inlineStr">
        <is>
          <t>No Paid</t>
        </is>
      </c>
      <c r="CK2923" t="inlineStr">
        <is>
          <t>Eligible</t>
        </is>
      </c>
      <c r="CL2923"/>
      <c r="CM2923"/>
    </row>
    <row r="2924" ht="25.5" customHeight="1">
      <c r="A2924" t="inlineStr">
        <is>
          <t>187933</t>
        </is>
      </c>
      <c r="B2924" s="2"/>
      <c r="C2924"/>
      <c r="D2924" s="3">
        <v>46120.42265046296</v>
      </c>
      <c r="E2924" t="inlineStr">
        <is>
          <t>Q2-W01</t>
        </is>
      </c>
      <c r="F2924" t="inlineStr">
        <is>
          <t>andy@ajobthing.com</t>
        </is>
      </c>
      <c r="G2924" t="inlineStr">
        <is>
          <t>Customer</t>
        </is>
      </c>
      <c r="H2924" s="2" t="str">
        <f>=HYPERLINK("https://upbox.ajobthing.my/customer/187933", "https://upbox.ajobthing.my/customer/187933")</f>
        <v>https://upbox.ajobthing.my/customer/187933</v>
      </c>
      <c r="I2924" t="inlineStr">
        <is>
          <t>Agensi Pekerjaan Pasona Sdn Bhd</t>
        </is>
      </c>
      <c r="J2924" t="inlineStr">
        <is>
          <t>Whale</t>
        </is>
      </c>
      <c r="K2924" t="inlineStr">
        <is>
          <t>Andy</t>
        </is>
      </c>
      <c r="L2924" s="4"/>
      <c r="M2924" s="4">
        <v>46120.480162037034</v>
      </c>
      <c r="N2924"/>
      <c r="O2924">
        <v>12960</v>
      </c>
      <c r="P2924" s="4"/>
      <c r="Q2924" s="4">
        <v>46119.28712962963</v>
      </c>
      <c r="R2924"/>
      <c r="S2924">
        <v>0</v>
      </c>
      <c r="T2924" s="4"/>
      <c r="U2924" s="4"/>
      <c r="V2924"/>
      <c r="W2924"/>
      <c r="X2924" t="inlineStr">
        <is>
          <t>andy@ajobthing.com</t>
        </is>
      </c>
      <c r="Y2924" t="inlineStr">
        <is>
          <t>Done Appointment</t>
        </is>
      </c>
      <c r="Z2924" t="inlineStr">
        <is>
          <t>Continuous Hiring</t>
        </is>
      </c>
      <c r="AA2924">
        <v>2</v>
      </c>
      <c r="AB2924" t="inlineStr">
        <is>
          <t>Appointment Made</t>
        </is>
      </c>
      <c r="AC2924" t="inlineStr">
        <is>
          <t>SME (&lt;50 employees)</t>
        </is>
      </c>
      <c r="AD2924" t="inlineStr">
        <is>
          <t xml:space="preserve">mixture of executive roles, and japanese speaker </t>
        </is>
      </c>
      <c r="AE2924" t="inlineStr">
        <is>
          <t>HR Manager / Talent Manager</t>
        </is>
      </c>
      <c r="AF2924">
        <v>50000</v>
      </c>
      <c r="AG2924" s="4">
        <v>46120.395833333336</v>
      </c>
      <c r="AH2924" s="4">
        <v>46120.416666666664</v>
      </c>
      <c r="AI2924">
        <v>100000</v>
      </c>
      <c r="AJ2924">
        <v>1</v>
      </c>
      <c r="AK2924" t="inlineStr">
        <is>
          <t>Yes, I have</t>
        </is>
      </c>
      <c r="AL2924">
        <v>10</v>
      </c>
      <c r="AM2924" t="inlineStr">
        <is>
          <t>Yes, I have</t>
        </is>
      </c>
      <c r="AN2924" t="inlineStr">
        <is>
          <t>Other</t>
        </is>
      </c>
      <c r="AO2924" t="inlineStr">
        <is>
          <t>Yes, I have</t>
        </is>
      </c>
      <c r="AP2924" t="inlineStr">
        <is>
          <t>Every month (100%)</t>
        </is>
      </c>
      <c r="AQ2924">
        <v>500</v>
      </c>
      <c r="AR2924" t="inlineStr">
        <is>
          <t>Jobstreet</t>
        </is>
      </c>
      <c r="AS2924" t="inlineStr">
        <is>
          <t>- Headcount: 2
- Hiring Job Details: mixture of executive roles, and japanese speaker
- Hiring Urgency: Continuous Hiring
- Number of outlets: 1
- Have recruiter team: Yes
- Number of recruiter in company: 10
- Have ATS system: Yes
- Have career website: Yes
- Current hiring budget: RM50,000
- Whole year budget: RM100,000.00
- Whole year number of vacancies: 500
- Hiring frequency: Every month (100%)
- External job portal: Jobstreet</t>
        </is>
      </c>
      <c r="AT2924">
        <v>85</v>
      </c>
      <c r="AU2924" t="inlineStr">
        <is>
          <t>0.85</t>
        </is>
      </c>
      <c r="AV2924" t="inlineStr">
        <is>
          <t>45</t>
        </is>
      </c>
      <c r="AW2924" t="inlineStr">
        <is>
          <t>0.5</t>
        </is>
      </c>
      <c r="AX2924" t="inlineStr">
        <is>
          <t>Not Qualified</t>
        </is>
      </c>
      <c r="AY2924" s="4">
        <v>46120.442708333336</v>
      </c>
      <c r="AZ2924" t="inlineStr">
        <is>
          <t>Base Assistant</t>
        </is>
      </c>
      <c r="BA2924"/>
      <c r="BB2924"/>
      <c r="BC2924" t="inlineStr">
        <is>
          <t>- Headcount: 2
- Hiring Job Details: mixture of executive roles, and japanese speaker
- Hiring Urgency: Continuous Hiring
- Number of outlets: 1
- Have recruiter team: Yes
- Number of recruiter in company: 10
- Have ATS system: Yes
- Have career website: Yes
- Current hiring budget: RM50,000
- Whole year budget: RM100,000.00
- Whole year number of vacancies: 500
- Hiring frequency: Every month (100%)
- External job portal: Jobstreet</t>
        </is>
      </c>
      <c r="BD2924" s="4">
        <v>46120.458344907405</v>
      </c>
      <c r="BE2924" t="inlineStr">
        <is>
          <t>paid</t>
        </is>
      </c>
      <c r="BF2924"/>
      <c r="BG2924" t="inlineStr">
        <is>
          <t>Reschedule</t>
        </is>
      </c>
      <c r="BH2924"/>
      <c r="BI2924" t="inlineStr">
        <is>
          <t>HR Mgmt / Consulting</t>
        </is>
      </c>
      <c r="BJ2924" s="4">
        <v>46144.75219907407</v>
      </c>
      <c r="BK2924" s="4">
        <v>45708.44106481481</v>
      </c>
      <c r="BL2924" t="inlineStr">
        <is>
          <t>0.0</t>
        </is>
      </c>
      <c r="BM2924" t="inlineStr">
        <is>
          <t>74400.0</t>
        </is>
      </c>
      <c r="BN2924" t="inlineStr">
        <is>
          <t>View Company Page</t>
        </is>
      </c>
      <c r="BO2924" s="4">
        <v>46142.678981481484</v>
      </c>
      <c r="BP2924">
        <v>165873</v>
      </c>
      <c r="BQ2924">
        <v>120487</v>
      </c>
      <c r="BR2924" t="inlineStr">
        <is>
          <t>Proforma</t>
        </is>
      </c>
      <c r="BS2924" t="inlineStr">
        <is>
          <t>Job Ad 365 - SME 100 Free Trial</t>
        </is>
      </c>
      <c r="BT2924"/>
      <c r="BU2924"/>
      <c r="BV2924">
        <v>2691588</v>
      </c>
      <c r="BW2924" t="inlineStr">
        <is>
          <t>Customer Inquiry</t>
        </is>
      </c>
      <c r="BX2924">
        <v>300</v>
      </c>
      <c r="BY2924">
        <v>205</v>
      </c>
      <c r="BZ2924" s="4">
        <v>46136.68619212963</v>
      </c>
      <c r="CA2924">
        <v>13</v>
      </c>
      <c r="CB2924">
        <v>13</v>
      </c>
      <c r="CC2924" s="4"/>
      <c r="CD2924" t="inlineStr">
        <is>
          <t>60</t>
        </is>
      </c>
      <c r="CE2924" t="inlineStr">
        <is>
          <t>0.8</t>
        </is>
      </c>
      <c r="CF2924" t="inlineStr">
        <is>
          <t>Q2-W01</t>
        </is>
      </c>
      <c r="CG2924" t="inlineStr">
        <is>
          <t>Q2-W01</t>
        </is>
      </c>
      <c r="CH2924"/>
      <c r="CI2924" t="inlineStr">
        <is>
          <t>Q2-W01</t>
        </is>
      </c>
      <c r="CJ2924" t="inlineStr">
        <is>
          <t>No Paid</t>
        </is>
      </c>
      <c r="CK2924" t="inlineStr">
        <is>
          <t>Eligible</t>
        </is>
      </c>
      <c r="CL2924"/>
      <c r="CM2924" t="inlineStr">
        <is>
          <t>Q2-W01</t>
        </is>
      </c>
    </row>
    <row r="2925" ht="25.5" customHeight="1">
      <c r="A2925" t="inlineStr">
        <is>
          <t>195496</t>
        </is>
      </c>
      <c r="B2925" s="2"/>
      <c r="C2925"/>
      <c r="D2925" s="3">
        <v>46120.438425925924</v>
      </c>
      <c r="E2925" t="inlineStr">
        <is>
          <t>Q2-W01</t>
        </is>
      </c>
      <c r="F2925" t="inlineStr">
        <is>
          <t>Jess</t>
        </is>
      </c>
      <c r="G2925" t="inlineStr">
        <is>
          <t>Customer</t>
        </is>
      </c>
      <c r="H2925" s="2" t="str">
        <f>=HYPERLINK("https://upbox.ajobthing.my/customer/195496", "https://upbox.ajobthing.my/customer/195496")</f>
        <v>https://upbox.ajobthing.my/customer/195496</v>
      </c>
      <c r="I2925" t="inlineStr">
        <is>
          <t>Bigstar Optoelectronic (M) Sdn. Bhd.</t>
        </is>
      </c>
      <c r="J2925" t="inlineStr">
        <is>
          <t>Whale</t>
        </is>
      </c>
      <c r="K2925" t="inlineStr">
        <is>
          <t>Jess Lim</t>
        </is>
      </c>
      <c r="L2925" s="4"/>
      <c r="M2925" s="4">
        <v>46120.438738425924</v>
      </c>
      <c r="N2925"/>
      <c r="O2925">
        <v>11448</v>
      </c>
      <c r="P2925" s="4"/>
      <c r="Q2925" s="4">
        <v>46077.861238425925</v>
      </c>
      <c r="R2925"/>
      <c r="S2925">
        <v>3576.96</v>
      </c>
      <c r="T2925" s="4">
        <v>46077.861238425925</v>
      </c>
      <c r="U2925" s="4"/>
      <c r="V2925"/>
      <c r="W2925">
        <v>3576.96</v>
      </c>
      <c r="X2925"/>
      <c r="Y2925" t="inlineStr">
        <is>
          <t>Pending Appointment</t>
        </is>
      </c>
      <c r="Z2925" t="inlineStr">
        <is>
          <t>Hiring Now</t>
        </is>
      </c>
      <c r="AA2925">
        <v>5</v>
      </c>
      <c r="AB2925" t="inlineStr">
        <is>
          <t>No Appointment Made</t>
        </is>
      </c>
      <c r="AC2925"/>
      <c r="AD2925" t="inlineStr">
        <is>
          <t>customer service , sales 5</t>
        </is>
      </c>
      <c r="AE2925"/>
      <c r="AF2925">
        <v>3600</v>
      </c>
      <c r="AG2925" s="4"/>
      <c r="AH2925" s="4"/>
      <c r="AI2925"/>
      <c r="AJ2925">
        <v>1</v>
      </c>
      <c r="AK2925" t="inlineStr">
        <is>
          <t>No, but I want in future</t>
        </is>
      </c>
      <c r="AL2925">
        <v>1</v>
      </c>
      <c r="AM2925" t="inlineStr">
        <is>
          <t>No, I don't need at all</t>
        </is>
      </c>
      <c r="AN2925"/>
      <c r="AO2925" t="inlineStr">
        <is>
          <t>No, I don't need at all</t>
        </is>
      </c>
      <c r="AP2925" t="inlineStr">
        <is>
          <t>Once a year (25%)</t>
        </is>
      </c>
      <c r="AQ2925"/>
      <c r="AR2925" t="inlineStr">
        <is>
          <t>Jobstreet</t>
        </is>
      </c>
      <c r="AS2925" t="inlineStr">
        <is>
          <t>- Headcount: 5
- Hiring Job Details: customer service, sales 5
- Hiring Urgency: Hiring Now
- Number of outlets: 1
- Have recruiter team: No, but I want in future
- Number of recruiter in company: 1
- Have ATS system: No, I don't need at all
- Have career website: No, I don't need at all
- Current hiring budget: RM3,600.00
- Whole year budget: 
- Whole year number of vacancies: 
- Hiring frequency: Once a year (25%)
- External job portal: Jobstreet</t>
        </is>
      </c>
      <c r="AT2925">
        <v>90</v>
      </c>
      <c r="AU2925" t="inlineStr">
        <is>
          <t>0.90</t>
        </is>
      </c>
      <c r="AV2925" t="inlineStr">
        <is>
          <t>20</t>
        </is>
      </c>
      <c r="AW2925" t="inlineStr">
        <is>
          <t>0</t>
        </is>
      </c>
      <c r="AX2925" t="inlineStr">
        <is>
          <t>Not Qualified</t>
        </is>
      </c>
      <c r="AY2925" s="4"/>
      <c r="AZ2925"/>
      <c r="BA2925"/>
      <c r="BB2925"/>
      <c r="BC2925" t="inlineStr">
        <is>
          <t>- Headcount: 5
- Hiring Job Details: customer service, sales 5
- Hiring Urgency: Hiring Now
- Number of outlets: 1
- Have recruiter team: No, but I want in future
- Number of recruiter in company: 1
- Have ATS system: No, I don't need at all
- Have career website: No, I don't need at all
- Current hiring budget: RM3,600.00
- Whole year budget: 
- Whole year number of vacancies: 
- Hiring frequency: Once a year (25%)
- External job portal: Jobstreet</t>
        </is>
      </c>
      <c r="BD2925" s="4">
        <v>46120.45835648148</v>
      </c>
      <c r="BE2925" t="inlineStr">
        <is>
          <t>paid</t>
        </is>
      </c>
      <c r="BF2925" t="inlineStr">
        <is>
          <t>Q1-W08</t>
        </is>
      </c>
      <c r="BG2925" t="inlineStr">
        <is>
          <t>Reschedule</t>
        </is>
      </c>
      <c r="BH2925" t="inlineStr">
        <is>
          <t>Fauziah Maharan</t>
        </is>
      </c>
      <c r="BI2925" t="inlineStr">
        <is>
          <t>Electrical / Electronics</t>
        </is>
      </c>
      <c r="BJ2925" s="4">
        <v>46144.7527662037</v>
      </c>
      <c r="BK2925" s="4">
        <v>45897.37061342593</v>
      </c>
      <c r="BL2925" t="inlineStr">
        <is>
          <t>7464.96</t>
        </is>
      </c>
      <c r="BM2925" t="inlineStr">
        <is>
          <t>3000.0</t>
        </is>
      </c>
      <c r="BN2925" t="inlineStr">
        <is>
          <t>View Jobmanager Page</t>
        </is>
      </c>
      <c r="BO2925" s="4">
        <v>46135.67854166667</v>
      </c>
      <c r="BP2925">
        <v>165833</v>
      </c>
      <c r="BQ2925">
        <v>87133</v>
      </c>
      <c r="BR2925" t="inlineStr">
        <is>
          <t>Online</t>
        </is>
      </c>
      <c r="BS2925"/>
      <c r="BT2925">
        <v>87133</v>
      </c>
      <c r="BU2925"/>
      <c r="BV2925">
        <v>2691596</v>
      </c>
      <c r="BW2925" t="inlineStr">
        <is>
          <t>Customer Inquiry</t>
        </is>
      </c>
      <c r="BX2925">
        <v>12</v>
      </c>
      <c r="BY2925">
        <v>0</v>
      </c>
      <c r="BZ2925" s="4">
        <v>46119.70226851852</v>
      </c>
      <c r="CA2925">
        <v>120</v>
      </c>
      <c r="CB2925">
        <v>119</v>
      </c>
      <c r="CC2925" s="4">
        <v>46035.45092592593</v>
      </c>
      <c r="CD2925" t="inlineStr">
        <is>
          <t>30</t>
        </is>
      </c>
      <c r="CE2925" t="inlineStr">
        <is>
          <t>0</t>
        </is>
      </c>
      <c r="CF2925" t="inlineStr">
        <is>
          <t>Q2-W01</t>
        </is>
      </c>
      <c r="CG2925" t="inlineStr">
        <is>
          <t>Q1-W08</t>
        </is>
      </c>
      <c r="CH2925" t="inlineStr">
        <is>
          <t>Q1-W08</t>
        </is>
      </c>
      <c r="CI2925"/>
      <c r="CJ2925" t="inlineStr">
        <is>
          <t>Paid</t>
        </is>
      </c>
      <c r="CK2925" t="inlineStr">
        <is>
          <t>Eligible</t>
        </is>
      </c>
      <c r="CL2925"/>
      <c r="CM2925"/>
    </row>
    <row r="2926" ht="25.5" customHeight="1">
      <c r="A2926" t="inlineStr">
        <is>
          <t>140578</t>
        </is>
      </c>
      <c r="B2926" s="2"/>
      <c r="C2926"/>
      <c r="D2926" s="3">
        <v>46120.439351851855</v>
      </c>
      <c r="E2926" t="inlineStr">
        <is>
          <t>Q2-W01</t>
        </is>
      </c>
      <c r="F2926" t="inlineStr">
        <is>
          <t>Yvonne Lee</t>
        </is>
      </c>
      <c r="G2926" t="inlineStr">
        <is>
          <t>Customer</t>
        </is>
      </c>
      <c r="H2926" s="2" t="str">
        <f>=HYPERLINK("https://upbox.ajobthing.my/customer/140578", "https://upbox.ajobthing.my/customer/140578")</f>
        <v>https://upbox.ajobthing.my/customer/140578</v>
      </c>
      <c r="I2926" t="inlineStr">
        <is>
          <t>Allied Precision Manufacturing (M) Sdn. Bhd.</t>
        </is>
      </c>
      <c r="J2926" t="inlineStr">
        <is>
          <t>Whale</t>
        </is>
      </c>
      <c r="K2926" t="inlineStr">
        <is>
          <t>Yvonne</t>
        </is>
      </c>
      <c r="L2926" s="4"/>
      <c r="M2926" s="4">
        <v>46120.441342592596</v>
      </c>
      <c r="N2926"/>
      <c r="O2926">
        <v>6048</v>
      </c>
      <c r="P2926" s="4"/>
      <c r="Q2926" s="4"/>
      <c r="R2926"/>
      <c r="S2926"/>
      <c r="T2926" s="4"/>
      <c r="U2926" s="4"/>
      <c r="V2926"/>
      <c r="W2926"/>
      <c r="X2926"/>
      <c r="Y2926" t="inlineStr">
        <is>
          <t>Pending Appointment</t>
        </is>
      </c>
      <c r="Z2926" t="inlineStr">
        <is>
          <t>Hiring Now</t>
        </is>
      </c>
      <c r="AA2926">
        <v>2</v>
      </c>
      <c r="AB2926" t="inlineStr">
        <is>
          <t>No Appointment Made</t>
        </is>
      </c>
      <c r="AC2926"/>
      <c r="AD2926" t="inlineStr">
        <is>
          <t xml:space="preserve">1) Coordinator
2) QA </t>
        </is>
      </c>
      <c r="AE2926"/>
      <c r="AF2926">
        <v>8000</v>
      </c>
      <c r="AG2926" s="4"/>
      <c r="AH2926" s="4"/>
      <c r="AI2926">
        <v>8000</v>
      </c>
      <c r="AJ2926">
        <v>1</v>
      </c>
      <c r="AK2926" t="inlineStr">
        <is>
          <t>Yes, I have</t>
        </is>
      </c>
      <c r="AL2926">
        <v>2</v>
      </c>
      <c r="AM2926" t="inlineStr">
        <is>
          <t>No, I don't need at all</t>
        </is>
      </c>
      <c r="AN2926"/>
      <c r="AO2926" t="inlineStr">
        <is>
          <t>Yes, I have</t>
        </is>
      </c>
      <c r="AP2926" t="inlineStr">
        <is>
          <t>Once per quarter (75%)</t>
        </is>
      </c>
      <c r="AQ2926">
        <v>10</v>
      </c>
      <c r="AR2926" t="inlineStr">
        <is>
          <t>Jobstreet, Indeed (Paid)</t>
        </is>
      </c>
      <c r="AS2926" t="inlineStr">
        <is>
          <t>- Headcount: 2
- Hiring Job Details: 1) Coordinator 2) QA
- Hiring Urgency: Hiring Now
- Number of outlets: 1
- Have recruiter team: Yes
- Number of recruiter in company: 2
- Have ATS system: No, I don't need at all
- Have career website: Yes
- Current hiring budget: RM8,000
- Whole year budget: RM8,000.00
- Whole year number of vacancies: 10
- Hiring frequency: Once per quarter (75%)
- External job portal: Jobstreet, Indeed (Paid)</t>
        </is>
      </c>
      <c r="AT2926">
        <v>115</v>
      </c>
      <c r="AU2926" t="inlineStr">
        <is>
          <t>1.15</t>
        </is>
      </c>
      <c r="AV2926" t="inlineStr">
        <is>
          <t>15</t>
        </is>
      </c>
      <c r="AW2926" t="inlineStr">
        <is>
          <t>0</t>
        </is>
      </c>
      <c r="AX2926" t="inlineStr">
        <is>
          <t>Not Qualified</t>
        </is>
      </c>
      <c r="AY2926" s="4"/>
      <c r="AZ2926"/>
      <c r="BA2926"/>
      <c r="BB2926"/>
      <c r="BC2926" t="inlineStr">
        <is>
          <t>- Headcount: 2
- Hiring Job Details: 1) Coordinator 2) QA
- Hiring Urgency: Hiring Now
- Number of outlets: 1
- Have recruiter team: Yes
- Number of recruiter in company: 2
- Have ATS system: No, I don't need at all
- Have career website: Yes
- Current hiring budget: RM8,000
- Whole year budget: RM8,000.00
- Whole year number of vacancies: 10
- Hiring frequency: Once per quarter (75%)
- External job portal: Jobstreet, Indeed (Paid)</t>
        </is>
      </c>
      <c r="BD2926" s="4">
        <v>46120.45835648148</v>
      </c>
      <c r="BE2926"/>
      <c r="BF2926"/>
      <c r="BG2926" t="inlineStr">
        <is>
          <t>Reschedule</t>
        </is>
      </c>
      <c r="BH2926" t="inlineStr">
        <is>
          <t>andy@ajobthing.com</t>
        </is>
      </c>
      <c r="BI2926" t="inlineStr">
        <is>
          <t>Manufacturing / Production</t>
        </is>
      </c>
      <c r="BJ2926" s="4">
        <v>46144.75063657408</v>
      </c>
      <c r="BK2926" s="4">
        <v>44448.47179398148</v>
      </c>
      <c r="BL2926" t="inlineStr">
        <is>
          <t>0.0</t>
        </is>
      </c>
      <c r="BM2926" t="inlineStr">
        <is>
          <t>6000.0</t>
        </is>
      </c>
      <c r="BN2926" t="inlineStr">
        <is>
          <t>View Notifications</t>
        </is>
      </c>
      <c r="BO2926" s="4">
        <v>45432.66037037037</v>
      </c>
      <c r="BP2926">
        <v>165837</v>
      </c>
      <c r="BQ2926"/>
      <c r="BR2926"/>
      <c r="BS2926"/>
      <c r="BT2926"/>
      <c r="BU2926"/>
      <c r="BV2926">
        <v>2691597</v>
      </c>
      <c r="BW2926" t="inlineStr">
        <is>
          <t>Customer Inquiry</t>
        </is>
      </c>
      <c r="BX2926"/>
      <c r="BY2926"/>
      <c r="BZ2926" s="4"/>
      <c r="CA2926"/>
      <c r="CB2926"/>
      <c r="CC2926" s="4"/>
      <c r="CD2926" t="inlineStr">
        <is>
          <t>20</t>
        </is>
      </c>
      <c r="CE2926" t="inlineStr">
        <is>
          <t>0</t>
        </is>
      </c>
      <c r="CF2926" t="inlineStr">
        <is>
          <t>Q2-W01</t>
        </is>
      </c>
      <c r="CG2926"/>
      <c r="CH2926"/>
      <c r="CI2926"/>
      <c r="CJ2926" t="inlineStr">
        <is>
          <t>No Paid</t>
        </is>
      </c>
      <c r="CK2926" t="inlineStr">
        <is>
          <t>Eligible</t>
        </is>
      </c>
      <c r="CL2926"/>
      <c r="CM2926"/>
    </row>
    <row r="2927" ht="25.5" customHeight="1">
      <c r="A2927" t="inlineStr">
        <is>
          <t>189316</t>
        </is>
      </c>
      <c r="B2927" s="2"/>
      <c r="C2927"/>
      <c r="D2927" s="3">
        <v>46120.44121527778</v>
      </c>
      <c r="E2927" t="inlineStr">
        <is>
          <t>Q2-W01</t>
        </is>
      </c>
      <c r="F2927" t="inlineStr">
        <is>
          <t>Jess</t>
        </is>
      </c>
      <c r="G2927" t="inlineStr">
        <is>
          <t>Customer</t>
        </is>
      </c>
      <c r="H2927" s="2" t="str">
        <f>=HYPERLINK("https://upbox.ajobthing.my/customer/189316", "https://upbox.ajobthing.my/customer/189316")</f>
        <v>https://upbox.ajobthing.my/customer/189316</v>
      </c>
      <c r="I2927" t="inlineStr">
        <is>
          <t>Gvestor International Sdn Bhd</t>
        </is>
      </c>
      <c r="J2927" t="inlineStr">
        <is>
          <t>Whale</t>
        </is>
      </c>
      <c r="K2927" t="inlineStr">
        <is>
          <t>Jess Lim</t>
        </is>
      </c>
      <c r="L2927" s="4"/>
      <c r="M2927" s="4">
        <v>46126.77774305556</v>
      </c>
      <c r="N2927"/>
      <c r="O2927">
        <v>7668</v>
      </c>
      <c r="P2927" s="4"/>
      <c r="Q2927" s="4">
        <v>46128.8875462963</v>
      </c>
      <c r="R2927"/>
      <c r="S2927">
        <v>7668</v>
      </c>
      <c r="T2927" s="4">
        <v>46128.8875462963</v>
      </c>
      <c r="U2927" s="4"/>
      <c r="V2927"/>
      <c r="W2927">
        <v>7668</v>
      </c>
      <c r="X2927"/>
      <c r="Y2927" t="inlineStr">
        <is>
          <t>Pending Appointment</t>
        </is>
      </c>
      <c r="Z2927" t="inlineStr">
        <is>
          <t>Hiring Now</t>
        </is>
      </c>
      <c r="AA2927">
        <v>2</v>
      </c>
      <c r="AB2927" t="inlineStr">
        <is>
          <t>No Appointment Made</t>
        </is>
      </c>
      <c r="AC2927"/>
      <c r="AD2927" t="inlineStr">
        <is>
          <t>maintaiance front deask</t>
        </is>
      </c>
      <c r="AE2927"/>
      <c r="AF2927">
        <v>5600</v>
      </c>
      <c r="AG2927" s="4"/>
      <c r="AH2927" s="4"/>
      <c r="AI2927"/>
      <c r="AJ2927">
        <v>1</v>
      </c>
      <c r="AK2927" t="inlineStr">
        <is>
          <t>No, I don't need at all</t>
        </is>
      </c>
      <c r="AL2927">
        <v>1</v>
      </c>
      <c r="AM2927" t="inlineStr">
        <is>
          <t>No, I don't need at all</t>
        </is>
      </c>
      <c r="AN2927"/>
      <c r="AO2927" t="inlineStr">
        <is>
          <t>No, I don't need at all</t>
        </is>
      </c>
      <c r="AP2927" t="inlineStr">
        <is>
          <t>Once a year (25%)</t>
        </is>
      </c>
      <c r="AQ2927"/>
      <c r="AR2927" t="inlineStr">
        <is>
          <t>Jobstreet</t>
        </is>
      </c>
      <c r="AS2927" t="inlineStr">
        <is>
          <t>- Headcount: 2
- Hiring Job Details: maintaiance front deask
- Hiring Urgency: Hiring Now
- Number of outlets: 1
- Have recruiter team: No, I don't need at all
- Number of recruiter in company: 1
- Have ATS system: No, I don't need at all
- Have career website: No, I don't need at all
- Current hiring budget: RM5,600.00
- Whole year budget: 
- Whole year number of vacancies: 
- Hiring frequency: Once a year (25%)
- External job portal: Jobstreet</t>
        </is>
      </c>
      <c r="AT2927">
        <v>95</v>
      </c>
      <c r="AU2927" t="inlineStr">
        <is>
          <t>0.95</t>
        </is>
      </c>
      <c r="AV2927" t="inlineStr">
        <is>
          <t>15</t>
        </is>
      </c>
      <c r="AW2927" t="inlineStr">
        <is>
          <t>0</t>
        </is>
      </c>
      <c r="AX2927" t="inlineStr">
        <is>
          <t>Not Qualified</t>
        </is>
      </c>
      <c r="AY2927" s="4"/>
      <c r="AZ2927"/>
      <c r="BA2927"/>
      <c r="BB2927"/>
      <c r="BC2927" t="inlineStr">
        <is>
          <t>paid</t>
        </is>
      </c>
      <c r="BD2927" s="4">
        <v>46129.425844907404</v>
      </c>
      <c r="BE2927" t="inlineStr">
        <is>
          <t>paid</t>
        </is>
      </c>
      <c r="BF2927" t="inlineStr">
        <is>
          <t>Q2-W02</t>
        </is>
      </c>
      <c r="BG2927" t="inlineStr">
        <is>
          <t>Reschedule</t>
        </is>
      </c>
      <c r="BH2927" t="inlineStr">
        <is>
          <t>Fauziah Maharan</t>
        </is>
      </c>
      <c r="BI2927" t="inlineStr">
        <is>
          <t>Property / Real Estate</t>
        </is>
      </c>
      <c r="BJ2927" s="4">
        <v>46144.75230324074</v>
      </c>
      <c r="BK2927" s="4">
        <v>45742.48699074074</v>
      </c>
      <c r="BL2927" t="inlineStr">
        <is>
          <t>7668.0</t>
        </is>
      </c>
      <c r="BM2927" t="inlineStr">
        <is>
          <t>0.0</t>
        </is>
      </c>
      <c r="BN2927" t="inlineStr">
        <is>
          <t>View Company Page</t>
        </is>
      </c>
      <c r="BO2927" s="4">
        <v>46139.65638888889</v>
      </c>
      <c r="BP2927">
        <v>167067</v>
      </c>
      <c r="BQ2927">
        <v>7647</v>
      </c>
      <c r="BR2927" t="inlineStr">
        <is>
          <t>Manual (Paid)</t>
        </is>
      </c>
      <c r="BS2927" t="inlineStr">
        <is>
          <t>Job Slot SME
- SME Package for 2 Job Slot + 1 Free Job Slot
- 3 Job Slot will be published on Maukerja, Ricebowl, and partner platforms.
- 3 Job Slot will be published for 14 months
- Reusable listing for 14 months
- Free Standard Company Page for 14 months
- Free 18 Free Intern / Manager / Part-time / Volunteer / Freelance / Singapore Job
- Package valid for 14 months
-Free Additional 20 Resume Search</t>
        </is>
      </c>
      <c r="BT2927">
        <v>7647</v>
      </c>
      <c r="BU2927"/>
      <c r="BV2927">
        <v>2711086</v>
      </c>
      <c r="BW2927" t="inlineStr">
        <is>
          <t>Follow Up : Win - Customer Paid</t>
        </is>
      </c>
      <c r="BX2927">
        <v>3</v>
      </c>
      <c r="BY2927">
        <v>0</v>
      </c>
      <c r="BZ2927" s="4">
        <v>46129.614386574074</v>
      </c>
      <c r="CA2927">
        <v>20</v>
      </c>
      <c r="CB2927">
        <v>20</v>
      </c>
      <c r="CC2927" s="4"/>
      <c r="CD2927" t="inlineStr">
        <is>
          <t>20</t>
        </is>
      </c>
      <c r="CE2927" t="inlineStr">
        <is>
          <t>0</t>
        </is>
      </c>
      <c r="CF2927" t="inlineStr">
        <is>
          <t>Q2-W02</t>
        </is>
      </c>
      <c r="CG2927" t="inlineStr">
        <is>
          <t>Q2-W02</t>
        </is>
      </c>
      <c r="CH2927" t="inlineStr">
        <is>
          <t>Q2-W02</t>
        </is>
      </c>
      <c r="CI2927"/>
      <c r="CJ2927" t="inlineStr">
        <is>
          <t>Paid</t>
        </is>
      </c>
      <c r="CK2927" t="inlineStr">
        <is>
          <t>Eligible</t>
        </is>
      </c>
      <c r="CL2927"/>
      <c r="CM2927"/>
    </row>
    <row r="2928" ht="25.5" customHeight="1">
      <c r="A2928" t="inlineStr">
        <is>
          <t>202960</t>
        </is>
      </c>
      <c r="B2928" s="2"/>
      <c r="C2928"/>
      <c r="D2928" s="3">
        <v>46120.46377314815</v>
      </c>
      <c r="E2928" t="inlineStr">
        <is>
          <t>Q2-W01</t>
        </is>
      </c>
      <c r="F2928" t="inlineStr">
        <is>
          <t>Josh</t>
        </is>
      </c>
      <c r="G2928" t="inlineStr">
        <is>
          <t>Customer</t>
        </is>
      </c>
      <c r="H2928" s="2" t="str">
        <f>=HYPERLINK("https://upbox.ajobthing.my/customer/202960", "https://upbox.ajobthing.my/customer/202960")</f>
        <v>https://upbox.ajobthing.my/customer/202960</v>
      </c>
      <c r="I2928" t="inlineStr">
        <is>
          <t>Fibromat (M) Berhad</t>
        </is>
      </c>
      <c r="J2928" t="inlineStr">
        <is>
          <t>Whale</t>
        </is>
      </c>
      <c r="K2928" t="inlineStr">
        <is>
          <t>Josh</t>
        </is>
      </c>
      <c r="L2928" s="4"/>
      <c r="M2928" s="4">
        <v>46120.46402777778</v>
      </c>
      <c r="N2928"/>
      <c r="O2928">
        <v>1296</v>
      </c>
      <c r="P2928" s="4"/>
      <c r="Q2928" s="4">
        <v>46120.38269675926</v>
      </c>
      <c r="R2928"/>
      <c r="S2928">
        <v>0</v>
      </c>
      <c r="T2928" s="4"/>
      <c r="U2928" s="4"/>
      <c r="V2928"/>
      <c r="W2928"/>
      <c r="X2928"/>
      <c r="Y2928" t="inlineStr">
        <is>
          <t>Pending Appointment</t>
        </is>
      </c>
      <c r="Z2928" t="inlineStr">
        <is>
          <t>Hiring Now</t>
        </is>
      </c>
      <c r="AA2928">
        <v>1</v>
      </c>
      <c r="AB2928" t="inlineStr">
        <is>
          <t>No Appointment Made</t>
        </is>
      </c>
      <c r="AC2928"/>
      <c r="AD2928" t="inlineStr">
        <is>
          <t xml:space="preserve">1 sales and marketing </t>
        </is>
      </c>
      <c r="AE2928"/>
      <c r="AF2928">
        <v>0</v>
      </c>
      <c r="AG2928" s="4"/>
      <c r="AH2928" s="4"/>
      <c r="AI2928"/>
      <c r="AJ2928"/>
      <c r="AK2928" t="inlineStr">
        <is>
          <t>Yes, I have</t>
        </is>
      </c>
      <c r="AL2928"/>
      <c r="AM2928"/>
      <c r="AN2928"/>
      <c r="AO2928"/>
      <c r="AP2928" t="inlineStr">
        <is>
          <t>Once a year (25%)</t>
        </is>
      </c>
      <c r="AQ2928"/>
      <c r="AR2928"/>
      <c r="AS2928" t="inlineStr">
        <is>
          <t>- Headcount: 1
- Hiring Job Details: 1 sales and marketing
- Hiring Urgency: Hiring Now
- Number of outlets: Not provided
- Have recruiter team: Yes
- Number of recruiter in company: Not provided
- Have ATS system: Not provided
- Have career website: Not provided
- Current hiring budget: RM0.00
- Whole year budget: Not provided
- Whole year number of vacancies: Not provided
- Hiring frequency: Once a year (25%)
- External job portal: Not provided</t>
        </is>
      </c>
      <c r="AT2928">
        <v>75</v>
      </c>
      <c r="AU2928" t="inlineStr">
        <is>
          <t>0.75</t>
        </is>
      </c>
      <c r="AV2928" t="inlineStr">
        <is>
          <t>15</t>
        </is>
      </c>
      <c r="AW2928" t="inlineStr">
        <is>
          <t>0</t>
        </is>
      </c>
      <c r="AX2928" t="inlineStr">
        <is>
          <t>Not Qualified</t>
        </is>
      </c>
      <c r="AY2928" s="4"/>
      <c r="AZ2928"/>
      <c r="BA2928"/>
      <c r="BB2928"/>
      <c r="BC2928" t="inlineStr">
        <is>
          <t>found crawl job on ortal, assist delete it</t>
        </is>
      </c>
      <c r="BD2928" s="4">
        <v>46132.389918981484</v>
      </c>
      <c r="BE2928" t="inlineStr">
        <is>
          <t>paid</t>
        </is>
      </c>
      <c r="BF2928"/>
      <c r="BG2928" t="inlineStr">
        <is>
          <t>Reschedule</t>
        </is>
      </c>
      <c r="BH2928" t="inlineStr">
        <is>
          <t>Fauziah Maharan</t>
        </is>
      </c>
      <c r="BI2928" t="inlineStr">
        <is>
          <t>Manufacturing / Production</t>
        </is>
      </c>
      <c r="BJ2928" s="4">
        <v>46144.754166666666</v>
      </c>
      <c r="BK2928" s="4">
        <v>46119.83966435185</v>
      </c>
      <c r="BL2928" t="inlineStr">
        <is>
          <t>0.0</t>
        </is>
      </c>
      <c r="BM2928" t="inlineStr">
        <is>
          <t>0.0</t>
        </is>
      </c>
      <c r="BN2928" t="inlineStr">
        <is>
          <t>User Visit(Logged In)</t>
        </is>
      </c>
      <c r="BO2928" s="4">
        <v>46142.413125</v>
      </c>
      <c r="BP2928">
        <v>165858</v>
      </c>
      <c r="BQ2928">
        <v>120694</v>
      </c>
      <c r="BR2928" t="inlineStr">
        <is>
          <t>Proforma</t>
        </is>
      </c>
      <c r="BS2928" t="inlineStr">
        <is>
          <t>Free Part-Time Job</t>
        </is>
      </c>
      <c r="BT2928"/>
      <c r="BU2928"/>
      <c r="BV2928">
        <v>2714555</v>
      </c>
      <c r="BW2928" t="inlineStr">
        <is>
          <t>Service / Technical : Job Outcome Enquiry</t>
        </is>
      </c>
      <c r="BX2928"/>
      <c r="BY2928"/>
      <c r="BZ2928" s="4"/>
      <c r="CA2928"/>
      <c r="CB2928"/>
      <c r="CC2928" s="4"/>
      <c r="CD2928" t="inlineStr">
        <is>
          <t>20</t>
        </is>
      </c>
      <c r="CE2928" t="inlineStr">
        <is>
          <t>0</t>
        </is>
      </c>
      <c r="CF2928" t="inlineStr">
        <is>
          <t>Q2-W01</t>
        </is>
      </c>
      <c r="CG2928" t="inlineStr">
        <is>
          <t>Q2-W01</t>
        </is>
      </c>
      <c r="CH2928"/>
      <c r="CI2928"/>
      <c r="CJ2928" t="inlineStr">
        <is>
          <t>No Paid</t>
        </is>
      </c>
      <c r="CK2928" t="inlineStr">
        <is>
          <t>Eligible</t>
        </is>
      </c>
      <c r="CL2928"/>
      <c r="CM2928"/>
    </row>
    <row r="2929" ht="25.5" customHeight="1">
      <c r="A2929" t="inlineStr">
        <is>
          <t>120853</t>
        </is>
      </c>
      <c r="B2929" s="2"/>
      <c r="C2929"/>
      <c r="D2929" s="3">
        <v>46120.46528935185</v>
      </c>
      <c r="E2929" t="inlineStr">
        <is>
          <t>Q2-W01</t>
        </is>
      </c>
      <c r="F2929" t="inlineStr">
        <is>
          <t>Alan KY</t>
        </is>
      </c>
      <c r="G2929" t="inlineStr">
        <is>
          <t>Customer</t>
        </is>
      </c>
      <c r="H2929" s="2" t="str">
        <f>=HYPERLINK("https://upbox.ajobthing.my/customer/120853", "https://upbox.ajobthing.my/customer/120853")</f>
        <v>https://upbox.ajobthing.my/customer/120853</v>
      </c>
      <c r="I2929" t="inlineStr">
        <is>
          <t>Great CFO Sdn Bhd</t>
        </is>
      </c>
      <c r="J2929" t="inlineStr">
        <is>
          <t>Whale</t>
        </is>
      </c>
      <c r="K2929" t="inlineStr">
        <is>
          <t>Alan KY</t>
        </is>
      </c>
      <c r="L2929" s="4"/>
      <c r="M2929" s="4">
        <v>46120.45516203704</v>
      </c>
      <c r="N2929"/>
      <c r="O2929">
        <v>8208</v>
      </c>
      <c r="P2929" s="4"/>
      <c r="Q2929" s="4">
        <v>46140.4721875</v>
      </c>
      <c r="R2929"/>
      <c r="S2929">
        <v>0</v>
      </c>
      <c r="T2929" s="4">
        <v>46121.75612268518</v>
      </c>
      <c r="U2929" s="4"/>
      <c r="V2929"/>
      <c r="W2929">
        <v>5508</v>
      </c>
      <c r="X2929"/>
      <c r="Y2929" t="inlineStr">
        <is>
          <t>Pending Appointment</t>
        </is>
      </c>
      <c r="Z2929" t="inlineStr">
        <is>
          <t>Hiring Now</t>
        </is>
      </c>
      <c r="AA2929">
        <v>5</v>
      </c>
      <c r="AB2929" t="inlineStr">
        <is>
          <t>No Appointment Made</t>
        </is>
      </c>
      <c r="AC2929"/>
      <c r="AD2929" t="inlineStr">
        <is>
          <t xml:space="preserve">2 Account, 1  company secretary,2 audit, based in KL/selangor </t>
        </is>
      </c>
      <c r="AE2929"/>
      <c r="AF2929"/>
      <c r="AG2929" s="4"/>
      <c r="AH2929" s="4"/>
      <c r="AI2929"/>
      <c r="AJ2929"/>
      <c r="AK2929" t="inlineStr">
        <is>
          <t>No, I don't need at all</t>
        </is>
      </c>
      <c r="AL2929"/>
      <c r="AM2929" t="inlineStr">
        <is>
          <t>No, I don't need at all</t>
        </is>
      </c>
      <c r="AN2929"/>
      <c r="AO2929" t="inlineStr">
        <is>
          <t>No, I don't need at all</t>
        </is>
      </c>
      <c r="AP2929" t="inlineStr">
        <is>
          <t>Twice a year (50%)</t>
        </is>
      </c>
      <c r="AQ2929"/>
      <c r="AR2929" t="inlineStr">
        <is>
          <t>Jobstreet, Linkedin (Paid)</t>
        </is>
      </c>
      <c r="AS2929" t="inlineStr">
        <is>
          <t>- Headcount: 5
- Hiring Job Details: 2 Account, 1 company secretary, 2 audit, based in KL/selangor
- Hiring Urgency: Hiring Now
- Number of outlets: Not provided
- Have recruiter team: No, I don't need at all
- Number of recruiter in company: Not provided
- Have ATS system: No, I don't need at all
- Have career website: No, I don't need at all
- Current hiring budget: Not provided
- Whole year budget: Not provided
- Whole year number of vacancies: Not provided
- Hiring frequency: Twice a year (50%)
- External job portal: Jobstreet, Linkedin (Paid)</t>
        </is>
      </c>
      <c r="AT2929">
        <v>95</v>
      </c>
      <c r="AU2929" t="inlineStr">
        <is>
          <t>0.95</t>
        </is>
      </c>
      <c r="AV2929" t="inlineStr">
        <is>
          <t>10</t>
        </is>
      </c>
      <c r="AW2929" t="inlineStr">
        <is>
          <t>0</t>
        </is>
      </c>
      <c r="AX2929" t="inlineStr">
        <is>
          <t>Not Qualified</t>
        </is>
      </c>
      <c r="AY2929" s="4"/>
      <c r="AZ2929"/>
      <c r="BA2929"/>
      <c r="BB2929"/>
      <c r="BC2929" t="inlineStr">
        <is>
          <t>Assist client on job posting side - advice on free job ad and paid job ad</t>
        </is>
      </c>
      <c r="BD2929" s="4">
        <v>46129.71826388889</v>
      </c>
      <c r="BE2929" t="inlineStr">
        <is>
          <t>paid</t>
        </is>
      </c>
      <c r="BF2929" t="inlineStr">
        <is>
          <t>Q2-W01</t>
        </is>
      </c>
      <c r="BG2929" t="inlineStr">
        <is>
          <t>Reschedule</t>
        </is>
      </c>
      <c r="BH2929" t="inlineStr">
        <is>
          <t>Reagen</t>
        </is>
      </c>
      <c r="BI2929" t="inlineStr">
        <is>
          <t>Accounting / Tax Services</t>
        </is>
      </c>
      <c r="BJ2929" s="4">
        <v>46144.75025462963</v>
      </c>
      <c r="BK2929" s="4">
        <v>43690.690092592595</v>
      </c>
      <c r="BL2929" t="inlineStr">
        <is>
          <t>5508.0</t>
        </is>
      </c>
      <c r="BM2929" t="inlineStr">
        <is>
          <t>1050.0</t>
        </is>
      </c>
      <c r="BN2929" t="inlineStr">
        <is>
          <t>User Visit(Logged In)</t>
        </is>
      </c>
      <c r="BO2929" s="4">
        <v>46142.71828703704</v>
      </c>
      <c r="BP2929">
        <v>165852</v>
      </c>
      <c r="BQ2929">
        <v>123847</v>
      </c>
      <c r="BR2929" t="inlineStr">
        <is>
          <t>Proforma</t>
        </is>
      </c>
      <c r="BS2929" t="inlineStr">
        <is>
          <t>Free Freelance Job</t>
        </is>
      </c>
      <c r="BT2929">
        <v>92575</v>
      </c>
      <c r="BU2929"/>
      <c r="BV2929">
        <v>2713541</v>
      </c>
      <c r="BW2929" t="inlineStr">
        <is>
          <t>Service / Technical : Job Outcome Enquiry</t>
        </is>
      </c>
      <c r="BX2929">
        <v>20</v>
      </c>
      <c r="BY2929">
        <v>16</v>
      </c>
      <c r="BZ2929" s="4">
        <v>46129.73929398148</v>
      </c>
      <c r="CA2929">
        <v>160</v>
      </c>
      <c r="CB2929">
        <v>159</v>
      </c>
      <c r="CC2929" s="4">
        <v>46133.3368287037</v>
      </c>
      <c r="CD2929" t="inlineStr">
        <is>
          <t>15</t>
        </is>
      </c>
      <c r="CE2929" t="inlineStr">
        <is>
          <t>0</t>
        </is>
      </c>
      <c r="CF2929" t="inlineStr">
        <is>
          <t>Q2-W01</t>
        </is>
      </c>
      <c r="CG2929" t="inlineStr">
        <is>
          <t>Q2-W04</t>
        </is>
      </c>
      <c r="CH2929" t="inlineStr">
        <is>
          <t>Q2-W01</t>
        </is>
      </c>
      <c r="CI2929"/>
      <c r="CJ2929" t="inlineStr">
        <is>
          <t>Paid</t>
        </is>
      </c>
      <c r="CK2929" t="inlineStr">
        <is>
          <t>Eligible</t>
        </is>
      </c>
      <c r="CL2929"/>
      <c r="CM2929"/>
    </row>
    <row r="2930" ht="25.5" customHeight="1">
      <c r="A2930" t="inlineStr">
        <is>
          <t>137049</t>
        </is>
      </c>
      <c r="B2930" s="2"/>
      <c r="C2930"/>
      <c r="D2930" s="3">
        <v>46120.478171296294</v>
      </c>
      <c r="E2930" t="inlineStr">
        <is>
          <t>Q2-W01</t>
        </is>
      </c>
      <c r="F2930" t="inlineStr">
        <is>
          <t>andy@ajobthing.com</t>
        </is>
      </c>
      <c r="G2930" t="inlineStr">
        <is>
          <t>Customer</t>
        </is>
      </c>
      <c r="H2930" s="2" t="str">
        <f>=HYPERLINK("https://upbox.ajobthing.my/customer/137049", "https://upbox.ajobthing.my/customer/137049")</f>
        <v>https://upbox.ajobthing.my/customer/137049</v>
      </c>
      <c r="I2930" t="inlineStr">
        <is>
          <t>Agensi Pekerjaan CKM Sdn Bhd</t>
        </is>
      </c>
      <c r="J2930" t="inlineStr">
        <is>
          <t>Whale</t>
        </is>
      </c>
      <c r="K2930" t="inlineStr">
        <is>
          <t>Andy</t>
        </is>
      </c>
      <c r="L2930" s="4"/>
      <c r="M2930" s="4">
        <v>46120.48673611111</v>
      </c>
      <c r="N2930"/>
      <c r="O2930">
        <v>10800</v>
      </c>
      <c r="P2930" s="4"/>
      <c r="Q2930" s="4">
        <v>46120.2978125</v>
      </c>
      <c r="R2930"/>
      <c r="S2930">
        <v>0</v>
      </c>
      <c r="T2930" s="4"/>
      <c r="U2930" s="4"/>
      <c r="V2930"/>
      <c r="W2930"/>
      <c r="X2930" t="inlineStr">
        <is>
          <t>andy@ajobthing.com</t>
        </is>
      </c>
      <c r="Y2930" t="inlineStr">
        <is>
          <t>Done Appointment</t>
        </is>
      </c>
      <c r="Z2930" t="inlineStr">
        <is>
          <t>Continuous Hiring</t>
        </is>
      </c>
      <c r="AA2930">
        <v>2</v>
      </c>
      <c r="AB2930" t="inlineStr">
        <is>
          <t>Appointment Made</t>
        </is>
      </c>
      <c r="AC2930" t="inlineStr">
        <is>
          <t>SME (&lt;50 employees)</t>
        </is>
      </c>
      <c r="AD2930" t="inlineStr">
        <is>
          <t>machinist, technician</t>
        </is>
      </c>
      <c r="AE2930" t="inlineStr">
        <is>
          <t>HR Director / Senior HR Lead</t>
        </is>
      </c>
      <c r="AF2930">
        <v>10000</v>
      </c>
      <c r="AG2930" s="4">
        <v>46120.458333333336</v>
      </c>
      <c r="AH2930" s="4">
        <v>46120.479166666664</v>
      </c>
      <c r="AI2930">
        <v>10000</v>
      </c>
      <c r="AJ2930">
        <v>1</v>
      </c>
      <c r="AK2930" t="inlineStr">
        <is>
          <t>Yes, I have</t>
        </is>
      </c>
      <c r="AL2930">
        <v>2</v>
      </c>
      <c r="AM2930" t="inlineStr">
        <is>
          <t>No, but I want in future</t>
        </is>
      </c>
      <c r="AN2930"/>
      <c r="AO2930" t="inlineStr">
        <is>
          <t>No, but I want in future</t>
        </is>
      </c>
      <c r="AP2930" t="inlineStr">
        <is>
          <t>Every month (100%)</t>
        </is>
      </c>
      <c r="AQ2930">
        <v>120</v>
      </c>
      <c r="AR2930" t="inlineStr">
        <is>
          <t>Jobstreet</t>
        </is>
      </c>
      <c r="AS2930" t="inlineStr">
        <is>
          <t>- Headcount: 2
- Hiring Job Details: machinist, technician
- Hiring Urgency: Continuous Hiring
- Number of outlets: 1
- Have recruiter team: Yes
- Number of recruiter in company: 2
- Have ATS system: No, but want in future
- Have career website: No, but want in future
- Current hiring budget: RM10,000
- Whole year budget: RM10,000.00
- Whole year number of vacancies: 120
- Hiring frequency: Every month (100%)
- External job portal: Jobstreet</t>
        </is>
      </c>
      <c r="AT2930">
        <v>115</v>
      </c>
      <c r="AU2930" t="inlineStr">
        <is>
          <t>1.15</t>
        </is>
      </c>
      <c r="AV2930" t="inlineStr">
        <is>
          <t>35</t>
        </is>
      </c>
      <c r="AW2930" t="inlineStr">
        <is>
          <t>0</t>
        </is>
      </c>
      <c r="AX2930" t="inlineStr">
        <is>
          <t>Not Qualified</t>
        </is>
      </c>
      <c r="AY2930" s="4">
        <v>46120.48202546296</v>
      </c>
      <c r="AZ2930" t="inlineStr">
        <is>
          <t>andy@ajobthing.com</t>
        </is>
      </c>
      <c r="BA2930"/>
      <c r="BB2930"/>
      <c r="BC2930" t="inlineStr">
        <is>
          <t>- Headcount: 2
- Hiring Job Details: machinist, technician
- Hiring Urgency: Continuous Hiring
- Number of outlets: 1
- Have recruiter team: Yes
- Number of recruiter in company: 2
- Have ATS system: No, but want in future
- Have career website: No, but want in future
- Current hiring budget: RM10,000
- Whole year budget: RM10,000.00
- Whole year number of vacancies: 120
- Hiring frequency: Every month (100%)
- External job portal: Jobstreet</t>
        </is>
      </c>
      <c r="BD2930" s="4">
        <v>46120.500023148146</v>
      </c>
      <c r="BE2930" t="inlineStr">
        <is>
          <t>paid</t>
        </is>
      </c>
      <c r="BF2930"/>
      <c r="BG2930" t="inlineStr">
        <is>
          <t>Reschedule</t>
        </is>
      </c>
      <c r="BH2930"/>
      <c r="BI2930" t="inlineStr">
        <is>
          <t>HR Mgmt / Consulting</t>
        </is>
      </c>
      <c r="BJ2930" s="4">
        <v>46144.75059027778</v>
      </c>
      <c r="BK2930" s="4">
        <v>44300.388333333336</v>
      </c>
      <c r="BL2930" t="inlineStr">
        <is>
          <t>0.0</t>
        </is>
      </c>
      <c r="BM2930" t="inlineStr">
        <is>
          <t>10200.0</t>
        </is>
      </c>
      <c r="BN2930" t="inlineStr">
        <is>
          <t>View Create Job Page V4</t>
        </is>
      </c>
      <c r="BO2930" s="4">
        <v>46141.66643518519</v>
      </c>
      <c r="BP2930">
        <v>165875</v>
      </c>
      <c r="BQ2930">
        <v>121032</v>
      </c>
      <c r="BR2930" t="inlineStr">
        <is>
          <t>Proforma</t>
        </is>
      </c>
      <c r="BS2930" t="inlineStr">
        <is>
          <t>Job Ad 365 - SME 100 Free Trial</t>
        </is>
      </c>
      <c r="BT2930"/>
      <c r="BU2930"/>
      <c r="BV2930">
        <v>2692051</v>
      </c>
      <c r="BW2930" t="inlineStr">
        <is>
          <t>Customer Inquiry</t>
        </is>
      </c>
      <c r="BX2930">
        <v>300</v>
      </c>
      <c r="BY2930">
        <v>283</v>
      </c>
      <c r="BZ2930" s="4">
        <v>46140.48370370371</v>
      </c>
      <c r="CA2930">
        <v>26</v>
      </c>
      <c r="CB2930">
        <v>26</v>
      </c>
      <c r="CC2930" s="4"/>
      <c r="CD2930" t="inlineStr">
        <is>
          <t>45</t>
        </is>
      </c>
      <c r="CE2930" t="inlineStr">
        <is>
          <t>0.5</t>
        </is>
      </c>
      <c r="CF2930" t="inlineStr">
        <is>
          <t>Q2-W01</t>
        </is>
      </c>
      <c r="CG2930" t="inlineStr">
        <is>
          <t>Q2-W01</t>
        </is>
      </c>
      <c r="CH2930"/>
      <c r="CI2930" t="inlineStr">
        <is>
          <t>Q2-W01</t>
        </is>
      </c>
      <c r="CJ2930" t="inlineStr">
        <is>
          <t>No Paid</t>
        </is>
      </c>
      <c r="CK2930" t="inlineStr">
        <is>
          <t>Eligible</t>
        </is>
      </c>
      <c r="CL2930"/>
      <c r="CM2930" t="inlineStr">
        <is>
          <t>Q2-W01</t>
        </is>
      </c>
    </row>
    <row r="2931" ht="25.5" customHeight="1">
      <c r="A2931" t="inlineStr">
        <is>
          <t>146877</t>
        </is>
      </c>
      <c r="B2931" s="2"/>
      <c r="C2931"/>
      <c r="D2931" s="3">
        <v>46120.48458333333</v>
      </c>
      <c r="E2931" t="inlineStr">
        <is>
          <t>Q2-W01</t>
        </is>
      </c>
      <c r="F2931" t="inlineStr">
        <is>
          <t>Ratha</t>
        </is>
      </c>
      <c r="G2931" t="inlineStr">
        <is>
          <t>Customer</t>
        </is>
      </c>
      <c r="H2931" s="2" t="str">
        <f>=HYPERLINK("https://upbox.ajobthing.my/customer/146877", "https://upbox.ajobthing.my/customer/146877")</f>
        <v>https://upbox.ajobthing.my/customer/146877</v>
      </c>
      <c r="I2931" t="inlineStr">
        <is>
          <t>UR Collections</t>
        </is>
      </c>
      <c r="J2931" t="inlineStr">
        <is>
          <t>Whale</t>
        </is>
      </c>
      <c r="K2931" t="inlineStr">
        <is>
          <t>Ratha</t>
        </is>
      </c>
      <c r="L2931" s="4"/>
      <c r="M2931" s="4">
        <v>46120.48521990741</v>
      </c>
      <c r="N2931"/>
      <c r="O2931">
        <v>4968</v>
      </c>
      <c r="P2931" s="4"/>
      <c r="Q2931" s="4">
        <v>45757.601435185185</v>
      </c>
      <c r="R2931"/>
      <c r="S2931">
        <v>3672</v>
      </c>
      <c r="T2931" s="4">
        <v>45757.601435185185</v>
      </c>
      <c r="U2931" s="4"/>
      <c r="V2931"/>
      <c r="W2931">
        <v>3672</v>
      </c>
      <c r="X2931"/>
      <c r="Y2931" t="inlineStr">
        <is>
          <t>Pending Appointment</t>
        </is>
      </c>
      <c r="Z2931" t="inlineStr">
        <is>
          <t>Continuous Hiring</t>
        </is>
      </c>
      <c r="AA2931">
        <v>1</v>
      </c>
      <c r="AB2931" t="inlineStr">
        <is>
          <t>No Appointment Made</t>
        </is>
      </c>
      <c r="AC2931"/>
      <c r="AD2931" t="inlineStr">
        <is>
          <t>Sales Operation
Location : kl</t>
        </is>
      </c>
      <c r="AE2931"/>
      <c r="AF2931"/>
      <c r="AG2931" s="4"/>
      <c r="AH2931" s="4"/>
      <c r="AI2931">
        <v>0</v>
      </c>
      <c r="AJ2931">
        <v>1</v>
      </c>
      <c r="AK2931" t="inlineStr">
        <is>
          <t>Yes, I have</t>
        </is>
      </c>
      <c r="AL2931">
        <v>2</v>
      </c>
      <c r="AM2931" t="inlineStr">
        <is>
          <t>No, I don't need at all</t>
        </is>
      </c>
      <c r="AN2931"/>
      <c r="AO2931" t="inlineStr">
        <is>
          <t>No, I don't need at all</t>
        </is>
      </c>
      <c r="AP2931" t="inlineStr">
        <is>
          <t>Every month (100%)</t>
        </is>
      </c>
      <c r="AQ2931">
        <v>0</v>
      </c>
      <c r="AR2931" t="inlineStr">
        <is>
          <t>Did not use any job portal</t>
        </is>
      </c>
      <c r="AS2931" t="inlineStr">
        <is>
          <t>- Headcount: 1
- Hiring Job Details: 1 Sales Operation (Location: kl)
- Hiring Urgency: Continuous Hiring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Every month (100%)
- External job portal: Did not use any job portal</t>
        </is>
      </c>
      <c r="AT2931">
        <v>95</v>
      </c>
      <c r="AU2931" t="inlineStr">
        <is>
          <t>0.95</t>
        </is>
      </c>
      <c r="AV2931" t="inlineStr">
        <is>
          <t>5</t>
        </is>
      </c>
      <c r="AW2931" t="inlineStr">
        <is>
          <t>0</t>
        </is>
      </c>
      <c r="AX2931" t="inlineStr">
        <is>
          <t>Not Qualified</t>
        </is>
      </c>
      <c r="AY2931" s="4"/>
      <c r="AZ2931"/>
      <c r="BA2931"/>
      <c r="BB2931"/>
      <c r="BC2931" t="inlineStr">
        <is>
          <t>not proceed - no hiring</t>
        </is>
      </c>
      <c r="BD2931" s="4">
        <v>46132.68212962963</v>
      </c>
      <c r="BE2931" t="inlineStr">
        <is>
          <t>paid</t>
        </is>
      </c>
      <c r="BF2931"/>
      <c r="BG2931" t="inlineStr">
        <is>
          <t>Reschedule</t>
        </is>
      </c>
      <c r="BH2931" t="inlineStr">
        <is>
          <t>Fauziah Maharan</t>
        </is>
      </c>
      <c r="BI2931" t="inlineStr">
        <is>
          <t>Electrical / Electronics</t>
        </is>
      </c>
      <c r="BJ2931" s="4">
        <v>46144.75077546296</v>
      </c>
      <c r="BK2931" s="4">
        <v>44571.58186342593</v>
      </c>
      <c r="BL2931" t="inlineStr">
        <is>
          <t>0.0</t>
        </is>
      </c>
      <c r="BM2931" t="inlineStr">
        <is>
          <t>0.0</t>
        </is>
      </c>
      <c r="BN2931" t="inlineStr">
        <is>
          <t>User Visit(Logged In)</t>
        </is>
      </c>
      <c r="BO2931" s="4">
        <v>46078.445763888885</v>
      </c>
      <c r="BP2931">
        <v>165874</v>
      </c>
      <c r="BQ2931">
        <v>78349</v>
      </c>
      <c r="BR2931" t="inlineStr">
        <is>
          <t>Online</t>
        </is>
      </c>
      <c r="BS2931"/>
      <c r="BT2931">
        <v>78349</v>
      </c>
      <c r="BU2931"/>
      <c r="BV2931">
        <v>2716283</v>
      </c>
      <c r="BW2931" t="inlineStr">
        <is>
          <t>Follow Up : Budget Concern</t>
        </is>
      </c>
      <c r="BX2931"/>
      <c r="BY2931"/>
      <c r="BZ2931" s="4"/>
      <c r="CA2931"/>
      <c r="CB2931"/>
      <c r="CC2931" s="4"/>
      <c r="CD2931" t="inlineStr">
        <is>
          <t>5</t>
        </is>
      </c>
      <c r="CE2931" t="inlineStr">
        <is>
          <t>0</t>
        </is>
      </c>
      <c r="CF2931" t="inlineStr">
        <is>
          <t>Q2-W01</t>
        </is>
      </c>
      <c r="CG2931"/>
      <c r="CH2931"/>
      <c r="CI2931"/>
      <c r="CJ2931" t="inlineStr">
        <is>
          <t>Paid</t>
        </is>
      </c>
      <c r="CK2931" t="inlineStr">
        <is>
          <t>Eligible</t>
        </is>
      </c>
      <c r="CL2931"/>
      <c r="CM2931"/>
    </row>
    <row r="2932" ht="25.5" customHeight="1">
      <c r="A2932" t="inlineStr">
        <is>
          <t>143388</t>
        </is>
      </c>
      <c r="B2932" s="2"/>
      <c r="C2932"/>
      <c r="D2932" s="3">
        <v>46120.49270833333</v>
      </c>
      <c r="E2932" t="inlineStr">
        <is>
          <t>Q2-W01</t>
        </is>
      </c>
      <c r="F2932" t="inlineStr">
        <is>
          <t>Ken Yi</t>
        </is>
      </c>
      <c r="G2932" t="inlineStr">
        <is>
          <t>Customer</t>
        </is>
      </c>
      <c r="H2932" s="2" t="str">
        <f>=HYPERLINK("https://upbox.ajobthing.my/customer/143388", "https://upbox.ajobthing.my/customer/143388")</f>
        <v>https://upbox.ajobthing.my/customer/143388</v>
      </c>
      <c r="I2932" t="inlineStr">
        <is>
          <t>Lion Stone Sdn Bhd</t>
        </is>
      </c>
      <c r="J2932" t="inlineStr">
        <is>
          <t>Whale</t>
        </is>
      </c>
      <c r="K2932" t="inlineStr">
        <is>
          <t>Kenyi</t>
        </is>
      </c>
      <c r="L2932" s="4"/>
      <c r="M2932" s="4">
        <v>46120.48924768518</v>
      </c>
      <c r="N2932"/>
      <c r="O2932">
        <v>10800</v>
      </c>
      <c r="P2932" s="4"/>
      <c r="Q2932" s="4">
        <v>45936.5622337963</v>
      </c>
      <c r="R2932"/>
      <c r="S2932">
        <v>3672</v>
      </c>
      <c r="T2932" s="4">
        <v>45936.5622337963</v>
      </c>
      <c r="U2932" s="4"/>
      <c r="V2932"/>
      <c r="W2932">
        <v>3672</v>
      </c>
      <c r="X2932"/>
      <c r="Y2932" t="inlineStr">
        <is>
          <t>Pending Appointment</t>
        </is>
      </c>
      <c r="Z2932" t="inlineStr">
        <is>
          <t>Hiring Now</t>
        </is>
      </c>
      <c r="AA2932">
        <v>1</v>
      </c>
      <c r="AB2932" t="inlineStr">
        <is>
          <t>No Appointment Made</t>
        </is>
      </c>
      <c r="AC2932"/>
      <c r="AD2932" t="inlineStr">
        <is>
          <t>Sales &amp; Marketing 3</t>
        </is>
      </c>
      <c r="AE2932"/>
      <c r="AF2932">
        <v>5000</v>
      </c>
      <c r="AG2932" s="4"/>
      <c r="AH2932" s="4"/>
      <c r="AI2932">
        <v>5000</v>
      </c>
      <c r="AJ2932">
        <v>1</v>
      </c>
      <c r="AK2932" t="inlineStr">
        <is>
          <t>Yes, I have</t>
        </is>
      </c>
      <c r="AL2932">
        <v>1</v>
      </c>
      <c r="AM2932" t="inlineStr">
        <is>
          <t>No, I don't need at all</t>
        </is>
      </c>
      <c r="AN2932"/>
      <c r="AO2932" t="inlineStr">
        <is>
          <t>No, I don't need at all</t>
        </is>
      </c>
      <c r="AP2932" t="inlineStr">
        <is>
          <t>Every month (100%)</t>
        </is>
      </c>
      <c r="AQ2932">
        <v>3</v>
      </c>
      <c r="AR2932" t="inlineStr">
        <is>
          <t>Jobstreet, Free Job Portal</t>
        </is>
      </c>
      <c r="AS2932" t="inlineStr">
        <is>
          <t>- Headcount: 1
- Hiring Job Details: Sales &amp; Marketing 3
- Hiring Urgency: Hiring Now
- Number of outlets: 1
- Have recruiter team: Yes, I have
- Number of recruiter in company: 1
- Have ATS system: No, I don't need at all
- Have career website: No, I don't need at all
- Current hiring budget: RM5,000
- Whole year budget: RM5,000.00
- Whole year number of vacancies: 3
- Hiring frequency: Every month (100%)
- External job portal: Jobstreet,Free Job Portal</t>
        </is>
      </c>
      <c r="AT2932">
        <v>115</v>
      </c>
      <c r="AU2932" t="inlineStr">
        <is>
          <t>1.15</t>
        </is>
      </c>
      <c r="AV2932" t="inlineStr">
        <is>
          <t>15</t>
        </is>
      </c>
      <c r="AW2932" t="inlineStr">
        <is>
          <t>0</t>
        </is>
      </c>
      <c r="AX2932" t="inlineStr">
        <is>
          <t>Not Qualified</t>
        </is>
      </c>
      <c r="AY2932" s="4"/>
      <c r="AZ2932"/>
      <c r="BA2932"/>
      <c r="BB2932"/>
      <c r="BC2932" t="inlineStr">
        <is>
          <t>Job outcome, no active hiring now</t>
        </is>
      </c>
      <c r="BD2932" s="4">
        <v>46134.67322916666</v>
      </c>
      <c r="BE2932" t="inlineStr">
        <is>
          <t>paid</t>
        </is>
      </c>
      <c r="BF2932"/>
      <c r="BG2932" t="inlineStr">
        <is>
          <t>Reschedule</t>
        </is>
      </c>
      <c r="BH2932" t="inlineStr">
        <is>
          <t>Fauziah Maharan</t>
        </is>
      </c>
      <c r="BI2932" t="inlineStr">
        <is>
          <t>General / Wholesale Trading</t>
        </is>
      </c>
      <c r="BJ2932" s="4">
        <v>46144.75069444445</v>
      </c>
      <c r="BK2932" s="4">
        <v>44506.629166666666</v>
      </c>
      <c r="BL2932" t="inlineStr">
        <is>
          <t>5994.0</t>
        </is>
      </c>
      <c r="BM2932" t="inlineStr">
        <is>
          <t>1650.0</t>
        </is>
      </c>
      <c r="BN2932" t="inlineStr">
        <is>
          <t>View Jobmanager Page</t>
        </is>
      </c>
      <c r="BO2932" s="4">
        <v>46111.6778125</v>
      </c>
      <c r="BP2932">
        <v>165879</v>
      </c>
      <c r="BQ2932">
        <v>83020</v>
      </c>
      <c r="BR2932" t="inlineStr">
        <is>
          <t>Online</t>
        </is>
      </c>
      <c r="BS2932"/>
      <c r="BT2932">
        <v>83020</v>
      </c>
      <c r="BU2932"/>
      <c r="BV2932">
        <v>2721366</v>
      </c>
      <c r="BW2932" t="inlineStr">
        <is>
          <t>Service / Technical : Job Outcome Enquiry</t>
        </is>
      </c>
      <c r="BX2932">
        <v>6</v>
      </c>
      <c r="BY2932">
        <v>2</v>
      </c>
      <c r="BZ2932" s="4">
        <v>46107.51666666667</v>
      </c>
      <c r="CA2932">
        <v>60</v>
      </c>
      <c r="CB2932">
        <v>18</v>
      </c>
      <c r="CC2932" s="4">
        <v>46050.685636574075</v>
      </c>
      <c r="CD2932" t="inlineStr">
        <is>
          <t>20</t>
        </is>
      </c>
      <c r="CE2932" t="inlineStr">
        <is>
          <t>0</t>
        </is>
      </c>
      <c r="CF2932" t="inlineStr">
        <is>
          <t>Q2-W01</t>
        </is>
      </c>
      <c r="CG2932"/>
      <c r="CH2932"/>
      <c r="CI2932"/>
      <c r="CJ2932" t="inlineStr">
        <is>
          <t>Paid</t>
        </is>
      </c>
      <c r="CK2932" t="inlineStr">
        <is>
          <t>Eligible</t>
        </is>
      </c>
      <c r="CL2932"/>
      <c r="CM2932"/>
    </row>
    <row r="2933" ht="25.5" customHeight="1">
      <c r="A2933" t="inlineStr">
        <is>
          <t>193794</t>
        </is>
      </c>
      <c r="B2933" s="2"/>
      <c r="C2933"/>
      <c r="D2933" s="3">
        <v>46120.504282407404</v>
      </c>
      <c r="E2933" t="inlineStr">
        <is>
          <t>Q2-W01</t>
        </is>
      </c>
      <c r="F2933" t="inlineStr">
        <is>
          <t>Yvonne Lee</t>
        </is>
      </c>
      <c r="G2933" t="inlineStr">
        <is>
          <t>Customer</t>
        </is>
      </c>
      <c r="H2933" s="2" t="str">
        <f>=HYPERLINK("https://upbox.ajobthing.my/customer/193794", "https://upbox.ajobthing.my/customer/193794")</f>
        <v>https://upbox.ajobthing.my/customer/193794</v>
      </c>
      <c r="I2933" t="inlineStr">
        <is>
          <t>Agensi Perkerjaan Job Search Asia Sdn Bhd</t>
        </is>
      </c>
      <c r="J2933" t="inlineStr">
        <is>
          <t>Whale</t>
        </is>
      </c>
      <c r="K2933" t="inlineStr">
        <is>
          <t>Yvonne</t>
        </is>
      </c>
      <c r="L2933" s="4"/>
      <c r="M2933" s="4">
        <v>46120.506215277775</v>
      </c>
      <c r="N2933"/>
      <c r="O2933">
        <v>10800</v>
      </c>
      <c r="P2933" s="4"/>
      <c r="Q2933" s="4">
        <v>46126.40221064815</v>
      </c>
      <c r="R2933"/>
      <c r="S2933">
        <v>0</v>
      </c>
      <c r="T2933" s="4"/>
      <c r="U2933" s="4"/>
      <c r="V2933"/>
      <c r="W2933"/>
      <c r="X2933"/>
      <c r="Y2933" t="inlineStr">
        <is>
          <t>Pending Appointment</t>
        </is>
      </c>
      <c r="Z2933" t="inlineStr">
        <is>
          <t>Hiring Now</t>
        </is>
      </c>
      <c r="AA2933">
        <v>4</v>
      </c>
      <c r="AB2933" t="inlineStr">
        <is>
          <t>No Appointment Made</t>
        </is>
      </c>
      <c r="AC2933"/>
      <c r="AD2933" t="inlineStr">
        <is>
          <t>1) Sales Coordinator
2) Administrative
3) Finance positions
4) Corporate planning</t>
        </is>
      </c>
      <c r="AE2933"/>
      <c r="AF2933">
        <v>15000</v>
      </c>
      <c r="AG2933" s="4"/>
      <c r="AH2933" s="4"/>
      <c r="AI2933">
        <v>15000</v>
      </c>
      <c r="AJ2933">
        <v>1</v>
      </c>
      <c r="AK2933" t="inlineStr">
        <is>
          <t>Yes, I have</t>
        </is>
      </c>
      <c r="AL2933">
        <v>8</v>
      </c>
      <c r="AM2933" t="inlineStr">
        <is>
          <t>No, I don't need at all</t>
        </is>
      </c>
      <c r="AN2933"/>
      <c r="AO2933" t="inlineStr">
        <is>
          <t>Yes, I have</t>
        </is>
      </c>
      <c r="AP2933" t="inlineStr">
        <is>
          <t>Every month (100%)</t>
        </is>
      </c>
      <c r="AQ2933">
        <v>130</v>
      </c>
      <c r="AR2933" t="inlineStr">
        <is>
          <t>Jobstreet, Free Job Portal</t>
        </is>
      </c>
      <c r="AS2933" t="inlineStr">
        <is>
          <t>- Headcount: 4
- Hiring Job Details: 1 Sales Coordinator, 2 Administrative, 3 Finance positions, 4 Corporate planning
- Hiring Urgency: Hiring Now
- Number of outlets: 1
- Have recruiter team: Yes
- Number of recruiter in company: 8
- Have ATS system: No, I don't need at all
- Have career website: Yes
- Current hiring budget: RM15,000
- Whole year budget: RM15,000.00
- Whole year number of vacancies: 130
- Hiring frequency: Every month (100%)
- External job portal: Jobstreet, Free Job Portal</t>
        </is>
      </c>
      <c r="AT2933">
        <v>115</v>
      </c>
      <c r="AU2933" t="inlineStr">
        <is>
          <t>1.15</t>
        </is>
      </c>
      <c r="AV2933" t="inlineStr">
        <is>
          <t>20</t>
        </is>
      </c>
      <c r="AW2933" t="inlineStr">
        <is>
          <t>0</t>
        </is>
      </c>
      <c r="AX2933" t="inlineStr">
        <is>
          <t>Not Qualified</t>
        </is>
      </c>
      <c r="AY2933" s="4"/>
      <c r="AZ2933"/>
      <c r="BA2933"/>
      <c r="BB2933"/>
      <c r="BC2933" t="inlineStr">
        <is>
          <t>Need assists on job posting and complaint many unrelevant cdd and only wanted to focus chinese cdd.</t>
        </is>
      </c>
      <c r="BD2933" s="4">
        <v>46140.44934027778</v>
      </c>
      <c r="BE2933" t="inlineStr">
        <is>
          <t>paid</t>
        </is>
      </c>
      <c r="BF2933"/>
      <c r="BG2933" t="inlineStr">
        <is>
          <t>Reschedule</t>
        </is>
      </c>
      <c r="BH2933" t="inlineStr">
        <is>
          <t>andy@ajobthing.com</t>
        </is>
      </c>
      <c r="BI2933"/>
      <c r="BJ2933" s="4">
        <v>46144.75263888889</v>
      </c>
      <c r="BK2933" s="4">
        <v>45853.60346064815</v>
      </c>
      <c r="BL2933" t="inlineStr">
        <is>
          <t>0.0</t>
        </is>
      </c>
      <c r="BM2933" t="inlineStr">
        <is>
          <t>13200.0</t>
        </is>
      </c>
      <c r="BN2933" t="inlineStr">
        <is>
          <t>View Company Page</t>
        </is>
      </c>
      <c r="BO2933" s="4">
        <v>46142.704050925924</v>
      </c>
      <c r="BP2933">
        <v>165892</v>
      </c>
      <c r="BQ2933">
        <v>122147</v>
      </c>
      <c r="BR2933" t="inlineStr">
        <is>
          <t>Proforma</t>
        </is>
      </c>
      <c r="BS2933" t="inlineStr">
        <is>
          <t>Free Part-Time Job</t>
        </is>
      </c>
      <c r="BT2933"/>
      <c r="BU2933"/>
      <c r="BV2933">
        <v>2731936</v>
      </c>
      <c r="BW2933" t="inlineStr">
        <is>
          <t>Service / Technical : Job Outcome Enquiry</t>
        </is>
      </c>
      <c r="BX2933">
        <v>300</v>
      </c>
      <c r="BY2933">
        <v>264</v>
      </c>
      <c r="BZ2933" s="4">
        <v>46142.64048611111</v>
      </c>
      <c r="CA2933">
        <v>26</v>
      </c>
      <c r="CB2933">
        <v>26</v>
      </c>
      <c r="CC2933" s="4"/>
      <c r="CD2933" t="inlineStr">
        <is>
          <t>25</t>
        </is>
      </c>
      <c r="CE2933" t="inlineStr">
        <is>
          <t>0</t>
        </is>
      </c>
      <c r="CF2933" t="inlineStr">
        <is>
          <t>Q2-W01</t>
        </is>
      </c>
      <c r="CG2933" t="inlineStr">
        <is>
          <t>Q2-W02</t>
        </is>
      </c>
      <c r="CH2933"/>
      <c r="CI2933"/>
      <c r="CJ2933" t="inlineStr">
        <is>
          <t>No Paid</t>
        </is>
      </c>
      <c r="CK2933" t="inlineStr">
        <is>
          <t>Eligible</t>
        </is>
      </c>
      <c r="CL2933"/>
      <c r="CM2933"/>
    </row>
    <row r="2934" ht="25.5" customHeight="1">
      <c r="A2934" t="inlineStr">
        <is>
          <t>191143</t>
        </is>
      </c>
      <c r="B2934" s="2"/>
      <c r="C2934"/>
      <c r="D2934" s="3">
        <v>46120.525509259256</v>
      </c>
      <c r="E2934" t="inlineStr">
        <is>
          <t>Q2-W01</t>
        </is>
      </c>
      <c r="F2934" t="inlineStr">
        <is>
          <t>Josh</t>
        </is>
      </c>
      <c r="G2934" t="inlineStr">
        <is>
          <t>Customer</t>
        </is>
      </c>
      <c r="H2934" s="2" t="str">
        <f>=HYPERLINK("https://upbox.ajobthing.my/customer/191143", "https://upbox.ajobthing.my/customer/191143")</f>
        <v>https://upbox.ajobthing.my/customer/191143</v>
      </c>
      <c r="I2934" t="inlineStr">
        <is>
          <t>Luminous Beauty Glass Sdn Bhd</t>
        </is>
      </c>
      <c r="J2934" t="inlineStr">
        <is>
          <t>Whale</t>
        </is>
      </c>
      <c r="K2934" t="inlineStr">
        <is>
          <t>Josh</t>
        </is>
      </c>
      <c r="L2934" s="4"/>
      <c r="M2934" s="4">
        <v>46120.52302083333</v>
      </c>
      <c r="N2934"/>
      <c r="O2934">
        <v>3672</v>
      </c>
      <c r="P2934" s="4"/>
      <c r="Q2934" s="4">
        <v>45790.68363425926</v>
      </c>
      <c r="R2934"/>
      <c r="S2934">
        <v>3132</v>
      </c>
      <c r="T2934" s="4">
        <v>45790.68363425926</v>
      </c>
      <c r="U2934" s="4"/>
      <c r="V2934"/>
      <c r="W2934">
        <v>3132</v>
      </c>
      <c r="X2934"/>
      <c r="Y2934" t="inlineStr">
        <is>
          <t>Pending Appointment</t>
        </is>
      </c>
      <c r="Z2934" t="inlineStr">
        <is>
          <t>Hiring Now</t>
        </is>
      </c>
      <c r="AA2934">
        <v>0</v>
      </c>
      <c r="AB2934" t="inlineStr">
        <is>
          <t>No Appointment Made</t>
        </is>
      </c>
      <c r="AC2934"/>
      <c r="AD2934" t="inlineStr">
        <is>
          <t xml:space="preserve">1 hr </t>
        </is>
      </c>
      <c r="AE2934"/>
      <c r="AF2934">
        <v>3000</v>
      </c>
      <c r="AG2934" s="4"/>
      <c r="AH2934" s="4"/>
      <c r="AI2934"/>
      <c r="AJ2934"/>
      <c r="AK2934" t="inlineStr">
        <is>
          <t>Yes, I have</t>
        </is>
      </c>
      <c r="AL2934"/>
      <c r="AM2934"/>
      <c r="AN2934"/>
      <c r="AO2934"/>
      <c r="AP2934" t="inlineStr">
        <is>
          <t>Once a year (25%)</t>
        </is>
      </c>
      <c r="AQ2934"/>
      <c r="AR2934"/>
      <c r="AS2934" t="inlineStr">
        <is>
          <t>- Headcount: 0
- Hiring Job Details: 1 hr
- Hiring Urgency: Hiring Now
- Number of outlets: N/A
- Have recruiter team: Yes, I have
- Number of recruiter in company: N/A
- Have ATS system: N/A
- Have career website: N/A
- Current hiring budget: RM3,000.00
- Whole year budget: N/A
- Whole year number of vacancies: N/A
- Hiring frequency: Once a year (25%)
- External job portal: N/A</t>
        </is>
      </c>
      <c r="AT2934">
        <v>45</v>
      </c>
      <c r="AU2934" t="inlineStr">
        <is>
          <t>0.45</t>
        </is>
      </c>
      <c r="AV2934" t="inlineStr">
        <is>
          <t>15</t>
        </is>
      </c>
      <c r="AW2934" t="inlineStr">
        <is>
          <t>0</t>
        </is>
      </c>
      <c r="AX2934" t="inlineStr">
        <is>
          <t>Not Qualified</t>
        </is>
      </c>
      <c r="AY2934" s="4"/>
      <c r="AZ2934"/>
      <c r="BA2934"/>
      <c r="BB2934"/>
      <c r="BC2934" t="inlineStr">
        <is>
          <t>npu</t>
        </is>
      </c>
      <c r="BD2934" s="4">
        <v>46136.44574074074</v>
      </c>
      <c r="BE2934" t="inlineStr">
        <is>
          <t>paid</t>
        </is>
      </c>
      <c r="BF2934"/>
      <c r="BG2934" t="inlineStr">
        <is>
          <t>Reschedule</t>
        </is>
      </c>
      <c r="BH2934" t="inlineStr">
        <is>
          <t>Fauziah Maharan</t>
        </is>
      </c>
      <c r="BI2934"/>
      <c r="BJ2934" s="4">
        <v>46144.75239583333</v>
      </c>
      <c r="BK2934" s="4">
        <v>45790.358877314815</v>
      </c>
      <c r="BL2934" t="inlineStr">
        <is>
          <t>3132.0</t>
        </is>
      </c>
      <c r="BM2934" t="inlineStr">
        <is>
          <t>2400.0</t>
        </is>
      </c>
      <c r="BN2934" t="inlineStr">
        <is>
          <t>User Visit(Logged In)</t>
        </is>
      </c>
      <c r="BO2934" s="4">
        <v>46118.58006944445</v>
      </c>
      <c r="BP2934">
        <v>165899</v>
      </c>
      <c r="BQ2934">
        <v>79225</v>
      </c>
      <c r="BR2934" t="inlineStr">
        <is>
          <t>Online</t>
        </is>
      </c>
      <c r="BS2934"/>
      <c r="BT2934">
        <v>79225</v>
      </c>
      <c r="BU2934"/>
      <c r="BV2934">
        <v>2725676</v>
      </c>
      <c r="BW2934" t="inlineStr">
        <is>
          <t>No Answer : Voicemail - WA sent to customer</t>
        </is>
      </c>
      <c r="BX2934">
        <v>6</v>
      </c>
      <c r="BY2934">
        <v>0</v>
      </c>
      <c r="BZ2934" s="4">
        <v>46004.735868055555</v>
      </c>
      <c r="CA2934">
        <v>120</v>
      </c>
      <c r="CB2934">
        <v>96</v>
      </c>
      <c r="CC2934" s="4">
        <v>45926.439305555556</v>
      </c>
      <c r="CD2934" t="inlineStr">
        <is>
          <t>20</t>
        </is>
      </c>
      <c r="CE2934" t="inlineStr">
        <is>
          <t>0</t>
        </is>
      </c>
      <c r="CF2934" t="inlineStr">
        <is>
          <t>Q2-W01</t>
        </is>
      </c>
      <c r="CG2934"/>
      <c r="CH2934"/>
      <c r="CI2934"/>
      <c r="CJ2934" t="inlineStr">
        <is>
          <t>Paid</t>
        </is>
      </c>
      <c r="CK2934" t="inlineStr">
        <is>
          <t>Eligible</t>
        </is>
      </c>
      <c r="CL2934"/>
      <c r="CM2934"/>
    </row>
    <row r="2935" ht="25.5" customHeight="1">
      <c r="A2935" t="inlineStr">
        <is>
          <t>183439</t>
        </is>
      </c>
      <c r="B2935" s="2"/>
      <c r="C2935"/>
      <c r="D2935" s="3">
        <v>46120.59761574074</v>
      </c>
      <c r="E2935" t="inlineStr">
        <is>
          <t>Q2-W01</t>
        </is>
      </c>
      <c r="F2935" t="inlineStr">
        <is>
          <t>Yvonne Lee</t>
        </is>
      </c>
      <c r="G2935" t="inlineStr">
        <is>
          <t>Customer</t>
        </is>
      </c>
      <c r="H2935" s="2" t="str">
        <f>=HYPERLINK("https://upbox.ajobthing.my/customer/183439", "https://upbox.ajobthing.my/customer/183439")</f>
        <v>https://upbox.ajobthing.my/customer/183439</v>
      </c>
      <c r="I2935" t="inlineStr">
        <is>
          <t>Agensi Pekerjaan Gmp (m) Sdn Bhd</t>
        </is>
      </c>
      <c r="J2935" t="inlineStr">
        <is>
          <t>Whale</t>
        </is>
      </c>
      <c r="K2935" t="inlineStr">
        <is>
          <t>Yvonne</t>
        </is>
      </c>
      <c r="L2935" s="4"/>
      <c r="M2935" s="4">
        <v>46120.60084490741</v>
      </c>
      <c r="N2935"/>
      <c r="O2935">
        <v>21600</v>
      </c>
      <c r="P2935" s="4"/>
      <c r="Q2935" s="4"/>
      <c r="R2935"/>
      <c r="S2935"/>
      <c r="T2935" s="4"/>
      <c r="U2935" s="4"/>
      <c r="V2935"/>
      <c r="W2935"/>
      <c r="X2935"/>
      <c r="Y2935" t="inlineStr">
        <is>
          <t>Pending Appointment</t>
        </is>
      </c>
      <c r="Z2935" t="inlineStr">
        <is>
          <t>Continuous Hiring</t>
        </is>
      </c>
      <c r="AA2935">
        <v>4</v>
      </c>
      <c r="AB2935" t="inlineStr">
        <is>
          <t>No Appointment Made</t>
        </is>
      </c>
      <c r="AC2935"/>
      <c r="AD2935" t="inlineStr">
        <is>
          <t>1) Management Trainee
2) Marketing Executive
3) Shipping &amp; Sourcing Executive
4) Admin/HR Officer</t>
        </is>
      </c>
      <c r="AE2935"/>
      <c r="AF2935">
        <v>10000</v>
      </c>
      <c r="AG2935" s="4"/>
      <c r="AH2935" s="4"/>
      <c r="AI2935">
        <v>10000</v>
      </c>
      <c r="AJ2935">
        <v>2</v>
      </c>
      <c r="AK2935" t="inlineStr">
        <is>
          <t>Yes, I have</t>
        </is>
      </c>
      <c r="AL2935">
        <v>7</v>
      </c>
      <c r="AM2935" t="inlineStr">
        <is>
          <t>No, I don't need at all</t>
        </is>
      </c>
      <c r="AN2935"/>
      <c r="AO2935" t="inlineStr">
        <is>
          <t>Yes, I have</t>
        </is>
      </c>
      <c r="AP2935" t="inlineStr">
        <is>
          <t>Every month (100%)</t>
        </is>
      </c>
      <c r="AQ2935">
        <v>100</v>
      </c>
      <c r="AR2935" t="inlineStr">
        <is>
          <t>Jobstreet</t>
        </is>
      </c>
      <c r="AS2935" t="inlineStr">
        <is>
          <t>- Headcount: 4
- Hiring Job Details: 1 Management Trainee, 2 Marketing Executive, 3 Shipping &amp; Sourcing Executive, 4 Admin/HR Officer
- Hiring Urgency: Continuous Hiring
- Number of outlets: 2
- Have recruiter team: Yes
- Number of recruiter in company: 7
- Have ATS system: No, I don't need at all
- Have career website: Yes
- Current hiring budget: RM10,000
- Whole year budget: RM10,000.00
- Whole year number of vacancies: 100
- Hiring frequency: Every month (100%)
- External job portal: Jobstreet</t>
        </is>
      </c>
      <c r="AT2935">
        <v>115</v>
      </c>
      <c r="AU2935" t="inlineStr">
        <is>
          <t>1.15</t>
        </is>
      </c>
      <c r="AV2935" t="inlineStr">
        <is>
          <t>15</t>
        </is>
      </c>
      <c r="AW2935" t="inlineStr">
        <is>
          <t>0</t>
        </is>
      </c>
      <c r="AX2935" t="inlineStr">
        <is>
          <t>Not Qualified</t>
        </is>
      </c>
      <c r="AY2935" s="4"/>
      <c r="AZ2935"/>
      <c r="BA2935"/>
      <c r="BB2935"/>
      <c r="BC2935" t="inlineStr">
        <is>
          <t>Spoken with Josephine. Not interested on the free job posting due her boss is tagging long time to get approval, share the proposal and will implement to her boss see how it goes.</t>
        </is>
      </c>
      <c r="BD2935" s="4">
        <v>46122.62850694444</v>
      </c>
      <c r="BE2935"/>
      <c r="BF2935"/>
      <c r="BG2935" t="inlineStr">
        <is>
          <t>Reschedule</t>
        </is>
      </c>
      <c r="BH2935" t="inlineStr">
        <is>
          <t>andy@ajobthing.com</t>
        </is>
      </c>
      <c r="BI2935"/>
      <c r="BJ2935" s="4">
        <v>46144.751967592594</v>
      </c>
      <c r="BK2935" s="4">
        <v>45569.697384259256</v>
      </c>
      <c r="BL2935" t="inlineStr">
        <is>
          <t>0.0</t>
        </is>
      </c>
      <c r="BM2935" t="inlineStr">
        <is>
          <t>9600.0</t>
        </is>
      </c>
      <c r="BN2935" t="inlineStr">
        <is>
          <t>View Company Page</t>
        </is>
      </c>
      <c r="BO2935" s="4">
        <v>45569.705405092594</v>
      </c>
      <c r="BP2935">
        <v>165915</v>
      </c>
      <c r="BQ2935"/>
      <c r="BR2935"/>
      <c r="BS2935"/>
      <c r="BT2935"/>
      <c r="BU2935"/>
      <c r="BV2935">
        <v>2698391</v>
      </c>
      <c r="BW2935" t="inlineStr">
        <is>
          <t>Inquire for Hiring Needs : Quotation Sent 50%</t>
        </is>
      </c>
      <c r="BX2935"/>
      <c r="BY2935"/>
      <c r="BZ2935" s="4"/>
      <c r="CA2935"/>
      <c r="CB2935"/>
      <c r="CC2935" s="4"/>
      <c r="CD2935" t="inlineStr">
        <is>
          <t>20</t>
        </is>
      </c>
      <c r="CE2935" t="inlineStr">
        <is>
          <t>0</t>
        </is>
      </c>
      <c r="CF2935" t="inlineStr">
        <is>
          <t>Q2-W01</t>
        </is>
      </c>
      <c r="CG2935"/>
      <c r="CH2935"/>
      <c r="CI2935"/>
      <c r="CJ2935" t="inlineStr">
        <is>
          <t>No Paid</t>
        </is>
      </c>
      <c r="CK2935" t="inlineStr">
        <is>
          <t>Eligible</t>
        </is>
      </c>
      <c r="CL2935"/>
      <c r="CM2935"/>
    </row>
    <row r="2936" ht="25.5" customHeight="1">
      <c r="A2936" t="inlineStr">
        <is>
          <t>165070</t>
        </is>
      </c>
      <c r="B2936" s="2"/>
      <c r="C2936"/>
      <c r="D2936" s="3">
        <v>46120.60486111111</v>
      </c>
      <c r="E2936" t="inlineStr">
        <is>
          <t>Q2-W01</t>
        </is>
      </c>
      <c r="F2936" t="inlineStr">
        <is>
          <t>Yuli</t>
        </is>
      </c>
      <c r="G2936" t="inlineStr">
        <is>
          <t>Customer</t>
        </is>
      </c>
      <c r="H2936" s="2" t="str">
        <f>=HYPERLINK("https://upbox.ajobthing.my/customer/165070", "https://upbox.ajobthing.my/customer/165070")</f>
        <v>https://upbox.ajobthing.my/customer/165070</v>
      </c>
      <c r="I2936" t="inlineStr">
        <is>
          <t>Ice Age Event Management Sdn Bhd</t>
        </is>
      </c>
      <c r="J2936" t="inlineStr">
        <is>
          <t>Whale</t>
        </is>
      </c>
      <c r="K2936" t="inlineStr">
        <is>
          <t>YuLi</t>
        </is>
      </c>
      <c r="L2936" s="4"/>
      <c r="M2936" s="4">
        <v>46120.60414351852</v>
      </c>
      <c r="N2936"/>
      <c r="O2936">
        <v>10800</v>
      </c>
      <c r="P2936" s="4"/>
      <c r="Q2936" s="4">
        <v>46139.54834490741</v>
      </c>
      <c r="R2936"/>
      <c r="S2936">
        <v>0</v>
      </c>
      <c r="T2936" s="4">
        <v>46139.45652777778</v>
      </c>
      <c r="U2936" s="4"/>
      <c r="V2936"/>
      <c r="W2936">
        <v>8208</v>
      </c>
      <c r="X2936"/>
      <c r="Y2936" t="inlineStr">
        <is>
          <t>Pending Appointment</t>
        </is>
      </c>
      <c r="Z2936" t="inlineStr">
        <is>
          <t>Hiring Now</t>
        </is>
      </c>
      <c r="AA2936">
        <v>3</v>
      </c>
      <c r="AB2936" t="inlineStr">
        <is>
          <t>No Appointment Made</t>
        </is>
      </c>
      <c r="AC2936"/>
      <c r="AD2936" t="inlineStr">
        <is>
          <t>Admin, Graphic Designer. Customer Service</t>
        </is>
      </c>
      <c r="AE2936"/>
      <c r="AF2936"/>
      <c r="AG2936" s="4"/>
      <c r="AH2936" s="4"/>
      <c r="AI2936"/>
      <c r="AJ2936">
        <v>3</v>
      </c>
      <c r="AK2936"/>
      <c r="AL2936"/>
      <c r="AM2936"/>
      <c r="AN2936"/>
      <c r="AO2936"/>
      <c r="AP2936"/>
      <c r="AQ2936"/>
      <c r="AR2936" t="inlineStr">
        <is>
          <t>Did not use any job portal</t>
        </is>
      </c>
      <c r="AS2936" t="inlineStr">
        <is>
          <t>- Headcount: 3
- Hiring Job Details: Admin, Graphic Designer, Customer Service
- Hiring Urgency: Hiring Now
- Number of outlets: 3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Did not use any job portal</t>
        </is>
      </c>
      <c r="AT2936">
        <v>65</v>
      </c>
      <c r="AU2936" t="inlineStr">
        <is>
          <t>0.65</t>
        </is>
      </c>
      <c r="AV2936" t="inlineStr">
        <is>
          <t>5</t>
        </is>
      </c>
      <c r="AW2936" t="inlineStr">
        <is>
          <t>0</t>
        </is>
      </c>
      <c r="AX2936" t="inlineStr">
        <is>
          <t>Not Qualified</t>
        </is>
      </c>
      <c r="AY2936" s="4"/>
      <c r="AZ2936"/>
      <c r="BA2936"/>
      <c r="BB2936"/>
      <c r="BC2936" t="inlineStr">
        <is>
          <t>Received payment from ms. Christine, for payment slip and ask to post for Event coordinator</t>
        </is>
      </c>
      <c r="BD2936" s="4">
        <v>46139.54769675926</v>
      </c>
      <c r="BE2936" t="inlineStr">
        <is>
          <t>paid</t>
        </is>
      </c>
      <c r="BF2936" t="inlineStr">
        <is>
          <t>Q2-W04</t>
        </is>
      </c>
      <c r="BG2936" t="inlineStr">
        <is>
          <t>Reschedule</t>
        </is>
      </c>
      <c r="BH2936" t="inlineStr">
        <is>
          <t>Fauziah Maharan</t>
        </is>
      </c>
      <c r="BI2936" t="inlineStr">
        <is>
          <t>Advertising / Marketing</t>
        </is>
      </c>
      <c r="BJ2936" s="4">
        <v>46144.751226851855</v>
      </c>
      <c r="BK2936" s="4">
        <v>44990.82837962963</v>
      </c>
      <c r="BL2936" t="inlineStr">
        <is>
          <t>8208.0</t>
        </is>
      </c>
      <c r="BM2936" t="inlineStr">
        <is>
          <t>0.0</t>
        </is>
      </c>
      <c r="BN2936" t="inlineStr">
        <is>
          <t>PA Visit - Job Card</t>
        </is>
      </c>
      <c r="BO2936" s="4">
        <v>46141.51362268518</v>
      </c>
      <c r="BP2936">
        <v>165918</v>
      </c>
      <c r="BQ2936">
        <v>123763</v>
      </c>
      <c r="BR2936" t="inlineStr">
        <is>
          <t>Proforma</t>
        </is>
      </c>
      <c r="BS2936" t="inlineStr">
        <is>
          <t>Free Part-Time Job</t>
        </is>
      </c>
      <c r="BT2936">
        <v>94789</v>
      </c>
      <c r="BU2936"/>
      <c r="BV2936">
        <v>2729141</v>
      </c>
      <c r="BW2936" t="inlineStr">
        <is>
          <t>Follow Up : Win - Customer Paid</t>
        </is>
      </c>
      <c r="BX2936">
        <v>5</v>
      </c>
      <c r="BY2936">
        <v>2</v>
      </c>
      <c r="BZ2936" s="4">
        <v>46139.64877314815</v>
      </c>
      <c r="CA2936"/>
      <c r="CB2936"/>
      <c r="CC2936" s="4"/>
      <c r="CD2936" t="inlineStr">
        <is>
          <t>5</t>
        </is>
      </c>
      <c r="CE2936" t="inlineStr">
        <is>
          <t>0</t>
        </is>
      </c>
      <c r="CF2936" t="inlineStr">
        <is>
          <t>Q2-W01</t>
        </is>
      </c>
      <c r="CG2936" t="inlineStr">
        <is>
          <t>Q2-W04</t>
        </is>
      </c>
      <c r="CH2936" t="inlineStr">
        <is>
          <t>Q2-W04</t>
        </is>
      </c>
      <c r="CI2936"/>
      <c r="CJ2936" t="inlineStr">
        <is>
          <t>Paid</t>
        </is>
      </c>
      <c r="CK2936" t="inlineStr">
        <is>
          <t>Eligible</t>
        </is>
      </c>
      <c r="CL2936"/>
      <c r="CM2936"/>
    </row>
    <row r="2937" ht="25.5" customHeight="1">
      <c r="A2937" t="inlineStr">
        <is>
          <t>114297</t>
        </is>
      </c>
      <c r="B2937" s="2"/>
      <c r="C2937"/>
      <c r="D2937" s="3">
        <v>46120.60951388889</v>
      </c>
      <c r="E2937" t="inlineStr">
        <is>
          <t>Q2-W01</t>
        </is>
      </c>
      <c r="F2937" t="inlineStr">
        <is>
          <t>Ratha</t>
        </is>
      </c>
      <c r="G2937" t="inlineStr">
        <is>
          <t>Customer</t>
        </is>
      </c>
      <c r="H2937" s="2" t="str">
        <f>=HYPERLINK("https://upbox.ajobthing.my/customer/114297", "https://upbox.ajobthing.my/customer/114297")</f>
        <v>https://upbox.ajobthing.my/customer/114297</v>
      </c>
      <c r="I2937" t="inlineStr">
        <is>
          <t>Kong Long Huat Chemicals Sdn Berhad</t>
        </is>
      </c>
      <c r="J2937" t="inlineStr">
        <is>
          <t>Whale</t>
        </is>
      </c>
      <c r="K2937" t="inlineStr">
        <is>
          <t>Ratha</t>
        </is>
      </c>
      <c r="L2937" s="4"/>
      <c r="M2937" s="4">
        <v>46120.61002314815</v>
      </c>
      <c r="N2937"/>
      <c r="O2937">
        <v>10800</v>
      </c>
      <c r="P2937" s="4"/>
      <c r="Q2937" s="4">
        <v>45555.81392361111</v>
      </c>
      <c r="R2937"/>
      <c r="S2937">
        <v>2916</v>
      </c>
      <c r="T2937" s="4">
        <v>45555.81392361111</v>
      </c>
      <c r="U2937" s="4"/>
      <c r="V2937"/>
      <c r="W2937">
        <v>2916</v>
      </c>
      <c r="X2937"/>
      <c r="Y2937" t="inlineStr">
        <is>
          <t>Pending Appointment</t>
        </is>
      </c>
      <c r="Z2937" t="inlineStr">
        <is>
          <t>Continuous Hiring</t>
        </is>
      </c>
      <c r="AA2937">
        <v>4</v>
      </c>
      <c r="AB2937" t="inlineStr">
        <is>
          <t>No Appointment Made</t>
        </is>
      </c>
      <c r="AC2937"/>
      <c r="AD2937" t="inlineStr">
        <is>
          <t>Admin, Finance, HR, IT
KL</t>
        </is>
      </c>
      <c r="AE2937"/>
      <c r="AF2937"/>
      <c r="AG2937" s="4"/>
      <c r="AH2937" s="4"/>
      <c r="AI2937">
        <v>0</v>
      </c>
      <c r="AJ2937">
        <v>1</v>
      </c>
      <c r="AK2937" t="inlineStr">
        <is>
          <t>Yes, I have</t>
        </is>
      </c>
      <c r="AL2937">
        <v>2</v>
      </c>
      <c r="AM2937" t="inlineStr">
        <is>
          <t>No, I don't need at all</t>
        </is>
      </c>
      <c r="AN2937"/>
      <c r="AO2937" t="inlineStr">
        <is>
          <t>No, I don't need at all</t>
        </is>
      </c>
      <c r="AP2937" t="inlineStr">
        <is>
          <t>Every month (100%)</t>
        </is>
      </c>
      <c r="AQ2937">
        <v>0</v>
      </c>
      <c r="AR2937" t="inlineStr">
        <is>
          <t>Jobstreet, Free Job Portal</t>
        </is>
      </c>
      <c r="AS2937" t="inlineStr">
        <is>
          <t>- Headcount: 4
- Hiring Job Details: Admin, Finance, HR, IT\nKL
- Hiring Urgency: Continuous Hiring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Every month (100%)
- External job portal: Jobstreet,Free Job Portal</t>
        </is>
      </c>
      <c r="AT2937">
        <v>65</v>
      </c>
      <c r="AU2937" t="inlineStr">
        <is>
          <t>0.65</t>
        </is>
      </c>
      <c r="AV2937" t="inlineStr">
        <is>
          <t>5</t>
        </is>
      </c>
      <c r="AW2937" t="inlineStr">
        <is>
          <t>0</t>
        </is>
      </c>
      <c r="AX2937" t="inlineStr">
        <is>
          <t>Not Qualified</t>
        </is>
      </c>
      <c r="AY2937" s="4"/>
      <c r="AZ2937"/>
      <c r="BA2937"/>
      <c r="BB2937"/>
      <c r="BC2937" t="inlineStr">
        <is>
          <t>not consider</t>
        </is>
      </c>
      <c r="BD2937" s="4">
        <v>46126.6196875</v>
      </c>
      <c r="BE2937" t="inlineStr">
        <is>
          <t>paid</t>
        </is>
      </c>
      <c r="BF2937"/>
      <c r="BG2937" t="inlineStr">
        <is>
          <t>Reschedule</t>
        </is>
      </c>
      <c r="BH2937" t="inlineStr">
        <is>
          <t>Fauziah Maharan</t>
        </is>
      </c>
      <c r="BI2937" t="inlineStr">
        <is>
          <t>Chemical / Fertilizers</t>
        </is>
      </c>
      <c r="BJ2937" s="4">
        <v>46144.750127314815</v>
      </c>
      <c r="BK2937" s="4">
        <v>43451.76375</v>
      </c>
      <c r="BL2937" t="inlineStr">
        <is>
          <t>0.0</t>
        </is>
      </c>
      <c r="BM2937" t="inlineStr">
        <is>
          <t>13200.0</t>
        </is>
      </c>
      <c r="BN2937" t="inlineStr">
        <is>
          <t>User Visit(Logged In)</t>
        </is>
      </c>
      <c r="BO2937" s="4">
        <v>45957.44909722222</v>
      </c>
      <c r="BP2937">
        <v>165924</v>
      </c>
      <c r="BQ2937">
        <v>73171</v>
      </c>
      <c r="BR2937" t="inlineStr">
        <is>
          <t>Online</t>
        </is>
      </c>
      <c r="BS2937"/>
      <c r="BT2937">
        <v>73171</v>
      </c>
      <c r="BU2937"/>
      <c r="BV2937">
        <v>2703761</v>
      </c>
      <c r="BW2937" t="inlineStr">
        <is>
          <t>Follow Up : Lost - Paid Portal</t>
        </is>
      </c>
      <c r="BX2937"/>
      <c r="BY2937"/>
      <c r="BZ2937" s="4"/>
      <c r="CA2937"/>
      <c r="CB2937"/>
      <c r="CC2937" s="4"/>
      <c r="CD2937" t="inlineStr">
        <is>
          <t>5</t>
        </is>
      </c>
      <c r="CE2937" t="inlineStr">
        <is>
          <t>0</t>
        </is>
      </c>
      <c r="CF2937" t="inlineStr">
        <is>
          <t>Q2-W01</t>
        </is>
      </c>
      <c r="CG2937"/>
      <c r="CH2937"/>
      <c r="CI2937"/>
      <c r="CJ2937" t="inlineStr">
        <is>
          <t>Paid</t>
        </is>
      </c>
      <c r="CK2937" t="inlineStr">
        <is>
          <t>Eligible</t>
        </is>
      </c>
      <c r="CL2937"/>
      <c r="CM2937"/>
    </row>
    <row r="2938" ht="25.5" customHeight="1">
      <c r="A2938" t="inlineStr">
        <is>
          <t>4258901</t>
        </is>
      </c>
      <c r="B2938" s="2"/>
      <c r="C2938"/>
      <c r="D2938" s="3">
        <v>46120.635879629626</v>
      </c>
      <c r="E2938" t="inlineStr">
        <is>
          <t>Q2-W01</t>
        </is>
      </c>
      <c r="F2938" t="inlineStr">
        <is>
          <t>Ratha</t>
        </is>
      </c>
      <c r="G2938" t="inlineStr">
        <is>
          <t>Lead</t>
        </is>
      </c>
      <c r="H2938" s="2" t="str">
        <f>=HYPERLINK("https://upbox.ajobthing.my/leads/4258901", "https://upbox.ajobthing.my/leads/4258901")</f>
        <v>https://upbox.ajobthing.my/leads/4258901</v>
      </c>
      <c r="I2938" t="inlineStr">
        <is>
          <t>bond Holdings Sdn Bhd</t>
        </is>
      </c>
      <c r="J2938" t="inlineStr">
        <is>
          <t>Whale</t>
        </is>
      </c>
      <c r="K2938" t="inlineStr">
        <is>
          <t>Ratha</t>
        </is>
      </c>
      <c r="L2938" s="4"/>
      <c r="M2938" s="4">
        <v>46120.63664351852</v>
      </c>
      <c r="N2938"/>
      <c r="O2938">
        <v>5832</v>
      </c>
      <c r="P2938" s="4"/>
      <c r="Q2938" s="4"/>
      <c r="R2938"/>
      <c r="S2938"/>
      <c r="T2938" s="4"/>
      <c r="U2938" s="4"/>
      <c r="V2938"/>
      <c r="W2938"/>
      <c r="X2938"/>
      <c r="Y2938" t="inlineStr">
        <is>
          <t>Pending Appointment</t>
        </is>
      </c>
      <c r="Z2938" t="inlineStr">
        <is>
          <t>Hiring Now</t>
        </is>
      </c>
      <c r="AA2938">
        <v>3</v>
      </c>
      <c r="AB2938" t="inlineStr">
        <is>
          <t>No Appointment Made</t>
        </is>
      </c>
      <c r="AC2938"/>
      <c r="AD2938" t="inlineStr">
        <is>
          <t>account, admin : 3
Location : Perak</t>
        </is>
      </c>
      <c r="AE2938"/>
      <c r="AF2938"/>
      <c r="AG2938" s="4"/>
      <c r="AH2938" s="4"/>
      <c r="AI2938">
        <v>0</v>
      </c>
      <c r="AJ2938">
        <v>1</v>
      </c>
      <c r="AK2938" t="inlineStr">
        <is>
          <t>Yes, I have</t>
        </is>
      </c>
      <c r="AL2938">
        <v>2</v>
      </c>
      <c r="AM2938" t="inlineStr">
        <is>
          <t>No, I don't need at all</t>
        </is>
      </c>
      <c r="AN2938"/>
      <c r="AO2938" t="inlineStr">
        <is>
          <t>No, I don't need at all</t>
        </is>
      </c>
      <c r="AP2938" t="inlineStr">
        <is>
          <t>Twice a year (50%)</t>
        </is>
      </c>
      <c r="AQ2938">
        <v>0</v>
      </c>
      <c r="AR2938" t="inlineStr">
        <is>
          <t>Free Job Portal, Jobstreet</t>
        </is>
      </c>
      <c r="AS2938" t="inlineStr">
        <is>
          <t>- Headcount: 3
- Hiring Job Details: 3 (account, admin); Location: Perak
- Hiring Urgency: Hiring Now
- Number of outlets: 1
- Have recruiter team: Yes, I have
- Number of recruiter in company: 2
- Have ATS system: No, I don't need at all
- Have career website: No, I don't need at all
- Current hiring budget: Not specified
- Whole year budget: RM0.00
- Whole year number of vacancies: 0
- Hiring frequency: Twice a year (50%)
- External job portal: Free Job Portal, Jobstreet</t>
        </is>
      </c>
      <c r="AT2938">
        <v>95</v>
      </c>
      <c r="AU2938" t="inlineStr">
        <is>
          <t>0.95</t>
        </is>
      </c>
      <c r="AV2938" t="inlineStr">
        <is>
          <t>5</t>
        </is>
      </c>
      <c r="AW2938" t="inlineStr">
        <is>
          <t>0</t>
        </is>
      </c>
      <c r="AX2938" t="inlineStr">
        <is>
          <t>Not Qualified</t>
        </is>
      </c>
      <c r="AY2938" s="4"/>
      <c r="AZ2938"/>
      <c r="BA2938"/>
      <c r="BB2938"/>
      <c r="BC2938"/>
      <c r="BD2938" s="4"/>
      <c r="BE2938"/>
      <c r="BF2938"/>
      <c r="BG2938" t="inlineStr">
        <is>
          <t>Reschedule</t>
        </is>
      </c>
      <c r="BH2938" t="inlineStr">
        <is>
          <t>Fauziah Maharan</t>
        </is>
      </c>
      <c r="BI2938"/>
      <c r="BJ2938" s="4">
        <v>46144.75576388889</v>
      </c>
      <c r="BK2938" s="4">
        <v>46120.35082175926</v>
      </c>
      <c r="BL2938" t="inlineStr">
        <is>
          <t>0.0</t>
        </is>
      </c>
      <c r="BM2938" t="inlineStr">
        <is>
          <t>1200.0</t>
        </is>
      </c>
      <c r="BN2938"/>
      <c r="BO2938" s="4"/>
      <c r="BP2938">
        <v>165953</v>
      </c>
      <c r="BQ2938"/>
      <c r="BR2938"/>
      <c r="BS2938"/>
      <c r="BT2938"/>
      <c r="BU2938"/>
      <c r="BV2938"/>
      <c r="BW2938"/>
      <c r="BX2938"/>
      <c r="BY2938"/>
      <c r="BZ2938" s="4"/>
      <c r="CA2938"/>
      <c r="CB2938"/>
      <c r="CC2938" s="4"/>
      <c r="CD2938" t="inlineStr">
        <is>
          <t>5</t>
        </is>
      </c>
      <c r="CE2938" t="inlineStr">
        <is>
          <t>0</t>
        </is>
      </c>
      <c r="CF2938" t="inlineStr">
        <is>
          <t>Q2-W01</t>
        </is>
      </c>
      <c r="CG2938"/>
      <c r="CH2938"/>
      <c r="CI2938"/>
      <c r="CJ2938" t="inlineStr">
        <is>
          <t>No Paid</t>
        </is>
      </c>
      <c r="CK2938" t="inlineStr">
        <is>
          <t>Eligible</t>
        </is>
      </c>
      <c r="CL2938"/>
      <c r="CM2938"/>
    </row>
    <row r="2939" ht="25.5" customHeight="1">
      <c r="A2939" t="inlineStr">
        <is>
          <t>29165</t>
        </is>
      </c>
      <c r="B2939" s="2"/>
      <c r="C2939"/>
      <c r="D2939" s="3">
        <v>46120.66248842593</v>
      </c>
      <c r="E2939" t="inlineStr">
        <is>
          <t>Q2-W01</t>
        </is>
      </c>
      <c r="F2939" t="inlineStr">
        <is>
          <t>Ratha</t>
        </is>
      </c>
      <c r="G2939" t="inlineStr">
        <is>
          <t>Customer</t>
        </is>
      </c>
      <c r="H2939" s="2" t="str">
        <f>=HYPERLINK("https://upbox.ajobthing.my/customer/29165", "https://upbox.ajobthing.my/customer/29165")</f>
        <v>https://upbox.ajobthing.my/customer/29165</v>
      </c>
      <c r="I2939" t="inlineStr">
        <is>
          <t>Automate Softtech Sdn Bhd</t>
        </is>
      </c>
      <c r="J2939" t="inlineStr">
        <is>
          <t>Whale</t>
        </is>
      </c>
      <c r="K2939" t="inlineStr">
        <is>
          <t>Ratha</t>
        </is>
      </c>
      <c r="L2939" s="4"/>
      <c r="M2939" s="4">
        <v>46120.66371527778</v>
      </c>
      <c r="N2939"/>
      <c r="O2939">
        <v>5832</v>
      </c>
      <c r="P2939" s="4"/>
      <c r="Q2939" s="4">
        <v>45538.5622337963</v>
      </c>
      <c r="R2939"/>
      <c r="S2939">
        <v>2604.96</v>
      </c>
      <c r="T2939" s="4">
        <v>45538.5622337963</v>
      </c>
      <c r="U2939" s="4"/>
      <c r="V2939"/>
      <c r="W2939">
        <v>2604.96</v>
      </c>
      <c r="X2939"/>
      <c r="Y2939" t="inlineStr">
        <is>
          <t>Pending Appointment</t>
        </is>
      </c>
      <c r="Z2939" t="inlineStr">
        <is>
          <t>Hiring Now</t>
        </is>
      </c>
      <c r="AA2939">
        <v>2</v>
      </c>
      <c r="AB2939" t="inlineStr">
        <is>
          <t>No Appointment Made</t>
        </is>
      </c>
      <c r="AC2939"/>
      <c r="AD2939" t="inlineStr">
        <is>
          <t>Account 
Admin 
Location : Puchong</t>
        </is>
      </c>
      <c r="AE2939"/>
      <c r="AF2939"/>
      <c r="AG2939" s="4"/>
      <c r="AH2939" s="4"/>
      <c r="AI2939">
        <v>0</v>
      </c>
      <c r="AJ2939">
        <v>1</v>
      </c>
      <c r="AK2939" t="inlineStr">
        <is>
          <t>Yes, I have</t>
        </is>
      </c>
      <c r="AL2939">
        <v>2</v>
      </c>
      <c r="AM2939" t="inlineStr">
        <is>
          <t>No, I don't need at all</t>
        </is>
      </c>
      <c r="AN2939"/>
      <c r="AO2939" t="inlineStr">
        <is>
          <t>No, I don't need at all</t>
        </is>
      </c>
      <c r="AP2939" t="inlineStr">
        <is>
          <t>Once per quarter (75%)</t>
        </is>
      </c>
      <c r="AQ2939">
        <v>0</v>
      </c>
      <c r="AR2939" t="inlineStr">
        <is>
          <t>Free Job Portal</t>
        </is>
      </c>
      <c r="AS2939" t="inlineStr">
        <is>
          <t>- Headcount: 2
- Hiring Job Details: Account, Admin; Location: Puchong
- Hiring Urgency: Hiring Now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Free Job Portal</t>
        </is>
      </c>
      <c r="AT2939">
        <v>75</v>
      </c>
      <c r="AU2939" t="inlineStr">
        <is>
          <t>0.75</t>
        </is>
      </c>
      <c r="AV2939" t="inlineStr">
        <is>
          <t>5</t>
        </is>
      </c>
      <c r="AW2939" t="inlineStr">
        <is>
          <t>0</t>
        </is>
      </c>
      <c r="AX2939" t="inlineStr">
        <is>
          <t>Not Qualified</t>
        </is>
      </c>
      <c r="AY2939" s="4"/>
      <c r="AZ2939"/>
      <c r="BA2939"/>
      <c r="BB2939"/>
      <c r="BC2939" t="inlineStr">
        <is>
          <t>not proceed - referral</t>
        </is>
      </c>
      <c r="BD2939" s="4">
        <v>46133.47375</v>
      </c>
      <c r="BE2939" t="inlineStr">
        <is>
          <t>paid</t>
        </is>
      </c>
      <c r="BF2939"/>
      <c r="BG2939" t="inlineStr">
        <is>
          <t>Reschedule</t>
        </is>
      </c>
      <c r="BH2939" t="inlineStr">
        <is>
          <t>Fauziah Maharan</t>
        </is>
      </c>
      <c r="BI2939" t="inlineStr">
        <is>
          <t>IT / Hardware</t>
        </is>
      </c>
      <c r="BJ2939" s="4">
        <v>46144.75451388889</v>
      </c>
      <c r="BK2939" s="4">
        <v>42641.60380787037</v>
      </c>
      <c r="BL2939" t="inlineStr">
        <is>
          <t>0.0</t>
        </is>
      </c>
      <c r="BM2939" t="inlineStr">
        <is>
          <t>0.0</t>
        </is>
      </c>
      <c r="BN2939" t="inlineStr">
        <is>
          <t>View Jobmanager Page</t>
        </is>
      </c>
      <c r="BO2939" s="4">
        <v>46119.427349537036</v>
      </c>
      <c r="BP2939">
        <v>165974</v>
      </c>
      <c r="BQ2939">
        <v>72684</v>
      </c>
      <c r="BR2939" t="inlineStr">
        <is>
          <t>Online</t>
        </is>
      </c>
      <c r="BS2939"/>
      <c r="BT2939">
        <v>72684</v>
      </c>
      <c r="BU2939"/>
      <c r="BV2939">
        <v>2717409</v>
      </c>
      <c r="BW2939" t="inlineStr">
        <is>
          <t>Follow Up : Lost - Free Portal</t>
        </is>
      </c>
      <c r="BX2939"/>
      <c r="BY2939"/>
      <c r="BZ2939" s="4"/>
      <c r="CA2939"/>
      <c r="CB2939"/>
      <c r="CC2939" s="4"/>
      <c r="CD2939" t="inlineStr">
        <is>
          <t>5</t>
        </is>
      </c>
      <c r="CE2939" t="inlineStr">
        <is>
          <t>0</t>
        </is>
      </c>
      <c r="CF2939" t="inlineStr">
        <is>
          <t>Q2-W01</t>
        </is>
      </c>
      <c r="CG2939"/>
      <c r="CH2939"/>
      <c r="CI2939"/>
      <c r="CJ2939" t="inlineStr">
        <is>
          <t>Paid</t>
        </is>
      </c>
      <c r="CK2939" t="inlineStr">
        <is>
          <t>Eligible</t>
        </is>
      </c>
      <c r="CL2939"/>
      <c r="CM2939"/>
    </row>
    <row r="2940" ht="25.5" customHeight="1">
      <c r="A2940" t="inlineStr">
        <is>
          <t>194747</t>
        </is>
      </c>
      <c r="B2940" s="2"/>
      <c r="C2940"/>
      <c r="D2940" s="3">
        <v>46120.66819444444</v>
      </c>
      <c r="E2940" t="inlineStr">
        <is>
          <t>Q2-W01</t>
        </is>
      </c>
      <c r="F2940" t="inlineStr">
        <is>
          <t>Keegan</t>
        </is>
      </c>
      <c r="G2940" t="inlineStr">
        <is>
          <t>Customer</t>
        </is>
      </c>
      <c r="H2940" s="2" t="str">
        <f>=HYPERLINK("https://upbox.ajobthing.my/customer/194747", "https://upbox.ajobthing.my/customer/194747")</f>
        <v>https://upbox.ajobthing.my/customer/194747</v>
      </c>
      <c r="I2940" t="inlineStr">
        <is>
          <t xml:space="preserve">Vesatrade Global Sdn Bhd </t>
        </is>
      </c>
      <c r="J2940" t="inlineStr">
        <is>
          <t>Whale</t>
        </is>
      </c>
      <c r="K2940" t="inlineStr">
        <is>
          <t>Keegan</t>
        </is>
      </c>
      <c r="L2940" s="4"/>
      <c r="M2940" s="4">
        <v>46120.66878472222</v>
      </c>
      <c r="N2940"/>
      <c r="O2940">
        <v>6048</v>
      </c>
      <c r="P2940" s="4"/>
      <c r="Q2940" s="4">
        <v>46132.44627314815</v>
      </c>
      <c r="R2940"/>
      <c r="S2940">
        <v>5832</v>
      </c>
      <c r="T2940" s="4">
        <v>46132.44627314815</v>
      </c>
      <c r="U2940" s="4"/>
      <c r="V2940"/>
      <c r="W2940">
        <v>5832</v>
      </c>
      <c r="X2940"/>
      <c r="Y2940" t="inlineStr">
        <is>
          <t>Pending Appointment</t>
        </is>
      </c>
      <c r="Z2940" t="inlineStr">
        <is>
          <t>Hiring Now</t>
        </is>
      </c>
      <c r="AA2940">
        <v>2</v>
      </c>
      <c r="AB2940" t="inlineStr">
        <is>
          <t>No Appointment Made</t>
        </is>
      </c>
      <c r="AC2940"/>
      <c r="AD2940" t="inlineStr">
        <is>
          <t>1. HR Manager 
2. Database Engineer</t>
        </is>
      </c>
      <c r="AE2940"/>
      <c r="AF2940"/>
      <c r="AG2940" s="4"/>
      <c r="AH2940" s="4"/>
      <c r="AI2940"/>
      <c r="AJ2940">
        <v>1</v>
      </c>
      <c r="AK2940" t="inlineStr">
        <is>
          <t>No, I don't need at all</t>
        </is>
      </c>
      <c r="AL2940">
        <v>0</v>
      </c>
      <c r="AM2940" t="inlineStr">
        <is>
          <t>No, I don't need at all</t>
        </is>
      </c>
      <c r="AN2940"/>
      <c r="AO2940" t="inlineStr">
        <is>
          <t>No, I don't need at all</t>
        </is>
      </c>
      <c r="AP2940" t="inlineStr">
        <is>
          <t>Once per quarter (75%)</t>
        </is>
      </c>
      <c r="AQ2940"/>
      <c r="AR2940" t="inlineStr">
        <is>
          <t>Did not use any job portal</t>
        </is>
      </c>
      <c r="AS2940" t="inlineStr">
        <is>
          <t>- Headcount: 2
- Hiring Job Details: 1. HR Manager 2. Database Engineer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940">
        <v>95</v>
      </c>
      <c r="AU2940" t="inlineStr">
        <is>
          <t>0.95</t>
        </is>
      </c>
      <c r="AV2940" t="inlineStr">
        <is>
          <t>5</t>
        </is>
      </c>
      <c r="AW2940" t="inlineStr">
        <is>
          <t>0</t>
        </is>
      </c>
      <c r="AX2940" t="inlineStr">
        <is>
          <t>Not Qualified</t>
        </is>
      </c>
      <c r="AY2940" s="4"/>
      <c r="AZ2940"/>
      <c r="BA2940"/>
      <c r="BB2940"/>
      <c r="BC2940" t="inlineStr">
        <is>
          <t>TNG e wallet reward confirmation</t>
        </is>
      </c>
      <c r="BD2940" s="4">
        <v>46135.62981481481</v>
      </c>
      <c r="BE2940" t="inlineStr">
        <is>
          <t>paid</t>
        </is>
      </c>
      <c r="BF2940" t="inlineStr">
        <is>
          <t>Q2-W03</t>
        </is>
      </c>
      <c r="BG2940" t="inlineStr">
        <is>
          <t>Reschedule</t>
        </is>
      </c>
      <c r="BH2940" t="inlineStr">
        <is>
          <t>Edward Hoo</t>
        </is>
      </c>
      <c r="BI2940" t="inlineStr">
        <is>
          <t>IT / Software</t>
        </is>
      </c>
      <c r="BJ2940" s="4">
        <v>46144.75271990741</v>
      </c>
      <c r="BK2940" s="4">
        <v>45877.5050462963</v>
      </c>
      <c r="BL2940" t="inlineStr">
        <is>
          <t>7344.0</t>
        </is>
      </c>
      <c r="BM2940" t="inlineStr">
        <is>
          <t>0.0</t>
        </is>
      </c>
      <c r="BN2940" t="inlineStr">
        <is>
          <t>View Company Page</t>
        </is>
      </c>
      <c r="BO2940" s="4">
        <v>46142.729849537034</v>
      </c>
      <c r="BP2940">
        <v>165979</v>
      </c>
      <c r="BQ2940">
        <v>94320</v>
      </c>
      <c r="BR2940" t="inlineStr">
        <is>
          <t>Online</t>
        </is>
      </c>
      <c r="BS2940"/>
      <c r="BT2940">
        <v>94320</v>
      </c>
      <c r="BU2940"/>
      <c r="BV2940">
        <v>2723845</v>
      </c>
      <c r="BW2940" t="inlineStr">
        <is>
          <t>Service / Technical : Job Outcome Enquiry</t>
        </is>
      </c>
      <c r="BX2940">
        <v>28</v>
      </c>
      <c r="BY2940">
        <v>16</v>
      </c>
      <c r="BZ2940" s="4">
        <v>46141.398668981485</v>
      </c>
      <c r="CA2940">
        <v>280</v>
      </c>
      <c r="CB2940">
        <v>176</v>
      </c>
      <c r="CC2940" s="4">
        <v>46135.753541666665</v>
      </c>
      <c r="CD2940" t="inlineStr">
        <is>
          <t>5</t>
        </is>
      </c>
      <c r="CE2940" t="inlineStr">
        <is>
          <t>0</t>
        </is>
      </c>
      <c r="CF2940" t="inlineStr">
        <is>
          <t>Q2-W01</t>
        </is>
      </c>
      <c r="CG2940" t="inlineStr">
        <is>
          <t>Q2-W03</t>
        </is>
      </c>
      <c r="CH2940" t="inlineStr">
        <is>
          <t>Q2-W03</t>
        </is>
      </c>
      <c r="CI2940"/>
      <c r="CJ2940" t="inlineStr">
        <is>
          <t>Paid</t>
        </is>
      </c>
      <c r="CK2940" t="inlineStr">
        <is>
          <t>Eligible</t>
        </is>
      </c>
      <c r="CL2940"/>
      <c r="CM2940"/>
    </row>
    <row r="2941" ht="25.5" customHeight="1">
      <c r="A2941" t="inlineStr">
        <is>
          <t>184048</t>
        </is>
      </c>
      <c r="B2941" s="2"/>
      <c r="C2941"/>
      <c r="D2941" s="3">
        <v>46120.69217592593</v>
      </c>
      <c r="E2941" t="inlineStr">
        <is>
          <t>Q2-W01</t>
        </is>
      </c>
      <c r="F2941" t="inlineStr">
        <is>
          <t>Dickson</t>
        </is>
      </c>
      <c r="G2941" t="inlineStr">
        <is>
          <t>Customer</t>
        </is>
      </c>
      <c r="H2941" s="2" t="str">
        <f>=HYPERLINK("https://upbox.ajobthing.my/customer/184048", "https://upbox.ajobthing.my/customer/184048")</f>
        <v>https://upbox.ajobthing.my/customer/184048</v>
      </c>
      <c r="I2941" t="inlineStr">
        <is>
          <t>IT SEA Holdings Sdn Bhd</t>
        </is>
      </c>
      <c r="J2941" t="inlineStr">
        <is>
          <t>Whale</t>
        </is>
      </c>
      <c r="K2941" t="inlineStr">
        <is>
          <t>Dickson</t>
        </is>
      </c>
      <c r="L2941" s="4"/>
      <c r="M2941" s="4">
        <v>46120.693194444444</v>
      </c>
      <c r="N2941"/>
      <c r="O2941">
        <v>3672</v>
      </c>
      <c r="P2941" s="4"/>
      <c r="Q2941" s="4">
        <v>46132.62519675926</v>
      </c>
      <c r="R2941"/>
      <c r="S2941">
        <v>3672</v>
      </c>
      <c r="T2941" s="4">
        <v>46132.62519675926</v>
      </c>
      <c r="U2941" s="4"/>
      <c r="V2941"/>
      <c r="W2941">
        <v>3672</v>
      </c>
      <c r="X2941"/>
      <c r="Y2941" t="inlineStr">
        <is>
          <t>Pending Appointment</t>
        </is>
      </c>
      <c r="Z2941" t="inlineStr">
        <is>
          <t>Hiring Now</t>
        </is>
      </c>
      <c r="AA2941">
        <v>3</v>
      </c>
      <c r="AB2941" t="inlineStr">
        <is>
          <t>No Appointment Made</t>
        </is>
      </c>
      <c r="AC2941"/>
      <c r="AD2941" t="inlineStr">
        <is>
          <t>1 e-comm senior executive, 1 e-comm executive, 1 internship</t>
        </is>
      </c>
      <c r="AE2941"/>
      <c r="AF2941"/>
      <c r="AG2941" s="4"/>
      <c r="AH2941" s="4"/>
      <c r="AI2941"/>
      <c r="AJ2941">
        <v>1</v>
      </c>
      <c r="AK2941" t="inlineStr">
        <is>
          <t>No, I don't need at all</t>
        </is>
      </c>
      <c r="AL2941"/>
      <c r="AM2941" t="inlineStr">
        <is>
          <t>No, I don't need at all</t>
        </is>
      </c>
      <c r="AN2941"/>
      <c r="AO2941" t="inlineStr">
        <is>
          <t>No, I don't need at all</t>
        </is>
      </c>
      <c r="AP2941" t="inlineStr">
        <is>
          <t>Once per quarter (75%)</t>
        </is>
      </c>
      <c r="AQ2941"/>
      <c r="AR2941"/>
      <c r="AS2941" t="inlineStr">
        <is>
          <t>- Headcount: 3
- Hiring Job Details: 1 e-comm senior executive, 1 e-comm executive, 1 internship
- Hiring Urgency: Hiring Now
- Number of outlets: 1
- Have recruiter team: No, I don't need at all
- Number of recruiter in company: Not available
- Have ATS system: No, I don't need at all
- Have career website: No, I don't need at all
- Current hiring budget: Not available
- Whole year budget: Not available
- Whole year number of vacancies: Not available
- Hiring frequency: Once per quarter (75%)
- External job portal: Not available</t>
        </is>
      </c>
      <c r="AT2941">
        <v>95</v>
      </c>
      <c r="AU2941" t="inlineStr">
        <is>
          <t>0.95</t>
        </is>
      </c>
      <c r="AV2941" t="inlineStr">
        <is>
          <t>5</t>
        </is>
      </c>
      <c r="AW2941" t="inlineStr">
        <is>
          <t>0</t>
        </is>
      </c>
      <c r="AX2941" t="inlineStr">
        <is>
          <t>Not Qualified</t>
        </is>
      </c>
      <c r="AY2941" s="4"/>
      <c r="AZ2941"/>
      <c r="BA2941"/>
      <c r="BB2941"/>
      <c r="BC2941" t="inlineStr">
        <is>
          <t>customer paid!</t>
        </is>
      </c>
      <c r="BD2941" s="4">
        <v>46133.39234953704</v>
      </c>
      <c r="BE2941" t="inlineStr">
        <is>
          <t>paid</t>
        </is>
      </c>
      <c r="BF2941" t="inlineStr">
        <is>
          <t>Q2-W03</t>
        </is>
      </c>
      <c r="BG2941" t="inlineStr">
        <is>
          <t>Reschedule</t>
        </is>
      </c>
      <c r="BH2941" t="inlineStr">
        <is>
          <t>Edward Hoo</t>
        </is>
      </c>
      <c r="BI2941" t="inlineStr">
        <is>
          <t>Retail / Merchandise</t>
        </is>
      </c>
      <c r="BJ2941" s="4">
        <v>46144.75199074074</v>
      </c>
      <c r="BK2941" s="4">
        <v>45587.43277777778</v>
      </c>
      <c r="BL2941" t="inlineStr">
        <is>
          <t>3672.0</t>
        </is>
      </c>
      <c r="BM2941" t="inlineStr">
        <is>
          <t>0.0</t>
        </is>
      </c>
      <c r="BN2941" t="inlineStr">
        <is>
          <t>View Candidate Search Page</t>
        </is>
      </c>
      <c r="BO2941" s="4">
        <v>46142.67780092593</v>
      </c>
      <c r="BP2941">
        <v>165998</v>
      </c>
      <c r="BQ2941">
        <v>94378</v>
      </c>
      <c r="BR2941" t="inlineStr">
        <is>
          <t>Online</t>
        </is>
      </c>
      <c r="BS2941"/>
      <c r="BT2941">
        <v>94378</v>
      </c>
      <c r="BU2941"/>
      <c r="BV2941">
        <v>2716830</v>
      </c>
      <c r="BW2941" t="inlineStr">
        <is>
          <t>Follow Up : Win - Customer Paid</t>
        </is>
      </c>
      <c r="BX2941">
        <v>7</v>
      </c>
      <c r="BY2941">
        <v>4</v>
      </c>
      <c r="BZ2941" s="4">
        <v>46141.72341435185</v>
      </c>
      <c r="CA2941">
        <v>60</v>
      </c>
      <c r="CB2941">
        <v>60</v>
      </c>
      <c r="CC2941" s="4"/>
      <c r="CD2941" t="inlineStr">
        <is>
          <t>5</t>
        </is>
      </c>
      <c r="CE2941" t="inlineStr">
        <is>
          <t>0</t>
        </is>
      </c>
      <c r="CF2941" t="inlineStr">
        <is>
          <t>Q2-W01</t>
        </is>
      </c>
      <c r="CG2941" t="inlineStr">
        <is>
          <t>Q2-W03</t>
        </is>
      </c>
      <c r="CH2941" t="inlineStr">
        <is>
          <t>Q2-W03</t>
        </is>
      </c>
      <c r="CI2941"/>
      <c r="CJ2941" t="inlineStr">
        <is>
          <t>Paid</t>
        </is>
      </c>
      <c r="CK2941" t="inlineStr">
        <is>
          <t>Eligible</t>
        </is>
      </c>
      <c r="CL2941"/>
      <c r="CM2941"/>
    </row>
    <row r="2942" ht="25.5" customHeight="1">
      <c r="A2942" t="inlineStr">
        <is>
          <t>176816</t>
        </is>
      </c>
      <c r="B2942" s="2"/>
      <c r="C2942"/>
      <c r="D2942" s="3">
        <v>46120.69420138889</v>
      </c>
      <c r="E2942" t="inlineStr">
        <is>
          <t>Q2-W01</t>
        </is>
      </c>
      <c r="F2942" t="inlineStr">
        <is>
          <t>Yvonne Lee</t>
        </is>
      </c>
      <c r="G2942" t="inlineStr">
        <is>
          <t>Customer</t>
        </is>
      </c>
      <c r="H2942" s="2" t="str">
        <f>=HYPERLINK("https://upbox.ajobthing.my/customer/176816", "https://upbox.ajobthing.my/customer/176816")</f>
        <v>https://upbox.ajobthing.my/customer/176816</v>
      </c>
      <c r="I2942" t="inlineStr">
        <is>
          <t xml:space="preserve">Aafiyat Marketing Sdn Bhd </t>
        </is>
      </c>
      <c r="J2942" t="inlineStr">
        <is>
          <t>Whale</t>
        </is>
      </c>
      <c r="K2942" t="inlineStr">
        <is>
          <t>Yvonne</t>
        </is>
      </c>
      <c r="L2942" s="4"/>
      <c r="M2942" s="4">
        <v>46120.695763888885</v>
      </c>
      <c r="N2942"/>
      <c r="O2942">
        <v>6048</v>
      </c>
      <c r="P2942" s="4"/>
      <c r="Q2942" s="4"/>
      <c r="R2942"/>
      <c r="S2942"/>
      <c r="T2942" s="4"/>
      <c r="U2942" s="4"/>
      <c r="V2942"/>
      <c r="W2942"/>
      <c r="X2942"/>
      <c r="Y2942" t="inlineStr">
        <is>
          <t>Pending Appointment</t>
        </is>
      </c>
      <c r="Z2942" t="inlineStr">
        <is>
          <t>Hiring Now</t>
        </is>
      </c>
      <c r="AA2942">
        <v>3</v>
      </c>
      <c r="AB2942" t="inlineStr">
        <is>
          <t>No Appointment Made</t>
        </is>
      </c>
      <c r="AC2942"/>
      <c r="AD2942" t="inlineStr">
        <is>
          <t>1) Executive, Data management
2) HOD Technology
3) Executive, General Ledger</t>
        </is>
      </c>
      <c r="AE2942"/>
      <c r="AF2942">
        <v>10000</v>
      </c>
      <c r="AG2942" s="4"/>
      <c r="AH2942" s="4"/>
      <c r="AI2942">
        <v>10000</v>
      </c>
      <c r="AJ2942">
        <v>1</v>
      </c>
      <c r="AK2942" t="inlineStr">
        <is>
          <t>Yes, I have</t>
        </is>
      </c>
      <c r="AL2942">
        <v>1</v>
      </c>
      <c r="AM2942" t="inlineStr">
        <is>
          <t>No, but I want in future</t>
        </is>
      </c>
      <c r="AN2942"/>
      <c r="AO2942" t="inlineStr">
        <is>
          <t>Yes, I have</t>
        </is>
      </c>
      <c r="AP2942" t="inlineStr">
        <is>
          <t>Once per quarter (75%)</t>
        </is>
      </c>
      <c r="AQ2942">
        <v>30</v>
      </c>
      <c r="AR2942" t="inlineStr">
        <is>
          <t>Indeed (Paid), Free Job Portal</t>
        </is>
      </c>
      <c r="AS2942" t="inlineStr">
        <is>
          <t>- Headcount: 3
- Hiring Job Details: 1) Executive, Data management 2) HOD Technology 3) Executive, General Ledger
- Hiring Urgency: Hiring Now
- Number of outlets: 1
- Have recruiter team: Yes
- Number of recruiter in company: 1
- Have ATS system: No, but want in future
- Have career website: Yes
- Current hiring budget: RM10,000
- Whole year budget: RM10,000.00
- Whole year number of vacancies: 30
- Hiring frequency: Once per quarter (75%)
- External job portal: Indeed (Paid), Free Job Portal</t>
        </is>
      </c>
      <c r="AT2942">
        <v>105</v>
      </c>
      <c r="AU2942" t="inlineStr">
        <is>
          <t>1.05</t>
        </is>
      </c>
      <c r="AV2942" t="inlineStr">
        <is>
          <t>15</t>
        </is>
      </c>
      <c r="AW2942" t="inlineStr">
        <is>
          <t>0</t>
        </is>
      </c>
      <c r="AX2942" t="inlineStr">
        <is>
          <t>Not Qualified</t>
        </is>
      </c>
      <c r="AY2942" s="4"/>
      <c r="AZ2942"/>
      <c r="BA2942"/>
      <c r="BB2942"/>
      <c r="BC2942" t="inlineStr">
        <is>
          <t>Quotation shared.</t>
        </is>
      </c>
      <c r="BD2942" s="4">
        <v>46142.717141203706</v>
      </c>
      <c r="BE2942"/>
      <c r="BF2942"/>
      <c r="BG2942" t="inlineStr">
        <is>
          <t>Reschedule</t>
        </is>
      </c>
      <c r="BH2942" t="inlineStr">
        <is>
          <t>andy@ajobthing.com</t>
        </is>
      </c>
      <c r="BI2942" t="inlineStr">
        <is>
          <t>Other industries</t>
        </is>
      </c>
      <c r="BJ2942" s="4">
        <v>46144.751655092594</v>
      </c>
      <c r="BK2942" s="4">
        <v>45378.41137731481</v>
      </c>
      <c r="BL2942" t="inlineStr">
        <is>
          <t>0.0</t>
        </is>
      </c>
      <c r="BM2942" t="inlineStr">
        <is>
          <t>1200.0</t>
        </is>
      </c>
      <c r="BN2942" t="inlineStr">
        <is>
          <t>View Company Page</t>
        </is>
      </c>
      <c r="BO2942" s="4">
        <v>45784.892916666664</v>
      </c>
      <c r="BP2942">
        <v>166004</v>
      </c>
      <c r="BQ2942"/>
      <c r="BR2942"/>
      <c r="BS2942"/>
      <c r="BT2942"/>
      <c r="BU2942"/>
      <c r="BV2942">
        <v>2738334</v>
      </c>
      <c r="BW2942" t="inlineStr">
        <is>
          <t>Inquire for Hiring Needs : Quotation Sent 50%</t>
        </is>
      </c>
      <c r="BX2942"/>
      <c r="BY2942"/>
      <c r="BZ2942" s="4"/>
      <c r="CA2942"/>
      <c r="CB2942"/>
      <c r="CC2942" s="4"/>
      <c r="CD2942" t="inlineStr">
        <is>
          <t>20</t>
        </is>
      </c>
      <c r="CE2942" t="inlineStr">
        <is>
          <t>0</t>
        </is>
      </c>
      <c r="CF2942" t="inlineStr">
        <is>
          <t>Q2-W01</t>
        </is>
      </c>
      <c r="CG2942"/>
      <c r="CH2942"/>
      <c r="CI2942"/>
      <c r="CJ2942" t="inlineStr">
        <is>
          <t>No Paid</t>
        </is>
      </c>
      <c r="CK2942" t="inlineStr">
        <is>
          <t>Eligible</t>
        </is>
      </c>
      <c r="CL2942"/>
      <c r="CM2942"/>
    </row>
    <row r="2943" ht="25.5" customHeight="1">
      <c r="A2943" t="inlineStr">
        <is>
          <t>197949</t>
        </is>
      </c>
      <c r="B2943" s="2"/>
      <c r="C2943"/>
      <c r="D2943" s="3">
        <v>46120.70260416667</v>
      </c>
      <c r="E2943" t="inlineStr">
        <is>
          <t>Q2-W01</t>
        </is>
      </c>
      <c r="F2943" t="inlineStr">
        <is>
          <t>Eugene</t>
        </is>
      </c>
      <c r="G2943" t="inlineStr">
        <is>
          <t>Customer</t>
        </is>
      </c>
      <c r="H2943" s="2" t="str">
        <f>=HYPERLINK("https://upbox.ajobthing.my/customer/197949", "https://upbox.ajobthing.my/customer/197949")</f>
        <v>https://upbox.ajobthing.my/customer/197949</v>
      </c>
      <c r="I2943" t="inlineStr">
        <is>
          <t>Shuang Hor Enterprise (M) Sdn Bhd</t>
        </is>
      </c>
      <c r="J2943" t="inlineStr">
        <is>
          <t>Whale</t>
        </is>
      </c>
      <c r="K2943" t="inlineStr">
        <is>
          <t>Eugene</t>
        </is>
      </c>
      <c r="L2943" s="4"/>
      <c r="M2943" s="4">
        <v>46140.71053240741</v>
      </c>
      <c r="N2943"/>
      <c r="O2943">
        <v>5412.96</v>
      </c>
      <c r="P2943" s="4"/>
      <c r="Q2943" s="4">
        <v>46134.69478009259</v>
      </c>
      <c r="R2943"/>
      <c r="S2943">
        <v>0</v>
      </c>
      <c r="T2943" s="4">
        <v>45967.735613425924</v>
      </c>
      <c r="U2943" s="4"/>
      <c r="V2943"/>
      <c r="W2943">
        <v>5832</v>
      </c>
      <c r="X2943"/>
      <c r="Y2943" t="inlineStr">
        <is>
          <t>Pending Appointment</t>
        </is>
      </c>
      <c r="Z2943" t="inlineStr">
        <is>
          <t>Hiring Now</t>
        </is>
      </c>
      <c r="AA2943">
        <v>16</v>
      </c>
      <c r="AB2943" t="inlineStr">
        <is>
          <t>No Appointment Made</t>
        </is>
      </c>
      <c r="AC2943"/>
      <c r="AD2943" t="inlineStr">
        <is>
          <t>16 positions, based in KL</t>
        </is>
      </c>
      <c r="AE2943"/>
      <c r="AF2943">
        <v>5600</v>
      </c>
      <c r="AG2943" s="4"/>
      <c r="AH2943" s="4"/>
      <c r="AI2943">
        <v>5600</v>
      </c>
      <c r="AJ2943">
        <v>1</v>
      </c>
      <c r="AK2943" t="inlineStr">
        <is>
          <t>No, I don't need at all</t>
        </is>
      </c>
      <c r="AL2943">
        <v>1</v>
      </c>
      <c r="AM2943" t="inlineStr">
        <is>
          <t>No, I don't need at all</t>
        </is>
      </c>
      <c r="AN2943"/>
      <c r="AO2943" t="inlineStr">
        <is>
          <t>No, I don't need at all</t>
        </is>
      </c>
      <c r="AP2943" t="inlineStr">
        <is>
          <t>Once per quarter (75%)</t>
        </is>
      </c>
      <c r="AQ2943">
        <v>16</v>
      </c>
      <c r="AR2943" t="inlineStr">
        <is>
          <t>Free Job Portal</t>
        </is>
      </c>
      <c r="AS2943" t="inlineStr">
        <is>
          <t>- Headcount: 16
- Hiring Job Details: 16 positions, based in KL
- Hiring Urgency: Hiring Now
- Number of outlets: 1
- Have recruiter team: No, I don't need at all
- Number of recruiter in company: 1
- Have ATS system: No, I don't need at all
- Have career website: No, I don't need at all
- Current hiring budget: RM5,600
- Whole year budget: RM5,600.00
- Whole year number of vacancies: 16
- Hiring frequency: Once per quarter (75%)
- External job portal: Free Job Portal</t>
        </is>
      </c>
      <c r="AT2943">
        <v>95</v>
      </c>
      <c r="AU2943" t="inlineStr">
        <is>
          <t>0.95</t>
        </is>
      </c>
      <c r="AV2943" t="inlineStr">
        <is>
          <t>25</t>
        </is>
      </c>
      <c r="AW2943" t="inlineStr">
        <is>
          <t>0</t>
        </is>
      </c>
      <c r="AX2943" t="inlineStr">
        <is>
          <t>Not Qualified</t>
        </is>
      </c>
      <c r="AY2943" s="4"/>
      <c r="AZ2943"/>
      <c r="BA2943"/>
      <c r="BB2943"/>
      <c r="BC2943" t="inlineStr">
        <is>
          <t>proof</t>
        </is>
      </c>
      <c r="BD2943" s="4">
        <v>46140.72912037037</v>
      </c>
      <c r="BE2943" t="inlineStr">
        <is>
          <t>paid</t>
        </is>
      </c>
      <c r="BF2943"/>
      <c r="BG2943" t="inlineStr">
        <is>
          <t>Reschedule</t>
        </is>
      </c>
      <c r="BH2943" t="inlineStr">
        <is>
          <t>Edward Hoo</t>
        </is>
      </c>
      <c r="BI2943"/>
      <c r="BJ2943" s="4">
        <v>46144.75292824074</v>
      </c>
      <c r="BK2943" s="4">
        <v>45966.55578703704</v>
      </c>
      <c r="BL2943" t="inlineStr">
        <is>
          <t>5832.0</t>
        </is>
      </c>
      <c r="BM2943" t="inlineStr">
        <is>
          <t>1200.0</t>
        </is>
      </c>
      <c r="BN2943" t="inlineStr">
        <is>
          <t>Send Chat to Recommended Candidate</t>
        </is>
      </c>
      <c r="BO2943" s="4">
        <v>46142.7184375</v>
      </c>
      <c r="BP2943">
        <v>169348</v>
      </c>
      <c r="BQ2943">
        <v>123555</v>
      </c>
      <c r="BR2943" t="inlineStr">
        <is>
          <t>Proforma</t>
        </is>
      </c>
      <c r="BS2943" t="inlineStr">
        <is>
          <t>A La Carte AI Job Ad Free</t>
        </is>
      </c>
      <c r="BT2943">
        <v>83974</v>
      </c>
      <c r="BU2943"/>
      <c r="BV2943">
        <v>2733869</v>
      </c>
      <c r="BW2943" t="inlineStr">
        <is>
          <t>Customer Inquiry</t>
        </is>
      </c>
      <c r="BX2943">
        <v>13</v>
      </c>
      <c r="BY2943">
        <v>0</v>
      </c>
      <c r="BZ2943" s="4">
        <v>46134.70116898148</v>
      </c>
      <c r="CA2943">
        <v>120</v>
      </c>
      <c r="CB2943">
        <v>109</v>
      </c>
      <c r="CC2943" s="4">
        <v>46142.71733796296</v>
      </c>
      <c r="CD2943" t="inlineStr">
        <is>
          <t>35</t>
        </is>
      </c>
      <c r="CE2943" t="inlineStr">
        <is>
          <t>0</t>
        </is>
      </c>
      <c r="CF2943" t="inlineStr">
        <is>
          <t>Q2-W04</t>
        </is>
      </c>
      <c r="CG2943" t="inlineStr">
        <is>
          <t>Q2-W03</t>
        </is>
      </c>
      <c r="CH2943"/>
      <c r="CI2943"/>
      <c r="CJ2943" t="inlineStr">
        <is>
          <t>Paid</t>
        </is>
      </c>
      <c r="CK2943" t="inlineStr">
        <is>
          <t>Eligible</t>
        </is>
      </c>
      <c r="CL2943"/>
      <c r="CM2943"/>
    </row>
    <row r="2944" ht="25.5" customHeight="1">
      <c r="A2944" t="inlineStr">
        <is>
          <t>192385</t>
        </is>
      </c>
      <c r="B2944" s="2"/>
      <c r="C2944"/>
      <c r="D2944" s="3">
        <v>46120.704560185186</v>
      </c>
      <c r="E2944" t="inlineStr">
        <is>
          <t>Q2-W01</t>
        </is>
      </c>
      <c r="F2944" t="inlineStr">
        <is>
          <t>Clover</t>
        </is>
      </c>
      <c r="G2944" t="inlineStr">
        <is>
          <t>Customer</t>
        </is>
      </c>
      <c r="H2944" s="2" t="str">
        <f>=HYPERLINK("https://upbox.ajobthing.my/customer/192385", "https://upbox.ajobthing.my/customer/192385")</f>
        <v>https://upbox.ajobthing.my/customer/192385</v>
      </c>
      <c r="I2944" t="inlineStr">
        <is>
          <t>Blankco Holdings Sdn Bhd</t>
        </is>
      </c>
      <c r="J2944" t="inlineStr">
        <is>
          <t>Whale</t>
        </is>
      </c>
      <c r="K2944" t="inlineStr">
        <is>
          <t>Clover</t>
        </is>
      </c>
      <c r="L2944" s="4"/>
      <c r="M2944" s="4">
        <v>46120.70501157407</v>
      </c>
      <c r="N2944"/>
      <c r="O2944">
        <v>6048</v>
      </c>
      <c r="P2944" s="4"/>
      <c r="Q2944" s="4">
        <v>45818.630324074074</v>
      </c>
      <c r="R2944"/>
      <c r="S2944">
        <v>5724</v>
      </c>
      <c r="T2944" s="4">
        <v>45818.630324074074</v>
      </c>
      <c r="U2944" s="4"/>
      <c r="V2944"/>
      <c r="W2944">
        <v>5724</v>
      </c>
      <c r="X2944"/>
      <c r="Y2944" t="inlineStr">
        <is>
          <t>Pending Appointment</t>
        </is>
      </c>
      <c r="Z2944" t="inlineStr">
        <is>
          <t>Hiring Now</t>
        </is>
      </c>
      <c r="AA2944">
        <v>9</v>
      </c>
      <c r="AB2944" t="inlineStr">
        <is>
          <t>No Appointment Made</t>
        </is>
      </c>
      <c r="AC2944"/>
      <c r="AD2944" t="inlineStr">
        <is>
          <t>Want to account cum admin x1,  outdoor sales exec x5, property management,  air cond technician x2 all races, prefer transport,  suggest pro</t>
        </is>
      </c>
      <c r="AE2944"/>
      <c r="AF2944">
        <v>5000</v>
      </c>
      <c r="AG2944" s="4"/>
      <c r="AH2944" s="4"/>
      <c r="AI2944">
        <v>5000</v>
      </c>
      <c r="AJ2944">
        <v>1</v>
      </c>
      <c r="AK2944" t="inlineStr">
        <is>
          <t>No, but I want in future</t>
        </is>
      </c>
      <c r="AL2944">
        <v>1</v>
      </c>
      <c r="AM2944" t="inlineStr">
        <is>
          <t>No, but I want in future</t>
        </is>
      </c>
      <c r="AN2944"/>
      <c r="AO2944" t="inlineStr">
        <is>
          <t>No, but I want in future</t>
        </is>
      </c>
      <c r="AP2944" t="inlineStr">
        <is>
          <t>Once per quarter (75%)</t>
        </is>
      </c>
      <c r="AQ2944">
        <v>8</v>
      </c>
      <c r="AR2944" t="inlineStr">
        <is>
          <t>Did not use any job portal</t>
        </is>
      </c>
      <c r="AS2944" t="inlineStr">
        <is>
          <t>- Headcount: 9
- Hiring Job Details: 1 account cum admin, 5 outdoor sales exec, 1 property management, 2 air cond technician (all races, prefer transport, suggest pro)
- Hiring Urgency: Hiring Now
- Number of outlets: 1
- Have recruiter team: No, but want in future
- Number of recruiter in company: 1
- Have ATS system: No, but want in future
- Have career website: No, but want in future
- Current hiring budget: RM5,000
- Whole year budget: RM5,000.00
- Whole year number of vacancies: 8
- Hiring frequency: Once per quarter (75%)
- External job portal: Did not use any</t>
        </is>
      </c>
      <c r="AT2944">
        <v>115</v>
      </c>
      <c r="AU2944" t="inlineStr">
        <is>
          <t>1.15</t>
        </is>
      </c>
      <c r="AV2944" t="inlineStr">
        <is>
          <t>20</t>
        </is>
      </c>
      <c r="AW2944" t="inlineStr">
        <is>
          <t>0</t>
        </is>
      </c>
      <c r="AX2944" t="inlineStr">
        <is>
          <t>Not Qualified</t>
        </is>
      </c>
      <c r="AY2944" s="4"/>
      <c r="AZ2944"/>
      <c r="BA2944"/>
      <c r="BB2944"/>
      <c r="BC2944" t="inlineStr">
        <is>
          <t>On hold, company restructure</t>
        </is>
      </c>
      <c r="BD2944" s="4">
        <v>46135.73695601852</v>
      </c>
      <c r="BE2944" t="inlineStr">
        <is>
          <t>paid</t>
        </is>
      </c>
      <c r="BF2944"/>
      <c r="BG2944" t="inlineStr">
        <is>
          <t>Reschedule</t>
        </is>
      </c>
      <c r="BH2944" t="inlineStr">
        <is>
          <t>Reagen</t>
        </is>
      </c>
      <c r="BI2944" t="inlineStr">
        <is>
          <t>Property / Real Estate</t>
        </is>
      </c>
      <c r="BJ2944" s="4">
        <v>46144.75256944444</v>
      </c>
      <c r="BK2944" s="4">
        <v>45818.601631944446</v>
      </c>
      <c r="BL2944" t="inlineStr">
        <is>
          <t>5724.0</t>
        </is>
      </c>
      <c r="BM2944" t="inlineStr">
        <is>
          <t>600.0</t>
        </is>
      </c>
      <c r="BN2944" t="inlineStr">
        <is>
          <t>PA Visit - Email</t>
        </is>
      </c>
      <c r="BO2944" s="4">
        <v>46112.54216435185</v>
      </c>
      <c r="BP2944">
        <v>166011</v>
      </c>
      <c r="BQ2944">
        <v>79962</v>
      </c>
      <c r="BR2944" t="inlineStr">
        <is>
          <t>Online</t>
        </is>
      </c>
      <c r="BS2944"/>
      <c r="BT2944">
        <v>79962</v>
      </c>
      <c r="BU2944"/>
      <c r="BV2944">
        <v>2725101</v>
      </c>
      <c r="BW2944" t="inlineStr">
        <is>
          <t>Follow Up : Lost - Free Portal</t>
        </is>
      </c>
      <c r="BX2944">
        <v>3</v>
      </c>
      <c r="BY2944">
        <v>-8</v>
      </c>
      <c r="BZ2944" s="4">
        <v>46112.528969907406</v>
      </c>
      <c r="CA2944">
        <v>245</v>
      </c>
      <c r="CB2944">
        <v>199</v>
      </c>
      <c r="CC2944" s="4">
        <v>46112.54289351852</v>
      </c>
      <c r="CD2944" t="inlineStr">
        <is>
          <t>30</t>
        </is>
      </c>
      <c r="CE2944" t="inlineStr">
        <is>
          <t>0</t>
        </is>
      </c>
      <c r="CF2944" t="inlineStr">
        <is>
          <t>Q2-W01</t>
        </is>
      </c>
      <c r="CG2944"/>
      <c r="CH2944"/>
      <c r="CI2944"/>
      <c r="CJ2944" t="inlineStr">
        <is>
          <t>Paid</t>
        </is>
      </c>
      <c r="CK2944" t="inlineStr">
        <is>
          <t>Eligible</t>
        </is>
      </c>
      <c r="CL2944"/>
      <c r="CM2944"/>
    </row>
    <row r="2945" ht="25.5" customHeight="1">
      <c r="A2945" t="inlineStr">
        <is>
          <t>203009</t>
        </is>
      </c>
      <c r="B2945" s="2"/>
      <c r="C2945"/>
      <c r="D2945" s="3">
        <v>46120.711539351854</v>
      </c>
      <c r="E2945" t="inlineStr">
        <is>
          <t>Q2-W01</t>
        </is>
      </c>
      <c r="F2945" t="inlineStr">
        <is>
          <t>Yvonne Lee</t>
        </is>
      </c>
      <c r="G2945" t="inlineStr">
        <is>
          <t>Customer</t>
        </is>
      </c>
      <c r="H2945" s="2" t="str">
        <f>=HYPERLINK("https://upbox.ajobthing.my/customer/203009", "https://upbox.ajobthing.my/customer/203009")</f>
        <v>https://upbox.ajobthing.my/customer/203009</v>
      </c>
      <c r="I2945" t="inlineStr">
        <is>
          <t>VISTA Laser Eye Center Sdn Bhd</t>
        </is>
      </c>
      <c r="J2945" t="inlineStr">
        <is>
          <t>Whale</t>
        </is>
      </c>
      <c r="K2945" t="inlineStr">
        <is>
          <t>Yvonne</t>
        </is>
      </c>
      <c r="L2945" s="4"/>
      <c r="M2945" s="4">
        <v>46120.72826388889</v>
      </c>
      <c r="N2945"/>
      <c r="O2945">
        <v>11448</v>
      </c>
      <c r="P2945" s="4"/>
      <c r="Q2945" s="4">
        <v>46120.70961805555</v>
      </c>
      <c r="R2945"/>
      <c r="S2945">
        <v>0</v>
      </c>
      <c r="T2945" s="4"/>
      <c r="U2945" s="4"/>
      <c r="V2945"/>
      <c r="W2945"/>
      <c r="X2945"/>
      <c r="Y2945" t="inlineStr">
        <is>
          <t>Pending Appointment</t>
        </is>
      </c>
      <c r="Z2945" t="inlineStr">
        <is>
          <t>Hiring Now</t>
        </is>
      </c>
      <c r="AA2945">
        <v>2</v>
      </c>
      <c r="AB2945" t="inlineStr">
        <is>
          <t>No Appointment Made</t>
        </is>
      </c>
      <c r="AC2945"/>
      <c r="AD2945" t="inlineStr">
        <is>
          <t>1) Administrative
2) Marketing</t>
        </is>
      </c>
      <c r="AE2945"/>
      <c r="AF2945">
        <v>10000</v>
      </c>
      <c r="AG2945" s="4"/>
      <c r="AH2945" s="4"/>
      <c r="AI2945">
        <v>10000</v>
      </c>
      <c r="AJ2945">
        <v>18</v>
      </c>
      <c r="AK2945" t="inlineStr">
        <is>
          <t>Yes, I have</t>
        </is>
      </c>
      <c r="AL2945">
        <v>30</v>
      </c>
      <c r="AM2945" t="inlineStr">
        <is>
          <t>No, I don't need at all</t>
        </is>
      </c>
      <c r="AN2945"/>
      <c r="AO2945" t="inlineStr">
        <is>
          <t>Yes, I have</t>
        </is>
      </c>
      <c r="AP2945" t="inlineStr">
        <is>
          <t>Once per quarter (75%)</t>
        </is>
      </c>
      <c r="AQ2945">
        <v>30</v>
      </c>
      <c r="AR2945" t="inlineStr">
        <is>
          <t>Jobstreet, Free Job Portal</t>
        </is>
      </c>
      <c r="AS2945" t="inlineStr">
        <is>
          <t>- Headcount: 2
- Hiring Job Details: 1) Administrative 2) Marketing
- Hiring Urgency: Hiring Now
- Number of outlets: 18
- Have recruiter team: Yes
- Number of recruiter in company: 30
- Have ATS system: No, I don't need at all
- Have career website: Yes
- Current hiring budget: RM10,000
- Whole year budget: RM10,000.00
- Whole year number of vacancies: 30
- Hiring frequency: Once per quarter (75%)
- External job portal: Jobstreet, Free Job Portal</t>
        </is>
      </c>
      <c r="AT2945">
        <v>110</v>
      </c>
      <c r="AU2945" t="inlineStr">
        <is>
          <t>1.10</t>
        </is>
      </c>
      <c r="AV2945" t="inlineStr">
        <is>
          <t>15</t>
        </is>
      </c>
      <c r="AW2945" t="inlineStr">
        <is>
          <t>0</t>
        </is>
      </c>
      <c r="AX2945" t="inlineStr">
        <is>
          <t>Not Qualified</t>
        </is>
      </c>
      <c r="AY2945" s="4"/>
      <c r="AZ2945"/>
      <c r="BA2945"/>
      <c r="BB2945"/>
      <c r="BC2945" t="inlineStr">
        <is>
          <t>Quotation shared.</t>
        </is>
      </c>
      <c r="BD2945" s="4">
        <v>46142.70112268518</v>
      </c>
      <c r="BE2945" t="inlineStr">
        <is>
          <t>paid</t>
        </is>
      </c>
      <c r="BF2945"/>
      <c r="BG2945" t="inlineStr">
        <is>
          <t>Reschedule</t>
        </is>
      </c>
      <c r="BH2945" t="inlineStr">
        <is>
          <t>andy@ajobthing.com</t>
        </is>
      </c>
      <c r="BI2945"/>
      <c r="BJ2945" s="4">
        <v>46144.75418981481</v>
      </c>
      <c r="BK2945" s="4">
        <v>46120.70690972222</v>
      </c>
      <c r="BL2945" t="inlineStr">
        <is>
          <t>0.0</t>
        </is>
      </c>
      <c r="BM2945" t="inlineStr">
        <is>
          <t>6000.0</t>
        </is>
      </c>
      <c r="BN2945"/>
      <c r="BO2945" s="4"/>
      <c r="BP2945">
        <v>166023</v>
      </c>
      <c r="BQ2945">
        <v>121076</v>
      </c>
      <c r="BR2945" t="inlineStr">
        <is>
          <t>Proforma</t>
        </is>
      </c>
      <c r="BS2945" t="inlineStr">
        <is>
          <t>Free Internship Job</t>
        </is>
      </c>
      <c r="BT2945"/>
      <c r="BU2945"/>
      <c r="BV2945">
        <v>2738241</v>
      </c>
      <c r="BW2945" t="inlineStr">
        <is>
          <t>Inquire for Hiring Needs : Quotation Sent 50%</t>
        </is>
      </c>
      <c r="BX2945"/>
      <c r="BY2945"/>
      <c r="BZ2945" s="4"/>
      <c r="CA2945"/>
      <c r="CB2945"/>
      <c r="CC2945" s="4"/>
      <c r="CD2945" t="inlineStr">
        <is>
          <t>20</t>
        </is>
      </c>
      <c r="CE2945" t="inlineStr">
        <is>
          <t>0</t>
        </is>
      </c>
      <c r="CF2945" t="inlineStr">
        <is>
          <t>Q2-W01</t>
        </is>
      </c>
      <c r="CG2945" t="inlineStr">
        <is>
          <t>Q2-W01</t>
        </is>
      </c>
      <c r="CH2945"/>
      <c r="CI2945"/>
      <c r="CJ2945" t="inlineStr">
        <is>
          <t>No Paid</t>
        </is>
      </c>
      <c r="CK2945" t="inlineStr">
        <is>
          <t>Eligible</t>
        </is>
      </c>
      <c r="CL2945"/>
      <c r="CM2945"/>
    </row>
    <row r="2946" ht="25.5" customHeight="1">
      <c r="A2946" t="inlineStr">
        <is>
          <t>203009</t>
        </is>
      </c>
      <c r="B2946" s="2"/>
      <c r="C2946"/>
      <c r="D2946" s="3">
        <v>46120.7262962963</v>
      </c>
      <c r="E2946" t="inlineStr">
        <is>
          <t>Q2-W01</t>
        </is>
      </c>
      <c r="F2946" t="inlineStr">
        <is>
          <t>Yvonne Lee</t>
        </is>
      </c>
      <c r="G2946" t="inlineStr">
        <is>
          <t>Customer</t>
        </is>
      </c>
      <c r="H2946" s="2" t="str">
        <f>=HYPERLINK("https://upbox.ajobthing.my/customer/203009", "https://upbox.ajobthing.my/customer/203009")</f>
        <v>https://upbox.ajobthing.my/customer/203009</v>
      </c>
      <c r="I2946" t="inlineStr">
        <is>
          <t>VISTA Laser Eye Center Sdn Bhd</t>
        </is>
      </c>
      <c r="J2946" t="inlineStr">
        <is>
          <t>Whale</t>
        </is>
      </c>
      <c r="K2946" t="inlineStr">
        <is>
          <t>Yvonne</t>
        </is>
      </c>
      <c r="L2946" s="4"/>
      <c r="M2946" s="4">
        <v>46120.72826388889</v>
      </c>
      <c r="N2946"/>
      <c r="O2946">
        <v>11448</v>
      </c>
      <c r="P2946" s="4"/>
      <c r="Q2946" s="4">
        <v>46120.70961805555</v>
      </c>
      <c r="R2946"/>
      <c r="S2946">
        <v>0</v>
      </c>
      <c r="T2946" s="4"/>
      <c r="U2946" s="4"/>
      <c r="V2946"/>
      <c r="W2946"/>
      <c r="X2946"/>
      <c r="Y2946" t="inlineStr">
        <is>
          <t>Pending Appointment</t>
        </is>
      </c>
      <c r="Z2946" t="inlineStr">
        <is>
          <t>Hiring Now</t>
        </is>
      </c>
      <c r="AA2946">
        <v>3</v>
      </c>
      <c r="AB2946" t="inlineStr">
        <is>
          <t>No Appointment Made</t>
        </is>
      </c>
      <c r="AC2946"/>
      <c r="AD2946" t="inlineStr">
        <is>
          <t>1) Regional Marketing Executive
2) Customer Care Consultant
3) Customer Care Administrative</t>
        </is>
      </c>
      <c r="AE2946"/>
      <c r="AF2946">
        <v>10000</v>
      </c>
      <c r="AG2946" s="4"/>
      <c r="AH2946" s="4"/>
      <c r="AI2946">
        <v>10000</v>
      </c>
      <c r="AJ2946">
        <v>18</v>
      </c>
      <c r="AK2946" t="inlineStr">
        <is>
          <t>Yes, I have</t>
        </is>
      </c>
      <c r="AL2946">
        <v>2</v>
      </c>
      <c r="AM2946" t="inlineStr">
        <is>
          <t>No, I don't need at all</t>
        </is>
      </c>
      <c r="AN2946"/>
      <c r="AO2946" t="inlineStr">
        <is>
          <t>Yes, I have</t>
        </is>
      </c>
      <c r="AP2946" t="inlineStr">
        <is>
          <t>Once per quarter (75%)</t>
        </is>
      </c>
      <c r="AQ2946">
        <v>25</v>
      </c>
      <c r="AR2946" t="inlineStr">
        <is>
          <t>Jobstreet</t>
        </is>
      </c>
      <c r="AS2946" t="inlineStr">
        <is>
          <t>- Headcount: 3
- Hiring Job Details: 1) Regional Marketing Executive 2) Customer Care Consultant 3) Customer Care Administrative
- Hiring Urgency: Hiring Now
- Number of outlets: 18
- Have recruiter team: Yes
- Number of recruiter in company: 2
- Have ATS system: No, I don't need at all
- Have career website: Yes
- Current hiring budget: RM10,000
- Whole year budget: RM10,000.00
- Whole year number of vacancies: 25
- Hiring frequency: Once per quarter (75%)
- External job portal: Jobstreet</t>
        </is>
      </c>
      <c r="AT2946">
        <v>105</v>
      </c>
      <c r="AU2946" t="inlineStr">
        <is>
          <t>1.05</t>
        </is>
      </c>
      <c r="AV2946" t="inlineStr">
        <is>
          <t>15</t>
        </is>
      </c>
      <c r="AW2946" t="inlineStr">
        <is>
          <t>0</t>
        </is>
      </c>
      <c r="AX2946" t="inlineStr">
        <is>
          <t>Not Qualified</t>
        </is>
      </c>
      <c r="AY2946" s="4"/>
      <c r="AZ2946"/>
      <c r="BA2946"/>
      <c r="BB2946"/>
      <c r="BC2946" t="inlineStr">
        <is>
          <t>Quotation shared.</t>
        </is>
      </c>
      <c r="BD2946" s="4">
        <v>46142.70112268518</v>
      </c>
      <c r="BE2946" t="inlineStr">
        <is>
          <t>paid</t>
        </is>
      </c>
      <c r="BF2946"/>
      <c r="BG2946" t="inlineStr">
        <is>
          <t>Reschedule</t>
        </is>
      </c>
      <c r="BH2946" t="inlineStr">
        <is>
          <t>andy@ajobthing.com</t>
        </is>
      </c>
      <c r="BI2946"/>
      <c r="BJ2946" s="4">
        <v>46144.75418981481</v>
      </c>
      <c r="BK2946" s="4">
        <v>46120.70690972222</v>
      </c>
      <c r="BL2946" t="inlineStr">
        <is>
          <t>0.0</t>
        </is>
      </c>
      <c r="BM2946" t="inlineStr">
        <is>
          <t>6000.0</t>
        </is>
      </c>
      <c r="BN2946"/>
      <c r="BO2946" s="4"/>
      <c r="BP2946">
        <v>166023</v>
      </c>
      <c r="BQ2946">
        <v>121076</v>
      </c>
      <c r="BR2946" t="inlineStr">
        <is>
          <t>Proforma</t>
        </is>
      </c>
      <c r="BS2946" t="inlineStr">
        <is>
          <t>Free Internship Job</t>
        </is>
      </c>
      <c r="BT2946"/>
      <c r="BU2946"/>
      <c r="BV2946">
        <v>2738241</v>
      </c>
      <c r="BW2946" t="inlineStr">
        <is>
          <t>Inquire for Hiring Needs : Quotation Sent 50%</t>
        </is>
      </c>
      <c r="BX2946"/>
      <c r="BY2946"/>
      <c r="BZ2946" s="4"/>
      <c r="CA2946"/>
      <c r="CB2946"/>
      <c r="CC2946" s="4"/>
      <c r="CD2946" t="inlineStr">
        <is>
          <t>20</t>
        </is>
      </c>
      <c r="CE2946" t="inlineStr">
        <is>
          <t>0</t>
        </is>
      </c>
      <c r="CF2946" t="inlineStr">
        <is>
          <t>Q2-W01</t>
        </is>
      </c>
      <c r="CG2946" t="inlineStr">
        <is>
          <t>Q2-W01</t>
        </is>
      </c>
      <c r="CH2946"/>
      <c r="CI2946"/>
      <c r="CJ2946" t="inlineStr">
        <is>
          <t>No Paid</t>
        </is>
      </c>
      <c r="CK2946" t="inlineStr">
        <is>
          <t>Eligible</t>
        </is>
      </c>
      <c r="CL2946"/>
      <c r="CM2946"/>
    </row>
    <row r="2947" ht="25.5" customHeight="1">
      <c r="A2947" t="inlineStr">
        <is>
          <t>176685</t>
        </is>
      </c>
      <c r="B2947" s="2"/>
      <c r="C2947"/>
      <c r="D2947" s="3">
        <v>46120.73873842593</v>
      </c>
      <c r="E2947" t="inlineStr">
        <is>
          <t>Q2-W01</t>
        </is>
      </c>
      <c r="F2947" t="inlineStr">
        <is>
          <t>Josh</t>
        </is>
      </c>
      <c r="G2947" t="inlineStr">
        <is>
          <t>Customer</t>
        </is>
      </c>
      <c r="H2947" s="2" t="str">
        <f>=HYPERLINK("https://upbox.ajobthing.my/customer/176685", "https://upbox.ajobthing.my/customer/176685")</f>
        <v>https://upbox.ajobthing.my/customer/176685</v>
      </c>
      <c r="I2947" t="inlineStr">
        <is>
          <t>Aspporo Star Marketing Sdn. Bhd.</t>
        </is>
      </c>
      <c r="J2947" t="inlineStr">
        <is>
          <t>Whale</t>
        </is>
      </c>
      <c r="K2947" t="inlineStr">
        <is>
          <t>Josh</t>
        </is>
      </c>
      <c r="L2947" s="4"/>
      <c r="M2947" s="4">
        <v>46120.739375</v>
      </c>
      <c r="N2947"/>
      <c r="O2947">
        <v>3672</v>
      </c>
      <c r="P2947" s="4"/>
      <c r="Q2947" s="4">
        <v>45709.66018518519</v>
      </c>
      <c r="R2947"/>
      <c r="S2947">
        <v>5292</v>
      </c>
      <c r="T2947" s="4">
        <v>45709.66018518519</v>
      </c>
      <c r="U2947" s="4"/>
      <c r="V2947"/>
      <c r="W2947">
        <v>5292</v>
      </c>
      <c r="X2947"/>
      <c r="Y2947" t="inlineStr">
        <is>
          <t>Pending Appointment</t>
        </is>
      </c>
      <c r="Z2947" t="inlineStr">
        <is>
          <t>Hiring Now</t>
        </is>
      </c>
      <c r="AA2947">
        <v>2</v>
      </c>
      <c r="AB2947" t="inlineStr">
        <is>
          <t>No Appointment Made</t>
        </is>
      </c>
      <c r="AC2947"/>
      <c r="AD2947" t="inlineStr">
        <is>
          <t xml:space="preserve">2 sales </t>
        </is>
      </c>
      <c r="AE2947"/>
      <c r="AF2947">
        <v>3000</v>
      </c>
      <c r="AG2947" s="4"/>
      <c r="AH2947" s="4"/>
      <c r="AI2947"/>
      <c r="AJ2947"/>
      <c r="AK2947" t="inlineStr">
        <is>
          <t>Yes, I have</t>
        </is>
      </c>
      <c r="AL2947"/>
      <c r="AM2947"/>
      <c r="AN2947"/>
      <c r="AO2947"/>
      <c r="AP2947" t="inlineStr">
        <is>
          <t>Once a year (25%)</t>
        </is>
      </c>
      <c r="AQ2947"/>
      <c r="AR2947"/>
      <c r="AS2947" t="inlineStr">
        <is>
          <t>- Headcount: 2
- Hiring Job Details: 2 sales
- Number of outlets: Not provided
- Have recruiter team: Yes
- Number of recruiter in company: Not provided
- Have ATS system: Not provided
- Have career website: Not provided
- Current hiring budget: RM3,000.00
- Whole year budget: Not provided
- Whole year number of vacancies: Not provided
- Hiring frequency: Once a year (25%)
- External job portal: Not provided
- Hiring Urgency: Hiring Now</t>
        </is>
      </c>
      <c r="AT2947">
        <v>95</v>
      </c>
      <c r="AU2947" t="inlineStr">
        <is>
          <t>0.95</t>
        </is>
      </c>
      <c r="AV2947" t="inlineStr">
        <is>
          <t>15</t>
        </is>
      </c>
      <c r="AW2947" t="inlineStr">
        <is>
          <t>0</t>
        </is>
      </c>
      <c r="AX2947" t="inlineStr">
        <is>
          <t>Not Qualified</t>
        </is>
      </c>
      <c r="AY2947" s="4"/>
      <c r="AZ2947"/>
      <c r="BA2947"/>
      <c r="BB2947"/>
      <c r="BC2947" t="inlineStr">
        <is>
          <t>npu</t>
        </is>
      </c>
      <c r="BD2947" s="4">
        <v>46132.594375</v>
      </c>
      <c r="BE2947" t="inlineStr">
        <is>
          <t>paid</t>
        </is>
      </c>
      <c r="BF2947"/>
      <c r="BG2947" t="inlineStr">
        <is>
          <t>Reschedule</t>
        </is>
      </c>
      <c r="BH2947" t="inlineStr">
        <is>
          <t>Fauziah Maharan</t>
        </is>
      </c>
      <c r="BI2947" t="inlineStr">
        <is>
          <t>Electrical / Electronics</t>
        </is>
      </c>
      <c r="BJ2947" s="4">
        <v>46144.751655092594</v>
      </c>
      <c r="BK2947" s="4">
        <v>45373.60556712963</v>
      </c>
      <c r="BL2947" t="inlineStr">
        <is>
          <t>0.0</t>
        </is>
      </c>
      <c r="BM2947" t="inlineStr">
        <is>
          <t>0.0</t>
        </is>
      </c>
      <c r="BN2947" t="inlineStr">
        <is>
          <t>User Visit(Logged In)</t>
        </is>
      </c>
      <c r="BO2947" s="4">
        <v>46028.50298611111</v>
      </c>
      <c r="BP2947">
        <v>166029</v>
      </c>
      <c r="BQ2947">
        <v>77008</v>
      </c>
      <c r="BR2947" t="inlineStr">
        <is>
          <t>Online</t>
        </is>
      </c>
      <c r="BS2947"/>
      <c r="BT2947">
        <v>77008</v>
      </c>
      <c r="BU2947"/>
      <c r="BV2947">
        <v>2715685</v>
      </c>
      <c r="BW2947" t="inlineStr">
        <is>
          <t>No Answer : Voicemail - WA sent to customer</t>
        </is>
      </c>
      <c r="BX2947"/>
      <c r="BY2947"/>
      <c r="BZ2947" s="4"/>
      <c r="CA2947"/>
      <c r="CB2947"/>
      <c r="CC2947" s="4"/>
      <c r="CD2947" t="inlineStr">
        <is>
          <t>20</t>
        </is>
      </c>
      <c r="CE2947" t="inlineStr">
        <is>
          <t>0</t>
        </is>
      </c>
      <c r="CF2947" t="inlineStr">
        <is>
          <t>Q2-W01</t>
        </is>
      </c>
      <c r="CG2947"/>
      <c r="CH2947"/>
      <c r="CI2947"/>
      <c r="CJ2947" t="inlineStr">
        <is>
          <t>Paid</t>
        </is>
      </c>
      <c r="CK2947" t="inlineStr">
        <is>
          <t>Eligible</t>
        </is>
      </c>
      <c r="CL2947"/>
      <c r="CM2947"/>
    </row>
    <row r="2948" ht="25.5" customHeight="1">
      <c r="A2948" t="inlineStr">
        <is>
          <t>160416</t>
        </is>
      </c>
      <c r="B2948" s="2"/>
      <c r="C2948"/>
      <c r="D2948" s="3">
        <v>46120.7397337963</v>
      </c>
      <c r="E2948" t="inlineStr">
        <is>
          <t>Q2-W01</t>
        </is>
      </c>
      <c r="F2948" t="inlineStr">
        <is>
          <t>Alan KY</t>
        </is>
      </c>
      <c r="G2948" t="inlineStr">
        <is>
          <t>Customer</t>
        </is>
      </c>
      <c r="H2948" s="2" t="str">
        <f>=HYPERLINK("https://upbox.ajobthing.my/customer/160416", "https://upbox.ajobthing.my/customer/160416")</f>
        <v>https://upbox.ajobthing.my/customer/160416</v>
      </c>
      <c r="I2948" t="inlineStr">
        <is>
          <t>TT Splash Sdn Bhd</t>
        </is>
      </c>
      <c r="J2948" t="inlineStr">
        <is>
          <t>Whale</t>
        </is>
      </c>
      <c r="K2948" t="inlineStr">
        <is>
          <t>Alan KY</t>
        </is>
      </c>
      <c r="L2948" s="4"/>
      <c r="M2948" s="4">
        <v>46120.741111111114</v>
      </c>
      <c r="N2948"/>
      <c r="O2948">
        <v>10800</v>
      </c>
      <c r="P2948" s="4"/>
      <c r="Q2948" s="4">
        <v>46079.67070601852</v>
      </c>
      <c r="R2948"/>
      <c r="S2948">
        <v>1296</v>
      </c>
      <c r="T2948" s="4">
        <v>46079.67070601852</v>
      </c>
      <c r="U2948" s="4"/>
      <c r="V2948"/>
      <c r="W2948">
        <v>1296</v>
      </c>
      <c r="X2948"/>
      <c r="Y2948" t="inlineStr">
        <is>
          <t>Pending Appointment</t>
        </is>
      </c>
      <c r="Z2948" t="inlineStr">
        <is>
          <t>Continuous Hiring</t>
        </is>
      </c>
      <c r="AA2948">
        <v>2</v>
      </c>
      <c r="AB2948" t="inlineStr">
        <is>
          <t>No Appointment Made</t>
        </is>
      </c>
      <c r="AC2948"/>
      <c r="AD2948" t="inlineStr">
        <is>
          <t xml:space="preserve">2 position - cs, sales 
81, 25 
Based in Selangor </t>
        </is>
      </c>
      <c r="AE2948"/>
      <c r="AF2948"/>
      <c r="AG2948" s="4"/>
      <c r="AH2948" s="4"/>
      <c r="AI2948"/>
      <c r="AJ2948"/>
      <c r="AK2948" t="inlineStr">
        <is>
          <t>No, I don't need at all</t>
        </is>
      </c>
      <c r="AL2948"/>
      <c r="AM2948" t="inlineStr">
        <is>
          <t>No, I don't need at all</t>
        </is>
      </c>
      <c r="AN2948"/>
      <c r="AO2948" t="inlineStr">
        <is>
          <t>No, I don't need at all</t>
        </is>
      </c>
      <c r="AP2948" t="inlineStr">
        <is>
          <t>Every month (100%)</t>
        </is>
      </c>
      <c r="AQ2948"/>
      <c r="AR2948" t="inlineStr">
        <is>
          <t>Jobstreet, Hiredly</t>
        </is>
      </c>
      <c r="AS2948" t="inlineStr">
        <is>
          <t>- Headcount: 2
- Hiring Job Details: 2 positions - cs, sales; 81, 25; based in Selangor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 Hiredly</t>
        </is>
      </c>
      <c r="AT2948">
        <v>90</v>
      </c>
      <c r="AU2948" t="inlineStr">
        <is>
          <t>0.90</t>
        </is>
      </c>
      <c r="AV2948" t="inlineStr">
        <is>
          <t>5</t>
        </is>
      </c>
      <c r="AW2948" t="inlineStr">
        <is>
          <t>0</t>
        </is>
      </c>
      <c r="AX2948" t="inlineStr">
        <is>
          <t>Not Qualified</t>
        </is>
      </c>
      <c r="AY2948" s="4"/>
      <c r="AZ2948"/>
      <c r="BA2948"/>
      <c r="BB2948"/>
      <c r="BC2948" t="inlineStr">
        <is>
          <t>Limited budget for this quarter, will happy to keep in touch later
Follow up next month</t>
        </is>
      </c>
      <c r="BD2948" s="4">
        <v>46125.734930555554</v>
      </c>
      <c r="BE2948" t="inlineStr">
        <is>
          <t>paid</t>
        </is>
      </c>
      <c r="BF2948" t="inlineStr">
        <is>
          <t>Q1-W08</t>
        </is>
      </c>
      <c r="BG2948" t="inlineStr">
        <is>
          <t>Reschedule</t>
        </is>
      </c>
      <c r="BH2948" t="inlineStr">
        <is>
          <t>Reagen</t>
        </is>
      </c>
      <c r="BI2948" t="inlineStr">
        <is>
          <t>Transportation / Logistics</t>
        </is>
      </c>
      <c r="BJ2948" s="4">
        <v>46144.75109953704</v>
      </c>
      <c r="BK2948" s="4">
        <v>44833.90796296296</v>
      </c>
      <c r="BL2948" t="inlineStr">
        <is>
          <t>2592.0</t>
        </is>
      </c>
      <c r="BM2948" t="inlineStr">
        <is>
          <t>0.0</t>
        </is>
      </c>
      <c r="BN2948" t="inlineStr">
        <is>
          <t>View Company Page</t>
        </is>
      </c>
      <c r="BO2948" s="4">
        <v>46140.67491898148</v>
      </c>
      <c r="BP2948">
        <v>166031</v>
      </c>
      <c r="BQ2948">
        <v>87193</v>
      </c>
      <c r="BR2948" t="inlineStr">
        <is>
          <t>Online</t>
        </is>
      </c>
      <c r="BS2948"/>
      <c r="BT2948">
        <v>87193</v>
      </c>
      <c r="BU2948"/>
      <c r="BV2948">
        <v>2702130</v>
      </c>
      <c r="BW2948" t="inlineStr">
        <is>
          <t>Follow Up : Budget Concern</t>
        </is>
      </c>
      <c r="BX2948"/>
      <c r="BY2948"/>
      <c r="BZ2948" s="4"/>
      <c r="CA2948"/>
      <c r="CB2948"/>
      <c r="CC2948" s="4"/>
      <c r="CD2948" t="inlineStr">
        <is>
          <t>5</t>
        </is>
      </c>
      <c r="CE2948" t="inlineStr">
        <is>
          <t>0</t>
        </is>
      </c>
      <c r="CF2948" t="inlineStr">
        <is>
          <t>Q2-W01</t>
        </is>
      </c>
      <c r="CG2948" t="inlineStr">
        <is>
          <t>Q1-W08</t>
        </is>
      </c>
      <c r="CH2948" t="inlineStr">
        <is>
          <t>Q1-W08</t>
        </is>
      </c>
      <c r="CI2948"/>
      <c r="CJ2948" t="inlineStr">
        <is>
          <t>Paid</t>
        </is>
      </c>
      <c r="CK2948" t="inlineStr">
        <is>
          <t>Eligible</t>
        </is>
      </c>
      <c r="CL2948"/>
      <c r="CM2948"/>
    </row>
    <row r="2949" ht="25.5" customHeight="1">
      <c r="A2949" t="inlineStr">
        <is>
          <t>192673</t>
        </is>
      </c>
      <c r="B2949" s="2"/>
      <c r="C2949"/>
      <c r="D2949" s="3">
        <v>46120.741631944446</v>
      </c>
      <c r="E2949" t="inlineStr">
        <is>
          <t>Q2-W01</t>
        </is>
      </c>
      <c r="F2949" t="inlineStr">
        <is>
          <t>Clover</t>
        </is>
      </c>
      <c r="G2949" t="inlineStr">
        <is>
          <t>Customer</t>
        </is>
      </c>
      <c r="H2949" s="2" t="str">
        <f>=HYPERLINK("https://upbox.ajobthing.my/customer/192673", "https://upbox.ajobthing.my/customer/192673")</f>
        <v>https://upbox.ajobthing.my/customer/192673</v>
      </c>
      <c r="I2949" t="inlineStr">
        <is>
          <t>Ignatius Asia Sdn Bhd</t>
        </is>
      </c>
      <c r="J2949" t="inlineStr">
        <is>
          <t>Whale</t>
        </is>
      </c>
      <c r="K2949" t="inlineStr">
        <is>
          <t>Clover</t>
        </is>
      </c>
      <c r="L2949" s="4"/>
      <c r="M2949" s="4">
        <v>46120.74201388889</v>
      </c>
      <c r="N2949"/>
      <c r="O2949">
        <v>6048</v>
      </c>
      <c r="P2949" s="4"/>
      <c r="Q2949" s="4">
        <v>45828.72950231482</v>
      </c>
      <c r="R2949"/>
      <c r="S2949">
        <v>3672</v>
      </c>
      <c r="T2949" s="4">
        <v>45828.72950231482</v>
      </c>
      <c r="U2949" s="4"/>
      <c r="V2949"/>
      <c r="W2949">
        <v>3672</v>
      </c>
      <c r="X2949"/>
      <c r="Y2949" t="inlineStr">
        <is>
          <t>Pending Appointment</t>
        </is>
      </c>
      <c r="Z2949" t="inlineStr">
        <is>
          <t>Hiring Later</t>
        </is>
      </c>
      <c r="AA2949">
        <v>0</v>
      </c>
      <c r="AB2949" t="inlineStr">
        <is>
          <t>No Appointment Made</t>
        </is>
      </c>
      <c r="AC2949"/>
      <c r="AD2949" t="inlineStr">
        <is>
          <t>Call PIC Mr Nicholas,  admin help screening, so far current post all good,  maybe future hiring event operation, ampang.  suggest stand/pro</t>
        </is>
      </c>
      <c r="AE2949"/>
      <c r="AF2949">
        <v>5000</v>
      </c>
      <c r="AG2949" s="4"/>
      <c r="AH2949" s="4"/>
      <c r="AI2949">
        <v>5000</v>
      </c>
      <c r="AJ2949">
        <v>1</v>
      </c>
      <c r="AK2949" t="inlineStr">
        <is>
          <t>No, but I want in future</t>
        </is>
      </c>
      <c r="AL2949">
        <v>1</v>
      </c>
      <c r="AM2949" t="inlineStr">
        <is>
          <t>No, but I want in future</t>
        </is>
      </c>
      <c r="AN2949"/>
      <c r="AO2949" t="inlineStr">
        <is>
          <t>No, but I want in future</t>
        </is>
      </c>
      <c r="AP2949" t="inlineStr">
        <is>
          <t>Once per quarter (75%)</t>
        </is>
      </c>
      <c r="AQ2949">
        <v>1</v>
      </c>
      <c r="AR2949" t="inlineStr">
        <is>
          <t>Did not use any job portal</t>
        </is>
      </c>
      <c r="AS2949" t="inlineStr">
        <is>
          <t>- Headcount: 0
- Hiring Job Details: Call PIC Mr Nicholas, admin help screening; current posts all good, possible future hiring event operation in Ampang, suggest stand/pro
- Hiring Urgency: Hiring Later
- Number of outlets: 1
- Have recruiter team: No, but want in future
- Number of recruiter in company: 1
- Have ATS system: No, but want in future
- Have career website: No, but want in future
- Current hiring budget: RM5,000
- Whole year budget: RM5,000.00
- Whole year number of vacancies: 1
- Hiring frequency: Once per quarter (75%)
- External job portal: Did not use any</t>
        </is>
      </c>
      <c r="AT2949">
        <v>75</v>
      </c>
      <c r="AU2949" t="inlineStr">
        <is>
          <t>0.75</t>
        </is>
      </c>
      <c r="AV2949" t="inlineStr">
        <is>
          <t>15</t>
        </is>
      </c>
      <c r="AW2949" t="inlineStr">
        <is>
          <t>0</t>
        </is>
      </c>
      <c r="AX2949" t="inlineStr">
        <is>
          <t>Not Qualified</t>
        </is>
      </c>
      <c r="AY2949" s="4"/>
      <c r="AZ2949"/>
      <c r="BA2949"/>
      <c r="BB2949"/>
      <c r="BC2949" t="inlineStr">
        <is>
          <t>Still considering</t>
        </is>
      </c>
      <c r="BD2949" s="4">
        <v>46135.74050925926</v>
      </c>
      <c r="BE2949" t="inlineStr">
        <is>
          <t>paid</t>
        </is>
      </c>
      <c r="BF2949"/>
      <c r="BG2949" t="inlineStr">
        <is>
          <t>Reschedule</t>
        </is>
      </c>
      <c r="BH2949" t="inlineStr">
        <is>
          <t>Reagen</t>
        </is>
      </c>
      <c r="BI2949" t="inlineStr">
        <is>
          <t>Exhibitions / Event Mgmt</t>
        </is>
      </c>
      <c r="BJ2949" s="4">
        <v>46144.75256944444</v>
      </c>
      <c r="BK2949" s="4">
        <v>45825.46592592593</v>
      </c>
      <c r="BL2949" t="inlineStr">
        <is>
          <t>3672.0</t>
        </is>
      </c>
      <c r="BM2949" t="inlineStr">
        <is>
          <t>2250.0</t>
        </is>
      </c>
      <c r="BN2949" t="inlineStr">
        <is>
          <t>View Jobmanager Page</t>
        </is>
      </c>
      <c r="BO2949" s="4">
        <v>46120.739282407405</v>
      </c>
      <c r="BP2949">
        <v>166034</v>
      </c>
      <c r="BQ2949">
        <v>80267</v>
      </c>
      <c r="BR2949" t="inlineStr">
        <is>
          <t>Online</t>
        </is>
      </c>
      <c r="BS2949"/>
      <c r="BT2949">
        <v>80267</v>
      </c>
      <c r="BU2949"/>
      <c r="BV2949">
        <v>2725119</v>
      </c>
      <c r="BW2949" t="inlineStr">
        <is>
          <t>Follow Up : Decision Pending</t>
        </is>
      </c>
      <c r="BX2949">
        <v>6</v>
      </c>
      <c r="BY2949">
        <v>0</v>
      </c>
      <c r="BZ2949" s="4">
        <v>46090.86040509259</v>
      </c>
      <c r="CA2949">
        <v>60</v>
      </c>
      <c r="CB2949">
        <v>59</v>
      </c>
      <c r="CC2949" s="4">
        <v>45982.674791666665</v>
      </c>
      <c r="CD2949" t="inlineStr">
        <is>
          <t>20</t>
        </is>
      </c>
      <c r="CE2949" t="inlineStr">
        <is>
          <t>0</t>
        </is>
      </c>
      <c r="CF2949" t="inlineStr">
        <is>
          <t>Q2-W01</t>
        </is>
      </c>
      <c r="CG2949"/>
      <c r="CH2949"/>
      <c r="CI2949"/>
      <c r="CJ2949" t="inlineStr">
        <is>
          <t>Paid</t>
        </is>
      </c>
      <c r="CK2949" t="inlineStr">
        <is>
          <t>Eligible</t>
        </is>
      </c>
      <c r="CL2949"/>
      <c r="CM2949"/>
    </row>
    <row r="2950" ht="25.5" customHeight="1">
      <c r="A2950" t="inlineStr">
        <is>
          <t>39405</t>
        </is>
      </c>
      <c r="B2950" s="2"/>
      <c r="C2950"/>
      <c r="D2950" s="3">
        <v>46120.75038194445</v>
      </c>
      <c r="E2950" t="inlineStr">
        <is>
          <t>Q2-W01</t>
        </is>
      </c>
      <c r="F2950" t="inlineStr">
        <is>
          <t>Yvonne Lee</t>
        </is>
      </c>
      <c r="G2950" t="inlineStr">
        <is>
          <t>Customer</t>
        </is>
      </c>
      <c r="H2950" s="2" t="str">
        <f>=HYPERLINK("https://upbox.ajobthing.my/customer/39405", "https://upbox.ajobthing.my/customer/39405")</f>
        <v>https://upbox.ajobthing.my/customer/39405</v>
      </c>
      <c r="I2950" t="inlineStr">
        <is>
          <t>Acson Malaysia Sales &amp; Service Sdn Bhd</t>
        </is>
      </c>
      <c r="J2950" t="inlineStr">
        <is>
          <t>Whale</t>
        </is>
      </c>
      <c r="K2950" t="inlineStr">
        <is>
          <t>Yvonne</t>
        </is>
      </c>
      <c r="L2950" s="4"/>
      <c r="M2950" s="4">
        <v>46120.75386574074</v>
      </c>
      <c r="N2950"/>
      <c r="O2950">
        <v>11448</v>
      </c>
      <c r="P2950" s="4"/>
      <c r="Q2950" s="4"/>
      <c r="R2950"/>
      <c r="S2950"/>
      <c r="T2950" s="4"/>
      <c r="U2950" s="4"/>
      <c r="V2950"/>
      <c r="W2950"/>
      <c r="X2950"/>
      <c r="Y2950" t="inlineStr">
        <is>
          <t>Pending Appointment</t>
        </is>
      </c>
      <c r="Z2950" t="inlineStr">
        <is>
          <t>Hiring Later</t>
        </is>
      </c>
      <c r="AA2950">
        <v>3</v>
      </c>
      <c r="AB2950" t="inlineStr">
        <is>
          <t>No Appointment Made</t>
        </is>
      </c>
      <c r="AC2950"/>
      <c r="AD2950" t="inlineStr">
        <is>
          <t>1) Sales Executive
2) Human Resource
3) Administrative positions</t>
        </is>
      </c>
      <c r="AE2950"/>
      <c r="AF2950">
        <v>10000</v>
      </c>
      <c r="AG2950" s="4"/>
      <c r="AH2950" s="4"/>
      <c r="AI2950">
        <v>10000</v>
      </c>
      <c r="AJ2950">
        <v>1</v>
      </c>
      <c r="AK2950" t="inlineStr">
        <is>
          <t>Yes, I have</t>
        </is>
      </c>
      <c r="AL2950">
        <v>3</v>
      </c>
      <c r="AM2950" t="inlineStr">
        <is>
          <t>No, I don't need at all</t>
        </is>
      </c>
      <c r="AN2950"/>
      <c r="AO2950" t="inlineStr">
        <is>
          <t>Yes, I have</t>
        </is>
      </c>
      <c r="AP2950" t="inlineStr">
        <is>
          <t>Twice a year (50%)</t>
        </is>
      </c>
      <c r="AQ2950">
        <v>30</v>
      </c>
      <c r="AR2950" t="inlineStr">
        <is>
          <t>Jobstreet</t>
        </is>
      </c>
      <c r="AS2950" t="inlineStr">
        <is>
          <t>- Headcount: 3
- Hiring Job Details: 1) Sales Executive\n2) Human Resource\n3) Administrative positions
- Hiring Urgency: Hiring Later
- Number of outlets: 1
- Have recruiter team: Yes
- Number of recruiter in company: 3
- Have ATS system: No, I don't need at all
- Have career website: Yes
- Current hiring budget: RM10,000
- Whole year budget: RM10,000.00
- Whole year number of vacancies: 30
- Hiring frequency: Twice a year (50%)
- External job portal: Jobstreet</t>
        </is>
      </c>
      <c r="AT2950">
        <v>95</v>
      </c>
      <c r="AU2950" t="inlineStr">
        <is>
          <t>0.95</t>
        </is>
      </c>
      <c r="AV2950" t="inlineStr">
        <is>
          <t>15</t>
        </is>
      </c>
      <c r="AW2950" t="inlineStr">
        <is>
          <t>0</t>
        </is>
      </c>
      <c r="AX2950" t="inlineStr">
        <is>
          <t>Not Qualified</t>
        </is>
      </c>
      <c r="AY2950" s="4"/>
      <c r="AZ2950"/>
      <c r="BA2950"/>
      <c r="BB2950"/>
      <c r="BC2950" t="inlineStr">
        <is>
          <t>quotation shared.</t>
        </is>
      </c>
      <c r="BD2950" s="4">
        <v>46142.69474537037</v>
      </c>
      <c r="BE2950"/>
      <c r="BF2950"/>
      <c r="BG2950" t="inlineStr">
        <is>
          <t>Reschedule</t>
        </is>
      </c>
      <c r="BH2950" t="inlineStr">
        <is>
          <t>andy@ajobthing.com</t>
        </is>
      </c>
      <c r="BI2950" t="inlineStr">
        <is>
          <t>Electrical / Electronics</t>
        </is>
      </c>
      <c r="BJ2950" s="4">
        <v>46144.75506944444</v>
      </c>
      <c r="BK2950" s="4">
        <v>42926.71569444444</v>
      </c>
      <c r="BL2950" t="inlineStr">
        <is>
          <t>0.0</t>
        </is>
      </c>
      <c r="BM2950" t="inlineStr">
        <is>
          <t>8400.0</t>
        </is>
      </c>
      <c r="BN2950" t="inlineStr">
        <is>
          <t>View Applicants</t>
        </is>
      </c>
      <c r="BO2950" s="4">
        <v>43383.373923611114</v>
      </c>
      <c r="BP2950">
        <v>166045</v>
      </c>
      <c r="BQ2950"/>
      <c r="BR2950"/>
      <c r="BS2950"/>
      <c r="BT2950"/>
      <c r="BU2950"/>
      <c r="BV2950">
        <v>2738220</v>
      </c>
      <c r="BW2950" t="inlineStr">
        <is>
          <t>Inquire for Hiring Needs : Quotation Sent 50%</t>
        </is>
      </c>
      <c r="BX2950"/>
      <c r="BY2950"/>
      <c r="BZ2950" s="4"/>
      <c r="CA2950"/>
      <c r="CB2950"/>
      <c r="CC2950" s="4"/>
      <c r="CD2950" t="inlineStr">
        <is>
          <t>20</t>
        </is>
      </c>
      <c r="CE2950" t="inlineStr">
        <is>
          <t>0</t>
        </is>
      </c>
      <c r="CF2950" t="inlineStr">
        <is>
          <t>Q2-W01</t>
        </is>
      </c>
      <c r="CG2950"/>
      <c r="CH2950"/>
      <c r="CI2950"/>
      <c r="CJ2950" t="inlineStr">
        <is>
          <t>No Paid</t>
        </is>
      </c>
      <c r="CK2950" t="inlineStr">
        <is>
          <t>Eligible</t>
        </is>
      </c>
      <c r="CL2950"/>
      <c r="CM2950"/>
    </row>
    <row r="2951" ht="25.5" customHeight="1">
      <c r="A2951" t="inlineStr">
        <is>
          <t>4256750</t>
        </is>
      </c>
      <c r="B2951" s="2"/>
      <c r="C2951"/>
      <c r="D2951" s="3">
        <v>46120.77408564815</v>
      </c>
      <c r="E2951" t="inlineStr">
        <is>
          <t>Q2-W01</t>
        </is>
      </c>
      <c r="F2951" t="inlineStr">
        <is>
          <t>Jess</t>
        </is>
      </c>
      <c r="G2951" t="inlineStr">
        <is>
          <t>Lead</t>
        </is>
      </c>
      <c r="H2951" s="2" t="str">
        <f>=HYPERLINK("https://upbox.ajobthing.my/leads/4256750", "https://upbox.ajobthing.my/leads/4256750")</f>
        <v>https://upbox.ajobthing.my/leads/4256750</v>
      </c>
      <c r="I2951" t="inlineStr">
        <is>
          <t>RC PRECISION ENGINEERING SDN. BHD</t>
        </is>
      </c>
      <c r="J2951" t="inlineStr">
        <is>
          <t>Whale</t>
        </is>
      </c>
      <c r="K2951" t="inlineStr">
        <is>
          <t>Jess Lim</t>
        </is>
      </c>
      <c r="L2951" s="4"/>
      <c r="M2951" s="4">
        <v>46126.60028935185</v>
      </c>
      <c r="N2951"/>
      <c r="O2951">
        <v>3888</v>
      </c>
      <c r="P2951" s="4"/>
      <c r="Q2951" s="4"/>
      <c r="R2951"/>
      <c r="S2951"/>
      <c r="T2951" s="4"/>
      <c r="U2951" s="4"/>
      <c r="V2951"/>
      <c r="W2951"/>
      <c r="X2951"/>
      <c r="Y2951" t="inlineStr">
        <is>
          <t>Pending Appointment</t>
        </is>
      </c>
      <c r="Z2951" t="inlineStr">
        <is>
          <t>Hiring Now</t>
        </is>
      </c>
      <c r="AA2951">
        <v>8</v>
      </c>
      <c r="AB2951" t="inlineStr">
        <is>
          <t>No Appointment Made</t>
        </is>
      </c>
      <c r="AC2951"/>
      <c r="AD2951" t="inlineStr">
        <is>
          <t>CNC Programmer (1)
CNC Machinist (4)
Secondary Process Operator (1)
Tooling Technician (1)
QC Technician (1)</t>
        </is>
      </c>
      <c r="AE2951"/>
      <c r="AF2951">
        <v>6000</v>
      </c>
      <c r="AG2951" s="4"/>
      <c r="AH2951" s="4"/>
      <c r="AI2951"/>
      <c r="AJ2951">
        <v>1</v>
      </c>
      <c r="AK2951" t="inlineStr">
        <is>
          <t>No, I don't need at all</t>
        </is>
      </c>
      <c r="AL2951">
        <v>1</v>
      </c>
      <c r="AM2951" t="inlineStr">
        <is>
          <t>No, I don't need at all</t>
        </is>
      </c>
      <c r="AN2951"/>
      <c r="AO2951"/>
      <c r="AP2951" t="inlineStr">
        <is>
          <t>Once a year (25%)</t>
        </is>
      </c>
      <c r="AQ2951"/>
      <c r="AR2951" t="inlineStr">
        <is>
          <t>Jobstreet</t>
        </is>
      </c>
      <c r="AS2951" t="inlineStr">
        <is>
          <t>- Headcount: 8
- Hiring Job Details: CNC Programmer (1), CNC Machinist (4), Secondary Process Operator (1), Tooling Technician (1), QC Technician (1)
- Hiring Urgency: Hiring Now
- Number of outlets: 1
- Have recruiter team: No, I don't need at all
- Number of recruiter in company: 1
- Have ATS system: No, I don't need at all
- Have career website: Not specified
- Current hiring budget: RM6,000
- Whole year budget: Not specified
- Whole year number of vacancies: Not specified
- Hiring frequency: Once a year (25%)
- External job portal: Jobstreet</t>
        </is>
      </c>
      <c r="AT2951">
        <v>95</v>
      </c>
      <c r="AU2951" t="inlineStr">
        <is>
          <t>0.95</t>
        </is>
      </c>
      <c r="AV2951" t="inlineStr">
        <is>
          <t>20</t>
        </is>
      </c>
      <c r="AW2951" t="inlineStr">
        <is>
          <t>0</t>
        </is>
      </c>
      <c r="AX2951" t="inlineStr">
        <is>
          <t>Not Qualified</t>
        </is>
      </c>
      <c r="AY2951" s="4"/>
      <c r="AZ2951"/>
      <c r="BA2951"/>
      <c r="BB2951"/>
      <c r="BC2951"/>
      <c r="BD2951" s="4"/>
      <c r="BE2951"/>
      <c r="BF2951"/>
      <c r="BG2951" t="inlineStr">
        <is>
          <t>Reschedule</t>
        </is>
      </c>
      <c r="BH2951" t="inlineStr">
        <is>
          <t>Fauziah Maharan</t>
        </is>
      </c>
      <c r="BI2951"/>
      <c r="BJ2951" s="4">
        <v>46144.755740740744</v>
      </c>
      <c r="BK2951" s="4">
        <v>46119.72324074074</v>
      </c>
      <c r="BL2951" t="inlineStr">
        <is>
          <t>0.0</t>
        </is>
      </c>
      <c r="BM2951" t="inlineStr">
        <is>
          <t>6600.0</t>
        </is>
      </c>
      <c r="BN2951"/>
      <c r="BO2951" s="4"/>
      <c r="BP2951">
        <v>166962</v>
      </c>
      <c r="BQ2951"/>
      <c r="BR2951"/>
      <c r="BS2951"/>
      <c r="BT2951"/>
      <c r="BU2951"/>
      <c r="BV2951"/>
      <c r="BW2951"/>
      <c r="BX2951"/>
      <c r="BY2951"/>
      <c r="BZ2951" s="4"/>
      <c r="CA2951"/>
      <c r="CB2951"/>
      <c r="CC2951" s="4"/>
      <c r="CD2951" t="inlineStr">
        <is>
          <t>30</t>
        </is>
      </c>
      <c r="CE2951" t="inlineStr">
        <is>
          <t>0</t>
        </is>
      </c>
      <c r="CF2951" t="inlineStr">
        <is>
          <t>Q2-W02</t>
        </is>
      </c>
      <c r="CG2951"/>
      <c r="CH2951"/>
      <c r="CI2951"/>
      <c r="CJ2951" t="inlineStr">
        <is>
          <t>No Paid</t>
        </is>
      </c>
      <c r="CK2951" t="inlineStr">
        <is>
          <t>Eligible</t>
        </is>
      </c>
      <c r="CL2951"/>
      <c r="CM2951"/>
    </row>
    <row r="2952" ht="25.5" customHeight="1">
      <c r="A2952" t="inlineStr">
        <is>
          <t>173981</t>
        </is>
      </c>
      <c r="B2952" s="2"/>
      <c r="C2952"/>
      <c r="D2952" s="3">
        <v>46120.872708333336</v>
      </c>
      <c r="E2952" t="inlineStr">
        <is>
          <t>Q2-W01</t>
        </is>
      </c>
      <c r="F2952" t="inlineStr">
        <is>
          <t>Yuli</t>
        </is>
      </c>
      <c r="G2952" t="inlineStr">
        <is>
          <t>Customer</t>
        </is>
      </c>
      <c r="H2952" s="2" t="str">
        <f>=HYPERLINK("https://upbox.ajobthing.my/customer/173981", "https://upbox.ajobthing.my/customer/173981")</f>
        <v>https://upbox.ajobthing.my/customer/173981</v>
      </c>
      <c r="I2952" t="inlineStr">
        <is>
          <t>Sunshine Kingdom Sdn Bhd</t>
        </is>
      </c>
      <c r="J2952" t="inlineStr">
        <is>
          <t>Whale</t>
        </is>
      </c>
      <c r="K2952" t="inlineStr">
        <is>
          <t>YuLi</t>
        </is>
      </c>
      <c r="L2952" s="4"/>
      <c r="M2952" s="4">
        <v>46120.87225694444</v>
      </c>
      <c r="N2952"/>
      <c r="O2952">
        <v>3888</v>
      </c>
      <c r="P2952" s="4"/>
      <c r="Q2952" s="4">
        <v>46121.75465277778</v>
      </c>
      <c r="R2952"/>
      <c r="S2952">
        <v>3888</v>
      </c>
      <c r="T2952" s="4">
        <v>46121.75465277778</v>
      </c>
      <c r="U2952" s="4"/>
      <c r="V2952"/>
      <c r="W2952">
        <v>3888</v>
      </c>
      <c r="X2952"/>
      <c r="Y2952" t="inlineStr">
        <is>
          <t>Pending Appointment</t>
        </is>
      </c>
      <c r="Z2952" t="inlineStr">
        <is>
          <t>Hiring Now</t>
        </is>
      </c>
      <c r="AA2952">
        <v>1</v>
      </c>
      <c r="AB2952" t="inlineStr">
        <is>
          <t>No Appointment Made</t>
        </is>
      </c>
      <c r="AC2952"/>
      <c r="AD2952" t="inlineStr">
        <is>
          <t>1 Sales merchandiser</t>
        </is>
      </c>
      <c r="AE2952"/>
      <c r="AF2952"/>
      <c r="AG2952" s="4"/>
      <c r="AH2952" s="4"/>
      <c r="AI2952"/>
      <c r="AJ2952"/>
      <c r="AK2952"/>
      <c r="AL2952"/>
      <c r="AM2952"/>
      <c r="AN2952"/>
      <c r="AO2952"/>
      <c r="AP2952"/>
      <c r="AQ2952"/>
      <c r="AR2952" t="inlineStr">
        <is>
          <t>Did not use any job portal</t>
        </is>
      </c>
      <c r="AS2952" t="inlineStr">
        <is>
          <t>- Headcount: 1
- Hiring Job Details: 1 Sales merchandiser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Did not use any job portal</t>
        </is>
      </c>
      <c r="AT2952">
        <v>80</v>
      </c>
      <c r="AU2952" t="inlineStr">
        <is>
          <t>0.80</t>
        </is>
      </c>
      <c r="AV2952" t="inlineStr">
        <is>
          <t>5</t>
        </is>
      </c>
      <c r="AW2952" t="inlineStr">
        <is>
          <t>0</t>
        </is>
      </c>
      <c r="AX2952" t="inlineStr">
        <is>
          <t>Not Qualified</t>
        </is>
      </c>
      <c r="AY2952" s="4"/>
      <c r="AZ2952"/>
      <c r="BA2952"/>
      <c r="BB2952"/>
      <c r="BC2952" t="inlineStr">
        <is>
          <t>Received message from janice ask to promote job ad,</t>
        </is>
      </c>
      <c r="BD2952" s="4">
        <v>46139.56618055556</v>
      </c>
      <c r="BE2952" t="inlineStr">
        <is>
          <t>paid</t>
        </is>
      </c>
      <c r="BF2952" t="inlineStr">
        <is>
          <t>Q2-W01</t>
        </is>
      </c>
      <c r="BG2952" t="inlineStr">
        <is>
          <t>Reschedule</t>
        </is>
      </c>
      <c r="BH2952" t="inlineStr">
        <is>
          <t>Fauziah Maharan</t>
        </is>
      </c>
      <c r="BI2952" t="inlineStr">
        <is>
          <t>Food / Beverage</t>
        </is>
      </c>
      <c r="BJ2952" s="4">
        <v>46144.75152777778</v>
      </c>
      <c r="BK2952" s="4">
        <v>45282.54835648148</v>
      </c>
      <c r="BL2952" t="inlineStr">
        <is>
          <t>8640.0</t>
        </is>
      </c>
      <c r="BM2952" t="inlineStr">
        <is>
          <t>3000.0</t>
        </is>
      </c>
      <c r="BN2952" t="inlineStr">
        <is>
          <t>View Company Page</t>
        </is>
      </c>
      <c r="BO2952" s="4">
        <v>46142.40115740741</v>
      </c>
      <c r="BP2952">
        <v>166060</v>
      </c>
      <c r="BQ2952">
        <v>7599</v>
      </c>
      <c r="BR2952" t="inlineStr">
        <is>
          <t>Manual (Paid)</t>
        </is>
      </c>
      <c r="BS2952" t="inlineStr">
        <is>
          <t>AI Yearly Standard Plan
- AI Yearly Standard Plan of 3 AI Job Ads + 3 Free AI Job Ads with Booster
- 6 AI Job Ad will be published on Maukerja, Ricebowl and our partner platforms
- 6 AI Job Ad will be published for 45 days
- 6 Booster Plus
- 60 Free Candidates Profiles Unlock
- 2x Free Job Ad monthly (total 24 in a year) for any type of Intern / High Pay / Part-time / Volunteer / Freelance / Singapore Job
- 1 Free Company Page
- Package valid for 1 year
- AI Capability for each AI Job Ad
- AI Instant Match for 30 profiles
- AI Daily Talent Recommendation for 2 profiles daily
- AI "Open to Work" Detector for 2 profiles
- AI Smart Filter
- AI Post Job Assistant
- Ajobthing CARE</t>
        </is>
      </c>
      <c r="BT2952">
        <v>7599</v>
      </c>
      <c r="BU2952"/>
      <c r="BV2952">
        <v>2729232</v>
      </c>
      <c r="BW2952" t="inlineStr">
        <is>
          <t>Service / Technical : Job Complaint - Report To Marketing</t>
        </is>
      </c>
      <c r="BX2952">
        <v>12</v>
      </c>
      <c r="BY2952">
        <v>3</v>
      </c>
      <c r="BZ2952" s="4">
        <v>46133.586597222224</v>
      </c>
      <c r="CA2952">
        <v>120</v>
      </c>
      <c r="CB2952">
        <v>120</v>
      </c>
      <c r="CC2952" s="4"/>
      <c r="CD2952" t="inlineStr">
        <is>
          <t>5</t>
        </is>
      </c>
      <c r="CE2952" t="inlineStr">
        <is>
          <t>0</t>
        </is>
      </c>
      <c r="CF2952" t="inlineStr">
        <is>
          <t>Q2-W01</t>
        </is>
      </c>
      <c r="CG2952" t="inlineStr">
        <is>
          <t>Q2-W01</t>
        </is>
      </c>
      <c r="CH2952" t="inlineStr">
        <is>
          <t>Q2-W01</t>
        </is>
      </c>
      <c r="CI2952"/>
      <c r="CJ2952" t="inlineStr">
        <is>
          <t>Paid</t>
        </is>
      </c>
      <c r="CK2952" t="inlineStr">
        <is>
          <t>Eligible</t>
        </is>
      </c>
      <c r="CL2952"/>
      <c r="CM2952"/>
    </row>
    <row r="2953" ht="25.5" customHeight="1">
      <c r="A2953" t="inlineStr">
        <is>
          <t>41397</t>
        </is>
      </c>
      <c r="B2953" s="2"/>
      <c r="C2953"/>
      <c r="D2953" s="3">
        <v>46121.39597222222</v>
      </c>
      <c r="E2953" t="inlineStr">
        <is>
          <t>Q2-W01</t>
        </is>
      </c>
      <c r="F2953" t="inlineStr">
        <is>
          <t>Yuli</t>
        </is>
      </c>
      <c r="G2953" t="inlineStr">
        <is>
          <t>Customer</t>
        </is>
      </c>
      <c r="H2953" s="2" t="str">
        <f>=HYPERLINK("https://upbox.ajobthing.my/customer/41397", "https://upbox.ajobthing.my/customer/41397")</f>
        <v>https://upbox.ajobthing.my/customer/41397</v>
      </c>
      <c r="I2953" t="inlineStr">
        <is>
          <t>Megavision Focus Sdn Bhd</t>
        </is>
      </c>
      <c r="J2953" t="inlineStr">
        <is>
          <t>Whale</t>
        </is>
      </c>
      <c r="K2953" t="inlineStr">
        <is>
          <t>YuLi</t>
        </is>
      </c>
      <c r="L2953" s="4"/>
      <c r="M2953" s="4">
        <v>46121.41412037037</v>
      </c>
      <c r="N2953"/>
      <c r="O2953">
        <v>11232</v>
      </c>
      <c r="P2953" s="4"/>
      <c r="Q2953" s="4"/>
      <c r="R2953"/>
      <c r="S2953"/>
      <c r="T2953" s="4"/>
      <c r="U2953" s="4"/>
      <c r="V2953"/>
      <c r="W2953"/>
      <c r="X2953"/>
      <c r="Y2953" t="inlineStr">
        <is>
          <t>Pending Appointment</t>
        </is>
      </c>
      <c r="Z2953" t="inlineStr">
        <is>
          <t>Hiring Now</t>
        </is>
      </c>
      <c r="AA2953">
        <v>4</v>
      </c>
      <c r="AB2953" t="inlineStr">
        <is>
          <t>No Appointment Made</t>
        </is>
      </c>
      <c r="AC2953"/>
      <c r="AD2953" t="inlineStr">
        <is>
          <t>Finance, Production. account, operation</t>
        </is>
      </c>
      <c r="AE2953"/>
      <c r="AF2953">
        <v>6000</v>
      </c>
      <c r="AG2953" s="4"/>
      <c r="AH2953" s="4"/>
      <c r="AI2953"/>
      <c r="AJ2953"/>
      <c r="AK2953"/>
      <c r="AL2953"/>
      <c r="AM2953"/>
      <c r="AN2953"/>
      <c r="AO2953"/>
      <c r="AP2953"/>
      <c r="AQ2953"/>
      <c r="AR2953" t="inlineStr">
        <is>
          <t>Jobstreet, Hiredly</t>
        </is>
      </c>
      <c r="AS2953" t="inlineStr">
        <is>
          <t>- Headcount: 4
- Hiring Job Details: Finance, Production, account, operation
- Number of outlets: Not available
- Have recruiter team: Not available
- Number of recruiter in company: Not available
- Have ATS system: Not available
- Have career website: Not available
- Current hiring budget: RM6,000.00
- Whole year budget: Not available
- Whole year number of vacancies: Not available
- Hiring frequency: Not available
- External job portal: Jobstreet, Hiredly
- Hiring Urgency: Hiring Now</t>
        </is>
      </c>
      <c r="AT2953">
        <v>25</v>
      </c>
      <c r="AU2953" t="inlineStr">
        <is>
          <t>0.25</t>
        </is>
      </c>
      <c r="AV2953" t="inlineStr">
        <is>
          <t>15</t>
        </is>
      </c>
      <c r="AW2953" t="inlineStr">
        <is>
          <t>0</t>
        </is>
      </c>
      <c r="AX2953" t="inlineStr">
        <is>
          <t>Not Qualified</t>
        </is>
      </c>
      <c r="AY2953" s="4"/>
      <c r="AZ2953"/>
      <c r="BA2953"/>
      <c r="BB2953"/>
      <c r="BC2953" t="inlineStr">
        <is>
          <t>called but no answered</t>
        </is>
      </c>
      <c r="BD2953" s="4">
        <v>46135.64574074074</v>
      </c>
      <c r="BE2953"/>
      <c r="BF2953"/>
      <c r="BG2953" t="inlineStr">
        <is>
          <t>Reschedule</t>
        </is>
      </c>
      <c r="BH2953" t="inlineStr">
        <is>
          <t>Fauziah Maharan</t>
        </is>
      </c>
      <c r="BI2953" t="inlineStr">
        <is>
          <t>Electrical / Electronics</t>
        </is>
      </c>
      <c r="BJ2953" s="4">
        <v>46144.75546296296</v>
      </c>
      <c r="BK2953" s="4">
        <v>42983.409479166665</v>
      </c>
      <c r="BL2953" t="inlineStr">
        <is>
          <t>0.0</t>
        </is>
      </c>
      <c r="BM2953" t="inlineStr">
        <is>
          <t>6900.0</t>
        </is>
      </c>
      <c r="BN2953" t="inlineStr">
        <is>
          <t>View Account User</t>
        </is>
      </c>
      <c r="BO2953" s="4">
        <v>46030.45013888889</v>
      </c>
      <c r="BP2953">
        <v>166083</v>
      </c>
      <c r="BQ2953"/>
      <c r="BR2953"/>
      <c r="BS2953"/>
      <c r="BT2953"/>
      <c r="BU2953"/>
      <c r="BV2953">
        <v>2723917</v>
      </c>
      <c r="BW2953" t="inlineStr">
        <is>
          <t>No Answer : Voicemail - WA sent to customer</t>
        </is>
      </c>
      <c r="BX2953"/>
      <c r="BY2953"/>
      <c r="BZ2953" s="4"/>
      <c r="CA2953"/>
      <c r="CB2953"/>
      <c r="CC2953" s="4"/>
      <c r="CD2953" t="inlineStr">
        <is>
          <t>20</t>
        </is>
      </c>
      <c r="CE2953" t="inlineStr">
        <is>
          <t>0</t>
        </is>
      </c>
      <c r="CF2953" t="inlineStr">
        <is>
          <t>Q2-W01</t>
        </is>
      </c>
      <c r="CG2953"/>
      <c r="CH2953"/>
      <c r="CI2953"/>
      <c r="CJ2953" t="inlineStr">
        <is>
          <t>No Paid</t>
        </is>
      </c>
      <c r="CK2953" t="inlineStr">
        <is>
          <t>Eligible</t>
        </is>
      </c>
      <c r="CL2953"/>
      <c r="CM2953"/>
    </row>
    <row r="2954" ht="25.5" customHeight="1">
      <c r="A2954" t="inlineStr">
        <is>
          <t>181256</t>
        </is>
      </c>
      <c r="B2954" s="2"/>
      <c r="C2954"/>
      <c r="D2954" s="3">
        <v>46121.40903935185</v>
      </c>
      <c r="E2954" t="inlineStr">
        <is>
          <t>Q2-W01</t>
        </is>
      </c>
      <c r="F2954" t="inlineStr">
        <is>
          <t>Ratha</t>
        </is>
      </c>
      <c r="G2954" t="inlineStr">
        <is>
          <t>Customer</t>
        </is>
      </c>
      <c r="H2954" s="2" t="str">
        <f>=HYPERLINK("https://upbox.ajobthing.my/customer/181256", "https://upbox.ajobthing.my/customer/181256")</f>
        <v>https://upbox.ajobthing.my/customer/181256</v>
      </c>
      <c r="I2954" t="inlineStr">
        <is>
          <t>Jingguang Plastic Products (M) Sdn Bhd</t>
        </is>
      </c>
      <c r="J2954" t="inlineStr">
        <is>
          <t>Whale</t>
        </is>
      </c>
      <c r="K2954" t="inlineStr">
        <is>
          <t>Ratha</t>
        </is>
      </c>
      <c r="L2954" s="4"/>
      <c r="M2954" s="4">
        <v>46132.414976851855</v>
      </c>
      <c r="N2954"/>
      <c r="O2954">
        <v>3672</v>
      </c>
      <c r="P2954" s="4"/>
      <c r="Q2954" s="4">
        <v>46132.381423611114</v>
      </c>
      <c r="R2954"/>
      <c r="S2954">
        <v>0</v>
      </c>
      <c r="T2954" s="4">
        <v>45635.70648148148</v>
      </c>
      <c r="U2954" s="4"/>
      <c r="V2954"/>
      <c r="W2954">
        <v>2916</v>
      </c>
      <c r="X2954"/>
      <c r="Y2954" t="inlineStr">
        <is>
          <t>Pending Appointment</t>
        </is>
      </c>
      <c r="Z2954" t="inlineStr">
        <is>
          <t>Hiring Later</t>
        </is>
      </c>
      <c r="AA2954">
        <v>2</v>
      </c>
      <c r="AB2954" t="inlineStr">
        <is>
          <t>No Appointment Made</t>
        </is>
      </c>
      <c r="AC2954"/>
      <c r="AD2954" t="inlineStr">
        <is>
          <t>admin. logistic Location : Johor</t>
        </is>
      </c>
      <c r="AE2954"/>
      <c r="AF2954"/>
      <c r="AG2954" s="4"/>
      <c r="AH2954" s="4"/>
      <c r="AI2954">
        <v>0</v>
      </c>
      <c r="AJ2954">
        <v>1</v>
      </c>
      <c r="AK2954" t="inlineStr">
        <is>
          <t>Yes, I have</t>
        </is>
      </c>
      <c r="AL2954">
        <v>2</v>
      </c>
      <c r="AM2954" t="inlineStr">
        <is>
          <t>No, I don't need at all</t>
        </is>
      </c>
      <c r="AN2954"/>
      <c r="AO2954" t="inlineStr">
        <is>
          <t>No, I don't need at all</t>
        </is>
      </c>
      <c r="AP2954" t="inlineStr">
        <is>
          <t>Once per quarter (75%)</t>
        </is>
      </c>
      <c r="AQ2954">
        <v>0</v>
      </c>
      <c r="AR2954" t="inlineStr">
        <is>
          <t>Jobstreet</t>
        </is>
      </c>
      <c r="AS2954" t="inlineStr">
        <is>
          <t>- Headcount: 2
- Hiring Job Details: admin, logistic
- Hiring Urgency: Hiring Later
- Number of outlets: 1
- Have recruiter team: Yes
- Number of recruiter in company: 2
- Have ATS system: No, I don't need at all
- Have career website: No, I don't need at all
- Current hiring budget: Not specified
- Whole year budget: RM0.00
- Whole year number of vacancies: 0
- Hiring frequency: Once per quarter (75%)
- External job portal: Jobstreet</t>
        </is>
      </c>
      <c r="AT2954">
        <v>60</v>
      </c>
      <c r="AU2954" t="inlineStr">
        <is>
          <t>0.60</t>
        </is>
      </c>
      <c r="AV2954" t="inlineStr">
        <is>
          <t>5</t>
        </is>
      </c>
      <c r="AW2954" t="inlineStr">
        <is>
          <t>0</t>
        </is>
      </c>
      <c r="AX2954" t="inlineStr">
        <is>
          <t>Not Qualified</t>
        </is>
      </c>
      <c r="AY2954" s="4"/>
      <c r="AZ2954"/>
      <c r="BA2954"/>
      <c r="BB2954"/>
      <c r="BC2954" t="inlineStr">
        <is>
          <t>no status as the hiring for new project and still no status - follow up again</t>
        </is>
      </c>
      <c r="BD2954" s="4">
        <v>46142.448599537034</v>
      </c>
      <c r="BE2954" t="inlineStr">
        <is>
          <t>paid</t>
        </is>
      </c>
      <c r="BF2954"/>
      <c r="BG2954" t="inlineStr">
        <is>
          <t>Reschedule</t>
        </is>
      </c>
      <c r="BH2954" t="inlineStr">
        <is>
          <t>Fauziah Maharan</t>
        </is>
      </c>
      <c r="BI2954" t="inlineStr">
        <is>
          <t>Manufacturing / Production</t>
        </is>
      </c>
      <c r="BJ2954" s="4">
        <v>46144.751863425925</v>
      </c>
      <c r="BK2954" s="4">
        <v>45509.56831018518</v>
      </c>
      <c r="BL2954" t="inlineStr">
        <is>
          <t>0.0</t>
        </is>
      </c>
      <c r="BM2954" t="inlineStr">
        <is>
          <t>1800.0</t>
        </is>
      </c>
      <c r="BN2954" t="inlineStr">
        <is>
          <t>View Company Page</t>
        </is>
      </c>
      <c r="BO2954" s="4">
        <v>46132.382152777776</v>
      </c>
      <c r="BP2954">
        <v>167749</v>
      </c>
      <c r="BQ2954">
        <v>123180</v>
      </c>
      <c r="BR2954" t="inlineStr">
        <is>
          <t>Proforma</t>
        </is>
      </c>
      <c r="BS2954" t="inlineStr">
        <is>
          <t>Free High Pay Job</t>
        </is>
      </c>
      <c r="BT2954">
        <v>75262</v>
      </c>
      <c r="BU2954"/>
      <c r="BV2954">
        <v>2736853</v>
      </c>
      <c r="BW2954" t="inlineStr">
        <is>
          <t>Follow Up : Decision Pending</t>
        </is>
      </c>
      <c r="BX2954"/>
      <c r="BY2954"/>
      <c r="BZ2954" s="4"/>
      <c r="CA2954"/>
      <c r="CB2954"/>
      <c r="CC2954" s="4"/>
      <c r="CD2954" t="inlineStr">
        <is>
          <t>5</t>
        </is>
      </c>
      <c r="CE2954" t="inlineStr">
        <is>
          <t>0</t>
        </is>
      </c>
      <c r="CF2954" t="inlineStr">
        <is>
          <t>Q2-W03</t>
        </is>
      </c>
      <c r="CG2954" t="inlineStr">
        <is>
          <t>Q2-W03</t>
        </is>
      </c>
      <c r="CH2954"/>
      <c r="CI2954"/>
      <c r="CJ2954" t="inlineStr">
        <is>
          <t>Paid</t>
        </is>
      </c>
      <c r="CK2954" t="inlineStr">
        <is>
          <t>Eligible</t>
        </is>
      </c>
      <c r="CL2954"/>
      <c r="CM2954"/>
    </row>
    <row r="2955" ht="25.5" customHeight="1">
      <c r="A2955" t="inlineStr">
        <is>
          <t>166151</t>
        </is>
      </c>
      <c r="B2955" s="2"/>
      <c r="C2955"/>
      <c r="D2955" s="3">
        <v>46121.431967592594</v>
      </c>
      <c r="E2955" t="inlineStr">
        <is>
          <t>Q2-W01</t>
        </is>
      </c>
      <c r="F2955" t="inlineStr">
        <is>
          <t>Ratha</t>
        </is>
      </c>
      <c r="G2955" t="inlineStr">
        <is>
          <t>Customer</t>
        </is>
      </c>
      <c r="H2955" s="2" t="str">
        <f>=HYPERLINK("https://upbox.ajobthing.my/customer/166151", "https://upbox.ajobthing.my/customer/166151")</f>
        <v>https://upbox.ajobthing.my/customer/166151</v>
      </c>
      <c r="I2955" t="inlineStr">
        <is>
          <t>Saudagaar Asia Sdn Bhd</t>
        </is>
      </c>
      <c r="J2955" t="inlineStr">
        <is>
          <t>Whale</t>
        </is>
      </c>
      <c r="K2955" t="inlineStr">
        <is>
          <t>Ratha</t>
        </is>
      </c>
      <c r="L2955" s="4"/>
      <c r="M2955" s="4">
        <v>46121.432754629626</v>
      </c>
      <c r="N2955"/>
      <c r="O2955">
        <v>5832</v>
      </c>
      <c r="P2955" s="4"/>
      <c r="Q2955" s="4">
        <v>45520.69594907408</v>
      </c>
      <c r="R2955"/>
      <c r="S2955">
        <v>756</v>
      </c>
      <c r="T2955" s="4">
        <v>45520.69594907408</v>
      </c>
      <c r="U2955" s="4"/>
      <c r="V2955"/>
      <c r="W2955">
        <v>756</v>
      </c>
      <c r="X2955"/>
      <c r="Y2955" t="inlineStr">
        <is>
          <t>Pending Appointment</t>
        </is>
      </c>
      <c r="Z2955" t="inlineStr">
        <is>
          <t>Hiring Later</t>
        </is>
      </c>
      <c r="AA2955">
        <v>2</v>
      </c>
      <c r="AB2955" t="inlineStr">
        <is>
          <t>No Appointment Made</t>
        </is>
      </c>
      <c r="AC2955"/>
      <c r="AD2955" t="inlineStr">
        <is>
          <t>Supply , CS
Petaling Jaya</t>
        </is>
      </c>
      <c r="AE2955"/>
      <c r="AF2955"/>
      <c r="AG2955" s="4"/>
      <c r="AH2955" s="4"/>
      <c r="AI2955">
        <v>0</v>
      </c>
      <c r="AJ2955">
        <v>1</v>
      </c>
      <c r="AK2955" t="inlineStr">
        <is>
          <t>Yes, I have</t>
        </is>
      </c>
      <c r="AL2955">
        <v>2</v>
      </c>
      <c r="AM2955" t="inlineStr">
        <is>
          <t>No, I don't need at all</t>
        </is>
      </c>
      <c r="AN2955"/>
      <c r="AO2955" t="inlineStr">
        <is>
          <t>Yes, I have</t>
        </is>
      </c>
      <c r="AP2955" t="inlineStr">
        <is>
          <t>Every month (100%)</t>
        </is>
      </c>
      <c r="AQ2955">
        <v>0</v>
      </c>
      <c r="AR2955" t="inlineStr">
        <is>
          <t>Jobstreet, Free Job Portal</t>
        </is>
      </c>
      <c r="AS2955" t="inlineStr">
        <is>
          <t>- Headcount: 2
- Hiring Job Details: Supply, CS; Petaling Jaya
- Hiring Urgency: Hiring Later
- Number of outlets: 1
- Have recruiter team: Yes, I have
- Number of recruiter in company: 2
- Have ATS system: No, I don't need at all
- Have career website: Yes, I have
- Current hiring budget: Not specified
- Whole year budget: RM0.00
- Whole year number of vacancies: 0
- Hiring frequency: Every month (100%)
- External job portal: Jobstreet, Free Job Portal</t>
        </is>
      </c>
      <c r="AT2955">
        <v>75</v>
      </c>
      <c r="AU2955" t="inlineStr">
        <is>
          <t>0.75</t>
        </is>
      </c>
      <c r="AV2955" t="inlineStr">
        <is>
          <t>5</t>
        </is>
      </c>
      <c r="AW2955" t="inlineStr">
        <is>
          <t>0</t>
        </is>
      </c>
      <c r="AX2955" t="inlineStr">
        <is>
          <t>Not Qualified</t>
        </is>
      </c>
      <c r="AY2955" s="4"/>
      <c r="AZ2955"/>
      <c r="BA2955"/>
      <c r="BB2955"/>
      <c r="BC2955" t="inlineStr">
        <is>
          <t>no answer</t>
        </is>
      </c>
      <c r="BD2955" s="4">
        <v>46133.441412037035</v>
      </c>
      <c r="BE2955" t="inlineStr">
        <is>
          <t>paid</t>
        </is>
      </c>
      <c r="BF2955"/>
      <c r="BG2955" t="inlineStr">
        <is>
          <t>Reschedule</t>
        </is>
      </c>
      <c r="BH2955" t="inlineStr">
        <is>
          <t>Fauziah Maharan</t>
        </is>
      </c>
      <c r="BI2955" t="inlineStr">
        <is>
          <t>Retail / Merchandise</t>
        </is>
      </c>
      <c r="BJ2955" s="4">
        <v>46144.751296296294</v>
      </c>
      <c r="BK2955" s="4">
        <v>45027.42039351852</v>
      </c>
      <c r="BL2955" t="inlineStr">
        <is>
          <t>0.0</t>
        </is>
      </c>
      <c r="BM2955" t="inlineStr">
        <is>
          <t>5400.0</t>
        </is>
      </c>
      <c r="BN2955" t="inlineStr">
        <is>
          <t>View Jobmanager Page</t>
        </is>
      </c>
      <c r="BO2955" s="4">
        <v>45854.638819444444</v>
      </c>
      <c r="BP2955">
        <v>166103</v>
      </c>
      <c r="BQ2955">
        <v>72168</v>
      </c>
      <c r="BR2955" t="inlineStr">
        <is>
          <t>Online</t>
        </is>
      </c>
      <c r="BS2955"/>
      <c r="BT2955">
        <v>72168</v>
      </c>
      <c r="BU2955"/>
      <c r="BV2955">
        <v>2717159</v>
      </c>
      <c r="BW2955" t="inlineStr">
        <is>
          <t>No Answer : Voicemail - WA sent to customer</t>
        </is>
      </c>
      <c r="BX2955"/>
      <c r="BY2955"/>
      <c r="BZ2955" s="4"/>
      <c r="CA2955"/>
      <c r="CB2955"/>
      <c r="CC2955" s="4"/>
      <c r="CD2955" t="inlineStr">
        <is>
          <t>5</t>
        </is>
      </c>
      <c r="CE2955" t="inlineStr">
        <is>
          <t>0</t>
        </is>
      </c>
      <c r="CF2955" t="inlineStr">
        <is>
          <t>Q2-W01</t>
        </is>
      </c>
      <c r="CG2955"/>
      <c r="CH2955"/>
      <c r="CI2955"/>
      <c r="CJ2955" t="inlineStr">
        <is>
          <t>Paid</t>
        </is>
      </c>
      <c r="CK2955" t="inlineStr">
        <is>
          <t>Eligible</t>
        </is>
      </c>
      <c r="CL2955"/>
      <c r="CM2955"/>
    </row>
    <row r="2956" ht="25.5" customHeight="1">
      <c r="A2956" t="inlineStr">
        <is>
          <t>174310</t>
        </is>
      </c>
      <c r="B2956" s="2"/>
      <c r="C2956"/>
      <c r="D2956" s="3">
        <v>46121.44658564815</v>
      </c>
      <c r="E2956" t="inlineStr">
        <is>
          <t>Q2-W01</t>
        </is>
      </c>
      <c r="F2956" t="inlineStr">
        <is>
          <t>Angel  Low</t>
        </is>
      </c>
      <c r="G2956" t="inlineStr">
        <is>
          <t>Customer</t>
        </is>
      </c>
      <c r="H2956" s="2" t="str">
        <f>=HYPERLINK("https://upbox.ajobthing.my/customer/174310", "https://upbox.ajobthing.my/customer/174310")</f>
        <v>https://upbox.ajobthing.my/customer/174310</v>
      </c>
      <c r="I2956" t="inlineStr">
        <is>
          <t>New Sea Technology Sdn Bhd</t>
        </is>
      </c>
      <c r="J2956" t="inlineStr">
        <is>
          <t>Whale</t>
        </is>
      </c>
      <c r="K2956" t="inlineStr">
        <is>
          <t>Angel Low</t>
        </is>
      </c>
      <c r="L2956" s="4"/>
      <c r="M2956" s="4">
        <v>46121.471030092594</v>
      </c>
      <c r="N2956"/>
      <c r="O2956">
        <v>5508</v>
      </c>
      <c r="P2956" s="4"/>
      <c r="Q2956" s="4">
        <v>46135.38748842593</v>
      </c>
      <c r="R2956"/>
      <c r="S2956">
        <v>3672</v>
      </c>
      <c r="T2956" s="4">
        <v>46135.38748842593</v>
      </c>
      <c r="U2956" s="4"/>
      <c r="V2956"/>
      <c r="W2956">
        <v>3672</v>
      </c>
      <c r="X2956"/>
      <c r="Y2956" t="inlineStr">
        <is>
          <t>Pending Appointment</t>
        </is>
      </c>
      <c r="Z2956"/>
      <c r="AA2956">
        <v>1</v>
      </c>
      <c r="AB2956" t="inlineStr">
        <is>
          <t>No Appointment Made</t>
        </is>
      </c>
      <c r="AC2956"/>
      <c r="AD2956" t="inlineStr">
        <is>
          <t xml:space="preserve">1 live host </t>
        </is>
      </c>
      <c r="AE2956"/>
      <c r="AF2956">
        <v>3000</v>
      </c>
      <c r="AG2956" s="4"/>
      <c r="AH2956" s="4"/>
      <c r="AI2956"/>
      <c r="AJ2956"/>
      <c r="AK2956"/>
      <c r="AL2956"/>
      <c r="AM2956"/>
      <c r="AN2956"/>
      <c r="AO2956"/>
      <c r="AP2956"/>
      <c r="AQ2956"/>
      <c r="AR2956"/>
      <c r="AS2956" t="inlineStr">
        <is>
          <t>- Headcount: 1
- Hiring Job Details: 1 live host
- Number of outlets: Not provided
- Have recruiter team: Not provided
- Number of recruiter in company: Not provided
- Have ATS system: Not provided
- Have career website: Not provided
- Current hiring budget: RM3,000.00
- Whole year budget: Not provided
- Whole year number of vacancies: Not provided
- Hiring frequency: Not provided
- External job portal: Not provided
- Hiring Urgency: Not provided</t>
        </is>
      </c>
      <c r="AT2956">
        <v>65</v>
      </c>
      <c r="AU2956" t="inlineStr">
        <is>
          <t>0.65</t>
        </is>
      </c>
      <c r="AV2956" t="inlineStr">
        <is>
          <t>15</t>
        </is>
      </c>
      <c r="AW2956" t="inlineStr">
        <is>
          <t>0</t>
        </is>
      </c>
      <c r="AX2956" t="inlineStr">
        <is>
          <t>Not Qualified</t>
        </is>
      </c>
      <c r="AY2956" s="4"/>
      <c r="AZ2956"/>
      <c r="BA2956"/>
      <c r="BB2956"/>
      <c r="BC2956" t="inlineStr">
        <is>
          <t>guide post new job</t>
        </is>
      </c>
      <c r="BD2956" s="4">
        <v>46135.42488425926</v>
      </c>
      <c r="BE2956" t="inlineStr">
        <is>
          <t>paid</t>
        </is>
      </c>
      <c r="BF2956" t="inlineStr">
        <is>
          <t>Q2-W03</t>
        </is>
      </c>
      <c r="BG2956" t="inlineStr">
        <is>
          <t>Reschedule</t>
        </is>
      </c>
      <c r="BH2956" t="inlineStr">
        <is>
          <t>Fauziah Maharan</t>
        </is>
      </c>
      <c r="BI2956" t="inlineStr">
        <is>
          <t>Manufacturing / Production</t>
        </is>
      </c>
      <c r="BJ2956" s="4">
        <v>46144.751550925925</v>
      </c>
      <c r="BK2956" s="4">
        <v>45296.519895833335</v>
      </c>
      <c r="BL2956" t="inlineStr">
        <is>
          <t>6588.0</t>
        </is>
      </c>
      <c r="BM2956" t="inlineStr">
        <is>
          <t>0.0</t>
        </is>
      </c>
      <c r="BN2956" t="inlineStr">
        <is>
          <t>PA Visit - Job Card</t>
        </is>
      </c>
      <c r="BO2956" s="4">
        <v>46139.74322916667</v>
      </c>
      <c r="BP2956">
        <v>166139</v>
      </c>
      <c r="BQ2956">
        <v>94647</v>
      </c>
      <c r="BR2956" t="inlineStr">
        <is>
          <t>Online</t>
        </is>
      </c>
      <c r="BS2956"/>
      <c r="BT2956">
        <v>94647</v>
      </c>
      <c r="BU2956"/>
      <c r="BV2956">
        <v>2722407</v>
      </c>
      <c r="BW2956" t="inlineStr">
        <is>
          <t>Service / Technical : Help To Post Job</t>
        </is>
      </c>
      <c r="BX2956">
        <v>14</v>
      </c>
      <c r="BY2956">
        <v>5</v>
      </c>
      <c r="BZ2956" s="4">
        <v>46135.42628472222</v>
      </c>
      <c r="CA2956">
        <v>180</v>
      </c>
      <c r="CB2956">
        <v>96</v>
      </c>
      <c r="CC2956" s="4">
        <v>46121.42020833334</v>
      </c>
      <c r="CD2956" t="inlineStr">
        <is>
          <t>20</t>
        </is>
      </c>
      <c r="CE2956" t="inlineStr">
        <is>
          <t>0</t>
        </is>
      </c>
      <c r="CF2956" t="inlineStr">
        <is>
          <t>Q2-W01</t>
        </is>
      </c>
      <c r="CG2956" t="inlineStr">
        <is>
          <t>Q2-W03</t>
        </is>
      </c>
      <c r="CH2956" t="inlineStr">
        <is>
          <t>Q2-W03</t>
        </is>
      </c>
      <c r="CI2956"/>
      <c r="CJ2956" t="inlineStr">
        <is>
          <t>Paid</t>
        </is>
      </c>
      <c r="CK2956" t="inlineStr">
        <is>
          <t>Eligible</t>
        </is>
      </c>
      <c r="CL2956"/>
      <c r="CM2956"/>
    </row>
    <row r="2957" ht="25.5" customHeight="1">
      <c r="A2957" t="inlineStr">
        <is>
          <t>189753</t>
        </is>
      </c>
      <c r="B2957" s="2"/>
      <c r="C2957"/>
      <c r="D2957" s="3">
        <v>46121.45195601852</v>
      </c>
      <c r="E2957" t="inlineStr">
        <is>
          <t>Q2-W01</t>
        </is>
      </c>
      <c r="F2957" t="inlineStr">
        <is>
          <t>Keegan</t>
        </is>
      </c>
      <c r="G2957" t="inlineStr">
        <is>
          <t>Customer</t>
        </is>
      </c>
      <c r="H2957" s="2" t="str">
        <f>=HYPERLINK("https://upbox.ajobthing.my/customer/189753", "https://upbox.ajobthing.my/customer/189753")</f>
        <v>https://upbox.ajobthing.my/customer/189753</v>
      </c>
      <c r="I2957" t="inlineStr">
        <is>
          <t>Chando (Malaysia) Sdn. Bhd.</t>
        </is>
      </c>
      <c r="J2957" t="inlineStr">
        <is>
          <t>Whale</t>
        </is>
      </c>
      <c r="K2957" t="inlineStr">
        <is>
          <t>Keegan</t>
        </is>
      </c>
      <c r="L2957" s="4"/>
      <c r="M2957" s="4">
        <v>46127.66134259259</v>
      </c>
      <c r="N2957"/>
      <c r="O2957">
        <v>6048</v>
      </c>
      <c r="P2957" s="4"/>
      <c r="Q2957" s="4">
        <v>46121.431238425925</v>
      </c>
      <c r="R2957"/>
      <c r="S2957">
        <v>0</v>
      </c>
      <c r="T2957" s="4">
        <v>45923.43181712963</v>
      </c>
      <c r="U2957" s="4"/>
      <c r="V2957"/>
      <c r="W2957">
        <v>3888</v>
      </c>
      <c r="X2957"/>
      <c r="Y2957" t="inlineStr">
        <is>
          <t>Pending Appointment</t>
        </is>
      </c>
      <c r="Z2957" t="inlineStr">
        <is>
          <t>Hiring Now</t>
        </is>
      </c>
      <c r="AA2957">
        <v>3</v>
      </c>
      <c r="AB2957" t="inlineStr">
        <is>
          <t>No Appointment Made</t>
        </is>
      </c>
      <c r="AC2957"/>
      <c r="AD2957" t="inlineStr">
        <is>
          <t>1. HR
2. warehouse 
3. lorry driver</t>
        </is>
      </c>
      <c r="AE2957"/>
      <c r="AF2957"/>
      <c r="AG2957" s="4"/>
      <c r="AH2957" s="4"/>
      <c r="AI2957"/>
      <c r="AJ2957">
        <v>1</v>
      </c>
      <c r="AK2957" t="inlineStr">
        <is>
          <t>No, I don't need at all</t>
        </is>
      </c>
      <c r="AL2957">
        <v>0</v>
      </c>
      <c r="AM2957" t="inlineStr">
        <is>
          <t>No, I don't need at all</t>
        </is>
      </c>
      <c r="AN2957"/>
      <c r="AO2957" t="inlineStr">
        <is>
          <t>No, I don't need at all</t>
        </is>
      </c>
      <c r="AP2957" t="inlineStr">
        <is>
          <t>Once per quarter (75%)</t>
        </is>
      </c>
      <c r="AQ2957"/>
      <c r="AR2957" t="inlineStr">
        <is>
          <t>Did not use any job portal</t>
        </is>
      </c>
      <c r="AS2957" t="inlineStr">
        <is>
          <t>- Headcount: 3
- Hiring Job Details: 1. HR\n2. warehouse \n3. lorry driver
- Hiring Urgency: Hiring Now
- Number of outlets: 1
- Have recruiter team: No, I don't need at all
- Number of recruiter in company: 0
- Have ATS system: No, I don't need at all
- Have career website: No, I don't need at all
- Current hiring budget: Not specified
- Whole year budget: Not specified
- Whole year number of vacancies: Not specified
- Hiring frequency: Once per quarter (75%)
- External job portal: Did not use any job portal</t>
        </is>
      </c>
      <c r="AT2957">
        <v>65</v>
      </c>
      <c r="AU2957" t="inlineStr">
        <is>
          <t>0.65</t>
        </is>
      </c>
      <c r="AV2957" t="inlineStr">
        <is>
          <t>5</t>
        </is>
      </c>
      <c r="AW2957" t="inlineStr">
        <is>
          <t>0</t>
        </is>
      </c>
      <c r="AX2957" t="inlineStr">
        <is>
          <t>Not Qualified</t>
        </is>
      </c>
      <c r="AY2957" s="4"/>
      <c r="AZ2957"/>
      <c r="BA2957"/>
      <c r="BB2957"/>
      <c r="BC2957" t="inlineStr">
        <is>
          <t>Share out the latest hiring promo to PIC</t>
        </is>
      </c>
      <c r="BD2957" s="4">
        <v>46140.701215277775</v>
      </c>
      <c r="BE2957" t="inlineStr">
        <is>
          <t>paid</t>
        </is>
      </c>
      <c r="BF2957"/>
      <c r="BG2957" t="inlineStr">
        <is>
          <t>Reschedule</t>
        </is>
      </c>
      <c r="BH2957" t="inlineStr">
        <is>
          <t>Edward Hoo</t>
        </is>
      </c>
      <c r="BI2957" t="inlineStr">
        <is>
          <t>Consumer Products / FMCG</t>
        </is>
      </c>
      <c r="BJ2957" s="4">
        <v>46144.75232638889</v>
      </c>
      <c r="BK2957" s="4">
        <v>45756.569247685184</v>
      </c>
      <c r="BL2957" t="inlineStr">
        <is>
          <t>6804.0</t>
        </is>
      </c>
      <c r="BM2957" t="inlineStr">
        <is>
          <t>3750.0</t>
        </is>
      </c>
      <c r="BN2957" t="inlineStr">
        <is>
          <t>User Visit(Logged In)</t>
        </is>
      </c>
      <c r="BO2957" s="4">
        <v>46132.46275462963</v>
      </c>
      <c r="BP2957">
        <v>167230</v>
      </c>
      <c r="BQ2957">
        <v>121228</v>
      </c>
      <c r="BR2957" t="inlineStr">
        <is>
          <t>Proforma</t>
        </is>
      </c>
      <c r="BS2957" t="inlineStr">
        <is>
          <t>Free Part-Time Job</t>
        </is>
      </c>
      <c r="BT2957">
        <v>82625</v>
      </c>
      <c r="BU2957"/>
      <c r="BV2957">
        <v>2733578</v>
      </c>
      <c r="BW2957" t="inlineStr">
        <is>
          <t>Service / Technical : Job Outcome Enquiry</t>
        </is>
      </c>
      <c r="BX2957">
        <v>1</v>
      </c>
      <c r="BY2957">
        <v>-4</v>
      </c>
      <c r="BZ2957" s="4">
        <v>46121.73719907407</v>
      </c>
      <c r="CA2957">
        <v>145</v>
      </c>
      <c r="CB2957">
        <v>145</v>
      </c>
      <c r="CC2957" s="4"/>
      <c r="CD2957" t="inlineStr">
        <is>
          <t>5</t>
        </is>
      </c>
      <c r="CE2957" t="inlineStr">
        <is>
          <t>0</t>
        </is>
      </c>
      <c r="CF2957" t="inlineStr">
        <is>
          <t>Q2-W02</t>
        </is>
      </c>
      <c r="CG2957" t="inlineStr">
        <is>
          <t>Q2-W01</t>
        </is>
      </c>
      <c r="CH2957"/>
      <c r="CI2957"/>
      <c r="CJ2957" t="inlineStr">
        <is>
          <t>Paid</t>
        </is>
      </c>
      <c r="CK2957" t="inlineStr">
        <is>
          <t>Eligible</t>
        </is>
      </c>
      <c r="CL2957"/>
      <c r="CM2957"/>
    </row>
    <row r="2958" ht="25.5" customHeight="1">
      <c r="A2958" t="inlineStr">
        <is>
          <t>175628</t>
        </is>
      </c>
      <c r="B2958" s="2"/>
      <c r="C2958"/>
      <c r="D2958" s="3">
        <v>46121.494791666664</v>
      </c>
      <c r="E2958" t="inlineStr">
        <is>
          <t>Q2-W01</t>
        </is>
      </c>
      <c r="F2958" t="inlineStr">
        <is>
          <t>Ken Yi</t>
        </is>
      </c>
      <c r="G2958" t="inlineStr">
        <is>
          <t>Customer</t>
        </is>
      </c>
      <c r="H2958" s="2" t="str">
        <f>=HYPERLINK("https://upbox.ajobthing.my/customer/175628", "https://upbox.ajobthing.my/customer/175628")</f>
        <v>https://upbox.ajobthing.my/customer/175628</v>
      </c>
      <c r="I2958" t="inlineStr">
        <is>
          <t>Landhon Builders Sdn Bhd</t>
        </is>
      </c>
      <c r="J2958" t="inlineStr">
        <is>
          <t>Whale</t>
        </is>
      </c>
      <c r="K2958" t="inlineStr">
        <is>
          <t>Kenyi</t>
        </is>
      </c>
      <c r="L2958" s="4"/>
      <c r="M2958" s="4">
        <v>46121.49590277778</v>
      </c>
      <c r="N2958"/>
      <c r="O2958">
        <v>10800</v>
      </c>
      <c r="P2958" s="4"/>
      <c r="Q2958" s="4">
        <v>45820.42490740741</v>
      </c>
      <c r="R2958"/>
      <c r="S2958">
        <v>5292</v>
      </c>
      <c r="T2958" s="4">
        <v>45820.42490740741</v>
      </c>
      <c r="U2958" s="4"/>
      <c r="V2958"/>
      <c r="W2958">
        <v>5292</v>
      </c>
      <c r="X2958"/>
      <c r="Y2958" t="inlineStr">
        <is>
          <t>Pending Appointment</t>
        </is>
      </c>
      <c r="Z2958" t="inlineStr">
        <is>
          <t>Hiring Now</t>
        </is>
      </c>
      <c r="AA2958">
        <v>1</v>
      </c>
      <c r="AB2958" t="inlineStr">
        <is>
          <t>No Appointment Made</t>
        </is>
      </c>
      <c r="AC2958"/>
      <c r="AD2958" t="inlineStr">
        <is>
          <t xml:space="preserve">Construction worker </t>
        </is>
      </c>
      <c r="AE2958"/>
      <c r="AF2958">
        <v>0</v>
      </c>
      <c r="AG2958" s="4"/>
      <c r="AH2958" s="4"/>
      <c r="AI2958">
        <v>0</v>
      </c>
      <c r="AJ2958">
        <v>1</v>
      </c>
      <c r="AK2958" t="inlineStr">
        <is>
          <t>Yes, I have</t>
        </is>
      </c>
      <c r="AL2958">
        <v>1</v>
      </c>
      <c r="AM2958" t="inlineStr">
        <is>
          <t>No, I don't need at all</t>
        </is>
      </c>
      <c r="AN2958"/>
      <c r="AO2958" t="inlineStr">
        <is>
          <t>No, I don't need at all</t>
        </is>
      </c>
      <c r="AP2958" t="inlineStr">
        <is>
          <t>Once per quarter (75%)</t>
        </is>
      </c>
      <c r="AQ2958">
        <v>1</v>
      </c>
      <c r="AR2958" t="inlineStr">
        <is>
          <t>Did not use any job portal</t>
        </is>
      </c>
      <c r="AS2958" t="inlineStr">
        <is>
          <t>- Headcount: 1
- Hiring Job Details: Construction worker
- Hiring Urgency: Hiring Now
- Number of outlets: 1
- Have recruiter team: Yes
- Number of recruiter in company: 1
- Have ATS system: No, I don't need at all
- Have career website: No, I don't need at all
- Current hiring budget: RM0.00
- Whole year budget: RM0.00
- Whole year number of vacancies: 1
- Hiring frequency: Once per quarter (75%)
- External job portal: Did not use any job portal</t>
        </is>
      </c>
      <c r="AT2958">
        <v>115</v>
      </c>
      <c r="AU2958" t="inlineStr">
        <is>
          <t>1.15</t>
        </is>
      </c>
      <c r="AV2958" t="inlineStr">
        <is>
          <t>15</t>
        </is>
      </c>
      <c r="AW2958" t="inlineStr">
        <is>
          <t>0</t>
        </is>
      </c>
      <c r="AX2958" t="inlineStr">
        <is>
          <t>Not Qualified</t>
        </is>
      </c>
      <c r="AY2958" s="4"/>
      <c r="AZ2958"/>
      <c r="BA2958"/>
      <c r="BB2958"/>
      <c r="BC2958" t="inlineStr">
        <is>
          <t>Follow up proposal and quote, and ask if the hiring wanna continue or affected by the economy</t>
        </is>
      </c>
      <c r="BD2958" s="4">
        <v>46134.702372685184</v>
      </c>
      <c r="BE2958" t="inlineStr">
        <is>
          <t>paid</t>
        </is>
      </c>
      <c r="BF2958"/>
      <c r="BG2958" t="inlineStr">
        <is>
          <t>Reschedule</t>
        </is>
      </c>
      <c r="BH2958" t="inlineStr">
        <is>
          <t>Fauziah Maharan</t>
        </is>
      </c>
      <c r="BI2958" t="inlineStr">
        <is>
          <t>Construction / Building</t>
        </is>
      </c>
      <c r="BJ2958" s="4">
        <v>46144.751608796294</v>
      </c>
      <c r="BK2958" s="4">
        <v>45343.77694444444</v>
      </c>
      <c r="BL2958" t="inlineStr">
        <is>
          <t>5292.0</t>
        </is>
      </c>
      <c r="BM2958" t="inlineStr">
        <is>
          <t>750.0</t>
        </is>
      </c>
      <c r="BN2958" t="inlineStr">
        <is>
          <t>User Login</t>
        </is>
      </c>
      <c r="BO2958" s="4">
        <v>46121.66662037037</v>
      </c>
      <c r="BP2958">
        <v>166159</v>
      </c>
      <c r="BQ2958">
        <v>80024</v>
      </c>
      <c r="BR2958" t="inlineStr">
        <is>
          <t>Online</t>
        </is>
      </c>
      <c r="BS2958"/>
      <c r="BT2958">
        <v>80024</v>
      </c>
      <c r="BU2958"/>
      <c r="BV2958">
        <v>2721609</v>
      </c>
      <c r="BW2958" t="inlineStr">
        <is>
          <t>Follow Up : Decision Pending</t>
        </is>
      </c>
      <c r="BX2958">
        <v>12</v>
      </c>
      <c r="BY2958">
        <v>0</v>
      </c>
      <c r="BZ2958" s="4">
        <v>46086.543958333335</v>
      </c>
      <c r="CA2958">
        <v>240</v>
      </c>
      <c r="CB2958">
        <v>51</v>
      </c>
      <c r="CC2958" s="4">
        <v>46042.70253472222</v>
      </c>
      <c r="CD2958" t="inlineStr">
        <is>
          <t>20</t>
        </is>
      </c>
      <c r="CE2958" t="inlineStr">
        <is>
          <t>0</t>
        </is>
      </c>
      <c r="CF2958" t="inlineStr">
        <is>
          <t>Q2-W01</t>
        </is>
      </c>
      <c r="CG2958"/>
      <c r="CH2958"/>
      <c r="CI2958"/>
      <c r="CJ2958" t="inlineStr">
        <is>
          <t>Paid</t>
        </is>
      </c>
      <c r="CK2958" t="inlineStr">
        <is>
          <t>Eligible</t>
        </is>
      </c>
      <c r="CL2958"/>
      <c r="CM2958"/>
    </row>
    <row r="2959" ht="25.5" customHeight="1">
      <c r="A2959" t="inlineStr">
        <is>
          <t>165652</t>
        </is>
      </c>
      <c r="B2959" s="2"/>
      <c r="C2959"/>
      <c r="D2959" s="3">
        <v>46121.51597222222</v>
      </c>
      <c r="E2959" t="inlineStr">
        <is>
          <t>Q2-W01</t>
        </is>
      </c>
      <c r="F2959" t="inlineStr">
        <is>
          <t>Ken Yi</t>
        </is>
      </c>
      <c r="G2959" t="inlineStr">
        <is>
          <t>Customer</t>
        </is>
      </c>
      <c r="H2959" s="2" t="str">
        <f>=HYPERLINK("https://upbox.ajobthing.my/customer/165652", "https://upbox.ajobthing.my/customer/165652")</f>
        <v>https://upbox.ajobthing.my/customer/165652</v>
      </c>
      <c r="I2959" t="inlineStr">
        <is>
          <t>Hairos Destiny Sdn. Bhd.</t>
        </is>
      </c>
      <c r="J2959" t="inlineStr">
        <is>
          <t>Whale</t>
        </is>
      </c>
      <c r="K2959" t="inlineStr">
        <is>
          <t>Kenyi</t>
        </is>
      </c>
      <c r="L2959" s="4"/>
      <c r="M2959" s="4">
        <v>46121.51383101852</v>
      </c>
      <c r="N2959"/>
      <c r="O2959">
        <v>6048</v>
      </c>
      <c r="P2959" s="4"/>
      <c r="Q2959" s="4">
        <v>46003.714780092596</v>
      </c>
      <c r="R2959"/>
      <c r="S2959">
        <v>3672</v>
      </c>
      <c r="T2959" s="4">
        <v>46003.714780092596</v>
      </c>
      <c r="U2959" s="4"/>
      <c r="V2959"/>
      <c r="W2959">
        <v>3672</v>
      </c>
      <c r="X2959"/>
      <c r="Y2959" t="inlineStr">
        <is>
          <t>Pending Appointment</t>
        </is>
      </c>
      <c r="Z2959" t="inlineStr">
        <is>
          <t>Hiring Now</t>
        </is>
      </c>
      <c r="AA2959">
        <v>1</v>
      </c>
      <c r="AB2959" t="inlineStr">
        <is>
          <t>No Appointment Made</t>
        </is>
      </c>
      <c r="AC2959"/>
      <c r="AD2959" t="inlineStr">
        <is>
          <t xml:space="preserve"> Hair Stylist 1, Renewal Package</t>
        </is>
      </c>
      <c r="AE2959"/>
      <c r="AF2959">
        <v>0</v>
      </c>
      <c r="AG2959" s="4"/>
      <c r="AH2959" s="4"/>
      <c r="AI2959">
        <v>0</v>
      </c>
      <c r="AJ2959">
        <v>10</v>
      </c>
      <c r="AK2959" t="inlineStr">
        <is>
          <t>Yes, I have</t>
        </is>
      </c>
      <c r="AL2959">
        <v>1</v>
      </c>
      <c r="AM2959" t="inlineStr">
        <is>
          <t>No, I don't need at all</t>
        </is>
      </c>
      <c r="AN2959"/>
      <c r="AO2959" t="inlineStr">
        <is>
          <t>No, I don't need at all</t>
        </is>
      </c>
      <c r="AP2959" t="inlineStr">
        <is>
          <t>Once per quarter (75%)</t>
        </is>
      </c>
      <c r="AQ2959">
        <v>10</v>
      </c>
      <c r="AR2959" t="inlineStr">
        <is>
          <t>Jobstreet, Hiredly, Jobstore, Fast Job, Free Job Portal</t>
        </is>
      </c>
      <c r="AS2959" t="inlineStr">
        <is>
          <t>- Headcount: Not specified
- Hiring Job Details: Hair Stylist 1, Renewal Package
- Hiring Urgency: Hiring Now
- Number of outlets: 10
- Have recruiter team: Yes
- Number of recruiter in company: 1
- Have ATS system: No, I don't need at all
- Have career website: No, I don't need at all
- Current hiring budget: RM0.00
- Whole year budget: RM0.00
- Whole year number of vacancies: 10
- Hiring frequency: Once per quarter (75%)
- External job portal: Jobstreet,Hiredly,Jobstore,Fast Job,Free Job Portal</t>
        </is>
      </c>
      <c r="AT2959">
        <v>105</v>
      </c>
      <c r="AU2959" t="inlineStr">
        <is>
          <t>1.05</t>
        </is>
      </c>
      <c r="AV2959" t="inlineStr">
        <is>
          <t>15</t>
        </is>
      </c>
      <c r="AW2959" t="inlineStr">
        <is>
          <t>0</t>
        </is>
      </c>
      <c r="AX2959" t="inlineStr">
        <is>
          <t>Not Qualified</t>
        </is>
      </c>
      <c r="AY2959" s="4"/>
      <c r="AZ2959"/>
      <c r="BA2959"/>
      <c r="BB2959"/>
      <c r="BC2959" t="inlineStr">
        <is>
          <t>- Headcount: Not specified
- Hiring Job Details: Hair Stylist 1, Renewal Package
- Hiring Urgency: Hiring Now
- Number of outlets: 10
- Have recruiter team: Yes
- Number of recruiter in company: 1
- Have ATS system: No, I don't need at all
- Have career website: No, I don't need at all
- Current hiring budget: RM0.00
- Whole year budget: RM0.00
- Whole year number of vacancies: 10
- Hiring frequency: Once per quarter (75%)
- External job portal: Jobstreet,Hiredly,Jobstore,Fast Job,Free Job Portal</t>
        </is>
      </c>
      <c r="BD2959" s="4">
        <v>46121.54179398148</v>
      </c>
      <c r="BE2959" t="inlineStr">
        <is>
          <t>paid</t>
        </is>
      </c>
      <c r="BF2959"/>
      <c r="BG2959" t="inlineStr">
        <is>
          <t>Reschedule</t>
        </is>
      </c>
      <c r="BH2959" t="inlineStr">
        <is>
          <t>Fauziah Maharan</t>
        </is>
      </c>
      <c r="BI2959" t="inlineStr">
        <is>
          <t>Beauty / Fitness</t>
        </is>
      </c>
      <c r="BJ2959" s="4">
        <v>46144.75127314815</v>
      </c>
      <c r="BK2959" s="4">
        <v>45008.494942129626</v>
      </c>
      <c r="BL2959" t="inlineStr">
        <is>
          <t>7884.0</t>
        </is>
      </c>
      <c r="BM2959" t="inlineStr">
        <is>
          <t>1950.0</t>
        </is>
      </c>
      <c r="BN2959" t="inlineStr">
        <is>
          <t>Jobmanager Page : filled</t>
        </is>
      </c>
      <c r="BO2959" s="4">
        <v>46079.489849537036</v>
      </c>
      <c r="BP2959">
        <v>166166</v>
      </c>
      <c r="BQ2959">
        <v>6878</v>
      </c>
      <c r="BR2959" t="inlineStr">
        <is>
          <t>Manual (Paid)</t>
        </is>
      </c>
      <c r="BS2959" t="inlineStr">
        <is>
          <t>AI Yearly Standard Plan
- JobAI by AJobThing
- AI Yearly Standard Plan of 3 AI Job Ads + 3 Free AI Job Ads with Booster
- 6 AI Job Ad will be published on Maukerja, Ricebowl and our partner platforms
- 6 AI Job Ad will be published for 45 days
- 6 Booster Plus
- 60 Free Candidates Profiles Unlock
- 3 Free Intern or Manager Job
- 1 Free Company Page (Brand Basic)
- AI Capability for each AI Job Ad
- AI Instant Match for 30 profiles
- AI Daily Talent Recommendation for 2 profiles daily
- AI "Open to Work" Detector for 2 profiles
- AI Smart Filter
- AI Post Job Assistant
- AI Pre-Call Notifier
- Ajobthing CARE
- EXTRA: 2-month extension for total 14-month package validity
Free Gift
- Free 3x Part Time Job Ad</t>
        </is>
      </c>
      <c r="BT2959">
        <v>6878</v>
      </c>
      <c r="BU2959"/>
      <c r="BV2959">
        <v>2695775</v>
      </c>
      <c r="BW2959" t="inlineStr">
        <is>
          <t>Customer Inquiry</t>
        </is>
      </c>
      <c r="BX2959">
        <v>12</v>
      </c>
      <c r="BY2959">
        <v>3</v>
      </c>
      <c r="BZ2959" s="4">
        <v>46065.61603009259</v>
      </c>
      <c r="CA2959">
        <v>225</v>
      </c>
      <c r="CB2959">
        <v>110</v>
      </c>
      <c r="CC2959" s="4">
        <v>46052.47678240741</v>
      </c>
      <c r="CD2959" t="inlineStr">
        <is>
          <t>20</t>
        </is>
      </c>
      <c r="CE2959" t="inlineStr">
        <is>
          <t>0</t>
        </is>
      </c>
      <c r="CF2959" t="inlineStr">
        <is>
          <t>Q2-W01</t>
        </is>
      </c>
      <c r="CG2959"/>
      <c r="CH2959"/>
      <c r="CI2959"/>
      <c r="CJ2959" t="inlineStr">
        <is>
          <t>Paid</t>
        </is>
      </c>
      <c r="CK2959" t="inlineStr">
        <is>
          <t>Eligible</t>
        </is>
      </c>
      <c r="CL2959"/>
      <c r="CM2959"/>
    </row>
    <row r="2960" ht="25.5" customHeight="1">
      <c r="A2960" t="inlineStr">
        <is>
          <t>30832</t>
        </is>
      </c>
      <c r="B2960" s="2"/>
      <c r="C2960"/>
      <c r="D2960" s="3">
        <v>46121.516909722224</v>
      </c>
      <c r="E2960" t="inlineStr">
        <is>
          <t>Q2-W01</t>
        </is>
      </c>
      <c r="F2960" t="inlineStr">
        <is>
          <t>Yvonne Lee</t>
        </is>
      </c>
      <c r="G2960" t="inlineStr">
        <is>
          <t>Customer</t>
        </is>
      </c>
      <c r="H2960" s="2" t="str">
        <f>=HYPERLINK("https://upbox.ajobthing.my/customer/30832", "https://upbox.ajobthing.my/customer/30832")</f>
        <v>https://upbox.ajobthing.my/customer/30832</v>
      </c>
      <c r="I2960" t="inlineStr">
        <is>
          <t>Genting Plantations Berhad</t>
        </is>
      </c>
      <c r="J2960" t="inlineStr">
        <is>
          <t>Whale</t>
        </is>
      </c>
      <c r="K2960" t="inlineStr">
        <is>
          <t>Yvonne</t>
        </is>
      </c>
      <c r="L2960" s="4"/>
      <c r="M2960" s="4">
        <v>46121.518425925926</v>
      </c>
      <c r="N2960"/>
      <c r="O2960">
        <v>10800</v>
      </c>
      <c r="P2960" s="4"/>
      <c r="Q2960" s="4"/>
      <c r="R2960"/>
      <c r="S2960"/>
      <c r="T2960" s="4"/>
      <c r="U2960" s="4"/>
      <c r="V2960"/>
      <c r="W2960"/>
      <c r="X2960"/>
      <c r="Y2960" t="inlineStr">
        <is>
          <t>Pending Appointment</t>
        </is>
      </c>
      <c r="Z2960" t="inlineStr">
        <is>
          <t>Hiring Now</t>
        </is>
      </c>
      <c r="AA2960">
        <v>4</v>
      </c>
      <c r="AB2960" t="inlineStr">
        <is>
          <t>No Appointment Made</t>
        </is>
      </c>
      <c r="AC2960"/>
      <c r="AD2960" t="inlineStr">
        <is>
          <t>1) Executive Account
2) HR Executive
3) Payroll Executive
4) Senior Planation Advisory</t>
        </is>
      </c>
      <c r="AE2960"/>
      <c r="AF2960">
        <v>15000</v>
      </c>
      <c r="AG2960" s="4"/>
      <c r="AH2960" s="4"/>
      <c r="AI2960">
        <v>15000</v>
      </c>
      <c r="AJ2960">
        <v>3</v>
      </c>
      <c r="AK2960" t="inlineStr">
        <is>
          <t>Yes, I have</t>
        </is>
      </c>
      <c r="AL2960">
        <v>7</v>
      </c>
      <c r="AM2960" t="inlineStr">
        <is>
          <t>No, I don't need at all</t>
        </is>
      </c>
      <c r="AN2960"/>
      <c r="AO2960" t="inlineStr">
        <is>
          <t>Yes, I have</t>
        </is>
      </c>
      <c r="AP2960" t="inlineStr">
        <is>
          <t>Every month (100%)</t>
        </is>
      </c>
      <c r="AQ2960">
        <v>40</v>
      </c>
      <c r="AR2960" t="inlineStr">
        <is>
          <t>Jobstreet, Indeed (Paid)</t>
        </is>
      </c>
      <c r="AS2960" t="inlineStr">
        <is>
          <t>- Headcount: 4
- Hiring Job Details: 1 Executive Account, 2 HR Executive, 3 Payroll Executive, 4 Senior Planation Advisory
- Hiring Urgency: Hiring Now
- Number of outlets: 3
- Have recruiter team: Yes
- Number of recruiter in company: 7
- Have ATS system: No, I don't need at all
- Have career website: Yes
- Current hiring budget: RM15,000
- Whole year budget: RM15,000.00
- Whole year number of vacancies: 40
- Hiring frequency: Every month (100%)
- External job portal: Jobstreet, Indeed (Paid)</t>
        </is>
      </c>
      <c r="AT2960">
        <v>110</v>
      </c>
      <c r="AU2960" t="inlineStr">
        <is>
          <t>1.10</t>
        </is>
      </c>
      <c r="AV2960" t="inlineStr">
        <is>
          <t>20</t>
        </is>
      </c>
      <c r="AW2960" t="inlineStr">
        <is>
          <t>0</t>
        </is>
      </c>
      <c r="AX2960" t="inlineStr">
        <is>
          <t>Not Qualified</t>
        </is>
      </c>
      <c r="AY2960" s="4"/>
      <c r="AZ2960"/>
      <c r="BA2960"/>
      <c r="BB2960"/>
      <c r="BC2960" t="inlineStr">
        <is>
          <t>pending decision.</t>
        </is>
      </c>
      <c r="BD2960" s="4">
        <v>46142.679930555554</v>
      </c>
      <c r="BE2960"/>
      <c r="BF2960"/>
      <c r="BG2960" t="inlineStr">
        <is>
          <t>Reschedule</t>
        </is>
      </c>
      <c r="BH2960" t="inlineStr">
        <is>
          <t>andy@ajobthing.com</t>
        </is>
      </c>
      <c r="BI2960" t="inlineStr">
        <is>
          <t>Agriculture / Poultry / Fisheries</t>
        </is>
      </c>
      <c r="BJ2960" s="4">
        <v>46144.75454861111</v>
      </c>
      <c r="BK2960" s="4">
        <v>42677.75372685185</v>
      </c>
      <c r="BL2960" t="inlineStr">
        <is>
          <t>0.0</t>
        </is>
      </c>
      <c r="BM2960" t="inlineStr">
        <is>
          <t>29700.0</t>
        </is>
      </c>
      <c r="BN2960" t="inlineStr">
        <is>
          <t>View Create Job Page</t>
        </is>
      </c>
      <c r="BO2960" s="4">
        <v>44833.75806712963</v>
      </c>
      <c r="BP2960">
        <v>166171</v>
      </c>
      <c r="BQ2960"/>
      <c r="BR2960"/>
      <c r="BS2960"/>
      <c r="BT2960"/>
      <c r="BU2960"/>
      <c r="BV2960">
        <v>2738144</v>
      </c>
      <c r="BW2960" t="inlineStr">
        <is>
          <t>Follow Up : Decision Pending</t>
        </is>
      </c>
      <c r="BX2960"/>
      <c r="BY2960"/>
      <c r="BZ2960" s="4"/>
      <c r="CA2960"/>
      <c r="CB2960"/>
      <c r="CC2960" s="4"/>
      <c r="CD2960" t="inlineStr">
        <is>
          <t>25</t>
        </is>
      </c>
      <c r="CE2960" t="inlineStr">
        <is>
          <t>0</t>
        </is>
      </c>
      <c r="CF2960" t="inlineStr">
        <is>
          <t>Q2-W01</t>
        </is>
      </c>
      <c r="CG2960"/>
      <c r="CH2960"/>
      <c r="CI2960"/>
      <c r="CJ2960" t="inlineStr">
        <is>
          <t>No Paid</t>
        </is>
      </c>
      <c r="CK2960" t="inlineStr">
        <is>
          <t>Eligible</t>
        </is>
      </c>
      <c r="CL2960"/>
      <c r="CM2960"/>
    </row>
    <row r="2961" ht="25.5" customHeight="1">
      <c r="A2961" t="inlineStr">
        <is>
          <t>177468</t>
        </is>
      </c>
      <c r="B2961" s="2"/>
      <c r="C2961"/>
      <c r="D2961" s="3">
        <v>46121.567337962966</v>
      </c>
      <c r="E2961" t="inlineStr">
        <is>
          <t>Q2-W01</t>
        </is>
      </c>
      <c r="F2961" t="inlineStr">
        <is>
          <t>Yuli</t>
        </is>
      </c>
      <c r="G2961" t="inlineStr">
        <is>
          <t>Customer</t>
        </is>
      </c>
      <c r="H2961" s="2" t="str">
        <f>=HYPERLINK("https://upbox.ajobthing.my/customer/177468", "https://upbox.ajobthing.my/customer/177468")</f>
        <v>https://upbox.ajobthing.my/customer/177468</v>
      </c>
      <c r="I2961" t="inlineStr">
        <is>
          <t>KWNG Group Holdings Sdn Bhd</t>
        </is>
      </c>
      <c r="J2961" t="inlineStr">
        <is>
          <t>Whale</t>
        </is>
      </c>
      <c r="K2961" t="inlineStr">
        <is>
          <t>YuLi</t>
        </is>
      </c>
      <c r="L2961" s="4"/>
      <c r="M2961" s="4">
        <v>46121.56674768519</v>
      </c>
      <c r="N2961"/>
      <c r="O2961">
        <v>3888</v>
      </c>
      <c r="P2961" s="4"/>
      <c r="Q2961" s="4">
        <v>45874.45025462963</v>
      </c>
      <c r="R2961"/>
      <c r="S2961">
        <v>2376</v>
      </c>
      <c r="T2961" s="4">
        <v>45874.45025462963</v>
      </c>
      <c r="U2961" s="4"/>
      <c r="V2961"/>
      <c r="W2961">
        <v>2376</v>
      </c>
      <c r="X2961"/>
      <c r="Y2961" t="inlineStr">
        <is>
          <t>Pending Appointment</t>
        </is>
      </c>
      <c r="Z2961" t="inlineStr">
        <is>
          <t>Hiring Now</t>
        </is>
      </c>
      <c r="AA2961">
        <v>1</v>
      </c>
      <c r="AB2961" t="inlineStr">
        <is>
          <t>No Appointment Made</t>
        </is>
      </c>
      <c r="AC2961"/>
      <c r="AD2961" t="inlineStr">
        <is>
          <t>1 Videographer</t>
        </is>
      </c>
      <c r="AE2961"/>
      <c r="AF2961"/>
      <c r="AG2961" s="4"/>
      <c r="AH2961" s="4"/>
      <c r="AI2961"/>
      <c r="AJ2961"/>
      <c r="AK2961"/>
      <c r="AL2961"/>
      <c r="AM2961"/>
      <c r="AN2961"/>
      <c r="AO2961"/>
      <c r="AP2961"/>
      <c r="AQ2961"/>
      <c r="AR2961" t="inlineStr">
        <is>
          <t>Jobstreet</t>
        </is>
      </c>
      <c r="AS2961" t="inlineStr">
        <is>
          <t>- Headcount: 1
- Hiring Job Details: 1 Videographer
- Hiring Urgency: Hiring Now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Jobstreet</t>
        </is>
      </c>
      <c r="AT2961">
        <v>65</v>
      </c>
      <c r="AU2961" t="inlineStr">
        <is>
          <t>0.65</t>
        </is>
      </c>
      <c r="AV2961" t="inlineStr">
        <is>
          <t>5</t>
        </is>
      </c>
      <c r="AW2961" t="inlineStr">
        <is>
          <t>0</t>
        </is>
      </c>
      <c r="AX2961" t="inlineStr">
        <is>
          <t>Not Qualified</t>
        </is>
      </c>
      <c r="AY2961" s="4"/>
      <c r="AZ2961"/>
      <c r="BA2961"/>
      <c r="BB2961"/>
      <c r="BC2961" t="inlineStr">
        <is>
          <t>called but no answered</t>
        </is>
      </c>
      <c r="BD2961" s="4">
        <v>46134.458078703705</v>
      </c>
      <c r="BE2961" t="inlineStr">
        <is>
          <t>paid</t>
        </is>
      </c>
      <c r="BF2961"/>
      <c r="BG2961" t="inlineStr">
        <is>
          <t>Reschedule</t>
        </is>
      </c>
      <c r="BH2961" t="inlineStr">
        <is>
          <t>Fauziah Maharan</t>
        </is>
      </c>
      <c r="BI2961" t="inlineStr">
        <is>
          <t>Healthcare / Medical</t>
        </is>
      </c>
      <c r="BJ2961" s="4">
        <v>46144.75167824074</v>
      </c>
      <c r="BK2961" s="4">
        <v>45400.62190972222</v>
      </c>
      <c r="BL2961" t="inlineStr">
        <is>
          <t>2376.0</t>
        </is>
      </c>
      <c r="BM2961" t="inlineStr">
        <is>
          <t>2400.0</t>
        </is>
      </c>
      <c r="BN2961" t="inlineStr">
        <is>
          <t>View Candidate Search Page</t>
        </is>
      </c>
      <c r="BO2961" s="4">
        <v>45973.59339120371</v>
      </c>
      <c r="BP2961">
        <v>166179</v>
      </c>
      <c r="BQ2961">
        <v>6179</v>
      </c>
      <c r="BR2961" t="inlineStr">
        <is>
          <t>Manual (Paid)</t>
        </is>
      </c>
      <c r="BS2961" t="inlineStr">
        <is>
          <t>A la carte for 2 AI Job Ad for special discount with RM 200 until 16.07.25
- 2 AI Job Ad will be published on Maukerja, Ricebowl and our partner platforms
- 2 AI Job Ad will be published for 45 days
- 2 Booster Plus (8 times bump up)
-Each job ad 5 Free Candidate Profiles
- Each job 5 Free Unlock Profiles
- AI Capability
- AI Instant Match for 50 profiles
- AI Daily Talent Recommendation for 10 profiles daily
- AI "Open to Work" Detector for 10 profiles for 10 days
- AI Post Job Assistant
- Free 1 Intern or Manager post for 45 days
- Ajobthing CARE
- Package valid for 3 months</t>
        </is>
      </c>
      <c r="BT2961">
        <v>6179</v>
      </c>
      <c r="BU2961"/>
      <c r="BV2961">
        <v>2719863</v>
      </c>
      <c r="BW2961" t="inlineStr">
        <is>
          <t>No Answer : 3 Days No Response</t>
        </is>
      </c>
      <c r="BX2961"/>
      <c r="BY2961"/>
      <c r="BZ2961" s="4"/>
      <c r="CA2961"/>
      <c r="CB2961"/>
      <c r="CC2961" s="4"/>
      <c r="CD2961" t="inlineStr">
        <is>
          <t>5</t>
        </is>
      </c>
      <c r="CE2961" t="inlineStr">
        <is>
          <t>0</t>
        </is>
      </c>
      <c r="CF2961" t="inlineStr">
        <is>
          <t>Q2-W01</t>
        </is>
      </c>
      <c r="CG2961"/>
      <c r="CH2961"/>
      <c r="CI2961"/>
      <c r="CJ2961" t="inlineStr">
        <is>
          <t>Paid</t>
        </is>
      </c>
      <c r="CK2961" t="inlineStr">
        <is>
          <t>Eligible</t>
        </is>
      </c>
      <c r="CL2961"/>
      <c r="CM2961"/>
    </row>
    <row r="2962" ht="25.5" customHeight="1">
      <c r="A2962" t="inlineStr">
        <is>
          <t>162608</t>
        </is>
      </c>
      <c r="B2962" s="2"/>
      <c r="C2962"/>
      <c r="D2962" s="3">
        <v>46121.60523148148</v>
      </c>
      <c r="E2962" t="inlineStr">
        <is>
          <t>Q2-W01</t>
        </is>
      </c>
      <c r="F2962" t="inlineStr">
        <is>
          <t>Ken Yi</t>
        </is>
      </c>
      <c r="G2962" t="inlineStr">
        <is>
          <t>Customer</t>
        </is>
      </c>
      <c r="H2962" s="2" t="str">
        <f>=HYPERLINK("https://upbox.ajobthing.my/customer/162608", "https://upbox.ajobthing.my/customer/162608")</f>
        <v>https://upbox.ajobthing.my/customer/162608</v>
      </c>
      <c r="I2962" t="inlineStr">
        <is>
          <t>Tunas Manja Sdn Bhd</t>
        </is>
      </c>
      <c r="J2962" t="inlineStr">
        <is>
          <t>Whale</t>
        </is>
      </c>
      <c r="K2962" t="inlineStr">
        <is>
          <t>Kenyi</t>
        </is>
      </c>
      <c r="L2962" s="4"/>
      <c r="M2962" s="4">
        <v>46121.59247685185</v>
      </c>
      <c r="N2962"/>
      <c r="O2962">
        <v>10800</v>
      </c>
      <c r="P2962" s="4"/>
      <c r="Q2962" s="4">
        <v>45819.63243055555</v>
      </c>
      <c r="R2962"/>
      <c r="S2962">
        <v>5724</v>
      </c>
      <c r="T2962" s="4">
        <v>45819.63243055555</v>
      </c>
      <c r="U2962" s="4"/>
      <c r="V2962"/>
      <c r="W2962">
        <v>5724</v>
      </c>
      <c r="X2962"/>
      <c r="Y2962" t="inlineStr">
        <is>
          <t>Pending Appointment</t>
        </is>
      </c>
      <c r="Z2962" t="inlineStr">
        <is>
          <t>Hiring Now</t>
        </is>
      </c>
      <c r="AA2962">
        <v>1</v>
      </c>
      <c r="AB2962" t="inlineStr">
        <is>
          <t>No Appointment Made</t>
        </is>
      </c>
      <c r="AC2962"/>
      <c r="AD2962" t="inlineStr">
        <is>
          <t>Renewal 1</t>
        </is>
      </c>
      <c r="AE2962"/>
      <c r="AF2962">
        <v>0</v>
      </c>
      <c r="AG2962" s="4"/>
      <c r="AH2962" s="4"/>
      <c r="AI2962">
        <v>0</v>
      </c>
      <c r="AJ2962">
        <v>1</v>
      </c>
      <c r="AK2962" t="inlineStr">
        <is>
          <t>Yes, I have</t>
        </is>
      </c>
      <c r="AL2962">
        <v>1</v>
      </c>
      <c r="AM2962" t="inlineStr">
        <is>
          <t>No, I don't need at all</t>
        </is>
      </c>
      <c r="AN2962"/>
      <c r="AO2962" t="inlineStr">
        <is>
          <t>No, I don't need at all</t>
        </is>
      </c>
      <c r="AP2962" t="inlineStr">
        <is>
          <t>Every month (100%)</t>
        </is>
      </c>
      <c r="AQ2962">
        <v>2</v>
      </c>
      <c r="AR2962" t="inlineStr">
        <is>
          <t>Jobstreet</t>
        </is>
      </c>
      <c r="AS2962" t="inlineStr">
        <is>
          <t>- Headcount: 1
- Hiring Job Details: Renewal 1
- Hiring Urgency: Hiring Now
- Number of outlets: 1
- Have recruiter team: Yes, I have
- Number of recruiter in company: 1
- Have ATS system: No, I don't need at all
- Have career website: No, I don't need at all
- Current hiring budget: RM0
- Whole year budget: RM0.00
- Whole year number of vacancies: 2
- Hiring frequency: Every month (100%)
- External job portal: Jobstreet</t>
        </is>
      </c>
      <c r="AT2962">
        <v>95</v>
      </c>
      <c r="AU2962" t="inlineStr">
        <is>
          <t>0.95</t>
        </is>
      </c>
      <c r="AV2962" t="inlineStr">
        <is>
          <t>15</t>
        </is>
      </c>
      <c r="AW2962" t="inlineStr">
        <is>
          <t>0</t>
        </is>
      </c>
      <c r="AX2962" t="inlineStr">
        <is>
          <t>Not Qualified</t>
        </is>
      </c>
      <c r="AY2962" s="4"/>
      <c r="AZ2962"/>
      <c r="BA2962"/>
      <c r="BB2962"/>
      <c r="BC2962" t="inlineStr">
        <is>
          <t>Customer now busy with e-fillling submission, get back to her shortly later at next week to end month</t>
        </is>
      </c>
      <c r="BD2962" s="4">
        <v>46135.641909722224</v>
      </c>
      <c r="BE2962" t="inlineStr">
        <is>
          <t>paid</t>
        </is>
      </c>
      <c r="BF2962"/>
      <c r="BG2962" t="inlineStr">
        <is>
          <t>Reschedule</t>
        </is>
      </c>
      <c r="BH2962" t="inlineStr">
        <is>
          <t>Fauziah Maharan</t>
        </is>
      </c>
      <c r="BI2962" t="inlineStr">
        <is>
          <t>Retail / Merchandise</t>
        </is>
      </c>
      <c r="BJ2962" s="4">
        <v>46144.751180555555</v>
      </c>
      <c r="BK2962" s="4">
        <v>44898.91868055556</v>
      </c>
      <c r="BL2962" t="inlineStr">
        <is>
          <t>5724.0</t>
        </is>
      </c>
      <c r="BM2962" t="inlineStr">
        <is>
          <t>0.0</t>
        </is>
      </c>
      <c r="BN2962" t="inlineStr">
        <is>
          <t>View Company Page</t>
        </is>
      </c>
      <c r="BO2962" s="4">
        <v>46144.47244212963</v>
      </c>
      <c r="BP2962">
        <v>166197</v>
      </c>
      <c r="BQ2962">
        <v>80002</v>
      </c>
      <c r="BR2962" t="inlineStr">
        <is>
          <t>Online</t>
        </is>
      </c>
      <c r="BS2962"/>
      <c r="BT2962">
        <v>80002</v>
      </c>
      <c r="BU2962"/>
      <c r="BV2962">
        <v>2723902</v>
      </c>
      <c r="BW2962" t="inlineStr">
        <is>
          <t>Follow Up : Decision Pending</t>
        </is>
      </c>
      <c r="BX2962">
        <v>3</v>
      </c>
      <c r="BY2962">
        <v>-5</v>
      </c>
      <c r="BZ2962" s="4">
        <v>46067.52835648148</v>
      </c>
      <c r="CA2962">
        <v>245</v>
      </c>
      <c r="CB2962">
        <v>245</v>
      </c>
      <c r="CC2962" s="4"/>
      <c r="CD2962" t="inlineStr">
        <is>
          <t>20</t>
        </is>
      </c>
      <c r="CE2962" t="inlineStr">
        <is>
          <t>0</t>
        </is>
      </c>
      <c r="CF2962" t="inlineStr">
        <is>
          <t>Q2-W01</t>
        </is>
      </c>
      <c r="CG2962"/>
      <c r="CH2962"/>
      <c r="CI2962"/>
      <c r="CJ2962" t="inlineStr">
        <is>
          <t>Paid</t>
        </is>
      </c>
      <c r="CK2962" t="inlineStr">
        <is>
          <t>Eligible</t>
        </is>
      </c>
      <c r="CL2962"/>
      <c r="CM2962"/>
    </row>
    <row r="2963" ht="25.5" customHeight="1">
      <c r="A2963" t="inlineStr">
        <is>
          <t>35118</t>
        </is>
      </c>
      <c r="B2963" s="2"/>
      <c r="C2963"/>
      <c r="D2963" s="3">
        <v>46121.63741898148</v>
      </c>
      <c r="E2963" t="inlineStr">
        <is>
          <t>Q2-W01</t>
        </is>
      </c>
      <c r="F2963" t="inlineStr">
        <is>
          <t>Alan KY</t>
        </is>
      </c>
      <c r="G2963" t="inlineStr">
        <is>
          <t>Customer</t>
        </is>
      </c>
      <c r="H2963" s="2" t="str">
        <f>=HYPERLINK("https://upbox.ajobthing.my/customer/35118", "https://upbox.ajobthing.my/customer/35118")</f>
        <v>https://upbox.ajobthing.my/customer/35118</v>
      </c>
      <c r="I2963" t="inlineStr">
        <is>
          <t xml:space="preserve">Camps &amp; Apparels Corp. Sdn Bhd </t>
        </is>
      </c>
      <c r="J2963" t="inlineStr">
        <is>
          <t>Whale</t>
        </is>
      </c>
      <c r="K2963" t="inlineStr">
        <is>
          <t>Alan KY</t>
        </is>
      </c>
      <c r="L2963" s="4"/>
      <c r="M2963" s="4">
        <v>46121.62390046296</v>
      </c>
      <c r="N2963"/>
      <c r="O2963">
        <v>6048</v>
      </c>
      <c r="P2963" s="4"/>
      <c r="Q2963" s="4">
        <v>46144.32534722222</v>
      </c>
      <c r="R2963"/>
      <c r="S2963">
        <v>1728</v>
      </c>
      <c r="T2963" s="4">
        <v>46144.32534722222</v>
      </c>
      <c r="U2963" s="4"/>
      <c r="V2963"/>
      <c r="W2963">
        <v>1728</v>
      </c>
      <c r="X2963"/>
      <c r="Y2963" t="inlineStr">
        <is>
          <t>Pending Appointment</t>
        </is>
      </c>
      <c r="Z2963" t="inlineStr">
        <is>
          <t>Hiring Later</t>
        </is>
      </c>
      <c r="AA2963">
        <v>5</v>
      </c>
      <c r="AB2963" t="inlineStr">
        <is>
          <t>No Appointment Made</t>
        </is>
      </c>
      <c r="AC2963"/>
      <c r="AD2963" t="inlineStr">
        <is>
          <t xml:space="preserve">2 BD , 3 retail, in KL </t>
        </is>
      </c>
      <c r="AE2963"/>
      <c r="AF2963"/>
      <c r="AG2963" s="4"/>
      <c r="AH2963" s="4"/>
      <c r="AI2963"/>
      <c r="AJ2963">
        <v>4</v>
      </c>
      <c r="AK2963" t="inlineStr">
        <is>
          <t>No, I don't need at all</t>
        </is>
      </c>
      <c r="AL2963"/>
      <c r="AM2963" t="inlineStr">
        <is>
          <t>No, I don't need at all</t>
        </is>
      </c>
      <c r="AN2963"/>
      <c r="AO2963" t="inlineStr">
        <is>
          <t>No, I don't need at all</t>
        </is>
      </c>
      <c r="AP2963" t="inlineStr">
        <is>
          <t>Once per quarter (75%)</t>
        </is>
      </c>
      <c r="AQ2963"/>
      <c r="AR2963" t="inlineStr">
        <is>
          <t>Jobstreet</t>
        </is>
      </c>
      <c r="AS2963" t="inlineStr">
        <is>
          <t>- Headcount: 5
- Hiring Job Details: 2 BD, 3 retail, in KL
- Hiring Urgency: Hiring Later
- Number of outlets: 4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AT2963">
        <v>90</v>
      </c>
      <c r="AU2963" t="inlineStr">
        <is>
          <t>0.90</t>
        </is>
      </c>
      <c r="AV2963" t="inlineStr">
        <is>
          <t>10</t>
        </is>
      </c>
      <c r="AW2963" t="inlineStr">
        <is>
          <t>0</t>
        </is>
      </c>
      <c r="AX2963" t="inlineStr">
        <is>
          <t>Not Qualified</t>
        </is>
      </c>
      <c r="AY2963" s="4"/>
      <c r="AZ2963"/>
      <c r="BA2963"/>
      <c r="BB2963"/>
      <c r="BC2963" t="inlineStr">
        <is>
          <t>- Headcount: 5
- Hiring Job Details: 2 BD, 3 retail, in KL
- Hiring Urgency: Hiring Later
- Number of outlets: 4
- Have recruiter team: No, I don't need at all
- Number of recruiter in company: N/A
- Have ATS system: No, I don't need at all
- Have career website: No, I don't need at all
- Current hiring budget: N/A
- Whole year budget: N/A
- Whole year number of vacancies: N/A
- Hiring frequency: Once per quarter (75%)
- External job portal: Jobstreet</t>
        </is>
      </c>
      <c r="BD2963" s="4">
        <v>46121.66670138889</v>
      </c>
      <c r="BE2963" t="inlineStr">
        <is>
          <t>paid</t>
        </is>
      </c>
      <c r="BF2963" t="inlineStr">
        <is>
          <t>Q2-W05</t>
        </is>
      </c>
      <c r="BG2963" t="inlineStr">
        <is>
          <t>Reschedule</t>
        </is>
      </c>
      <c r="BH2963" t="inlineStr">
        <is>
          <t>Reagen</t>
        </is>
      </c>
      <c r="BI2963" t="inlineStr">
        <is>
          <t>Apparel</t>
        </is>
      </c>
      <c r="BJ2963" s="4">
        <v>46144.754594907405</v>
      </c>
      <c r="BK2963" s="4">
        <v>42815.71523148148</v>
      </c>
      <c r="BL2963" t="inlineStr">
        <is>
          <t>2916.0</t>
        </is>
      </c>
      <c r="BM2963" t="inlineStr">
        <is>
          <t>0.0</t>
        </is>
      </c>
      <c r="BN2963" t="inlineStr">
        <is>
          <t>View Candidate Search Page</t>
        </is>
      </c>
      <c r="BO2963" s="4">
        <v>46144.34148148148</v>
      </c>
      <c r="BP2963">
        <v>166222</v>
      </c>
      <c r="BQ2963">
        <v>95243</v>
      </c>
      <c r="BR2963" t="inlineStr">
        <is>
          <t>Online</t>
        </is>
      </c>
      <c r="BS2963"/>
      <c r="BT2963">
        <v>95243</v>
      </c>
      <c r="BU2963"/>
      <c r="BV2963">
        <v>2696525</v>
      </c>
      <c r="BW2963" t="inlineStr">
        <is>
          <t>Customer Inquiry</t>
        </is>
      </c>
      <c r="BX2963"/>
      <c r="BY2963"/>
      <c r="BZ2963" s="4"/>
      <c r="CA2963"/>
      <c r="CB2963"/>
      <c r="CC2963" s="4"/>
      <c r="CD2963" t="inlineStr">
        <is>
          <t>15</t>
        </is>
      </c>
      <c r="CE2963" t="inlineStr">
        <is>
          <t>0</t>
        </is>
      </c>
      <c r="CF2963" t="inlineStr">
        <is>
          <t>Q2-W01</t>
        </is>
      </c>
      <c r="CG2963" t="inlineStr">
        <is>
          <t>Q2-W05</t>
        </is>
      </c>
      <c r="CH2963" t="inlineStr">
        <is>
          <t>Q2-W05</t>
        </is>
      </c>
      <c r="CI2963"/>
      <c r="CJ2963" t="inlineStr">
        <is>
          <t>Paid</t>
        </is>
      </c>
      <c r="CK2963" t="inlineStr">
        <is>
          <t>Eligible</t>
        </is>
      </c>
      <c r="CL2963"/>
      <c r="CM2963"/>
    </row>
    <row r="2964" ht="25.5" customHeight="1">
      <c r="A2964" t="inlineStr">
        <is>
          <t>183737</t>
        </is>
      </c>
      <c r="B2964" s="2"/>
      <c r="C2964"/>
      <c r="D2964" s="3">
        <v>46121.645625</v>
      </c>
      <c r="E2964" t="inlineStr">
        <is>
          <t>Q2-W01</t>
        </is>
      </c>
      <c r="F2964" t="inlineStr">
        <is>
          <t>Chia Yee</t>
        </is>
      </c>
      <c r="G2964" t="inlineStr">
        <is>
          <t>Customer</t>
        </is>
      </c>
      <c r="H2964" s="2" t="str">
        <f>=HYPERLINK("https://upbox.ajobthing.my/customer/183737", "https://upbox.ajobthing.my/customer/183737")</f>
        <v>https://upbox.ajobthing.my/customer/183737</v>
      </c>
      <c r="I2964" t="inlineStr">
        <is>
          <t>Tribe Business Services Sdn Bhd</t>
        </is>
      </c>
      <c r="J2964" t="inlineStr">
        <is>
          <t>Whale</t>
        </is>
      </c>
      <c r="K2964" t="inlineStr">
        <is>
          <t>Chia Yee</t>
        </is>
      </c>
      <c r="L2964" s="4"/>
      <c r="M2964" s="4">
        <v>46121.645844907405</v>
      </c>
      <c r="N2964"/>
      <c r="O2964">
        <v>8208</v>
      </c>
      <c r="P2964" s="4"/>
      <c r="Q2964" s="4">
        <v>46080.04094907407</v>
      </c>
      <c r="R2964"/>
      <c r="S2964">
        <v>0</v>
      </c>
      <c r="T2964" s="4">
        <v>45631</v>
      </c>
      <c r="U2964" s="4"/>
      <c r="V2964"/>
      <c r="W2964">
        <v>3672</v>
      </c>
      <c r="X2964"/>
      <c r="Y2964" t="inlineStr">
        <is>
          <t>Pending Appointment</t>
        </is>
      </c>
      <c r="Z2964" t="inlineStr">
        <is>
          <t>Continuous Hiring</t>
        </is>
      </c>
      <c r="AA2964">
        <v>1</v>
      </c>
      <c r="AB2964" t="inlineStr">
        <is>
          <t>No Appointment Made</t>
        </is>
      </c>
      <c r="AC2964"/>
      <c r="AD2964" t="inlineStr">
        <is>
          <t xml:space="preserve">Customer Service Executive </t>
        </is>
      </c>
      <c r="AE2964"/>
      <c r="AF2964">
        <v>3000</v>
      </c>
      <c r="AG2964" s="4"/>
      <c r="AH2964" s="4"/>
      <c r="AI2964">
        <v>3000</v>
      </c>
      <c r="AJ2964">
        <v>0</v>
      </c>
      <c r="AK2964" t="inlineStr">
        <is>
          <t>No, I don't need at all</t>
        </is>
      </c>
      <c r="AL2964">
        <v>1</v>
      </c>
      <c r="AM2964" t="inlineStr">
        <is>
          <t>No, I don't need at all</t>
        </is>
      </c>
      <c r="AN2964"/>
      <c r="AO2964" t="inlineStr">
        <is>
          <t>No, I don't need at all</t>
        </is>
      </c>
      <c r="AP2964" t="inlineStr">
        <is>
          <t>Twice a year (50%)</t>
        </is>
      </c>
      <c r="AQ2964">
        <v>5</v>
      </c>
      <c r="AR2964" t="inlineStr">
        <is>
          <t>Did not use any job portal</t>
        </is>
      </c>
      <c r="AS2964" t="inlineStr">
        <is>
          <t>- Headcount: 1
- Hiring Job Details: Customer Service Executive
- Hiring Urgency: Continuous Hiring
- Number of outlets: 0
- Have recruiter team: No, I don't need at all
- Number of recruiter in company: 1
- Have ATS system: No, I don't need at all
- Have career website: No, I don't need at all
- Current hiring budget: RM3,000
- Whole year budget: RM3,000.00
- Whole year number of vacancies: 5
- Hiring frequency: Twice a year (50%)
- External job portal: Did not use any job portal</t>
        </is>
      </c>
      <c r="AT2964">
        <v>105</v>
      </c>
      <c r="AU2964" t="inlineStr">
        <is>
          <t>1.05</t>
        </is>
      </c>
      <c r="AV2964" t="inlineStr">
        <is>
          <t>15</t>
        </is>
      </c>
      <c r="AW2964" t="inlineStr">
        <is>
          <t>0</t>
        </is>
      </c>
      <c r="AX2964" t="inlineStr">
        <is>
          <t>Not Qualified</t>
        </is>
      </c>
      <c r="AY2964" s="4"/>
      <c r="AZ2964"/>
      <c r="BA2964"/>
      <c r="BB2964"/>
      <c r="BC2964" t="inlineStr">
        <is>
          <t>Rewplied: not proceed. Price increase lots. if same previous price, will sign</t>
        </is>
      </c>
      <c r="BD2964" s="4">
        <v>46128.47079861111</v>
      </c>
      <c r="BE2964" t="inlineStr">
        <is>
          <t>paid</t>
        </is>
      </c>
      <c r="BF2964"/>
      <c r="BG2964" t="inlineStr">
        <is>
          <t>Reschedule</t>
        </is>
      </c>
      <c r="BH2964" t="inlineStr">
        <is>
          <t>Reagen</t>
        </is>
      </c>
      <c r="BI2964" t="inlineStr">
        <is>
          <t>Business / Mgmt Consulting</t>
        </is>
      </c>
      <c r="BJ2964" s="4">
        <v>46144.751967592594</v>
      </c>
      <c r="BK2964" s="4">
        <v>45577.514756944445</v>
      </c>
      <c r="BL2964" t="inlineStr">
        <is>
          <t>0.0</t>
        </is>
      </c>
      <c r="BM2964" t="inlineStr">
        <is>
          <t>6000.0</t>
        </is>
      </c>
      <c r="BN2964" t="inlineStr">
        <is>
          <t>View Company Page</t>
        </is>
      </c>
      <c r="BO2964" s="4">
        <v>46126.73453703704</v>
      </c>
      <c r="BP2964">
        <v>166242</v>
      </c>
      <c r="BQ2964">
        <v>115722</v>
      </c>
      <c r="BR2964" t="inlineStr">
        <is>
          <t>Proforma</t>
        </is>
      </c>
      <c r="BS2964" t="inlineStr">
        <is>
          <t>Free Internship Job</t>
        </is>
      </c>
      <c r="BT2964">
        <v>75177</v>
      </c>
      <c r="BU2964"/>
      <c r="BV2964">
        <v>2708424</v>
      </c>
      <c r="BW2964" t="inlineStr">
        <is>
          <t>Follow Up : Budget Concern</t>
        </is>
      </c>
      <c r="BX2964"/>
      <c r="BY2964"/>
      <c r="BZ2964" s="4"/>
      <c r="CA2964"/>
      <c r="CB2964"/>
      <c r="CC2964" s="4"/>
      <c r="CD2964" t="inlineStr">
        <is>
          <t>20</t>
        </is>
      </c>
      <c r="CE2964" t="inlineStr">
        <is>
          <t>0</t>
        </is>
      </c>
      <c r="CF2964" t="inlineStr">
        <is>
          <t>Q2-W01</t>
        </is>
      </c>
      <c r="CG2964" t="inlineStr">
        <is>
          <t>Q1-W09</t>
        </is>
      </c>
      <c r="CH2964"/>
      <c r="CI2964"/>
      <c r="CJ2964" t="inlineStr">
        <is>
          <t>Paid</t>
        </is>
      </c>
      <c r="CK2964" t="inlineStr">
        <is>
          <t>Eligible</t>
        </is>
      </c>
      <c r="CL2964"/>
      <c r="CM2964"/>
    </row>
    <row r="2965" ht="25.5" customHeight="1">
      <c r="A2965" t="inlineStr">
        <is>
          <t>36183</t>
        </is>
      </c>
      <c r="B2965" s="2"/>
      <c r="C2965"/>
      <c r="D2965" s="3">
        <v>46121.64760416667</v>
      </c>
      <c r="E2965" t="inlineStr">
        <is>
          <t>Q2-W01</t>
        </is>
      </c>
      <c r="F2965" t="inlineStr">
        <is>
          <t>Yvonne Lee</t>
        </is>
      </c>
      <c r="G2965" t="inlineStr">
        <is>
          <t>Customer</t>
        </is>
      </c>
      <c r="H2965" s="2" t="str">
        <f>=HYPERLINK("https://upbox.ajobthing.my/customer/36183", "https://upbox.ajobthing.my/customer/36183")</f>
        <v>https://upbox.ajobthing.my/customer/36183</v>
      </c>
      <c r="I2965" t="inlineStr">
        <is>
          <t>Ancom Crop Care Sdn Bhd</t>
        </is>
      </c>
      <c r="J2965" t="inlineStr">
        <is>
          <t>Whale</t>
        </is>
      </c>
      <c r="K2965" t="inlineStr">
        <is>
          <t>Yvonne</t>
        </is>
      </c>
      <c r="L2965" s="4"/>
      <c r="M2965" s="4">
        <v>46121.64979166666</v>
      </c>
      <c r="N2965"/>
      <c r="O2965">
        <v>11448</v>
      </c>
      <c r="P2965" s="4"/>
      <c r="Q2965" s="4"/>
      <c r="R2965"/>
      <c r="S2965"/>
      <c r="T2965" s="4"/>
      <c r="U2965" s="4"/>
      <c r="V2965"/>
      <c r="W2965"/>
      <c r="X2965"/>
      <c r="Y2965" t="inlineStr">
        <is>
          <t>Pending Appointment</t>
        </is>
      </c>
      <c r="Z2965" t="inlineStr">
        <is>
          <t>Hiring Now</t>
        </is>
      </c>
      <c r="AA2965">
        <v>3</v>
      </c>
      <c r="AB2965" t="inlineStr">
        <is>
          <t>No Appointment Made</t>
        </is>
      </c>
      <c r="AC2965"/>
      <c r="AD2965" t="inlineStr">
        <is>
          <t>1) Technician Maintenance
2) Production Engineer
3) Purchasing dept</t>
        </is>
      </c>
      <c r="AE2965"/>
      <c r="AF2965">
        <v>10000</v>
      </c>
      <c r="AG2965" s="4"/>
      <c r="AH2965" s="4"/>
      <c r="AI2965">
        <v>10000</v>
      </c>
      <c r="AJ2965">
        <v>1</v>
      </c>
      <c r="AK2965" t="inlineStr">
        <is>
          <t>Yes, I have</t>
        </is>
      </c>
      <c r="AL2965">
        <v>2</v>
      </c>
      <c r="AM2965" t="inlineStr">
        <is>
          <t>No, but I want in future</t>
        </is>
      </c>
      <c r="AN2965"/>
      <c r="AO2965" t="inlineStr">
        <is>
          <t>Yes, I have</t>
        </is>
      </c>
      <c r="AP2965" t="inlineStr">
        <is>
          <t>Once per quarter (75%)</t>
        </is>
      </c>
      <c r="AQ2965">
        <v>35</v>
      </c>
      <c r="AR2965" t="inlineStr">
        <is>
          <t>Jobstreet</t>
        </is>
      </c>
      <c r="AS2965" t="inlineStr">
        <is>
          <t>- Headcount: 3
- Hiring Job Details: 1) Technician Maintenance 2) Production Engineer 3) Purchasing dept
- Hiring Urgency: Hiring Now
- Number of outlets: 1
- Have recruiter team: Yes
- Number of recruiter in company: 2
- Have ATS system: No, but want in future
- Have career website: Yes
- Current hiring budget: RM10,000
- Whole year budget: RM10,000.00
- Whole year number of vacancies: 35
- Hiring frequency: Once per quarter (75%)
- External job portal: Jobstreet</t>
        </is>
      </c>
      <c r="AT2965">
        <v>95</v>
      </c>
      <c r="AU2965" t="inlineStr">
        <is>
          <t>0.95</t>
        </is>
      </c>
      <c r="AV2965" t="inlineStr">
        <is>
          <t>15</t>
        </is>
      </c>
      <c r="AW2965" t="inlineStr">
        <is>
          <t>0</t>
        </is>
      </c>
      <c r="AX2965" t="inlineStr">
        <is>
          <t>Not Qualified</t>
        </is>
      </c>
      <c r="AY2965" s="4"/>
      <c r="AZ2965"/>
      <c r="BA2965"/>
      <c r="BB2965"/>
      <c r="BC2965" t="inlineStr">
        <is>
          <t>Quotation shared,</t>
        </is>
      </c>
      <c r="BD2965" s="4">
        <v>46142.66840277778</v>
      </c>
      <c r="BE2965"/>
      <c r="BF2965"/>
      <c r="BG2965" t="inlineStr">
        <is>
          <t>Reschedule</t>
        </is>
      </c>
      <c r="BH2965" t="inlineStr">
        <is>
          <t>andy@ajobthing.com</t>
        </is>
      </c>
      <c r="BI2965" t="inlineStr">
        <is>
          <t>Manufacturing / Production</t>
        </is>
      </c>
      <c r="BJ2965" s="4">
        <v>46144.75461805556</v>
      </c>
      <c r="BK2965" s="4">
        <v>42840.57958333333</v>
      </c>
      <c r="BL2965" t="inlineStr">
        <is>
          <t>0.0</t>
        </is>
      </c>
      <c r="BM2965" t="inlineStr">
        <is>
          <t>9600.0</t>
        </is>
      </c>
      <c r="BN2965"/>
      <c r="BO2965" s="4"/>
      <c r="BP2965">
        <v>166246</v>
      </c>
      <c r="BQ2965"/>
      <c r="BR2965"/>
      <c r="BS2965"/>
      <c r="BT2965"/>
      <c r="BU2965"/>
      <c r="BV2965">
        <v>2738090</v>
      </c>
      <c r="BW2965" t="inlineStr">
        <is>
          <t>Inquire for Hiring Needs : Quotation Sent 50%</t>
        </is>
      </c>
      <c r="BX2965"/>
      <c r="BY2965"/>
      <c r="BZ2965" s="4"/>
      <c r="CA2965"/>
      <c r="CB2965"/>
      <c r="CC2965" s="4"/>
      <c r="CD2965" t="inlineStr">
        <is>
          <t>20</t>
        </is>
      </c>
      <c r="CE2965" t="inlineStr">
        <is>
          <t>0</t>
        </is>
      </c>
      <c r="CF2965" t="inlineStr">
        <is>
          <t>Q2-W01</t>
        </is>
      </c>
      <c r="CG2965"/>
      <c r="CH2965"/>
      <c r="CI2965"/>
      <c r="CJ2965" t="inlineStr">
        <is>
          <t>No Paid</t>
        </is>
      </c>
      <c r="CK2965" t="inlineStr">
        <is>
          <t>Eligible</t>
        </is>
      </c>
      <c r="CL2965"/>
      <c r="CM2965"/>
    </row>
    <row r="2966" ht="25.5" customHeight="1">
      <c r="A2966" t="inlineStr">
        <is>
          <t>200614</t>
        </is>
      </c>
      <c r="B2966" s="2"/>
      <c r="C2966"/>
      <c r="D2966" s="3">
        <v>46121.64766203704</v>
      </c>
      <c r="E2966" t="inlineStr">
        <is>
          <t>Q2-W01</t>
        </is>
      </c>
      <c r="F2966" t="inlineStr">
        <is>
          <t>Angel  Low</t>
        </is>
      </c>
      <c r="G2966" t="inlineStr">
        <is>
          <t>Customer</t>
        </is>
      </c>
      <c r="H2966" s="2" t="str">
        <f>=HYPERLINK("https://upbox.ajobthing.my/customer/200614", "https://upbox.ajobthing.my/customer/200614")</f>
        <v>https://upbox.ajobthing.my/customer/200614</v>
      </c>
      <c r="I2966" t="inlineStr">
        <is>
          <t>Asia Fibre Solutions Sdn. Bhd.</t>
        </is>
      </c>
      <c r="J2966" t="inlineStr">
        <is>
          <t>Whale</t>
        </is>
      </c>
      <c r="K2966" t="inlineStr">
        <is>
          <t>Angel Low</t>
        </is>
      </c>
      <c r="L2966" s="4"/>
      <c r="M2966" s="4">
        <v>46121.64834490741</v>
      </c>
      <c r="N2966"/>
      <c r="O2966">
        <v>5508</v>
      </c>
      <c r="P2966" s="4"/>
      <c r="Q2966" s="4">
        <v>46126.592673611114</v>
      </c>
      <c r="R2966"/>
      <c r="S2966">
        <v>0</v>
      </c>
      <c r="T2966" s="4">
        <v>46122.73462962963</v>
      </c>
      <c r="U2966" s="4"/>
      <c r="V2966"/>
      <c r="W2966">
        <v>3672</v>
      </c>
      <c r="X2966"/>
      <c r="Y2966" t="inlineStr">
        <is>
          <t>Pending Appointment</t>
        </is>
      </c>
      <c r="Z2966"/>
      <c r="AA2966">
        <v>1</v>
      </c>
      <c r="AB2966" t="inlineStr">
        <is>
          <t>No Appointment Made</t>
        </is>
      </c>
      <c r="AC2966"/>
      <c r="AD2966" t="inlineStr">
        <is>
          <t xml:space="preserve">1 telesales </t>
        </is>
      </c>
      <c r="AE2966"/>
      <c r="AF2966"/>
      <c r="AG2966" s="4"/>
      <c r="AH2966" s="4"/>
      <c r="AI2966"/>
      <c r="AJ2966"/>
      <c r="AK2966"/>
      <c r="AL2966"/>
      <c r="AM2966"/>
      <c r="AN2966"/>
      <c r="AO2966"/>
      <c r="AP2966"/>
      <c r="AQ2966"/>
      <c r="AR2966"/>
      <c r="AS2966" t="inlineStr">
        <is>
          <t>- Headcount: 1
- Hiring Job Details: 1 telesales
- Number of outlets: Not available
- Have recruiter team: Not available
- Number of recruiter in company: Not available
- Have ATS system: Not available
- Have career website: Not available
- Current hiring budget: Not available
- Whole year budget: Not available
- Whole year number of vacancies: Not available
- Hiring frequency: Not available
- External job portal: Not available
- Hiring Urgency: Not available</t>
        </is>
      </c>
      <c r="AT2966">
        <v>60</v>
      </c>
      <c r="AU2966" t="inlineStr">
        <is>
          <t>0.60</t>
        </is>
      </c>
      <c r="AV2966" t="inlineStr">
        <is>
          <t>5</t>
        </is>
      </c>
      <c r="AW2966" t="inlineStr">
        <is>
          <t>0</t>
        </is>
      </c>
      <c r="AX2966" t="inlineStr">
        <is>
          <t>Not Qualified</t>
        </is>
      </c>
      <c r="AY2966" s="4"/>
      <c r="AZ2966"/>
      <c r="BA2966"/>
      <c r="BB2966"/>
      <c r="BC2966" t="inlineStr">
        <is>
          <t>assist free internship post</t>
        </is>
      </c>
      <c r="BD2966" s="4">
        <v>46129.73842592593</v>
      </c>
      <c r="BE2966" t="inlineStr">
        <is>
          <t>paid</t>
        </is>
      </c>
      <c r="BF2966" t="inlineStr">
        <is>
          <t>Q2-W02</t>
        </is>
      </c>
      <c r="BG2966" t="inlineStr">
        <is>
          <t>Reschedule</t>
        </is>
      </c>
      <c r="BH2966" t="inlineStr">
        <is>
          <t>Fauziah Maharan</t>
        </is>
      </c>
      <c r="BI2966" t="inlineStr">
        <is>
          <t>Telecommunication</t>
        </is>
      </c>
      <c r="BJ2966" s="4">
        <v>46144.75361111111</v>
      </c>
      <c r="BK2966" s="4">
        <v>46045.614537037036</v>
      </c>
      <c r="BL2966" t="inlineStr">
        <is>
          <t>3672.0</t>
        </is>
      </c>
      <c r="BM2966" t="inlineStr">
        <is>
          <t>3300.0</t>
        </is>
      </c>
      <c r="BN2966" t="inlineStr">
        <is>
          <t>Send Chat to Applicant</t>
        </is>
      </c>
      <c r="BO2966" s="4">
        <v>46142.39368055556</v>
      </c>
      <c r="BP2966">
        <v>166244</v>
      </c>
      <c r="BQ2966">
        <v>122255</v>
      </c>
      <c r="BR2966" t="inlineStr">
        <is>
          <t>Proforma</t>
        </is>
      </c>
      <c r="BS2966" t="inlineStr">
        <is>
          <t>Free Part-Time Job</t>
        </is>
      </c>
      <c r="BT2966">
        <v>92926</v>
      </c>
      <c r="BU2966"/>
      <c r="BV2966">
        <v>2713764</v>
      </c>
      <c r="BW2966" t="inlineStr">
        <is>
          <t>Service / Technical : Help To Post Job</t>
        </is>
      </c>
      <c r="BX2966">
        <v>6</v>
      </c>
      <c r="BY2966">
        <v>5</v>
      </c>
      <c r="BZ2966" s="4">
        <v>46126.655277777776</v>
      </c>
      <c r="CA2966">
        <v>73</v>
      </c>
      <c r="CB2966">
        <v>72</v>
      </c>
      <c r="CC2966" s="4">
        <v>46129.48548611111</v>
      </c>
      <c r="CD2966" t="inlineStr">
        <is>
          <t>5</t>
        </is>
      </c>
      <c r="CE2966" t="inlineStr">
        <is>
          <t>0</t>
        </is>
      </c>
      <c r="CF2966" t="inlineStr">
        <is>
          <t>Q2-W01</t>
        </is>
      </c>
      <c r="CG2966" t="inlineStr">
        <is>
          <t>Q2-W02</t>
        </is>
      </c>
      <c r="CH2966" t="inlineStr">
        <is>
          <t>Q2-W02</t>
        </is>
      </c>
      <c r="CI2966"/>
      <c r="CJ2966" t="inlineStr">
        <is>
          <t>Paid</t>
        </is>
      </c>
      <c r="CK2966" t="inlineStr">
        <is>
          <t>Eligible</t>
        </is>
      </c>
      <c r="CL2966"/>
      <c r="CM2966"/>
    </row>
    <row r="2967" ht="25.5" customHeight="1">
      <c r="A2967" t="inlineStr">
        <is>
          <t>189363</t>
        </is>
      </c>
      <c r="B2967" s="2"/>
      <c r="C2967"/>
      <c r="D2967" s="3">
        <v>46121.665185185186</v>
      </c>
      <c r="E2967" t="inlineStr">
        <is>
          <t>Q2-W01</t>
        </is>
      </c>
      <c r="F2967" t="inlineStr">
        <is>
          <t>Carmen</t>
        </is>
      </c>
      <c r="G2967" t="inlineStr">
        <is>
          <t>Customer</t>
        </is>
      </c>
      <c r="H2967" s="2" t="str">
        <f>=HYPERLINK("https://upbox.ajobthing.my/customer/189363", "https://upbox.ajobthing.my/customer/189363")</f>
        <v>https://upbox.ajobthing.my/customer/189363</v>
      </c>
      <c r="I2967" t="inlineStr">
        <is>
          <t>Timesfly International (Malaysia) Sdn. Bhd.</t>
        </is>
      </c>
      <c r="J2967" t="inlineStr">
        <is>
          <t>Whale</t>
        </is>
      </c>
      <c r="K2967" t="inlineStr">
        <is>
          <t>Carmen</t>
        </is>
      </c>
      <c r="L2967" s="4"/>
      <c r="M2967" s="4">
        <v>46112.74196759259</v>
      </c>
      <c r="N2967"/>
      <c r="O2967">
        <v>8208</v>
      </c>
      <c r="P2967" s="4"/>
      <c r="Q2967" s="4">
        <v>46122.59918981481</v>
      </c>
      <c r="R2967"/>
      <c r="S2967">
        <v>0</v>
      </c>
      <c r="T2967" s="4">
        <v>46121.75487268518</v>
      </c>
      <c r="U2967" s="4"/>
      <c r="V2967"/>
      <c r="W2967">
        <v>9936</v>
      </c>
      <c r="X2967"/>
      <c r="Y2967" t="inlineStr">
        <is>
          <t>Pending Appointment</t>
        </is>
      </c>
      <c r="Z2967" t="inlineStr">
        <is>
          <t>Continuous Hiring</t>
        </is>
      </c>
      <c r="AA2967">
        <v>10</v>
      </c>
      <c r="AB2967" t="inlineStr">
        <is>
          <t>No Appointment Made</t>
        </is>
      </c>
      <c r="AC2967"/>
      <c r="AD2967" t="inlineStr">
        <is>
          <t>10 positions</t>
        </is>
      </c>
      <c r="AE2967"/>
      <c r="AF2967">
        <v>10000</v>
      </c>
      <c r="AG2967" s="4"/>
      <c r="AH2967" s="4"/>
      <c r="AI2967"/>
      <c r="AJ2967"/>
      <c r="AK2967"/>
      <c r="AL2967"/>
      <c r="AM2967"/>
      <c r="AN2967"/>
      <c r="AO2967"/>
      <c r="AP2967"/>
      <c r="AQ2967"/>
      <c r="AR2967"/>
      <c r="AS2967" t="inlineStr">
        <is>
          <t>- Headcount: 10
- Hiring Job Details: 10 positions
- Hiring Urgency: Continuous Hiring
- Number of outlets: Not available
- Have recruiter team: Not available
- Number of recruiter in company: Not available
- Have ATS system: Not available
- Have career website: Not available
- Current hiring budget: RM10,000.00
- Whole year budget: Not available
- Whole year number of vacancies: Not available
- Hiring frequency: Not available
- External job portal: Not available</t>
        </is>
      </c>
      <c r="AT2967">
        <v>65</v>
      </c>
      <c r="AU2967" t="inlineStr">
        <is>
          <t>0.65</t>
        </is>
      </c>
      <c r="AV2967" t="inlineStr">
        <is>
          <t>20</t>
        </is>
      </c>
      <c r="AW2967" t="inlineStr">
        <is>
          <t>0</t>
        </is>
      </c>
      <c r="AX2967" t="inlineStr">
        <is>
          <t>Not Qualified</t>
        </is>
      </c>
      <c r="AY2967" s="4"/>
      <c r="AZ2967"/>
      <c r="BA2967"/>
      <c r="BB2967"/>
      <c r="BC2967" t="inlineStr">
        <is>
          <t>post job</t>
        </is>
      </c>
      <c r="BD2967" s="4">
        <v>46122.61671296296</v>
      </c>
      <c r="BE2967" t="inlineStr">
        <is>
          <t>paid</t>
        </is>
      </c>
      <c r="BF2967" t="inlineStr">
        <is>
          <t>Q2-W01</t>
        </is>
      </c>
      <c r="BG2967" t="inlineStr">
        <is>
          <t>Reschedule</t>
        </is>
      </c>
      <c r="BH2967" t="inlineStr">
        <is>
          <t>Reagen</t>
        </is>
      </c>
      <c r="BI2967" t="inlineStr">
        <is>
          <t>Construction / Building</t>
        </is>
      </c>
      <c r="BJ2967" s="4">
        <v>46144.75230324074</v>
      </c>
      <c r="BK2967" s="4">
        <v>45743.498391203706</v>
      </c>
      <c r="BL2967" t="inlineStr">
        <is>
          <t>9936.0</t>
        </is>
      </c>
      <c r="BM2967" t="inlineStr">
        <is>
          <t>4050.0</t>
        </is>
      </c>
      <c r="BN2967" t="inlineStr">
        <is>
          <t>View Company Page</t>
        </is>
      </c>
      <c r="BO2967" s="4">
        <v>46142.5919212963</v>
      </c>
      <c r="BP2967">
        <v>164592</v>
      </c>
      <c r="BQ2967">
        <v>121707</v>
      </c>
      <c r="BR2967" t="inlineStr">
        <is>
          <t>Proforma</t>
        </is>
      </c>
      <c r="BS2967" t="inlineStr">
        <is>
          <t>Free Part-Time Job</t>
        </is>
      </c>
      <c r="BT2967">
        <v>7601</v>
      </c>
      <c r="BU2967"/>
      <c r="BV2967">
        <v>2698263</v>
      </c>
      <c r="BW2967" t="inlineStr">
        <is>
          <t>Service / Technical : Help To Post Job</t>
        </is>
      </c>
      <c r="BX2967">
        <v>1200</v>
      </c>
      <c r="BY2967">
        <v>1168</v>
      </c>
      <c r="BZ2967" s="4">
        <v>46140.74946759259</v>
      </c>
      <c r="CA2967"/>
      <c r="CB2967"/>
      <c r="CC2967" s="4"/>
      <c r="CD2967" t="inlineStr">
        <is>
          <t>30</t>
        </is>
      </c>
      <c r="CE2967" t="inlineStr">
        <is>
          <t>0</t>
        </is>
      </c>
      <c r="CF2967" t="inlineStr">
        <is>
          <t>Q1-W13</t>
        </is>
      </c>
      <c r="CG2967" t="inlineStr">
        <is>
          <t>Q2-W02</t>
        </is>
      </c>
      <c r="CH2967" t="inlineStr">
        <is>
          <t>Q2-W01</t>
        </is>
      </c>
      <c r="CI2967"/>
      <c r="CJ2967" t="inlineStr">
        <is>
          <t>Paid</t>
        </is>
      </c>
      <c r="CK2967" t="inlineStr">
        <is>
          <t>Eligible</t>
        </is>
      </c>
      <c r="CL2967"/>
      <c r="CM2967"/>
    </row>
    <row r="2968" ht="25.5" customHeight="1">
      <c r="A2968" t="inlineStr">
        <is>
          <t>179614</t>
        </is>
      </c>
      <c r="B2968" s="2"/>
      <c r="C2968"/>
      <c r="D2968" s="3">
        <v>46121.68541666667</v>
      </c>
      <c r="E2968" t="inlineStr">
        <is>
          <t>Q2-W01</t>
        </is>
      </c>
      <c r="F2968" t="inlineStr">
        <is>
          <t>Ken Yi</t>
        </is>
      </c>
      <c r="G2968" t="inlineStr">
        <is>
          <t>Customer</t>
        </is>
      </c>
      <c r="H2968" s="2" t="str">
        <f>=HYPERLINK("https://upbox.ajobthing.my/customer/179614", "https://upbox.ajobthing.my/customer/179614")</f>
        <v>https://upbox.ajobthing.my/customer/179614</v>
      </c>
      <c r="I2968" t="inlineStr">
        <is>
          <t>Micro Technology Solution Sdn. Bhd.</t>
        </is>
      </c>
      <c r="J2968" t="inlineStr">
        <is>
          <t>Whale</t>
        </is>
      </c>
      <c r="K2968" t="inlineStr">
        <is>
          <t>Kenyi</t>
        </is>
      </c>
      <c r="L2968" s="4"/>
      <c r="M2968" s="4">
        <v>46121.68641203704</v>
      </c>
      <c r="N2968"/>
      <c r="O2968">
        <v>10800</v>
      </c>
      <c r="P2968" s="4"/>
      <c r="Q2968" s="4">
        <v>45946.4359837963</v>
      </c>
      <c r="R2968"/>
      <c r="S2968">
        <v>3888</v>
      </c>
      <c r="T2968" s="4">
        <v>45946.4359837963</v>
      </c>
      <c r="U2968" s="4"/>
      <c r="V2968"/>
      <c r="W2968">
        <v>3888</v>
      </c>
      <c r="X2968"/>
      <c r="Y2968" t="inlineStr">
        <is>
          <t>Pending Appointment</t>
        </is>
      </c>
      <c r="Z2968" t="inlineStr">
        <is>
          <t>Hiring Now</t>
        </is>
      </c>
      <c r="AA2968">
        <v>10</v>
      </c>
      <c r="AB2968" t="inlineStr">
        <is>
          <t>No Appointment Made</t>
        </is>
      </c>
      <c r="AC2968"/>
      <c r="AD2968" t="inlineStr">
        <is>
          <t>Information Technology 10</t>
        </is>
      </c>
      <c r="AE2968"/>
      <c r="AF2968">
        <v>0</v>
      </c>
      <c r="AG2968" s="4"/>
      <c r="AH2968" s="4"/>
      <c r="AI2968">
        <v>0</v>
      </c>
      <c r="AJ2968">
        <v>1</v>
      </c>
      <c r="AK2968" t="inlineStr">
        <is>
          <t>Yes, I have</t>
        </is>
      </c>
      <c r="AL2968">
        <v>1</v>
      </c>
      <c r="AM2968" t="inlineStr">
        <is>
          <t>No, I don't need at all</t>
        </is>
      </c>
      <c r="AN2968"/>
      <c r="AO2968" t="inlineStr">
        <is>
          <t>No, I don't need at all</t>
        </is>
      </c>
      <c r="AP2968" t="inlineStr">
        <is>
          <t>Every month (100%)</t>
        </is>
      </c>
      <c r="AQ2968">
        <v>10</v>
      </c>
      <c r="AR2968" t="inlineStr">
        <is>
          <t>Jobstreet</t>
        </is>
      </c>
      <c r="AS2968" t="inlineStr">
        <is>
          <t>- Headcount: 10
- Hiring Job Details: Information Technology 10
- Hiring Urgency: Hiring Now
- Number of outlets: 1
- Have recruiter team: Yes
- Number of recruiter in company: 1
- Have ATS system: No, I don't need at all
- Have career website: No, I don't need at all
- Current hiring budget: RM0
- Whole year budget: RM0.00
- Whole year number of vacancies: 10
- Hiring frequency: Every month (100%)
- External job portal: Jobstreet</t>
        </is>
      </c>
      <c r="AT2968">
        <v>110</v>
      </c>
      <c r="AU2968" t="inlineStr">
        <is>
          <t>1.10</t>
        </is>
      </c>
      <c r="AV2968" t="inlineStr">
        <is>
          <t>20</t>
        </is>
      </c>
      <c r="AW2968" t="inlineStr">
        <is>
          <t>0</t>
        </is>
      </c>
      <c r="AX2968" t="inlineStr">
        <is>
          <t>Not Qualified</t>
        </is>
      </c>
      <c r="AY2968" s="4"/>
      <c r="AZ2968"/>
      <c r="BA2968"/>
      <c r="BB2968"/>
      <c r="BC2968" t="inlineStr">
        <is>
          <t>Client would like to check if the account is ready to post</t>
        </is>
      </c>
      <c r="BD2968" s="4">
        <v>46133.422685185185</v>
      </c>
      <c r="BE2968" t="inlineStr">
        <is>
          <t>paid</t>
        </is>
      </c>
      <c r="BF2968"/>
      <c r="BG2968" t="inlineStr">
        <is>
          <t>Reschedule</t>
        </is>
      </c>
      <c r="BH2968" t="inlineStr">
        <is>
          <t>Fauziah Maharan</t>
        </is>
      </c>
      <c r="BI2968" t="inlineStr">
        <is>
          <t>IT / Hardware</t>
        </is>
      </c>
      <c r="BJ2968" s="4">
        <v>46144.75178240741</v>
      </c>
      <c r="BK2968" s="4">
        <v>45462.99337962963</v>
      </c>
      <c r="BL2968" t="inlineStr">
        <is>
          <t>3888.0</t>
        </is>
      </c>
      <c r="BM2968" t="inlineStr">
        <is>
          <t>12000.0</t>
        </is>
      </c>
      <c r="BN2968" t="inlineStr">
        <is>
          <t>View Candidate Search Page</t>
        </is>
      </c>
      <c r="BO2968" s="4">
        <v>46133.44157407407</v>
      </c>
      <c r="BP2968">
        <v>166263</v>
      </c>
      <c r="BQ2968">
        <v>83330</v>
      </c>
      <c r="BR2968" t="inlineStr">
        <is>
          <t>Online</t>
        </is>
      </c>
      <c r="BS2968"/>
      <c r="BT2968">
        <v>83330</v>
      </c>
      <c r="BU2968"/>
      <c r="BV2968">
        <v>2717026</v>
      </c>
      <c r="BW2968" t="inlineStr">
        <is>
          <t>Service / Technical : Job Outcome Enquiry</t>
        </is>
      </c>
      <c r="BX2968">
        <v>6</v>
      </c>
      <c r="BY2968">
        <v>3</v>
      </c>
      <c r="BZ2968" s="4">
        <v>46031.578518518516</v>
      </c>
      <c r="CA2968">
        <v>60</v>
      </c>
      <c r="CB2968">
        <v>32</v>
      </c>
      <c r="CC2968" s="4">
        <v>46132.680763888886</v>
      </c>
      <c r="CD2968" t="inlineStr">
        <is>
          <t>30</t>
        </is>
      </c>
      <c r="CE2968" t="inlineStr">
        <is>
          <t>0</t>
        </is>
      </c>
      <c r="CF2968" t="inlineStr">
        <is>
          <t>Q2-W01</t>
        </is>
      </c>
      <c r="CG2968"/>
      <c r="CH2968"/>
      <c r="CI2968"/>
      <c r="CJ2968" t="inlineStr">
        <is>
          <t>Paid</t>
        </is>
      </c>
      <c r="CK2968" t="inlineStr">
        <is>
          <t>Eligible</t>
        </is>
      </c>
      <c r="CL2968"/>
      <c r="CM2968"/>
    </row>
    <row r="2969" ht="25.5" customHeight="1">
      <c r="A2969" t="inlineStr">
        <is>
          <t>36056</t>
        </is>
      </c>
      <c r="B2969" s="2"/>
      <c r="C2969"/>
      <c r="D2969" s="3">
        <v>46121.69804398148</v>
      </c>
      <c r="E2969" t="inlineStr">
        <is>
          <t>Q2-W01</t>
        </is>
      </c>
      <c r="F2969" t="inlineStr">
        <is>
          <t>Alan KY</t>
        </is>
      </c>
      <c r="G2969" t="inlineStr">
        <is>
          <t>Customer</t>
        </is>
      </c>
      <c r="H2969" s="2" t="str">
        <f>=HYPERLINK("https://upbox.ajobthing.my/customer/36056", "https://upbox.ajobthing.my/customer/36056")</f>
        <v>https://upbox.ajobthing.my/customer/36056</v>
      </c>
      <c r="I2969" t="inlineStr">
        <is>
          <t>TWY Search International (M) Sdn Bhd</t>
        </is>
      </c>
      <c r="J2969" t="inlineStr">
        <is>
          <t>Whale</t>
        </is>
      </c>
      <c r="K2969" t="inlineStr">
        <is>
          <t>Alan KY</t>
        </is>
      </c>
      <c r="L2969" s="4"/>
      <c r="M2969" s="4">
        <v>46121.69167824074</v>
      </c>
      <c r="N2969"/>
      <c r="O2969">
        <v>22248</v>
      </c>
      <c r="P2969" s="4"/>
      <c r="Q2969" s="4">
        <v>46128.423854166664</v>
      </c>
      <c r="R2969"/>
      <c r="S2969">
        <v>0</v>
      </c>
      <c r="T2969" s="4">
        <v>44761.66318287037</v>
      </c>
      <c r="U2969" s="4"/>
      <c r="V2969"/>
      <c r="W2969">
        <v>1590</v>
      </c>
      <c r="X2969"/>
      <c r="Y2969" t="inlineStr">
        <is>
          <t>Pending Appointment</t>
        </is>
      </c>
      <c r="Z2969" t="inlineStr">
        <is>
          <t>Continuous Hiring</t>
        </is>
      </c>
      <c r="AA2969">
        <v>0</v>
      </c>
      <c r="AB2969" t="inlineStr">
        <is>
          <t>No Appointment Made</t>
        </is>
      </c>
      <c r="AC2969"/>
      <c r="AD2969" t="inlineStr">
        <is>
          <t xml:space="preserve">recruitment agency, massive hiring. </t>
        </is>
      </c>
      <c r="AE2969"/>
      <c r="AF2969"/>
      <c r="AG2969" s="4"/>
      <c r="AH2969" s="4"/>
      <c r="AI2969"/>
      <c r="AJ2969"/>
      <c r="AK2969" t="inlineStr">
        <is>
          <t>No, I don't need at all</t>
        </is>
      </c>
      <c r="AL2969"/>
      <c r="AM2969" t="inlineStr">
        <is>
          <t>No, I don't need at all</t>
        </is>
      </c>
      <c r="AN2969"/>
      <c r="AO2969" t="inlineStr">
        <is>
          <t>No, I don't need at all</t>
        </is>
      </c>
      <c r="AP2969" t="inlineStr">
        <is>
          <t>Every month (100%)</t>
        </is>
      </c>
      <c r="AQ2969"/>
      <c r="AR2969" t="inlineStr">
        <is>
          <t>Jobstreet, Hiredly, Linkedin (Paid)</t>
        </is>
      </c>
      <c r="AS2969" t="inlineStr">
        <is>
          <t>- Headcount: 0
- Hiring Job Details: recruitment agency, massive hiring
- Hiring Urgency: Continuous Hiring
- Number of outlets: Not specified
- Have recruiter team: No, I don't need at all
- Number of recruiter in company: Not specified
- Have ATS system: No, I don't need at all
- Have career website: No, I don't need at all
- Current hiring budget: Not specified
- Whole year budget: Not specified
- Whole year number of vacancies: Not specified
- Hiring frequency: Every month (100%)
- External job portal: Jobstreet,Hiredly,Linkedin (Paid)</t>
        </is>
      </c>
      <c r="AT2969">
        <v>45</v>
      </c>
      <c r="AU2969" t="inlineStr">
        <is>
          <t>0.45</t>
        </is>
      </c>
      <c r="AV2969" t="inlineStr">
        <is>
          <t>5</t>
        </is>
      </c>
      <c r="AW2969" t="inlineStr">
        <is>
          <t>0</t>
        </is>
      </c>
      <c r="AX2969" t="inlineStr">
        <is>
          <t>Not Qualified</t>
        </is>
      </c>
      <c r="AY2969" s="4"/>
      <c r="AZ2969"/>
      <c r="BA2969"/>
      <c r="BB2969"/>
      <c r="BC2969" t="inlineStr">
        <is>
          <t>Have something in discussion, now not free</t>
        </is>
      </c>
      <c r="BD2969" s="4">
        <v>46134.74298611111</v>
      </c>
      <c r="BE2969" t="inlineStr">
        <is>
          <t>paid</t>
        </is>
      </c>
      <c r="BF2969"/>
      <c r="BG2969" t="inlineStr">
        <is>
          <t>Reschedule</t>
        </is>
      </c>
      <c r="BH2969" t="inlineStr">
        <is>
          <t>Reagen</t>
        </is>
      </c>
      <c r="BI2969" t="inlineStr">
        <is>
          <t>HR Mgmt / Consulting</t>
        </is>
      </c>
      <c r="BJ2969" s="4">
        <v>46144.75461805556</v>
      </c>
      <c r="BK2969" s="4">
        <v>42837.6490625</v>
      </c>
      <c r="BL2969" t="inlineStr">
        <is>
          <t>0.0</t>
        </is>
      </c>
      <c r="BM2969" t="inlineStr">
        <is>
          <t>70950.0</t>
        </is>
      </c>
      <c r="BN2969" t="inlineStr">
        <is>
          <t>View Company Page</t>
        </is>
      </c>
      <c r="BO2969" s="4">
        <v>46128.42407407407</v>
      </c>
      <c r="BP2969">
        <v>166267</v>
      </c>
      <c r="BQ2969">
        <v>122655</v>
      </c>
      <c r="BR2969" t="inlineStr">
        <is>
          <t>Proforma</t>
        </is>
      </c>
      <c r="BS2969" t="inlineStr">
        <is>
          <t>Free Freelance Job</t>
        </is>
      </c>
      <c r="BT2969">
        <v>48036</v>
      </c>
      <c r="BU2969"/>
      <c r="BV2969">
        <v>2721999</v>
      </c>
      <c r="BW2969" t="inlineStr">
        <is>
          <t>Follow Up : Decision Pending</t>
        </is>
      </c>
      <c r="BX2969"/>
      <c r="BY2969"/>
      <c r="BZ2969" s="4"/>
      <c r="CA2969"/>
      <c r="CB2969"/>
      <c r="CC2969" s="4"/>
      <c r="CD2969" t="inlineStr">
        <is>
          <t>5</t>
        </is>
      </c>
      <c r="CE2969" t="inlineStr">
        <is>
          <t>0</t>
        </is>
      </c>
      <c r="CF2969" t="inlineStr">
        <is>
          <t>Q2-W01</t>
        </is>
      </c>
      <c r="CG2969" t="inlineStr">
        <is>
          <t>Q2-W02</t>
        </is>
      </c>
      <c r="CH2969"/>
      <c r="CI2969"/>
      <c r="CJ2969" t="inlineStr">
        <is>
          <t>Paid</t>
        </is>
      </c>
      <c r="CK2969" t="inlineStr">
        <is>
          <t>Eligible</t>
        </is>
      </c>
      <c r="CL2969"/>
      <c r="CM2969"/>
    </row>
    <row r="2970" ht="25.5" customHeight="1">
      <c r="A2970" t="inlineStr">
        <is>
          <t>128398</t>
        </is>
      </c>
      <c r="B2970" s="2"/>
      <c r="C2970"/>
      <c r="D2970" s="3">
        <v>46121.709861111114</v>
      </c>
      <c r="E2970" t="inlineStr">
        <is>
          <t>Q2-W01</t>
        </is>
      </c>
      <c r="F2970" t="inlineStr">
        <is>
          <t>Yvonne Lee</t>
        </is>
      </c>
      <c r="G2970" t="inlineStr">
        <is>
          <t>Customer</t>
        </is>
      </c>
      <c r="H2970" s="2" t="str">
        <f>=HYPERLINK("https://upbox.ajobthing.my/customer/128398", "https://upbox.ajobthing.my/customer/128398")</f>
        <v>https://upbox.ajobthing.my/customer/128398</v>
      </c>
      <c r="I2970" t="inlineStr">
        <is>
          <t>AME Construction Sdn Bhd</t>
        </is>
      </c>
      <c r="J2970" t="inlineStr">
        <is>
          <t>Whale</t>
        </is>
      </c>
      <c r="K2970" t="inlineStr">
        <is>
          <t>Yvonne</t>
        </is>
      </c>
      <c r="L2970" s="4"/>
      <c r="M2970" s="4">
        <v>46121.71219907407</v>
      </c>
      <c r="N2970"/>
      <c r="O2970">
        <v>11448</v>
      </c>
      <c r="P2970" s="4"/>
      <c r="Q2970" s="4"/>
      <c r="R2970"/>
      <c r="S2970"/>
      <c r="T2970" s="4"/>
      <c r="U2970" s="4"/>
      <c r="V2970"/>
      <c r="W2970"/>
      <c r="X2970"/>
      <c r="Y2970" t="inlineStr">
        <is>
          <t>Pending Appointment</t>
        </is>
      </c>
      <c r="Z2970" t="inlineStr">
        <is>
          <t>Hiring Now</t>
        </is>
      </c>
      <c r="AA2970">
        <v>4</v>
      </c>
      <c r="AB2970" t="inlineStr">
        <is>
          <t>No Appointment Made</t>
        </is>
      </c>
      <c r="AC2970"/>
      <c r="AD2970" t="inlineStr">
        <is>
          <t>1) Junior Account Executive
2) Lifting Supervisor
3) Side Safety Supervisor 
4) Site Safety Supervisor</t>
        </is>
      </c>
      <c r="AE2970"/>
      <c r="AF2970">
        <v>10000</v>
      </c>
      <c r="AG2970" s="4"/>
      <c r="AH2970" s="4"/>
      <c r="AI2970">
        <v>10000</v>
      </c>
      <c r="AJ2970">
        <v>1</v>
      </c>
      <c r="AK2970" t="inlineStr">
        <is>
          <t>Yes, I have</t>
        </is>
      </c>
      <c r="AL2970">
        <v>2</v>
      </c>
      <c r="AM2970" t="inlineStr">
        <is>
          <t>No, but I want in future</t>
        </is>
      </c>
      <c r="AN2970"/>
      <c r="AO2970" t="inlineStr">
        <is>
          <t>Yes, I have</t>
        </is>
      </c>
      <c r="AP2970" t="inlineStr">
        <is>
          <t>Once per quarter (75%)</t>
        </is>
      </c>
      <c r="AQ2970">
        <v>30</v>
      </c>
      <c r="AR2970" t="inlineStr">
        <is>
          <t>Jobstreet</t>
        </is>
      </c>
      <c r="AS2970" t="inlineStr">
        <is>
          <t>- Headcount: 4
- Hiring Job Details: 1 Junior Account Executive, 1 Lifting Supervisor, 1 Side Safety Supervisor, 1 Site Safety Supervisor
- Hiring Urgency: Hiring Now
- Number of outlets: 1
- Have recruiter team: Yes
- Number of recruiter in company: 2
- Have ATS system: No, but want in future
- Have career website: Yes
- Current hiring budget: RM10,000
- Whole year budget: RM10,000.00
- Whole year number of vacancies: 30
- Hiring frequency: Once per quarter (75%)
- External job portal: Jobstreet</t>
        </is>
      </c>
      <c r="AT2970">
        <v>115</v>
      </c>
      <c r="AU2970" t="inlineStr">
        <is>
          <t>1.15</t>
        </is>
      </c>
      <c r="AV2970" t="inlineStr">
        <is>
          <t>15</t>
        </is>
      </c>
      <c r="AW2970" t="inlineStr">
        <is>
          <t>0</t>
        </is>
      </c>
      <c r="AX2970" t="inlineStr">
        <is>
          <t>Not Qualified</t>
        </is>
      </c>
      <c r="AY2970" s="4"/>
      <c r="AZ2970"/>
      <c r="BA2970"/>
      <c r="BB2970"/>
      <c r="BC2970" t="inlineStr">
        <is>
          <t>Quotation shared.</t>
        </is>
      </c>
      <c r="BD2970" s="4">
        <v>46142.66483796296</v>
      </c>
      <c r="BE2970"/>
      <c r="BF2970"/>
      <c r="BG2970" t="inlineStr">
        <is>
          <t>Reschedule</t>
        </is>
      </c>
      <c r="BH2970" t="inlineStr">
        <is>
          <t>andy@ajobthing.com</t>
        </is>
      </c>
      <c r="BI2970"/>
      <c r="BJ2970" s="4">
        <v>46144.75042824074</v>
      </c>
      <c r="BK2970" s="4">
        <v>44056.62092592593</v>
      </c>
      <c r="BL2970" t="inlineStr">
        <is>
          <t>0.0</t>
        </is>
      </c>
      <c r="BM2970" t="inlineStr">
        <is>
          <t>16200.0</t>
        </is>
      </c>
      <c r="BN2970" t="inlineStr">
        <is>
          <t>User Login</t>
        </is>
      </c>
      <c r="BO2970" s="4">
        <v>44077.48136574074</v>
      </c>
      <c r="BP2970">
        <v>166276</v>
      </c>
      <c r="BQ2970"/>
      <c r="BR2970"/>
      <c r="BS2970"/>
      <c r="BT2970"/>
      <c r="BU2970"/>
      <c r="BV2970">
        <v>2738067</v>
      </c>
      <c r="BW2970" t="inlineStr">
        <is>
          <t>Inquire for Hiring Needs : Quotation Sent 50%</t>
        </is>
      </c>
      <c r="BX2970"/>
      <c r="BY2970"/>
      <c r="BZ2970" s="4"/>
      <c r="CA2970"/>
      <c r="CB2970"/>
      <c r="CC2970" s="4"/>
      <c r="CD2970" t="inlineStr">
        <is>
          <t>20</t>
        </is>
      </c>
      <c r="CE2970" t="inlineStr">
        <is>
          <t>0</t>
        </is>
      </c>
      <c r="CF2970" t="inlineStr">
        <is>
          <t>Q2-W01</t>
        </is>
      </c>
      <c r="CG2970"/>
      <c r="CH2970"/>
      <c r="CI2970"/>
      <c r="CJ2970" t="inlineStr">
        <is>
          <t>No Paid</t>
        </is>
      </c>
      <c r="CK2970" t="inlineStr">
        <is>
          <t>Eligible</t>
        </is>
      </c>
      <c r="CL2970"/>
      <c r="CM2970"/>
    </row>
    <row r="2971" ht="25.5" customHeight="1">
      <c r="A2971" t="inlineStr">
        <is>
          <t>35166</t>
        </is>
      </c>
      <c r="B2971" s="2"/>
      <c r="C2971"/>
      <c r="D2971" s="3">
        <v>46121.722962962966</v>
      </c>
      <c r="E2971" t="inlineStr">
        <is>
          <t>Q2-W01</t>
        </is>
      </c>
      <c r="F2971" t="inlineStr">
        <is>
          <t>Yvonne Lee</t>
        </is>
      </c>
      <c r="G2971" t="inlineStr">
        <is>
          <t>Customer</t>
        </is>
      </c>
      <c r="H2971" s="2" t="str">
        <f>=HYPERLINK("https://upbox.ajobthing.my/customer/35166", "https://upbox.ajobthing.my/customer/35166")</f>
        <v>https://upbox.ajobthing.my/customer/35166</v>
      </c>
      <c r="I2971" t="inlineStr">
        <is>
          <t>AMD Solutions Sdn Bhd</t>
        </is>
      </c>
      <c r="J2971" t="inlineStr">
        <is>
          <t>Whale</t>
        </is>
      </c>
      <c r="K2971" t="inlineStr">
        <is>
          <t>Yvonne</t>
        </is>
      </c>
      <c r="L2971" s="4"/>
      <c r="M2971" s="4">
        <v>46121.724594907406</v>
      </c>
      <c r="N2971"/>
      <c r="O2971">
        <v>11448</v>
      </c>
      <c r="P2971" s="4"/>
      <c r="Q2971" s="4"/>
      <c r="R2971"/>
      <c r="S2971"/>
      <c r="T2971" s="4"/>
      <c r="U2971" s="4"/>
      <c r="V2971"/>
      <c r="W2971"/>
      <c r="X2971"/>
      <c r="Y2971" t="inlineStr">
        <is>
          <t>Pending Appointment</t>
        </is>
      </c>
      <c r="Z2971" t="inlineStr">
        <is>
          <t>Hiring Later</t>
        </is>
      </c>
      <c r="AA2971">
        <v>3</v>
      </c>
      <c r="AB2971" t="inlineStr">
        <is>
          <t>No Appointment Made</t>
        </is>
      </c>
      <c r="AC2971"/>
      <c r="AD2971" t="inlineStr">
        <is>
          <t>1) Sales Representative Medical
2) Warehouse Assistant
3) IT specialist</t>
        </is>
      </c>
      <c r="AE2971"/>
      <c r="AF2971">
        <v>10000</v>
      </c>
      <c r="AG2971" s="4"/>
      <c r="AH2971" s="4"/>
      <c r="AI2971">
        <v>10000</v>
      </c>
      <c r="AJ2971">
        <v>1</v>
      </c>
      <c r="AK2971" t="inlineStr">
        <is>
          <t>Yes, I have</t>
        </is>
      </c>
      <c r="AL2971">
        <v>5</v>
      </c>
      <c r="AM2971" t="inlineStr">
        <is>
          <t>No, I don't need at all</t>
        </is>
      </c>
      <c r="AN2971"/>
      <c r="AO2971" t="inlineStr">
        <is>
          <t>Yes, I have</t>
        </is>
      </c>
      <c r="AP2971" t="inlineStr">
        <is>
          <t>Once per quarter (75%)</t>
        </is>
      </c>
      <c r="AQ2971">
        <v>30</v>
      </c>
      <c r="AR2971" t="inlineStr">
        <is>
          <t>Jobstreet</t>
        </is>
      </c>
      <c r="AS2971" t="inlineStr">
        <is>
          <t>- Headcount: 3
- Hiring Job Details: 1) Sales Representative Medical, 2) Warehouse Assistant, 3) IT specialist
- Hiring Urgency: Hiring Later
- Number of outlets: 1
- Have recruiter team: Yes
- Number of recruiter in company: 5
- Have ATS system: No, I don't need at all
- Have career website: Yes
- Current hiring budget: RM10,000
- Whole year budget: RM10,000.00
- Whole year number of vacancies: 30
- Hiring frequency: Once per quarter (75%)
- External job portal: Jobstreet</t>
        </is>
      </c>
      <c r="AT2971">
        <v>95</v>
      </c>
      <c r="AU2971" t="inlineStr">
        <is>
          <t>0.95</t>
        </is>
      </c>
      <c r="AV2971" t="inlineStr">
        <is>
          <t>15</t>
        </is>
      </c>
      <c r="AW2971" t="inlineStr">
        <is>
          <t>0</t>
        </is>
      </c>
      <c r="AX2971" t="inlineStr">
        <is>
          <t>Not Qualified</t>
        </is>
      </c>
      <c r="AY2971" s="4"/>
      <c r="AZ2971"/>
      <c r="BA2971"/>
      <c r="BB2971"/>
      <c r="BC2971" t="inlineStr">
        <is>
          <t>Quotation shared.</t>
        </is>
      </c>
      <c r="BD2971" s="4">
        <v>46142.65640046296</v>
      </c>
      <c r="BE2971"/>
      <c r="BF2971"/>
      <c r="BG2971" t="inlineStr">
        <is>
          <t>Reschedule</t>
        </is>
      </c>
      <c r="BH2971" t="inlineStr">
        <is>
          <t>andy@ajobthing.com</t>
        </is>
      </c>
      <c r="BI2971" t="inlineStr">
        <is>
          <t>Healthcare / Medical</t>
        </is>
      </c>
      <c r="BJ2971" s="4">
        <v>46144.754594907405</v>
      </c>
      <c r="BK2971" s="4">
        <v>42816.9584375</v>
      </c>
      <c r="BL2971" t="inlineStr">
        <is>
          <t>0.0</t>
        </is>
      </c>
      <c r="BM2971" t="inlineStr">
        <is>
          <t>10200.0</t>
        </is>
      </c>
      <c r="BN2971"/>
      <c r="BO2971" s="4"/>
      <c r="BP2971">
        <v>166288</v>
      </c>
      <c r="BQ2971"/>
      <c r="BR2971"/>
      <c r="BS2971"/>
      <c r="BT2971"/>
      <c r="BU2971"/>
      <c r="BV2971">
        <v>2738016</v>
      </c>
      <c r="BW2971" t="inlineStr">
        <is>
          <t>Inquire for Hiring Needs : Quotation Sent 50%</t>
        </is>
      </c>
      <c r="BX2971"/>
      <c r="BY2971"/>
      <c r="BZ2971" s="4"/>
      <c r="CA2971"/>
      <c r="CB2971"/>
      <c r="CC2971" s="4"/>
      <c r="CD2971" t="inlineStr">
        <is>
          <t>20</t>
        </is>
      </c>
      <c r="CE2971" t="inlineStr">
        <is>
          <t>0</t>
        </is>
      </c>
      <c r="CF2971" t="inlineStr">
        <is>
          <t>Q2-W01</t>
        </is>
      </c>
      <c r="CG2971"/>
      <c r="CH2971"/>
      <c r="CI2971"/>
      <c r="CJ2971" t="inlineStr">
        <is>
          <t>No Paid</t>
        </is>
      </c>
      <c r="CK2971" t="inlineStr">
        <is>
          <t>Eligible</t>
        </is>
      </c>
      <c r="CL2971"/>
      <c r="CM2971"/>
    </row>
    <row r="2972" ht="25.5" customHeight="1">
      <c r="A2972" t="inlineStr">
        <is>
          <t>4265561</t>
        </is>
      </c>
      <c r="B2972" s="2"/>
      <c r="C2972"/>
      <c r="D2972" s="3">
        <v>46121.727997685186</v>
      </c>
      <c r="E2972" t="inlineStr">
        <is>
          <t>Q2-W01</t>
        </is>
      </c>
      <c r="F2972" t="inlineStr">
        <is>
          <t>Ratha</t>
        </is>
      </c>
      <c r="G2972" t="inlineStr">
        <is>
          <t>Lead</t>
        </is>
      </c>
      <c r="H2972" s="2" t="str">
        <f>=HYPERLINK("https://upbox.ajobthing.my/leads/4265561", "https://upbox.ajobthing.my/leads/4265561")</f>
        <v>https://upbox.ajobthing.my/leads/4265561</v>
      </c>
      <c r="I2972" t="inlineStr">
        <is>
          <t>SK JEWELLERY SDN BHD</t>
        </is>
      </c>
      <c r="J2972" t="inlineStr">
        <is>
          <t>Whale</t>
        </is>
      </c>
      <c r="K2972" t="inlineStr">
        <is>
          <t>Ratha</t>
        </is>
      </c>
      <c r="L2972" s="4"/>
      <c r="M2972" s="4">
        <v>46121.76400462963</v>
      </c>
      <c r="N2972"/>
      <c r="O2972">
        <v>10800</v>
      </c>
      <c r="P2972" s="4"/>
      <c r="Q2972" s="4"/>
      <c r="R2972"/>
      <c r="S2972"/>
      <c r="T2972" s="4"/>
      <c r="U2972" s="4"/>
      <c r="V2972"/>
      <c r="W2972"/>
      <c r="X2972"/>
      <c r="Y2972" t="inlineStr">
        <is>
          <t>Pending Appointment</t>
        </is>
      </c>
      <c r="Z2972" t="inlineStr">
        <is>
          <t>Continuous Hiring</t>
        </is>
      </c>
      <c r="AA2972">
        <v>1</v>
      </c>
      <c r="AB2972" t="inlineStr">
        <is>
          <t>No Appointment Made</t>
        </is>
      </c>
      <c r="AC2972"/>
      <c r="AD2972" t="inlineStr">
        <is>
          <t>Retails
HQ : finance, HR, marketing, IT</t>
        </is>
      </c>
      <c r="AE2972"/>
      <c r="AF2972"/>
      <c r="AG2972" s="4"/>
      <c r="AH2972" s="4"/>
      <c r="AI2972"/>
      <c r="AJ2972">
        <v>29</v>
      </c>
      <c r="AK2972" t="inlineStr">
        <is>
          <t>Yes, I have</t>
        </is>
      </c>
      <c r="AL2972">
        <v>3</v>
      </c>
      <c r="AM2972" t="inlineStr">
        <is>
          <t>No, I don't need at all</t>
        </is>
      </c>
      <c r="AN2972"/>
      <c r="AO2972" t="inlineStr">
        <is>
          <t>Yes, I have</t>
        </is>
      </c>
      <c r="AP2972" t="inlineStr">
        <is>
          <t>Every month (100%)</t>
        </is>
      </c>
      <c r="AQ2972"/>
      <c r="AR2972" t="inlineStr">
        <is>
          <t>Jobstreet, Free Job Portal</t>
        </is>
      </c>
      <c r="AS2972" t="inlineStr">
        <is>
          <t>- Headcount: 1
- Hiring Job Details: Retails; HQ: finance, HR, marketing, IT
- Hiring Urgency: Continuous Hiring
- Number of outlets: 29
- Have recruiter team: Yes
- Number of recruiter in company: 3
- Have ATS system: No, I don't need at all
- Have career website: Yes
- Current hiring budget: Not provided
- Whole year budget: Not provided
- Whole year number of vacancies: Not provided
- Hiring frequency: Every month (100%)
- External job portal: Jobstreet, Free Job Portal</t>
        </is>
      </c>
      <c r="AT2972">
        <v>65</v>
      </c>
      <c r="AU2972" t="inlineStr">
        <is>
          <t>0.65</t>
        </is>
      </c>
      <c r="AV2972" t="inlineStr">
        <is>
          <t>5</t>
        </is>
      </c>
      <c r="AW2972" t="inlineStr">
        <is>
          <t>0</t>
        </is>
      </c>
      <c r="AX2972" t="inlineStr">
        <is>
          <t>Not Qualified</t>
        </is>
      </c>
      <c r="AY2972" s="4"/>
      <c r="AZ2972"/>
      <c r="BA2972"/>
      <c r="BB2972"/>
      <c r="BC2972"/>
      <c r="BD2972" s="4"/>
      <c r="BE2972"/>
      <c r="BF2972"/>
      <c r="BG2972" t="inlineStr">
        <is>
          <t>Reschedule</t>
        </is>
      </c>
      <c r="BH2972" t="inlineStr">
        <is>
          <t>Fauziah Maharan</t>
        </is>
      </c>
      <c r="BI2972"/>
      <c r="BJ2972" s="4">
        <v>46144.75578703704</v>
      </c>
      <c r="BK2972" s="4">
        <v>46121.70756944444</v>
      </c>
      <c r="BL2972" t="inlineStr">
        <is>
          <t>0.0</t>
        </is>
      </c>
      <c r="BM2972" t="inlineStr">
        <is>
          <t>7800.0</t>
        </is>
      </c>
      <c r="BN2972"/>
      <c r="BO2972" s="4"/>
      <c r="BP2972">
        <v>166316</v>
      </c>
      <c r="BQ2972"/>
      <c r="BR2972"/>
      <c r="BS2972"/>
      <c r="BT2972"/>
      <c r="BU2972"/>
      <c r="BV2972"/>
      <c r="BW2972"/>
      <c r="BX2972"/>
      <c r="BY2972"/>
      <c r="BZ2972" s="4"/>
      <c r="CA2972"/>
      <c r="CB2972"/>
      <c r="CC2972" s="4"/>
      <c r="CD2972" t="inlineStr">
        <is>
          <t>5</t>
        </is>
      </c>
      <c r="CE2972" t="inlineStr">
        <is>
          <t>0</t>
        </is>
      </c>
      <c r="CF2972" t="inlineStr">
        <is>
          <t>Q2-W01</t>
        </is>
      </c>
      <c r="CG2972"/>
      <c r="CH2972"/>
      <c r="CI2972"/>
      <c r="CJ2972" t="inlineStr">
        <is>
          <t>No Paid</t>
        </is>
      </c>
      <c r="CK2972" t="inlineStr">
        <is>
          <t>Eligible</t>
        </is>
      </c>
      <c r="CL2972"/>
      <c r="CM2972"/>
    </row>
    <row r="2973" ht="25.5" customHeight="1">
      <c r="A2973" t="inlineStr">
        <is>
          <t>21691</t>
        </is>
      </c>
      <c r="B2973" s="2"/>
      <c r="C2973"/>
      <c r="D2973" s="3">
        <v>46121.72929398148</v>
      </c>
      <c r="E2973" t="inlineStr">
        <is>
          <t>Q2-W01</t>
        </is>
      </c>
      <c r="F2973" t="inlineStr">
        <is>
          <t>Alex Chan</t>
        </is>
      </c>
      <c r="G2973" t="inlineStr">
        <is>
          <t>Customer</t>
        </is>
      </c>
      <c r="H2973" s="2" t="str">
        <f>=HYPERLINK("https://upbox.ajobthing.my/customer/21691", "https://upbox.ajobthing.my/customer/21691")</f>
        <v>https://upbox.ajobthing.my/customer/21691</v>
      </c>
      <c r="I2973" t="inlineStr">
        <is>
          <t>Len Woh Sdn Bhd</t>
        </is>
      </c>
      <c r="J2973" t="inlineStr">
        <is>
          <t>Whale</t>
        </is>
      </c>
      <c r="K2973" t="inlineStr">
        <is>
          <t>Alex Chan</t>
        </is>
      </c>
      <c r="L2973" s="4"/>
      <c r="M2973" s="4">
        <v>46100.64561342593</v>
      </c>
      <c r="N2973"/>
      <c r="O2973">
        <v>5508</v>
      </c>
      <c r="P2973" s="4"/>
      <c r="Q2973" s="4">
        <v>46132.441087962965</v>
      </c>
      <c r="R2973"/>
      <c r="S2973">
        <v>5508</v>
      </c>
      <c r="T2973" s="4">
        <v>46132.441087962965</v>
      </c>
      <c r="U2973" s="4"/>
      <c r="V2973"/>
      <c r="W2973">
        <v>5508</v>
      </c>
      <c r="X2973"/>
      <c r="Y2973" t="inlineStr">
        <is>
          <t>Pending Appointment</t>
        </is>
      </c>
      <c r="Z2973" t="inlineStr">
        <is>
          <t>Hiring Now</t>
        </is>
      </c>
      <c r="AA2973">
        <v>1</v>
      </c>
      <c r="AB2973" t="inlineStr">
        <is>
          <t>No Appointment Made</t>
        </is>
      </c>
      <c r="AC2973"/>
      <c r="AD2973" t="inlineStr">
        <is>
          <t xml:space="preserve"> 1x Admin</t>
        </is>
      </c>
      <c r="AE2973"/>
      <c r="AF2973">
        <v>5500</v>
      </c>
      <c r="AG2973" s="4"/>
      <c r="AH2973" s="4"/>
      <c r="AI2973">
        <v>5500</v>
      </c>
      <c r="AJ2973">
        <v>1</v>
      </c>
      <c r="AK2973" t="inlineStr">
        <is>
          <t>No, I don't need at all</t>
        </is>
      </c>
      <c r="AL2973">
        <v>1</v>
      </c>
      <c r="AM2973" t="inlineStr">
        <is>
          <t>No, I don't need at all</t>
        </is>
      </c>
      <c r="AN2973"/>
      <c r="AO2973" t="inlineStr">
        <is>
          <t>No, I don't need at all</t>
        </is>
      </c>
      <c r="AP2973" t="inlineStr">
        <is>
          <t>Every month (100%)</t>
        </is>
      </c>
      <c r="AQ2973">
        <v>1</v>
      </c>
      <c r="AR2973" t="inlineStr">
        <is>
          <t>Did not use any job portal, Free Job Portal</t>
        </is>
      </c>
      <c r="AS2973" t="inlineStr">
        <is>
          <t>- Headcount: 1
- Hiring Job Details: 1x Admin
- Hiring Urgency: Hiring Now
- Number of outlets: 1
- Have recruiter team: No, I don't need at all
- Number of recruiter in company: 1
- Have ATS system: No, I don't need at all
- Have career website: No, I don't need at all
- Current hiring budget: RM5,500
- Whole year budget: RM5,500.00
- Whole year number of vacancies: 1
- Hiring frequency: Every month (100%)
- External job portal: Did not use any job portal,Free Job Portal</t>
        </is>
      </c>
      <c r="AT2973">
        <v>115</v>
      </c>
      <c r="AU2973" t="inlineStr">
        <is>
          <t>1.15</t>
        </is>
      </c>
      <c r="AV2973" t="inlineStr">
        <is>
          <t>15</t>
        </is>
      </c>
      <c r="AW2973" t="inlineStr">
        <is>
          <t>0</t>
        </is>
      </c>
      <c r="AX2973" t="inlineStr">
        <is>
          <t>Not Qualified</t>
        </is>
      </c>
      <c r="AY2973" s="4"/>
      <c r="AZ2973"/>
      <c r="BA2973"/>
      <c r="BB2973"/>
      <c r="BC2973" t="inlineStr">
        <is>
          <t>PIC name : Queen 016-2076375. intro new am , create group</t>
        </is>
      </c>
      <c r="BD2973" s="4">
        <v>46139.51354166667</v>
      </c>
      <c r="BE2973" t="inlineStr">
        <is>
          <t>paid</t>
        </is>
      </c>
      <c r="BF2973" t="inlineStr">
        <is>
          <t>Q2-W03</t>
        </is>
      </c>
      <c r="BG2973" t="inlineStr">
        <is>
          <t>Reschedule</t>
        </is>
      </c>
      <c r="BH2973" t="inlineStr">
        <is>
          <t>Reagen</t>
        </is>
      </c>
      <c r="BI2973" t="inlineStr">
        <is>
          <t>Food / Beverage</t>
        </is>
      </c>
      <c r="BJ2973" s="4">
        <v>46144.7544212963</v>
      </c>
      <c r="BK2973" s="4">
        <v>42482.53978009259</v>
      </c>
      <c r="BL2973" t="inlineStr">
        <is>
          <t>10800.0</t>
        </is>
      </c>
      <c r="BM2973" t="inlineStr">
        <is>
          <t>600.0</t>
        </is>
      </c>
      <c r="BN2973" t="inlineStr">
        <is>
          <t>User Visit(Logged In)</t>
        </is>
      </c>
      <c r="BO2973" s="4">
        <v>46141.38701388889</v>
      </c>
      <c r="BP2973">
        <v>163234</v>
      </c>
      <c r="BQ2973">
        <v>94317</v>
      </c>
      <c r="BR2973" t="inlineStr">
        <is>
          <t>Online</t>
        </is>
      </c>
      <c r="BS2973"/>
      <c r="BT2973">
        <v>94317</v>
      </c>
      <c r="BU2973"/>
      <c r="BV2973">
        <v>2729060</v>
      </c>
      <c r="BW2973" t="inlineStr">
        <is>
          <t>Service / Technical : Job Outcome Enquiry</t>
        </is>
      </c>
      <c r="BX2973">
        <v>28</v>
      </c>
      <c r="BY2973">
        <v>15</v>
      </c>
      <c r="BZ2973" s="4">
        <v>46135.62170138889</v>
      </c>
      <c r="CA2973">
        <v>400</v>
      </c>
      <c r="CB2973">
        <v>370</v>
      </c>
      <c r="CC2973" s="4">
        <v>46121.493368055555</v>
      </c>
      <c r="CD2973" t="inlineStr">
        <is>
          <t>20</t>
        </is>
      </c>
      <c r="CE2973" t="inlineStr">
        <is>
          <t>0</t>
        </is>
      </c>
      <c r="CF2973" t="inlineStr">
        <is>
          <t>Q1-W11</t>
        </is>
      </c>
      <c r="CG2973" t="inlineStr">
        <is>
          <t>Q2-W03</t>
        </is>
      </c>
      <c r="CH2973" t="inlineStr">
        <is>
          <t>Q2-W03</t>
        </is>
      </c>
      <c r="CI2973"/>
      <c r="CJ2973" t="inlineStr">
        <is>
          <t>Paid</t>
        </is>
      </c>
      <c r="CK2973" t="inlineStr">
        <is>
          <t>Eligible</t>
        </is>
      </c>
      <c r="CL2973"/>
      <c r="CM2973"/>
    </row>
    <row r="2974" ht="25.5" customHeight="1">
      <c r="A2974" t="inlineStr">
        <is>
          <t>156904</t>
        </is>
      </c>
      <c r="B2974" s="2"/>
      <c r="C2974"/>
      <c r="D2974" s="3">
        <v>46121.76063657407</v>
      </c>
      <c r="E2974" t="inlineStr">
        <is>
          <t>Q2-W01</t>
        </is>
      </c>
      <c r="F2974" t="inlineStr">
        <is>
          <t>Yvonne Lee</t>
        </is>
      </c>
      <c r="G2974" t="inlineStr">
        <is>
          <t>Customer</t>
        </is>
      </c>
      <c r="H2974" s="2" t="str">
        <f>=HYPERLINK("https://upbox.ajobthing.my/customer/156904", "https://upbox.ajobthing.my/customer/156904")</f>
        <v>https://upbox.ajobthing.my/customer/156904</v>
      </c>
      <c r="I2974" t="inlineStr">
        <is>
          <t>ESW Engineering Sdn Bhd</t>
        </is>
      </c>
      <c r="J2974" t="inlineStr">
        <is>
          <t>Whale</t>
        </is>
      </c>
      <c r="K2974" t="inlineStr">
        <is>
          <t>Yvonne</t>
        </is>
      </c>
      <c r="L2974" s="4"/>
      <c r="M2974" s="4">
        <v>46121.76113425926</v>
      </c>
      <c r="N2974"/>
      <c r="O2974">
        <v>6048</v>
      </c>
      <c r="P2974" s="4"/>
      <c r="Q2974" s="4">
        <v>45793.60190972222</v>
      </c>
      <c r="R2974"/>
      <c r="S2974">
        <v>4968</v>
      </c>
      <c r="T2974" s="4">
        <v>45793.60190972222</v>
      </c>
      <c r="U2974" s="4"/>
      <c r="V2974"/>
      <c r="W2974">
        <v>4968</v>
      </c>
      <c r="X2974"/>
      <c r="Y2974" t="inlineStr">
        <is>
          <t>Pending Appointment</t>
        </is>
      </c>
      <c r="Z2974" t="inlineStr">
        <is>
          <t>Hiring Now</t>
        </is>
      </c>
      <c r="AA2974">
        <v>3</v>
      </c>
      <c r="AB2974" t="inlineStr">
        <is>
          <t>No Appointment Made</t>
        </is>
      </c>
      <c r="AC2974"/>
      <c r="AD2974" t="inlineStr">
        <is>
          <t>1) Supervisor
2) Sales
3) Supervisor</t>
        </is>
      </c>
      <c r="AE2974"/>
      <c r="AF2974">
        <v>10000</v>
      </c>
      <c r="AG2974" s="4"/>
      <c r="AH2974" s="4"/>
      <c r="AI2974">
        <v>10000</v>
      </c>
      <c r="AJ2974">
        <v>1</v>
      </c>
      <c r="AK2974" t="inlineStr">
        <is>
          <t>Yes, I have</t>
        </is>
      </c>
      <c r="AL2974">
        <v>2</v>
      </c>
      <c r="AM2974" t="inlineStr">
        <is>
          <t>No, but I want in future</t>
        </is>
      </c>
      <c r="AN2974"/>
      <c r="AO2974" t="inlineStr">
        <is>
          <t>Yes, I have</t>
        </is>
      </c>
      <c r="AP2974" t="inlineStr">
        <is>
          <t>Once per quarter (75%)</t>
        </is>
      </c>
      <c r="AQ2974">
        <v>10</v>
      </c>
      <c r="AR2974" t="inlineStr">
        <is>
          <t>Jobstreet</t>
        </is>
      </c>
      <c r="AS2974" t="inlineStr">
        <is>
          <t>- Headcount: 3
- Hiring Job Details: 1 Supervisor, 1 Sales, 1 Supervisor
- Hiring Urgency: Hiring Now
- Number of outlets: 1
- Have recruiter team: Yes
- Number of recruiter in company: 2
- Have ATS system: No, but want in future
- Have career website: Yes
- Current hiring budget: RM10,000
- Whole year budget: RM10,000.00
- Whole year number of vacancies: 10
- Hiring frequency: Once per quarter (75%)
- External job portal: Jobstreet</t>
        </is>
      </c>
      <c r="AT2974">
        <v>115</v>
      </c>
      <c r="AU2974" t="inlineStr">
        <is>
          <t>1.15</t>
        </is>
      </c>
      <c r="AV2974" t="inlineStr">
        <is>
          <t>15</t>
        </is>
      </c>
      <c r="AW2974" t="inlineStr">
        <is>
          <t>0</t>
        </is>
      </c>
      <c r="AX2974" t="inlineStr">
        <is>
          <t>Not Qualified</t>
        </is>
      </c>
      <c r="AY2974" s="4"/>
      <c r="AZ2974"/>
      <c r="BA2974"/>
      <c r="BB2974"/>
      <c r="BC2974" t="inlineStr">
        <is>
          <t>Decided not to proceed renewal on hold first.</t>
        </is>
      </c>
      <c r="BD2974" s="4">
        <v>46142.412766203706</v>
      </c>
      <c r="BE2974" t="inlineStr">
        <is>
          <t>paid</t>
        </is>
      </c>
      <c r="BF2974"/>
      <c r="BG2974" t="inlineStr">
        <is>
          <t>Reschedule</t>
        </is>
      </c>
      <c r="BH2974" t="inlineStr">
        <is>
          <t>andy@ajobthing.com</t>
        </is>
      </c>
      <c r="BI2974" t="inlineStr">
        <is>
          <t>Other industries</t>
        </is>
      </c>
      <c r="BJ2974" s="4">
        <v>46144.75101851852</v>
      </c>
      <c r="BK2974" s="4">
        <v>44751.58211805556</v>
      </c>
      <c r="BL2974" t="inlineStr">
        <is>
          <t>4968.0</t>
        </is>
      </c>
      <c r="BM2974" t="inlineStr">
        <is>
          <t>0.0</t>
        </is>
      </c>
      <c r="BN2974" t="inlineStr">
        <is>
          <t>People Search Page : Unlock Candidate</t>
        </is>
      </c>
      <c r="BO2974" s="4">
        <v>46137.00634259259</v>
      </c>
      <c r="BP2974">
        <v>166314</v>
      </c>
      <c r="BQ2974">
        <v>79333</v>
      </c>
      <c r="BR2974" t="inlineStr">
        <is>
          <t>Online</t>
        </is>
      </c>
      <c r="BS2974"/>
      <c r="BT2974">
        <v>79333</v>
      </c>
      <c r="BU2974"/>
      <c r="BV2974">
        <v>2736603</v>
      </c>
      <c r="BW2974" t="inlineStr">
        <is>
          <t>Follow Up : Budget Concern</t>
        </is>
      </c>
      <c r="BX2974">
        <v>12</v>
      </c>
      <c r="BY2974">
        <v>1</v>
      </c>
      <c r="BZ2974" s="4">
        <v>46134.74932870371</v>
      </c>
      <c r="CA2974">
        <v>240</v>
      </c>
      <c r="CB2974">
        <v>231</v>
      </c>
      <c r="CC2974" s="4">
        <v>46137.00634259259</v>
      </c>
      <c r="CD2974" t="inlineStr">
        <is>
          <t>20</t>
        </is>
      </c>
      <c r="CE2974" t="inlineStr">
        <is>
          <t>0</t>
        </is>
      </c>
      <c r="CF2974" t="inlineStr">
        <is>
          <t>Q2-W01</t>
        </is>
      </c>
      <c r="CG2974"/>
      <c r="CH2974"/>
      <c r="CI2974"/>
      <c r="CJ2974" t="inlineStr">
        <is>
          <t>Paid</t>
        </is>
      </c>
      <c r="CK2974" t="inlineStr">
        <is>
          <t>Eligible</t>
        </is>
      </c>
      <c r="CL2974"/>
      <c r="CM2974"/>
    </row>
    <row r="2975" ht="25.5" customHeight="1">
      <c r="A2975" t="inlineStr">
        <is>
          <t>203062</t>
        </is>
      </c>
      <c r="B2975" s="2"/>
      <c r="C2975"/>
      <c r="D2975" s="3">
        <v>46121.76494212963</v>
      </c>
      <c r="E2975" t="inlineStr">
        <is>
          <t>Q2-W01</t>
        </is>
      </c>
      <c r="F2975" t="inlineStr">
        <is>
          <t>Jess</t>
        </is>
      </c>
      <c r="G2975" t="inlineStr">
        <is>
          <t>Customer</t>
        </is>
      </c>
      <c r="H2975" s="2" t="str">
        <f>=HYPERLINK("https://upbox.ajobthing.my/customer/203062", "https://upbox.ajobthing.my/customer/203062")</f>
        <v>https://upbox.ajobthing.my/customer/203062</v>
      </c>
      <c r="I2975" t="inlineStr">
        <is>
          <t>MODU System (M) Sdn Bhd</t>
        </is>
      </c>
      <c r="J2975" t="inlineStr">
        <is>
          <t>Whale</t>
        </is>
      </c>
      <c r="K2975" t="inlineStr">
        <is>
          <t>Jess Lim</t>
        </is>
      </c>
      <c r="L2975" s="4"/>
      <c r="M2975" s="4">
        <v>46121.3516087963</v>
      </c>
      <c r="N2975"/>
      <c r="O2975">
        <v>6048</v>
      </c>
      <c r="P2975" s="4"/>
      <c r="Q2975" s="4">
        <v>46121.687430555554</v>
      </c>
      <c r="R2975"/>
      <c r="S2975">
        <v>6048</v>
      </c>
      <c r="T2975" s="4"/>
      <c r="U2975" s="4"/>
      <c r="V2975"/>
      <c r="W2975"/>
      <c r="X2975"/>
      <c r="Y2975" t="inlineStr">
        <is>
          <t>Pending Appointment</t>
        </is>
      </c>
      <c r="Z2975" t="inlineStr">
        <is>
          <t>Hiring Now</t>
        </is>
      </c>
      <c r="AA2975">
        <v>2</v>
      </c>
      <c r="AB2975" t="inlineStr">
        <is>
          <t>No Appointment Made</t>
        </is>
      </c>
      <c r="AC2975"/>
      <c r="AD2975" t="inlineStr">
        <is>
          <t>technican sales engineer kuala lumpur</t>
        </is>
      </c>
      <c r="AE2975"/>
      <c r="AF2975">
        <v>6000</v>
      </c>
      <c r="AG2975" s="4"/>
      <c r="AH2975" s="4"/>
      <c r="AI2975"/>
      <c r="AJ2975">
        <v>1</v>
      </c>
      <c r="AK2975" t="inlineStr">
        <is>
          <t>No, I don't need at all</t>
        </is>
      </c>
      <c r="AL2975">
        <v>1</v>
      </c>
      <c r="AM2975" t="inlineStr">
        <is>
          <t>No, I don't need at all</t>
        </is>
      </c>
      <c r="AN2975"/>
      <c r="AO2975"/>
      <c r="AP2975" t="inlineStr">
        <is>
          <t>Once a year (25%)</t>
        </is>
      </c>
      <c r="AQ2975"/>
      <c r="AR2975" t="inlineStr">
        <is>
          <t>Jobstreet</t>
        </is>
      </c>
      <c r="AS2975" t="inlineStr">
        <is>
          <t>- Headcount: 2
- Hiring Job Details: technican sales engineer kuala lumpur
- Hiring Urgency: Hiring Now
- Number of outlets: 1
- Have recruiter team: No, I don't need at all
- Number of recruiter in company: 1
- Have ATS system: No, I don't need at all
- Have career website: Not provided
- Current hiring budget: RM6,000.00
- Whole year budget: Not provided
- Whole year number of vacancies: Not provided
- Hiring frequency: Once a year (25%)
- External job portal: Jobstreet</t>
        </is>
      </c>
      <c r="AT2975">
        <v>95</v>
      </c>
      <c r="AU2975" t="inlineStr">
        <is>
          <t>0.95</t>
        </is>
      </c>
      <c r="AV2975" t="inlineStr">
        <is>
          <t>15</t>
        </is>
      </c>
      <c r="AW2975" t="inlineStr">
        <is>
          <t>0</t>
        </is>
      </c>
      <c r="AX2975" t="inlineStr">
        <is>
          <t>Not Qualified</t>
        </is>
      </c>
      <c r="AY2975" s="4"/>
      <c r="AZ2975"/>
      <c r="BA2975"/>
      <c r="BB2975"/>
      <c r="BC2975" t="inlineStr">
        <is>
          <t>put on hold</t>
        </is>
      </c>
      <c r="BD2975" s="4">
        <v>46142.762094907404</v>
      </c>
      <c r="BE2975" t="inlineStr">
        <is>
          <t>pending</t>
        </is>
      </c>
      <c r="BF2975"/>
      <c r="BG2975" t="inlineStr">
        <is>
          <t>Reschedule</t>
        </is>
      </c>
      <c r="BH2975" t="inlineStr">
        <is>
          <t>Fauziah Maharan</t>
        </is>
      </c>
      <c r="BI2975"/>
      <c r="BJ2975" s="4">
        <v>46144.75418981481</v>
      </c>
      <c r="BK2975" s="4">
        <v>46121.68486111111</v>
      </c>
      <c r="BL2975" t="inlineStr">
        <is>
          <t>0.0</t>
        </is>
      </c>
      <c r="BM2975" t="inlineStr">
        <is>
          <t>6000.0</t>
        </is>
      </c>
      <c r="BN2975"/>
      <c r="BO2975" s="4"/>
      <c r="BP2975">
        <v>166261</v>
      </c>
      <c r="BQ2975">
        <v>121387</v>
      </c>
      <c r="BR2975" t="inlineStr">
        <is>
          <t>Proforma</t>
        </is>
      </c>
      <c r="BS2975" t="inlineStr">
        <is>
          <t>AI Yearly Professional Plan (Jan 26)</t>
        </is>
      </c>
      <c r="BT2975"/>
      <c r="BU2975"/>
      <c r="BV2975">
        <v>2738523</v>
      </c>
      <c r="BW2975" t="inlineStr">
        <is>
          <t>Follow Up : Budget Concern</t>
        </is>
      </c>
      <c r="BX2975"/>
      <c r="BY2975"/>
      <c r="BZ2975" s="4"/>
      <c r="CA2975"/>
      <c r="CB2975"/>
      <c r="CC2975" s="4"/>
      <c r="CD2975" t="inlineStr">
        <is>
          <t>20</t>
        </is>
      </c>
      <c r="CE2975" t="inlineStr">
        <is>
          <t>0</t>
        </is>
      </c>
      <c r="CF2975" t="inlineStr">
        <is>
          <t>Q2-W01</t>
        </is>
      </c>
      <c r="CG2975" t="inlineStr">
        <is>
          <t>Q2-W01</t>
        </is>
      </c>
      <c r="CH2975"/>
      <c r="CI2975"/>
      <c r="CJ2975" t="inlineStr">
        <is>
          <t>No Paid</t>
        </is>
      </c>
      <c r="CK2975" t="inlineStr">
        <is>
          <t>Eligible</t>
        </is>
      </c>
      <c r="CL2975"/>
      <c r="CM2975"/>
    </row>
    <row r="2976" ht="25.5" customHeight="1">
      <c r="A2976" t="inlineStr">
        <is>
          <t>199651</t>
        </is>
      </c>
      <c r="B2976" s="2"/>
      <c r="C2976"/>
      <c r="D2976" s="3">
        <v>46121.91008101852</v>
      </c>
      <c r="E2976" t="inlineStr">
        <is>
          <t>Q2-W01</t>
        </is>
      </c>
      <c r="F2976" t="inlineStr">
        <is>
          <t>Yuli</t>
        </is>
      </c>
      <c r="G2976" t="inlineStr">
        <is>
          <t>Customer</t>
        </is>
      </c>
      <c r="H2976" s="2" t="str">
        <f>=HYPERLINK("https://upbox.ajobthing.my/customer/199651", "https://upbox.ajobthing.my/customer/199651")</f>
        <v>https://upbox.ajobthing.my/customer/199651</v>
      </c>
      <c r="I2976" t="inlineStr">
        <is>
          <t>YHL Realty Holding Sdn. Bhd.</t>
        </is>
      </c>
      <c r="J2976" t="inlineStr">
        <is>
          <t>Whale</t>
        </is>
      </c>
      <c r="K2976" t="inlineStr">
        <is>
          <t>YuLi</t>
        </is>
      </c>
      <c r="L2976" s="4"/>
      <c r="M2976" s="4">
        <v>46142.7547337963</v>
      </c>
      <c r="N2976"/>
      <c r="O2976">
        <v>10381</v>
      </c>
      <c r="P2976" s="4"/>
      <c r="Q2976" s="4">
        <v>46066.91043981481</v>
      </c>
      <c r="R2976"/>
      <c r="S2976">
        <v>0</v>
      </c>
      <c r="T2976" s="4">
        <v>46044.585185185184</v>
      </c>
      <c r="U2976" s="4"/>
      <c r="V2976"/>
      <c r="W2976">
        <v>5508</v>
      </c>
      <c r="X2976"/>
      <c r="Y2976" t="inlineStr">
        <is>
          <t>Pending Appointment</t>
        </is>
      </c>
      <c r="Z2976" t="inlineStr">
        <is>
          <t>Hiring Now</t>
        </is>
      </c>
      <c r="AA2976">
        <v>4</v>
      </c>
      <c r="AB2976" t="inlineStr">
        <is>
          <t>No Appointment Made</t>
        </is>
      </c>
      <c r="AC2976"/>
      <c r="AD2976" t="inlineStr">
        <is>
          <t>1. Sous Chef
2. Guest Service Assistant
3. Intern
4. Safety Officer</t>
        </is>
      </c>
      <c r="AE2976"/>
      <c r="AF2976"/>
      <c r="AG2976" s="4"/>
      <c r="AH2976" s="4"/>
      <c r="AI2976"/>
      <c r="AJ2976"/>
      <c r="AK2976"/>
      <c r="AL2976"/>
      <c r="AM2976"/>
      <c r="AN2976"/>
      <c r="AO2976"/>
      <c r="AP2976"/>
      <c r="AQ2976"/>
      <c r="AR2976" t="inlineStr">
        <is>
          <t>Free Job Portal</t>
        </is>
      </c>
      <c r="AS2976" t="inlineStr">
        <is>
          <t>- Headcount: 4
- Hiring Job Details: 1. Sous Chef, 2. Guest Service Assistant, 3. Intern, 4. Safety Officer
- Hiring Urgency: Hiring Now
- Number of outlets: Not provided
- Have recruiter team: Not provided
- Number of recruiter in company: Not provided
- Have ATS system: Not provided
- Have career website: Not provided
- Current hiring budget: Not provided
- Whole year budget: Not provided
- Whole year number of vacancies: Not provided
- Hiring frequency: Not provided
- External job portal: Free Job Portal</t>
        </is>
      </c>
      <c r="AT2976">
        <v>25</v>
      </c>
      <c r="AU2976" t="inlineStr">
        <is>
          <t>0.25</t>
        </is>
      </c>
      <c r="AV2976" t="inlineStr">
        <is>
          <t>5</t>
        </is>
      </c>
      <c r="AW2976" t="inlineStr">
        <is>
          <t>0</t>
        </is>
      </c>
      <c r="AX2976" t="inlineStr">
        <is>
          <t>Not Qualified</t>
        </is>
      </c>
      <c r="AY2976" s="4"/>
      <c r="AZ2976"/>
      <c r="BA2976"/>
      <c r="BB2976"/>
      <c r="BC2976" t="inlineStr">
        <is>
          <t>- Headcount: 5
- Hiring Job Details: Security, Sous Chef, Intern, F &amp; B attendant, Executive Lounge attendant
- Hiring Urgency: Hiring Now
- Number of outlets: Not provided
- Have recruiter team: Yes
- Number of recruiter in company: 2
- Have ATS system: No, I don't need at all
- Have career website: Not provided
- Current hiring budget: RM5,000.00
- Whole year budget: Not provided
- Whole year number of vacancies: Not provided
- Hiring frequency: Every month (100%)
- External job portal: Free Job Portal</t>
        </is>
      </c>
      <c r="BD2976" s="4">
        <v>46142.91668981482</v>
      </c>
      <c r="BE2976" t="inlineStr">
        <is>
          <t>paid</t>
        </is>
      </c>
      <c r="BF2976" t="inlineStr">
        <is>
          <t>Q1-W03</t>
        </is>
      </c>
      <c r="BG2976" t="inlineStr">
        <is>
          <t>Reschedule</t>
        </is>
      </c>
      <c r="BH2976" t="inlineStr">
        <is>
          <t>Fauziah Maharan</t>
        </is>
      </c>
      <c r="BI2976"/>
      <c r="BJ2976" s="4">
        <v>46144.75334490741</v>
      </c>
      <c r="BK2976" s="4">
        <v>46013.7353125</v>
      </c>
      <c r="BL2976" t="inlineStr">
        <is>
          <t>5508.0</t>
        </is>
      </c>
      <c r="BM2976" t="inlineStr">
        <is>
          <t>0.0</t>
        </is>
      </c>
      <c r="BN2976" t="inlineStr">
        <is>
          <t>PA Email CTA Click</t>
        </is>
      </c>
      <c r="BO2976" s="4">
        <v>46144.334699074076</v>
      </c>
      <c r="BP2976">
        <v>169749</v>
      </c>
      <c r="BQ2976">
        <v>115421</v>
      </c>
      <c r="BR2976" t="inlineStr">
        <is>
          <t>Proforma</t>
        </is>
      </c>
      <c r="BS2976" t="inlineStr">
        <is>
          <t>Free Internship Job</t>
        </is>
      </c>
      <c r="BT2976">
        <v>6950</v>
      </c>
      <c r="BU2976"/>
      <c r="BV2976">
        <v>2738580</v>
      </c>
      <c r="BW2976" t="inlineStr">
        <is>
          <t>Customer Inquiry</t>
        </is>
      </c>
      <c r="BX2976">
        <v>12</v>
      </c>
      <c r="BY2976">
        <v>0</v>
      </c>
      <c r="BZ2976" s="4">
        <v>46141.68981481482</v>
      </c>
      <c r="CA2976">
        <v>120</v>
      </c>
      <c r="CB2976">
        <v>120</v>
      </c>
      <c r="CC2976" s="4"/>
      <c r="CD2976" t="inlineStr">
        <is>
          <t>5</t>
        </is>
      </c>
      <c r="CE2976" t="inlineStr">
        <is>
          <t>0</t>
        </is>
      </c>
      <c r="CF2976" t="inlineStr">
        <is>
          <t>Q2-W04</t>
        </is>
      </c>
      <c r="CG2976" t="inlineStr">
        <is>
          <t>Q1-W07</t>
        </is>
      </c>
      <c r="CH2976" t="inlineStr">
        <is>
          <t>Q1-W03</t>
        </is>
      </c>
      <c r="CI2976"/>
      <c r="CJ2976" t="inlineStr">
        <is>
          <t>Paid</t>
        </is>
      </c>
      <c r="CK2976" t="inlineStr">
        <is>
          <t>Eligible</t>
        </is>
      </c>
      <c r="CL2976"/>
      <c r="CM2976"/>
    </row>
    <row r="2977" ht="25.5" customHeight="1">
      <c r="A2977" t="inlineStr">
        <is>
          <t>4237068</t>
        </is>
      </c>
      <c r="B2977" s="2"/>
      <c r="C2977"/>
      <c r="D2977" s="3">
        <v>46115.47363425926</v>
      </c>
      <c r="E2977" t="inlineStr">
        <is>
          <t>Q2-W01</t>
        </is>
      </c>
      <c r="F2977" t="inlineStr">
        <is>
          <t>Evan</t>
        </is>
      </c>
      <c r="G2977" t="inlineStr">
        <is>
          <t>Lead</t>
        </is>
      </c>
      <c r="H2977" s="2" t="str">
        <f>=HYPERLINK("https://upbox.ajobthing.my/leads/4237068", "https://upbox.ajobthing.my/leads/4237068")</f>
        <v>https://upbox.ajobthing.my/leads/4237068</v>
      </c>
      <c r="I2977" t="inlineStr">
        <is>
          <t xml:space="preserve">M.E.T. MOTION (JB) SDN BHD </t>
        </is>
      </c>
      <c r="J2977"/>
      <c r="K2977" t="inlineStr">
        <is>
          <t>Evan</t>
        </is>
      </c>
      <c r="L2977" s="4"/>
      <c r="M2977" s="4">
        <v>46115.471724537034</v>
      </c>
      <c r="N2977"/>
      <c r="O2977">
        <v>6048</v>
      </c>
      <c r="P2977" s="4"/>
      <c r="Q2977" s="4"/>
      <c r="R2977"/>
      <c r="S2977"/>
      <c r="T2977" s="4"/>
      <c r="U2977" s="4"/>
      <c r="V2977"/>
      <c r="W2977"/>
      <c r="X2977"/>
      <c r="Y2977" t="inlineStr">
        <is>
          <t>Pending Appointment</t>
        </is>
      </c>
      <c r="Z2977" t="inlineStr">
        <is>
          <t>Hiring Now</t>
        </is>
      </c>
      <c r="AA2977">
        <v>3</v>
      </c>
      <c r="AB2977" t="inlineStr">
        <is>
          <t>No Appointment Made</t>
        </is>
      </c>
      <c r="AC2977"/>
      <c r="AD2977" t="inlineStr">
        <is>
          <t>3 techichianm, all base in JB</t>
        </is>
      </c>
      <c r="AE2977"/>
      <c r="AF2977">
        <v>1</v>
      </c>
      <c r="AG2977" s="4"/>
      <c r="AH2977" s="4"/>
      <c r="AI2977">
        <v>1</v>
      </c>
      <c r="AJ2977">
        <v>1</v>
      </c>
      <c r="AK2977" t="inlineStr">
        <is>
          <t>No, I don't need at all</t>
        </is>
      </c>
      <c r="AL2977">
        <v>0</v>
      </c>
      <c r="AM2977" t="inlineStr">
        <is>
          <t>No, I don't need at all</t>
        </is>
      </c>
      <c r="AN2977"/>
      <c r="AO2977" t="inlineStr">
        <is>
          <t>No, I don't need at all</t>
        </is>
      </c>
      <c r="AP2977" t="inlineStr">
        <is>
          <t>Once a year (25%)</t>
        </is>
      </c>
      <c r="AQ2977">
        <v>3</v>
      </c>
      <c r="AR2977" t="inlineStr">
        <is>
          <t>Did not use any job portal</t>
        </is>
      </c>
      <c r="AS2977" t="inlineStr">
        <is>
          <t>- Headcount: 3
- Hiring Job Details: 3 technicians, all based in JB
- Hiring Urgency: Hiring Now
- Number of outlets: 1
- Have recruiter team: No, I don't need at all
- Number of recruiter in company: 0
- Have ATS system: No, I don't need at all
- Have career website: No, I don't need at all
- Current hiring budget: RM1
- Whole year budget: RM1.00
- Whole year number of vacancies: 3
- Hiring frequency: Once a year (25%)
- External job portal: Did not use any job portal</t>
        </is>
      </c>
      <c r="AT2977">
        <v>115</v>
      </c>
      <c r="AU2977" t="inlineStr">
        <is>
          <t>1.15</t>
        </is>
      </c>
      <c r="AV2977" t="inlineStr">
        <is>
          <t>15</t>
        </is>
      </c>
      <c r="AW2977" t="inlineStr">
        <is>
          <t>0</t>
        </is>
      </c>
      <c r="AX2977" t="inlineStr">
        <is>
          <t>Not Qualified</t>
        </is>
      </c>
      <c r="AY2977" s="4"/>
      <c r="AZ2977"/>
      <c r="BA2977"/>
      <c r="BB2977"/>
      <c r="BC2977"/>
      <c r="BD2977" s="4"/>
      <c r="BE2977"/>
      <c r="BF2977"/>
      <c r="BG2977" t="inlineStr">
        <is>
          <t>Reschedule</t>
        </is>
      </c>
      <c r="BH2977" t="inlineStr">
        <is>
          <t>Edward Hoo</t>
        </is>
      </c>
      <c r="BI2977"/>
      <c r="BJ2977" s="4">
        <v>46144.755694444444</v>
      </c>
      <c r="BK2977" s="4">
        <v>46115.44453703704</v>
      </c>
      <c r="BL2977"/>
      <c r="BM2977"/>
      <c r="BN2977"/>
      <c r="BO2977" s="4"/>
      <c r="BP2977">
        <v>165141</v>
      </c>
      <c r="BQ2977"/>
      <c r="BR2977"/>
      <c r="BS2977"/>
      <c r="BT2977"/>
      <c r="BU2977"/>
      <c r="BV2977"/>
      <c r="BW2977"/>
      <c r="BX2977"/>
      <c r="BY2977"/>
      <c r="BZ2977" s="4"/>
      <c r="CA2977"/>
      <c r="CB2977"/>
      <c r="CC2977" s="4"/>
      <c r="CD2977" t="inlineStr">
        <is>
          <t>20</t>
        </is>
      </c>
      <c r="CE2977" t="inlineStr">
        <is>
          <t>0</t>
        </is>
      </c>
      <c r="CF2977" t="inlineStr">
        <is>
          <t>Q2-W01</t>
        </is>
      </c>
      <c r="CG2977"/>
      <c r="CH2977"/>
      <c r="CI2977"/>
      <c r="CJ2977" t="inlineStr">
        <is>
          <t>No Paid</t>
        </is>
      </c>
      <c r="CK2977" t="inlineStr">
        <is>
          <t>Not Eligible</t>
        </is>
      </c>
      <c r="CL2977"/>
      <c r="CM2977"/>
    </row>
    <row r="2978" ht="25.5" customHeight="1">
      <c r="A2978" t="inlineStr">
        <is>
          <t>4232907</t>
        </is>
      </c>
      <c r="B2978" s="2"/>
      <c r="C2978"/>
      <c r="D2978" s="3">
        <v>46115.48128472222</v>
      </c>
      <c r="E2978" t="inlineStr">
        <is>
          <t>Q2-W01</t>
        </is>
      </c>
      <c r="F2978" t="inlineStr">
        <is>
          <t>Ken Yi</t>
        </is>
      </c>
      <c r="G2978" t="inlineStr">
        <is>
          <t>Lead</t>
        </is>
      </c>
      <c r="H2978" s="2" t="str">
        <f>=HYPERLINK("https://upbox.ajobthing.my/leads/4232907", "https://upbox.ajobthing.my/leads/4232907")</f>
        <v>https://upbox.ajobthing.my/leads/4232907</v>
      </c>
      <c r="I2978" t="inlineStr">
        <is>
          <t xml:space="preserve"> tone wow sdn bhd </t>
        </is>
      </c>
      <c r="J2978"/>
      <c r="K2978" t="inlineStr">
        <is>
          <t>Kenyi</t>
        </is>
      </c>
      <c r="L2978" s="4"/>
      <c r="M2978" s="4">
        <v>46120.64171296296</v>
      </c>
      <c r="N2978"/>
      <c r="O2978">
        <v>1512</v>
      </c>
      <c r="P2978" s="4"/>
      <c r="Q2978" s="4"/>
      <c r="R2978"/>
      <c r="S2978"/>
      <c r="T2978" s="4"/>
      <c r="U2978" s="4"/>
      <c r="V2978"/>
      <c r="W2978"/>
      <c r="X2978"/>
      <c r="Y2978" t="inlineStr">
        <is>
          <t>Pending Appointment</t>
        </is>
      </c>
      <c r="Z2978" t="inlineStr">
        <is>
          <t>Hiring Now</t>
        </is>
      </c>
      <c r="AA2978">
        <v>10</v>
      </c>
      <c r="AB2978" t="inlineStr">
        <is>
          <t>No Appointment Made</t>
        </is>
      </c>
      <c r="AC2978"/>
      <c r="AD2978" t="inlineStr">
        <is>
          <t>Customer service 10</t>
        </is>
      </c>
      <c r="AE2978"/>
      <c r="AF2978">
        <v>0</v>
      </c>
      <c r="AG2978" s="4"/>
      <c r="AH2978" s="4"/>
      <c r="AI2978">
        <v>0</v>
      </c>
      <c r="AJ2978">
        <v>1</v>
      </c>
      <c r="AK2978" t="inlineStr">
        <is>
          <t>Yes, I have</t>
        </is>
      </c>
      <c r="AL2978">
        <v>2</v>
      </c>
      <c r="AM2978" t="inlineStr">
        <is>
          <t>No, I don't need at all</t>
        </is>
      </c>
      <c r="AN2978"/>
      <c r="AO2978" t="inlineStr">
        <is>
          <t>No, I don't need at all</t>
        </is>
      </c>
      <c r="AP2978" t="inlineStr">
        <is>
          <t>Every month (100%)</t>
        </is>
      </c>
      <c r="AQ2978">
        <v>10</v>
      </c>
      <c r="AR2978" t="inlineStr">
        <is>
          <t>Did not use any job portal</t>
        </is>
      </c>
      <c r="AS2978" t="inlineStr">
        <is>
          <t>- Headcount: 10
- Hiring Job Details: 10 customer service
- Hiring Urgency: Hiring Now
- Number of outlets: 1
- Have recruiter team: Yes
- Number of recruiter in company: 2
- Have ATS system: No, I don't need at all
- Have career website: No, I don't need at all
- Current hiring budget: RM0
- Whole year budget: RM0.00
- Whole year number of vacancies: 10
- Hiring frequency: Every month (100%)
- External job portal: Did not use any job portal</t>
        </is>
      </c>
      <c r="AT2978">
        <v>110</v>
      </c>
      <c r="AU2978" t="inlineStr">
        <is>
          <t>1.10</t>
        </is>
      </c>
      <c r="AV2978" t="inlineStr">
        <is>
          <t>20</t>
        </is>
      </c>
      <c r="AW2978" t="inlineStr">
        <is>
          <t>0</t>
        </is>
      </c>
      <c r="AX2978" t="inlineStr">
        <is>
          <t>Not Qualified</t>
        </is>
      </c>
      <c r="AY2978" s="4"/>
      <c r="AZ2978"/>
      <c r="BA2978"/>
      <c r="BB2978"/>
      <c r="BC2978"/>
      <c r="BD2978" s="4"/>
      <c r="BE2978"/>
      <c r="BF2978"/>
      <c r="BG2978" t="inlineStr">
        <is>
          <t>Reschedule</t>
        </is>
      </c>
      <c r="BH2978" t="inlineStr">
        <is>
          <t>Fauziah Maharan</t>
        </is>
      </c>
      <c r="BI2978"/>
      <c r="BJ2978" s="4">
        <v>46144.755694444444</v>
      </c>
      <c r="BK2978" s="4">
        <v>46114.90697916667</v>
      </c>
      <c r="BL2978"/>
      <c r="BM2978"/>
      <c r="BN2978"/>
      <c r="BO2978" s="4"/>
      <c r="BP2978">
        <v>165959</v>
      </c>
      <c r="BQ2978"/>
      <c r="BR2978"/>
      <c r="BS2978"/>
      <c r="BT2978"/>
      <c r="BU2978"/>
      <c r="BV2978"/>
      <c r="BW2978"/>
      <c r="BX2978"/>
      <c r="BY2978"/>
      <c r="BZ2978" s="4"/>
      <c r="CA2978"/>
      <c r="CB2978"/>
      <c r="CC2978" s="4"/>
      <c r="CD2978" t="inlineStr">
        <is>
          <t>30</t>
        </is>
      </c>
      <c r="CE2978" t="inlineStr">
        <is>
          <t>0</t>
        </is>
      </c>
      <c r="CF2978" t="inlineStr">
        <is>
          <t>Q2-W01</t>
        </is>
      </c>
      <c r="CG2978"/>
      <c r="CH2978"/>
      <c r="CI2978"/>
      <c r="CJ2978" t="inlineStr">
        <is>
          <t>No Paid</t>
        </is>
      </c>
      <c r="CK2978" t="inlineStr">
        <is>
          <t>Eligible</t>
        </is>
      </c>
      <c r="CL2978"/>
      <c r="CM2978"/>
    </row>
    <row r="2979" ht="25.5" customHeight="1">
      <c r="A2979" t="inlineStr">
        <is>
          <t>4238899</t>
        </is>
      </c>
      <c r="B2979" s="2"/>
      <c r="C2979"/>
      <c r="D2979" s="3">
        <v>46115.61929398148</v>
      </c>
      <c r="E2979" t="inlineStr">
        <is>
          <t>Q2-W01</t>
        </is>
      </c>
      <c r="F2979" t="inlineStr">
        <is>
          <t>Eugene</t>
        </is>
      </c>
      <c r="G2979" t="inlineStr">
        <is>
          <t>Lead</t>
        </is>
      </c>
      <c r="H2979" s="2" t="str">
        <f>=HYPERLINK("https://upbox.ajobthing.my/leads/4238899", "https://upbox.ajobthing.my/leads/4238899")</f>
        <v>https://upbox.ajobthing.my/leads/4238899</v>
      </c>
      <c r="I2979" t="inlineStr">
        <is>
          <t xml:space="preserve">28 3A kompleks ruby </t>
        </is>
      </c>
      <c r="J2979"/>
      <c r="K2979" t="inlineStr">
        <is>
          <t>Eugene</t>
        </is>
      </c>
      <c r="L2979" s="4"/>
      <c r="M2979" s="4">
        <v>46115.61846064815</v>
      </c>
      <c r="N2979"/>
      <c r="O2979">
        <v>3888</v>
      </c>
      <c r="P2979" s="4"/>
      <c r="Q2979" s="4"/>
      <c r="R2979"/>
      <c r="S2979"/>
      <c r="T2979" s="4"/>
      <c r="U2979" s="4"/>
      <c r="V2979"/>
      <c r="W2979"/>
      <c r="X2979"/>
      <c r="Y2979" t="inlineStr">
        <is>
          <t>Pending Appointment</t>
        </is>
      </c>
      <c r="Z2979" t="inlineStr">
        <is>
          <t>Hiring Now</t>
        </is>
      </c>
      <c r="AA2979">
        <v>2</v>
      </c>
      <c r="AB2979" t="inlineStr">
        <is>
          <t>No Appointment Made</t>
        </is>
      </c>
      <c r="AC2979"/>
      <c r="AD2979" t="inlineStr">
        <is>
          <t>1 admin clerk, 1 marketing, based in KL</t>
        </is>
      </c>
      <c r="AE2979"/>
      <c r="AF2979">
        <v>1200</v>
      </c>
      <c r="AG2979" s="4"/>
      <c r="AH2979" s="4"/>
      <c r="AI2979">
        <v>3000</v>
      </c>
      <c r="AJ2979">
        <v>1</v>
      </c>
      <c r="AK2979" t="inlineStr">
        <is>
          <t>No, I don't need at all</t>
        </is>
      </c>
      <c r="AL2979">
        <v>0</v>
      </c>
      <c r="AM2979" t="inlineStr">
        <is>
          <t>No, I don't need at all</t>
        </is>
      </c>
      <c r="AN2979"/>
      <c r="AO2979" t="inlineStr">
        <is>
          <t>No, I don't need at all</t>
        </is>
      </c>
      <c r="AP2979" t="inlineStr">
        <is>
          <t>Twice a year (50%)</t>
        </is>
      </c>
      <c r="AQ2979">
        <v>2</v>
      </c>
      <c r="AR2979" t="inlineStr">
        <is>
          <t>Did not use any job portal</t>
        </is>
      </c>
      <c r="AS2979" t="inlineStr">
        <is>
          <t>- Headcount: 2
- Hiring Job Details: 1 admin clerk, 1 marketing, based in KL
- Hiring Urgency: Hiring Now
- Number of outlets: 1
- Have recruiter team: No, I don't need at all
- Number of recruiter in company: 0
- Have ATS system: No, I don't need at all
- Have career website: No, I don't need at all
- Current hiring budget: RM1,200
- Whole year budget: RM3,000.00
- Whole year number of vacancies: 2
- Hiring frequency: Twice a year (50%)
- External job portal: Did not use any job portal</t>
        </is>
      </c>
      <c r="AT2979">
        <v>115</v>
      </c>
      <c r="AU2979" t="inlineStr">
        <is>
          <t>1.15</t>
        </is>
      </c>
      <c r="AV2979" t="inlineStr">
        <is>
          <t>15</t>
        </is>
      </c>
      <c r="AW2979" t="inlineStr">
        <is>
          <t>0</t>
        </is>
      </c>
      <c r="AX2979" t="inlineStr">
        <is>
          <t>Not Qualified</t>
        </is>
      </c>
      <c r="AY2979" s="4"/>
      <c r="AZ2979"/>
      <c r="BA2979"/>
      <c r="BB2979"/>
      <c r="BC2979"/>
      <c r="BD2979" s="4"/>
      <c r="BE2979"/>
      <c r="BF2979"/>
      <c r="BG2979" t="inlineStr">
        <is>
          <t>Reschedule</t>
        </is>
      </c>
      <c r="BH2979" t="inlineStr">
        <is>
          <t>Edward Hoo</t>
        </is>
      </c>
      <c r="BI2979"/>
      <c r="BJ2979" s="4">
        <v>46144.75571759259</v>
      </c>
      <c r="BK2979" s="4">
        <v>46115.6072337963</v>
      </c>
      <c r="BL2979"/>
      <c r="BM2979"/>
      <c r="BN2979"/>
      <c r="BO2979" s="4"/>
      <c r="BP2979">
        <v>165194</v>
      </c>
      <c r="BQ2979"/>
      <c r="BR2979"/>
      <c r="BS2979"/>
      <c r="BT2979"/>
      <c r="BU2979"/>
      <c r="BV2979"/>
      <c r="BW2979"/>
      <c r="BX2979"/>
      <c r="BY2979"/>
      <c r="BZ2979" s="4"/>
      <c r="CA2979"/>
      <c r="CB2979"/>
      <c r="CC2979" s="4"/>
      <c r="CD2979" t="inlineStr">
        <is>
          <t>20</t>
        </is>
      </c>
      <c r="CE2979" t="inlineStr">
        <is>
          <t>0</t>
        </is>
      </c>
      <c r="CF2979" t="inlineStr">
        <is>
          <t>Q2-W01</t>
        </is>
      </c>
      <c r="CG2979"/>
      <c r="CH2979"/>
      <c r="CI2979"/>
      <c r="CJ2979" t="inlineStr">
        <is>
          <t>No Paid</t>
        </is>
      </c>
      <c r="CK2979" t="inlineStr">
        <is>
          <t>Not Eligible</t>
        </is>
      </c>
      <c r="CL2979"/>
      <c r="CM2979"/>
    </row>
    <row r="2980" ht="25.5" customHeight="1">
      <c r="A2980" t="inlineStr">
        <is>
          <t>4239284</t>
        </is>
      </c>
      <c r="B2980" s="2"/>
      <c r="C2980"/>
      <c r="D2980" s="3">
        <v>46118.39710648148</v>
      </c>
      <c r="E2980" t="inlineStr">
        <is>
          <t>Q2-W01</t>
        </is>
      </c>
      <c r="F2980" t="inlineStr">
        <is>
          <t>Eugene</t>
        </is>
      </c>
      <c r="G2980" t="inlineStr">
        <is>
          <t>Lead</t>
        </is>
      </c>
      <c r="H2980" s="2" t="str">
        <f>=HYPERLINK("https://upbox.ajobthing.my/leads/4239284", "https://upbox.ajobthing.my/leads/4239284")</f>
        <v>https://upbox.ajobthing.my/leads/4239284</v>
      </c>
      <c r="I2980" t="inlineStr">
        <is>
          <t xml:space="preserve">BMJ MAN POWER </t>
        </is>
      </c>
      <c r="J2980"/>
      <c r="K2980" t="inlineStr">
        <is>
          <t>Eugene</t>
        </is>
      </c>
      <c r="L2980" s="4"/>
      <c r="M2980" s="4">
        <v>46118.397256944445</v>
      </c>
      <c r="N2980"/>
      <c r="O2980">
        <v>3888</v>
      </c>
      <c r="P2980" s="4"/>
      <c r="Q2980" s="4"/>
      <c r="R2980"/>
      <c r="S2980"/>
      <c r="T2980" s="4"/>
      <c r="U2980" s="4"/>
      <c r="V2980"/>
      <c r="W2980"/>
      <c r="X2980"/>
      <c r="Y2980" t="inlineStr">
        <is>
          <t>Pending Appointment</t>
        </is>
      </c>
      <c r="Z2980" t="inlineStr">
        <is>
          <t>Hiring Now</t>
        </is>
      </c>
      <c r="AA2980">
        <v>1</v>
      </c>
      <c r="AB2980" t="inlineStr">
        <is>
          <t>No Appointment Made</t>
        </is>
      </c>
      <c r="AC2980"/>
      <c r="AD2980" t="inlineStr">
        <is>
          <t>1 admin, based in JB</t>
        </is>
      </c>
      <c r="AE2980"/>
      <c r="AF2980">
        <v>1200</v>
      </c>
      <c r="AG2980" s="4"/>
      <c r="AH2980" s="4"/>
      <c r="AI2980">
        <v>1200</v>
      </c>
      <c r="AJ2980">
        <v>1</v>
      </c>
      <c r="AK2980" t="inlineStr">
        <is>
          <t>No, I don't need at all</t>
        </is>
      </c>
      <c r="AL2980">
        <v>0</v>
      </c>
      <c r="AM2980" t="inlineStr">
        <is>
          <t>No, I don't need at all</t>
        </is>
      </c>
      <c r="AN2980"/>
      <c r="AO2980" t="inlineStr">
        <is>
          <t>No, I don't need at all</t>
        </is>
      </c>
      <c r="AP2980" t="inlineStr">
        <is>
          <t>Once a year (25%)</t>
        </is>
      </c>
      <c r="AQ2980">
        <v>2</v>
      </c>
      <c r="AR2980" t="inlineStr">
        <is>
          <t>Did not use any job portal</t>
        </is>
      </c>
      <c r="AS2980" t="inlineStr">
        <is>
          <t>- Headcount: 1
- Hiring Job Details: 1 admin, based in JB
- Hiring Urgency: Hiring Now
- Number of outlets: 1
- Have recruiter team: No, I don't need at all
- Number of recruiter in company: 0
- Have ATS system: No, I don't need at all
- Have career website: No, I don't need at all
- Current hiring budget: RM1,200
- Whole year budget: RM1,200.00
- Whole year number of vacancies: 2
- Hiring frequency: Once a year (25%)
- External job portal: Did not use any job portal</t>
        </is>
      </c>
      <c r="AT2980">
        <v>115</v>
      </c>
      <c r="AU2980" t="inlineStr">
        <is>
          <t>1.15</t>
        </is>
      </c>
      <c r="AV2980" t="inlineStr">
        <is>
          <t>15</t>
        </is>
      </c>
      <c r="AW2980" t="inlineStr">
        <is>
          <t>0</t>
        </is>
      </c>
      <c r="AX2980" t="inlineStr">
        <is>
          <t>Not Qualified</t>
        </is>
      </c>
      <c r="AY2980" s="4"/>
      <c r="AZ2980"/>
      <c r="BA2980"/>
      <c r="BB2980"/>
      <c r="BC2980"/>
      <c r="BD2980" s="4"/>
      <c r="BE2980"/>
      <c r="BF2980"/>
      <c r="BG2980" t="inlineStr">
        <is>
          <t>Reschedule</t>
        </is>
      </c>
      <c r="BH2980" t="inlineStr">
        <is>
          <t>Edward Hoo</t>
        </is>
      </c>
      <c r="BI2980"/>
      <c r="BJ2980" s="4">
        <v>46144.75571759259</v>
      </c>
      <c r="BK2980" s="4">
        <v>46115.65175925926</v>
      </c>
      <c r="BL2980"/>
      <c r="BM2980"/>
      <c r="BN2980"/>
      <c r="BO2980" s="4"/>
      <c r="BP2980">
        <v>165273</v>
      </c>
      <c r="BQ2980"/>
      <c r="BR2980"/>
      <c r="BS2980"/>
      <c r="BT2980"/>
      <c r="BU2980"/>
      <c r="BV2980"/>
      <c r="BW2980"/>
      <c r="BX2980"/>
      <c r="BY2980"/>
      <c r="BZ2980" s="4"/>
      <c r="CA2980"/>
      <c r="CB2980"/>
      <c r="CC2980" s="4"/>
      <c r="CD2980" t="inlineStr">
        <is>
          <t>20</t>
        </is>
      </c>
      <c r="CE2980" t="inlineStr">
        <is>
          <t>0</t>
        </is>
      </c>
      <c r="CF2980" t="inlineStr">
        <is>
          <t>Q2-W01</t>
        </is>
      </c>
      <c r="CG2980"/>
      <c r="CH2980"/>
      <c r="CI2980"/>
      <c r="CJ2980" t="inlineStr">
        <is>
          <t>No Paid</t>
        </is>
      </c>
      <c r="CK2980" t="inlineStr">
        <is>
          <t>Not Eligible</t>
        </is>
      </c>
      <c r="CL2980"/>
      <c r="CM2980"/>
    </row>
    <row r="2981" ht="25.5" customHeight="1">
      <c r="A2981" t="inlineStr">
        <is>
          <t>4251478</t>
        </is>
      </c>
      <c r="B2981" s="2"/>
      <c r="C2981"/>
      <c r="D2981" s="3">
        <v>46118.450694444444</v>
      </c>
      <c r="E2981" t="inlineStr">
        <is>
          <t>Q2-W01</t>
        </is>
      </c>
      <c r="F2981" t="inlineStr">
        <is>
          <t>Eugene</t>
        </is>
      </c>
      <c r="G2981" t="inlineStr">
        <is>
          <t>Lead</t>
        </is>
      </c>
      <c r="H2981" s="2" t="str">
        <f>=HYPERLINK("https://upbox.ajobthing.my/leads/4251478", "https://upbox.ajobthing.my/leads/4251478")</f>
        <v>https://upbox.ajobthing.my/leads/4251478</v>
      </c>
      <c r="I2981" t="inlineStr">
        <is>
          <t xml:space="preserve">Lincoln Energy Sdn Bhd </t>
        </is>
      </c>
      <c r="J2981"/>
      <c r="K2981" t="inlineStr">
        <is>
          <t>Eugene</t>
        </is>
      </c>
      <c r="L2981" s="4"/>
      <c r="M2981" s="4">
        <v>46118.45091435185</v>
      </c>
      <c r="N2981"/>
      <c r="O2981">
        <v>3888</v>
      </c>
      <c r="P2981" s="4"/>
      <c r="Q2981" s="4"/>
      <c r="R2981"/>
      <c r="S2981"/>
      <c r="T2981" s="4"/>
      <c r="U2981" s="4"/>
      <c r="V2981"/>
      <c r="W2981"/>
      <c r="X2981"/>
      <c r="Y2981" t="inlineStr">
        <is>
          <t>Pending Appointment</t>
        </is>
      </c>
      <c r="Z2981" t="inlineStr">
        <is>
          <t>Hiring Now</t>
        </is>
      </c>
      <c r="AA2981">
        <v>3</v>
      </c>
      <c r="AB2981" t="inlineStr">
        <is>
          <t>No Appointment Made</t>
        </is>
      </c>
      <c r="AC2981"/>
      <c r="AD2981" t="inlineStr">
        <is>
          <t>1 customer service, 1 customer service manager, 1 telemarketing, based in Puchong</t>
        </is>
      </c>
      <c r="AE2981"/>
      <c r="AF2981">
        <v>3000</v>
      </c>
      <c r="AG2981" s="4"/>
      <c r="AH2981" s="4"/>
      <c r="AI2981">
        <v>3000</v>
      </c>
      <c r="AJ2981">
        <v>1</v>
      </c>
      <c r="AK2981" t="inlineStr">
        <is>
          <t>No, I don't need at all</t>
        </is>
      </c>
      <c r="AL2981">
        <v>1</v>
      </c>
      <c r="AM2981" t="inlineStr">
        <is>
          <t>No, I don't need at all</t>
        </is>
      </c>
      <c r="AN2981"/>
      <c r="AO2981" t="inlineStr">
        <is>
          <t>No, I don't need at all</t>
        </is>
      </c>
      <c r="AP2981" t="inlineStr">
        <is>
          <t>Once per quarter (75%)</t>
        </is>
      </c>
      <c r="AQ2981">
        <v>3</v>
      </c>
      <c r="AR2981" t="inlineStr">
        <is>
          <t>Indeed (Paid)</t>
        </is>
      </c>
      <c r="AS2981" t="inlineStr">
        <is>
          <t>- Headcount: 3
- Hiring Job Details: 1 customer service, 1 customer service manager, 1 telemarketing (based in Puchong)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Once per quarter (75%)
- External job portal: Indeed (Paid)</t>
        </is>
      </c>
      <c r="AT2981">
        <v>110</v>
      </c>
      <c r="AU2981" t="inlineStr">
        <is>
          <t>1.10</t>
        </is>
      </c>
      <c r="AV2981" t="inlineStr">
        <is>
          <t>15</t>
        </is>
      </c>
      <c r="AW2981" t="inlineStr">
        <is>
          <t>0</t>
        </is>
      </c>
      <c r="AX2981" t="inlineStr">
        <is>
          <t>Not Qualified</t>
        </is>
      </c>
      <c r="AY2981" s="4"/>
      <c r="AZ2981"/>
      <c r="BA2981"/>
      <c r="BB2981"/>
      <c r="BC2981"/>
      <c r="BD2981" s="4"/>
      <c r="BE2981"/>
      <c r="BF2981"/>
      <c r="BG2981" t="inlineStr">
        <is>
          <t>Reschedule</t>
        </is>
      </c>
      <c r="BH2981" t="inlineStr">
        <is>
          <t>Edward Hoo</t>
        </is>
      </c>
      <c r="BI2981"/>
      <c r="BJ2981" s="4">
        <v>46144.75571759259</v>
      </c>
      <c r="BK2981" s="4">
        <v>46118.43486111111</v>
      </c>
      <c r="BL2981"/>
      <c r="BM2981"/>
      <c r="BN2981"/>
      <c r="BO2981" s="4"/>
      <c r="BP2981">
        <v>165312</v>
      </c>
      <c r="BQ2981"/>
      <c r="BR2981"/>
      <c r="BS2981"/>
      <c r="BT2981"/>
      <c r="BU2981"/>
      <c r="BV2981"/>
      <c r="BW2981"/>
      <c r="BX2981"/>
      <c r="BY2981"/>
      <c r="BZ2981" s="4"/>
      <c r="CA2981"/>
      <c r="CB2981"/>
      <c r="CC2981" s="4"/>
      <c r="CD2981" t="inlineStr">
        <is>
          <t>20</t>
        </is>
      </c>
      <c r="CE2981" t="inlineStr">
        <is>
          <t>0</t>
        </is>
      </c>
      <c r="CF2981" t="inlineStr">
        <is>
          <t>Q2-W01</t>
        </is>
      </c>
      <c r="CG2981"/>
      <c r="CH2981"/>
      <c r="CI2981"/>
      <c r="CJ2981" t="inlineStr">
        <is>
          <t>No Paid</t>
        </is>
      </c>
      <c r="CK2981" t="inlineStr">
        <is>
          <t>Not Eligible</t>
        </is>
      </c>
      <c r="CL2981"/>
      <c r="CM2981"/>
    </row>
    <row r="2982" ht="25.5" customHeight="1">
      <c r="A2982" t="inlineStr">
        <is>
          <t>4252714</t>
        </is>
      </c>
      <c r="B2982" s="2"/>
      <c r="C2982"/>
      <c r="D2982" s="3">
        <v>46118.683912037035</v>
      </c>
      <c r="E2982" t="inlineStr">
        <is>
          <t>Q2-W01</t>
        </is>
      </c>
      <c r="F2982" t="inlineStr">
        <is>
          <t>Josh</t>
        </is>
      </c>
      <c r="G2982" t="inlineStr">
        <is>
          <t>Lead</t>
        </is>
      </c>
      <c r="H2982" s="2" t="str">
        <f>=HYPERLINK("https://upbox.ajobthing.my/leads/4252714", "https://upbox.ajobthing.my/leads/4252714")</f>
        <v>https://upbox.ajobthing.my/leads/4252714</v>
      </c>
      <c r="I2982" t="inlineStr">
        <is>
          <t xml:space="preserve">Akademi Usahawan Melayu Malaysia </t>
        </is>
      </c>
      <c r="J2982"/>
      <c r="K2982" t="inlineStr">
        <is>
          <t>Josh</t>
        </is>
      </c>
      <c r="L2982" s="4"/>
      <c r="M2982" s="4">
        <v>46118.682546296295</v>
      </c>
      <c r="N2982"/>
      <c r="O2982">
        <v>864</v>
      </c>
      <c r="P2982" s="4"/>
      <c r="Q2982" s="4"/>
      <c r="R2982"/>
      <c r="S2982"/>
      <c r="T2982" s="4"/>
      <c r="U2982" s="4"/>
      <c r="V2982"/>
      <c r="W2982"/>
      <c r="X2982"/>
      <c r="Y2982" t="inlineStr">
        <is>
          <t>Pending Appointment</t>
        </is>
      </c>
      <c r="Z2982" t="inlineStr">
        <is>
          <t>Hiring Now</t>
        </is>
      </c>
      <c r="AA2982">
        <v>1</v>
      </c>
      <c r="AB2982" t="inlineStr">
        <is>
          <t>No Appointment Made</t>
        </is>
      </c>
      <c r="AC2982"/>
      <c r="AD2982" t="inlineStr">
        <is>
          <t xml:space="preserve">1 customer service </t>
        </is>
      </c>
      <c r="AE2982"/>
      <c r="AF2982">
        <v>1000</v>
      </c>
      <c r="AG2982" s="4"/>
      <c r="AH2982" s="4"/>
      <c r="AI2982"/>
      <c r="AJ2982"/>
      <c r="AK2982" t="inlineStr">
        <is>
          <t>Yes, I have</t>
        </is>
      </c>
      <c r="AL2982"/>
      <c r="AM2982"/>
      <c r="AN2982"/>
      <c r="AO2982"/>
      <c r="AP2982" t="inlineStr">
        <is>
          <t>Once a year (25%)</t>
        </is>
      </c>
      <c r="AQ2982"/>
      <c r="AR2982"/>
      <c r="AS2982" t="inlineStr">
        <is>
          <t>- Headcount: 1
- Hiring Job Details: 1 customer service
- Hiring Urgency: Hiring Now
- Number of outlets: Not available
- Have recruiter team: Yes
- Number of recruiter in company: Not available
- Have ATS system: Not available
- Have career website: Not available
- Current hiring budget: RM1,000.00
- Whole year budget: Not available
- Whole year number of vacancies: Not available
- Hiring frequency: Once a year (25%)
- External job portal: Not available</t>
        </is>
      </c>
      <c r="AT2982">
        <v>90</v>
      </c>
      <c r="AU2982" t="inlineStr">
        <is>
          <t>0.90</t>
        </is>
      </c>
      <c r="AV2982" t="inlineStr">
        <is>
          <t>15</t>
        </is>
      </c>
      <c r="AW2982" t="inlineStr">
        <is>
          <t>0</t>
        </is>
      </c>
      <c r="AX2982" t="inlineStr">
        <is>
          <t>Not Qualified</t>
        </is>
      </c>
      <c r="AY2982" s="4"/>
      <c r="AZ2982"/>
      <c r="BA2982"/>
      <c r="BB2982"/>
      <c r="BC2982"/>
      <c r="BD2982" s="4"/>
      <c r="BE2982"/>
      <c r="BF2982"/>
      <c r="BG2982" t="inlineStr">
        <is>
          <t>Reschedule</t>
        </is>
      </c>
      <c r="BH2982" t="inlineStr">
        <is>
          <t>Fauziah Maharan</t>
        </is>
      </c>
      <c r="BI2982"/>
      <c r="BJ2982" s="4">
        <v>46144.755740740744</v>
      </c>
      <c r="BK2982" s="4">
        <v>46118.63686342593</v>
      </c>
      <c r="BL2982"/>
      <c r="BM2982"/>
      <c r="BN2982"/>
      <c r="BO2982" s="4"/>
      <c r="BP2982">
        <v>165475</v>
      </c>
      <c r="BQ2982"/>
      <c r="BR2982"/>
      <c r="BS2982"/>
      <c r="BT2982"/>
      <c r="BU2982"/>
      <c r="BV2982"/>
      <c r="BW2982"/>
      <c r="BX2982"/>
      <c r="BY2982"/>
      <c r="BZ2982" s="4"/>
      <c r="CA2982"/>
      <c r="CB2982"/>
      <c r="CC2982" s="4"/>
      <c r="CD2982" t="inlineStr">
        <is>
          <t>20</t>
        </is>
      </c>
      <c r="CE2982" t="inlineStr">
        <is>
          <t>0</t>
        </is>
      </c>
      <c r="CF2982" t="inlineStr">
        <is>
          <t>Q2-W01</t>
        </is>
      </c>
      <c r="CG2982"/>
      <c r="CH2982"/>
      <c r="CI2982"/>
      <c r="CJ2982" t="inlineStr">
        <is>
          <t>No Paid</t>
        </is>
      </c>
      <c r="CK2982" t="inlineStr">
        <is>
          <t>Not Eligible</t>
        </is>
      </c>
      <c r="CL2982"/>
      <c r="CM2982"/>
    </row>
    <row r="2983" ht="25.5" customHeight="1">
      <c r="A2983" t="inlineStr">
        <is>
          <t>4226067</t>
        </is>
      </c>
      <c r="B2983" s="2"/>
      <c r="C2983"/>
      <c r="D2983" s="3">
        <v>46118.69510416667</v>
      </c>
      <c r="E2983" t="inlineStr">
        <is>
          <t>Q2-W01</t>
        </is>
      </c>
      <c r="F2983" t="inlineStr">
        <is>
          <t>Josh</t>
        </is>
      </c>
      <c r="G2983" t="inlineStr">
        <is>
          <t>Lead</t>
        </is>
      </c>
      <c r="H2983" s="2" t="str">
        <f>=HYPERLINK("https://upbox.ajobthing.my/leads/4226067", "https://upbox.ajobthing.my/leads/4226067")</f>
        <v>https://upbox.ajobthing.my/leads/4226067</v>
      </c>
      <c r="I2983" t="inlineStr">
        <is>
          <t xml:space="preserve">CHIROPRACTIC SPECIALTY CENTER </t>
        </is>
      </c>
      <c r="J2983"/>
      <c r="K2983" t="inlineStr">
        <is>
          <t>Josh</t>
        </is>
      </c>
      <c r="L2983" s="4"/>
      <c r="M2983" s="4">
        <v>46118.69569444445</v>
      </c>
      <c r="N2983"/>
      <c r="O2983">
        <v>864</v>
      </c>
      <c r="P2983" s="4"/>
      <c r="Q2983" s="4"/>
      <c r="R2983"/>
      <c r="S2983"/>
      <c r="T2983" s="4"/>
      <c r="U2983" s="4"/>
      <c r="V2983"/>
      <c r="W2983"/>
      <c r="X2983"/>
      <c r="Y2983" t="inlineStr">
        <is>
          <t>Pending Appointment</t>
        </is>
      </c>
      <c r="Z2983" t="inlineStr">
        <is>
          <t>Hiring Now</t>
        </is>
      </c>
      <c r="AA2983">
        <v>1</v>
      </c>
      <c r="AB2983" t="inlineStr">
        <is>
          <t>No Appointment Made</t>
        </is>
      </c>
      <c r="AC2983"/>
      <c r="AD2983" t="inlineStr">
        <is>
          <t xml:space="preserve">1 office manager </t>
        </is>
      </c>
      <c r="AE2983"/>
      <c r="AF2983">
        <v>1000</v>
      </c>
      <c r="AG2983" s="4"/>
      <c r="AH2983" s="4"/>
      <c r="AI2983"/>
      <c r="AJ2983"/>
      <c r="AK2983" t="inlineStr">
        <is>
          <t>Yes, I have</t>
        </is>
      </c>
      <c r="AL2983"/>
      <c r="AM2983"/>
      <c r="AN2983"/>
      <c r="AO2983"/>
      <c r="AP2983" t="inlineStr">
        <is>
          <t>Once a year (25%)</t>
        </is>
      </c>
      <c r="AQ2983"/>
      <c r="AR2983"/>
      <c r="AS2983" t="inlineStr">
        <is>
          <t>- Headcount: 1
- Hiring Job Details: 1 office manager
- Hiring Urgency: Hiring Now
- Number of outlets: Not provided
- Have recruiter team: Yes
- Number of recruiter in company: Not provided
- Have ATS system: Not provided
- Have career website: Not provided
- Current hiring budget: RM1,000.00
- Whole year budget: Not provided
- Whole year number of vacancies: Not provided
- Hiring frequency: Once a year (25%)
- External job portal: Not provided</t>
        </is>
      </c>
      <c r="AT2983">
        <v>95</v>
      </c>
      <c r="AU2983" t="inlineStr">
        <is>
          <t>0.95</t>
        </is>
      </c>
      <c r="AV2983" t="inlineStr">
        <is>
          <t>15</t>
        </is>
      </c>
      <c r="AW2983" t="inlineStr">
        <is>
          <t>0</t>
        </is>
      </c>
      <c r="AX2983" t="inlineStr">
        <is>
          <t>Not Qualified</t>
        </is>
      </c>
      <c r="AY2983" s="4"/>
      <c r="AZ2983"/>
      <c r="BA2983"/>
      <c r="BB2983"/>
      <c r="BC2983"/>
      <c r="BD2983" s="4"/>
      <c r="BE2983"/>
      <c r="BF2983"/>
      <c r="BG2983" t="inlineStr">
        <is>
          <t>Reschedule</t>
        </is>
      </c>
      <c r="BH2983" t="inlineStr">
        <is>
          <t>Fauziah Maharan</t>
        </is>
      </c>
      <c r="BI2983"/>
      <c r="BJ2983" s="4">
        <v>46144.7556712963</v>
      </c>
      <c r="BK2983" s="4">
        <v>46113.41532407407</v>
      </c>
      <c r="BL2983"/>
      <c r="BM2983"/>
      <c r="BN2983"/>
      <c r="BO2983" s="4"/>
      <c r="BP2983">
        <v>165485</v>
      </c>
      <c r="BQ2983"/>
      <c r="BR2983"/>
      <c r="BS2983"/>
      <c r="BT2983"/>
      <c r="BU2983"/>
      <c r="BV2983"/>
      <c r="BW2983"/>
      <c r="BX2983"/>
      <c r="BY2983"/>
      <c r="BZ2983" s="4"/>
      <c r="CA2983"/>
      <c r="CB2983"/>
      <c r="CC2983" s="4"/>
      <c r="CD2983" t="inlineStr">
        <is>
          <t>20</t>
        </is>
      </c>
      <c r="CE2983" t="inlineStr">
        <is>
          <t>0</t>
        </is>
      </c>
      <c r="CF2983" t="inlineStr">
        <is>
          <t>Q2-W01</t>
        </is>
      </c>
      <c r="CG2983"/>
      <c r="CH2983"/>
      <c r="CI2983"/>
      <c r="CJ2983" t="inlineStr">
        <is>
          <t>No Paid</t>
        </is>
      </c>
      <c r="CK2983" t="inlineStr">
        <is>
          <t>Not Eligible</t>
        </is>
      </c>
      <c r="CL2983"/>
      <c r="CM2983"/>
    </row>
    <row r="2984" ht="25.5" customHeight="1">
      <c r="A2984" t="inlineStr">
        <is>
          <t>4240293</t>
        </is>
      </c>
      <c r="B2984" s="2"/>
      <c r="C2984"/>
      <c r="D2984" s="3">
        <v>46118.71041666667</v>
      </c>
      <c r="E2984" t="inlineStr">
        <is>
          <t>Q2-W01</t>
        </is>
      </c>
      <c r="F2984" t="inlineStr">
        <is>
          <t>Chia Yee</t>
        </is>
      </c>
      <c r="G2984" t="inlineStr">
        <is>
          <t>Lead</t>
        </is>
      </c>
      <c r="H2984" s="2" t="str">
        <f>=HYPERLINK("https://upbox.ajobthing.my/leads/4240293", "https://upbox.ajobthing.my/leads/4240293")</f>
        <v>https://upbox.ajobthing.my/leads/4240293</v>
      </c>
      <c r="I2984" t="inlineStr">
        <is>
          <t>M&amp;S YESHUA ENTERPRISE</t>
        </is>
      </c>
      <c r="J2984"/>
      <c r="K2984" t="inlineStr">
        <is>
          <t>Chia Yee</t>
        </is>
      </c>
      <c r="L2984" s="4"/>
      <c r="M2984" s="4">
        <v>46118.710648148146</v>
      </c>
      <c r="N2984"/>
      <c r="O2984">
        <v>4968</v>
      </c>
      <c r="P2984" s="4"/>
      <c r="Q2984" s="4"/>
      <c r="R2984"/>
      <c r="S2984"/>
      <c r="T2984" s="4"/>
      <c r="U2984" s="4"/>
      <c r="V2984"/>
      <c r="W2984"/>
      <c r="X2984"/>
      <c r="Y2984" t="inlineStr">
        <is>
          <t>Pending Appointment</t>
        </is>
      </c>
      <c r="Z2984" t="inlineStr">
        <is>
          <t>Continuous Hiring</t>
        </is>
      </c>
      <c r="AA2984">
        <v>6</v>
      </c>
      <c r="AB2984" t="inlineStr">
        <is>
          <t>No Appointment Made</t>
        </is>
      </c>
      <c r="AC2984"/>
      <c r="AD2984" t="inlineStr">
        <is>
          <t>6 Barber</t>
        </is>
      </c>
      <c r="AE2984"/>
      <c r="AF2984">
        <v>0</v>
      </c>
      <c r="AG2984" s="4"/>
      <c r="AH2984" s="4"/>
      <c r="AI2984">
        <v>0</v>
      </c>
      <c r="AJ2984">
        <v>1</v>
      </c>
      <c r="AK2984" t="inlineStr">
        <is>
          <t>No, I don't need at all</t>
        </is>
      </c>
      <c r="AL2984">
        <v>1</v>
      </c>
      <c r="AM2984" t="inlineStr">
        <is>
          <t>No, I don't need at all</t>
        </is>
      </c>
      <c r="AN2984"/>
      <c r="AO2984" t="inlineStr">
        <is>
          <t>No, I don't need at all</t>
        </is>
      </c>
      <c r="AP2984" t="inlineStr">
        <is>
          <t>Twice a year (50%)</t>
        </is>
      </c>
      <c r="AQ2984">
        <v>6</v>
      </c>
      <c r="AR2984" t="inlineStr">
        <is>
          <t>Did not use any job portal</t>
        </is>
      </c>
      <c r="AS2984" t="inlineStr">
        <is>
          <t>- Headcount: 6
- Hiring Job Details: 6 Barber
- Hiring Urgency: Continuous Hiring
- Number of outlets: 1
- Have recruiter team: No, I don't need at all
- Number of recruiter in company: 1
- Have ATS system: No, I don't need at all
- Have career website: No, I don't need at all
- Current hiring budget: RM0
- Whole year budget: RM0.00
- Whole year number of vacancies: 6
- Hiring frequency: Twice a year (50%)
- External job portal: Did not use any job portal</t>
        </is>
      </c>
      <c r="AT2984">
        <v>110</v>
      </c>
      <c r="AU2984" t="inlineStr">
        <is>
          <t>1.10</t>
        </is>
      </c>
      <c r="AV2984" t="inlineStr">
        <is>
          <t>20</t>
        </is>
      </c>
      <c r="AW2984" t="inlineStr">
        <is>
          <t>0</t>
        </is>
      </c>
      <c r="AX2984" t="inlineStr">
        <is>
          <t>Not Qualified</t>
        </is>
      </c>
      <c r="AY2984" s="4"/>
      <c r="AZ2984"/>
      <c r="BA2984"/>
      <c r="BB2984"/>
      <c r="BC2984"/>
      <c r="BD2984" s="4"/>
      <c r="BE2984"/>
      <c r="BF2984"/>
      <c r="BG2984" t="inlineStr">
        <is>
          <t>Reschedule</t>
        </is>
      </c>
      <c r="BH2984" t="inlineStr">
        <is>
          <t>Reagen</t>
        </is>
      </c>
      <c r="BI2984"/>
      <c r="BJ2984" s="4">
        <v>46144.75571759259</v>
      </c>
      <c r="BK2984" s="4">
        <v>46115.747719907406</v>
      </c>
      <c r="BL2984"/>
      <c r="BM2984"/>
      <c r="BN2984"/>
      <c r="BO2984" s="4"/>
      <c r="BP2984">
        <v>165496</v>
      </c>
      <c r="BQ2984"/>
      <c r="BR2984"/>
      <c r="BS2984"/>
      <c r="BT2984"/>
      <c r="BU2984"/>
      <c r="BV2984"/>
      <c r="BW2984"/>
      <c r="BX2984"/>
      <c r="BY2984"/>
      <c r="BZ2984" s="4"/>
      <c r="CA2984"/>
      <c r="CB2984"/>
      <c r="CC2984" s="4"/>
      <c r="CD2984" t="inlineStr">
        <is>
          <t>30</t>
        </is>
      </c>
      <c r="CE2984" t="inlineStr">
        <is>
          <t>0</t>
        </is>
      </c>
      <c r="CF2984" t="inlineStr">
        <is>
          <t>Q2-W01</t>
        </is>
      </c>
      <c r="CG2984"/>
      <c r="CH2984"/>
      <c r="CI2984"/>
      <c r="CJ2984" t="inlineStr">
        <is>
          <t>No Paid</t>
        </is>
      </c>
      <c r="CK2984" t="inlineStr">
        <is>
          <t>Not Eligible</t>
        </is>
      </c>
      <c r="CL2984"/>
      <c r="CM2984"/>
    </row>
    <row r="2985" ht="25.5" customHeight="1">
      <c r="A2985" t="inlineStr">
        <is>
          <t>4253748</t>
        </is>
      </c>
      <c r="B2985" s="2"/>
      <c r="C2985"/>
      <c r="D2985" s="3">
        <v>46119.41641203704</v>
      </c>
      <c r="E2985" t="inlineStr">
        <is>
          <t>Q2-W01</t>
        </is>
      </c>
      <c r="F2985" t="inlineStr">
        <is>
          <t>Eugene</t>
        </is>
      </c>
      <c r="G2985" t="inlineStr">
        <is>
          <t>Lead</t>
        </is>
      </c>
      <c r="H2985" s="2" t="str">
        <f>=HYPERLINK("https://upbox.ajobthing.my/leads/4253748", "https://upbox.ajobthing.my/leads/4253748")</f>
        <v>https://upbox.ajobthing.my/leads/4253748</v>
      </c>
      <c r="I2985" t="inlineStr">
        <is>
          <t>YTL Electrical Supply Sdn Bhd</t>
        </is>
      </c>
      <c r="J2985"/>
      <c r="K2985" t="inlineStr">
        <is>
          <t>Eugene</t>
        </is>
      </c>
      <c r="L2985" s="4"/>
      <c r="M2985" s="4">
        <v>46119.415300925924</v>
      </c>
      <c r="N2985"/>
      <c r="O2985">
        <v>3888</v>
      </c>
      <c r="P2985" s="4"/>
      <c r="Q2985" s="4"/>
      <c r="R2985"/>
      <c r="S2985"/>
      <c r="T2985" s="4"/>
      <c r="U2985" s="4"/>
      <c r="V2985"/>
      <c r="W2985"/>
      <c r="X2985"/>
      <c r="Y2985" t="inlineStr">
        <is>
          <t>Pending Appointment</t>
        </is>
      </c>
      <c r="Z2985" t="inlineStr">
        <is>
          <t>Hiring Now</t>
        </is>
      </c>
      <c r="AA2985">
        <v>1</v>
      </c>
      <c r="AB2985" t="inlineStr">
        <is>
          <t>No Appointment Made</t>
        </is>
      </c>
      <c r="AC2985"/>
      <c r="AD2985" t="inlineStr">
        <is>
          <t>1 sales, based in Kedah</t>
        </is>
      </c>
      <c r="AE2985"/>
      <c r="AF2985">
        <v>1200</v>
      </c>
      <c r="AG2985" s="4"/>
      <c r="AH2985" s="4"/>
      <c r="AI2985">
        <v>1200</v>
      </c>
      <c r="AJ2985">
        <v>1</v>
      </c>
      <c r="AK2985" t="inlineStr">
        <is>
          <t>No, I don't need at all</t>
        </is>
      </c>
      <c r="AL2985">
        <v>0</v>
      </c>
      <c r="AM2985" t="inlineStr">
        <is>
          <t>No, I don't need at all</t>
        </is>
      </c>
      <c r="AN2985"/>
      <c r="AO2985" t="inlineStr">
        <is>
          <t>No, I don't need at all</t>
        </is>
      </c>
      <c r="AP2985" t="inlineStr">
        <is>
          <t>Once a year (25%)</t>
        </is>
      </c>
      <c r="AQ2985">
        <v>1</v>
      </c>
      <c r="AR2985" t="inlineStr">
        <is>
          <t>Did not use any job portal</t>
        </is>
      </c>
      <c r="AS2985" t="inlineStr">
        <is>
          <t>- Headcount: 1
- Hiring Job Details: 1 sales, based in Kedah
- Hiring Urgency: Hiring Now
- Number of outlets: 1
- Have recruiter team: No, I don't need at all
- Number of recruiter in company: 0
- Have ATS system: No, I don't need at all
- Have career website: No, I don't need at all
- Current hiring budget: RM1,200
- Whole year budget: RM1,200.00
- Whole year number of vacancies: 1
- Hiring frequency: Once a year (25%)
- External job portal: Did not use any job portal</t>
        </is>
      </c>
      <c r="AT2985">
        <v>115</v>
      </c>
      <c r="AU2985" t="inlineStr">
        <is>
          <t>1.15</t>
        </is>
      </c>
      <c r="AV2985" t="inlineStr">
        <is>
          <t>15</t>
        </is>
      </c>
      <c r="AW2985" t="inlineStr">
        <is>
          <t>0</t>
        </is>
      </c>
      <c r="AX2985" t="inlineStr">
        <is>
          <t>Not Qualified</t>
        </is>
      </c>
      <c r="AY2985" s="4"/>
      <c r="AZ2985"/>
      <c r="BA2985"/>
      <c r="BB2985"/>
      <c r="BC2985"/>
      <c r="BD2985" s="4"/>
      <c r="BE2985"/>
      <c r="BF2985"/>
      <c r="BG2985" t="inlineStr">
        <is>
          <t>Reschedule</t>
        </is>
      </c>
      <c r="BH2985" t="inlineStr">
        <is>
          <t>Edward Hoo</t>
        </is>
      </c>
      <c r="BI2985"/>
      <c r="BJ2985" s="4">
        <v>46144.755740740744</v>
      </c>
      <c r="BK2985" s="4">
        <v>46118.95930555555</v>
      </c>
      <c r="BL2985"/>
      <c r="BM2985"/>
      <c r="BN2985"/>
      <c r="BO2985" s="4"/>
      <c r="BP2985">
        <v>165544</v>
      </c>
      <c r="BQ2985"/>
      <c r="BR2985"/>
      <c r="BS2985"/>
      <c r="BT2985"/>
      <c r="BU2985"/>
      <c r="BV2985"/>
      <c r="BW2985"/>
      <c r="BX2985"/>
      <c r="BY2985"/>
      <c r="BZ2985" s="4"/>
      <c r="CA2985"/>
      <c r="CB2985"/>
      <c r="CC2985" s="4"/>
      <c r="CD2985" t="inlineStr">
        <is>
          <t>20</t>
        </is>
      </c>
      <c r="CE2985" t="inlineStr">
        <is>
          <t>0</t>
        </is>
      </c>
      <c r="CF2985" t="inlineStr">
        <is>
          <t>Q2-W01</t>
        </is>
      </c>
      <c r="CG2985"/>
      <c r="CH2985"/>
      <c r="CI2985"/>
      <c r="CJ2985" t="inlineStr">
        <is>
          <t>No Paid</t>
        </is>
      </c>
      <c r="CK2985" t="inlineStr">
        <is>
          <t>Not Eligible</t>
        </is>
      </c>
      <c r="CL2985"/>
      <c r="CM2985"/>
    </row>
    <row r="2986" ht="25.5" customHeight="1">
      <c r="A2986" t="inlineStr">
        <is>
          <t>4251832</t>
        </is>
      </c>
      <c r="B2986" s="2"/>
      <c r="C2986"/>
      <c r="D2986" s="3">
        <v>46119.485983796294</v>
      </c>
      <c r="E2986" t="inlineStr">
        <is>
          <t>Q2-W01</t>
        </is>
      </c>
      <c r="F2986" t="inlineStr">
        <is>
          <t>Evan</t>
        </is>
      </c>
      <c r="G2986" t="inlineStr">
        <is>
          <t>Lead</t>
        </is>
      </c>
      <c r="H2986" s="2" t="str">
        <f>=HYPERLINK("https://upbox.ajobthing.my/leads/4251832", "https://upbox.ajobthing.my/leads/4251832")</f>
        <v>https://upbox.ajobthing.my/leads/4251832</v>
      </c>
      <c r="I2986" t="inlineStr">
        <is>
          <t>Moonzy Kitchen Sdn Bhd</t>
        </is>
      </c>
      <c r="J2986"/>
      <c r="K2986" t="inlineStr">
        <is>
          <t>Evan</t>
        </is>
      </c>
      <c r="L2986" s="4"/>
      <c r="M2986" s="4">
        <v>46119.48741898148</v>
      </c>
      <c r="N2986"/>
      <c r="O2986">
        <v>3888</v>
      </c>
      <c r="P2986" s="4"/>
      <c r="Q2986" s="4"/>
      <c r="R2986"/>
      <c r="S2986"/>
      <c r="T2986" s="4"/>
      <c r="U2986" s="4"/>
      <c r="V2986"/>
      <c r="W2986"/>
      <c r="X2986"/>
      <c r="Y2986" t="inlineStr">
        <is>
          <t>Pending Appointment</t>
        </is>
      </c>
      <c r="Z2986" t="inlineStr">
        <is>
          <t>Hiring Now</t>
        </is>
      </c>
      <c r="AA2986">
        <v>3</v>
      </c>
      <c r="AB2986" t="inlineStr">
        <is>
          <t>No Appointment Made</t>
        </is>
      </c>
      <c r="AC2986"/>
      <c r="AD2986" t="inlineStr">
        <is>
          <t>1 sales, 1 service crew, 1 manager, all base in Johor</t>
        </is>
      </c>
      <c r="AE2986"/>
      <c r="AF2986">
        <v>1</v>
      </c>
      <c r="AG2986" s="4"/>
      <c r="AH2986" s="4"/>
      <c r="AI2986">
        <v>1</v>
      </c>
      <c r="AJ2986">
        <v>1</v>
      </c>
      <c r="AK2986" t="inlineStr">
        <is>
          <t>No, I don't need at all</t>
        </is>
      </c>
      <c r="AL2986">
        <v>1</v>
      </c>
      <c r="AM2986" t="inlineStr">
        <is>
          <t>No, I don't need at all</t>
        </is>
      </c>
      <c r="AN2986"/>
      <c r="AO2986" t="inlineStr">
        <is>
          <t>No, I don't need at all</t>
        </is>
      </c>
      <c r="AP2986" t="inlineStr">
        <is>
          <t>Once a year (25%)</t>
        </is>
      </c>
      <c r="AQ2986">
        <v>3</v>
      </c>
      <c r="AR2986" t="inlineStr">
        <is>
          <t>Did not use any job portal</t>
        </is>
      </c>
      <c r="AS2986" t="inlineStr">
        <is>
          <t>- Headcount: 3
- Hiring Job Details: 1 sales, 1 service crew, 1 manager (all base in Johor)
- Hiring Urgency: Hiring Now
- Number of outlets: 1
- Have recruiter team: No, I don't need at all
- Number of recruiter in company: 1
- Have ATS system: No, I don't need at all
- Have career website: No, I don't need at all
- Current hiring budget: RM1
- Whole year budget: RM1.00
- Whole year number of vacancies: 3
- Hiring frequency: Once a year (25%)
- External job portal: Did not use any job portal</t>
        </is>
      </c>
      <c r="AT2986">
        <v>110</v>
      </c>
      <c r="AU2986" t="inlineStr">
        <is>
          <t>1.10</t>
        </is>
      </c>
      <c r="AV2986" t="inlineStr">
        <is>
          <t>15</t>
        </is>
      </c>
      <c r="AW2986" t="inlineStr">
        <is>
          <t>0</t>
        </is>
      </c>
      <c r="AX2986" t="inlineStr">
        <is>
          <t>Not Qualified</t>
        </is>
      </c>
      <c r="AY2986" s="4"/>
      <c r="AZ2986"/>
      <c r="BA2986"/>
      <c r="BB2986"/>
      <c r="BC2986"/>
      <c r="BD2986" s="4"/>
      <c r="BE2986"/>
      <c r="BF2986"/>
      <c r="BG2986" t="inlineStr">
        <is>
          <t>Reschedule</t>
        </is>
      </c>
      <c r="BH2986" t="inlineStr">
        <is>
          <t>Edward Hoo</t>
        </is>
      </c>
      <c r="BI2986"/>
      <c r="BJ2986" s="4">
        <v>46144.75571759259</v>
      </c>
      <c r="BK2986" s="4">
        <v>46118.4969212963</v>
      </c>
      <c r="BL2986"/>
      <c r="BM2986"/>
      <c r="BN2986"/>
      <c r="BO2986" s="4"/>
      <c r="BP2986">
        <v>165609</v>
      </c>
      <c r="BQ2986"/>
      <c r="BR2986"/>
      <c r="BS2986"/>
      <c r="BT2986"/>
      <c r="BU2986"/>
      <c r="BV2986"/>
      <c r="BW2986"/>
      <c r="BX2986"/>
      <c r="BY2986"/>
      <c r="BZ2986" s="4"/>
      <c r="CA2986"/>
      <c r="CB2986"/>
      <c r="CC2986" s="4"/>
      <c r="CD2986" t="inlineStr">
        <is>
          <t>20</t>
        </is>
      </c>
      <c r="CE2986" t="inlineStr">
        <is>
          <t>0</t>
        </is>
      </c>
      <c r="CF2986" t="inlineStr">
        <is>
          <t>Q2-W01</t>
        </is>
      </c>
      <c r="CG2986"/>
      <c r="CH2986"/>
      <c r="CI2986"/>
      <c r="CJ2986" t="inlineStr">
        <is>
          <t>No Paid</t>
        </is>
      </c>
      <c r="CK2986" t="inlineStr">
        <is>
          <t>Not Eligible</t>
        </is>
      </c>
      <c r="CL2986"/>
      <c r="CM2986"/>
    </row>
    <row r="2987" ht="25.5" customHeight="1">
      <c r="A2987" t="inlineStr">
        <is>
          <t>4252007</t>
        </is>
      </c>
      <c r="B2987" s="2"/>
      <c r="C2987"/>
      <c r="D2987" s="3">
        <v>46119.53024305555</v>
      </c>
      <c r="E2987" t="inlineStr">
        <is>
          <t>Q2-W01</t>
        </is>
      </c>
      <c r="F2987" t="inlineStr">
        <is>
          <t>Chia Yee</t>
        </is>
      </c>
      <c r="G2987" t="inlineStr">
        <is>
          <t>Lead</t>
        </is>
      </c>
      <c r="H2987" s="2" t="str">
        <f>=HYPERLINK("https://upbox.ajobthing.my/leads/4252007", "https://upbox.ajobthing.my/leads/4252007")</f>
        <v>https://upbox.ajobthing.my/leads/4252007</v>
      </c>
      <c r="I2987" t="inlineStr">
        <is>
          <t>EZGLOW SOLUTION</t>
        </is>
      </c>
      <c r="J2987"/>
      <c r="K2987" t="inlineStr">
        <is>
          <t>Chia Yee</t>
        </is>
      </c>
      <c r="L2987" s="4"/>
      <c r="M2987" s="4">
        <v>46119.53103009259</v>
      </c>
      <c r="N2987"/>
      <c r="O2987">
        <v>8208</v>
      </c>
      <c r="P2987" s="4"/>
      <c r="Q2987" s="4"/>
      <c r="R2987"/>
      <c r="S2987"/>
      <c r="T2987" s="4"/>
      <c r="U2987" s="4"/>
      <c r="V2987"/>
      <c r="W2987"/>
      <c r="X2987"/>
      <c r="Y2987" t="inlineStr">
        <is>
          <t>Pending Appointment</t>
        </is>
      </c>
      <c r="Z2987" t="inlineStr">
        <is>
          <t>Continuous Hiring</t>
        </is>
      </c>
      <c r="AA2987">
        <v>20</v>
      </c>
      <c r="AB2987" t="inlineStr">
        <is>
          <t>No Appointment Made</t>
        </is>
      </c>
      <c r="AC2987"/>
      <c r="AD2987" t="inlineStr">
        <is>
          <t>20 Water filter agent</t>
        </is>
      </c>
      <c r="AE2987"/>
      <c r="AF2987">
        <v>0</v>
      </c>
      <c r="AG2987" s="4"/>
      <c r="AH2987" s="4"/>
      <c r="AI2987">
        <v>0</v>
      </c>
      <c r="AJ2987">
        <v>0</v>
      </c>
      <c r="AK2987" t="inlineStr">
        <is>
          <t>No, I don't need at all</t>
        </is>
      </c>
      <c r="AL2987">
        <v>1</v>
      </c>
      <c r="AM2987" t="inlineStr">
        <is>
          <t>No, I don't need at all</t>
        </is>
      </c>
      <c r="AN2987"/>
      <c r="AO2987" t="inlineStr">
        <is>
          <t>Yes, I have</t>
        </is>
      </c>
      <c r="AP2987" t="inlineStr">
        <is>
          <t>Once per quarter (75%)</t>
        </is>
      </c>
      <c r="AQ2987">
        <v>20</v>
      </c>
      <c r="AR2987" t="inlineStr">
        <is>
          <t>Did not use any job portal</t>
        </is>
      </c>
      <c r="AS2987" t="inlineStr">
        <is>
          <t>- Headcount: 20
- Hiring Job Details: 20 Water filter agent
- Hiring Urgency: Continuous Hiring
- Number of outlets: 0
- Have recruiter team: No, I don't need at all
- Number of recruiter in company: 1
- Have ATS system: No, I don't need at all
- Have career website: Yes, I have
- Current hiring budget: RM0.00
- Whole year budget: RM0.00
- Whole year number of vacancies: 20
- Hiring frequency: Once per quarter (75%)
- External job portal: Did not use any job portal</t>
        </is>
      </c>
      <c r="AT2987">
        <v>110</v>
      </c>
      <c r="AU2987" t="inlineStr">
        <is>
          <t>1.10</t>
        </is>
      </c>
      <c r="AV2987" t="inlineStr">
        <is>
          <t>25</t>
        </is>
      </c>
      <c r="AW2987" t="inlineStr">
        <is>
          <t>0</t>
        </is>
      </c>
      <c r="AX2987" t="inlineStr">
        <is>
          <t>Not Qualified</t>
        </is>
      </c>
      <c r="AY2987" s="4"/>
      <c r="AZ2987"/>
      <c r="BA2987"/>
      <c r="BB2987"/>
      <c r="BC2987"/>
      <c r="BD2987" s="4"/>
      <c r="BE2987"/>
      <c r="BF2987"/>
      <c r="BG2987" t="inlineStr">
        <is>
          <t>Reschedule</t>
        </is>
      </c>
      <c r="BH2987" t="inlineStr">
        <is>
          <t>Reagen</t>
        </is>
      </c>
      <c r="BI2987"/>
      <c r="BJ2987" s="4">
        <v>46144.75571759259</v>
      </c>
      <c r="BK2987" s="4">
        <v>46118.517962962964</v>
      </c>
      <c r="BL2987"/>
      <c r="BM2987"/>
      <c r="BN2987"/>
      <c r="BO2987" s="4"/>
      <c r="BP2987">
        <v>165641</v>
      </c>
      <c r="BQ2987"/>
      <c r="BR2987"/>
      <c r="BS2987"/>
      <c r="BT2987"/>
      <c r="BU2987"/>
      <c r="BV2987"/>
      <c r="BW2987"/>
      <c r="BX2987"/>
      <c r="BY2987"/>
      <c r="BZ2987" s="4"/>
      <c r="CA2987"/>
      <c r="CB2987"/>
      <c r="CC2987" s="4"/>
      <c r="CD2987" t="inlineStr">
        <is>
          <t>35</t>
        </is>
      </c>
      <c r="CE2987" t="inlineStr">
        <is>
          <t>0</t>
        </is>
      </c>
      <c r="CF2987" t="inlineStr">
        <is>
          <t>Q2-W01</t>
        </is>
      </c>
      <c r="CG2987"/>
      <c r="CH2987"/>
      <c r="CI2987"/>
      <c r="CJ2987" t="inlineStr">
        <is>
          <t>No Paid</t>
        </is>
      </c>
      <c r="CK2987" t="inlineStr">
        <is>
          <t>Eligible</t>
        </is>
      </c>
      <c r="CL2987"/>
      <c r="CM2987"/>
    </row>
    <row r="2988" ht="25.5" customHeight="1">
      <c r="A2988" t="inlineStr">
        <is>
          <t>4256282</t>
        </is>
      </c>
      <c r="B2988" s="2"/>
      <c r="C2988"/>
      <c r="D2988" s="3">
        <v>46119.65168981482</v>
      </c>
      <c r="E2988" t="inlineStr">
        <is>
          <t>Q2-W01</t>
        </is>
      </c>
      <c r="F2988" t="inlineStr">
        <is>
          <t>Lucas</t>
        </is>
      </c>
      <c r="G2988" t="inlineStr">
        <is>
          <t>Lead</t>
        </is>
      </c>
      <c r="H2988" s="2" t="str">
        <f>=HYPERLINK("https://upbox.ajobthing.my/leads/4256282", "https://upbox.ajobthing.my/leads/4256282")</f>
        <v>https://upbox.ajobthing.my/leads/4256282</v>
      </c>
      <c r="I2988" t="inlineStr">
        <is>
          <t>ALLKUN VENTURE (M) SDN BHD</t>
        </is>
      </c>
      <c r="J2988"/>
      <c r="K2988" t="inlineStr">
        <is>
          <t>Lucas</t>
        </is>
      </c>
      <c r="L2988" s="4"/>
      <c r="M2988" s="4">
        <v>46119.65053240741</v>
      </c>
      <c r="N2988"/>
      <c r="O2988">
        <v>3888</v>
      </c>
      <c r="P2988" s="4"/>
      <c r="Q2988" s="4"/>
      <c r="R2988"/>
      <c r="S2988"/>
      <c r="T2988" s="4"/>
      <c r="U2988" s="4"/>
      <c r="V2988"/>
      <c r="W2988"/>
      <c r="X2988"/>
      <c r="Y2988" t="inlineStr">
        <is>
          <t>Pending Appointment</t>
        </is>
      </c>
      <c r="Z2988" t="inlineStr">
        <is>
          <t>Hiring Now</t>
        </is>
      </c>
      <c r="AA2988">
        <v>1</v>
      </c>
      <c r="AB2988" t="inlineStr">
        <is>
          <t>No Appointment Made</t>
        </is>
      </c>
      <c r="AC2988"/>
      <c r="AD2988" t="inlineStr">
        <is>
          <t>1 admin</t>
        </is>
      </c>
      <c r="AE2988"/>
      <c r="AF2988">
        <v>0</v>
      </c>
      <c r="AG2988" s="4"/>
      <c r="AH2988" s="4"/>
      <c r="AI2988">
        <v>0</v>
      </c>
      <c r="AJ2988"/>
      <c r="AK2988" t="inlineStr">
        <is>
          <t>No, I don't need at all</t>
        </is>
      </c>
      <c r="AL2988">
        <v>0</v>
      </c>
      <c r="AM2988" t="inlineStr">
        <is>
          <t>No, I don't need at all</t>
        </is>
      </c>
      <c r="AN2988"/>
      <c r="AO2988" t="inlineStr">
        <is>
          <t>No, I don't need at all</t>
        </is>
      </c>
      <c r="AP2988" t="inlineStr">
        <is>
          <t>Once a year (25%)</t>
        </is>
      </c>
      <c r="AQ2988">
        <v>1</v>
      </c>
      <c r="AR2988" t="inlineStr">
        <is>
          <t>Free Job Portal</t>
        </is>
      </c>
      <c r="AS2988"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Free Job Portal</t>
        </is>
      </c>
      <c r="AT2988">
        <v>115</v>
      </c>
      <c r="AU2988" t="inlineStr">
        <is>
          <t>1.15</t>
        </is>
      </c>
      <c r="AV2988" t="inlineStr">
        <is>
          <t>15</t>
        </is>
      </c>
      <c r="AW2988" t="inlineStr">
        <is>
          <t>0</t>
        </is>
      </c>
      <c r="AX2988" t="inlineStr">
        <is>
          <t>Not Qualified</t>
        </is>
      </c>
      <c r="AY2988" s="4"/>
      <c r="AZ2988"/>
      <c r="BA2988"/>
      <c r="BB2988"/>
      <c r="BC2988"/>
      <c r="BD2988" s="4"/>
      <c r="BE2988"/>
      <c r="BF2988"/>
      <c r="BG2988" t="inlineStr">
        <is>
          <t>Reschedule</t>
        </is>
      </c>
      <c r="BH2988" t="inlineStr">
        <is>
          <t>Yee Hang</t>
        </is>
      </c>
      <c r="BI2988"/>
      <c r="BJ2988" s="4">
        <v>46144.755740740744</v>
      </c>
      <c r="BK2988" s="4">
        <v>46119.607199074075</v>
      </c>
      <c r="BL2988"/>
      <c r="BM2988"/>
      <c r="BN2988"/>
      <c r="BO2988" s="4"/>
      <c r="BP2988">
        <v>165716</v>
      </c>
      <c r="BQ2988"/>
      <c r="BR2988"/>
      <c r="BS2988"/>
      <c r="BT2988"/>
      <c r="BU2988"/>
      <c r="BV2988"/>
      <c r="BW2988"/>
      <c r="BX2988"/>
      <c r="BY2988"/>
      <c r="BZ2988" s="4"/>
      <c r="CA2988"/>
      <c r="CB2988"/>
      <c r="CC2988" s="4"/>
      <c r="CD2988" t="inlineStr">
        <is>
          <t>20</t>
        </is>
      </c>
      <c r="CE2988" t="inlineStr">
        <is>
          <t>0</t>
        </is>
      </c>
      <c r="CF2988" t="inlineStr">
        <is>
          <t>Q2-W01</t>
        </is>
      </c>
      <c r="CG2988"/>
      <c r="CH2988"/>
      <c r="CI2988"/>
      <c r="CJ2988" t="inlineStr">
        <is>
          <t>No Paid</t>
        </is>
      </c>
      <c r="CK2988" t="inlineStr">
        <is>
          <t>Not Eligible</t>
        </is>
      </c>
      <c r="CL2988"/>
      <c r="CM2988"/>
    </row>
    <row r="2989" ht="25.5" customHeight="1">
      <c r="A2989" t="inlineStr">
        <is>
          <t>4259714</t>
        </is>
      </c>
      <c r="B2989" s="2"/>
      <c r="C2989"/>
      <c r="D2989" s="3">
        <v>46120.48502314815</v>
      </c>
      <c r="E2989" t="inlineStr">
        <is>
          <t>Q2-W01</t>
        </is>
      </c>
      <c r="F2989" t="inlineStr">
        <is>
          <t>Josh</t>
        </is>
      </c>
      <c r="G2989" t="inlineStr">
        <is>
          <t>Lead</t>
        </is>
      </c>
      <c r="H2989" s="2" t="str">
        <f>=HYPERLINK("https://upbox.ajobthing.my/leads/4259714", "https://upbox.ajobthing.my/leads/4259714")</f>
        <v>https://upbox.ajobthing.my/leads/4259714</v>
      </c>
      <c r="I2989" t="inlineStr">
        <is>
          <t xml:space="preserve">ITP FOODS SDN BHD </t>
        </is>
      </c>
      <c r="J2989"/>
      <c r="K2989" t="inlineStr">
        <is>
          <t>Josh</t>
        </is>
      </c>
      <c r="L2989" s="4"/>
      <c r="M2989" s="4">
        <v>46120.48800925926</v>
      </c>
      <c r="N2989"/>
      <c r="O2989">
        <v>5832</v>
      </c>
      <c r="P2989" s="4"/>
      <c r="Q2989" s="4"/>
      <c r="R2989"/>
      <c r="S2989"/>
      <c r="T2989" s="4"/>
      <c r="U2989" s="4"/>
      <c r="V2989"/>
      <c r="W2989"/>
      <c r="X2989"/>
      <c r="Y2989" t="inlineStr">
        <is>
          <t>Pending Appointment</t>
        </is>
      </c>
      <c r="Z2989" t="inlineStr">
        <is>
          <t>Hiring Now</t>
        </is>
      </c>
      <c r="AA2989">
        <v>2</v>
      </c>
      <c r="AB2989" t="inlineStr">
        <is>
          <t>No Appointment Made</t>
        </is>
      </c>
      <c r="AC2989"/>
      <c r="AD2989" t="inlineStr">
        <is>
          <t>1 production, 1 logistic</t>
        </is>
      </c>
      <c r="AE2989"/>
      <c r="AF2989">
        <v>3000</v>
      </c>
      <c r="AG2989" s="4"/>
      <c r="AH2989" s="4"/>
      <c r="AI2989"/>
      <c r="AJ2989"/>
      <c r="AK2989" t="inlineStr">
        <is>
          <t>Yes, I have</t>
        </is>
      </c>
      <c r="AL2989"/>
      <c r="AM2989"/>
      <c r="AN2989"/>
      <c r="AO2989"/>
      <c r="AP2989" t="inlineStr">
        <is>
          <t>Once a year (25%)</t>
        </is>
      </c>
      <c r="AQ2989"/>
      <c r="AR2989"/>
      <c r="AS2989" t="inlineStr">
        <is>
          <t>- Headcount: 2
- Hiring Job Details: 1 production, 1 logistic
- Hiring Urgency: Hiring Now
- Number of outlets: Not available
- Have recruiter team: Yes
- Number of recruiter in company: Not available
- Have ATS system: Not available
- Have career website: Not available
- Current hiring budget: RM3,000.00
- Whole year budget: Not available
- Whole year number of vacancies: Not available
- Hiring frequency: Once a year (25%)
- External job portal: Not available</t>
        </is>
      </c>
      <c r="AT2989">
        <v>90</v>
      </c>
      <c r="AU2989" t="inlineStr">
        <is>
          <t>0.90</t>
        </is>
      </c>
      <c r="AV2989" t="inlineStr">
        <is>
          <t>15</t>
        </is>
      </c>
      <c r="AW2989" t="inlineStr">
        <is>
          <t>0</t>
        </is>
      </c>
      <c r="AX2989" t="inlineStr">
        <is>
          <t>Not Qualified</t>
        </is>
      </c>
      <c r="AY2989" s="4"/>
      <c r="AZ2989"/>
      <c r="BA2989"/>
      <c r="BB2989"/>
      <c r="BC2989"/>
      <c r="BD2989" s="4"/>
      <c r="BE2989"/>
      <c r="BF2989"/>
      <c r="BG2989" t="inlineStr">
        <is>
          <t>Reschedule</t>
        </is>
      </c>
      <c r="BH2989" t="inlineStr">
        <is>
          <t>Fauziah Maharan</t>
        </is>
      </c>
      <c r="BI2989"/>
      <c r="BJ2989" s="4">
        <v>46144.75576388889</v>
      </c>
      <c r="BK2989" s="4">
        <v>46120.45673611111</v>
      </c>
      <c r="BL2989"/>
      <c r="BM2989"/>
      <c r="BN2989"/>
      <c r="BO2989" s="4"/>
      <c r="BP2989">
        <v>165878</v>
      </c>
      <c r="BQ2989"/>
      <c r="BR2989"/>
      <c r="BS2989"/>
      <c r="BT2989"/>
      <c r="BU2989"/>
      <c r="BV2989"/>
      <c r="BW2989"/>
      <c r="BX2989"/>
      <c r="BY2989"/>
      <c r="BZ2989" s="4"/>
      <c r="CA2989"/>
      <c r="CB2989"/>
      <c r="CC2989" s="4"/>
      <c r="CD2989" t="inlineStr">
        <is>
          <t>20</t>
        </is>
      </c>
      <c r="CE2989" t="inlineStr">
        <is>
          <t>0</t>
        </is>
      </c>
      <c r="CF2989" t="inlineStr">
        <is>
          <t>Q2-W01</t>
        </is>
      </c>
      <c r="CG2989"/>
      <c r="CH2989"/>
      <c r="CI2989"/>
      <c r="CJ2989" t="inlineStr">
        <is>
          <t>No Paid</t>
        </is>
      </c>
      <c r="CK2989" t="inlineStr">
        <is>
          <t>Not Eligible</t>
        </is>
      </c>
      <c r="CL2989"/>
      <c r="CM2989"/>
    </row>
    <row r="2990" ht="25.5" customHeight="1">
      <c r="A2990" t="inlineStr">
        <is>
          <t>4199786</t>
        </is>
      </c>
      <c r="B2990" s="2"/>
      <c r="C2990"/>
      <c r="D2990" s="3">
        <v>46120.49109953704</v>
      </c>
      <c r="E2990" t="inlineStr">
        <is>
          <t>Q2-W01</t>
        </is>
      </c>
      <c r="F2990" t="inlineStr">
        <is>
          <t>Janice Yap</t>
        </is>
      </c>
      <c r="G2990" t="inlineStr">
        <is>
          <t>Lead</t>
        </is>
      </c>
      <c r="H2990" s="2" t="str">
        <f>=HYPERLINK("https://upbox.ajobthing.my/leads/4199786", "https://upbox.ajobthing.my/leads/4199786")</f>
        <v>https://upbox.ajobthing.my/leads/4199786</v>
      </c>
      <c r="I2990" t="inlineStr">
        <is>
          <t xml:space="preserve">YSC METAL SDN BHD </t>
        </is>
      </c>
      <c r="J2990"/>
      <c r="K2990" t="inlineStr">
        <is>
          <t>Janice</t>
        </is>
      </c>
      <c r="L2990" s="4"/>
      <c r="M2990" s="4">
        <v>46120.48761574074</v>
      </c>
      <c r="N2990"/>
      <c r="O2990">
        <v>3888</v>
      </c>
      <c r="P2990" s="4"/>
      <c r="Q2990" s="4"/>
      <c r="R2990"/>
      <c r="S2990"/>
      <c r="T2990" s="4"/>
      <c r="U2990" s="4"/>
      <c r="V2990"/>
      <c r="W2990"/>
      <c r="X2990"/>
      <c r="Y2990" t="inlineStr">
        <is>
          <t>Pending Appointment</t>
        </is>
      </c>
      <c r="Z2990" t="inlineStr">
        <is>
          <t>Hiring Now</t>
        </is>
      </c>
      <c r="AA2990">
        <v>1</v>
      </c>
      <c r="AB2990" t="inlineStr">
        <is>
          <t>No Appointment Made</t>
        </is>
      </c>
      <c r="AC2990"/>
      <c r="AD2990" t="inlineStr">
        <is>
          <t>1 admin</t>
        </is>
      </c>
      <c r="AE2990"/>
      <c r="AF2990">
        <v>0</v>
      </c>
      <c r="AG2990" s="4"/>
      <c r="AH2990" s="4"/>
      <c r="AI2990">
        <v>0</v>
      </c>
      <c r="AJ2990"/>
      <c r="AK2990" t="inlineStr">
        <is>
          <t>No, I don't need at all</t>
        </is>
      </c>
      <c r="AL2990">
        <v>0</v>
      </c>
      <c r="AM2990" t="inlineStr">
        <is>
          <t>No, I don't need at all</t>
        </is>
      </c>
      <c r="AN2990"/>
      <c r="AO2990" t="inlineStr">
        <is>
          <t>No, I don't need at all</t>
        </is>
      </c>
      <c r="AP2990" t="inlineStr">
        <is>
          <t>Once a year (25%)</t>
        </is>
      </c>
      <c r="AQ2990">
        <v>1</v>
      </c>
      <c r="AR2990"/>
      <c r="AS2990" t="inlineStr">
        <is>
          <t>- Headcount: 1
- Hiring Job Details: 1 admin
- Hiring Urgency: Hiring Now
- Number of outlets: Not provided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Not provided</t>
        </is>
      </c>
      <c r="AT2990">
        <v>110</v>
      </c>
      <c r="AU2990" t="inlineStr">
        <is>
          <t>1.10</t>
        </is>
      </c>
      <c r="AV2990" t="inlineStr">
        <is>
          <t>15</t>
        </is>
      </c>
      <c r="AW2990" t="inlineStr">
        <is>
          <t>0</t>
        </is>
      </c>
      <c r="AX2990" t="inlineStr">
        <is>
          <t>Not Qualified</t>
        </is>
      </c>
      <c r="AY2990" s="4"/>
      <c r="AZ2990"/>
      <c r="BA2990"/>
      <c r="BB2990"/>
      <c r="BC2990"/>
      <c r="BD2990" s="4"/>
      <c r="BE2990"/>
      <c r="BF2990"/>
      <c r="BG2990" t="inlineStr">
        <is>
          <t>Reschedule</t>
        </is>
      </c>
      <c r="BH2990" t="inlineStr">
        <is>
          <t>Yee Hang</t>
        </is>
      </c>
      <c r="BI2990"/>
      <c r="BJ2990" s="4">
        <v>46144.755625</v>
      </c>
      <c r="BK2990" s="4">
        <v>46107.39675925926</v>
      </c>
      <c r="BL2990"/>
      <c r="BM2990"/>
      <c r="BN2990"/>
      <c r="BO2990" s="4"/>
      <c r="BP2990">
        <v>165877</v>
      </c>
      <c r="BQ2990"/>
      <c r="BR2990"/>
      <c r="BS2990"/>
      <c r="BT2990"/>
      <c r="BU2990"/>
      <c r="BV2990"/>
      <c r="BW2990"/>
      <c r="BX2990"/>
      <c r="BY2990"/>
      <c r="BZ2990" s="4"/>
      <c r="CA2990"/>
      <c r="CB2990"/>
      <c r="CC2990" s="4"/>
      <c r="CD2990" t="inlineStr">
        <is>
          <t>20</t>
        </is>
      </c>
      <c r="CE2990" t="inlineStr">
        <is>
          <t>0</t>
        </is>
      </c>
      <c r="CF2990" t="inlineStr">
        <is>
          <t>Q2-W01</t>
        </is>
      </c>
      <c r="CG2990"/>
      <c r="CH2990"/>
      <c r="CI2990"/>
      <c r="CJ2990" t="inlineStr">
        <is>
          <t>No Paid</t>
        </is>
      </c>
      <c r="CK2990" t="inlineStr">
        <is>
          <t>Not Eligible</t>
        </is>
      </c>
      <c r="CL2990"/>
      <c r="CM2990"/>
    </row>
    <row r="2991" ht="25.5" customHeight="1">
      <c r="A2991" t="inlineStr">
        <is>
          <t>4260559</t>
        </is>
      </c>
      <c r="B2991" s="2"/>
      <c r="C2991"/>
      <c r="D2991" s="3">
        <v>46120.638240740744</v>
      </c>
      <c r="E2991" t="inlineStr">
        <is>
          <t>Q2-W01</t>
        </is>
      </c>
      <c r="F2991" t="inlineStr">
        <is>
          <t>Chia Yee</t>
        </is>
      </c>
      <c r="G2991" t="inlineStr">
        <is>
          <t>Lead</t>
        </is>
      </c>
      <c r="H2991" s="2" t="str">
        <f>=HYPERLINK("https://upbox.ajobthing.my/leads/4260559", "https://upbox.ajobthing.my/leads/4260559")</f>
        <v>https://upbox.ajobthing.my/leads/4260559</v>
      </c>
      <c r="I2991" t="inlineStr">
        <is>
          <t>Jetaine Corporation Sdn Bhd</t>
        </is>
      </c>
      <c r="J2991"/>
      <c r="K2991" t="inlineStr">
        <is>
          <t>Chia Yee</t>
        </is>
      </c>
      <c r="L2991" s="4"/>
      <c r="M2991" s="4">
        <v>46122.379745370374</v>
      </c>
      <c r="N2991"/>
      <c r="O2991">
        <v>1296</v>
      </c>
      <c r="P2991" s="4"/>
      <c r="Q2991" s="4"/>
      <c r="R2991"/>
      <c r="S2991"/>
      <c r="T2991" s="4"/>
      <c r="U2991" s="4"/>
      <c r="V2991"/>
      <c r="W2991"/>
      <c r="X2991"/>
      <c r="Y2991" t="inlineStr">
        <is>
          <t>Pending Appointment</t>
        </is>
      </c>
      <c r="Z2991" t="inlineStr">
        <is>
          <t>Hiring Now</t>
        </is>
      </c>
      <c r="AA2991">
        <v>2</v>
      </c>
      <c r="AB2991" t="inlineStr">
        <is>
          <t>No Appointment Made</t>
        </is>
      </c>
      <c r="AC2991"/>
      <c r="AD2991" t="inlineStr">
        <is>
          <t>1 Area Sales Manager (Melaka &amp; Johor), 1 Accounts Assistant</t>
        </is>
      </c>
      <c r="AE2991"/>
      <c r="AF2991">
        <v>0</v>
      </c>
      <c r="AG2991" s="4"/>
      <c r="AH2991" s="4"/>
      <c r="AI2991">
        <v>0</v>
      </c>
      <c r="AJ2991">
        <v>1</v>
      </c>
      <c r="AK2991" t="inlineStr">
        <is>
          <t>No, I don't need at all</t>
        </is>
      </c>
      <c r="AL2991">
        <v>1</v>
      </c>
      <c r="AM2991" t="inlineStr">
        <is>
          <t>No, I don't need at all</t>
        </is>
      </c>
      <c r="AN2991"/>
      <c r="AO2991" t="inlineStr">
        <is>
          <t>No, I don't need at all</t>
        </is>
      </c>
      <c r="AP2991" t="inlineStr">
        <is>
          <t>Once a year (25%)</t>
        </is>
      </c>
      <c r="AQ2991">
        <v>2</v>
      </c>
      <c r="AR2991" t="inlineStr">
        <is>
          <t>Did not use any job portal</t>
        </is>
      </c>
      <c r="AS2991" t="inlineStr">
        <is>
          <t>- Headcount: 2
- Hiring Job Details: 1 Area Sales Manager (Melaka &amp; Johor), 1 Accounts Assistant
- Hiring Urgency: Hiring Now
- Number of outlets: 1
- Have recruiter team: No, I don't need at all
- Number of recruiter in company: 1
- Have ATS system: No, I don't need at all
- Have career website: No, I don't need at all
- Current hiring budget: RM0
- Whole year budget: RM0.00
- Whole year number of vacancies: 2
- Hiring frequency: Once a year (25%)
- External job portal: Did not use any job portal</t>
        </is>
      </c>
      <c r="AT2991">
        <v>115</v>
      </c>
      <c r="AU2991" t="inlineStr">
        <is>
          <t>1.15</t>
        </is>
      </c>
      <c r="AV2991" t="inlineStr">
        <is>
          <t>15</t>
        </is>
      </c>
      <c r="AW2991" t="inlineStr">
        <is>
          <t>0</t>
        </is>
      </c>
      <c r="AX2991" t="inlineStr">
        <is>
          <t>Not Qualified</t>
        </is>
      </c>
      <c r="AY2991" s="4"/>
      <c r="AZ2991"/>
      <c r="BA2991"/>
      <c r="BB2991"/>
      <c r="BC2991"/>
      <c r="BD2991" s="4"/>
      <c r="BE2991"/>
      <c r="BF2991"/>
      <c r="BG2991" t="inlineStr">
        <is>
          <t>Reschedule</t>
        </is>
      </c>
      <c r="BH2991" t="inlineStr">
        <is>
          <t>Reagen</t>
        </is>
      </c>
      <c r="BI2991"/>
      <c r="BJ2991" s="4">
        <v>46144.75576388889</v>
      </c>
      <c r="BK2991" s="4">
        <v>46120.59929398148</v>
      </c>
      <c r="BL2991"/>
      <c r="BM2991"/>
      <c r="BN2991"/>
      <c r="BO2991" s="4"/>
      <c r="BP2991">
        <v>166325</v>
      </c>
      <c r="BQ2991"/>
      <c r="BR2991"/>
      <c r="BS2991"/>
      <c r="BT2991"/>
      <c r="BU2991"/>
      <c r="BV2991"/>
      <c r="BW2991"/>
      <c r="BX2991"/>
      <c r="BY2991"/>
      <c r="BZ2991" s="4"/>
      <c r="CA2991"/>
      <c r="CB2991"/>
      <c r="CC2991" s="4"/>
      <c r="CD2991" t="inlineStr">
        <is>
          <t>20</t>
        </is>
      </c>
      <c r="CE2991" t="inlineStr">
        <is>
          <t>0</t>
        </is>
      </c>
      <c r="CF2991" t="inlineStr">
        <is>
          <t>Q2-W02</t>
        </is>
      </c>
      <c r="CG2991"/>
      <c r="CH2991"/>
      <c r="CI2991"/>
      <c r="CJ2991" t="inlineStr">
        <is>
          <t>No Paid</t>
        </is>
      </c>
      <c r="CK2991" t="inlineStr">
        <is>
          <t>Not Eligible</t>
        </is>
      </c>
      <c r="CL2991"/>
      <c r="CM2991"/>
    </row>
    <row r="2992" ht="25.5" customHeight="1">
      <c r="A2992" t="inlineStr">
        <is>
          <t>4259438</t>
        </is>
      </c>
      <c r="B2992" s="2"/>
      <c r="C2992"/>
      <c r="D2992" s="3">
        <v>46120.639918981484</v>
      </c>
      <c r="E2992" t="inlineStr">
        <is>
          <t>Q2-W01</t>
        </is>
      </c>
      <c r="F2992" t="inlineStr">
        <is>
          <t>Ken Yi</t>
        </is>
      </c>
      <c r="G2992" t="inlineStr">
        <is>
          <t>Lead</t>
        </is>
      </c>
      <c r="H2992" s="2" t="str">
        <f>=HYPERLINK("https://upbox.ajobthing.my/leads/4259438", "https://upbox.ajobthing.my/leads/4259438")</f>
        <v>https://upbox.ajobthing.my/leads/4259438</v>
      </c>
      <c r="I2992" t="inlineStr">
        <is>
          <t>DATACRYPTIC TECHNOLOGIES SDN BHD</t>
        </is>
      </c>
      <c r="J2992"/>
      <c r="K2992" t="inlineStr">
        <is>
          <t>Kenyi</t>
        </is>
      </c>
      <c r="L2992" s="4"/>
      <c r="M2992" s="4">
        <v>46120.65604166667</v>
      </c>
      <c r="N2992"/>
      <c r="O2992">
        <v>3888</v>
      </c>
      <c r="P2992" s="4"/>
      <c r="Q2992" s="4"/>
      <c r="R2992"/>
      <c r="S2992"/>
      <c r="T2992" s="4"/>
      <c r="U2992" s="4"/>
      <c r="V2992"/>
      <c r="W2992"/>
      <c r="X2992"/>
      <c r="Y2992" t="inlineStr">
        <is>
          <t>Pending Appointment</t>
        </is>
      </c>
      <c r="Z2992" t="inlineStr">
        <is>
          <t>Hiring Now</t>
        </is>
      </c>
      <c r="AA2992">
        <v>2</v>
      </c>
      <c r="AB2992" t="inlineStr">
        <is>
          <t>No Appointment Made</t>
        </is>
      </c>
      <c r="AC2992"/>
      <c r="AD2992" t="inlineStr">
        <is>
          <t>Internship 1, full time staff 1</t>
        </is>
      </c>
      <c r="AE2992"/>
      <c r="AF2992">
        <v>0</v>
      </c>
      <c r="AG2992" s="4"/>
      <c r="AH2992" s="4"/>
      <c r="AI2992">
        <v>0</v>
      </c>
      <c r="AJ2992">
        <v>1</v>
      </c>
      <c r="AK2992" t="inlineStr">
        <is>
          <t>Yes, I have</t>
        </is>
      </c>
      <c r="AL2992">
        <v>1</v>
      </c>
      <c r="AM2992" t="inlineStr">
        <is>
          <t>No, I don't need at all</t>
        </is>
      </c>
      <c r="AN2992"/>
      <c r="AO2992" t="inlineStr">
        <is>
          <t>No, I don't need at all</t>
        </is>
      </c>
      <c r="AP2992" t="inlineStr">
        <is>
          <t>Every month (100%)</t>
        </is>
      </c>
      <c r="AQ2992">
        <v>1</v>
      </c>
      <c r="AR2992" t="inlineStr">
        <is>
          <t>Jobstreet, Free Job Portal</t>
        </is>
      </c>
      <c r="AS2992" t="inlineStr">
        <is>
          <t>- Headcount: 2
- Hiring Job Details: 1 Internship, 1 full time staff
- Hiring Urgency: Hiring Now
- Number of outlets: 1
- Have recruiter team: Yes
- Number of recruiter in company: 1
- Have ATS system: No, I don't need at all
- Have career website: No, I don't need at all
- Current hiring budget: RM0
- Whole year budget: RM0.00
- Whole year number of vacancies: 1
- Hiring frequency: Every month (100%)
- External job portal: Jobstreet, Free Job Portal</t>
        </is>
      </c>
      <c r="AT2992">
        <v>85</v>
      </c>
      <c r="AU2992" t="inlineStr">
        <is>
          <t>0.85</t>
        </is>
      </c>
      <c r="AV2992" t="inlineStr">
        <is>
          <t>15</t>
        </is>
      </c>
      <c r="AW2992" t="inlineStr">
        <is>
          <t>0</t>
        </is>
      </c>
      <c r="AX2992" t="inlineStr">
        <is>
          <t>Not Qualified</t>
        </is>
      </c>
      <c r="AY2992" s="4"/>
      <c r="AZ2992"/>
      <c r="BA2992"/>
      <c r="BB2992"/>
      <c r="BC2992"/>
      <c r="BD2992" s="4"/>
      <c r="BE2992"/>
      <c r="BF2992"/>
      <c r="BG2992" t="inlineStr">
        <is>
          <t>Reschedule</t>
        </is>
      </c>
      <c r="BH2992" t="inlineStr">
        <is>
          <t>Fauziah Maharan</t>
        </is>
      </c>
      <c r="BI2992"/>
      <c r="BJ2992" s="4">
        <v>46144.75576388889</v>
      </c>
      <c r="BK2992" s="4">
        <v>46120.421944444446</v>
      </c>
      <c r="BL2992"/>
      <c r="BM2992"/>
      <c r="BN2992"/>
      <c r="BO2992" s="4"/>
      <c r="BP2992">
        <v>165967</v>
      </c>
      <c r="BQ2992"/>
      <c r="BR2992"/>
      <c r="BS2992"/>
      <c r="BT2992"/>
      <c r="BU2992"/>
      <c r="BV2992"/>
      <c r="BW2992"/>
      <c r="BX2992"/>
      <c r="BY2992"/>
      <c r="BZ2992" s="4"/>
      <c r="CA2992"/>
      <c r="CB2992"/>
      <c r="CC2992" s="4"/>
      <c r="CD2992" t="inlineStr">
        <is>
          <t>20</t>
        </is>
      </c>
      <c r="CE2992" t="inlineStr">
        <is>
          <t>0</t>
        </is>
      </c>
      <c r="CF2992" t="inlineStr">
        <is>
          <t>Q2-W01</t>
        </is>
      </c>
      <c r="CG2992"/>
      <c r="CH2992"/>
      <c r="CI2992"/>
      <c r="CJ2992" t="inlineStr">
        <is>
          <t>No Paid</t>
        </is>
      </c>
      <c r="CK2992" t="inlineStr">
        <is>
          <t>Not Eligible</t>
        </is>
      </c>
      <c r="CL2992"/>
      <c r="CM2992"/>
    </row>
    <row r="2993" ht="25.5" customHeight="1">
      <c r="A2993" t="inlineStr">
        <is>
          <t>4240237</t>
        </is>
      </c>
      <c r="B2993" s="2"/>
      <c r="C2993"/>
      <c r="D2993" s="3">
        <v>46120.66563657407</v>
      </c>
      <c r="E2993" t="inlineStr">
        <is>
          <t>Q2-W01</t>
        </is>
      </c>
      <c r="F2993" t="inlineStr">
        <is>
          <t>Angel  Low</t>
        </is>
      </c>
      <c r="G2993" t="inlineStr">
        <is>
          <t>Lead</t>
        </is>
      </c>
      <c r="H2993" s="2" t="str">
        <f>=HYPERLINK("https://upbox.ajobthing.my/leads/4240237", "https://upbox.ajobthing.my/leads/4240237")</f>
        <v>https://upbox.ajobthing.my/leads/4240237</v>
      </c>
      <c r="I2993" t="inlineStr">
        <is>
          <t>KFD</t>
        </is>
      </c>
      <c r="J2993"/>
      <c r="K2993" t="inlineStr">
        <is>
          <t>Angel Low</t>
        </is>
      </c>
      <c r="L2993" s="4"/>
      <c r="M2993" s="4">
        <v>46120.66694444444</v>
      </c>
      <c r="N2993"/>
      <c r="O2993">
        <v>3672</v>
      </c>
      <c r="P2993" s="4"/>
      <c r="Q2993" s="4"/>
      <c r="R2993"/>
      <c r="S2993"/>
      <c r="T2993" s="4"/>
      <c r="U2993" s="4"/>
      <c r="V2993"/>
      <c r="W2993"/>
      <c r="X2993"/>
      <c r="Y2993" t="inlineStr">
        <is>
          <t>Pending Appointment</t>
        </is>
      </c>
      <c r="Z2993"/>
      <c r="AA2993">
        <v>2</v>
      </c>
      <c r="AB2993" t="inlineStr">
        <is>
          <t>No Appointment Made</t>
        </is>
      </c>
      <c r="AC2993"/>
      <c r="AD2993" t="inlineStr">
        <is>
          <t xml:space="preserve">1 outlet manager 1 chef </t>
        </is>
      </c>
      <c r="AE2993"/>
      <c r="AF2993"/>
      <c r="AG2993" s="4"/>
      <c r="AH2993" s="4"/>
      <c r="AI2993"/>
      <c r="AJ2993"/>
      <c r="AK2993"/>
      <c r="AL2993"/>
      <c r="AM2993"/>
      <c r="AN2993"/>
      <c r="AO2993"/>
      <c r="AP2993"/>
      <c r="AQ2993"/>
      <c r="AR2993"/>
      <c r="AS2993" t="inlineStr">
        <is>
          <t>- Headcount: 2
- Hiring Job Details: 1 outlet manager, 1 chef
- Number of outlets: Not specified
- Have recruiter team: Not specified
- Number of recruiter in company: Not specified
- Have ATS system: Not specified
- Have career website: Not specified
- Current hiring budget: Not specified
- Whole year budget: Not specified
- Whole year number of vacancies: Not specified
- Hiring frequency: Not specified
- External job portal: Not specified
- Hiring urgency: Not specified</t>
        </is>
      </c>
      <c r="AT2993">
        <v>60</v>
      </c>
      <c r="AU2993" t="inlineStr">
        <is>
          <t>0.60</t>
        </is>
      </c>
      <c r="AV2993" t="inlineStr">
        <is>
          <t>5</t>
        </is>
      </c>
      <c r="AW2993" t="inlineStr">
        <is>
          <t>0</t>
        </is>
      </c>
      <c r="AX2993" t="inlineStr">
        <is>
          <t>Not Qualified</t>
        </is>
      </c>
      <c r="AY2993" s="4"/>
      <c r="AZ2993"/>
      <c r="BA2993"/>
      <c r="BB2993"/>
      <c r="BC2993"/>
      <c r="BD2993" s="4"/>
      <c r="BE2993"/>
      <c r="BF2993"/>
      <c r="BG2993" t="inlineStr">
        <is>
          <t>Reschedule</t>
        </is>
      </c>
      <c r="BH2993" t="inlineStr">
        <is>
          <t>Fauziah Maharan</t>
        </is>
      </c>
      <c r="BI2993"/>
      <c r="BJ2993" s="4">
        <v>46144.75571759259</v>
      </c>
      <c r="BK2993" s="4">
        <v>46115.743946759256</v>
      </c>
      <c r="BL2993"/>
      <c r="BM2993"/>
      <c r="BN2993"/>
      <c r="BO2993" s="4"/>
      <c r="BP2993">
        <v>165978</v>
      </c>
      <c r="BQ2993"/>
      <c r="BR2993"/>
      <c r="BS2993"/>
      <c r="BT2993"/>
      <c r="BU2993"/>
      <c r="BV2993"/>
      <c r="BW2993"/>
      <c r="BX2993"/>
      <c r="BY2993"/>
      <c r="BZ2993" s="4"/>
      <c r="CA2993"/>
      <c r="CB2993"/>
      <c r="CC2993" s="4"/>
      <c r="CD2993" t="inlineStr">
        <is>
          <t>5</t>
        </is>
      </c>
      <c r="CE2993" t="inlineStr">
        <is>
          <t>0</t>
        </is>
      </c>
      <c r="CF2993" t="inlineStr">
        <is>
          <t>Q2-W01</t>
        </is>
      </c>
      <c r="CG2993"/>
      <c r="CH2993"/>
      <c r="CI2993"/>
      <c r="CJ2993" t="inlineStr">
        <is>
          <t>No Paid</t>
        </is>
      </c>
      <c r="CK2993" t="inlineStr">
        <is>
          <t>Not Eligible</t>
        </is>
      </c>
      <c r="CL2993"/>
      <c r="CM2993"/>
    </row>
    <row r="2994" ht="25.5" customHeight="1">
      <c r="A2994" t="inlineStr">
        <is>
          <t>4260582</t>
        </is>
      </c>
      <c r="B2994" s="2"/>
      <c r="C2994"/>
      <c r="D2994" s="3">
        <v>46120.69702546296</v>
      </c>
      <c r="E2994" t="inlineStr">
        <is>
          <t>Q2-W01</t>
        </is>
      </c>
      <c r="F2994" t="inlineStr">
        <is>
          <t>Carmen</t>
        </is>
      </c>
      <c r="G2994" t="inlineStr">
        <is>
          <t>Lead</t>
        </is>
      </c>
      <c r="H2994" s="2" t="str">
        <f>=HYPERLINK("https://upbox.ajobthing.my/leads/4260582", "https://upbox.ajobthing.my/leads/4260582")</f>
        <v>https://upbox.ajobthing.my/leads/4260582</v>
      </c>
      <c r="I2994" t="inlineStr">
        <is>
          <t>Lotus Design and Services</t>
        </is>
      </c>
      <c r="J2994"/>
      <c r="K2994" t="inlineStr">
        <is>
          <t>Carmen</t>
        </is>
      </c>
      <c r="L2994" s="4"/>
      <c r="M2994" s="4">
        <v>46120.68984953704</v>
      </c>
      <c r="N2994"/>
      <c r="O2994">
        <v>1296</v>
      </c>
      <c r="P2994" s="4"/>
      <c r="Q2994" s="4"/>
      <c r="R2994"/>
      <c r="S2994"/>
      <c r="T2994" s="4"/>
      <c r="U2994" s="4"/>
      <c r="V2994"/>
      <c r="W2994"/>
      <c r="X2994"/>
      <c r="Y2994" t="inlineStr">
        <is>
          <t>Pending Appointment</t>
        </is>
      </c>
      <c r="Z2994" t="inlineStr">
        <is>
          <t>Hiring Now</t>
        </is>
      </c>
      <c r="AA2994">
        <v>1</v>
      </c>
      <c r="AB2994" t="inlineStr">
        <is>
          <t>No Appointment Made</t>
        </is>
      </c>
      <c r="AC2994"/>
      <c r="AD2994" t="inlineStr">
        <is>
          <t>1 HR and Admin</t>
        </is>
      </c>
      <c r="AE2994"/>
      <c r="AF2994">
        <v>0</v>
      </c>
      <c r="AG2994" s="4"/>
      <c r="AH2994" s="4"/>
      <c r="AI2994"/>
      <c r="AJ2994">
        <v>0</v>
      </c>
      <c r="AK2994"/>
      <c r="AL2994"/>
      <c r="AM2994"/>
      <c r="AN2994"/>
      <c r="AO2994"/>
      <c r="AP2994" t="inlineStr">
        <is>
          <t>Once a year (25%)</t>
        </is>
      </c>
      <c r="AQ2994"/>
      <c r="AR2994"/>
      <c r="AS2994" t="inlineStr">
        <is>
          <t>- Headcount: 1
- Hiring Job Details: 1 HR and Admin
- Hiring Urgency: Hiring Now
- Number of outlets: 0
- Have recruiter team: Not specified
- Number of recruiter in company: Not specified
- Have ATS system: Not specified
- Have career website: Not specified
- Current hiring budget: RM0.00
- Whole year budget: Not specified
- Whole year number of vacancies: Not specified
- Hiring frequency: Once a year (25%)
- External job portal: Not specified</t>
        </is>
      </c>
      <c r="AT2994">
        <v>75</v>
      </c>
      <c r="AU2994" t="inlineStr">
        <is>
          <t>0.75</t>
        </is>
      </c>
      <c r="AV2994" t="inlineStr">
        <is>
          <t>15</t>
        </is>
      </c>
      <c r="AW2994" t="inlineStr">
        <is>
          <t>0</t>
        </is>
      </c>
      <c r="AX2994" t="inlineStr">
        <is>
          <t>Not Qualified</t>
        </is>
      </c>
      <c r="AY2994" s="4"/>
      <c r="AZ2994"/>
      <c r="BA2994"/>
      <c r="BB2994"/>
      <c r="BC2994"/>
      <c r="BD2994" s="4"/>
      <c r="BE2994"/>
      <c r="BF2994"/>
      <c r="BG2994" t="inlineStr">
        <is>
          <t>Reschedule</t>
        </is>
      </c>
      <c r="BH2994" t="inlineStr">
        <is>
          <t>Reagen</t>
        </is>
      </c>
      <c r="BI2994"/>
      <c r="BJ2994" s="4">
        <v>46144.75576388889</v>
      </c>
      <c r="BK2994" s="4">
        <v>46120.60372685185</v>
      </c>
      <c r="BL2994"/>
      <c r="BM2994"/>
      <c r="BN2994"/>
      <c r="BO2994" s="4"/>
      <c r="BP2994">
        <v>165995</v>
      </c>
      <c r="BQ2994"/>
      <c r="BR2994"/>
      <c r="BS2994"/>
      <c r="BT2994"/>
      <c r="BU2994"/>
      <c r="BV2994"/>
      <c r="BW2994"/>
      <c r="BX2994"/>
      <c r="BY2994"/>
      <c r="BZ2994" s="4"/>
      <c r="CA2994"/>
      <c r="CB2994"/>
      <c r="CC2994" s="4"/>
      <c r="CD2994" t="inlineStr">
        <is>
          <t>20</t>
        </is>
      </c>
      <c r="CE2994" t="inlineStr">
        <is>
          <t>0</t>
        </is>
      </c>
      <c r="CF2994" t="inlineStr">
        <is>
          <t>Q2-W01</t>
        </is>
      </c>
      <c r="CG2994"/>
      <c r="CH2994"/>
      <c r="CI2994"/>
      <c r="CJ2994" t="inlineStr">
        <is>
          <t>No Paid</t>
        </is>
      </c>
      <c r="CK2994" t="inlineStr">
        <is>
          <t>Not Eligible</t>
        </is>
      </c>
      <c r="CL2994"/>
      <c r="CM2994"/>
    </row>
    <row r="2995" ht="25.5" customHeight="1">
      <c r="A2995" t="inlineStr">
        <is>
          <t>4263747</t>
        </is>
      </c>
      <c r="B2995" s="2"/>
      <c r="C2995"/>
      <c r="D2995" s="3">
        <v>46121.444652777776</v>
      </c>
      <c r="E2995" t="inlineStr">
        <is>
          <t>Q2-W01</t>
        </is>
      </c>
      <c r="F2995" t="inlineStr">
        <is>
          <t>Carmen</t>
        </is>
      </c>
      <c r="G2995" t="inlineStr">
        <is>
          <t>Lead</t>
        </is>
      </c>
      <c r="H2995" s="2" t="str">
        <f>=HYPERLINK("https://upbox.ajobthing.my/leads/4263747", "https://upbox.ajobthing.my/leads/4263747")</f>
        <v>https://upbox.ajobthing.my/leads/4263747</v>
      </c>
      <c r="I2995" t="inlineStr">
        <is>
          <t>CONTROL INSTRUMENTS (M) SDN BHD</t>
        </is>
      </c>
      <c r="J2995"/>
      <c r="K2995" t="inlineStr">
        <is>
          <t>Carmen</t>
        </is>
      </c>
      <c r="L2995" s="4"/>
      <c r="M2995" s="4">
        <v>46121.445127314815</v>
      </c>
      <c r="N2995"/>
      <c r="O2995">
        <v>3888</v>
      </c>
      <c r="P2995" s="4"/>
      <c r="Q2995" s="4"/>
      <c r="R2995"/>
      <c r="S2995"/>
      <c r="T2995" s="4"/>
      <c r="U2995" s="4"/>
      <c r="V2995"/>
      <c r="W2995"/>
      <c r="X2995"/>
      <c r="Y2995" t="inlineStr">
        <is>
          <t>Pending Appointment</t>
        </is>
      </c>
      <c r="Z2995" t="inlineStr">
        <is>
          <t>Hiring Now</t>
        </is>
      </c>
      <c r="AA2995">
        <v>1</v>
      </c>
      <c r="AB2995" t="inlineStr">
        <is>
          <t>No Appointment Made</t>
        </is>
      </c>
      <c r="AC2995"/>
      <c r="AD2995" t="inlineStr">
        <is>
          <t>1 junior mechanic engineer</t>
        </is>
      </c>
      <c r="AE2995"/>
      <c r="AF2995">
        <v>0</v>
      </c>
      <c r="AG2995" s="4"/>
      <c r="AH2995" s="4"/>
      <c r="AI2995"/>
      <c r="AJ2995"/>
      <c r="AK2995"/>
      <c r="AL2995"/>
      <c r="AM2995"/>
      <c r="AN2995"/>
      <c r="AO2995"/>
      <c r="AP2995" t="inlineStr">
        <is>
          <t>Once a year (25%)</t>
        </is>
      </c>
      <c r="AQ2995"/>
      <c r="AR2995"/>
      <c r="AS2995" t="inlineStr">
        <is>
          <t>- Headcount: 1
- Hiring Job Details: 1 junior mechanic engineer
- Hiring Urgency: Hiring Now
- Number of outlets: Not available
- Have recruiter team: Not available
- Number of recruiter in company: Not available
- Have ATS system: Not available
- Have career website: Not available
- Current hiring budget: RM0.00
- Whole year budget: Not available
- Whole year number of vacancies: Not available
- Hiring frequency: Once a year (25%)
- External job portal: Not available</t>
        </is>
      </c>
      <c r="AT2995">
        <v>70</v>
      </c>
      <c r="AU2995" t="inlineStr">
        <is>
          <t>0.70</t>
        </is>
      </c>
      <c r="AV2995" t="inlineStr">
        <is>
          <t>15</t>
        </is>
      </c>
      <c r="AW2995" t="inlineStr">
        <is>
          <t>0</t>
        </is>
      </c>
      <c r="AX2995" t="inlineStr">
        <is>
          <t>Not Qualified</t>
        </is>
      </c>
      <c r="AY2995" s="4"/>
      <c r="AZ2995"/>
      <c r="BA2995"/>
      <c r="BB2995"/>
      <c r="BC2995"/>
      <c r="BD2995" s="4"/>
      <c r="BE2995"/>
      <c r="BF2995"/>
      <c r="BG2995" t="inlineStr">
        <is>
          <t>Reschedule</t>
        </is>
      </c>
      <c r="BH2995" t="inlineStr">
        <is>
          <t>Reagen</t>
        </is>
      </c>
      <c r="BI2995"/>
      <c r="BJ2995" s="4">
        <v>46144.75576388889</v>
      </c>
      <c r="BK2995" s="4">
        <v>46121.42450231482</v>
      </c>
      <c r="BL2995"/>
      <c r="BM2995"/>
      <c r="BN2995"/>
      <c r="BO2995" s="4"/>
      <c r="BP2995">
        <v>166116</v>
      </c>
      <c r="BQ2995"/>
      <c r="BR2995"/>
      <c r="BS2995"/>
      <c r="BT2995"/>
      <c r="BU2995"/>
      <c r="BV2995"/>
      <c r="BW2995"/>
      <c r="BX2995"/>
      <c r="BY2995"/>
      <c r="BZ2995" s="4"/>
      <c r="CA2995"/>
      <c r="CB2995"/>
      <c r="CC2995" s="4"/>
      <c r="CD2995" t="inlineStr">
        <is>
          <t>20</t>
        </is>
      </c>
      <c r="CE2995" t="inlineStr">
        <is>
          <t>0</t>
        </is>
      </c>
      <c r="CF2995" t="inlineStr">
        <is>
          <t>Q2-W01</t>
        </is>
      </c>
      <c r="CG2995"/>
      <c r="CH2995"/>
      <c r="CI2995"/>
      <c r="CJ2995" t="inlineStr">
        <is>
          <t>No Paid</t>
        </is>
      </c>
      <c r="CK2995" t="inlineStr">
        <is>
          <t>Not Eligible</t>
        </is>
      </c>
      <c r="CL2995"/>
      <c r="CM2995"/>
    </row>
    <row r="2996" ht="25.5" customHeight="1">
      <c r="A2996" t="inlineStr">
        <is>
          <t>4263998</t>
        </is>
      </c>
      <c r="B2996" s="2"/>
      <c r="C2996"/>
      <c r="D2996" s="3">
        <v>46121.475694444445</v>
      </c>
      <c r="E2996" t="inlineStr">
        <is>
          <t>Q2-W01</t>
        </is>
      </c>
      <c r="F2996" t="inlineStr">
        <is>
          <t>Eugene</t>
        </is>
      </c>
      <c r="G2996" t="inlineStr">
        <is>
          <t>Lead</t>
        </is>
      </c>
      <c r="H2996" s="2" t="str">
        <f>=HYPERLINK("https://upbox.ajobthing.my/leads/4263998", "https://upbox.ajobthing.my/leads/4263998")</f>
        <v>https://upbox.ajobthing.my/leads/4263998</v>
      </c>
      <c r="I2996" t="inlineStr">
        <is>
          <t xml:space="preserve">ARCA Corporation Sdn Bhd  </t>
        </is>
      </c>
      <c r="J2996"/>
      <c r="K2996" t="inlineStr">
        <is>
          <t>Eugene</t>
        </is>
      </c>
      <c r="L2996" s="4"/>
      <c r="M2996" s="4">
        <v>46121.47584490741</v>
      </c>
      <c r="N2996"/>
      <c r="O2996">
        <v>3888</v>
      </c>
      <c r="P2996" s="4"/>
      <c r="Q2996" s="4"/>
      <c r="R2996"/>
      <c r="S2996"/>
      <c r="T2996" s="4"/>
      <c r="U2996" s="4"/>
      <c r="V2996"/>
      <c r="W2996"/>
      <c r="X2996"/>
      <c r="Y2996" t="inlineStr">
        <is>
          <t>Pending Appointment</t>
        </is>
      </c>
      <c r="Z2996" t="inlineStr">
        <is>
          <t>Hiring Now</t>
        </is>
      </c>
      <c r="AA2996">
        <v>1</v>
      </c>
      <c r="AB2996" t="inlineStr">
        <is>
          <t>No Appointment Made</t>
        </is>
      </c>
      <c r="AC2996"/>
      <c r="AD2996" t="inlineStr">
        <is>
          <t>1 finance, based in KL</t>
        </is>
      </c>
      <c r="AE2996"/>
      <c r="AF2996">
        <v>3000</v>
      </c>
      <c r="AG2996" s="4"/>
      <c r="AH2996" s="4"/>
      <c r="AI2996">
        <v>3000</v>
      </c>
      <c r="AJ2996">
        <v>1</v>
      </c>
      <c r="AK2996" t="inlineStr">
        <is>
          <t>No, I don't need at all</t>
        </is>
      </c>
      <c r="AL2996">
        <v>1</v>
      </c>
      <c r="AM2996" t="inlineStr">
        <is>
          <t>No, I don't need at all</t>
        </is>
      </c>
      <c r="AN2996"/>
      <c r="AO2996" t="inlineStr">
        <is>
          <t>No, I don't need at all</t>
        </is>
      </c>
      <c r="AP2996" t="inlineStr">
        <is>
          <t>Twice a year (50%)</t>
        </is>
      </c>
      <c r="AQ2996">
        <v>3</v>
      </c>
      <c r="AR2996" t="inlineStr">
        <is>
          <t>Did not use any job portal</t>
        </is>
      </c>
      <c r="AS2996" t="inlineStr">
        <is>
          <t>- Headcount: 1
- Hiring Job Details: 1 finance, based in KL
- Hiring Urgency: Hiring Now
- Number of outlets: 1
- Have recruiter team: No, I don't need at all
- Number of recruiter in company: 1
- Have ATS system: No, I don't need at all
- Have career website: No, I don't need at all
- Current hiring budget: RM3,000
- Whole year budget: RM3,000.00
- Whole year number of vacancies: 3
- Hiring frequency: Twice a year (50%)
- External job portal: Did not use any job portal</t>
        </is>
      </c>
      <c r="AT2996">
        <v>115</v>
      </c>
      <c r="AU2996" t="inlineStr">
        <is>
          <t>1.15</t>
        </is>
      </c>
      <c r="AV2996" t="inlineStr">
        <is>
          <t>15</t>
        </is>
      </c>
      <c r="AW2996" t="inlineStr">
        <is>
          <t>0</t>
        </is>
      </c>
      <c r="AX2996" t="inlineStr">
        <is>
          <t>Not Qualified</t>
        </is>
      </c>
      <c r="AY2996" s="4"/>
      <c r="AZ2996"/>
      <c r="BA2996"/>
      <c r="BB2996"/>
      <c r="BC2996"/>
      <c r="BD2996" s="4"/>
      <c r="BE2996"/>
      <c r="BF2996"/>
      <c r="BG2996" t="inlineStr">
        <is>
          <t>Reschedule</t>
        </is>
      </c>
      <c r="BH2996" t="inlineStr">
        <is>
          <t>Edward Hoo</t>
        </is>
      </c>
      <c r="BI2996"/>
      <c r="BJ2996" s="4">
        <v>46144.75576388889</v>
      </c>
      <c r="BK2996" s="4">
        <v>46121.46060185185</v>
      </c>
      <c r="BL2996"/>
      <c r="BM2996"/>
      <c r="BN2996"/>
      <c r="BO2996" s="4"/>
      <c r="BP2996">
        <v>166145</v>
      </c>
      <c r="BQ2996"/>
      <c r="BR2996"/>
      <c r="BS2996"/>
      <c r="BT2996"/>
      <c r="BU2996"/>
      <c r="BV2996"/>
      <c r="BW2996"/>
      <c r="BX2996"/>
      <c r="BY2996"/>
      <c r="BZ2996" s="4"/>
      <c r="CA2996"/>
      <c r="CB2996"/>
      <c r="CC2996" s="4"/>
      <c r="CD2996" t="inlineStr">
        <is>
          <t>20</t>
        </is>
      </c>
      <c r="CE2996" t="inlineStr">
        <is>
          <t>0</t>
        </is>
      </c>
      <c r="CF2996" t="inlineStr">
        <is>
          <t>Q2-W01</t>
        </is>
      </c>
      <c r="CG2996"/>
      <c r="CH2996"/>
      <c r="CI2996"/>
      <c r="CJ2996" t="inlineStr">
        <is>
          <t>No Paid</t>
        </is>
      </c>
      <c r="CK2996" t="inlineStr">
        <is>
          <t>Not Eligible</t>
        </is>
      </c>
      <c r="CL2996"/>
      <c r="CM2996"/>
    </row>
    <row r="2997" ht="25.5" customHeight="1">
      <c r="A2997" t="inlineStr">
        <is>
          <t>4259430</t>
        </is>
      </c>
      <c r="B2997" s="2"/>
      <c r="C2997"/>
      <c r="D2997" s="3">
        <v>46121.49990740741</v>
      </c>
      <c r="E2997" t="inlineStr">
        <is>
          <t>Q2-W01</t>
        </is>
      </c>
      <c r="F2997" t="inlineStr">
        <is>
          <t>Jia Hui</t>
        </is>
      </c>
      <c r="G2997" t="inlineStr">
        <is>
          <t>Lead</t>
        </is>
      </c>
      <c r="H2997" s="2" t="str">
        <f>=HYPERLINK("https://upbox.ajobthing.my/leads/4259430", "https://upbox.ajobthing.my/leads/4259430")</f>
        <v>https://upbox.ajobthing.my/leads/4259430</v>
      </c>
      <c r="I2997" t="inlineStr">
        <is>
          <t>Jos Design</t>
        </is>
      </c>
      <c r="J2997"/>
      <c r="K2997" t="inlineStr">
        <is>
          <t>Jia Hui</t>
        </is>
      </c>
      <c r="L2997" s="4"/>
      <c r="M2997" s="4">
        <v>46121.50013888889</v>
      </c>
      <c r="N2997"/>
      <c r="O2997">
        <v>3888</v>
      </c>
      <c r="P2997" s="4"/>
      <c r="Q2997" s="4"/>
      <c r="R2997"/>
      <c r="S2997"/>
      <c r="T2997" s="4"/>
      <c r="U2997" s="4"/>
      <c r="V2997"/>
      <c r="W2997"/>
      <c r="X2997"/>
      <c r="Y2997" t="inlineStr">
        <is>
          <t>Pending Appointment</t>
        </is>
      </c>
      <c r="Z2997" t="inlineStr">
        <is>
          <t>Hiring Now</t>
        </is>
      </c>
      <c r="AA2997">
        <v>2</v>
      </c>
      <c r="AB2997" t="inlineStr">
        <is>
          <t>No Appointment Made</t>
        </is>
      </c>
      <c r="AC2997"/>
      <c r="AD2997" t="inlineStr">
        <is>
          <t xml:space="preserve">1 sales and marketing, 1 production manager </t>
        </is>
      </c>
      <c r="AE2997"/>
      <c r="AF2997">
        <v>500</v>
      </c>
      <c r="AG2997" s="4"/>
      <c r="AH2997" s="4"/>
      <c r="AI2997"/>
      <c r="AJ2997"/>
      <c r="AK2997" t="inlineStr">
        <is>
          <t>No, but I want in future</t>
        </is>
      </c>
      <c r="AL2997"/>
      <c r="AM2997"/>
      <c r="AN2997"/>
      <c r="AO2997"/>
      <c r="AP2997" t="inlineStr">
        <is>
          <t>Once a year (25%)</t>
        </is>
      </c>
      <c r="AQ2997"/>
      <c r="AR2997"/>
      <c r="AS2997" t="inlineStr">
        <is>
          <t>- Headcount: 2
- Hiring Job Details: 1 sales and marketing, 1 production manager
- Hiring Urgency: Hiring Now
- Number of outlets: Not available
- Have recruiter team: No, but want in future
- Number of recruiter in company: Not available
- Have ATS system: Not available
- Have career website: Not available
- Current hiring budget: RM500.00
- Whole year budget: Not available
- Whole year number of vacancies: Not available
- Hiring frequency: Once a year (25%)
- External job portal: Not available</t>
        </is>
      </c>
      <c r="AT2997">
        <v>75</v>
      </c>
      <c r="AU2997" t="inlineStr">
        <is>
          <t>0.75</t>
        </is>
      </c>
      <c r="AV2997" t="inlineStr">
        <is>
          <t>15</t>
        </is>
      </c>
      <c r="AW2997" t="inlineStr">
        <is>
          <t>0</t>
        </is>
      </c>
      <c r="AX2997" t="inlineStr">
        <is>
          <t>Not Qualified</t>
        </is>
      </c>
      <c r="AY2997" s="4"/>
      <c r="AZ2997"/>
      <c r="BA2997"/>
      <c r="BB2997"/>
      <c r="BC2997"/>
      <c r="BD2997" s="4"/>
      <c r="BE2997"/>
      <c r="BF2997"/>
      <c r="BG2997" t="inlineStr">
        <is>
          <t>Reschedule</t>
        </is>
      </c>
      <c r="BH2997" t="inlineStr">
        <is>
          <t>Reagen</t>
        </is>
      </c>
      <c r="BI2997"/>
      <c r="BJ2997" s="4">
        <v>46144.75576388889</v>
      </c>
      <c r="BK2997" s="4">
        <v>46120.42138888889</v>
      </c>
      <c r="BL2997"/>
      <c r="BM2997"/>
      <c r="BN2997"/>
      <c r="BO2997" s="4"/>
      <c r="BP2997">
        <v>166163</v>
      </c>
      <c r="BQ2997"/>
      <c r="BR2997"/>
      <c r="BS2997"/>
      <c r="BT2997"/>
      <c r="BU2997"/>
      <c r="BV2997"/>
      <c r="BW2997"/>
      <c r="BX2997"/>
      <c r="BY2997"/>
      <c r="BZ2997" s="4"/>
      <c r="CA2997"/>
      <c r="CB2997"/>
      <c r="CC2997" s="4"/>
      <c r="CD2997" t="inlineStr">
        <is>
          <t>20</t>
        </is>
      </c>
      <c r="CE2997" t="inlineStr">
        <is>
          <t>0</t>
        </is>
      </c>
      <c r="CF2997" t="inlineStr">
        <is>
          <t>Q2-W01</t>
        </is>
      </c>
      <c r="CG2997"/>
      <c r="CH2997"/>
      <c r="CI2997"/>
      <c r="CJ2997" t="inlineStr">
        <is>
          <t>No Paid</t>
        </is>
      </c>
      <c r="CK2997" t="inlineStr">
        <is>
          <t>Not Eligible</t>
        </is>
      </c>
      <c r="CL2997"/>
      <c r="CM2997"/>
    </row>
    <row r="2998" ht="25.5" customHeight="1">
      <c r="A2998" t="inlineStr">
        <is>
          <t>4264249</t>
        </is>
      </c>
      <c r="B2998" s="2"/>
      <c r="C2998"/>
      <c r="D2998" s="3">
        <v>46121.51261574074</v>
      </c>
      <c r="E2998" t="inlineStr">
        <is>
          <t>Q2-W01</t>
        </is>
      </c>
      <c r="F2998" t="inlineStr">
        <is>
          <t>Luqman</t>
        </is>
      </c>
      <c r="G2998" t="inlineStr">
        <is>
          <t>Lead</t>
        </is>
      </c>
      <c r="H2998" s="2" t="str">
        <f>=HYPERLINK("https://upbox.ajobthing.my/leads/4264249", "https://upbox.ajobthing.my/leads/4264249")</f>
        <v>https://upbox.ajobthing.my/leads/4264249</v>
      </c>
      <c r="I2998" t="inlineStr">
        <is>
          <t>KLINIK VETERINAR DAN SURGERI CATSPACE</t>
        </is>
      </c>
      <c r="J2998"/>
      <c r="K2998" t="inlineStr">
        <is>
          <t>Luqman</t>
        </is>
      </c>
      <c r="L2998" s="4"/>
      <c r="M2998" s="4">
        <v>46121.51391203704</v>
      </c>
      <c r="N2998"/>
      <c r="O2998">
        <v>1296</v>
      </c>
      <c r="P2998" s="4"/>
      <c r="Q2998" s="4"/>
      <c r="R2998"/>
      <c r="S2998"/>
      <c r="T2998" s="4"/>
      <c r="U2998" s="4"/>
      <c r="V2998"/>
      <c r="W2998"/>
      <c r="X2998"/>
      <c r="Y2998" t="inlineStr">
        <is>
          <t>Pending Appointment</t>
        </is>
      </c>
      <c r="Z2998" t="inlineStr">
        <is>
          <t>Hiring Later</t>
        </is>
      </c>
      <c r="AA2998">
        <v>1</v>
      </c>
      <c r="AB2998" t="inlineStr">
        <is>
          <t>No Appointment Made</t>
        </is>
      </c>
      <c r="AC2998"/>
      <c r="AD2998" t="inlineStr">
        <is>
          <t>1. Veterinary Assistant</t>
        </is>
      </c>
      <c r="AE2998"/>
      <c r="AF2998">
        <v>800</v>
      </c>
      <c r="AG2998" s="4"/>
      <c r="AH2998" s="4"/>
      <c r="AI2998">
        <v>800</v>
      </c>
      <c r="AJ2998"/>
      <c r="AK2998" t="inlineStr">
        <is>
          <t>No, I don't need at all</t>
        </is>
      </c>
      <c r="AL2998">
        <v>1</v>
      </c>
      <c r="AM2998" t="inlineStr">
        <is>
          <t>No, I don't need at all</t>
        </is>
      </c>
      <c r="AN2998"/>
      <c r="AO2998" t="inlineStr">
        <is>
          <t>No, I don't need at all</t>
        </is>
      </c>
      <c r="AP2998" t="inlineStr">
        <is>
          <t>Once a year (25%)</t>
        </is>
      </c>
      <c r="AQ2998">
        <v>1</v>
      </c>
      <c r="AR2998" t="inlineStr">
        <is>
          <t>Indeed (Paid)</t>
        </is>
      </c>
      <c r="AS2998" t="inlineStr">
        <is>
          <t>- Headcount: 1
- Hiring Job Details: 1 Veterinary Assistant
- Hiring Urgency: Hiring Later
- Number of outlets: N/A
- Have recruiter team: No, I don't need at all
- Number of recruiter in company: 1
- Have ATS system: No, I don't need at all
- Have career website: No, I don't need at all
- Current hiring budget: RM800
- Whole year budget: RM800.00
- Whole year number of vacancies: 1
- Hiring frequency: Once a year (25%)
- External job portal: Indeed (Paid)</t>
        </is>
      </c>
      <c r="AT2998">
        <v>115</v>
      </c>
      <c r="AU2998" t="inlineStr">
        <is>
          <t>1.15</t>
        </is>
      </c>
      <c r="AV2998" t="inlineStr">
        <is>
          <t>15</t>
        </is>
      </c>
      <c r="AW2998" t="inlineStr">
        <is>
          <t>0</t>
        </is>
      </c>
      <c r="AX2998" t="inlineStr">
        <is>
          <t>Not Qualified</t>
        </is>
      </c>
      <c r="AY2998" s="4"/>
      <c r="AZ2998"/>
      <c r="BA2998"/>
      <c r="BB2998"/>
      <c r="BC2998"/>
      <c r="BD2998" s="4"/>
      <c r="BE2998"/>
      <c r="BF2998"/>
      <c r="BG2998" t="inlineStr">
        <is>
          <t>Reschedule</t>
        </is>
      </c>
      <c r="BH2998" t="inlineStr">
        <is>
          <t>Edward Hoo</t>
        </is>
      </c>
      <c r="BI2998"/>
      <c r="BJ2998" s="4">
        <v>46144.75578703704</v>
      </c>
      <c r="BK2998" s="4">
        <v>46121.49199074074</v>
      </c>
      <c r="BL2998"/>
      <c r="BM2998"/>
      <c r="BN2998"/>
      <c r="BO2998" s="4"/>
      <c r="BP2998">
        <v>166167</v>
      </c>
      <c r="BQ2998"/>
      <c r="BR2998"/>
      <c r="BS2998"/>
      <c r="BT2998"/>
      <c r="BU2998"/>
      <c r="BV2998"/>
      <c r="BW2998"/>
      <c r="BX2998"/>
      <c r="BY2998"/>
      <c r="BZ2998" s="4"/>
      <c r="CA2998"/>
      <c r="CB2998"/>
      <c r="CC2998" s="4"/>
      <c r="CD2998" t="inlineStr">
        <is>
          <t>20</t>
        </is>
      </c>
      <c r="CE2998" t="inlineStr">
        <is>
          <t>0</t>
        </is>
      </c>
      <c r="CF2998" t="inlineStr">
        <is>
          <t>Q2-W01</t>
        </is>
      </c>
      <c r="CG2998"/>
      <c r="CH2998"/>
      <c r="CI2998"/>
      <c r="CJ2998" t="inlineStr">
        <is>
          <t>No Paid</t>
        </is>
      </c>
      <c r="CK2998" t="inlineStr">
        <is>
          <t>Not Eligible</t>
        </is>
      </c>
      <c r="CL2998"/>
      <c r="CM2998"/>
    </row>
    <row r="2999" ht="25.5" customHeight="1">
      <c r="A2999" t="inlineStr">
        <is>
          <t>4137738</t>
        </is>
      </c>
      <c r="B2999" s="2"/>
      <c r="C2999"/>
      <c r="D2999" s="3">
        <v>46121.55798611111</v>
      </c>
      <c r="E2999" t="inlineStr">
        <is>
          <t>Q2-W01</t>
        </is>
      </c>
      <c r="F2999" t="inlineStr">
        <is>
          <t>Lucas</t>
        </is>
      </c>
      <c r="G2999" t="inlineStr">
        <is>
          <t>Lead</t>
        </is>
      </c>
      <c r="H2999" s="2" t="str">
        <f>=HYPERLINK("https://upbox.ajobthing.my/leads/4137738", "https://upbox.ajobthing.my/leads/4137738")</f>
        <v>https://upbox.ajobthing.my/leads/4137738</v>
      </c>
      <c r="I2999" t="inlineStr">
        <is>
          <t>NOVA MAGIC PHOTO SDN BHD</t>
        </is>
      </c>
      <c r="J2999"/>
      <c r="K2999" t="inlineStr">
        <is>
          <t>Lucas</t>
        </is>
      </c>
      <c r="L2999" s="4"/>
      <c r="M2999" s="4">
        <v>46121.556238425925</v>
      </c>
      <c r="N2999"/>
      <c r="O2999">
        <v>3888</v>
      </c>
      <c r="P2999" s="4"/>
      <c r="Q2999" s="4"/>
      <c r="R2999"/>
      <c r="S2999"/>
      <c r="T2999" s="4"/>
      <c r="U2999" s="4"/>
      <c r="V2999"/>
      <c r="W2999"/>
      <c r="X2999"/>
      <c r="Y2999" t="inlineStr">
        <is>
          <t>Pending Appointment</t>
        </is>
      </c>
      <c r="Z2999" t="inlineStr">
        <is>
          <t>Hiring Now</t>
        </is>
      </c>
      <c r="AA2999">
        <v>1</v>
      </c>
      <c r="AB2999" t="inlineStr">
        <is>
          <t>No Appointment Made</t>
        </is>
      </c>
      <c r="AC2999"/>
      <c r="AD2999" t="inlineStr">
        <is>
          <t xml:space="preserve">1 sale </t>
        </is>
      </c>
      <c r="AE2999"/>
      <c r="AF2999">
        <v>0</v>
      </c>
      <c r="AG2999" s="4"/>
      <c r="AH2999" s="4"/>
      <c r="AI2999">
        <v>0</v>
      </c>
      <c r="AJ2999">
        <v>0</v>
      </c>
      <c r="AK2999" t="inlineStr">
        <is>
          <t>No, I don't need at all</t>
        </is>
      </c>
      <c r="AL2999">
        <v>0</v>
      </c>
      <c r="AM2999" t="inlineStr">
        <is>
          <t>No, I don't need at all</t>
        </is>
      </c>
      <c r="AN2999"/>
      <c r="AO2999" t="inlineStr">
        <is>
          <t>No, I don't need at all</t>
        </is>
      </c>
      <c r="AP2999" t="inlineStr">
        <is>
          <t>Once a year (25%)</t>
        </is>
      </c>
      <c r="AQ2999">
        <v>1</v>
      </c>
      <c r="AR2999" t="inlineStr">
        <is>
          <t>Did not use any job portal</t>
        </is>
      </c>
      <c r="AS2999" t="inlineStr">
        <is>
          <t>- Headcount: 1
- Hiring Job Details: 1 sale
- Hiring Urgency: Hiring Now
- Number of outlets: 0
- Have recruiter team: No, I don't need at all
- Number of recruiter in company: 0
- Have ATS system: No, I don't need at all
- Have career website: No, I don't need at all
- Current hiring budget: RM0.00
- Whole year budget: RM0.00
- Whole year number of vacancies: 1
- Hiring frequency: Once a year (25%)
- External job portal: Did not use any job portal</t>
        </is>
      </c>
      <c r="AT2999">
        <v>95</v>
      </c>
      <c r="AU2999" t="inlineStr">
        <is>
          <t>0.95</t>
        </is>
      </c>
      <c r="AV2999" t="inlineStr">
        <is>
          <t>15</t>
        </is>
      </c>
      <c r="AW2999" t="inlineStr">
        <is>
          <t>0</t>
        </is>
      </c>
      <c r="AX2999" t="inlineStr">
        <is>
          <t>Not Qualified</t>
        </is>
      </c>
      <c r="AY2999" s="4"/>
      <c r="AZ2999"/>
      <c r="BA2999"/>
      <c r="BB2999"/>
      <c r="BC2999"/>
      <c r="BD2999" s="4"/>
      <c r="BE2999"/>
      <c r="BF2999"/>
      <c r="BG2999" t="inlineStr">
        <is>
          <t>Reschedule</t>
        </is>
      </c>
      <c r="BH2999" t="inlineStr">
        <is>
          <t>Yee Hang</t>
        </is>
      </c>
      <c r="BI2999"/>
      <c r="BJ2999" s="4">
        <v>46144.75546296296</v>
      </c>
      <c r="BK2999" s="4">
        <v>46088.52408564815</v>
      </c>
      <c r="BL2999"/>
      <c r="BM2999"/>
      <c r="BN2999"/>
      <c r="BO2999" s="4"/>
      <c r="BP2999">
        <v>166177</v>
      </c>
      <c r="BQ2999"/>
      <c r="BR2999"/>
      <c r="BS2999"/>
      <c r="BT2999"/>
      <c r="BU2999"/>
      <c r="BV2999"/>
      <c r="BW2999"/>
      <c r="BX2999"/>
      <c r="BY2999"/>
      <c r="BZ2999" s="4"/>
      <c r="CA2999"/>
      <c r="CB2999"/>
      <c r="CC2999" s="4"/>
      <c r="CD2999" t="inlineStr">
        <is>
          <t>20</t>
        </is>
      </c>
      <c r="CE2999" t="inlineStr">
        <is>
          <t>0</t>
        </is>
      </c>
      <c r="CF2999" t="inlineStr">
        <is>
          <t>Q2-W01</t>
        </is>
      </c>
      <c r="CG2999"/>
      <c r="CH2999"/>
      <c r="CI2999"/>
      <c r="CJ2999" t="inlineStr">
        <is>
          <t>No Paid</t>
        </is>
      </c>
      <c r="CK2999" t="inlineStr">
        <is>
          <t>Not Eligible</t>
        </is>
      </c>
      <c r="CL2999"/>
      <c r="CM2999"/>
    </row>
    <row r="3000" ht="25.5" customHeight="1">
      <c r="A3000" t="inlineStr">
        <is>
          <t>4264629</t>
        </is>
      </c>
      <c r="B3000" s="2"/>
      <c r="C3000"/>
      <c r="D3000" s="3">
        <v>46121.603680555556</v>
      </c>
      <c r="E3000" t="inlineStr">
        <is>
          <t>Q2-W01</t>
        </is>
      </c>
      <c r="F3000" t="inlineStr">
        <is>
          <t>Jia Hui</t>
        </is>
      </c>
      <c r="G3000" t="inlineStr">
        <is>
          <t>Lead</t>
        </is>
      </c>
      <c r="H3000" s="2" t="str">
        <f>=HYPERLINK("https://upbox.ajobthing.my/leads/4264629", "https://upbox.ajobthing.my/leads/4264629")</f>
        <v>https://upbox.ajobthing.my/leads/4264629</v>
      </c>
      <c r="I3000" t="inlineStr">
        <is>
          <t>Imandarin Learning Centre</t>
        </is>
      </c>
      <c r="J3000"/>
      <c r="K3000" t="inlineStr">
        <is>
          <t>Jia Hui</t>
        </is>
      </c>
      <c r="L3000" s="4"/>
      <c r="M3000" s="4">
        <v>46127.634363425925</v>
      </c>
      <c r="N3000"/>
      <c r="O3000">
        <v>1296</v>
      </c>
      <c r="P3000" s="4"/>
      <c r="Q3000" s="4"/>
      <c r="R3000"/>
      <c r="S3000"/>
      <c r="T3000" s="4"/>
      <c r="U3000" s="4"/>
      <c r="V3000"/>
      <c r="W3000"/>
      <c r="X3000"/>
      <c r="Y3000" t="inlineStr">
        <is>
          <t>Pending Appointment</t>
        </is>
      </c>
      <c r="Z3000" t="inlineStr">
        <is>
          <t>Hiring Now</t>
        </is>
      </c>
      <c r="AA3000">
        <v>2.5</v>
      </c>
      <c r="AB3000" t="inlineStr">
        <is>
          <t>No Appointment Made</t>
        </is>
      </c>
      <c r="AC3000"/>
      <c r="AD3000" t="inlineStr">
        <is>
          <t>2-3 daycare teachers</t>
        </is>
      </c>
      <c r="AE3000"/>
      <c r="AF3000">
        <v>500</v>
      </c>
      <c r="AG3000" s="4"/>
      <c r="AH3000" s="4"/>
      <c r="AI3000"/>
      <c r="AJ3000"/>
      <c r="AK3000" t="inlineStr">
        <is>
          <t>No, but I want in future</t>
        </is>
      </c>
      <c r="AL3000"/>
      <c r="AM3000"/>
      <c r="AN3000"/>
      <c r="AO3000"/>
      <c r="AP3000" t="inlineStr">
        <is>
          <t>Once a year (25%)</t>
        </is>
      </c>
      <c r="AQ3000"/>
      <c r="AR3000"/>
      <c r="AS3000" t="inlineStr">
        <is>
          <t>- Headcount: 2
- Hiring Job Details: 2-3 daycare teachers
- Hiring Urgency: Hiring Now
- Number of outlets: Not provided
- Have recruiter team: No, but want in future
- Number of recruiter in company: Not provided
- Have ATS system: Not provided
- Have career website: Not provided
- Current hiring budget: RM500.00
- Whole year budget: Not provided
- Whole year number of vacancies: Not provided
- Hiring frequency: Once a year (25%)
- External job portal: Not provided</t>
        </is>
      </c>
      <c r="AT3000">
        <v>75</v>
      </c>
      <c r="AU3000" t="inlineStr">
        <is>
          <t>0.75</t>
        </is>
      </c>
      <c r="AV3000" t="inlineStr">
        <is>
          <t>15</t>
        </is>
      </c>
      <c r="AW3000" t="inlineStr">
        <is>
          <t>0</t>
        </is>
      </c>
      <c r="AX3000" t="inlineStr">
        <is>
          <t>Not Qualified</t>
        </is>
      </c>
      <c r="AY3000" s="4"/>
      <c r="AZ3000"/>
      <c r="BA3000"/>
      <c r="BB3000"/>
      <c r="BC3000"/>
      <c r="BD3000" s="4"/>
      <c r="BE3000"/>
      <c r="BF3000"/>
      <c r="BG3000" t="inlineStr">
        <is>
          <t>Reschedule</t>
        </is>
      </c>
      <c r="BH3000" t="inlineStr">
        <is>
          <t>Reagen</t>
        </is>
      </c>
      <c r="BI3000"/>
      <c r="BJ3000" s="4">
        <v>46144.75578703704</v>
      </c>
      <c r="BK3000" s="4">
        <v>46121.546747685185</v>
      </c>
      <c r="BL3000"/>
      <c r="BM3000"/>
      <c r="BN3000"/>
      <c r="BO3000" s="4"/>
      <c r="BP3000">
        <v>167204</v>
      </c>
      <c r="BQ3000"/>
      <c r="BR3000"/>
      <c r="BS3000"/>
      <c r="BT3000"/>
      <c r="BU3000"/>
      <c r="BV3000"/>
      <c r="BW3000"/>
      <c r="BX3000"/>
      <c r="BY3000"/>
      <c r="BZ3000" s="4"/>
      <c r="CA3000"/>
      <c r="CB3000"/>
      <c r="CC3000" s="4"/>
      <c r="CD3000" t="inlineStr">
        <is>
          <t>20</t>
        </is>
      </c>
      <c r="CE3000" t="inlineStr">
        <is>
          <t>0</t>
        </is>
      </c>
      <c r="CF3000" t="inlineStr">
        <is>
          <t>Q2-W02</t>
        </is>
      </c>
      <c r="CG3000"/>
      <c r="CH3000"/>
      <c r="CI3000"/>
      <c r="CJ3000" t="inlineStr">
        <is>
          <t>No Paid</t>
        </is>
      </c>
      <c r="CK3000" t="inlineStr">
        <is>
          <t>Not Eligible</t>
        </is>
      </c>
      <c r="CL3000"/>
      <c r="CM3000"/>
    </row>
    <row r="3001" ht="25.5" customHeight="1">
      <c r="A3001" t="inlineStr">
        <is>
          <t>4264072</t>
        </is>
      </c>
      <c r="B3001" s="2"/>
      <c r="C3001"/>
      <c r="D3001" s="3">
        <v>46121.70790509259</v>
      </c>
      <c r="E3001" t="inlineStr">
        <is>
          <t>Q2-W01</t>
        </is>
      </c>
      <c r="F3001" t="inlineStr">
        <is>
          <t>Jess</t>
        </is>
      </c>
      <c r="G3001" t="inlineStr">
        <is>
          <t>Lead</t>
        </is>
      </c>
      <c r="H3001" s="2" t="str">
        <f>=HYPERLINK("https://upbox.ajobthing.my/leads/4264072", "https://upbox.ajobthing.my/leads/4264072")</f>
        <v>https://upbox.ajobthing.my/leads/4264072</v>
      </c>
      <c r="I3001" t="inlineStr">
        <is>
          <t xml:space="preserve"> Sendok Group</t>
        </is>
      </c>
      <c r="J3001"/>
      <c r="K3001" t="inlineStr">
        <is>
          <t>Jess Lim</t>
        </is>
      </c>
      <c r="L3001" s="4"/>
      <c r="M3001" s="4">
        <v>46126.68133101852</v>
      </c>
      <c r="N3001"/>
      <c r="O3001">
        <v>3888</v>
      </c>
      <c r="P3001" s="4"/>
      <c r="Q3001" s="4"/>
      <c r="R3001"/>
      <c r="S3001"/>
      <c r="T3001" s="4"/>
      <c r="U3001" s="4"/>
      <c r="V3001"/>
      <c r="W3001"/>
      <c r="X3001"/>
      <c r="Y3001" t="inlineStr">
        <is>
          <t>Pending Appointment</t>
        </is>
      </c>
      <c r="Z3001" t="inlineStr">
        <is>
          <t>Hiring Now</t>
        </is>
      </c>
      <c r="AA3001">
        <v>3</v>
      </c>
      <c r="AB3001" t="inlineStr">
        <is>
          <t>No Appointment Made</t>
        </is>
      </c>
      <c r="AC3001"/>
      <c r="AD3001" t="inlineStr">
        <is>
          <t>sales admin2-3 sales marketing , admin 
</t>
        </is>
      </c>
      <c r="AE3001"/>
      <c r="AF3001">
        <v>3600</v>
      </c>
      <c r="AG3001" s="4"/>
      <c r="AH3001" s="4"/>
      <c r="AI3001"/>
      <c r="AJ3001">
        <v>3</v>
      </c>
      <c r="AK3001" t="inlineStr">
        <is>
          <t>No, I don't need at all</t>
        </is>
      </c>
      <c r="AL3001">
        <v>1</v>
      </c>
      <c r="AM3001" t="inlineStr">
        <is>
          <t>No, I don't need at all</t>
        </is>
      </c>
      <c r="AN3001"/>
      <c r="AO3001" t="inlineStr">
        <is>
          <t>No, I don't need at all</t>
        </is>
      </c>
      <c r="AP3001" t="inlineStr">
        <is>
          <t>Once a year (25%)</t>
        </is>
      </c>
      <c r="AQ3001"/>
      <c r="AR3001" t="inlineStr">
        <is>
          <t>Jobstreet</t>
        </is>
      </c>
      <c r="AS3001" t="inlineStr">
        <is>
          <t>- Headcount: Not specified
- Hiring Job Details: sales admin2-3, sales marketing, admin
- Hiring Urgency: Hiring Now
- Number of outlets: 3
- Have recruiter team: No, I don't need at all
- Number of recruiter in company: 1
- Have ATS system: No, I don't need at all
- Have career website: No, I don't need at all
- Current hiring budget: RM3,600.00
- Whole year budget: Not specified
- Whole year number of vacancies: Not specified
- Hiring frequency: Once a year (25%)
- External job portal: Jobstreet</t>
        </is>
      </c>
      <c r="AT3001">
        <v>75</v>
      </c>
      <c r="AU3001" t="inlineStr">
        <is>
          <t>0.75</t>
        </is>
      </c>
      <c r="AV3001" t="inlineStr">
        <is>
          <t>15</t>
        </is>
      </c>
      <c r="AW3001" t="inlineStr">
        <is>
          <t>0</t>
        </is>
      </c>
      <c r="AX3001" t="inlineStr">
        <is>
          <t>Not Qualified</t>
        </is>
      </c>
      <c r="AY3001" s="4"/>
      <c r="AZ3001"/>
      <c r="BA3001"/>
      <c r="BB3001"/>
      <c r="BC3001"/>
      <c r="BD3001" s="4"/>
      <c r="BE3001"/>
      <c r="BF3001"/>
      <c r="BG3001" t="inlineStr">
        <is>
          <t>Reschedule</t>
        </is>
      </c>
      <c r="BH3001" t="inlineStr">
        <is>
          <t>Fauziah Maharan</t>
        </is>
      </c>
      <c r="BI3001"/>
      <c r="BJ3001" s="4">
        <v>46144.75576388889</v>
      </c>
      <c r="BK3001" s="4">
        <v>46121.47321759259</v>
      </c>
      <c r="BL3001"/>
      <c r="BM3001"/>
      <c r="BN3001"/>
      <c r="BO3001" s="4"/>
      <c r="BP3001">
        <v>167020</v>
      </c>
      <c r="BQ3001"/>
      <c r="BR3001"/>
      <c r="BS3001"/>
      <c r="BT3001"/>
      <c r="BU3001"/>
      <c r="BV3001"/>
      <c r="BW3001"/>
      <c r="BX3001"/>
      <c r="BY3001"/>
      <c r="BZ3001" s="4"/>
      <c r="CA3001"/>
      <c r="CB3001"/>
      <c r="CC3001" s="4"/>
      <c r="CD3001" t="inlineStr">
        <is>
          <t>20</t>
        </is>
      </c>
      <c r="CE3001" t="inlineStr">
        <is>
          <t>0</t>
        </is>
      </c>
      <c r="CF3001" t="inlineStr">
        <is>
          <t>Q2-W02</t>
        </is>
      </c>
      <c r="CG3001"/>
      <c r="CH3001"/>
      <c r="CI3001"/>
      <c r="CJ3001" t="inlineStr">
        <is>
          <t>No Paid</t>
        </is>
      </c>
      <c r="CK3001" t="inlineStr">
        <is>
          <t>Not Eligible</t>
        </is>
      </c>
      <c r="CL3001"/>
      <c r="CM3001"/>
    </row>
  </sheetData>
  <conditionalFormatting sqref="AD1:AD1048576">
    <cfRule type="containsBlanks" dxfId="0" priority="1">
      <formula>LEN(TRIM(AD1))=0</formula>
    </cfRule>
    <cfRule type="notContainsBlanks" dxfId="0" priority="2">
      <formula>LEN(TRIM(AD1))&gt;0</formula>
    </cfRule>
  </conditionalFormatting>
  <conditionalFormatting sqref="AA1:AA1048576">
    <cfRule type="containsBlanks" dxfId="1" priority="3">
      <formula>LEN(TRIM(AA1))=0</formula>
    </cfRule>
    <cfRule type="notContainsBlanks" dxfId="1" priority="4">
      <formula>LEN(TRIM(AA1))&gt;0</formula>
    </cfRule>
  </conditionalFormatting>
  <conditionalFormatting sqref="AC1:AC1048576">
    <cfRule type="containsBlanks" dxfId="2" priority="5">
      <formula>LEN(TRIM(AC1))=0</formula>
    </cfRule>
    <cfRule type="notContainsBlanks" dxfId="2" priority="6">
      <formula>LEN(TRIM(AC1))&gt;0</formula>
    </cfRule>
  </conditionalFormatting>
  <conditionalFormatting sqref="AE1:AE1048576">
    <cfRule type="containsBlanks" dxfId="3" priority="7">
      <formula>LEN(TRIM(AE1))=0</formula>
    </cfRule>
    <cfRule type="notContainsBlanks" dxfId="3" priority="8">
      <formula>LEN(TRIM(AE1))&gt;0</formula>
    </cfRule>
  </conditionalFormatting>
  <conditionalFormatting sqref="AF1:AF1048576">
    <cfRule type="containsBlanks" dxfId="4" priority="9">
      <formula>LEN(TRIM(AF1))=0</formula>
    </cfRule>
    <cfRule type="notContainsBlanks" dxfId="4" priority="10">
      <formula>LEN(TRIM(AF1))&gt;0</formula>
    </cfRule>
  </conditionalFormatting>
  <conditionalFormatting sqref="AG1:AG1048576">
    <cfRule type="containsBlanks" dxfId="5" priority="11">
      <formula>LEN(TRIM(AG1))=0</formula>
    </cfRule>
    <cfRule type="notContainsBlanks" dxfId="5" priority="12">
      <formula>LEN(TRIM(AG1))&gt;0</formula>
    </cfRule>
  </conditionalFormatting>
  <conditionalFormatting sqref="X1:X1048576">
    <cfRule type="containsBlanks" dxfId="6" priority="13">
      <formula>LEN(TRIM(X1))=0</formula>
    </cfRule>
    <cfRule type="notContainsBlanks" dxfId="6" priority="14">
      <formula>LEN(TRIM(X1))&gt;0</formula>
    </cfRule>
  </conditionalFormatting>
  <conditionalFormatting sqref="AH1:AH1048576">
    <cfRule type="containsBlanks" dxfId="7" priority="15">
      <formula>LEN(TRIM(AH1))=0</formula>
    </cfRule>
    <cfRule type="notContainsBlanks" dxfId="7" priority="16">
      <formula>LEN(TRIM(AH1))&gt;0</formula>
    </cfRule>
  </conditionalFormatting>
  <conditionalFormatting sqref="AV1:AV1048576">
    <cfRule type="containsBlanks" dxfId="8" priority="17">
      <formula>LEN(TRIM(AV1))=0</formula>
    </cfRule>
    <cfRule type="notContainsBlanks" dxfId="8" priority="18">
      <formula>LEN(TRIM(AV1))&gt;0</formula>
    </cfRule>
  </conditionalFormatting>
  <conditionalFormatting sqref="AW1:AW1048576">
    <cfRule type="containsBlanks" dxfId="9" priority="19">
      <formula>LEN(TRIM(AW1))=0</formula>
    </cfRule>
    <cfRule type="notContainsBlanks" dxfId="9" priority="20">
      <formula>LEN(TRIM(AW1))&gt;0</formula>
    </cfRule>
  </conditionalFormatting>
  <conditionalFormatting sqref="AX1:AX1048576">
    <cfRule type="containsBlanks" dxfId="10" priority="21">
      <formula>LEN(TRIM(AX1))=0</formula>
    </cfRule>
    <cfRule type="notContainsBlanks" dxfId="10" priority="22">
      <formula>LEN(TRIM(AX1))&gt;0</formula>
    </cfRule>
  </conditionalFormatting>
  <conditionalFormatting sqref="Y1:Y1048576">
    <cfRule type="containsBlanks" dxfId="11" priority="23">
      <formula>LEN(TRIM(Y1))=0</formula>
    </cfRule>
    <cfRule type="notContainsBlanks" dxfId="11" priority="24">
      <formula>LEN(TRIM(Y1))&gt;0</formula>
    </cfRule>
  </conditionalFormatting>
  <conditionalFormatting sqref="AY1:AY1048576">
    <cfRule type="containsBlanks" dxfId="12" priority="25">
      <formula>LEN(TRIM(AY1))=0</formula>
    </cfRule>
    <cfRule type="notContainsBlanks" dxfId="12" priority="26">
      <formula>LEN(TRIM(AY1))&gt;0</formula>
    </cfRule>
  </conditionalFormatting>
  <conditionalFormatting sqref="AS1:AS1048576">
    <cfRule type="containsBlanks" dxfId="13" priority="27">
      <formula>LEN(TRIM(AS1))=0</formula>
    </cfRule>
    <cfRule type="notContainsBlanks" dxfId="13" priority="28">
      <formula>LEN(TRIM(AS1))&gt;0</formula>
    </cfRule>
  </conditionalFormatting>
  <conditionalFormatting sqref="AT1:AT1048576">
    <cfRule type="containsBlanks" dxfId="14" priority="29">
      <formula>LEN(TRIM(AT1))=0</formula>
    </cfRule>
    <cfRule type="notContainsBlanks" dxfId="14" priority="30">
      <formula>LEN(TRIM(AT1))&gt;0</formula>
    </cfRule>
  </conditionalFormatting>
  <conditionalFormatting sqref="AU1:AU1048576">
    <cfRule type="containsBlanks" dxfId="15" priority="31">
      <formula>LEN(TRIM(AU1))=0</formula>
    </cfRule>
    <cfRule type="notContainsBlanks" dxfId="15" priority="32">
      <formula>LEN(TRIM(AU1))&gt;0</formula>
    </cfRule>
  </conditionalFormatting>
  <conditionalFormatting sqref="AZ1:AZ1048576">
    <cfRule type="containsBlanks" dxfId="16" priority="33">
      <formula>LEN(TRIM(AZ1))=0</formula>
    </cfRule>
    <cfRule type="notContainsBlanks" dxfId="16" priority="34">
      <formula>LEN(TRIM(AZ1))&gt;0</formula>
    </cfRule>
  </conditionalFormatting>
  <conditionalFormatting sqref="BA1:BA1048576">
    <cfRule type="containsBlanks" dxfId="17" priority="35">
      <formula>LEN(TRIM(BA1))=0</formula>
    </cfRule>
    <cfRule type="notContainsBlanks" dxfId="17" priority="36">
      <formula>LEN(TRIM(BA1))&gt;0</formula>
    </cfRule>
  </conditionalFormatting>
  <dataValidations count="11">
    <dataValidation allowBlank="false" sqref="G2:G3000" type="list">
      <formula1>"Customer,Lead"</formula1>
    </dataValidation>
    <dataValidation allowBlank="false" sqref="Y2:Y3000" type="list">
      <formula1>"Done Appointment,Cancel Appointment,Pending Appointment"</formula1>
    </dataValidation>
    <dataValidation allowBlank="false" sqref="Z2:Z3000" type="list">
      <formula1>"Hiring Now,Hiring Later,Continuous Hiring"</formula1>
    </dataValidation>
    <dataValidation allowBlank="false" sqref="AB2:AB3000" type="list">
      <formula1>"Appointment Made,No Appointment Made"</formula1>
    </dataValidation>
    <dataValidation allowBlank="false" sqref="AC2:AC3000" type="list">
      <formula1>"SME (&lt;50 employees),Mid-size (50-100 employees),Large (101-300 employees),Enterprise (&gt;300 employees)"</formula1>
    </dataValidation>
    <dataValidation allowBlank="false" sqref="AE2:AE3000" type="list">
      <formula1>"Executive / HR Executive,HR Manager / Talent Manager,HR Director / Senior HR Lead,C-Suite (CHR / COO / CEO)"</formula1>
    </dataValidation>
    <dataValidation allowBlank="false" sqref="AK2:AK3000" type="list">
      <formula1>"Yes, I have,No, but I want in future,No, I don't need at all"</formula1>
    </dataValidation>
    <dataValidation allowBlank="false" sqref="AM2:AM3000" type="list">
      <formula1>"Yes, I have,No, but I want in future,No, I don't need at all"</formula1>
    </dataValidation>
    <dataValidation allowBlank="false" sqref="AN2:AN3000" type="list">
      <formula1>"JobStreet ATS,LinkedIn Talent Solutions,SAP SuccessFactors,SmartRecruiters,Workday Recruiting,Oracle Taleo,HireVue,BambooHR,Zoho,iCIMS,Greenhouse,Other"</formula1>
    </dataValidation>
    <dataValidation allowBlank="false" sqref="AO2:AO3000" type="list">
      <formula1>"Yes, I have,No, but I want in future,No, I don't need at all"</formula1>
    </dataValidation>
    <dataValidation allowBlank="false" sqref="AP2:AP3000" type="list">
      <formula1>"Once a year (25%),Twice a year (50%),Once per quarter (75%),Every month (100%)"</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